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430" windowHeight="9615" tabRatio="875" firstSheet="10" activeTab="21"/>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2038亩" sheetId="84" r:id="rId13"/>
    <sheet name="产品指标" sheetId="86" r:id="rId14"/>
    <sheet name="数据-汇总表" sheetId="6" r:id="rId15"/>
    <sheet name="数据-取费表" sheetId="1" r:id="rId16"/>
    <sheet name="估价对象房地状况" sheetId="20" state="hidden" r:id="rId17"/>
    <sheet name="系统读取表" sheetId="66" r:id="rId18"/>
    <sheet name="典型户型修正" sheetId="31" state="hidden" r:id="rId19"/>
    <sheet name="结果表" sheetId="9" r:id="rId20"/>
    <sheet name="比较法-住宅、综合" sheetId="39" r:id="rId21"/>
    <sheet name="土地案例（住宅）" sheetId="74" r:id="rId22"/>
    <sheet name="案例位置图" sheetId="72" r:id="rId23"/>
    <sheet name="剩余法-待开发" sheetId="12" r:id="rId24"/>
    <sheet name="剩余法-现房" sheetId="43" state="hidden" r:id="rId25"/>
    <sheet name="比较法-工业" sheetId="40" state="hidden" r:id="rId26"/>
    <sheet name="基准地价" sheetId="46" state="hidden" r:id="rId27"/>
    <sheet name="修正" sheetId="49" state="hidden" r:id="rId28"/>
    <sheet name="区片价" sheetId="48" state="hidden" r:id="rId29"/>
    <sheet name="容积率修正" sheetId="45" state="hidden" r:id="rId30"/>
    <sheet name="因素修正幅度" sheetId="56" state="hidden" r:id="rId31"/>
    <sheet name="地价" sheetId="59" state="hidden" r:id="rId32"/>
    <sheet name="基准地价（汇总）" sheetId="67" state="hidden" r:id="rId33"/>
    <sheet name="收益还原法" sheetId="44" state="hidden" r:id="rId34"/>
    <sheet name="酒店收入计算" sheetId="57" state="hidden" r:id="rId35"/>
    <sheet name="成本逼近法" sheetId="11" state="hidden" r:id="rId36"/>
    <sheet name="不动产比较法-住宅" sheetId="21" r:id="rId37"/>
    <sheet name="不动产比较法-商业" sheetId="33" state="hidden" r:id="rId38"/>
    <sheet name="不动产比较法-办公" sheetId="34" state="hidden" r:id="rId39"/>
    <sheet name="不动产比较法-工业" sheetId="37" state="hidden" r:id="rId40"/>
    <sheet name="不动产比较法-车位" sheetId="35" state="hidden" r:id="rId41"/>
    <sheet name="不动产比较法-仓储" sheetId="36" state="hidden" r:id="rId42"/>
    <sheet name="存贷款利率" sheetId="65" state="hidden" r:id="rId43"/>
    <sheet name="不动产比较法-叠拼" sheetId="78" state="hidden" r:id="rId44"/>
    <sheet name="项目住宅一期成交数据" sheetId="87" r:id="rId45"/>
    <sheet name="不动产收益法（商业）" sheetId="15" r:id="rId46"/>
    <sheet name="不动产收益法（车库）" sheetId="77" state="hidden" r:id="rId47"/>
  </sheets>
  <externalReferences>
    <externalReference r:id="rId48"/>
  </externalReferences>
  <definedNames>
    <definedName name="_" hidden="1">[1]eqpmad2!#REF!</definedName>
    <definedName name="__FDS_HYPERLINK_TOGGLE_STATE__" hidden="1">"ON"</definedName>
    <definedName name="_32" hidden="1">[1]eqpmad2!#REF!</definedName>
    <definedName name="_Fill" hidden="1">[1]eqpmad2!#REF!</definedName>
    <definedName name="_xlnm._FilterDatabase" localSheetId="25" hidden="1">'比较法-工业'!$A$1:$L$45</definedName>
    <definedName name="_xlnm._FilterDatabase" localSheetId="20"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43" hidden="1">'不动产比较法-叠拼'!$A$1:$L$49</definedName>
    <definedName name="_xlnm._FilterDatabase" localSheetId="39" hidden="1">'不动产比较法-工业'!$A$1:$L$43</definedName>
    <definedName name="_xlnm._FilterDatabase" localSheetId="37" hidden="1">'不动产比较法-商业'!$A$1:$L$49</definedName>
    <definedName name="_xlnm._FilterDatabase" localSheetId="36" hidden="1">'不动产比较法-住宅'!$A$1:$L$49</definedName>
    <definedName name="_xlnm._FilterDatabase" localSheetId="13" hidden="1">产品指标!$B$1:$T$213</definedName>
    <definedName name="_xlnm._FilterDatabase" localSheetId="10" hidden="1">'数据-基础表'!$A$12:$AT$572</definedName>
    <definedName name="_xlnm._FilterDatabase" localSheetId="9" hidden="1">项目基本情况!$A$48:$N$48</definedName>
    <definedName name="_xlnm._FilterDatabase" localSheetId="44" hidden="1">项目住宅一期成交数据!$A$1:$O$6860</definedName>
    <definedName name="_Order1" hidden="1">255</definedName>
    <definedName name="_wrn2" hidden="1">{"打印N01基本指标表V1",#N/A,TRUE,"基本指标＆成本预测";"打印NO2成本预测表",#N/A,TRUE,"贷款还款付息表";"打印N03工程进度表V1",#N/A,TRUE,"工程进度表";"打印NO4工程成本支出表",#N/A,TRUE,"贷款还款付息表";"打印NO5销售收入表",#N/A,TRUE,"贷款还款付息表";"打印NO6资金平衡表",#N/A,TRUE,"贷款还款付息表";"打印NO7贷款还本付息表",#N/A,TRUE,"贷款还款付息表";#N/A,#N/A,TRUE,"成本对比(第一次董事会)"}</definedName>
    <definedName name="_wrn3" hidden="1">{"打印N01基本指标表V1",#N/A,TRUE,"基本指标＆成本预测";"打印NO2成本预测表",#N/A,TRUE,"贷款还款付息表";"打印N03工程进度表V1",#N/A,TRUE,"工程进度表";"打印NO4工程成本支出表",#N/A,TRUE,"贷款还款付息表";"打印NO5销售收入表",#N/A,TRUE,"贷款还款付息表";"打印NO6资金平衡表",#N/A,TRUE,"贷款还款付息表";"打印NO7贷款还本付息表",#N/A,TRUE,"贷款还款付息表";#N/A,#N/A,TRUE,"成本对比(第一次董事会)"}</definedName>
    <definedName name="_wrn4" hidden="1">{"打印N01基本指标表V1",#N/A,TRUE,"基本指标＆成本预测";"打印NO2成本预测表",#N/A,TRUE,"贷款还款付息表";"打印N03工程进度表V1",#N/A,TRUE,"工程进度表";"打印NO4工程成本支出表",#N/A,TRUE,"贷款还款付息表";"打印NO5销售收入表",#N/A,TRUE,"贷款还款付息表";"打印NO6资金平衡表",#N/A,TRUE,"贷款还款付息表";"打印NO7贷款还本付息表",#N/A,TRUE,"贷款还款付息表";#N/A,#N/A,TRUE,"成本对比(第一次董事会)"}</definedName>
    <definedName name="_成本明细表2" hidden="1">[1]eqpmad2!#REF!</definedName>
    <definedName name="ads" hidden="1">{#N/A,#N/A,FALSE,"Aging Summary";#N/A,#N/A,FALSE,"Ratio Analysis";#N/A,#N/A,FALSE,"Test 120 Day Accts";#N/A,#N/A,FALSE,"Tickmarks"}</definedName>
    <definedName name="AS2DocOpenMode" hidden="1">"AS2DocumentEdit"</definedName>
    <definedName name="AS2NamedRange" hidden="1">15</definedName>
    <definedName name="AS2ReportLS" hidden="1">2</definedName>
    <definedName name="AS2SyncStepLS" hidden="1">3</definedName>
    <definedName name="AS2VersionLS" hidden="1">220</definedName>
    <definedName name="asdf" hidden="1">{#N/A,#N/A,FALSE,"Aging Summary";#N/A,#N/A,FALSE,"Ratio Analysis";#N/A,#N/A,FALSE,"Test 120 Day Accts";#N/A,#N/A,FALSE,"Tickmarks"}</definedName>
    <definedName name="asdfas" hidden="1">{#N/A,#N/A,FALSE,"Aging Summary";#N/A,#N/A,FALSE,"Ratio Analysis";#N/A,#N/A,FALSE,"Test 120 Day Accts";#N/A,#N/A,FALSE,"Tickmarks"}</definedName>
    <definedName name="asdflkjasd" hidden="1">{#N/A,#N/A,FALSE,"Aging Summary";#N/A,#N/A,FALSE,"Ratio Analysis";#N/A,#N/A,FALSE,"Test 120 Day Accts";#N/A,#N/A,FALSE,"Tickmarks"}</definedName>
    <definedName name="ddd" hidden="1">{#N/A,#N/A,FALSE,"Aging Summary";#N/A,#N/A,FALSE,"Ratio Analysis";#N/A,#N/A,FALSE,"Test 120 Day Accts";#N/A,#N/A,FALSE,"Tickmarks"}</definedName>
    <definedName name="eee" hidden="1">{#N/A,#N/A,FALSE,"Aging Summary";#N/A,#N/A,FALSE,"Ratio Analysis";#N/A,#N/A,FALSE,"Test 120 Day Accts";#N/A,#N/A,FALSE,"Tickmarks"}</definedName>
    <definedName name="good" hidden="1">{#N/A,#N/A,FALSE,"Aging Summary";#N/A,#N/A,FALSE,"Ratio Analysis";#N/A,#N/A,FALSE,"Test 120 Day Accts";#N/A,#N/A,FALSE,"Tickmarks"}</definedName>
    <definedName name="HTML_OBDlg2" hidden="1">TRUE</definedName>
    <definedName name="HTML_OBDlg4" hidden="1">TRUE</definedName>
    <definedName name="HTML_OS" hidden="1">0</definedName>
    <definedName name="HTML_PathFile" hidden="1">"\\Dyckb002\c\刘凌2001\月会报告\MyHTML.htm"</definedName>
    <definedName name="HTML_Title" hidden="1">"2001-12月报-1"</definedName>
    <definedName name="_xlnm.Print_Area" localSheetId="25">'比较法-工业'!$A$1:$K$63,'比较法-工业'!$A$66:$N$123</definedName>
    <definedName name="_xlnm.Print_Area" localSheetId="20">'比较法-住宅、综合'!$A$1:$K$67,'比较法-住宅、综合'!$A$71:$N$134</definedName>
    <definedName name="_xlnm.Print_Area" localSheetId="38">'不动产比较法-办公'!$A$1:$K$55,'不动产比较法-办公'!$A$58:$M$132</definedName>
    <definedName name="_xlnm.Print_Area" localSheetId="41">'不动产比较法-仓储'!$A$1:$K$42,'不动产比较法-仓储'!$A$45:$M$96</definedName>
    <definedName name="_xlnm.Print_Area" localSheetId="40">'不动产比较法-车位'!$A$1:$K$44,'不动产比较法-车位'!$A$47:$M$102</definedName>
    <definedName name="_xlnm.Print_Area" localSheetId="43">'不动产比较法-叠拼'!$A$1:$K$54,'不动产比较法-叠拼'!$A$57:$M$131</definedName>
    <definedName name="_xlnm.Print_Area" localSheetId="39">'不动产比较法-工业'!$A$1:$K$48,'不动产比较法-工业'!$A$51:$M$113</definedName>
    <definedName name="_xlnm.Print_Area" localSheetId="37">'不动产比较法-商业'!$A$1:$K$54,'不动产比较法-商业'!$A$57:$M$131</definedName>
    <definedName name="_xlnm.Print_Area" localSheetId="36">'不动产比较法-住宅'!$A$1:$K$54,'不动产比较法-住宅'!$A$57:$M$131</definedName>
    <definedName name="_xlnm.Print_Area" localSheetId="46">'不动产收益法（车库）'!$A$1:$F$43,'不动产收益法（车库）'!$H$3:$M$29,'不动产收益法（车库）'!$A$46:$F$70,'不动产收益法（车库）'!$I$46:$M$60</definedName>
    <definedName name="_xlnm.Print_Area" localSheetId="45">'不动产收益法（商业）'!$A$1:$F$43,'不动产收益法（商业）'!$H$3:$M$29,'不动产收益法（商业）'!$A$46:$F$70,'不动产收益法（商业）'!$I$46:$M$60</definedName>
    <definedName name="_xlnm.Print_Area" localSheetId="35">成本逼近法!$A$1:$G$23</definedName>
    <definedName name="_xlnm.Print_Area" localSheetId="16">估价对象房地状况!$A$1:$G$24</definedName>
    <definedName name="_xlnm.Print_Area" localSheetId="7">估价师及机构信息!$A$1:$F$22</definedName>
    <definedName name="_xlnm.Print_Area" localSheetId="26">基准地价!$A$1:$J$41,基准地价!$A$44:$N$87,基准地价!$R$1:$V$16</definedName>
    <definedName name="_xlnm.Print_Area" localSheetId="32">'基准地价（汇总）'!$A$1:$F$14</definedName>
    <definedName name="_xlnm.Print_Area" localSheetId="19">结果表!$A$1:$I$46,结果表!$K$25:$O$44,结果表!$A$62:$I$115,结果表!$K$64:$P$81</definedName>
    <definedName name="_xlnm.Print_Area" localSheetId="23">'剩余法-待开发'!$A$1:$K$36</definedName>
    <definedName name="_xlnm.Print_Area" localSheetId="24">'剩余法-现房'!$A$1:$K$32</definedName>
    <definedName name="_xlnm.Print_Area" localSheetId="33">收益还原法!$A$1:$F$46,收益还原法!$H$3:$M$31,收益还原法!$I$47:$M$61</definedName>
    <definedName name="_xlnm.Print_Area" localSheetId="14">'数据-汇总表'!$A$1:$P$32</definedName>
    <definedName name="_xlnm.Print_Area" localSheetId="17">系统读取表!$A$1:$J$26</definedName>
    <definedName name="_xlnm.Print_Area" localSheetId="9">项目基本情况!$A$1:$J$44</definedName>
    <definedName name="rehtrhtrhtr" hidden="1">{#N/A,#N/A,FALSE,"Aging Summary";#N/A,#N/A,FALSE,"Ratio Analysis";#N/A,#N/A,FALSE,"Test 120 Day Accts";#N/A,#N/A,FALSE,"Tickmarks"}</definedName>
    <definedName name="rrr" hidden="1">{#N/A,#N/A,FALSE,"Aging Summary";#N/A,#N/A,FALSE,"Ratio Analysis";#N/A,#N/A,FALSE,"Test 120 Day Accts";#N/A,#N/A,FALSE,"Tickmarks"}</definedName>
    <definedName name="SAPBEXrevision" hidden="1">4</definedName>
    <definedName name="SAPBEXsysID" hidden="1">"BW1"</definedName>
    <definedName name="SAPBEXwbID" hidden="1">"8DZFG4M4NA6MVVGNLO7J4SRAY"</definedName>
    <definedName name="sdfadsfradsfadsfq" hidden="1">{#N/A,#N/A,FALSE,"Aging Summary";#N/A,#N/A,FALSE,"Ratio Analysis";#N/A,#N/A,FALSE,"Test 120 Day Accts";#N/A,#N/A,FALSE,"Tickmarks"}</definedName>
    <definedName name="sgfrfsgfrg" hidden="1">{#N/A,#N/A,FALSE,"Aging Summary";#N/A,#N/A,FALSE,"Ratio Analysis";#N/A,#N/A,FALSE,"Test 120 Day Accts";#N/A,#N/A,FALSE,"Tickmarks"}</definedName>
    <definedName name="TextRefCopyRangeCount" hidden="1">92</definedName>
    <definedName name="wrn.Aging._.and._.Trend._.Analysis." hidden="1">{#N/A,#N/A,FALSE,"Aging Summary";#N/A,#N/A,FALSE,"Ratio Analysis";#N/A,#N/A,FALSE,"Test 120 Day Accts";#N/A,#N/A,FALSE,"Tickmarks"}</definedName>
    <definedName name="wrn.打印整个资料." hidden="1">{"打印N01基本指标表V1",#N/A,TRUE,"基本指标＆成本预测";"打印NO2成本预测表",#N/A,TRUE,"贷款还款付息表";"打印N03工程进度表V1",#N/A,TRUE,"工程进度表";"打印NO4工程成本支出表",#N/A,TRUE,"贷款还款付息表";"打印NO5销售收入表",#N/A,TRUE,"贷款还款付息表";"打印NO6资金平衡表",#N/A,TRUE,"贷款还款付息表";"打印NO7贷款还本付息表",#N/A,TRUE,"贷款还款付息表";#N/A,#N/A,TRUE,"成本对比(第一次董事会)"}</definedName>
    <definedName name="XRefActiveRow" hidden="1">#REF!</definedName>
    <definedName name="XRefColumnsCount" hidden="1">1</definedName>
    <definedName name="XRefPasteRangeCount" hidden="1">1</definedName>
    <definedName name="爱爱爱" hidden="1">{#N/A,#N/A,FALSE,"Aging Summary";#N/A,#N/A,FALSE,"Ratio Analysis";#N/A,#N/A,FALSE,"Test 120 Day Accts";#N/A,#N/A,FALSE,"Tickmarks"}</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成都锁定09" hidden="1">{#N/A,#N/A,FALSE,"Aging Summary";#N/A,#N/A,FALSE,"Ratio Analysis";#N/A,#N/A,FALSE,"Test 120 Day Accts";#N/A,#N/A,FALSE,"Tickmarks"}</definedName>
    <definedName name="城镇土地纳税等级分级范围">'数据-取费表'!$A$53:$A$63</definedName>
    <definedName name="打底" hidden="1">[1]eqpmad2!#REF!</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各业态" hidden="1">{#N/A,#N/A,FALSE,"Aging Summary";#N/A,#N/A,FALSE,"Ratio Analysis";#N/A,#N/A,FALSE,"Test 120 Day Accts";#N/A,#N/A,FALSE,"Tickmarks"}</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花盛香醍项目" hidden="1">{#N/A,#N/A,FALSE,"Aging Summary";#N/A,#N/A,FALSE,"Ratio Analysis";#N/A,#N/A,FALSE,"Test 120 Day Accts";#N/A,#N/A,FALSE,"Tickmarks"}</definedName>
    <definedName name="环境">定义!$S$1:$S$6</definedName>
    <definedName name="基础设施水平">定义!$R$1:$R$6</definedName>
    <definedName name="季度">基准地价!$N$19:$AB$19</definedName>
    <definedName name="季度2014">地价!$A$2:$A$32</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门窗" hidden="1">{#N/A,#N/A,FALSE,"Aging Summary";#N/A,#N/A,FALSE,"Ratio Analysis";#N/A,#N/A,FALSE,"Test 120 Day Accts";#N/A,#N/A,FALSE,"Tickmarks"}</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香醍" hidden="1">{#N/A,#N/A,FALSE,"Aging Summary";#N/A,#N/A,FALSE,"Ratio Analysis";#N/A,#N/A,FALSE,"Test 120 Day Accts";#N/A,#N/A,FALSE,"Tickmarks"}</definedName>
    <definedName name="项目类型">'数据-汇总表'!$C$17:$C$26</definedName>
    <definedName name="写字楼等级">'不动产比较法-办公'!$B$113:$M$113</definedName>
    <definedName name="滟澜山1" hidden="1">{#N/A,#N/A,FALSE,"Aging Summary";#N/A,#N/A,FALSE,"Ratio Analysis";#N/A,#N/A,FALSE,"Test 120 Day Accts";#N/A,#N/A,FALSE,"Tickmarks"}</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 localSheetId="43">'不动产比较法-叠拼'!$B$88:$M$88</definedName>
    <definedName name="住宅朝向">'不动产比较法-住宅'!$B$88:$M$88</definedName>
    <definedName name="住宅房型" localSheetId="43">'不动产比较法-叠拼'!$B$118:$M$118</definedName>
    <definedName name="住宅房型">'不动产比较法-住宅'!$B$118:$M$118</definedName>
    <definedName name="住宅公共部分装修" localSheetId="43">'不动产比较法-叠拼'!$B$109:$M$109</definedName>
    <definedName name="住宅公共部分装修">'不动产比较法-住宅'!$B$109:$M$109</definedName>
    <definedName name="住宅基础设施水平" localSheetId="43">'不动产比较法-叠拼'!$B$116:$M$116</definedName>
    <definedName name="住宅基础设施水平">'不动产比较法-住宅'!$B$116:$M$116</definedName>
    <definedName name="住宅建筑结构" localSheetId="43">'不动产比较法-叠拼'!$B$105:$M$105</definedName>
    <definedName name="住宅建筑结构">'不动产比较法-住宅'!$B$105:$M$105</definedName>
    <definedName name="住宅建筑类型" localSheetId="43">'不动产比较法-叠拼'!$B$100:$M$100</definedName>
    <definedName name="住宅建筑类型">'不动产比较法-住宅'!$B$100:$M$100</definedName>
    <definedName name="住宅建筑品质" localSheetId="43">'不动产比较法-叠拼'!$B$107:$M$107</definedName>
    <definedName name="住宅建筑品质">'不动产比较法-住宅'!$B$107:$M$107</definedName>
    <definedName name="住宅交易情况" localSheetId="43">'不动产比较法-叠拼'!$A$61:$M$61</definedName>
    <definedName name="住宅交易情况">'不动产比较法-住宅'!$A$61:$M$61</definedName>
    <definedName name="住宅楼层" localSheetId="43">'不动产比较法-叠拼'!$B$86:$M$86</definedName>
    <definedName name="住宅楼层">'不动产比较法-住宅'!$B$86:$M$86</definedName>
    <definedName name="住宅内部装修" localSheetId="43">'不动产比较法-叠拼'!$B$122:$M$122</definedName>
    <definedName name="住宅内部装修">'不动产比较法-住宅'!$B$122:$M$122</definedName>
    <definedName name="住宅物业管理" localSheetId="43">'不动产比较法-叠拼'!$B$114:$M$114</definedName>
    <definedName name="住宅物业管理">'不动产比较法-住宅'!$B$114:$M$114</definedName>
    <definedName name="住宅用途" localSheetId="43">'不动产比较法-叠拼'!$B$63:$M$63</definedName>
    <definedName name="住宅用途">'不动产比较法-住宅'!$B$63:$M$63</definedName>
    <definedName name="住宅主力户型面积" localSheetId="43">'不动产比较法-叠拼'!$B$120:$M$120</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8" i="39" l="1"/>
  <c r="I40" i="39"/>
  <c r="I9" i="39"/>
  <c r="I8" i="39"/>
  <c r="I7" i="39"/>
  <c r="E14" i="39"/>
  <c r="G14" i="39"/>
  <c r="L10" i="1"/>
  <c r="I13" i="3"/>
  <c r="Q13" i="3"/>
  <c r="G33" i="84"/>
  <c r="C15" i="39" s="1"/>
  <c r="H33" i="84"/>
  <c r="H2" i="84"/>
  <c r="H3" i="84"/>
  <c r="H4" i="84"/>
  <c r="H5" i="84"/>
  <c r="H6" i="84"/>
  <c r="H7" i="84"/>
  <c r="H9" i="84"/>
  <c r="H10" i="84"/>
  <c r="H11" i="84"/>
  <c r="H12" i="84"/>
  <c r="H13" i="84"/>
  <c r="H14" i="84"/>
  <c r="H15" i="84"/>
  <c r="H16" i="84"/>
  <c r="H17" i="84"/>
  <c r="H18" i="84"/>
  <c r="H19" i="84"/>
  <c r="H20" i="84"/>
  <c r="H21" i="84"/>
  <c r="H22" i="84"/>
  <c r="H23" i="84"/>
  <c r="H24" i="84"/>
  <c r="H25" i="84"/>
  <c r="H26" i="84"/>
  <c r="H27" i="84"/>
  <c r="H28" i="84"/>
  <c r="H29" i="84"/>
  <c r="H30" i="84"/>
  <c r="H31" i="84"/>
  <c r="H32" i="84"/>
  <c r="H8" i="84"/>
  <c r="J15" i="66" l="1"/>
  <c r="J16" i="66"/>
  <c r="J17" i="66"/>
  <c r="J18" i="66"/>
  <c r="J19" i="66"/>
  <c r="J20" i="66"/>
  <c r="J21" i="66"/>
  <c r="J22" i="66"/>
  <c r="J23" i="66"/>
  <c r="W172" i="86" l="1"/>
  <c r="AA172" i="86" s="1"/>
  <c r="K23" i="9"/>
  <c r="Z172" i="86" l="1"/>
  <c r="AB172" i="86"/>
  <c r="AC172" i="86"/>
  <c r="N25" i="1" l="1"/>
  <c r="N26" i="1"/>
  <c r="N27" i="1"/>
  <c r="N28" i="1"/>
  <c r="N29" i="1"/>
  <c r="N30" i="1"/>
  <c r="N31" i="1"/>
  <c r="N32" i="1"/>
  <c r="N24" i="1"/>
  <c r="N33" i="1" l="1"/>
  <c r="N35" i="1" s="1"/>
  <c r="I33" i="84"/>
  <c r="I30" i="84"/>
  <c r="I29" i="84"/>
  <c r="I2" i="84"/>
  <c r="I28" i="84"/>
  <c r="I3" i="84"/>
  <c r="F33" i="84"/>
  <c r="C33" i="84"/>
  <c r="D33" i="84"/>
  <c r="C37" i="84"/>
  <c r="M33" i="1" l="1"/>
  <c r="U42" i="86"/>
  <c r="A3" i="3"/>
  <c r="F3" i="84"/>
  <c r="F4" i="84"/>
  <c r="F5" i="84"/>
  <c r="F6" i="84"/>
  <c r="F7" i="84"/>
  <c r="F8" i="84"/>
  <c r="F9" i="84"/>
  <c r="F10" i="84"/>
  <c r="F11" i="84"/>
  <c r="F12" i="84"/>
  <c r="F13" i="84"/>
  <c r="F14" i="84"/>
  <c r="F15" i="84"/>
  <c r="F16" i="84"/>
  <c r="F17" i="84"/>
  <c r="F18" i="84"/>
  <c r="F19" i="84"/>
  <c r="F20" i="84"/>
  <c r="F21" i="84"/>
  <c r="F22" i="84"/>
  <c r="F23" i="84"/>
  <c r="F24" i="84"/>
  <c r="F25" i="84"/>
  <c r="F26" i="84"/>
  <c r="F27" i="84"/>
  <c r="F28" i="84"/>
  <c r="F29" i="84"/>
  <c r="F30" i="84"/>
  <c r="F31" i="84"/>
  <c r="F32" i="84"/>
  <c r="F2" i="84"/>
  <c r="E33" i="84" l="1"/>
  <c r="K32" i="84" l="1"/>
  <c r="K31" i="84"/>
  <c r="K28" i="84"/>
  <c r="K27" i="84"/>
  <c r="K26" i="84"/>
  <c r="K24" i="84"/>
  <c r="K22" i="84"/>
  <c r="K19" i="84"/>
  <c r="K18" i="84"/>
  <c r="K16" i="84"/>
  <c r="K15" i="84"/>
  <c r="K13" i="84"/>
  <c r="K12" i="84"/>
  <c r="K11" i="84"/>
  <c r="K10" i="84"/>
  <c r="K9" i="84"/>
  <c r="K7" i="84"/>
  <c r="K6" i="84"/>
  <c r="K4" i="84"/>
  <c r="Y160" i="86"/>
  <c r="Y157" i="86"/>
  <c r="Z157" i="86"/>
  <c r="U9" i="87"/>
  <c r="Q13" i="87"/>
  <c r="Q11" i="87"/>
  <c r="R11" i="87" s="1"/>
  <c r="Q12" i="87"/>
  <c r="Q10" i="87"/>
  <c r="S10" i="87" s="1"/>
  <c r="S9" i="87"/>
  <c r="S15" i="87" s="1"/>
  <c r="T9" i="87"/>
  <c r="T15" i="87" s="1"/>
  <c r="R9" i="87"/>
  <c r="R15" i="87" s="1"/>
  <c r="R12" i="87"/>
  <c r="S12" i="87"/>
  <c r="T12" i="87"/>
  <c r="T10" i="87"/>
  <c r="R10" i="87"/>
  <c r="S6" i="87"/>
  <c r="T6" i="87"/>
  <c r="R6" i="87"/>
  <c r="T5" i="87"/>
  <c r="S5" i="87"/>
  <c r="R5" i="87"/>
  <c r="U5" i="87" s="1"/>
  <c r="T4" i="87"/>
  <c r="S4" i="87"/>
  <c r="S7" i="87" s="1"/>
  <c r="R4" i="87"/>
  <c r="R7" i="87" l="1"/>
  <c r="T7" i="87"/>
  <c r="U6" i="87"/>
  <c r="U4" i="87"/>
  <c r="T11" i="87"/>
  <c r="T13" i="87" s="1"/>
  <c r="T16" i="87" s="1"/>
  <c r="S11" i="87"/>
  <c r="S13" i="87" s="1"/>
  <c r="S16" i="87" s="1"/>
  <c r="U12" i="87"/>
  <c r="U10" i="87"/>
  <c r="R13" i="87"/>
  <c r="R16" i="87" s="1"/>
  <c r="AA157" i="86"/>
  <c r="Y154" i="86"/>
  <c r="Y155" i="86"/>
  <c r="Y153" i="86"/>
  <c r="Y151" i="86"/>
  <c r="Y150" i="86"/>
  <c r="Y152" i="86" s="1"/>
  <c r="Y156" i="86" s="1"/>
  <c r="Y149" i="86"/>
  <c r="Y158" i="86"/>
  <c r="Y161" i="86" s="1"/>
  <c r="T201" i="86"/>
  <c r="S201" i="86"/>
  <c r="R201" i="86"/>
  <c r="Q201" i="86"/>
  <c r="P201" i="86"/>
  <c r="O201" i="86"/>
  <c r="N201" i="86"/>
  <c r="M201" i="86"/>
  <c r="L201" i="86"/>
  <c r="K201" i="86"/>
  <c r="J201" i="86"/>
  <c r="I201" i="86"/>
  <c r="H201" i="86"/>
  <c r="T200" i="86"/>
  <c r="S200" i="86"/>
  <c r="R200" i="86"/>
  <c r="Q200" i="86"/>
  <c r="P200" i="86"/>
  <c r="O200" i="86"/>
  <c r="N200" i="86"/>
  <c r="M200" i="86"/>
  <c r="L200" i="86"/>
  <c r="K200" i="86"/>
  <c r="J200" i="86"/>
  <c r="I200" i="86"/>
  <c r="H200" i="86"/>
  <c r="T197" i="86"/>
  <c r="S197" i="86"/>
  <c r="R197" i="86"/>
  <c r="Q197" i="86"/>
  <c r="P197" i="86"/>
  <c r="O197" i="86"/>
  <c r="N197" i="86"/>
  <c r="M197" i="86"/>
  <c r="L197" i="86"/>
  <c r="K197" i="86"/>
  <c r="J197" i="86"/>
  <c r="I197" i="86"/>
  <c r="H197" i="86"/>
  <c r="T196" i="86"/>
  <c r="S196" i="86"/>
  <c r="R196" i="86"/>
  <c r="Q196" i="86"/>
  <c r="P196" i="86"/>
  <c r="O196" i="86"/>
  <c r="N196" i="86"/>
  <c r="M196" i="86"/>
  <c r="L196" i="86"/>
  <c r="K196" i="86"/>
  <c r="J196" i="86"/>
  <c r="I196" i="86"/>
  <c r="H196" i="86"/>
  <c r="T195" i="86"/>
  <c r="S195" i="86"/>
  <c r="R195" i="86"/>
  <c r="Q195" i="86"/>
  <c r="P195" i="86"/>
  <c r="O195" i="86"/>
  <c r="N195" i="86"/>
  <c r="M195" i="86"/>
  <c r="L195" i="86"/>
  <c r="K195" i="86"/>
  <c r="J195" i="86"/>
  <c r="I195" i="86"/>
  <c r="H195" i="86"/>
  <c r="T192" i="86"/>
  <c r="S192" i="86"/>
  <c r="R192" i="86"/>
  <c r="Q192" i="86"/>
  <c r="P192" i="86"/>
  <c r="O192" i="86"/>
  <c r="N192" i="86"/>
  <c r="M192" i="86"/>
  <c r="L192" i="86"/>
  <c r="K192" i="86"/>
  <c r="J192" i="86"/>
  <c r="I192" i="86"/>
  <c r="H192" i="86"/>
  <c r="T191" i="86"/>
  <c r="S191" i="86"/>
  <c r="R191" i="86"/>
  <c r="Q191" i="86"/>
  <c r="P191" i="86"/>
  <c r="O191" i="86"/>
  <c r="N191" i="86"/>
  <c r="M191" i="86"/>
  <c r="L191" i="86"/>
  <c r="K191" i="86"/>
  <c r="J191" i="86"/>
  <c r="I191" i="86"/>
  <c r="H191" i="86"/>
  <c r="T190" i="86"/>
  <c r="S190" i="86"/>
  <c r="R190" i="86"/>
  <c r="Q190" i="86"/>
  <c r="P190" i="86"/>
  <c r="O190" i="86"/>
  <c r="N190" i="86"/>
  <c r="M190" i="86"/>
  <c r="L190" i="86"/>
  <c r="K190" i="86"/>
  <c r="J190" i="86"/>
  <c r="I190" i="86"/>
  <c r="H190" i="86"/>
  <c r="T189" i="86"/>
  <c r="S189" i="86"/>
  <c r="R189" i="86"/>
  <c r="Q189" i="86"/>
  <c r="P189" i="86"/>
  <c r="O189" i="86"/>
  <c r="N189" i="86"/>
  <c r="M189" i="86"/>
  <c r="L189" i="86"/>
  <c r="K189" i="86"/>
  <c r="J189" i="86"/>
  <c r="I189" i="86"/>
  <c r="H189" i="86"/>
  <c r="T187" i="86"/>
  <c r="S187" i="86"/>
  <c r="R187" i="86"/>
  <c r="Q187" i="86"/>
  <c r="P187" i="86"/>
  <c r="O187" i="86"/>
  <c r="N187" i="86"/>
  <c r="M187" i="86"/>
  <c r="L187" i="86"/>
  <c r="K187" i="86"/>
  <c r="J187" i="86"/>
  <c r="I187" i="86"/>
  <c r="H187" i="86"/>
  <c r="T186" i="86"/>
  <c r="S186" i="86"/>
  <c r="R186" i="86"/>
  <c r="Q186" i="86"/>
  <c r="P186" i="86"/>
  <c r="O186" i="86"/>
  <c r="N186" i="86"/>
  <c r="M186" i="86"/>
  <c r="L186" i="86"/>
  <c r="K186" i="86"/>
  <c r="J186" i="86"/>
  <c r="I186" i="86"/>
  <c r="H186" i="86"/>
  <c r="T185" i="86"/>
  <c r="S185" i="86"/>
  <c r="R185" i="86"/>
  <c r="Q185" i="86"/>
  <c r="P185" i="86"/>
  <c r="O185" i="86"/>
  <c r="N185" i="86"/>
  <c r="M185" i="86"/>
  <c r="L185" i="86"/>
  <c r="K185" i="86"/>
  <c r="J185" i="86"/>
  <c r="I185" i="86"/>
  <c r="H185" i="86"/>
  <c r="T184" i="86"/>
  <c r="S184" i="86"/>
  <c r="R184" i="86"/>
  <c r="Q184" i="86"/>
  <c r="P184" i="86"/>
  <c r="O184" i="86"/>
  <c r="N184" i="86"/>
  <c r="M184" i="86"/>
  <c r="L184" i="86"/>
  <c r="K184" i="86"/>
  <c r="J184" i="86"/>
  <c r="I184" i="86"/>
  <c r="H184" i="86"/>
  <c r="T182" i="86"/>
  <c r="S182" i="86"/>
  <c r="R182" i="86"/>
  <c r="Q182" i="86"/>
  <c r="P182" i="86"/>
  <c r="O182" i="86"/>
  <c r="N182" i="86"/>
  <c r="M182" i="86"/>
  <c r="L182" i="86"/>
  <c r="K182" i="86"/>
  <c r="J182" i="86"/>
  <c r="I182" i="86"/>
  <c r="H182" i="86"/>
  <c r="T181" i="86"/>
  <c r="S181" i="86"/>
  <c r="R181" i="86"/>
  <c r="Q181" i="86"/>
  <c r="P181" i="86"/>
  <c r="O181" i="86"/>
  <c r="N181" i="86"/>
  <c r="M181" i="86"/>
  <c r="L181" i="86"/>
  <c r="K181" i="86"/>
  <c r="J181" i="86"/>
  <c r="I181" i="86"/>
  <c r="H181" i="86"/>
  <c r="T180" i="86"/>
  <c r="S180" i="86"/>
  <c r="R180" i="86"/>
  <c r="Q180" i="86"/>
  <c r="P180" i="86"/>
  <c r="O180" i="86"/>
  <c r="N180" i="86"/>
  <c r="M180" i="86"/>
  <c r="L180" i="86"/>
  <c r="K180" i="86"/>
  <c r="J180" i="86"/>
  <c r="I180" i="86"/>
  <c r="H180" i="86"/>
  <c r="T179" i="86"/>
  <c r="S179" i="86"/>
  <c r="R179" i="86"/>
  <c r="Q179" i="86"/>
  <c r="P179" i="86"/>
  <c r="O179" i="86"/>
  <c r="N179" i="86"/>
  <c r="M179" i="86"/>
  <c r="L179" i="86"/>
  <c r="K179" i="86"/>
  <c r="J179" i="86"/>
  <c r="I179" i="86"/>
  <c r="H179" i="86"/>
  <c r="T177" i="86"/>
  <c r="S177" i="86"/>
  <c r="R177" i="86"/>
  <c r="Q177" i="86"/>
  <c r="P177" i="86"/>
  <c r="O177" i="86"/>
  <c r="N177" i="86"/>
  <c r="M177" i="86"/>
  <c r="L177" i="86"/>
  <c r="K177" i="86"/>
  <c r="J177" i="86"/>
  <c r="I177" i="86"/>
  <c r="H177" i="86"/>
  <c r="T176" i="86"/>
  <c r="S176" i="86"/>
  <c r="R176" i="86"/>
  <c r="Q176" i="86"/>
  <c r="P176" i="86"/>
  <c r="O176" i="86"/>
  <c r="N176" i="86"/>
  <c r="M176" i="86"/>
  <c r="L176" i="86"/>
  <c r="K176" i="86"/>
  <c r="J176" i="86"/>
  <c r="I176" i="86"/>
  <c r="H176" i="86"/>
  <c r="T175" i="86"/>
  <c r="S175" i="86"/>
  <c r="R175" i="86"/>
  <c r="Q175" i="86"/>
  <c r="P175" i="86"/>
  <c r="O175" i="86"/>
  <c r="N175" i="86"/>
  <c r="M175" i="86"/>
  <c r="L175" i="86"/>
  <c r="K175" i="86"/>
  <c r="J175" i="86"/>
  <c r="I175" i="86"/>
  <c r="H175" i="86"/>
  <c r="T174" i="86"/>
  <c r="S174" i="86"/>
  <c r="R174" i="86"/>
  <c r="Q174" i="86"/>
  <c r="P174" i="86"/>
  <c r="O174" i="86"/>
  <c r="N174" i="86"/>
  <c r="M174" i="86"/>
  <c r="L174" i="86"/>
  <c r="K174" i="86"/>
  <c r="J174" i="86"/>
  <c r="I174" i="86"/>
  <c r="H174" i="86"/>
  <c r="T172" i="86"/>
  <c r="S172" i="86"/>
  <c r="R172" i="86"/>
  <c r="Q172" i="86"/>
  <c r="P172" i="86"/>
  <c r="O172" i="86"/>
  <c r="N172" i="86"/>
  <c r="M172" i="86"/>
  <c r="L172" i="86"/>
  <c r="K172" i="86"/>
  <c r="J172" i="86"/>
  <c r="I172" i="86"/>
  <c r="H172" i="86"/>
  <c r="T171" i="86"/>
  <c r="S171" i="86"/>
  <c r="R171" i="86"/>
  <c r="Q171" i="86"/>
  <c r="P171" i="86"/>
  <c r="O171" i="86"/>
  <c r="N171" i="86"/>
  <c r="M171" i="86"/>
  <c r="L171" i="86"/>
  <c r="K171" i="86"/>
  <c r="J171" i="86"/>
  <c r="I171" i="86"/>
  <c r="H171" i="86"/>
  <c r="T170" i="86"/>
  <c r="S170" i="86"/>
  <c r="R170" i="86"/>
  <c r="Q170" i="86"/>
  <c r="P170" i="86"/>
  <c r="O170" i="86"/>
  <c r="N170" i="86"/>
  <c r="M170" i="86"/>
  <c r="L170" i="86"/>
  <c r="K170" i="86"/>
  <c r="J170" i="86"/>
  <c r="I170" i="86"/>
  <c r="H170" i="86"/>
  <c r="T169" i="86"/>
  <c r="S169" i="86"/>
  <c r="R169" i="86"/>
  <c r="Q169" i="86"/>
  <c r="P169" i="86"/>
  <c r="O169" i="86"/>
  <c r="N169" i="86"/>
  <c r="M169" i="86"/>
  <c r="L169" i="86"/>
  <c r="K169" i="86"/>
  <c r="J169" i="86"/>
  <c r="I169" i="86"/>
  <c r="H169" i="86"/>
  <c r="T166" i="86"/>
  <c r="S166" i="86"/>
  <c r="R166" i="86"/>
  <c r="Q166" i="86"/>
  <c r="P166" i="86"/>
  <c r="O166" i="86"/>
  <c r="N166" i="86"/>
  <c r="M166" i="86"/>
  <c r="L166" i="86"/>
  <c r="K166" i="86"/>
  <c r="J166" i="86"/>
  <c r="I166" i="86"/>
  <c r="H166" i="86"/>
  <c r="T164" i="86"/>
  <c r="S164" i="86"/>
  <c r="R164" i="86"/>
  <c r="Q164" i="86"/>
  <c r="P164" i="86"/>
  <c r="O164" i="86"/>
  <c r="N164" i="86"/>
  <c r="M164" i="86"/>
  <c r="L164" i="86"/>
  <c r="K164" i="86"/>
  <c r="J164" i="86"/>
  <c r="I164" i="86"/>
  <c r="H164" i="86"/>
  <c r="T161" i="86"/>
  <c r="S161" i="86"/>
  <c r="R161" i="86"/>
  <c r="Q161" i="86"/>
  <c r="P161" i="86"/>
  <c r="O161" i="86"/>
  <c r="N161" i="86"/>
  <c r="M161" i="86"/>
  <c r="L161" i="86"/>
  <c r="K161" i="86"/>
  <c r="J161" i="86"/>
  <c r="I161" i="86"/>
  <c r="H161" i="86"/>
  <c r="T160" i="86"/>
  <c r="S160" i="86"/>
  <c r="R160" i="86"/>
  <c r="Q160" i="86"/>
  <c r="P160" i="86"/>
  <c r="O160" i="86"/>
  <c r="N160" i="86"/>
  <c r="M160" i="86"/>
  <c r="L160" i="86"/>
  <c r="K160" i="86"/>
  <c r="J160" i="86"/>
  <c r="I160" i="86"/>
  <c r="H160" i="86"/>
  <c r="T159" i="86"/>
  <c r="S159" i="86"/>
  <c r="R159" i="86"/>
  <c r="Q159" i="86"/>
  <c r="P159" i="86"/>
  <c r="O159" i="86"/>
  <c r="N159" i="86"/>
  <c r="M159" i="86"/>
  <c r="L159" i="86"/>
  <c r="K159" i="86"/>
  <c r="J159" i="86"/>
  <c r="I159" i="86"/>
  <c r="H159" i="86"/>
  <c r="T156" i="86"/>
  <c r="S156" i="86"/>
  <c r="R156" i="86"/>
  <c r="Q156" i="86"/>
  <c r="P156" i="86"/>
  <c r="O156" i="86"/>
  <c r="N156" i="86"/>
  <c r="M156" i="86"/>
  <c r="L156" i="86"/>
  <c r="K156" i="86"/>
  <c r="J156" i="86"/>
  <c r="I156" i="86"/>
  <c r="H156" i="86"/>
  <c r="T155" i="86"/>
  <c r="S155" i="86"/>
  <c r="R155" i="86"/>
  <c r="Q155" i="86"/>
  <c r="P155" i="86"/>
  <c r="O155" i="86"/>
  <c r="N155" i="86"/>
  <c r="M155" i="86"/>
  <c r="L155" i="86"/>
  <c r="K155" i="86"/>
  <c r="J155" i="86"/>
  <c r="I155" i="86"/>
  <c r="H155" i="86"/>
  <c r="T154" i="86"/>
  <c r="S154" i="86"/>
  <c r="R154" i="86"/>
  <c r="Q154" i="86"/>
  <c r="P154" i="86"/>
  <c r="O154" i="86"/>
  <c r="N154" i="86"/>
  <c r="M154" i="86"/>
  <c r="L154" i="86"/>
  <c r="K154" i="86"/>
  <c r="J154" i="86"/>
  <c r="I154" i="86"/>
  <c r="H154" i="86"/>
  <c r="T152" i="86"/>
  <c r="T207" i="86" s="1"/>
  <c r="S152" i="86"/>
  <c r="S207" i="86" s="1"/>
  <c r="R152" i="86"/>
  <c r="R207" i="86" s="1"/>
  <c r="Q152" i="86"/>
  <c r="Q207" i="86" s="1"/>
  <c r="P152" i="86"/>
  <c r="P207" i="86" s="1"/>
  <c r="O152" i="86"/>
  <c r="O207" i="86" s="1"/>
  <c r="N152" i="86"/>
  <c r="N207" i="86" s="1"/>
  <c r="M152" i="86"/>
  <c r="M207" i="86" s="1"/>
  <c r="L152" i="86"/>
  <c r="L207" i="86" s="1"/>
  <c r="K152" i="86"/>
  <c r="K207" i="86" s="1"/>
  <c r="J152" i="86"/>
  <c r="J207" i="86" s="1"/>
  <c r="I152" i="86"/>
  <c r="I207" i="86" s="1"/>
  <c r="H152" i="86"/>
  <c r="H207" i="86" s="1"/>
  <c r="T151" i="86"/>
  <c r="T206" i="86" s="1"/>
  <c r="S151" i="86"/>
  <c r="R151" i="86"/>
  <c r="R206" i="86" s="1"/>
  <c r="Q151" i="86"/>
  <c r="P151" i="86"/>
  <c r="P206" i="86" s="1"/>
  <c r="O151" i="86"/>
  <c r="N151" i="86"/>
  <c r="N206" i="86" s="1"/>
  <c r="M151" i="86"/>
  <c r="L151" i="86"/>
  <c r="L206" i="86" s="1"/>
  <c r="K151" i="86"/>
  <c r="J151" i="86"/>
  <c r="J206" i="86" s="1"/>
  <c r="I151" i="86"/>
  <c r="H151" i="86"/>
  <c r="H206" i="86" s="1"/>
  <c r="T150" i="86"/>
  <c r="S150" i="86"/>
  <c r="S205" i="86" s="1"/>
  <c r="R150" i="86"/>
  <c r="Q150" i="86"/>
  <c r="Q205" i="86" s="1"/>
  <c r="P150" i="86"/>
  <c r="O150" i="86"/>
  <c r="O205" i="86" s="1"/>
  <c r="N150" i="86"/>
  <c r="M150" i="86"/>
  <c r="M205" i="86" s="1"/>
  <c r="L150" i="86"/>
  <c r="K150" i="86"/>
  <c r="K205" i="86" s="1"/>
  <c r="J150" i="86"/>
  <c r="I150" i="86"/>
  <c r="I205" i="86" s="1"/>
  <c r="H150" i="86"/>
  <c r="T149" i="86"/>
  <c r="T204" i="86" s="1"/>
  <c r="S149" i="86"/>
  <c r="R149" i="86"/>
  <c r="R204" i="86" s="1"/>
  <c r="Q149" i="86"/>
  <c r="P149" i="86"/>
  <c r="P204" i="86" s="1"/>
  <c r="O149" i="86"/>
  <c r="N149" i="86"/>
  <c r="N204" i="86" s="1"/>
  <c r="M149" i="86"/>
  <c r="L149" i="86"/>
  <c r="L204" i="86" s="1"/>
  <c r="K149" i="86"/>
  <c r="J149" i="86"/>
  <c r="J204" i="86" s="1"/>
  <c r="I149" i="86"/>
  <c r="H149" i="86"/>
  <c r="H204" i="86" s="1"/>
  <c r="T145" i="86"/>
  <c r="S145" i="86"/>
  <c r="R145" i="86"/>
  <c r="Q145" i="86"/>
  <c r="P145" i="86"/>
  <c r="O145" i="86"/>
  <c r="N145" i="86"/>
  <c r="M145" i="86"/>
  <c r="L145" i="86"/>
  <c r="K145" i="86"/>
  <c r="J145" i="86"/>
  <c r="I145" i="86"/>
  <c r="H145" i="86"/>
  <c r="E47" i="21"/>
  <c r="I47" i="21"/>
  <c r="G47" i="21"/>
  <c r="O24" i="9"/>
  <c r="M24" i="9"/>
  <c r="G40" i="39"/>
  <c r="E40" i="39"/>
  <c r="G8" i="39"/>
  <c r="G7" i="39"/>
  <c r="E8" i="39"/>
  <c r="E7" i="39"/>
  <c r="G9" i="39"/>
  <c r="E9" i="39"/>
  <c r="I163" i="86" l="1"/>
  <c r="K163" i="86"/>
  <c r="M163" i="86"/>
  <c r="O163" i="86"/>
  <c r="Q163" i="86"/>
  <c r="H168" i="86"/>
  <c r="S163" i="86"/>
  <c r="J168" i="86"/>
  <c r="L168" i="86"/>
  <c r="N168" i="86"/>
  <c r="P168" i="86"/>
  <c r="R168" i="86"/>
  <c r="T168" i="86"/>
  <c r="H173" i="86"/>
  <c r="J173" i="86"/>
  <c r="L173" i="86"/>
  <c r="N173" i="86"/>
  <c r="P173" i="86"/>
  <c r="R173" i="86"/>
  <c r="H178" i="86"/>
  <c r="J178" i="86"/>
  <c r="L178" i="86"/>
  <c r="N178" i="86"/>
  <c r="P178" i="86"/>
  <c r="R178" i="86"/>
  <c r="T178" i="86"/>
  <c r="H183" i="86"/>
  <c r="J183" i="86"/>
  <c r="L183" i="86"/>
  <c r="N183" i="86"/>
  <c r="P183" i="86"/>
  <c r="R183" i="86"/>
  <c r="T183" i="86"/>
  <c r="H188" i="86"/>
  <c r="J188" i="86"/>
  <c r="L188" i="86"/>
  <c r="N188" i="86"/>
  <c r="P188" i="86"/>
  <c r="R188" i="86"/>
  <c r="T188" i="86"/>
  <c r="H193" i="86"/>
  <c r="J193" i="86"/>
  <c r="L193" i="86"/>
  <c r="N193" i="86"/>
  <c r="P193" i="86"/>
  <c r="R193" i="86"/>
  <c r="T193" i="86"/>
  <c r="I203" i="86"/>
  <c r="K203" i="86"/>
  <c r="M203" i="86"/>
  <c r="O203" i="86"/>
  <c r="Q203" i="86"/>
  <c r="S203" i="86"/>
  <c r="T173" i="86"/>
  <c r="U7" i="87"/>
  <c r="U11" i="87"/>
  <c r="U13" i="87" s="1"/>
  <c r="Y162" i="86"/>
  <c r="I158" i="86"/>
  <c r="K158" i="86"/>
  <c r="M158" i="86"/>
  <c r="O158" i="86"/>
  <c r="Q158" i="86"/>
  <c r="S158" i="86"/>
  <c r="T163" i="86"/>
  <c r="I168" i="86"/>
  <c r="K168" i="86"/>
  <c r="M168" i="86"/>
  <c r="O168" i="86"/>
  <c r="Q168" i="86"/>
  <c r="S168" i="86"/>
  <c r="I178" i="86"/>
  <c r="K178" i="86"/>
  <c r="M178" i="86"/>
  <c r="O178" i="86"/>
  <c r="Q178" i="86"/>
  <c r="S178" i="86"/>
  <c r="I183" i="86"/>
  <c r="K183" i="86"/>
  <c r="M183" i="86"/>
  <c r="O183" i="86"/>
  <c r="Q183" i="86"/>
  <c r="S183" i="86"/>
  <c r="I188" i="86"/>
  <c r="K188" i="86"/>
  <c r="M188" i="86"/>
  <c r="O188" i="86"/>
  <c r="Q188" i="86"/>
  <c r="S188" i="86"/>
  <c r="I193" i="86"/>
  <c r="K193" i="86"/>
  <c r="M193" i="86"/>
  <c r="O193" i="86"/>
  <c r="Q193" i="86"/>
  <c r="S193" i="86"/>
  <c r="I198" i="86"/>
  <c r="K198" i="86"/>
  <c r="M198" i="86"/>
  <c r="O198" i="86"/>
  <c r="Q198" i="86"/>
  <c r="S198" i="86"/>
  <c r="H198" i="86"/>
  <c r="J198" i="86"/>
  <c r="L198" i="86"/>
  <c r="N198" i="86"/>
  <c r="P198" i="86"/>
  <c r="R198" i="86"/>
  <c r="T198" i="86"/>
  <c r="H203" i="86"/>
  <c r="J203" i="86"/>
  <c r="L203" i="86"/>
  <c r="N203" i="86"/>
  <c r="P203" i="86"/>
  <c r="R203" i="86"/>
  <c r="T203" i="86"/>
  <c r="H163" i="86"/>
  <c r="J163" i="86"/>
  <c r="L163" i="86"/>
  <c r="N163" i="86"/>
  <c r="P163" i="86"/>
  <c r="R163" i="86"/>
  <c r="H158" i="86"/>
  <c r="J158" i="86"/>
  <c r="L158" i="86"/>
  <c r="N158" i="86"/>
  <c r="P158" i="86"/>
  <c r="R158" i="86"/>
  <c r="T158" i="86"/>
  <c r="I204" i="86"/>
  <c r="K204" i="86"/>
  <c r="M204" i="86"/>
  <c r="O204" i="86"/>
  <c r="Q204" i="86"/>
  <c r="S204" i="86"/>
  <c r="H205" i="86"/>
  <c r="H208" i="86" s="1"/>
  <c r="J205" i="86"/>
  <c r="L205" i="86"/>
  <c r="L208" i="86" s="1"/>
  <c r="N205" i="86"/>
  <c r="N208" i="86" s="1"/>
  <c r="P205" i="86"/>
  <c r="P208" i="86" s="1"/>
  <c r="R205" i="86"/>
  <c r="R208" i="86" s="1"/>
  <c r="T205" i="86"/>
  <c r="T208" i="86" s="1"/>
  <c r="I206" i="86"/>
  <c r="K206" i="86"/>
  <c r="M206" i="86"/>
  <c r="O206" i="86"/>
  <c r="Q206" i="86"/>
  <c r="S206" i="86"/>
  <c r="I153" i="86"/>
  <c r="K153" i="86"/>
  <c r="M153" i="86"/>
  <c r="O153" i="86"/>
  <c r="Q153" i="86"/>
  <c r="S153" i="86"/>
  <c r="I173" i="86"/>
  <c r="K173" i="86"/>
  <c r="M173" i="86"/>
  <c r="O173" i="86"/>
  <c r="Q173" i="86"/>
  <c r="S173" i="86"/>
  <c r="J208" i="86"/>
  <c r="H153" i="86"/>
  <c r="J153" i="86"/>
  <c r="L153" i="86"/>
  <c r="N153" i="86"/>
  <c r="P153" i="86"/>
  <c r="R153" i="86"/>
  <c r="T153" i="86"/>
  <c r="Q208" i="86" l="1"/>
  <c r="M208" i="86"/>
  <c r="I208" i="86"/>
  <c r="S208" i="86"/>
  <c r="O208" i="86"/>
  <c r="K208" i="86"/>
  <c r="G48" i="39" l="1"/>
  <c r="E48" i="39"/>
  <c r="D3" i="4"/>
  <c r="G17" i="4" l="1"/>
  <c r="I14" i="39" l="1"/>
  <c r="G45" i="39" l="1"/>
  <c r="G47" i="78"/>
  <c r="E45" i="39" l="1"/>
  <c r="I45" i="39" l="1"/>
  <c r="C45" i="39"/>
  <c r="I47" i="78" l="1"/>
  <c r="I7" i="78" l="1"/>
  <c r="V47" i="78"/>
  <c r="G7" i="78"/>
  <c r="E47" i="78"/>
  <c r="I7" i="21"/>
  <c r="G7" i="21"/>
  <c r="C145" i="78"/>
  <c r="J142" i="78"/>
  <c r="J140" i="78"/>
  <c r="K145" i="78" s="1"/>
  <c r="K139" i="78"/>
  <c r="B130" i="78"/>
  <c r="B128" i="78"/>
  <c r="B126" i="78"/>
  <c r="D125" i="78"/>
  <c r="E125" i="78" s="1"/>
  <c r="F125" i="78" s="1"/>
  <c r="G125" i="78" s="1"/>
  <c r="D123" i="78"/>
  <c r="E123" i="78" s="1"/>
  <c r="F123" i="78" s="1"/>
  <c r="G123" i="78" s="1"/>
  <c r="H123" i="78" s="1"/>
  <c r="I123" i="78" s="1"/>
  <c r="J123" i="78" s="1"/>
  <c r="K123" i="78" s="1"/>
  <c r="L123" i="78" s="1"/>
  <c r="M123" i="78" s="1"/>
  <c r="D119" i="78"/>
  <c r="E119" i="78" s="1"/>
  <c r="F119" i="78" s="1"/>
  <c r="G119" i="78" s="1"/>
  <c r="H119" i="78" s="1"/>
  <c r="I119" i="78" s="1"/>
  <c r="J119" i="78" s="1"/>
  <c r="K119" i="78" s="1"/>
  <c r="L119" i="78" s="1"/>
  <c r="M119" i="78" s="1"/>
  <c r="D117" i="78"/>
  <c r="E117" i="78" s="1"/>
  <c r="F117" i="78" s="1"/>
  <c r="G117" i="78" s="1"/>
  <c r="D115" i="78"/>
  <c r="E115" i="78" s="1"/>
  <c r="F115" i="78" s="1"/>
  <c r="G115" i="78" s="1"/>
  <c r="H115" i="78" s="1"/>
  <c r="I115" i="78" s="1"/>
  <c r="J115" i="78" s="1"/>
  <c r="K115" i="78" s="1"/>
  <c r="L115" i="78" s="1"/>
  <c r="M115" i="78" s="1"/>
  <c r="E113" i="78"/>
  <c r="F113" i="78" s="1"/>
  <c r="G113" i="78" s="1"/>
  <c r="H113" i="78" s="1"/>
  <c r="D113" i="78"/>
  <c r="H111" i="78"/>
  <c r="G111" i="78"/>
  <c r="F111" i="78"/>
  <c r="E111" i="78"/>
  <c r="D111" i="78"/>
  <c r="C111" i="78"/>
  <c r="E110" i="78"/>
  <c r="F110" i="78" s="1"/>
  <c r="G110" i="78" s="1"/>
  <c r="H110" i="78" s="1"/>
  <c r="I110" i="78" s="1"/>
  <c r="J110" i="78" s="1"/>
  <c r="K110" i="78" s="1"/>
  <c r="L110" i="78" s="1"/>
  <c r="M110" i="78" s="1"/>
  <c r="D110" i="78"/>
  <c r="E108" i="78"/>
  <c r="F108" i="78" s="1"/>
  <c r="G108" i="78" s="1"/>
  <c r="H108" i="78" s="1"/>
  <c r="I108" i="78" s="1"/>
  <c r="J108" i="78" s="1"/>
  <c r="K108" i="78" s="1"/>
  <c r="L108" i="78" s="1"/>
  <c r="M108" i="78" s="1"/>
  <c r="D108" i="78"/>
  <c r="E106" i="78"/>
  <c r="F106" i="78" s="1"/>
  <c r="G106" i="78" s="1"/>
  <c r="H106" i="78" s="1"/>
  <c r="I106" i="78" s="1"/>
  <c r="J106" i="78" s="1"/>
  <c r="K106" i="78" s="1"/>
  <c r="L106" i="78" s="1"/>
  <c r="M106" i="78" s="1"/>
  <c r="D106" i="78"/>
  <c r="M102" i="78"/>
  <c r="L102" i="78"/>
  <c r="K102" i="78"/>
  <c r="J102" i="78"/>
  <c r="I102" i="78"/>
  <c r="H102" i="78"/>
  <c r="G102" i="78"/>
  <c r="F102" i="78"/>
  <c r="E102" i="78"/>
  <c r="D102" i="78"/>
  <c r="C102" i="78"/>
  <c r="D101" i="78"/>
  <c r="E101" i="78" s="1"/>
  <c r="F101" i="78" s="1"/>
  <c r="G101" i="78" s="1"/>
  <c r="H101" i="78" s="1"/>
  <c r="I101" i="78" s="1"/>
  <c r="J101" i="78" s="1"/>
  <c r="K101" i="78" s="1"/>
  <c r="L101" i="78" s="1"/>
  <c r="M101" i="78" s="1"/>
  <c r="B98" i="78"/>
  <c r="B96" i="78"/>
  <c r="B94" i="78"/>
  <c r="B92" i="78"/>
  <c r="B90" i="78"/>
  <c r="E89" i="78"/>
  <c r="F89" i="78" s="1"/>
  <c r="G89" i="78" s="1"/>
  <c r="H89" i="78" s="1"/>
  <c r="I89" i="78" s="1"/>
  <c r="J89" i="78" s="1"/>
  <c r="K89" i="78" s="1"/>
  <c r="L89" i="78" s="1"/>
  <c r="M89" i="78" s="1"/>
  <c r="D89" i="78"/>
  <c r="M87" i="78"/>
  <c r="L87" i="78"/>
  <c r="K87" i="78"/>
  <c r="J87" i="78"/>
  <c r="I87" i="78"/>
  <c r="H87" i="78"/>
  <c r="G87" i="78"/>
  <c r="F87" i="78"/>
  <c r="E87" i="78"/>
  <c r="D87" i="78"/>
  <c r="E85" i="78"/>
  <c r="F85" i="78" s="1"/>
  <c r="G85" i="78" s="1"/>
  <c r="D85" i="78"/>
  <c r="E83" i="78"/>
  <c r="F83" i="78" s="1"/>
  <c r="G83" i="78" s="1"/>
  <c r="D83" i="78"/>
  <c r="D81" i="78"/>
  <c r="E81" i="78" s="1"/>
  <c r="D79" i="78"/>
  <c r="E79" i="78" s="1"/>
  <c r="F79" i="78" s="1"/>
  <c r="D77" i="78"/>
  <c r="E77" i="78" s="1"/>
  <c r="B74" i="78"/>
  <c r="B72" i="78"/>
  <c r="B70" i="78"/>
  <c r="D69" i="78"/>
  <c r="E69" i="78" s="1"/>
  <c r="F69" i="78" s="1"/>
  <c r="G69" i="78" s="1"/>
  <c r="H69" i="78" s="1"/>
  <c r="I69" i="78" s="1"/>
  <c r="J69" i="78" s="1"/>
  <c r="K69" i="78" s="1"/>
  <c r="L69" i="78" s="1"/>
  <c r="M69" i="78" s="1"/>
  <c r="M67" i="78"/>
  <c r="L67" i="78"/>
  <c r="K67" i="78"/>
  <c r="J67" i="78"/>
  <c r="I67" i="78"/>
  <c r="H67" i="78"/>
  <c r="G67" i="78"/>
  <c r="F67" i="78"/>
  <c r="E67" i="78"/>
  <c r="D67" i="78"/>
  <c r="C67" i="78"/>
  <c r="E66" i="78"/>
  <c r="F66" i="78" s="1"/>
  <c r="G66" i="78" s="1"/>
  <c r="H66" i="78" s="1"/>
  <c r="I66" i="78" s="1"/>
  <c r="D66" i="78"/>
  <c r="C63" i="78"/>
  <c r="P49" i="78"/>
  <c r="P48" i="78"/>
  <c r="K48" i="78"/>
  <c r="P47" i="78"/>
  <c r="Q46" i="78"/>
  <c r="Z46" i="78" s="1"/>
  <c r="J46" i="78"/>
  <c r="AC46" i="78" s="1"/>
  <c r="H46" i="78"/>
  <c r="AB46" i="78" s="1"/>
  <c r="F46" i="78"/>
  <c r="AA46" i="78" s="1"/>
  <c r="AC45" i="78"/>
  <c r="W45" i="78"/>
  <c r="Q45" i="78"/>
  <c r="Z45" i="78" s="1"/>
  <c r="J45" i="78"/>
  <c r="H45" i="78"/>
  <c r="AB45" i="78" s="1"/>
  <c r="F45" i="78"/>
  <c r="AA45" i="78" s="1"/>
  <c r="Q44" i="78"/>
  <c r="Z44" i="78" s="1"/>
  <c r="J44" i="78"/>
  <c r="H44" i="78"/>
  <c r="AB44" i="78" s="1"/>
  <c r="F44" i="78"/>
  <c r="AA44" i="78" s="1"/>
  <c r="Q43" i="78"/>
  <c r="Z43" i="78" s="1"/>
  <c r="J43" i="78"/>
  <c r="AC43" i="78" s="1"/>
  <c r="H43" i="78"/>
  <c r="AB43" i="78" s="1"/>
  <c r="F43" i="78"/>
  <c r="AA43" i="78" s="1"/>
  <c r="Q42" i="78"/>
  <c r="Z42" i="78" s="1"/>
  <c r="J42" i="78"/>
  <c r="AC42" i="78" s="1"/>
  <c r="H42" i="78"/>
  <c r="AB42" i="78" s="1"/>
  <c r="F42" i="78"/>
  <c r="AA42" i="78" s="1"/>
  <c r="Q41" i="78"/>
  <c r="Z41" i="78" s="1"/>
  <c r="J41" i="78"/>
  <c r="AC41" i="78" s="1"/>
  <c r="H41" i="78"/>
  <c r="AB41" i="78" s="1"/>
  <c r="F41" i="78"/>
  <c r="AA41" i="78" s="1"/>
  <c r="Q40" i="78"/>
  <c r="Z40" i="78" s="1"/>
  <c r="J40" i="78"/>
  <c r="AC40" i="78" s="1"/>
  <c r="H40" i="78"/>
  <c r="AB40" i="78" s="1"/>
  <c r="F40" i="78"/>
  <c r="AA40" i="78" s="1"/>
  <c r="Q39" i="78"/>
  <c r="Z39" i="78" s="1"/>
  <c r="J39" i="78"/>
  <c r="AC39" i="78" s="1"/>
  <c r="H39" i="78"/>
  <c r="AB39" i="78" s="1"/>
  <c r="F39" i="78"/>
  <c r="AA39" i="78" s="1"/>
  <c r="Q38" i="78"/>
  <c r="Z38" i="78" s="1"/>
  <c r="J38" i="78"/>
  <c r="AC38" i="78" s="1"/>
  <c r="H38" i="78"/>
  <c r="AB38" i="78" s="1"/>
  <c r="F38" i="78"/>
  <c r="AA38" i="78" s="1"/>
  <c r="Q37" i="78"/>
  <c r="Z37" i="78" s="1"/>
  <c r="J37" i="78"/>
  <c r="AC37" i="78" s="1"/>
  <c r="H37" i="78"/>
  <c r="AB37" i="78" s="1"/>
  <c r="F37" i="78"/>
  <c r="AA37" i="78" s="1"/>
  <c r="Q36" i="78"/>
  <c r="Z36" i="78" s="1"/>
  <c r="J36" i="78"/>
  <c r="AC36" i="78" s="1"/>
  <c r="H36" i="78"/>
  <c r="AB36" i="78" s="1"/>
  <c r="F36" i="78"/>
  <c r="AA36" i="78" s="1"/>
  <c r="Q35" i="78"/>
  <c r="Z35" i="78" s="1"/>
  <c r="J35" i="78"/>
  <c r="AC35" i="78" s="1"/>
  <c r="H35" i="78"/>
  <c r="AB35" i="78" s="1"/>
  <c r="F35" i="78"/>
  <c r="AA35" i="78" s="1"/>
  <c r="Q34" i="78"/>
  <c r="Z34" i="78" s="1"/>
  <c r="J34" i="78"/>
  <c r="AC34" i="78" s="1"/>
  <c r="H34" i="78"/>
  <c r="AB34" i="78" s="1"/>
  <c r="F34" i="78"/>
  <c r="AA34" i="78" s="1"/>
  <c r="Q33" i="78"/>
  <c r="Z33" i="78" s="1"/>
  <c r="J33" i="78"/>
  <c r="AC33" i="78" s="1"/>
  <c r="H33" i="78"/>
  <c r="AB33" i="78" s="1"/>
  <c r="F33" i="78"/>
  <c r="AA33" i="78" s="1"/>
  <c r="Q32" i="78"/>
  <c r="Z32" i="78" s="1"/>
  <c r="J32" i="78"/>
  <c r="AC32" i="78" s="1"/>
  <c r="H32" i="78"/>
  <c r="AB32" i="78" s="1"/>
  <c r="F32" i="78"/>
  <c r="AA32" i="78" s="1"/>
  <c r="Q31" i="78"/>
  <c r="Z31" i="78" s="1"/>
  <c r="J31" i="78"/>
  <c r="AC31" i="78" s="1"/>
  <c r="H31" i="78"/>
  <c r="AB31" i="78" s="1"/>
  <c r="F31" i="78"/>
  <c r="AA31" i="78" s="1"/>
  <c r="Q30" i="78"/>
  <c r="Z30" i="78" s="1"/>
  <c r="J30" i="78"/>
  <c r="AC30" i="78" s="1"/>
  <c r="H30" i="78"/>
  <c r="AB30" i="78" s="1"/>
  <c r="F30" i="78"/>
  <c r="AA30" i="78" s="1"/>
  <c r="Q29" i="78"/>
  <c r="Z29" i="78" s="1"/>
  <c r="J29" i="78"/>
  <c r="AC29" i="78" s="1"/>
  <c r="H29" i="78"/>
  <c r="AB29" i="78" s="1"/>
  <c r="F29" i="78"/>
  <c r="AA29" i="78" s="1"/>
  <c r="Q28" i="78"/>
  <c r="Z28" i="78" s="1"/>
  <c r="J28" i="78"/>
  <c r="AC28" i="78" s="1"/>
  <c r="H28" i="78"/>
  <c r="AB28" i="78" s="1"/>
  <c r="F28" i="78"/>
  <c r="AA28" i="78" s="1"/>
  <c r="Q27" i="78"/>
  <c r="Z27" i="78" s="1"/>
  <c r="J27" i="78"/>
  <c r="AC27" i="78" s="1"/>
  <c r="H27" i="78"/>
  <c r="AB27" i="78" s="1"/>
  <c r="F27" i="78"/>
  <c r="AA27" i="78" s="1"/>
  <c r="Q26" i="78"/>
  <c r="Z26" i="78" s="1"/>
  <c r="J26" i="78"/>
  <c r="AC26" i="78" s="1"/>
  <c r="H26" i="78"/>
  <c r="AB26" i="78" s="1"/>
  <c r="F26" i="78"/>
  <c r="AA26" i="78" s="1"/>
  <c r="Q25" i="78"/>
  <c r="Z25" i="78" s="1"/>
  <c r="J25" i="78"/>
  <c r="AC25" i="78" s="1"/>
  <c r="H25" i="78"/>
  <c r="AB25" i="78" s="1"/>
  <c r="F25" i="78"/>
  <c r="AA25" i="78" s="1"/>
  <c r="Q23" i="78"/>
  <c r="Z23" i="78" s="1"/>
  <c r="J23" i="78"/>
  <c r="AC23" i="78" s="1"/>
  <c r="H23" i="78"/>
  <c r="AB23" i="78" s="1"/>
  <c r="F23" i="78"/>
  <c r="AA23" i="78" s="1"/>
  <c r="C23" i="78"/>
  <c r="Q21" i="78"/>
  <c r="Z21" i="78" s="1"/>
  <c r="J21" i="78"/>
  <c r="AC21" i="78" s="1"/>
  <c r="H21" i="78"/>
  <c r="AB21" i="78" s="1"/>
  <c r="F21" i="78"/>
  <c r="AA21" i="78" s="1"/>
  <c r="C21" i="78"/>
  <c r="Q19" i="78"/>
  <c r="Z19" i="78" s="1"/>
  <c r="C19" i="78"/>
  <c r="Q17" i="78"/>
  <c r="Z17" i="78" s="1"/>
  <c r="C17" i="78"/>
  <c r="Q15" i="78"/>
  <c r="Z15" i="78" s="1"/>
  <c r="C15" i="78"/>
  <c r="Q14" i="78"/>
  <c r="Z14" i="78" s="1"/>
  <c r="J14" i="78"/>
  <c r="AC14" i="78" s="1"/>
  <c r="H14" i="78"/>
  <c r="AB14" i="78" s="1"/>
  <c r="F14" i="78"/>
  <c r="AA14" i="78" s="1"/>
  <c r="Q13" i="78"/>
  <c r="Z13" i="78" s="1"/>
  <c r="J13" i="78"/>
  <c r="AC13" i="78" s="1"/>
  <c r="H13" i="78"/>
  <c r="AB13" i="78" s="1"/>
  <c r="F13" i="78"/>
  <c r="AA13" i="78" s="1"/>
  <c r="Q12" i="78"/>
  <c r="Z12" i="78" s="1"/>
  <c r="J12" i="78"/>
  <c r="AC12" i="78" s="1"/>
  <c r="H12" i="78"/>
  <c r="AB12" i="78" s="1"/>
  <c r="F12" i="78"/>
  <c r="AA12" i="78" s="1"/>
  <c r="Q11" i="78"/>
  <c r="Z11" i="78" s="1"/>
  <c r="J11" i="78"/>
  <c r="AC11" i="78" s="1"/>
  <c r="H11" i="78"/>
  <c r="AB11" i="78" s="1"/>
  <c r="F11" i="78"/>
  <c r="AA11" i="78" s="1"/>
  <c r="Q10" i="78"/>
  <c r="Z10" i="78" s="1"/>
  <c r="J10" i="78"/>
  <c r="AC10" i="78" s="1"/>
  <c r="H10" i="78"/>
  <c r="AB10" i="78" s="1"/>
  <c r="F10" i="78"/>
  <c r="AA10" i="78" s="1"/>
  <c r="Q9" i="78"/>
  <c r="Z9" i="78" s="1"/>
  <c r="J9" i="78"/>
  <c r="AC9" i="78" s="1"/>
  <c r="H9" i="78"/>
  <c r="AB9" i="78" s="1"/>
  <c r="F9" i="78"/>
  <c r="AA9" i="78" s="1"/>
  <c r="J8" i="78"/>
  <c r="W8" i="78" s="1"/>
  <c r="H8" i="78"/>
  <c r="AB8" i="78" s="1"/>
  <c r="F8" i="78"/>
  <c r="S8" i="78" s="1"/>
  <c r="G24" i="6"/>
  <c r="N6" i="12" s="1"/>
  <c r="F23" i="6"/>
  <c r="F22" i="6"/>
  <c r="F21" i="6"/>
  <c r="F20" i="6"/>
  <c r="T5" i="31"/>
  <c r="F4" i="31"/>
  <c r="E4" i="31"/>
  <c r="D4" i="31"/>
  <c r="C4" i="31"/>
  <c r="F3" i="31"/>
  <c r="E3" i="31"/>
  <c r="D3" i="31"/>
  <c r="C3" i="31"/>
  <c r="P75" i="77"/>
  <c r="Q73" i="77"/>
  <c r="P62" i="77"/>
  <c r="Q60" i="77"/>
  <c r="D60" i="77"/>
  <c r="Q59" i="77"/>
  <c r="K59" i="77"/>
  <c r="F58" i="77"/>
  <c r="Q52" i="77"/>
  <c r="J50" i="77"/>
  <c r="J51" i="77" s="1"/>
  <c r="M47" i="77"/>
  <c r="L46" i="77" s="1"/>
  <c r="F33" i="77"/>
  <c r="F60" i="77" s="1"/>
  <c r="F31" i="77"/>
  <c r="F23" i="77"/>
  <c r="D24" i="77" s="1"/>
  <c r="F21" i="77"/>
  <c r="F20" i="77"/>
  <c r="M19" i="77"/>
  <c r="F18" i="77"/>
  <c r="M17" i="77"/>
  <c r="F17" i="77"/>
  <c r="F15" i="77"/>
  <c r="F19" i="6"/>
  <c r="D73" i="39"/>
  <c r="E73" i="39" s="1"/>
  <c r="F73" i="39" s="1"/>
  <c r="G73" i="39" s="1"/>
  <c r="H73" i="39" s="1"/>
  <c r="I73" i="39" s="1"/>
  <c r="J73" i="39" s="1"/>
  <c r="K73" i="39" s="1"/>
  <c r="L73" i="39" s="1"/>
  <c r="M73" i="39" s="1"/>
  <c r="N73" i="39" s="1"/>
  <c r="B5" i="4"/>
  <c r="B7" i="4"/>
  <c r="D22" i="77" l="1"/>
  <c r="D23" i="77"/>
  <c r="F81" i="78"/>
  <c r="H19" i="78" s="1"/>
  <c r="AB19" i="78" s="1"/>
  <c r="G79" i="78"/>
  <c r="J17" i="78"/>
  <c r="AC17" i="78" s="1"/>
  <c r="F17" i="78"/>
  <c r="AA17" i="78" s="1"/>
  <c r="H17" i="78"/>
  <c r="AB17" i="78" s="1"/>
  <c r="F77" i="78"/>
  <c r="H15" i="78" s="1"/>
  <c r="AB15" i="78" s="1"/>
  <c r="G54" i="78"/>
  <c r="H54" i="78" s="1"/>
  <c r="T47" i="78"/>
  <c r="U8" i="78"/>
  <c r="AA8" i="78"/>
  <c r="AC8" i="78"/>
  <c r="U9" i="78"/>
  <c r="S10" i="78"/>
  <c r="W10" i="78"/>
  <c r="U11" i="78"/>
  <c r="S12" i="78"/>
  <c r="W12" i="78"/>
  <c r="U13" i="78"/>
  <c r="S14" i="78"/>
  <c r="W14" i="78"/>
  <c r="S9" i="78"/>
  <c r="W9" i="78"/>
  <c r="U10" i="78"/>
  <c r="S11" i="78"/>
  <c r="W11" i="78"/>
  <c r="U12" i="78"/>
  <c r="S13" i="78"/>
  <c r="W13" i="78"/>
  <c r="U14" i="78"/>
  <c r="W17" i="78"/>
  <c r="S21" i="78"/>
  <c r="W21" i="78"/>
  <c r="S23" i="78"/>
  <c r="W23" i="78"/>
  <c r="U25" i="78"/>
  <c r="S26" i="78"/>
  <c r="W26" i="78"/>
  <c r="U27" i="78"/>
  <c r="S28" i="78"/>
  <c r="W28" i="78"/>
  <c r="U29" i="78"/>
  <c r="S30" i="78"/>
  <c r="W30" i="78"/>
  <c r="U31" i="78"/>
  <c r="S32" i="78"/>
  <c r="W32" i="78"/>
  <c r="U33" i="78"/>
  <c r="S34" i="78"/>
  <c r="W34" i="78"/>
  <c r="U35" i="78"/>
  <c r="S36" i="78"/>
  <c r="W36" i="78"/>
  <c r="U37" i="78"/>
  <c r="S38" i="78"/>
  <c r="W38" i="78"/>
  <c r="U39" i="78"/>
  <c r="S40" i="78"/>
  <c r="W40" i="78"/>
  <c r="U41" i="78"/>
  <c r="S42" i="78"/>
  <c r="W42" i="78"/>
  <c r="U43" i="78"/>
  <c r="AC44" i="78"/>
  <c r="W44" i="78"/>
  <c r="S44" i="78"/>
  <c r="S45" i="78"/>
  <c r="U46" i="78"/>
  <c r="U21" i="78"/>
  <c r="U23" i="78"/>
  <c r="S25" i="78"/>
  <c r="W25" i="78"/>
  <c r="U26" i="78"/>
  <c r="S27" i="78"/>
  <c r="W27" i="78"/>
  <c r="U28" i="78"/>
  <c r="S29" i="78"/>
  <c r="W29" i="78"/>
  <c r="U30" i="78"/>
  <c r="S31" i="78"/>
  <c r="W31" i="78"/>
  <c r="U32" i="78"/>
  <c r="S33" i="78"/>
  <c r="W33" i="78"/>
  <c r="U34" i="78"/>
  <c r="S35" i="78"/>
  <c r="W35" i="78"/>
  <c r="U36" i="78"/>
  <c r="S37" i="78"/>
  <c r="W37" i="78"/>
  <c r="U38" i="78"/>
  <c r="S39" i="78"/>
  <c r="W39" i="78"/>
  <c r="U40" i="78"/>
  <c r="S41" i="78"/>
  <c r="W41" i="78"/>
  <c r="U42" i="78"/>
  <c r="S43" i="78"/>
  <c r="W43" i="78"/>
  <c r="U44" i="78"/>
  <c r="I54" i="78"/>
  <c r="J54" i="78" s="1"/>
  <c r="E54" i="78"/>
  <c r="F54" i="78" s="1"/>
  <c r="R47" i="78"/>
  <c r="U45" i="78"/>
  <c r="S46" i="78"/>
  <c r="W46" i="78"/>
  <c r="K141" i="78"/>
  <c r="K143" i="78"/>
  <c r="K144" i="78"/>
  <c r="AH5" i="59"/>
  <c r="AG5" i="59"/>
  <c r="AE5" i="59"/>
  <c r="AF5" i="59" s="1"/>
  <c r="AD5" i="59"/>
  <c r="Q5" i="59"/>
  <c r="P5" i="59"/>
  <c r="O5" i="59"/>
  <c r="N5" i="59"/>
  <c r="U17" i="78" l="1"/>
  <c r="G81" i="78"/>
  <c r="J19" i="78"/>
  <c r="F19" i="78"/>
  <c r="U19" i="78"/>
  <c r="S17" i="78"/>
  <c r="G77" i="78"/>
  <c r="J15" i="78"/>
  <c r="F15" i="78"/>
  <c r="U15" i="78"/>
  <c r="C16" i="11"/>
  <c r="C15" i="11"/>
  <c r="C14" i="11"/>
  <c r="C9" i="11"/>
  <c r="C8" i="11"/>
  <c r="AC19" i="78" l="1"/>
  <c r="W19" i="78"/>
  <c r="AA19" i="78"/>
  <c r="S19" i="78"/>
  <c r="AC15" i="78"/>
  <c r="W15" i="78"/>
  <c r="AA15" i="78"/>
  <c r="S15" i="78"/>
  <c r="K36" i="36"/>
  <c r="K38" i="35"/>
  <c r="K42" i="37"/>
  <c r="K49" i="34"/>
  <c r="K48" i="33" l="1"/>
  <c r="K48" i="21"/>
  <c r="K44" i="40" l="1"/>
  <c r="K49" i="39"/>
  <c r="E77" i="9"/>
  <c r="F77" i="9"/>
  <c r="AH6" i="59" l="1"/>
  <c r="AG6" i="59"/>
  <c r="AE6" i="59"/>
  <c r="AF6" i="59" s="1"/>
  <c r="AD6" i="59"/>
  <c r="Q6" i="59"/>
  <c r="AB5" i="59" s="1"/>
  <c r="P6" i="59"/>
  <c r="AA5" i="59" s="1"/>
  <c r="O6" i="59"/>
  <c r="Y5" i="59" s="1"/>
  <c r="Z5" i="59" s="1"/>
  <c r="N6" i="59"/>
  <c r="X5" i="59" s="1"/>
  <c r="A21" i="31" l="1"/>
  <c r="C109" i="9" l="1"/>
  <c r="V8" i="59" l="1"/>
  <c r="U8" i="59"/>
  <c r="T8" i="59"/>
  <c r="S8" i="59"/>
  <c r="AH7" i="59" l="1"/>
  <c r="AG7" i="59"/>
  <c r="AE7" i="59"/>
  <c r="AF7" i="59" s="1"/>
  <c r="AD7" i="59"/>
  <c r="Q7" i="59"/>
  <c r="AB6" i="59" s="1"/>
  <c r="P7" i="59"/>
  <c r="AA6" i="59" s="1"/>
  <c r="O7" i="59"/>
  <c r="Y6" i="59" s="1"/>
  <c r="Z6" i="59" s="1"/>
  <c r="N7" i="59"/>
  <c r="X6" i="59" s="1"/>
  <c r="Q9" i="59" l="1"/>
  <c r="AB9" i="59"/>
  <c r="P9" i="59"/>
  <c r="AA9" i="59"/>
  <c r="O9" i="59"/>
  <c r="Y9" i="59"/>
  <c r="N9" i="59"/>
  <c r="X9" i="59"/>
  <c r="X8" i="59"/>
  <c r="AH8" i="59"/>
  <c r="AG8" i="59"/>
  <c r="AE8" i="59"/>
  <c r="AF8" i="59" s="1"/>
  <c r="AD8" i="59"/>
  <c r="Q8" i="59"/>
  <c r="AB7" i="59" s="1"/>
  <c r="P8" i="59"/>
  <c r="AA7" i="59" s="1"/>
  <c r="O8" i="59"/>
  <c r="N8" i="59"/>
  <c r="F9" i="59"/>
  <c r="F8" i="59"/>
  <c r="F7" i="59" s="1"/>
  <c r="F6" i="59" s="1"/>
  <c r="F5" i="59" s="1"/>
  <c r="E9" i="59"/>
  <c r="C9" i="59"/>
  <c r="C8" i="59"/>
  <c r="C7" i="59" s="1"/>
  <c r="B9" i="59"/>
  <c r="AH9" i="59"/>
  <c r="AG9" i="59"/>
  <c r="AE9" i="59"/>
  <c r="AF9" i="59"/>
  <c r="AD9" i="59"/>
  <c r="Q10" i="59"/>
  <c r="Q11" i="59"/>
  <c r="P10" i="59"/>
  <c r="P11" i="59"/>
  <c r="O10" i="59"/>
  <c r="O11" i="59"/>
  <c r="Z9" i="59"/>
  <c r="N10" i="59"/>
  <c r="N11" i="59"/>
  <c r="F11" i="59"/>
  <c r="F10" i="59"/>
  <c r="E11" i="59"/>
  <c r="E10" i="59"/>
  <c r="C11" i="59"/>
  <c r="C10" i="59"/>
  <c r="D9" i="59"/>
  <c r="B11" i="59"/>
  <c r="B10" i="59"/>
  <c r="AH10" i="59"/>
  <c r="AG10" i="59"/>
  <c r="AE10" i="59"/>
  <c r="AF10" i="59"/>
  <c r="AD10" i="59"/>
  <c r="F25" i="12"/>
  <c r="AH11" i="59"/>
  <c r="AG11" i="59"/>
  <c r="AE11" i="59"/>
  <c r="AF11" i="59"/>
  <c r="AD11" i="59"/>
  <c r="AB10" i="59"/>
  <c r="AA10" i="59"/>
  <c r="Y10" i="59"/>
  <c r="X10" i="59"/>
  <c r="M15" i="49"/>
  <c r="L15" i="49"/>
  <c r="K15" i="49"/>
  <c r="J15" i="49"/>
  <c r="I15" i="49"/>
  <c r="H15" i="49"/>
  <c r="G15" i="49"/>
  <c r="F15" i="49"/>
  <c r="E15" i="49"/>
  <c r="D15" i="49"/>
  <c r="C15" i="49"/>
  <c r="B15" i="49"/>
  <c r="AH12" i="59"/>
  <c r="AG12" i="59"/>
  <c r="AF12" i="59"/>
  <c r="AE12" i="59"/>
  <c r="AD12" i="59"/>
  <c r="Q12" i="59"/>
  <c r="P12" i="59"/>
  <c r="O12" i="59"/>
  <c r="N12" i="59"/>
  <c r="L3" i="59"/>
  <c r="AH3" i="59" s="1"/>
  <c r="K3" i="59"/>
  <c r="AG3" i="59" s="1"/>
  <c r="J3" i="59"/>
  <c r="AE3" i="59" s="1"/>
  <c r="AF3" i="59" s="1"/>
  <c r="I3" i="59"/>
  <c r="AD3" i="59" s="1"/>
  <c r="AH13" i="59"/>
  <c r="AG13" i="59"/>
  <c r="AE13" i="59"/>
  <c r="AF13" i="59"/>
  <c r="AD13" i="59"/>
  <c r="Q13" i="59"/>
  <c r="Q14" i="59"/>
  <c r="P13" i="59"/>
  <c r="P14" i="59"/>
  <c r="AA13" i="59"/>
  <c r="O13" i="59"/>
  <c r="O14" i="59"/>
  <c r="N13" i="59"/>
  <c r="N14" i="59"/>
  <c r="X13" i="59"/>
  <c r="AH14" i="59"/>
  <c r="AG14" i="59"/>
  <c r="AE14" i="59"/>
  <c r="AF14" i="59"/>
  <c r="AD14" i="59"/>
  <c r="Q15" i="59"/>
  <c r="P15" i="59"/>
  <c r="O15" i="59"/>
  <c r="N15" i="59"/>
  <c r="M19" i="46"/>
  <c r="J50" i="15"/>
  <c r="J51" i="15" s="1"/>
  <c r="D17" i="59"/>
  <c r="AH15" i="59"/>
  <c r="AG15" i="59"/>
  <c r="AE15" i="59"/>
  <c r="AF15" i="59"/>
  <c r="AD15" i="59"/>
  <c r="AE16" i="59"/>
  <c r="AF16" i="59"/>
  <c r="AG16" i="59"/>
  <c r="AH16" i="59"/>
  <c r="AD16" i="59"/>
  <c r="Q16" i="59"/>
  <c r="AB15" i="59"/>
  <c r="P16" i="59"/>
  <c r="AA15" i="59"/>
  <c r="O16" i="59"/>
  <c r="Y15" i="59"/>
  <c r="Z15" i="59"/>
  <c r="N16" i="59"/>
  <c r="X15" i="59"/>
  <c r="N17" i="59"/>
  <c r="Q17" i="59"/>
  <c r="P17" i="59"/>
  <c r="O17" i="59"/>
  <c r="K59" i="15"/>
  <c r="P62" i="15" s="1"/>
  <c r="Q74" i="44"/>
  <c r="Q61" i="44"/>
  <c r="Q60" i="44"/>
  <c r="Q53" i="44"/>
  <c r="J51" i="44"/>
  <c r="J52" i="44"/>
  <c r="M48" i="44"/>
  <c r="A16" i="55"/>
  <c r="A15" i="55"/>
  <c r="B66" i="63" s="1"/>
  <c r="A14" i="55"/>
  <c r="A10" i="55"/>
  <c r="B61" i="63"/>
  <c r="A9" i="55"/>
  <c r="B60" i="63"/>
  <c r="A8" i="55"/>
  <c r="A6" i="54"/>
  <c r="A8" i="54"/>
  <c r="A7" i="54"/>
  <c r="A28" i="51"/>
  <c r="N4" i="63" s="1"/>
  <c r="A27" i="51"/>
  <c r="B20" i="63" s="1"/>
  <c r="Q18" i="59"/>
  <c r="AB16" i="59"/>
  <c r="O18" i="59"/>
  <c r="Y16" i="59"/>
  <c r="Z16" i="59"/>
  <c r="N19" i="59"/>
  <c r="O19" i="59"/>
  <c r="P19" i="59"/>
  <c r="Q19" i="59"/>
  <c r="N18" i="59"/>
  <c r="X16" i="59"/>
  <c r="P18" i="59"/>
  <c r="B20" i="59"/>
  <c r="C20" i="59"/>
  <c r="D20" i="59"/>
  <c r="E20" i="59"/>
  <c r="F20" i="59"/>
  <c r="K75" i="9"/>
  <c r="K6" i="4"/>
  <c r="O76" i="9" s="1"/>
  <c r="L76" i="9"/>
  <c r="E16" i="66"/>
  <c r="F16" i="66"/>
  <c r="E17" i="66"/>
  <c r="F17" i="66"/>
  <c r="E18" i="66"/>
  <c r="F18" i="66"/>
  <c r="E19" i="66"/>
  <c r="F19" i="66"/>
  <c r="E20" i="66"/>
  <c r="F20" i="66"/>
  <c r="E21" i="66"/>
  <c r="F21" i="66"/>
  <c r="E22" i="66"/>
  <c r="F22" i="66"/>
  <c r="E23" i="66"/>
  <c r="F23" i="66"/>
  <c r="B3" i="66"/>
  <c r="V20" i="59"/>
  <c r="U20" i="59"/>
  <c r="T20" i="59"/>
  <c r="S20" i="59"/>
  <c r="B19" i="59"/>
  <c r="B18" i="59"/>
  <c r="B16" i="59"/>
  <c r="B15" i="59"/>
  <c r="B14" i="59"/>
  <c r="E19" i="59"/>
  <c r="E18" i="59"/>
  <c r="E16" i="59"/>
  <c r="E15" i="59"/>
  <c r="E14" i="59"/>
  <c r="E13" i="59"/>
  <c r="E12" i="59"/>
  <c r="C19" i="59"/>
  <c r="F19" i="59"/>
  <c r="F18" i="59"/>
  <c r="F16" i="59"/>
  <c r="V16" i="59"/>
  <c r="U16" i="59"/>
  <c r="S16" i="59"/>
  <c r="D19" i="59"/>
  <c r="C18"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F31" i="59"/>
  <c r="AD31" i="59"/>
  <c r="AD32" i="59"/>
  <c r="AE32" i="59"/>
  <c r="AF32" i="59"/>
  <c r="AG32" i="59"/>
  <c r="AH32"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D18" i="59"/>
  <c r="S2" i="31"/>
  <c r="M2" i="31"/>
  <c r="N2" i="31"/>
  <c r="O2" i="31"/>
  <c r="P2" i="31"/>
  <c r="Q2" i="31"/>
  <c r="R2" i="31"/>
  <c r="C16" i="59"/>
  <c r="C15" i="59"/>
  <c r="C3" i="65"/>
  <c r="C1" i="65"/>
  <c r="N1" i="65" s="1"/>
  <c r="T16" i="59"/>
  <c r="D16"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s="1"/>
  <c r="K39" i="9"/>
  <c r="K40" i="9"/>
  <c r="B58" i="63"/>
  <c r="B53" i="63"/>
  <c r="B51" i="63"/>
  <c r="A46" i="9"/>
  <c r="K41" i="9" s="1"/>
  <c r="B8" i="63"/>
  <c r="A21" i="55"/>
  <c r="B71" i="63"/>
  <c r="A20" i="55"/>
  <c r="B69" i="63" s="1"/>
  <c r="B26" i="63"/>
  <c r="B28" i="63"/>
  <c r="B29" i="63"/>
  <c r="B31" i="63"/>
  <c r="B33" i="63"/>
  <c r="B35" i="63"/>
  <c r="B36" i="63"/>
  <c r="B37" i="63"/>
  <c r="B63" i="63"/>
  <c r="B64" i="63"/>
  <c r="B68" i="63"/>
  <c r="D51" i="10"/>
  <c r="B59" i="63"/>
  <c r="B10" i="63"/>
  <c r="B51" i="10"/>
  <c r="B17" i="63"/>
  <c r="A15" i="51"/>
  <c r="B12" i="63" s="1"/>
  <c r="A14" i="51"/>
  <c r="B11" i="63"/>
  <c r="A4" i="55"/>
  <c r="B57" i="63"/>
  <c r="B41" i="63"/>
  <c r="G5" i="54"/>
  <c r="B34" i="63" s="1"/>
  <c r="E5" i="54"/>
  <c r="B32" i="63" s="1"/>
  <c r="R2" i="54"/>
  <c r="B24" i="63"/>
  <c r="B49" i="50"/>
  <c r="B5" i="63"/>
  <c r="B40" i="50"/>
  <c r="B3" i="63" s="1"/>
  <c r="B21" i="63"/>
  <c r="B67" i="63"/>
  <c r="I19" i="46"/>
  <c r="Q20" i="59"/>
  <c r="P20" i="59"/>
  <c r="O20" i="59"/>
  <c r="N20" i="59"/>
  <c r="D81" i="59"/>
  <c r="F80" i="59"/>
  <c r="E80" i="59"/>
  <c r="E79" i="59"/>
  <c r="E78" i="59"/>
  <c r="C80" i="59"/>
  <c r="D80" i="59"/>
  <c r="B80" i="59"/>
  <c r="F79" i="59"/>
  <c r="F78" i="59"/>
  <c r="B79" i="59"/>
  <c r="B78" i="59"/>
  <c r="D77" i="59"/>
  <c r="F76" i="59"/>
  <c r="E76" i="59"/>
  <c r="E75" i="59"/>
  <c r="E74" i="59"/>
  <c r="C76" i="59"/>
  <c r="D76" i="59"/>
  <c r="B76" i="59"/>
  <c r="F75" i="59"/>
  <c r="F74" i="59"/>
  <c r="B75" i="59"/>
  <c r="B74" i="59"/>
  <c r="D73" i="59"/>
  <c r="Q72" i="59"/>
  <c r="P72" i="59"/>
  <c r="O72" i="59"/>
  <c r="N72" i="59"/>
  <c r="F72" i="59"/>
  <c r="V72" i="59"/>
  <c r="E72" i="59"/>
  <c r="U72" i="59"/>
  <c r="C72" i="59"/>
  <c r="T72" i="59"/>
  <c r="B72" i="59"/>
  <c r="S72" i="59"/>
  <c r="Q71" i="59"/>
  <c r="P71" i="59"/>
  <c r="O71" i="59"/>
  <c r="N71" i="59"/>
  <c r="F71" i="59"/>
  <c r="F70" i="59"/>
  <c r="B71" i="59"/>
  <c r="B70" i="59"/>
  <c r="Q70" i="59"/>
  <c r="P70" i="59"/>
  <c r="O70" i="59"/>
  <c r="N70" i="59"/>
  <c r="Q69" i="59"/>
  <c r="P69" i="59"/>
  <c r="O69" i="59"/>
  <c r="N69" i="59"/>
  <c r="D69" i="59"/>
  <c r="Q68" i="59"/>
  <c r="P68" i="59"/>
  <c r="O68" i="59"/>
  <c r="N68" i="59"/>
  <c r="F68" i="59"/>
  <c r="V68" i="59"/>
  <c r="E68" i="59"/>
  <c r="U68" i="59"/>
  <c r="C68" i="59"/>
  <c r="T68" i="59"/>
  <c r="B68" i="59"/>
  <c r="S68" i="59"/>
  <c r="Q67" i="59"/>
  <c r="P67" i="59"/>
  <c r="O67" i="59"/>
  <c r="N67" i="59"/>
  <c r="F67" i="59"/>
  <c r="F66" i="59"/>
  <c r="B67" i="59"/>
  <c r="B66" i="59"/>
  <c r="Q66" i="59"/>
  <c r="P66" i="59"/>
  <c r="O66" i="59"/>
  <c r="N66" i="59"/>
  <c r="Q65" i="59"/>
  <c r="P65" i="59"/>
  <c r="O65" i="59"/>
  <c r="N65"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F60" i="59"/>
  <c r="V60" i="59"/>
  <c r="E60" i="59"/>
  <c r="E59" i="59"/>
  <c r="P59" i="59"/>
  <c r="C60" i="59"/>
  <c r="B60" i="59"/>
  <c r="N60" i="59"/>
  <c r="F59" i="59"/>
  <c r="F58" i="59"/>
  <c r="Q58" i="59"/>
  <c r="B59" i="59"/>
  <c r="Q57" i="59"/>
  <c r="D57" i="59"/>
  <c r="Q56" i="59"/>
  <c r="P56" i="59"/>
  <c r="O56" i="59"/>
  <c r="N56" i="59"/>
  <c r="Q55" i="59"/>
  <c r="P55" i="59"/>
  <c r="O55" i="59"/>
  <c r="N55" i="59"/>
  <c r="Q54" i="59"/>
  <c r="P54" i="59"/>
  <c r="O54" i="59"/>
  <c r="N54" i="59"/>
  <c r="Q53" i="59"/>
  <c r="F54" i="59"/>
  <c r="P53" i="59"/>
  <c r="E54" i="59"/>
  <c r="E55" i="59"/>
  <c r="E56" i="59"/>
  <c r="U56" i="59"/>
  <c r="O53" i="59"/>
  <c r="C54" i="59"/>
  <c r="N53" i="59"/>
  <c r="B54" i="59"/>
  <c r="B55" i="59"/>
  <c r="B56" i="59"/>
  <c r="S56" i="59"/>
  <c r="D53" i="59"/>
  <c r="Q52" i="59"/>
  <c r="P52" i="59"/>
  <c r="O52" i="59"/>
  <c r="N52" i="59"/>
  <c r="Q51" i="59"/>
  <c r="P51" i="59"/>
  <c r="O51" i="59"/>
  <c r="N51" i="59"/>
  <c r="Q50" i="59"/>
  <c r="P50" i="59"/>
  <c r="O50" i="59"/>
  <c r="N50" i="59"/>
  <c r="Q49" i="59"/>
  <c r="F50" i="59"/>
  <c r="P49" i="59"/>
  <c r="E50" i="59"/>
  <c r="E51" i="59"/>
  <c r="E52" i="59"/>
  <c r="U52" i="59"/>
  <c r="O49" i="59"/>
  <c r="C50" i="59"/>
  <c r="N49" i="59"/>
  <c r="B50" i="59"/>
  <c r="B51" i="59"/>
  <c r="B52" i="59"/>
  <c r="S52"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F43" i="59"/>
  <c r="F44" i="59"/>
  <c r="V44" i="59"/>
  <c r="P41" i="59"/>
  <c r="E42" i="59"/>
  <c r="O41" i="59"/>
  <c r="C42" i="59"/>
  <c r="N41" i="59"/>
  <c r="B42" i="59"/>
  <c r="D41" i="59"/>
  <c r="T40" i="59"/>
  <c r="Q40" i="59"/>
  <c r="P40" i="59"/>
  <c r="O40" i="59"/>
  <c r="N40" i="59"/>
  <c r="D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Q33" i="59"/>
  <c r="F34" i="59"/>
  <c r="P33" i="59"/>
  <c r="E34" i="59"/>
  <c r="E35" i="59"/>
  <c r="E36" i="59"/>
  <c r="U36" i="59"/>
  <c r="O33" i="59"/>
  <c r="C34" i="59"/>
  <c r="N33" i="59"/>
  <c r="B34" i="59"/>
  <c r="B35" i="59"/>
  <c r="B36" i="59"/>
  <c r="S36" i="59"/>
  <c r="D33" i="59"/>
  <c r="Q32" i="59"/>
  <c r="P32" i="59"/>
  <c r="O32" i="59"/>
  <c r="N32" i="59"/>
  <c r="Q31" i="59"/>
  <c r="AB31" i="59"/>
  <c r="P31" i="59"/>
  <c r="O31" i="59"/>
  <c r="Y31" i="59"/>
  <c r="Z31" i="59"/>
  <c r="N31" i="59"/>
  <c r="X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Q21" i="59"/>
  <c r="F22" i="59"/>
  <c r="P21" i="59"/>
  <c r="O21" i="59"/>
  <c r="C22" i="59"/>
  <c r="N21" i="59"/>
  <c r="B22" i="59"/>
  <c r="D21" i="59"/>
  <c r="X3" i="59"/>
  <c r="X17" i="59"/>
  <c r="X18" i="59"/>
  <c r="X19" i="59"/>
  <c r="X20" i="59"/>
  <c r="AA3" i="59"/>
  <c r="AA17" i="59"/>
  <c r="AA18" i="59"/>
  <c r="AA19" i="59"/>
  <c r="AA20" i="59"/>
  <c r="Y17" i="59"/>
  <c r="Z17" i="59"/>
  <c r="Y18" i="59"/>
  <c r="Z18" i="59"/>
  <c r="Y19" i="59"/>
  <c r="Z19" i="59"/>
  <c r="Y20" i="59"/>
  <c r="Z20" i="59"/>
  <c r="AB20" i="59"/>
  <c r="AB3" i="59"/>
  <c r="AB17" i="59"/>
  <c r="AB18" i="59"/>
  <c r="AB19" i="59"/>
  <c r="B23" i="59"/>
  <c r="B24" i="59"/>
  <c r="S24" i="59"/>
  <c r="E22" i="59"/>
  <c r="E23" i="59"/>
  <c r="E24" i="59"/>
  <c r="U24" i="59"/>
  <c r="B43" i="59"/>
  <c r="B44" i="59"/>
  <c r="S44" i="59"/>
  <c r="E43" i="59"/>
  <c r="E44" i="59"/>
  <c r="U44" i="59"/>
  <c r="S60" i="59"/>
  <c r="Z30" i="59"/>
  <c r="AA31" i="59"/>
  <c r="F23" i="59"/>
  <c r="F24" i="59"/>
  <c r="V24" i="59"/>
  <c r="F27" i="59"/>
  <c r="F28" i="59"/>
  <c r="V28" i="59"/>
  <c r="F31" i="59"/>
  <c r="F32" i="59"/>
  <c r="V32" i="59"/>
  <c r="F35" i="59"/>
  <c r="F36" i="59"/>
  <c r="V36" i="59"/>
  <c r="F39" i="59"/>
  <c r="F40" i="59"/>
  <c r="V40" i="59"/>
  <c r="F47" i="59"/>
  <c r="F48" i="59"/>
  <c r="V48" i="59"/>
  <c r="F51" i="59"/>
  <c r="F52" i="59"/>
  <c r="V52" i="59"/>
  <c r="F55" i="59"/>
  <c r="F56" i="59"/>
  <c r="V56" i="59"/>
  <c r="C23" i="59"/>
  <c r="D22" i="59"/>
  <c r="C31" i="59"/>
  <c r="D30" i="59"/>
  <c r="C35" i="59"/>
  <c r="D34" i="59"/>
  <c r="C39" i="59"/>
  <c r="D39" i="59"/>
  <c r="D38" i="59"/>
  <c r="C43" i="59"/>
  <c r="D42" i="59"/>
  <c r="C47" i="59"/>
  <c r="D46" i="59"/>
  <c r="C51" i="59"/>
  <c r="D50" i="59"/>
  <c r="C55" i="59"/>
  <c r="D54" i="59"/>
  <c r="C27" i="59"/>
  <c r="D26" i="59"/>
  <c r="E58" i="59"/>
  <c r="N59" i="59"/>
  <c r="B58" i="59"/>
  <c r="Q59" i="59"/>
  <c r="T60" i="59"/>
  <c r="O60" i="59"/>
  <c r="D60" i="59"/>
  <c r="C59" i="59"/>
  <c r="P60" i="59"/>
  <c r="U60" i="59"/>
  <c r="Q60" i="59"/>
  <c r="C63" i="59"/>
  <c r="E63" i="59"/>
  <c r="E62" i="59"/>
  <c r="D64" i="59"/>
  <c r="C67" i="59"/>
  <c r="E67" i="59"/>
  <c r="E66" i="59"/>
  <c r="D68" i="59"/>
  <c r="C71" i="59"/>
  <c r="E71" i="59"/>
  <c r="E70" i="59"/>
  <c r="D72" i="59"/>
  <c r="C75" i="59"/>
  <c r="C79" i="59"/>
  <c r="U16" i="4"/>
  <c r="S16" i="4"/>
  <c r="Q16" i="4"/>
  <c r="O16" i="4"/>
  <c r="M16" i="4"/>
  <c r="K16" i="4"/>
  <c r="P57" i="59"/>
  <c r="P58" i="59"/>
  <c r="D79" i="59"/>
  <c r="C78" i="59"/>
  <c r="D78" i="59"/>
  <c r="D71" i="59"/>
  <c r="C70" i="59"/>
  <c r="D70" i="59"/>
  <c r="D63" i="59"/>
  <c r="C62" i="59"/>
  <c r="D62" i="59"/>
  <c r="C58" i="59"/>
  <c r="O59" i="59"/>
  <c r="D59" i="59"/>
  <c r="D75" i="59"/>
  <c r="C74" i="59"/>
  <c r="D74" i="59"/>
  <c r="D67" i="59"/>
  <c r="C66" i="59"/>
  <c r="D66" i="59"/>
  <c r="N57" i="59"/>
  <c r="N58" i="59"/>
  <c r="C28" i="59"/>
  <c r="D27" i="59"/>
  <c r="C56" i="59"/>
  <c r="D55" i="59"/>
  <c r="D51" i="59"/>
  <c r="C52" i="59"/>
  <c r="C48" i="59"/>
  <c r="D47" i="59"/>
  <c r="C44" i="59"/>
  <c r="D43" i="59"/>
  <c r="C36" i="59"/>
  <c r="D35" i="59"/>
  <c r="C32" i="59"/>
  <c r="D31" i="59"/>
  <c r="C24" i="59"/>
  <c r="D23" i="59"/>
  <c r="N16" i="4"/>
  <c r="T52" i="59"/>
  <c r="D52" i="59"/>
  <c r="T24" i="59"/>
  <c r="D24" i="59"/>
  <c r="T32" i="59"/>
  <c r="D32" i="59"/>
  <c r="T36" i="59"/>
  <c r="D36" i="59"/>
  <c r="T44" i="59"/>
  <c r="D44" i="59"/>
  <c r="T48" i="59"/>
  <c r="D48" i="59"/>
  <c r="T56" i="59"/>
  <c r="D56" i="59"/>
  <c r="T28" i="59"/>
  <c r="D28" i="59"/>
  <c r="O58" i="59"/>
  <c r="D58" i="59"/>
  <c r="O57" i="59"/>
  <c r="O27" i="6"/>
  <c r="N27" i="6"/>
  <c r="P26" i="6"/>
  <c r="L26" i="6"/>
  <c r="P25" i="6"/>
  <c r="L25" i="6"/>
  <c r="P24" i="6"/>
  <c r="L24" i="6"/>
  <c r="P23" i="6"/>
  <c r="L23" i="6"/>
  <c r="P22" i="6"/>
  <c r="P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F83" i="21" s="1"/>
  <c r="G83" i="21" s="1"/>
  <c r="F21" i="21"/>
  <c r="AA21" i="21" s="1"/>
  <c r="C21" i="21"/>
  <c r="Z27" i="40"/>
  <c r="Q27" i="40"/>
  <c r="D96" i="40"/>
  <c r="E96" i="40"/>
  <c r="F27" i="40"/>
  <c r="AA27" i="40"/>
  <c r="Z31" i="39"/>
  <c r="Q31" i="39"/>
  <c r="D105" i="39"/>
  <c r="E105" i="39" s="1"/>
  <c r="F105" i="39" s="1"/>
  <c r="G105" i="39" s="1"/>
  <c r="F31" i="39"/>
  <c r="AA31" i="39" s="1"/>
  <c r="G20" i="20"/>
  <c r="B85" i="46"/>
  <c r="C22" i="20"/>
  <c r="B65" i="46"/>
  <c r="S18" i="36"/>
  <c r="S18" i="35"/>
  <c r="S21" i="37"/>
  <c r="S21" i="34"/>
  <c r="S27" i="40"/>
  <c r="C27" i="40"/>
  <c r="C31" i="39"/>
  <c r="B54" i="46"/>
  <c r="B74" i="46"/>
  <c r="E66" i="36"/>
  <c r="H18" i="35"/>
  <c r="J18" i="35"/>
  <c r="H21" i="37"/>
  <c r="J21" i="37"/>
  <c r="E84" i="34"/>
  <c r="F84" i="34"/>
  <c r="G84" i="34"/>
  <c r="J21" i="34"/>
  <c r="H21" i="34"/>
  <c r="F21" i="33"/>
  <c r="H21" i="33"/>
  <c r="J21" i="33"/>
  <c r="H21" i="21"/>
  <c r="J21" i="21"/>
  <c r="F96" i="40"/>
  <c r="H27" i="40"/>
  <c r="H31" i="39"/>
  <c r="F23" i="15"/>
  <c r="D22" i="15" s="1"/>
  <c r="G17" i="11"/>
  <c r="F15" i="15"/>
  <c r="F17" i="15"/>
  <c r="F18" i="15"/>
  <c r="F20" i="15"/>
  <c r="F21" i="15"/>
  <c r="F33" i="15"/>
  <c r="F60" i="15" s="1"/>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s="1"/>
  <c r="F6" i="31" s="1"/>
  <c r="G6" i="31" s="1"/>
  <c r="H6" i="31" s="1"/>
  <c r="I6" i="31" s="1"/>
  <c r="J6" i="31" s="1"/>
  <c r="K6" i="31" s="1"/>
  <c r="L6" i="31" s="1"/>
  <c r="M6" i="31" s="1"/>
  <c r="N6" i="31" s="1"/>
  <c r="O6" i="31" s="1"/>
  <c r="P6" i="31" s="1"/>
  <c r="Q6" i="31" s="1"/>
  <c r="R6" i="31" s="1"/>
  <c r="S6" i="31" s="1"/>
  <c r="F12" i="1"/>
  <c r="AP12" i="1" s="1"/>
  <c r="F13" i="1"/>
  <c r="AP13" i="1" s="1"/>
  <c r="D11" i="1"/>
  <c r="D12" i="1"/>
  <c r="D13" i="1"/>
  <c r="D6" i="1"/>
  <c r="D7" i="1"/>
  <c r="D8" i="1"/>
  <c r="D9" i="1"/>
  <c r="D10" i="1"/>
  <c r="B2" i="1"/>
  <c r="C7" i="78" s="1"/>
  <c r="C58" i="78" s="1"/>
  <c r="C42" i="1"/>
  <c r="A12" i="1"/>
  <c r="R12" i="1"/>
  <c r="A13" i="1"/>
  <c r="B13" i="1"/>
  <c r="E13" i="1"/>
  <c r="A7" i="1"/>
  <c r="A8" i="1"/>
  <c r="A9" i="1"/>
  <c r="A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s="1"/>
  <c r="AZ25" i="3" s="1"/>
  <c r="BK25" i="3"/>
  <c r="BJ25" i="3"/>
  <c r="BI25" i="3"/>
  <c r="BH25" i="3"/>
  <c r="BG25" i="3"/>
  <c r="BF25" i="3"/>
  <c r="BE25" i="3"/>
  <c r="BD25" i="3"/>
  <c r="BC25" i="3"/>
  <c r="BB25" i="3"/>
  <c r="BA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s="1"/>
  <c r="AZ21" i="3" s="1"/>
  <c r="BK21" i="3"/>
  <c r="BJ21" i="3"/>
  <c r="BI21" i="3"/>
  <c r="BH21" i="3"/>
  <c r="BG21" i="3"/>
  <c r="BF21" i="3"/>
  <c r="BE21" i="3"/>
  <c r="BD21" i="3"/>
  <c r="BC21" i="3"/>
  <c r="BB21" i="3"/>
  <c r="BA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45" i="21"/>
  <c r="J142" i="21"/>
  <c r="J140" i="21"/>
  <c r="K145" i="21"/>
  <c r="K139" i="21"/>
  <c r="M87" i="21"/>
  <c r="L87" i="21"/>
  <c r="K87" i="21"/>
  <c r="J87" i="21"/>
  <c r="I87" i="21"/>
  <c r="H87" i="21"/>
  <c r="G87" i="21"/>
  <c r="F87" i="21"/>
  <c r="E87" i="21"/>
  <c r="D87" i="21"/>
  <c r="G2" i="46"/>
  <c r="H17" i="46"/>
  <c r="G19" i="46"/>
  <c r="R28" i="31"/>
  <c r="S28" i="31" s="1"/>
  <c r="R29" i="31"/>
  <c r="S29" i="31" s="1"/>
  <c r="R30" i="31"/>
  <c r="S30" i="31" s="1"/>
  <c r="R31" i="31"/>
  <c r="R32" i="31"/>
  <c r="S32" i="31" s="1"/>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R52" i="31"/>
  <c r="S52" i="31" s="1"/>
  <c r="R53" i="31"/>
  <c r="S53" i="31" s="1"/>
  <c r="R54" i="31"/>
  <c r="S54" i="31" s="1"/>
  <c r="R55" i="31"/>
  <c r="S55" i="31" s="1"/>
  <c r="R56" i="31"/>
  <c r="S56" i="31" s="1"/>
  <c r="R57" i="31"/>
  <c r="R58" i="31"/>
  <c r="S58" i="31" s="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S74" i="31" s="1"/>
  <c r="R75" i="31"/>
  <c r="S75" i="31" s="1"/>
  <c r="R76" i="31"/>
  <c r="S76" i="31" s="1"/>
  <c r="R77" i="31"/>
  <c r="R78" i="31"/>
  <c r="S78" i="31" s="1"/>
  <c r="R79" i="31"/>
  <c r="S79" i="31" s="1"/>
  <c r="R80" i="31"/>
  <c r="S80" i="31" s="1"/>
  <c r="R81" i="31"/>
  <c r="R82" i="31"/>
  <c r="S82" i="31" s="1"/>
  <c r="R83" i="31"/>
  <c r="S83" i="31" s="1"/>
  <c r="R84" i="31"/>
  <c r="S84" i="31" s="1"/>
  <c r="R85" i="31"/>
  <c r="R86" i="31"/>
  <c r="S86" i="31" s="1"/>
  <c r="R87" i="31"/>
  <c r="S87" i="31" s="1"/>
  <c r="R88" i="31"/>
  <c r="S88" i="31" s="1"/>
  <c r="R89" i="31"/>
  <c r="R90" i="31"/>
  <c r="S90" i="31" s="1"/>
  <c r="R91" i="31"/>
  <c r="S91" i="31" s="1"/>
  <c r="R92" i="31"/>
  <c r="S92" i="31" s="1"/>
  <c r="R93" i="31"/>
  <c r="R94" i="31"/>
  <c r="S94" i="31" s="1"/>
  <c r="R95" i="31"/>
  <c r="S95" i="31" s="1"/>
  <c r="R96" i="31"/>
  <c r="S96" i="31" s="1"/>
  <c r="R97" i="31"/>
  <c r="R98" i="31"/>
  <c r="S98" i="31" s="1"/>
  <c r="R99" i="31"/>
  <c r="R100" i="31"/>
  <c r="S100" i="31" s="1"/>
  <c r="R101" i="31"/>
  <c r="S101" i="31" s="1"/>
  <c r="R102" i="31"/>
  <c r="S102" i="31" s="1"/>
  <c r="R103" i="31"/>
  <c r="R104" i="31"/>
  <c r="S104" i="31" s="1"/>
  <c r="R105" i="31"/>
  <c r="S105" i="31" s="1"/>
  <c r="R106" i="31"/>
  <c r="S106" i="31" s="1"/>
  <c r="R107" i="31"/>
  <c r="R108" i="31"/>
  <c r="S108" i="31" s="1"/>
  <c r="R109" i="31"/>
  <c r="S109" i="31" s="1"/>
  <c r="R110" i="31"/>
  <c r="S110" i="31" s="1"/>
  <c r="R111" i="31"/>
  <c r="R112" i="31"/>
  <c r="S112" i="31" s="1"/>
  <c r="R113" i="31"/>
  <c r="S113" i="31" s="1"/>
  <c r="R114" i="31"/>
  <c r="S114" i="31" s="1"/>
  <c r="R115" i="31"/>
  <c r="S115" i="31" s="1"/>
  <c r="R116" i="31"/>
  <c r="S116" i="31" s="1"/>
  <c r="R117" i="31"/>
  <c r="R118" i="31"/>
  <c r="S118" i="31" s="1"/>
  <c r="R119" i="31"/>
  <c r="S119" i="31" s="1"/>
  <c r="R120" i="31"/>
  <c r="S120" i="31" s="1"/>
  <c r="R121" i="31"/>
  <c r="S121" i="31" s="1"/>
  <c r="R122" i="31"/>
  <c r="S122" i="31" s="1"/>
  <c r="R123" i="31"/>
  <c r="S123" i="31" s="1"/>
  <c r="R124" i="31"/>
  <c r="S124" i="31" s="1"/>
  <c r="R125" i="31"/>
  <c r="R126" i="31"/>
  <c r="S126" i="31" s="1"/>
  <c r="R127" i="31"/>
  <c r="S127" i="31" s="1"/>
  <c r="R128" i="31"/>
  <c r="S128" i="31" s="1"/>
  <c r="R129" i="31"/>
  <c r="S129" i="31" s="1"/>
  <c r="R130" i="31"/>
  <c r="S130" i="31" s="1"/>
  <c r="R131" i="31"/>
  <c r="S131" i="31" s="1"/>
  <c r="R132" i="31"/>
  <c r="S132" i="31" s="1"/>
  <c r="R133" i="31"/>
  <c r="R134" i="31"/>
  <c r="S134" i="31" s="1"/>
  <c r="R135" i="31"/>
  <c r="S135" i="31" s="1"/>
  <c r="R136" i="31"/>
  <c r="S136" i="31" s="1"/>
  <c r="R137" i="31"/>
  <c r="S137" i="31" s="1"/>
  <c r="R138" i="31"/>
  <c r="S138" i="31" s="1"/>
  <c r="R139" i="31"/>
  <c r="S139" i="31" s="1"/>
  <c r="R140" i="31"/>
  <c r="S140" i="31" s="1"/>
  <c r="R141" i="31"/>
  <c r="R142" i="31"/>
  <c r="S142" i="31" s="1"/>
  <c r="R143" i="31"/>
  <c r="S143" i="31" s="1"/>
  <c r="R144" i="31"/>
  <c r="S144" i="31" s="1"/>
  <c r="R145" i="31"/>
  <c r="S145" i="31" s="1"/>
  <c r="R146" i="31"/>
  <c r="S146" i="31" s="1"/>
  <c r="R147" i="31"/>
  <c r="S147" i="31" s="1"/>
  <c r="R148" i="31"/>
  <c r="S148" i="31" s="1"/>
  <c r="R149" i="31"/>
  <c r="R150" i="31"/>
  <c r="S150" i="31" s="1"/>
  <c r="R151" i="31"/>
  <c r="S151" i="31" s="1"/>
  <c r="R152" i="31"/>
  <c r="S152" i="31" s="1"/>
  <c r="R153" i="31"/>
  <c r="S153" i="31" s="1"/>
  <c r="R154" i="31"/>
  <c r="S154" i="31" s="1"/>
  <c r="R155" i="31"/>
  <c r="S155" i="31" s="1"/>
  <c r="R156" i="31"/>
  <c r="S156" i="31" s="1"/>
  <c r="R157" i="31"/>
  <c r="R158" i="31"/>
  <c r="S158" i="31" s="1"/>
  <c r="R159" i="31"/>
  <c r="S159" i="31" s="1"/>
  <c r="R160" i="31"/>
  <c r="S160" i="31" s="1"/>
  <c r="R161" i="31"/>
  <c r="S161" i="31" s="1"/>
  <c r="R162" i="31"/>
  <c r="S162" i="31" s="1"/>
  <c r="R163" i="31"/>
  <c r="S163" i="31" s="1"/>
  <c r="R164" i="31"/>
  <c r="S164" i="31" s="1"/>
  <c r="R165" i="31"/>
  <c r="R166" i="31"/>
  <c r="S166" i="31" s="1"/>
  <c r="R167" i="31"/>
  <c r="S167" i="31" s="1"/>
  <c r="R168" i="31"/>
  <c r="S168" i="31" s="1"/>
  <c r="R169" i="31"/>
  <c r="S169" i="31" s="1"/>
  <c r="R170" i="31"/>
  <c r="S170" i="31" s="1"/>
  <c r="R171" i="31"/>
  <c r="S171" i="31" s="1"/>
  <c r="R172" i="31"/>
  <c r="S172" i="31" s="1"/>
  <c r="R173" i="31"/>
  <c r="R174" i="31"/>
  <c r="S174" i="31" s="1"/>
  <c r="R175" i="31"/>
  <c r="S175" i="31" s="1"/>
  <c r="R176" i="31"/>
  <c r="S176" i="31" s="1"/>
  <c r="R177" i="31"/>
  <c r="S177" i="31" s="1"/>
  <c r="R178" i="31"/>
  <c r="S178" i="31" s="1"/>
  <c r="R179" i="31"/>
  <c r="S179" i="31" s="1"/>
  <c r="R180" i="31"/>
  <c r="S180" i="31" s="1"/>
  <c r="R181" i="31"/>
  <c r="R182" i="31"/>
  <c r="S182" i="31" s="1"/>
  <c r="R183" i="31"/>
  <c r="S183" i="31" s="1"/>
  <c r="R184" i="31"/>
  <c r="S184" i="31" s="1"/>
  <c r="R185" i="31"/>
  <c r="S185" i="31" s="1"/>
  <c r="R186" i="31"/>
  <c r="S186" i="31" s="1"/>
  <c r="R187" i="31"/>
  <c r="S187" i="31" s="1"/>
  <c r="R188" i="31"/>
  <c r="S188" i="31" s="1"/>
  <c r="R189" i="31"/>
  <c r="R190" i="31"/>
  <c r="S190" i="31" s="1"/>
  <c r="R191" i="31"/>
  <c r="S191" i="31" s="1"/>
  <c r="R192" i="31"/>
  <c r="S192" i="31" s="1"/>
  <c r="R193" i="31"/>
  <c r="S193" i="31" s="1"/>
  <c r="R194" i="31"/>
  <c r="S194" i="31" s="1"/>
  <c r="R195" i="31"/>
  <c r="S195" i="31" s="1"/>
  <c r="R196" i="31"/>
  <c r="S196" i="31" s="1"/>
  <c r="R197" i="31"/>
  <c r="R198" i="31"/>
  <c r="S198" i="31" s="1"/>
  <c r="R199" i="31"/>
  <c r="S199" i="31" s="1"/>
  <c r="R200" i="31"/>
  <c r="S200" i="31" s="1"/>
  <c r="R201" i="31"/>
  <c r="S201" i="31" s="1"/>
  <c r="R202" i="31"/>
  <c r="S202" i="31" s="1"/>
  <c r="R203" i="31"/>
  <c r="S203" i="31" s="1"/>
  <c r="R204" i="31"/>
  <c r="S204" i="31" s="1"/>
  <c r="R205" i="31"/>
  <c r="R206" i="31"/>
  <c r="S206" i="31" s="1"/>
  <c r="R207" i="31"/>
  <c r="S207" i="31" s="1"/>
  <c r="R208" i="31"/>
  <c r="S208" i="31" s="1"/>
  <c r="R209" i="31"/>
  <c r="S209" i="31" s="1"/>
  <c r="R210" i="31"/>
  <c r="S210" i="31" s="1"/>
  <c r="R211" i="31"/>
  <c r="S211" i="31" s="1"/>
  <c r="R212" i="31"/>
  <c r="S212" i="31" s="1"/>
  <c r="R213" i="31"/>
  <c r="R214" i="31"/>
  <c r="S214" i="31" s="1"/>
  <c r="R215" i="31"/>
  <c r="S215" i="31" s="1"/>
  <c r="R216" i="31"/>
  <c r="S216" i="31" s="1"/>
  <c r="R217" i="31"/>
  <c r="S217" i="31" s="1"/>
  <c r="R218" i="31"/>
  <c r="S218" i="31" s="1"/>
  <c r="R219" i="31"/>
  <c r="S219" i="31" s="1"/>
  <c r="R220" i="31"/>
  <c r="S220" i="31" s="1"/>
  <c r="R221" i="31"/>
  <c r="R222" i="31"/>
  <c r="S222" i="31" s="1"/>
  <c r="R223" i="31"/>
  <c r="R224" i="31"/>
  <c r="S224" i="31" s="1"/>
  <c r="R225" i="31"/>
  <c r="R226" i="31"/>
  <c r="S226" i="31" s="1"/>
  <c r="R227" i="31"/>
  <c r="R228" i="31"/>
  <c r="S228" i="31" s="1"/>
  <c r="R229" i="31"/>
  <c r="R230" i="31"/>
  <c r="S230" i="31" s="1"/>
  <c r="R231" i="31"/>
  <c r="R232" i="31"/>
  <c r="S232" i="31" s="1"/>
  <c r="R233" i="31"/>
  <c r="R234" i="31"/>
  <c r="S234" i="31" s="1"/>
  <c r="R235" i="31"/>
  <c r="R236" i="31"/>
  <c r="S236" i="31" s="1"/>
  <c r="R237" i="31"/>
  <c r="R238" i="31"/>
  <c r="S238" i="31" s="1"/>
  <c r="R239" i="31"/>
  <c r="R240" i="31"/>
  <c r="S240" i="31" s="1"/>
  <c r="R241" i="31"/>
  <c r="R242" i="31"/>
  <c r="S242" i="31" s="1"/>
  <c r="R243" i="31"/>
  <c r="R244" i="31"/>
  <c r="S244" i="31" s="1"/>
  <c r="R245" i="31"/>
  <c r="R246" i="31"/>
  <c r="S246" i="31" s="1"/>
  <c r="R247" i="31"/>
  <c r="R248" i="31"/>
  <c r="S248" i="31" s="1"/>
  <c r="R249" i="31"/>
  <c r="R250" i="31"/>
  <c r="S250" i="31" s="1"/>
  <c r="R251" i="31"/>
  <c r="R252" i="31"/>
  <c r="S252" i="31" s="1"/>
  <c r="R253" i="31"/>
  <c r="R254" i="31"/>
  <c r="S254" i="31" s="1"/>
  <c r="R255" i="31"/>
  <c r="R256" i="31"/>
  <c r="S256" i="31" s="1"/>
  <c r="R257" i="31"/>
  <c r="S257" i="31" s="1"/>
  <c r="R258" i="31"/>
  <c r="S258" i="31" s="1"/>
  <c r="R259" i="31"/>
  <c r="S259" i="31" s="1"/>
  <c r="R260" i="31"/>
  <c r="S260" i="31" s="1"/>
  <c r="R261" i="31"/>
  <c r="S261" i="31" s="1"/>
  <c r="R262" i="31"/>
  <c r="S262" i="31" s="1"/>
  <c r="R263" i="31"/>
  <c r="R264" i="31"/>
  <c r="S264" i="31" s="1"/>
  <c r="R265" i="31"/>
  <c r="S265" i="31" s="1"/>
  <c r="R266" i="31"/>
  <c r="S266" i="31" s="1"/>
  <c r="R267" i="31"/>
  <c r="S267" i="31" s="1"/>
  <c r="R268" i="31"/>
  <c r="S268" i="31" s="1"/>
  <c r="R269" i="31"/>
  <c r="S269" i="31" s="1"/>
  <c r="R270" i="31"/>
  <c r="S270" i="31" s="1"/>
  <c r="R271" i="31"/>
  <c r="R272" i="31"/>
  <c r="S272" i="31" s="1"/>
  <c r="R273" i="31"/>
  <c r="S273" i="31" s="1"/>
  <c r="R274" i="31"/>
  <c r="S274" i="31" s="1"/>
  <c r="R275" i="31"/>
  <c r="S275" i="31" s="1"/>
  <c r="R276" i="31"/>
  <c r="S276" i="31" s="1"/>
  <c r="R277" i="31"/>
  <c r="S277" i="31" s="1"/>
  <c r="R278" i="31"/>
  <c r="S278" i="31" s="1"/>
  <c r="R279" i="31"/>
  <c r="R280" i="31"/>
  <c r="S280" i="31" s="1"/>
  <c r="R281" i="31"/>
  <c r="S281" i="31" s="1"/>
  <c r="R282" i="31"/>
  <c r="S282" i="31" s="1"/>
  <c r="R283" i="31"/>
  <c r="S283" i="31" s="1"/>
  <c r="R284" i="31"/>
  <c r="S284" i="31" s="1"/>
  <c r="R285" i="31"/>
  <c r="S285" i="31" s="1"/>
  <c r="R286" i="31"/>
  <c r="S286" i="31" s="1"/>
  <c r="R287" i="31"/>
  <c r="R288" i="31"/>
  <c r="S288" i="31" s="1"/>
  <c r="R289" i="31"/>
  <c r="S289" i="31" s="1"/>
  <c r="R290" i="31"/>
  <c r="S290" i="31" s="1"/>
  <c r="R291" i="31"/>
  <c r="S291" i="31" s="1"/>
  <c r="R292" i="31"/>
  <c r="S292" i="31" s="1"/>
  <c r="R293" i="31"/>
  <c r="S293" i="31" s="1"/>
  <c r="R294" i="31"/>
  <c r="S294" i="31" s="1"/>
  <c r="R295" i="31"/>
  <c r="R296" i="31"/>
  <c r="S296" i="31" s="1"/>
  <c r="R297" i="31"/>
  <c r="S297" i="31" s="1"/>
  <c r="R298" i="31"/>
  <c r="S298" i="31" s="1"/>
  <c r="R299" i="31"/>
  <c r="S299" i="31" s="1"/>
  <c r="R300" i="31"/>
  <c r="S300" i="31" s="1"/>
  <c r="R301" i="31"/>
  <c r="S301" i="31" s="1"/>
  <c r="R302" i="31"/>
  <c r="S302" i="31" s="1"/>
  <c r="R303" i="31"/>
  <c r="R304" i="31"/>
  <c r="S304" i="31" s="1"/>
  <c r="R305" i="31"/>
  <c r="S305" i="31" s="1"/>
  <c r="R306" i="31"/>
  <c r="S306" i="31" s="1"/>
  <c r="R307" i="31"/>
  <c r="S307" i="31" s="1"/>
  <c r="R308" i="31"/>
  <c r="S308" i="31" s="1"/>
  <c r="R309" i="31"/>
  <c r="S309" i="31" s="1"/>
  <c r="R310" i="31"/>
  <c r="S310" i="31" s="1"/>
  <c r="R311" i="31"/>
  <c r="R312" i="31"/>
  <c r="S312" i="31" s="1"/>
  <c r="R313" i="31"/>
  <c r="S313" i="31" s="1"/>
  <c r="R314" i="31"/>
  <c r="S314" i="31" s="1"/>
  <c r="R315" i="31"/>
  <c r="S315" i="31" s="1"/>
  <c r="R316" i="31"/>
  <c r="S316" i="31" s="1"/>
  <c r="R317" i="31"/>
  <c r="S317" i="31" s="1"/>
  <c r="R318" i="31"/>
  <c r="S318" i="31" s="1"/>
  <c r="R319" i="31"/>
  <c r="R320" i="31"/>
  <c r="S320" i="31" s="1"/>
  <c r="R321" i="31"/>
  <c r="S321" i="31" s="1"/>
  <c r="R322" i="31"/>
  <c r="S322" i="31" s="1"/>
  <c r="R323" i="31"/>
  <c r="S323" i="31" s="1"/>
  <c r="R324" i="31"/>
  <c r="S324" i="31" s="1"/>
  <c r="R325" i="31"/>
  <c r="R326" i="31"/>
  <c r="S326" i="31" s="1"/>
  <c r="R327" i="31"/>
  <c r="S327" i="31" s="1"/>
  <c r="R328" i="31"/>
  <c r="S328" i="31" s="1"/>
  <c r="R329" i="31"/>
  <c r="S329" i="31" s="1"/>
  <c r="R330" i="31"/>
  <c r="S330" i="31" s="1"/>
  <c r="R331" i="31"/>
  <c r="S331" i="31" s="1"/>
  <c r="R332" i="31"/>
  <c r="S332" i="31" s="1"/>
  <c r="R333" i="31"/>
  <c r="R334" i="31"/>
  <c r="S334" i="31" s="1"/>
  <c r="R335" i="31"/>
  <c r="S335" i="31" s="1"/>
  <c r="R336" i="31"/>
  <c r="S336" i="31" s="1"/>
  <c r="R337" i="31"/>
  <c r="S337" i="31" s="1"/>
  <c r="R338" i="31"/>
  <c r="S338" i="31" s="1"/>
  <c r="R339" i="31"/>
  <c r="S339" i="31" s="1"/>
  <c r="R340" i="31"/>
  <c r="S340" i="31" s="1"/>
  <c r="R341" i="31"/>
  <c r="R342" i="31"/>
  <c r="S342" i="31" s="1"/>
  <c r="R343" i="31"/>
  <c r="S343" i="31" s="1"/>
  <c r="R344" i="31"/>
  <c r="S344" i="31" s="1"/>
  <c r="R345" i="31"/>
  <c r="S345" i="31" s="1"/>
  <c r="R346" i="31"/>
  <c r="S346" i="31" s="1"/>
  <c r="R347" i="31"/>
  <c r="S347" i="31" s="1"/>
  <c r="R348" i="31"/>
  <c r="S348" i="31" s="1"/>
  <c r="R349" i="31"/>
  <c r="R350" i="31"/>
  <c r="S350" i="31" s="1"/>
  <c r="R351" i="31"/>
  <c r="S351" i="31" s="1"/>
  <c r="R352" i="31"/>
  <c r="S352" i="31" s="1"/>
  <c r="R353" i="31"/>
  <c r="S353" i="31" s="1"/>
  <c r="R354" i="31"/>
  <c r="S354" i="31" s="1"/>
  <c r="R355" i="31"/>
  <c r="S355" i="31" s="1"/>
  <c r="R356" i="31"/>
  <c r="S356" i="31" s="1"/>
  <c r="R357" i="31"/>
  <c r="R358" i="31"/>
  <c r="S358" i="31" s="1"/>
  <c r="R359" i="31"/>
  <c r="S359" i="31" s="1"/>
  <c r="R360" i="31"/>
  <c r="S360" i="31" s="1"/>
  <c r="R361" i="31"/>
  <c r="S361" i="31" s="1"/>
  <c r="R362" i="31"/>
  <c r="S362" i="31" s="1"/>
  <c r="R363" i="31"/>
  <c r="S363" i="31" s="1"/>
  <c r="R364" i="31"/>
  <c r="S364" i="31" s="1"/>
  <c r="R365" i="31"/>
  <c r="R366" i="31"/>
  <c r="S366" i="31" s="1"/>
  <c r="R367" i="31"/>
  <c r="S367" i="31" s="1"/>
  <c r="R368" i="31"/>
  <c r="S368" i="31" s="1"/>
  <c r="R369" i="31"/>
  <c r="S369" i="31" s="1"/>
  <c r="R370" i="31"/>
  <c r="S370" i="31" s="1"/>
  <c r="R371" i="31"/>
  <c r="S371" i="31" s="1"/>
  <c r="R372" i="31"/>
  <c r="S372" i="31" s="1"/>
  <c r="R373" i="31"/>
  <c r="R374" i="31"/>
  <c r="S374" i="31" s="1"/>
  <c r="R375" i="31"/>
  <c r="S375" i="31" s="1"/>
  <c r="R376" i="31"/>
  <c r="S376" i="31" s="1"/>
  <c r="R377" i="31"/>
  <c r="S377" i="31" s="1"/>
  <c r="R378" i="31"/>
  <c r="S378" i="31" s="1"/>
  <c r="R379" i="31"/>
  <c r="S379" i="31" s="1"/>
  <c r="R380" i="31"/>
  <c r="S380" i="31" s="1"/>
  <c r="R381" i="31"/>
  <c r="R382" i="31"/>
  <c r="S382" i="31" s="1"/>
  <c r="R383" i="31"/>
  <c r="S383" i="31" s="1"/>
  <c r="R384" i="31"/>
  <c r="S384" i="31" s="1"/>
  <c r="R385" i="31"/>
  <c r="S385" i="31" s="1"/>
  <c r="R386" i="31"/>
  <c r="S386" i="31" s="1"/>
  <c r="R387" i="31"/>
  <c r="S387" i="31" s="1"/>
  <c r="R388" i="31"/>
  <c r="S388" i="31" s="1"/>
  <c r="R389" i="31"/>
  <c r="R390" i="31"/>
  <c r="S390" i="31" s="1"/>
  <c r="R391" i="31"/>
  <c r="S391" i="31" s="1"/>
  <c r="R392" i="31"/>
  <c r="S392" i="31" s="1"/>
  <c r="R393" i="31"/>
  <c r="S393" i="31" s="1"/>
  <c r="R394" i="31"/>
  <c r="S394" i="31" s="1"/>
  <c r="R395" i="31"/>
  <c r="S395" i="31" s="1"/>
  <c r="R396" i="31"/>
  <c r="S396" i="31" s="1"/>
  <c r="R397" i="31"/>
  <c r="R398" i="31"/>
  <c r="S398" i="31" s="1"/>
  <c r="R399" i="31"/>
  <c r="S399" i="31" s="1"/>
  <c r="R400" i="31"/>
  <c r="S400" i="31" s="1"/>
  <c r="R401" i="31"/>
  <c r="S401" i="31" s="1"/>
  <c r="R402" i="31"/>
  <c r="S402" i="31" s="1"/>
  <c r="R403" i="31"/>
  <c r="S403" i="31" s="1"/>
  <c r="R404" i="31"/>
  <c r="S404" i="31" s="1"/>
  <c r="R405" i="31"/>
  <c r="R406" i="31"/>
  <c r="S406" i="31" s="1"/>
  <c r="R407" i="31"/>
  <c r="S407" i="31" s="1"/>
  <c r="R408" i="31"/>
  <c r="S408" i="31" s="1"/>
  <c r="R409" i="31"/>
  <c r="S409" i="31" s="1"/>
  <c r="R410" i="31"/>
  <c r="S410" i="31" s="1"/>
  <c r="R411" i="31"/>
  <c r="S411" i="31" s="1"/>
  <c r="R412" i="31"/>
  <c r="S412" i="31" s="1"/>
  <c r="R413" i="31"/>
  <c r="R414" i="31"/>
  <c r="S414" i="31" s="1"/>
  <c r="R415" i="31"/>
  <c r="S415" i="31" s="1"/>
  <c r="R416" i="31"/>
  <c r="S416" i="31" s="1"/>
  <c r="R417" i="31"/>
  <c r="S417" i="31" s="1"/>
  <c r="R418" i="31"/>
  <c r="S418" i="31" s="1"/>
  <c r="R419" i="31"/>
  <c r="S419" i="31" s="1"/>
  <c r="R420" i="31"/>
  <c r="S420" i="31" s="1"/>
  <c r="R421" i="3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R434" i="31"/>
  <c r="S434" i="31" s="1"/>
  <c r="R435" i="31"/>
  <c r="S435" i="31" s="1"/>
  <c r="R436" i="31"/>
  <c r="S436" i="31" s="1"/>
  <c r="R437" i="31"/>
  <c r="S437" i="31" s="1"/>
  <c r="R438" i="31"/>
  <c r="S438" i="31" s="1"/>
  <c r="R439" i="31"/>
  <c r="S439" i="31" s="1"/>
  <c r="R440" i="31"/>
  <c r="S440" i="31" s="1"/>
  <c r="R441" i="31"/>
  <c r="R442" i="31"/>
  <c r="S442" i="31" s="1"/>
  <c r="R443" i="31"/>
  <c r="S443" i="31" s="1"/>
  <c r="R444" i="31"/>
  <c r="S444" i="31" s="1"/>
  <c r="R445" i="31"/>
  <c r="S445" i="31" s="1"/>
  <c r="R446" i="31"/>
  <c r="S446" i="31" s="1"/>
  <c r="R447" i="31"/>
  <c r="R448" i="31"/>
  <c r="S448" i="31" s="1"/>
  <c r="R449" i="31"/>
  <c r="S449" i="31" s="1"/>
  <c r="R450" i="31"/>
  <c r="S450" i="31" s="1"/>
  <c r="R451" i="31"/>
  <c r="R452" i="31"/>
  <c r="S452" i="31" s="1"/>
  <c r="R453" i="31"/>
  <c r="S453" i="31" s="1"/>
  <c r="R454" i="31"/>
  <c r="S454" i="31" s="1"/>
  <c r="R455" i="31"/>
  <c r="S455" i="31" s="1"/>
  <c r="R456" i="31"/>
  <c r="S456" i="31" s="1"/>
  <c r="R457" i="31"/>
  <c r="R458" i="31"/>
  <c r="S458" i="31" s="1"/>
  <c r="R459" i="31"/>
  <c r="S459" i="31" s="1"/>
  <c r="R460" i="31"/>
  <c r="S460" i="31" s="1"/>
  <c r="R461" i="31"/>
  <c r="S461" i="31" s="1"/>
  <c r="R462" i="31"/>
  <c r="S462" i="31" s="1"/>
  <c r="R463" i="31"/>
  <c r="S463" i="31" s="1"/>
  <c r="R464" i="31"/>
  <c r="S464" i="31" s="1"/>
  <c r="R465" i="31"/>
  <c r="R466" i="31"/>
  <c r="S466" i="31" s="1"/>
  <c r="R467" i="31"/>
  <c r="S467" i="31" s="1"/>
  <c r="R468" i="31"/>
  <c r="S468" i="31" s="1"/>
  <c r="R469" i="31"/>
  <c r="S469" i="31" s="1"/>
  <c r="R470" i="31"/>
  <c r="S470" i="31" s="1"/>
  <c r="R471" i="31"/>
  <c r="S471" i="31" s="1"/>
  <c r="R472" i="31"/>
  <c r="S472" i="31" s="1"/>
  <c r="R473" i="31"/>
  <c r="R474" i="31"/>
  <c r="S474" i="31" s="1"/>
  <c r="R475" i="31"/>
  <c r="S475" i="31" s="1"/>
  <c r="R476" i="31"/>
  <c r="S476" i="31" s="1"/>
  <c r="R477" i="31"/>
  <c r="S477" i="31" s="1"/>
  <c r="R478" i="31"/>
  <c r="S478" i="31" s="1"/>
  <c r="R479" i="31"/>
  <c r="S479" i="31" s="1"/>
  <c r="R480" i="31"/>
  <c r="S480" i="31" s="1"/>
  <c r="R481" i="31"/>
  <c r="R482" i="31"/>
  <c r="S482" i="31" s="1"/>
  <c r="R483" i="31"/>
  <c r="S483" i="31" s="1"/>
  <c r="R484" i="31"/>
  <c r="S484" i="31" s="1"/>
  <c r="R485" i="31"/>
  <c r="S485" i="31" s="1"/>
  <c r="R486" i="31"/>
  <c r="S486" i="31" s="1"/>
  <c r="R487" i="31"/>
  <c r="S487" i="31" s="1"/>
  <c r="R488" i="31"/>
  <c r="S488" i="31" s="1"/>
  <c r="R489" i="31"/>
  <c r="R490" i="31"/>
  <c r="S490" i="31" s="1"/>
  <c r="R491" i="31"/>
  <c r="S491" i="31" s="1"/>
  <c r="R492" i="31"/>
  <c r="S492" i="31" s="1"/>
  <c r="R493" i="31"/>
  <c r="S493" i="31" s="1"/>
  <c r="R494" i="31"/>
  <c r="S494" i="31" s="1"/>
  <c r="R495" i="31"/>
  <c r="S495" i="31" s="1"/>
  <c r="R496" i="31"/>
  <c r="R497" i="31"/>
  <c r="S497" i="31" s="1"/>
  <c r="R498" i="31"/>
  <c r="S498" i="31" s="1"/>
  <c r="R499" i="31"/>
  <c r="R500" i="31"/>
  <c r="S500" i="31" s="1"/>
  <c r="R501" i="31"/>
  <c r="R502" i="31"/>
  <c r="S502" i="31" s="1"/>
  <c r="R503" i="31"/>
  <c r="R504" i="31"/>
  <c r="S504" i="31" s="1"/>
  <c r="R505" i="31"/>
  <c r="R506" i="31"/>
  <c r="S506" i="31" s="1"/>
  <c r="R507" i="31"/>
  <c r="R508" i="31"/>
  <c r="S508" i="31" s="1"/>
  <c r="R509" i="31"/>
  <c r="S509" i="31" s="1"/>
  <c r="R510" i="31"/>
  <c r="S510" i="31" s="1"/>
  <c r="R511" i="31"/>
  <c r="R512" i="31"/>
  <c r="S512" i="31" s="1"/>
  <c r="R513" i="31"/>
  <c r="S513" i="31" s="1"/>
  <c r="R514" i="31"/>
  <c r="S514" i="31" s="1"/>
  <c r="R515" i="31"/>
  <c r="R516" i="31"/>
  <c r="S516" i="31" s="1"/>
  <c r="R517" i="31"/>
  <c r="R518" i="31"/>
  <c r="S518" i="31" s="1"/>
  <c r="R519" i="31"/>
  <c r="R520" i="31"/>
  <c r="S520" i="31" s="1"/>
  <c r="R521" i="31"/>
  <c r="R522" i="31"/>
  <c r="S522" i="31" s="1"/>
  <c r="R523" i="31"/>
  <c r="R524" i="31"/>
  <c r="S524" i="31" s="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c r="A2" i="9"/>
  <c r="T16" i="4"/>
  <c r="D14" i="4"/>
  <c r="M4" i="9"/>
  <c r="L4" i="9"/>
  <c r="G36" i="4"/>
  <c r="K2" i="54"/>
  <c r="B23" i="63" s="1"/>
  <c r="A3" i="51"/>
  <c r="R41" i="4"/>
  <c r="Q41" i="4"/>
  <c r="P41" i="4"/>
  <c r="O41" i="4"/>
  <c r="N41" i="4"/>
  <c r="M41" i="4"/>
  <c r="L41" i="4"/>
  <c r="K40" i="4"/>
  <c r="T40" i="4" s="1"/>
  <c r="F23" i="4"/>
  <c r="D19" i="4"/>
  <c r="I19" i="4"/>
  <c r="H19" i="4"/>
  <c r="G19" i="4"/>
  <c r="F9" i="1"/>
  <c r="AP9" i="1" s="1"/>
  <c r="F19" i="4"/>
  <c r="F8" i="1"/>
  <c r="AP8" i="1" s="1"/>
  <c r="E19" i="4"/>
  <c r="F7" i="1"/>
  <c r="G7" i="1" s="1"/>
  <c r="B2" i="52"/>
  <c r="I2" i="46"/>
  <c r="N12" i="46"/>
  <c r="A7" i="46"/>
  <c r="F41" i="4"/>
  <c r="J52" i="40" s="1"/>
  <c r="H61" i="49"/>
  <c r="H39" i="46"/>
  <c r="H38" i="46"/>
  <c r="H37" i="46"/>
  <c r="H36" i="46"/>
  <c r="H35" i="46"/>
  <c r="H34" i="46"/>
  <c r="H33" i="46"/>
  <c r="J20" i="46"/>
  <c r="C18" i="46"/>
  <c r="F15" i="46"/>
  <c r="E15" i="46"/>
  <c r="D15" i="46"/>
  <c r="C15" i="46"/>
  <c r="C10" i="46"/>
  <c r="C11" i="46"/>
  <c r="C9" i="46"/>
  <c r="E19" i="6"/>
  <c r="E20" i="6"/>
  <c r="E21" i="6"/>
  <c r="K8" i="1" s="1"/>
  <c r="M8" i="1" s="1"/>
  <c r="O8" i="1" s="1"/>
  <c r="P8" i="1" s="1"/>
  <c r="E22" i="6"/>
  <c r="D3" i="78" s="1"/>
  <c r="E23" i="6"/>
  <c r="E24" i="6"/>
  <c r="E25" i="6"/>
  <c r="E26" i="6"/>
  <c r="D38" i="4"/>
  <c r="C39" i="4" s="1"/>
  <c r="C35" i="4"/>
  <c r="E16" i="12"/>
  <c r="F14" i="12"/>
  <c r="F15" i="12"/>
  <c r="F17" i="12"/>
  <c r="E19" i="12"/>
  <c r="E21" i="12"/>
  <c r="E22" i="12"/>
  <c r="F23" i="12"/>
  <c r="F24" i="12"/>
  <c r="C43" i="9"/>
  <c r="K47" i="9"/>
  <c r="B65" i="63"/>
  <c r="I73" i="9"/>
  <c r="F73" i="9"/>
  <c r="P73" i="9" s="1"/>
  <c r="D107" i="9"/>
  <c r="C107" i="9"/>
  <c r="C105" i="9" s="1"/>
  <c r="C110" i="9" s="1"/>
  <c r="C17" i="9"/>
  <c r="D17"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2" i="39"/>
  <c r="AA42" i="39" s="1"/>
  <c r="H10" i="39"/>
  <c r="AB10" i="39" s="1"/>
  <c r="H11" i="39"/>
  <c r="AB11" i="39" s="1"/>
  <c r="H36" i="39"/>
  <c r="AB36" i="39"/>
  <c r="H42" i="39"/>
  <c r="AB42" i="39"/>
  <c r="J10" i="39"/>
  <c r="AC10" i="39" s="1"/>
  <c r="J11" i="39"/>
  <c r="AC11" i="39" s="1"/>
  <c r="J36" i="39"/>
  <c r="AC36" i="39"/>
  <c r="J42" i="39"/>
  <c r="AC42" i="39" s="1"/>
  <c r="F35" i="44"/>
  <c r="M21" i="44"/>
  <c r="F20" i="44"/>
  <c r="C6" i="43"/>
  <c r="K9" i="43"/>
  <c r="J9" i="43"/>
  <c r="I9" i="43"/>
  <c r="H9" i="43"/>
  <c r="G9" i="43"/>
  <c r="F9" i="43"/>
  <c r="E9" i="43"/>
  <c r="D9" i="43"/>
  <c r="C9" i="43"/>
  <c r="BC13" i="3"/>
  <c r="BB13" i="3"/>
  <c r="BR13" i="3"/>
  <c r="B24" i="1"/>
  <c r="O75" i="9"/>
  <c r="L75" i="9"/>
  <c r="P75" i="9"/>
  <c r="O74" i="9"/>
  <c r="O73" i="9"/>
  <c r="E66" i="9"/>
  <c r="O72" i="9"/>
  <c r="F74" i="9"/>
  <c r="P74" i="9" s="1"/>
  <c r="N67" i="9"/>
  <c r="K44" i="9"/>
  <c r="K43" i="9"/>
  <c r="B31" i="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P23" i="31"/>
  <c r="N23" i="31"/>
  <c r="L23" i="31"/>
  <c r="J23" i="31"/>
  <c r="H23" i="31"/>
  <c r="F23" i="31"/>
  <c r="D23" i="31"/>
  <c r="Q25" i="31"/>
  <c r="O25" i="31"/>
  <c r="M25" i="31"/>
  <c r="K25" i="31"/>
  <c r="G25" i="31"/>
  <c r="S421" i="31"/>
  <c r="S413" i="31"/>
  <c r="S405" i="31"/>
  <c r="S397" i="31"/>
  <c r="S389" i="31"/>
  <c r="S381" i="31"/>
  <c r="S373" i="31"/>
  <c r="S365" i="31"/>
  <c r="S357" i="31"/>
  <c r="S349" i="31"/>
  <c r="S341" i="31"/>
  <c r="S333" i="31"/>
  <c r="S325" i="31"/>
  <c r="S319" i="31"/>
  <c r="S311" i="31"/>
  <c r="S303" i="31"/>
  <c r="S295" i="31"/>
  <c r="S287" i="31"/>
  <c r="S279" i="31"/>
  <c r="S271" i="31"/>
  <c r="S263" i="31"/>
  <c r="S255" i="31"/>
  <c r="S253" i="31"/>
  <c r="S251" i="31"/>
  <c r="S249" i="31"/>
  <c r="S247" i="31"/>
  <c r="S245" i="31"/>
  <c r="S243" i="31"/>
  <c r="S241" i="31"/>
  <c r="S239" i="31"/>
  <c r="S237" i="31"/>
  <c r="S235" i="31"/>
  <c r="S233" i="31"/>
  <c r="S231" i="31"/>
  <c r="S229" i="31"/>
  <c r="S227" i="31"/>
  <c r="S225" i="31"/>
  <c r="S223" i="31"/>
  <c r="S221" i="31"/>
  <c r="S213" i="31"/>
  <c r="S205" i="31"/>
  <c r="S197" i="31"/>
  <c r="S189" i="31"/>
  <c r="S181" i="31"/>
  <c r="S173" i="31"/>
  <c r="S165" i="31"/>
  <c r="S157" i="31"/>
  <c r="S149" i="31"/>
  <c r="S141" i="31"/>
  <c r="S133" i="31"/>
  <c r="S125" i="31"/>
  <c r="S496" i="31"/>
  <c r="S489" i="31"/>
  <c r="S481" i="31"/>
  <c r="S473" i="31"/>
  <c r="S441" i="31"/>
  <c r="S433" i="31"/>
  <c r="S117" i="31"/>
  <c r="S465" i="31"/>
  <c r="S457" i="31"/>
  <c r="S451" i="31"/>
  <c r="S51" i="31"/>
  <c r="S47" i="31"/>
  <c r="S43" i="31"/>
  <c r="S39" i="31"/>
  <c r="S35" i="31"/>
  <c r="S77" i="31"/>
  <c r="S73" i="31"/>
  <c r="S69" i="31"/>
  <c r="S65" i="31"/>
  <c r="S61" i="31"/>
  <c r="S57" i="31"/>
  <c r="S97" i="31"/>
  <c r="S93" i="31"/>
  <c r="S89" i="31"/>
  <c r="S85" i="31"/>
  <c r="S81" i="31"/>
  <c r="S31" i="31"/>
  <c r="S99" i="31"/>
  <c r="S103" i="31"/>
  <c r="S107" i="31"/>
  <c r="S111" i="31"/>
  <c r="S447" i="31"/>
  <c r="S507" i="31"/>
  <c r="S511" i="31"/>
  <c r="B52" i="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s="1"/>
  <c r="F101" i="39" s="1"/>
  <c r="G101" i="39" s="1"/>
  <c r="Q41" i="39"/>
  <c r="Z41" i="39"/>
  <c r="Q42" i="39"/>
  <c r="Z42" i="39"/>
  <c r="Q43" i="39"/>
  <c r="Q44" i="39"/>
  <c r="Z44" i="39"/>
  <c r="Q45" i="39"/>
  <c r="Z45" i="39" s="1"/>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s="1"/>
  <c r="F99" i="39" s="1"/>
  <c r="G99" i="39" s="1"/>
  <c r="D97" i="39"/>
  <c r="D95" i="39"/>
  <c r="E95" i="39" s="1"/>
  <c r="F95" i="39" s="1"/>
  <c r="G95" i="39" s="1"/>
  <c r="D93" i="39"/>
  <c r="E93" i="39" s="1"/>
  <c r="F93" i="39" s="1"/>
  <c r="D91" i="39"/>
  <c r="E91" i="39" s="1"/>
  <c r="F91" i="39" s="1"/>
  <c r="B88" i="39"/>
  <c r="B86" i="39"/>
  <c r="B84" i="39"/>
  <c r="M81" i="39"/>
  <c r="L81" i="39"/>
  <c r="K81" i="39"/>
  <c r="J81" i="39"/>
  <c r="I81" i="39"/>
  <c r="H81" i="39"/>
  <c r="G81" i="39"/>
  <c r="G5" i="31" s="1"/>
  <c r="F81" i="39"/>
  <c r="F5" i="31" s="1"/>
  <c r="E81" i="39"/>
  <c r="E5" i="31" s="1"/>
  <c r="D81" i="39"/>
  <c r="D5" i="31" s="1"/>
  <c r="C81" i="39"/>
  <c r="C5" i="31" s="1"/>
  <c r="E370" i="31" s="1"/>
  <c r="P50" i="39"/>
  <c r="P49" i="39"/>
  <c r="V48" i="39"/>
  <c r="T48" i="39"/>
  <c r="R48" i="39"/>
  <c r="P48" i="39"/>
  <c r="Q37" i="39"/>
  <c r="Z37" i="39" s="1"/>
  <c r="Q36" i="39"/>
  <c r="Z36" i="39"/>
  <c r="Q34" i="39"/>
  <c r="Z34" i="39"/>
  <c r="Q33" i="39"/>
  <c r="Z33" i="39"/>
  <c r="Q29" i="39"/>
  <c r="Z29" i="39"/>
  <c r="Q27" i="39"/>
  <c r="Z27" i="39"/>
  <c r="Q25" i="39"/>
  <c r="Z25" i="39"/>
  <c r="Q23" i="39"/>
  <c r="Z23" i="39"/>
  <c r="Q21" i="39"/>
  <c r="Z21" i="39"/>
  <c r="Q19" i="39"/>
  <c r="Z19" i="39"/>
  <c r="Q17" i="39"/>
  <c r="Z17" i="39"/>
  <c r="Q16" i="39"/>
  <c r="Z16" i="39"/>
  <c r="Q15" i="39"/>
  <c r="Z15" i="39" s="1"/>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s="1"/>
  <c r="G18" i="20"/>
  <c r="B87" i="46"/>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D123" i="21"/>
  <c r="E123" i="21" s="1"/>
  <c r="F123" i="21" s="1"/>
  <c r="G123" i="21" s="1"/>
  <c r="H123" i="21" s="1"/>
  <c r="I123" i="21" s="1"/>
  <c r="J123" i="21" s="1"/>
  <c r="K123" i="21" s="1"/>
  <c r="L123" i="21" s="1"/>
  <c r="M123" i="21" s="1"/>
  <c r="H42" i="21"/>
  <c r="AB42" i="21" s="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s="1"/>
  <c r="D108" i="21"/>
  <c r="E108" i="21"/>
  <c r="F108" i="21"/>
  <c r="G108" i="21"/>
  <c r="H108" i="21"/>
  <c r="I108" i="21"/>
  <c r="J108" i="21"/>
  <c r="K108" i="21"/>
  <c r="L108" i="21"/>
  <c r="M108" i="21"/>
  <c r="D106" i="21"/>
  <c r="E106" i="21"/>
  <c r="F106" i="21"/>
  <c r="G106" i="21"/>
  <c r="H106" i="21"/>
  <c r="I106" i="21"/>
  <c r="J106" i="21"/>
  <c r="K106" i="21"/>
  <c r="L106" i="21"/>
  <c r="M106" i="2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s="1"/>
  <c r="F79" i="21" s="1"/>
  <c r="D85" i="21"/>
  <c r="E85" i="21" s="1"/>
  <c r="F85" i="21" s="1"/>
  <c r="G85" i="21" s="1"/>
  <c r="D81" i="21"/>
  <c r="E81" i="21" s="1"/>
  <c r="D77" i="21"/>
  <c r="E77" i="21" s="1"/>
  <c r="B130" i="21"/>
  <c r="B128" i="21"/>
  <c r="B126" i="21"/>
  <c r="B98" i="21"/>
  <c r="B96" i="21"/>
  <c r="B94" i="21"/>
  <c r="B92" i="21"/>
  <c r="B90" i="21"/>
  <c r="B74" i="21"/>
  <c r="B72" i="21"/>
  <c r="B70" i="21"/>
  <c r="F12" i="21" s="1"/>
  <c r="F10" i="21"/>
  <c r="AA10" i="21" s="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s="1"/>
  <c r="Q43" i="21"/>
  <c r="Z43" i="21"/>
  <c r="Q44" i="21"/>
  <c r="Z44" i="21" s="1"/>
  <c r="Q45" i="21"/>
  <c r="Z45" i="21"/>
  <c r="Q46" i="21"/>
  <c r="Z46" i="21"/>
  <c r="P47" i="21"/>
  <c r="R47" i="21"/>
  <c r="T47" i="21"/>
  <c r="V47" i="21"/>
  <c r="P48" i="21"/>
  <c r="P49" i="21"/>
  <c r="F8" i="21"/>
  <c r="AA8" i="21" s="1"/>
  <c r="E13" i="11"/>
  <c r="E12" i="11"/>
  <c r="C9" i="12"/>
  <c r="BB12" i="3"/>
  <c r="F9" i="12"/>
  <c r="D9" i="12"/>
  <c r="E9" i="12"/>
  <c r="G9" i="12"/>
  <c r="K5" i="3"/>
  <c r="J5" i="3"/>
  <c r="BE10" i="3"/>
  <c r="BD13" i="3"/>
  <c r="BE13" i="3"/>
  <c r="BF13" i="3"/>
  <c r="BF5" i="3" s="1"/>
  <c r="BG13" i="3"/>
  <c r="BG5" i="3" s="1"/>
  <c r="BH13" i="3"/>
  <c r="BI13" i="3"/>
  <c r="BI5" i="3" s="1"/>
  <c r="BJ13" i="3"/>
  <c r="BK13" i="3"/>
  <c r="BM13" i="3"/>
  <c r="BN13" i="3"/>
  <c r="BO13" i="3"/>
  <c r="BP13" i="3"/>
  <c r="BS13" i="3"/>
  <c r="BT13" i="3"/>
  <c r="BT5" i="3" s="1"/>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AC5" i="3" s="1"/>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s="1"/>
  <c r="H38" i="21"/>
  <c r="AB38" i="21" s="1"/>
  <c r="H43" i="21"/>
  <c r="AB43" i="21" s="1"/>
  <c r="F32" i="21"/>
  <c r="AA32" i="21" s="1"/>
  <c r="F38" i="21"/>
  <c r="S38" i="21" s="1"/>
  <c r="F36" i="21"/>
  <c r="S36" i="21" s="1"/>
  <c r="F39" i="21"/>
  <c r="AA39" i="21" s="1"/>
  <c r="J40" i="21"/>
  <c r="W40" i="21" s="1"/>
  <c r="H35" i="21"/>
  <c r="AB35" i="21" s="1"/>
  <c r="J8" i="21"/>
  <c r="AC8" i="21" s="1"/>
  <c r="J9" i="21"/>
  <c r="AC9" i="21" s="1"/>
  <c r="H8" i="21"/>
  <c r="U8" i="21" s="1"/>
  <c r="H9" i="21"/>
  <c r="AB9" i="21" s="1"/>
  <c r="H10" i="21"/>
  <c r="U10" i="21" s="1"/>
  <c r="H39" i="21"/>
  <c r="AB39" i="21" s="1"/>
  <c r="J34" i="21"/>
  <c r="W34" i="21" s="1"/>
  <c r="H36" i="21"/>
  <c r="U36" i="21" s="1"/>
  <c r="F35" i="21"/>
  <c r="AA35" i="21" s="1"/>
  <c r="J33" i="21"/>
  <c r="W33" i="21" s="1"/>
  <c r="H33" i="21"/>
  <c r="U33" i="21" s="1"/>
  <c r="F33" i="21"/>
  <c r="J10" i="21"/>
  <c r="AC10" i="21" s="1"/>
  <c r="H26" i="21"/>
  <c r="J12" i="21"/>
  <c r="H12" i="21"/>
  <c r="U12" i="21" s="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H39" i="37"/>
  <c r="AB39" i="37"/>
  <c r="AB27" i="35"/>
  <c r="S10" i="40"/>
  <c r="W10" i="40"/>
  <c r="S11" i="40"/>
  <c r="U11" i="40"/>
  <c r="S36" i="40"/>
  <c r="U36" i="40"/>
  <c r="S36" i="39"/>
  <c r="F11" i="21"/>
  <c r="S11" i="21" s="1"/>
  <c r="AB36" i="21"/>
  <c r="C29" i="39"/>
  <c r="C23" i="39"/>
  <c r="U36" i="39"/>
  <c r="S42" i="39"/>
  <c r="H32" i="33"/>
  <c r="AB32" i="33"/>
  <c r="H11" i="21"/>
  <c r="U11" i="21"/>
  <c r="J11" i="21"/>
  <c r="W11" i="21" s="1"/>
  <c r="F100" i="40"/>
  <c r="F86" i="40"/>
  <c r="AA12" i="33"/>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c r="AL5" i="3"/>
  <c r="BQ13" i="3"/>
  <c r="BL572" i="3"/>
  <c r="AZ572" i="3"/>
  <c r="J14" i="21"/>
  <c r="F14" i="21"/>
  <c r="AA14" i="21"/>
  <c r="H14" i="21"/>
  <c r="U14" i="21"/>
  <c r="H28" i="21"/>
  <c r="AB28" i="21" s="1"/>
  <c r="F28" i="21"/>
  <c r="J28" i="21"/>
  <c r="AC28" i="21"/>
  <c r="H30" i="21"/>
  <c r="U30" i="21"/>
  <c r="F30" i="21"/>
  <c r="S30" i="21" s="1"/>
  <c r="J30" i="21"/>
  <c r="J44" i="21"/>
  <c r="AC44" i="21" s="1"/>
  <c r="H44" i="21"/>
  <c r="U44" i="21" s="1"/>
  <c r="F44" i="21"/>
  <c r="AA44" i="21" s="1"/>
  <c r="H46" i="21"/>
  <c r="AB46" i="21" s="1"/>
  <c r="J46" i="21"/>
  <c r="W46" i="21" s="1"/>
  <c r="F46" i="21"/>
  <c r="AA46" i="21" s="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s="1"/>
  <c r="F29" i="21"/>
  <c r="S29" i="21" s="1"/>
  <c r="J31" i="21"/>
  <c r="AC31" i="21" s="1"/>
  <c r="H31" i="21"/>
  <c r="U31" i="21" s="1"/>
  <c r="F31" i="21"/>
  <c r="S31" i="21" s="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s="1"/>
  <c r="AZ20" i="3" s="1"/>
  <c r="BQ18" i="3"/>
  <c r="AZ501" i="3"/>
  <c r="S505" i="31"/>
  <c r="S503" i="31"/>
  <c r="S501" i="31"/>
  <c r="S499" i="31"/>
  <c r="O27" i="31"/>
  <c r="O28" i="31"/>
  <c r="O26" i="31"/>
  <c r="M27" i="31"/>
  <c r="M28" i="31"/>
  <c r="M26" i="31"/>
  <c r="I26" i="31"/>
  <c r="I25" i="31"/>
  <c r="Q26" i="31"/>
  <c r="K26" i="31"/>
  <c r="I27" i="31"/>
  <c r="Q27" i="31"/>
  <c r="K27" i="31"/>
  <c r="I28" i="31"/>
  <c r="Q28" i="31"/>
  <c r="K28" i="31"/>
  <c r="AC28" i="34"/>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AC33" i="21"/>
  <c r="AA36" i="21"/>
  <c r="S39" i="33"/>
  <c r="F43" i="33"/>
  <c r="AA43" i="33"/>
  <c r="AA23" i="37"/>
  <c r="S10" i="35"/>
  <c r="AB44" i="33"/>
  <c r="G107" i="37"/>
  <c r="H107" i="37"/>
  <c r="I107" i="37"/>
  <c r="J107" i="37"/>
  <c r="K107" i="37"/>
  <c r="L107" i="37"/>
  <c r="M107" i="37"/>
  <c r="F37" i="21"/>
  <c r="S37" i="21" s="1"/>
  <c r="J37" i="21"/>
  <c r="W37" i="21" s="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F90" i="40"/>
  <c r="J21" i="40"/>
  <c r="AC21" i="40"/>
  <c r="G90" i="40"/>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13" i="40"/>
  <c r="E78" i="40"/>
  <c r="F78" i="40"/>
  <c r="G78" i="40"/>
  <c r="H78" i="40"/>
  <c r="I78" i="40"/>
  <c r="J78" i="40"/>
  <c r="K78" i="40"/>
  <c r="L78" i="40"/>
  <c r="M78" i="40"/>
  <c r="BH5" i="3"/>
  <c r="R16" i="4"/>
  <c r="P16" i="4"/>
  <c r="D3" i="35"/>
  <c r="G4" i="4"/>
  <c r="S37" i="34"/>
  <c r="J16" i="35"/>
  <c r="W16" i="35"/>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S33" i="21"/>
  <c r="W9" i="21"/>
  <c r="J32" i="21"/>
  <c r="AC32" i="21" s="1"/>
  <c r="H37" i="21"/>
  <c r="U37" i="21" s="1"/>
  <c r="F40" i="21"/>
  <c r="S40" i="21" s="1"/>
  <c r="H40" i="21"/>
  <c r="AB40" i="21" s="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43" i="39"/>
  <c r="S43" i="39" s="1"/>
  <c r="H43" i="39"/>
  <c r="U43" i="39" s="1"/>
  <c r="J43" i="39"/>
  <c r="W43" i="39" s="1"/>
  <c r="F99" i="37"/>
  <c r="AC27" i="37"/>
  <c r="U25" i="35"/>
  <c r="S45" i="34"/>
  <c r="U31" i="34"/>
  <c r="AC40" i="37"/>
  <c r="W40" i="37"/>
  <c r="W27" i="33"/>
  <c r="AC45" i="21"/>
  <c r="S28" i="33"/>
  <c r="S14" i="21"/>
  <c r="AA44" i="34"/>
  <c r="AB29" i="35"/>
  <c r="U29" i="35"/>
  <c r="AC19" i="33"/>
  <c r="W19" i="33"/>
  <c r="U43" i="34"/>
  <c r="AB43" i="34"/>
  <c r="AC34" i="37"/>
  <c r="S35" i="37"/>
  <c r="AA35" i="37"/>
  <c r="AB10" i="35"/>
  <c r="S32" i="21"/>
  <c r="U38" i="21"/>
  <c r="AB34" i="21"/>
  <c r="BL571" i="3"/>
  <c r="BA571" i="3"/>
  <c r="AZ571" i="3"/>
  <c r="BL570" i="3"/>
  <c r="AZ570" i="3"/>
  <c r="BE5" i="3"/>
  <c r="F42" i="21"/>
  <c r="AA42" i="21" s="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F33" i="39"/>
  <c r="H33" i="39"/>
  <c r="U33" i="39"/>
  <c r="J33" i="39"/>
  <c r="F44" i="39"/>
  <c r="S44" i="39" s="1"/>
  <c r="H44" i="39"/>
  <c r="U44" i="39" s="1"/>
  <c r="J44" i="39"/>
  <c r="W44" i="39" s="1"/>
  <c r="E128" i="39"/>
  <c r="F128" i="39"/>
  <c r="G128" i="39"/>
  <c r="H128" i="39"/>
  <c r="I128" i="39"/>
  <c r="J128" i="39"/>
  <c r="K128" i="39"/>
  <c r="L128" i="39"/>
  <c r="M128" i="39"/>
  <c r="F46" i="39"/>
  <c r="S46" i="39" s="1"/>
  <c r="H46" i="39"/>
  <c r="U46" i="39" s="1"/>
  <c r="J46" i="39"/>
  <c r="W46" i="39" s="1"/>
  <c r="E103" i="39"/>
  <c r="F103" i="39" s="1"/>
  <c r="F34" i="39"/>
  <c r="AA34" i="39"/>
  <c r="H34" i="39"/>
  <c r="AB34" i="39"/>
  <c r="J34" i="39"/>
  <c r="AC34" i="39"/>
  <c r="F39" i="39"/>
  <c r="H39" i="39"/>
  <c r="AB39" i="39"/>
  <c r="J39" i="39"/>
  <c r="J29" i="35"/>
  <c r="AC29" i="35"/>
  <c r="F29" i="35"/>
  <c r="S29" i="35"/>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s="1"/>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8"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E97" i="39"/>
  <c r="F27" i="39"/>
  <c r="AA27" i="39" s="1"/>
  <c r="H27" i="39"/>
  <c r="AB27" i="39" s="1"/>
  <c r="J27" i="39"/>
  <c r="AC27"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27" i="43"/>
  <c r="C27" i="43" s="1"/>
  <c r="F71" i="9"/>
  <c r="AC14" i="40"/>
  <c r="W35" i="40"/>
  <c r="S33" i="40"/>
  <c r="AB32" i="40"/>
  <c r="S47" i="39"/>
  <c r="U37" i="34"/>
  <c r="AB37" i="34"/>
  <c r="AC41" i="40"/>
  <c r="W41" i="40"/>
  <c r="U41" i="40"/>
  <c r="J23" i="40"/>
  <c r="AC23" i="40"/>
  <c r="G92" i="40"/>
  <c r="F23" i="40"/>
  <c r="S23" i="40"/>
  <c r="AC15" i="40"/>
  <c r="W15" i="40"/>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U21" i="39"/>
  <c r="AB33" i="36"/>
  <c r="AA11" i="36"/>
  <c r="AA14" i="35"/>
  <c r="S14" i="35"/>
  <c r="G99" i="37"/>
  <c r="F33" i="37"/>
  <c r="U46" i="34"/>
  <c r="AC30" i="34"/>
  <c r="AA14" i="34"/>
  <c r="W12" i="34"/>
  <c r="U29" i="33"/>
  <c r="AC13" i="33"/>
  <c r="U17" i="34"/>
  <c r="AA11" i="34"/>
  <c r="W32" i="33"/>
  <c r="H15" i="33"/>
  <c r="U15" i="33"/>
  <c r="AA11" i="33"/>
  <c r="U16" i="40"/>
  <c r="W34" i="40"/>
  <c r="AB34" i="40"/>
  <c r="AB42" i="40"/>
  <c r="U42" i="40"/>
  <c r="AC16" i="40"/>
  <c r="W32" i="40"/>
  <c r="H25" i="40"/>
  <c r="AB25" i="40"/>
  <c r="F94" i="40"/>
  <c r="G94" i="40"/>
  <c r="U47" i="39"/>
  <c r="J37" i="34"/>
  <c r="AC37" i="34"/>
  <c r="J36" i="33"/>
  <c r="W36" i="33"/>
  <c r="S41" i="40"/>
  <c r="AB23" i="40"/>
  <c r="J23" i="39"/>
  <c r="AC23" i="39" s="1"/>
  <c r="F97" i="39"/>
  <c r="F23" i="39" s="1"/>
  <c r="AA23" i="39" s="1"/>
  <c r="G97" i="39"/>
  <c r="S15" i="34"/>
  <c r="AA15" i="34"/>
  <c r="AA41" i="33"/>
  <c r="AA34" i="33"/>
  <c r="F106" i="33"/>
  <c r="G106" i="33"/>
  <c r="H106" i="33"/>
  <c r="I106" i="33"/>
  <c r="J106" i="33"/>
  <c r="K106" i="33"/>
  <c r="L106" i="33"/>
  <c r="M106" i="33"/>
  <c r="J34" i="33"/>
  <c r="AC34" i="33"/>
  <c r="U30" i="40"/>
  <c r="AA37" i="39"/>
  <c r="W29" i="35"/>
  <c r="AC39" i="39"/>
  <c r="W39" i="39"/>
  <c r="AA39" i="39"/>
  <c r="S39" i="39"/>
  <c r="U34" i="39"/>
  <c r="AB46" i="39"/>
  <c r="AC33" i="39"/>
  <c r="W33" i="39"/>
  <c r="AA33" i="39"/>
  <c r="S33" i="39"/>
  <c r="U11" i="36"/>
  <c r="F80" i="35"/>
  <c r="G80" i="35"/>
  <c r="H80" i="35"/>
  <c r="I80" i="35"/>
  <c r="J80" i="35"/>
  <c r="K80" i="35"/>
  <c r="L80" i="35"/>
  <c r="M80" i="35"/>
  <c r="W14" i="35"/>
  <c r="F90" i="34"/>
  <c r="G90" i="34"/>
  <c r="H90" i="34"/>
  <c r="I90" i="34"/>
  <c r="J90" i="34"/>
  <c r="K90" i="34"/>
  <c r="L90" i="34"/>
  <c r="M90" i="34"/>
  <c r="F27" i="34"/>
  <c r="S27" i="34"/>
  <c r="AC43"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B11" i="1"/>
  <c r="E11" i="1" s="1"/>
  <c r="K11" i="1"/>
  <c r="M11" i="1" s="1"/>
  <c r="O11" i="1" s="1"/>
  <c r="P11" i="1" s="1"/>
  <c r="B9" i="1"/>
  <c r="E9" i="1"/>
  <c r="K9" i="1"/>
  <c r="M9" i="1" s="1"/>
  <c r="O9" i="1" s="1"/>
  <c r="P9" i="1" s="1"/>
  <c r="B7" i="1"/>
  <c r="E7" i="1" s="1"/>
  <c r="K7" i="1"/>
  <c r="M7" i="1" s="1"/>
  <c r="O7" i="1" s="1"/>
  <c r="P7" i="1" s="1"/>
  <c r="C20" i="43"/>
  <c r="F6" i="1"/>
  <c r="AP6" i="1" s="1"/>
  <c r="M22" i="44"/>
  <c r="F32" i="15"/>
  <c r="F59" i="15" s="1"/>
  <c r="F29" i="12"/>
  <c r="D86" i="9"/>
  <c r="F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W43" i="21"/>
  <c r="AA37" i="21"/>
  <c r="AB37" i="21"/>
  <c r="W28" i="21"/>
  <c r="AC46" i="21"/>
  <c r="AC26" i="21"/>
  <c r="J23" i="21"/>
  <c r="W23" i="21" s="1"/>
  <c r="F23" i="21"/>
  <c r="AA23" i="21" s="1"/>
  <c r="H23" i="21"/>
  <c r="U23" i="21" s="1"/>
  <c r="AC11" i="21"/>
  <c r="AB11" i="21"/>
  <c r="W13" i="21"/>
  <c r="AA11" i="21"/>
  <c r="AC21" i="21"/>
  <c r="W21"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A21" i="39"/>
  <c r="AC38" i="39"/>
  <c r="AC21" i="39"/>
  <c r="U11" i="39"/>
  <c r="AB38" i="39"/>
  <c r="U31" i="39"/>
  <c r="AB31" i="39"/>
  <c r="S38" i="39"/>
  <c r="M20" i="15"/>
  <c r="D96" i="9"/>
  <c r="M18" i="15"/>
  <c r="BA16" i="3"/>
  <c r="BA17" i="3"/>
  <c r="AZ17" i="3" s="1"/>
  <c r="F3" i="35"/>
  <c r="K1" i="43"/>
  <c r="K1" i="12"/>
  <c r="G1" i="44"/>
  <c r="AZ15" i="3"/>
  <c r="BK5" i="3"/>
  <c r="BO5" i="3"/>
  <c r="BP5" i="3"/>
  <c r="BN5" i="3"/>
  <c r="BL18" i="3"/>
  <c r="AZ18" i="3" s="1"/>
  <c r="BC5" i="3"/>
  <c r="BD5" i="3"/>
  <c r="BR5" i="3"/>
  <c r="BS5" i="3"/>
  <c r="BQ5" i="3"/>
  <c r="BL16"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A9" i="64" s="1"/>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C20" i="46" s="1"/>
  <c r="B6" i="63"/>
  <c r="B46" i="50"/>
  <c r="B4" i="63" s="1"/>
  <c r="C46" i="36"/>
  <c r="C48" i="35"/>
  <c r="D48" i="35" s="1"/>
  <c r="E48" i="35" s="1"/>
  <c r="F48" i="35" s="1"/>
  <c r="G48" i="35" s="1"/>
  <c r="H48" i="35" s="1"/>
  <c r="I48" i="35" s="1"/>
  <c r="J48" i="35" s="1"/>
  <c r="K48" i="35" s="1"/>
  <c r="C52" i="37"/>
  <c r="D52" i="37" s="1"/>
  <c r="E52" i="37" s="1"/>
  <c r="F52" i="37" s="1"/>
  <c r="G52" i="37" s="1"/>
  <c r="H52" i="37" s="1"/>
  <c r="I52" i="37" s="1"/>
  <c r="J52" i="37" s="1"/>
  <c r="K52" i="37" s="1"/>
  <c r="O19" i="46"/>
  <c r="H86" i="46"/>
  <c r="H82" i="46"/>
  <c r="H10" i="48"/>
  <c r="H87" i="46"/>
  <c r="H85" i="46"/>
  <c r="H83" i="46"/>
  <c r="K10" i="1"/>
  <c r="S13" i="1"/>
  <c r="R13" i="1"/>
  <c r="B6" i="1"/>
  <c r="E6" i="1" s="1"/>
  <c r="B10" i="1"/>
  <c r="E10" i="1"/>
  <c r="B8" i="1"/>
  <c r="E8" i="1"/>
  <c r="B12" i="1"/>
  <c r="E12" i="1"/>
  <c r="S12" i="1"/>
  <c r="K6" i="1"/>
  <c r="M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C37" i="21"/>
  <c r="AA29" i="21"/>
  <c r="U27" i="21"/>
  <c r="W31" i="21"/>
  <c r="S27" i="21"/>
  <c r="AC27" i="21"/>
  <c r="W29" i="21"/>
  <c r="G96" i="40"/>
  <c r="J27" i="40"/>
  <c r="W37" i="40"/>
  <c r="S17" i="40"/>
  <c r="W30" i="40"/>
  <c r="S34" i="40"/>
  <c r="U17" i="40"/>
  <c r="U38" i="40"/>
  <c r="S40" i="40"/>
  <c r="S42" i="40"/>
  <c r="J31" i="39"/>
  <c r="W31" i="39" s="1"/>
  <c r="AB33" i="39"/>
  <c r="AC46" i="39"/>
  <c r="S34" i="39"/>
  <c r="W42" i="39"/>
  <c r="W36" i="39"/>
  <c r="AC37" i="39"/>
  <c r="AA46" i="39"/>
  <c r="W34" i="39"/>
  <c r="W10" i="39"/>
  <c r="W11" i="39"/>
  <c r="U42" i="39"/>
  <c r="S32" i="40"/>
  <c r="C27" i="39"/>
  <c r="C17" i="40"/>
  <c r="C19" i="40"/>
  <c r="C17" i="39"/>
  <c r="C19" i="39"/>
  <c r="C21" i="39"/>
  <c r="C23" i="40"/>
  <c r="B48" i="46"/>
  <c r="B51" i="46"/>
  <c r="B55" i="46"/>
  <c r="B59" i="46"/>
  <c r="B62" i="46"/>
  <c r="B66" i="46"/>
  <c r="B53" i="46"/>
  <c r="B64" i="46"/>
  <c r="D24" i="15"/>
  <c r="F29"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G29" i="6"/>
  <c r="AZ16" i="3"/>
  <c r="G66" i="36"/>
  <c r="J18" i="36"/>
  <c r="AE8" i="1"/>
  <c r="AE7" i="1"/>
  <c r="AE6" i="1"/>
  <c r="W18" i="36"/>
  <c r="AC18" i="36"/>
  <c r="AG6" i="1"/>
  <c r="N76" i="9"/>
  <c r="C46" i="9"/>
  <c r="I14" i="66" s="1"/>
  <c r="B8" i="66" s="1"/>
  <c r="K33" i="9"/>
  <c r="K34" i="9" s="1"/>
  <c r="O41" i="9"/>
  <c r="R8" i="54"/>
  <c r="B54" i="63" s="1"/>
  <c r="D58" i="21"/>
  <c r="E58" i="21"/>
  <c r="D70" i="39"/>
  <c r="E70" i="39" s="1"/>
  <c r="E72" i="39" s="1"/>
  <c r="C72" i="39"/>
  <c r="D58" i="33"/>
  <c r="C67" i="40"/>
  <c r="D65" i="40"/>
  <c r="H58" i="46"/>
  <c r="J17" i="46"/>
  <c r="C17" i="46"/>
  <c r="F34" i="46"/>
  <c r="F38" i="46"/>
  <c r="F37" i="46"/>
  <c r="H113" i="46"/>
  <c r="H49" i="46"/>
  <c r="H53" i="46"/>
  <c r="D15" i="59"/>
  <c r="C14" i="59"/>
  <c r="D14" i="59"/>
  <c r="U12" i="59"/>
  <c r="F15" i="59"/>
  <c r="F14" i="59"/>
  <c r="F13" i="59"/>
  <c r="F12" i="59"/>
  <c r="Y14" i="59"/>
  <c r="Z14" i="59"/>
  <c r="AA14" i="59"/>
  <c r="AB14" i="59"/>
  <c r="Y13" i="59"/>
  <c r="Z13" i="59"/>
  <c r="Y12" i="59"/>
  <c r="Z12" i="59" s="1"/>
  <c r="Z10" i="59"/>
  <c r="Y11" i="59"/>
  <c r="Z11" i="59" s="1"/>
  <c r="AB13" i="59"/>
  <c r="AB12" i="59"/>
  <c r="AB11" i="59"/>
  <c r="AA16" i="59"/>
  <c r="X14" i="59"/>
  <c r="X12" i="59"/>
  <c r="X11" i="59"/>
  <c r="AA12" i="59"/>
  <c r="AA11" i="59"/>
  <c r="C25" i="12"/>
  <c r="C31" i="43"/>
  <c r="H1" i="65"/>
  <c r="H51" i="46"/>
  <c r="X7" i="46"/>
  <c r="E17" i="46"/>
  <c r="N17" i="46"/>
  <c r="O17" i="46"/>
  <c r="M17" i="46"/>
  <c r="L17" i="46"/>
  <c r="AP7" i="1"/>
  <c r="G13" i="1"/>
  <c r="D46" i="36"/>
  <c r="D59" i="34"/>
  <c r="G6" i="1"/>
  <c r="H70" i="46"/>
  <c r="H73" i="46"/>
  <c r="H50" i="46"/>
  <c r="H48" i="46"/>
  <c r="F35" i="46"/>
  <c r="I17" i="46"/>
  <c r="H63" i="46"/>
  <c r="H64" i="46"/>
  <c r="H66" i="46"/>
  <c r="D100" i="46"/>
  <c r="H62" i="46"/>
  <c r="AF12" i="46"/>
  <c r="K100" i="46"/>
  <c r="AB12" i="46"/>
  <c r="AJ12" i="46"/>
  <c r="H60" i="46"/>
  <c r="H59" i="46"/>
  <c r="H74" i="46"/>
  <c r="H65" i="46"/>
  <c r="H75" i="46"/>
  <c r="E10" i="46"/>
  <c r="E9" i="46"/>
  <c r="E11" i="46"/>
  <c r="E8" i="46"/>
  <c r="H72" i="46"/>
  <c r="H69" i="46"/>
  <c r="H77" i="46"/>
  <c r="H76" i="46"/>
  <c r="H55" i="46"/>
  <c r="H54" i="46"/>
  <c r="H52" i="46"/>
  <c r="H47" i="46"/>
  <c r="AD12" i="46"/>
  <c r="AH12" i="46"/>
  <c r="C13" i="59"/>
  <c r="C12" i="59"/>
  <c r="T12" i="59"/>
  <c r="B13" i="59"/>
  <c r="B12" i="59"/>
  <c r="S12" i="59"/>
  <c r="D13" i="59"/>
  <c r="E65" i="40"/>
  <c r="F65" i="40" s="1"/>
  <c r="G65" i="40" s="1"/>
  <c r="G67" i="40" s="1"/>
  <c r="D67" i="40"/>
  <c r="D72" i="39"/>
  <c r="V12" i="59"/>
  <c r="D12" i="59"/>
  <c r="C7" i="46"/>
  <c r="F70" i="39"/>
  <c r="F72" i="39" s="1"/>
  <c r="D11" i="59"/>
  <c r="D10" i="59"/>
  <c r="G20" i="46"/>
  <c r="E41" i="46"/>
  <c r="C41" i="46"/>
  <c r="G70" i="39"/>
  <c r="G72" i="39" s="1"/>
  <c r="H70" i="39"/>
  <c r="H72" i="39" s="1"/>
  <c r="J15" i="15"/>
  <c r="F11" i="44"/>
  <c r="F12" i="67"/>
  <c r="E13" i="67"/>
  <c r="E8" i="67"/>
  <c r="B8" i="67"/>
  <c r="N6" i="65"/>
  <c r="J5" i="65"/>
  <c r="F14" i="67"/>
  <c r="F9" i="15"/>
  <c r="F38" i="44"/>
  <c r="F45" i="44"/>
  <c r="C19" i="44"/>
  <c r="N3" i="65"/>
  <c r="J17" i="44"/>
  <c r="L48" i="44"/>
  <c r="M9" i="15"/>
  <c r="F40" i="44"/>
  <c r="M27" i="15"/>
  <c r="F8" i="67"/>
  <c r="E9" i="67"/>
  <c r="M28" i="44"/>
  <c r="M30" i="44"/>
  <c r="M11" i="44"/>
  <c r="I7" i="65"/>
  <c r="J6" i="65"/>
  <c r="F40" i="15"/>
  <c r="J4" i="65"/>
  <c r="B14" i="67"/>
  <c r="F15" i="44"/>
  <c r="M29" i="44"/>
  <c r="F26" i="15"/>
  <c r="I3" i="65"/>
  <c r="B12" i="67"/>
  <c r="F10" i="67"/>
  <c r="F10" i="44"/>
  <c r="M24" i="15"/>
  <c r="F28" i="44"/>
  <c r="F9" i="44"/>
  <c r="F7" i="15"/>
  <c r="M29" i="15"/>
  <c r="F8" i="15"/>
  <c r="E12" i="67"/>
  <c r="I6" i="65"/>
  <c r="M10" i="44"/>
  <c r="J3" i="65"/>
  <c r="B13" i="67"/>
  <c r="M25" i="44"/>
  <c r="M31" i="44"/>
  <c r="M23" i="44"/>
  <c r="F8" i="44"/>
  <c r="F6" i="15"/>
  <c r="F43" i="15"/>
  <c r="F37" i="15"/>
  <c r="B9" i="67"/>
  <c r="F46" i="44"/>
  <c r="B11" i="67"/>
  <c r="F38" i="15"/>
  <c r="M23" i="15"/>
  <c r="M26" i="44"/>
  <c r="J7" i="65"/>
  <c r="L49" i="44"/>
  <c r="L47" i="15"/>
  <c r="B10" i="67"/>
  <c r="F13" i="15"/>
  <c r="F13" i="67"/>
  <c r="N7" i="65"/>
  <c r="F39" i="44"/>
  <c r="M8" i="44"/>
  <c r="M28" i="15"/>
  <c r="E11" i="67"/>
  <c r="F9" i="67"/>
  <c r="F11" i="67"/>
  <c r="I4" i="65"/>
  <c r="N5" i="65"/>
  <c r="I5" i="65"/>
  <c r="F18" i="44"/>
  <c r="F16" i="15"/>
  <c r="J36" i="15"/>
  <c r="M24" i="44"/>
  <c r="N4" i="65"/>
  <c r="F37" i="44"/>
  <c r="E14" i="67"/>
  <c r="M8" i="15"/>
  <c r="M22" i="15"/>
  <c r="E10" i="67"/>
  <c r="M26" i="15"/>
  <c r="F36" i="15"/>
  <c r="M6" i="15"/>
  <c r="F42" i="15"/>
  <c r="F43" i="44"/>
  <c r="W16" i="39" l="1"/>
  <c r="W44" i="21"/>
  <c r="F28" i="6"/>
  <c r="E29" i="6"/>
  <c r="K15" i="1" s="1"/>
  <c r="G14" i="3"/>
  <c r="E5" i="6"/>
  <c r="D12" i="11" s="1"/>
  <c r="C12" i="11" s="1"/>
  <c r="G17" i="46"/>
  <c r="C16" i="46" s="1"/>
  <c r="F29" i="39"/>
  <c r="J29" i="39"/>
  <c r="AC29" i="39" s="1"/>
  <c r="H29" i="39"/>
  <c r="U29" i="39" s="1"/>
  <c r="I4" i="6"/>
  <c r="A9" i="51"/>
  <c r="B9" i="63" s="1"/>
  <c r="I70" i="39"/>
  <c r="H65" i="40"/>
  <c r="F67" i="40"/>
  <c r="E67" i="40"/>
  <c r="F10" i="1"/>
  <c r="AP10" i="1" s="1"/>
  <c r="D58" i="78"/>
  <c r="E58" i="78" s="1"/>
  <c r="F58" i="78" s="1"/>
  <c r="G58" i="78" s="1"/>
  <c r="H58" i="78" s="1"/>
  <c r="I58" i="78" s="1"/>
  <c r="J58" i="78" s="1"/>
  <c r="K58" i="78" s="1"/>
  <c r="L58" i="78" s="1"/>
  <c r="M58" i="78" s="1"/>
  <c r="N58" i="78" s="1"/>
  <c r="O58" i="78" s="1"/>
  <c r="F7" i="78"/>
  <c r="H7" i="78"/>
  <c r="J7" i="78"/>
  <c r="F30" i="6"/>
  <c r="G28" i="6"/>
  <c r="E28" i="6" s="1"/>
  <c r="F11" i="1"/>
  <c r="AA43" i="39"/>
  <c r="F34" i="15"/>
  <c r="F61" i="15" s="1"/>
  <c r="M20" i="77"/>
  <c r="F34" i="77"/>
  <c r="F61" i="77" s="1"/>
  <c r="F34" i="44"/>
  <c r="M18" i="77"/>
  <c r="F32" i="77"/>
  <c r="F59" i="77" s="1"/>
  <c r="F28" i="77"/>
  <c r="C28" i="77" s="1"/>
  <c r="C18" i="9"/>
  <c r="D18" i="9" s="1"/>
  <c r="M44" i="9" s="1"/>
  <c r="E28" i="31"/>
  <c r="E26" i="31"/>
  <c r="E523" i="31"/>
  <c r="E521" i="31"/>
  <c r="E519" i="31"/>
  <c r="E517" i="31"/>
  <c r="E515" i="31"/>
  <c r="E513" i="31"/>
  <c r="E511" i="31"/>
  <c r="E509" i="31"/>
  <c r="E507" i="31"/>
  <c r="E505" i="31"/>
  <c r="E503" i="31"/>
  <c r="E501" i="31"/>
  <c r="E499" i="31"/>
  <c r="E497" i="31"/>
  <c r="E495" i="31"/>
  <c r="E493" i="31"/>
  <c r="E491" i="31"/>
  <c r="E489" i="31"/>
  <c r="E487" i="31"/>
  <c r="E485" i="31"/>
  <c r="E483" i="31"/>
  <c r="E481" i="31"/>
  <c r="E479" i="31"/>
  <c r="E477" i="31"/>
  <c r="E475" i="31"/>
  <c r="E473" i="31"/>
  <c r="E471" i="31"/>
  <c r="E469" i="31"/>
  <c r="E467" i="31"/>
  <c r="E465" i="31"/>
  <c r="E463" i="31"/>
  <c r="E461" i="31"/>
  <c r="E459" i="31"/>
  <c r="E457" i="31"/>
  <c r="E455" i="31"/>
  <c r="E453" i="31"/>
  <c r="E451" i="31"/>
  <c r="E449" i="31"/>
  <c r="E447" i="31"/>
  <c r="E445" i="31"/>
  <c r="E443" i="31"/>
  <c r="E441" i="31"/>
  <c r="E439" i="31"/>
  <c r="E437" i="31"/>
  <c r="E435" i="31"/>
  <c r="E433" i="31"/>
  <c r="E431" i="31"/>
  <c r="E429" i="31"/>
  <c r="E427" i="31"/>
  <c r="E425" i="31"/>
  <c r="E423" i="31"/>
  <c r="E421" i="31"/>
  <c r="E419" i="31"/>
  <c r="E417" i="31"/>
  <c r="E415" i="31"/>
  <c r="E413" i="31"/>
  <c r="E411" i="31"/>
  <c r="E409" i="31"/>
  <c r="E407" i="31"/>
  <c r="E405" i="31"/>
  <c r="E403" i="31"/>
  <c r="E401" i="31"/>
  <c r="E399" i="31"/>
  <c r="E397" i="31"/>
  <c r="E395" i="31"/>
  <c r="E393" i="31"/>
  <c r="E391" i="31"/>
  <c r="E389" i="31"/>
  <c r="E387" i="31"/>
  <c r="E385" i="31"/>
  <c r="E383" i="31"/>
  <c r="E381" i="31"/>
  <c r="E379" i="31"/>
  <c r="E377" i="31"/>
  <c r="E375" i="31"/>
  <c r="E373" i="31"/>
  <c r="E29" i="31"/>
  <c r="E31" i="31"/>
  <c r="E33" i="31"/>
  <c r="E35" i="31"/>
  <c r="E37" i="31"/>
  <c r="E39" i="31"/>
  <c r="E41" i="31"/>
  <c r="E43" i="31"/>
  <c r="E45" i="31"/>
  <c r="E47" i="31"/>
  <c r="E49" i="31"/>
  <c r="E51" i="31"/>
  <c r="E53" i="31"/>
  <c r="E55" i="31"/>
  <c r="E57" i="31"/>
  <c r="E59" i="31"/>
  <c r="E61" i="31"/>
  <c r="E63" i="31"/>
  <c r="E65" i="31"/>
  <c r="E67" i="31"/>
  <c r="E69" i="31"/>
  <c r="E71" i="31"/>
  <c r="E73" i="31"/>
  <c r="E75" i="31"/>
  <c r="E77" i="31"/>
  <c r="E79" i="31"/>
  <c r="E81" i="31"/>
  <c r="E83" i="31"/>
  <c r="E85" i="31"/>
  <c r="E87" i="31"/>
  <c r="E89" i="31"/>
  <c r="E91" i="31"/>
  <c r="E93" i="31"/>
  <c r="E95" i="31"/>
  <c r="E97" i="31"/>
  <c r="E99" i="31"/>
  <c r="E101" i="31"/>
  <c r="E103" i="31"/>
  <c r="E105" i="31"/>
  <c r="E107" i="31"/>
  <c r="E109" i="31"/>
  <c r="E111" i="31"/>
  <c r="E113" i="31"/>
  <c r="E115" i="31"/>
  <c r="E117" i="31"/>
  <c r="E119" i="31"/>
  <c r="E121" i="31"/>
  <c r="E123" i="31"/>
  <c r="E125" i="31"/>
  <c r="E127" i="31"/>
  <c r="E129" i="31"/>
  <c r="E131" i="31"/>
  <c r="E133" i="31"/>
  <c r="E135" i="31"/>
  <c r="E137" i="31"/>
  <c r="E139" i="31"/>
  <c r="E141" i="31"/>
  <c r="E143" i="31"/>
  <c r="E145" i="31"/>
  <c r="E147" i="31"/>
  <c r="E149" i="31"/>
  <c r="E151" i="31"/>
  <c r="E153" i="31"/>
  <c r="E155" i="31"/>
  <c r="E157" i="31"/>
  <c r="E159" i="31"/>
  <c r="E161" i="31"/>
  <c r="E163" i="31"/>
  <c r="E165" i="31"/>
  <c r="E167" i="31"/>
  <c r="E169" i="31"/>
  <c r="E171" i="31"/>
  <c r="E173" i="31"/>
  <c r="E175" i="31"/>
  <c r="E177" i="31"/>
  <c r="E179" i="31"/>
  <c r="E181" i="31"/>
  <c r="E183" i="31"/>
  <c r="E185" i="31"/>
  <c r="E187" i="31"/>
  <c r="E189" i="31"/>
  <c r="E191" i="31"/>
  <c r="E193" i="31"/>
  <c r="E195" i="31"/>
  <c r="E30" i="31"/>
  <c r="E32" i="31"/>
  <c r="E34" i="31"/>
  <c r="E36" i="31"/>
  <c r="E38" i="31"/>
  <c r="E40" i="31"/>
  <c r="E42" i="31"/>
  <c r="E44" i="31"/>
  <c r="E46" i="31"/>
  <c r="E48" i="31"/>
  <c r="E50" i="31"/>
  <c r="E52" i="31"/>
  <c r="E54" i="31"/>
  <c r="E56" i="31"/>
  <c r="E58" i="31"/>
  <c r="E60" i="31"/>
  <c r="E62" i="31"/>
  <c r="E64" i="31"/>
  <c r="E66" i="31"/>
  <c r="E68" i="31"/>
  <c r="E70" i="31"/>
  <c r="E72" i="31"/>
  <c r="E74" i="31"/>
  <c r="E76" i="31"/>
  <c r="E78" i="31"/>
  <c r="E80" i="31"/>
  <c r="E82" i="31"/>
  <c r="E84" i="31"/>
  <c r="E86" i="31"/>
  <c r="E88" i="31"/>
  <c r="E90" i="31"/>
  <c r="E92" i="31"/>
  <c r="E94" i="31"/>
  <c r="E96" i="31"/>
  <c r="E98" i="31"/>
  <c r="E100" i="31"/>
  <c r="E102" i="31"/>
  <c r="E104" i="31"/>
  <c r="E106" i="31"/>
  <c r="E108" i="31"/>
  <c r="E110" i="31"/>
  <c r="E112" i="31"/>
  <c r="E114" i="31"/>
  <c r="E116" i="31"/>
  <c r="E118" i="31"/>
  <c r="E120" i="31"/>
  <c r="E122" i="31"/>
  <c r="E124" i="31"/>
  <c r="E126" i="31"/>
  <c r="E128" i="31"/>
  <c r="E130" i="31"/>
  <c r="E132" i="31"/>
  <c r="E134" i="31"/>
  <c r="E136" i="31"/>
  <c r="E138" i="31"/>
  <c r="E140" i="31"/>
  <c r="E142" i="31"/>
  <c r="E144" i="31"/>
  <c r="E146" i="31"/>
  <c r="E148" i="31"/>
  <c r="E150" i="31"/>
  <c r="E152" i="31"/>
  <c r="E154" i="31"/>
  <c r="E156" i="31"/>
  <c r="E158" i="31"/>
  <c r="E160" i="31"/>
  <c r="E162" i="31"/>
  <c r="E164" i="31"/>
  <c r="E166" i="31"/>
  <c r="E168" i="31"/>
  <c r="E170" i="31"/>
  <c r="E172" i="31"/>
  <c r="E174" i="31"/>
  <c r="E176" i="31"/>
  <c r="E178" i="31"/>
  <c r="E180" i="31"/>
  <c r="E182" i="31"/>
  <c r="E184" i="31"/>
  <c r="E186" i="31"/>
  <c r="E188" i="31"/>
  <c r="E190" i="31"/>
  <c r="E192" i="31"/>
  <c r="E194" i="31"/>
  <c r="E196" i="31"/>
  <c r="E198" i="31"/>
  <c r="E197" i="31"/>
  <c r="E200" i="31"/>
  <c r="E202" i="31"/>
  <c r="E204" i="31"/>
  <c r="E206" i="31"/>
  <c r="E208" i="31"/>
  <c r="E210" i="31"/>
  <c r="E212" i="31"/>
  <c r="E214" i="31"/>
  <c r="E216" i="31"/>
  <c r="E218" i="31"/>
  <c r="E220" i="31"/>
  <c r="E222" i="31"/>
  <c r="E224" i="31"/>
  <c r="E226" i="31"/>
  <c r="E228" i="31"/>
  <c r="E230" i="31"/>
  <c r="E232" i="31"/>
  <c r="E234" i="31"/>
  <c r="E236" i="31"/>
  <c r="E238" i="31"/>
  <c r="E240" i="31"/>
  <c r="E242" i="31"/>
  <c r="E244" i="31"/>
  <c r="E246" i="31"/>
  <c r="E248" i="31"/>
  <c r="E250" i="31"/>
  <c r="E252" i="31"/>
  <c r="E254" i="31"/>
  <c r="E256" i="31"/>
  <c r="E258" i="31"/>
  <c r="E260" i="31"/>
  <c r="E262" i="31"/>
  <c r="E264" i="31"/>
  <c r="E266" i="31"/>
  <c r="E268" i="31"/>
  <c r="E270" i="31"/>
  <c r="E272" i="31"/>
  <c r="E274" i="31"/>
  <c r="E276" i="31"/>
  <c r="E278" i="31"/>
  <c r="E280" i="31"/>
  <c r="E282" i="31"/>
  <c r="E284" i="31"/>
  <c r="E286" i="31"/>
  <c r="E288" i="31"/>
  <c r="E290" i="31"/>
  <c r="E292" i="31"/>
  <c r="E294" i="31"/>
  <c r="E296" i="31"/>
  <c r="E298" i="31"/>
  <c r="E300" i="31"/>
  <c r="E302" i="31"/>
  <c r="E304" i="31"/>
  <c r="E306" i="31"/>
  <c r="E308" i="31"/>
  <c r="E310" i="31"/>
  <c r="E312" i="31"/>
  <c r="E314" i="31"/>
  <c r="E316" i="31"/>
  <c r="E318" i="31"/>
  <c r="E320" i="31"/>
  <c r="E322" i="31"/>
  <c r="E324" i="31"/>
  <c r="E326" i="31"/>
  <c r="E328" i="31"/>
  <c r="E330" i="31"/>
  <c r="E332" i="31"/>
  <c r="E334" i="31"/>
  <c r="E336" i="31"/>
  <c r="E338" i="31"/>
  <c r="E340" i="31"/>
  <c r="E342" i="31"/>
  <c r="E344" i="31"/>
  <c r="E346" i="31"/>
  <c r="E348" i="31"/>
  <c r="E350" i="31"/>
  <c r="E352" i="31"/>
  <c r="E354" i="31"/>
  <c r="E356" i="31"/>
  <c r="E358" i="31"/>
  <c r="E360" i="31"/>
  <c r="E362" i="31"/>
  <c r="E364" i="31"/>
  <c r="E366" i="31"/>
  <c r="E199" i="31"/>
  <c r="E201" i="31"/>
  <c r="E203" i="31"/>
  <c r="E205" i="31"/>
  <c r="E207" i="31"/>
  <c r="E209" i="31"/>
  <c r="E211" i="31"/>
  <c r="E213" i="31"/>
  <c r="E215" i="31"/>
  <c r="E217" i="31"/>
  <c r="E219" i="31"/>
  <c r="E221" i="31"/>
  <c r="E223" i="31"/>
  <c r="E225" i="31"/>
  <c r="E227" i="31"/>
  <c r="E229" i="31"/>
  <c r="E231" i="31"/>
  <c r="E233" i="31"/>
  <c r="E235" i="31"/>
  <c r="E237" i="31"/>
  <c r="E239" i="31"/>
  <c r="E241" i="31"/>
  <c r="E243" i="31"/>
  <c r="E245" i="31"/>
  <c r="E247" i="31"/>
  <c r="E249" i="31"/>
  <c r="E251" i="31"/>
  <c r="E253" i="31"/>
  <c r="E255" i="31"/>
  <c r="E257" i="31"/>
  <c r="E259" i="31"/>
  <c r="E261" i="31"/>
  <c r="E263" i="31"/>
  <c r="E265" i="31"/>
  <c r="E267" i="31"/>
  <c r="E269" i="31"/>
  <c r="E271" i="31"/>
  <c r="E273" i="31"/>
  <c r="E275" i="31"/>
  <c r="E277" i="31"/>
  <c r="E279" i="31"/>
  <c r="E281" i="31"/>
  <c r="E283" i="31"/>
  <c r="E285" i="31"/>
  <c r="E287" i="31"/>
  <c r="E289" i="31"/>
  <c r="E291" i="31"/>
  <c r="E293" i="31"/>
  <c r="E295" i="31"/>
  <c r="E297" i="31"/>
  <c r="E299" i="31"/>
  <c r="E301" i="31"/>
  <c r="E303" i="31"/>
  <c r="E305" i="31"/>
  <c r="E307" i="31"/>
  <c r="E309" i="31"/>
  <c r="E311" i="31"/>
  <c r="E313" i="31"/>
  <c r="E315" i="31"/>
  <c r="E317" i="31"/>
  <c r="E319" i="31"/>
  <c r="E321" i="31"/>
  <c r="E323" i="31"/>
  <c r="E325" i="31"/>
  <c r="E327" i="31"/>
  <c r="E329" i="31"/>
  <c r="E331" i="31"/>
  <c r="E333" i="31"/>
  <c r="E335" i="31"/>
  <c r="E337" i="31"/>
  <c r="E339" i="31"/>
  <c r="E341" i="31"/>
  <c r="E343" i="31"/>
  <c r="E345" i="31"/>
  <c r="E347" i="31"/>
  <c r="E349" i="31"/>
  <c r="E351" i="31"/>
  <c r="E353" i="31"/>
  <c r="E355" i="31"/>
  <c r="E357" i="31"/>
  <c r="E359" i="31"/>
  <c r="E361" i="31"/>
  <c r="E363" i="31"/>
  <c r="E365" i="31"/>
  <c r="E367" i="31"/>
  <c r="E369" i="31"/>
  <c r="E371" i="31"/>
  <c r="E25" i="31"/>
  <c r="E27" i="31"/>
  <c r="E524" i="31"/>
  <c r="E522" i="31"/>
  <c r="E520" i="31"/>
  <c r="E518" i="31"/>
  <c r="E516" i="31"/>
  <c r="E514" i="31"/>
  <c r="E512" i="31"/>
  <c r="E510" i="31"/>
  <c r="E508" i="31"/>
  <c r="E506" i="31"/>
  <c r="E504" i="31"/>
  <c r="E502" i="31"/>
  <c r="E500" i="31"/>
  <c r="E498" i="31"/>
  <c r="E496" i="31"/>
  <c r="E494" i="31"/>
  <c r="E492" i="31"/>
  <c r="E490" i="31"/>
  <c r="E488" i="31"/>
  <c r="E486" i="31"/>
  <c r="E484" i="31"/>
  <c r="E482" i="31"/>
  <c r="E480" i="31"/>
  <c r="E478" i="31"/>
  <c r="E476" i="31"/>
  <c r="E474" i="31"/>
  <c r="E472" i="31"/>
  <c r="E470" i="31"/>
  <c r="E468" i="31"/>
  <c r="E466" i="31"/>
  <c r="E464" i="31"/>
  <c r="E462" i="31"/>
  <c r="E460" i="31"/>
  <c r="E458" i="31"/>
  <c r="E456" i="31"/>
  <c r="E454" i="31"/>
  <c r="E452" i="31"/>
  <c r="E450" i="31"/>
  <c r="E448" i="31"/>
  <c r="E446" i="31"/>
  <c r="E444" i="31"/>
  <c r="E442" i="31"/>
  <c r="E440" i="31"/>
  <c r="E438" i="31"/>
  <c r="E436" i="31"/>
  <c r="E434" i="31"/>
  <c r="E432" i="31"/>
  <c r="E430" i="31"/>
  <c r="E428" i="31"/>
  <c r="E426" i="31"/>
  <c r="E424" i="31"/>
  <c r="E422" i="31"/>
  <c r="E420" i="31"/>
  <c r="E418" i="31"/>
  <c r="E416" i="31"/>
  <c r="E414" i="31"/>
  <c r="E412" i="31"/>
  <c r="E410" i="31"/>
  <c r="E408" i="31"/>
  <c r="E406" i="31"/>
  <c r="E404" i="31"/>
  <c r="E402" i="31"/>
  <c r="E400" i="31"/>
  <c r="E398" i="31"/>
  <c r="E396" i="31"/>
  <c r="E394" i="31"/>
  <c r="E392" i="31"/>
  <c r="E390" i="31"/>
  <c r="E388" i="31"/>
  <c r="E386" i="31"/>
  <c r="E384" i="31"/>
  <c r="E382" i="31"/>
  <c r="E380" i="31"/>
  <c r="E378" i="31"/>
  <c r="E376" i="31"/>
  <c r="E374" i="31"/>
  <c r="E372" i="31"/>
  <c r="E368" i="31"/>
  <c r="S16" i="39"/>
  <c r="S15" i="39"/>
  <c r="W15" i="39"/>
  <c r="M43" i="9"/>
  <c r="AB45" i="39"/>
  <c r="W45" i="39"/>
  <c r="S45" i="39"/>
  <c r="S14" i="39"/>
  <c r="BA13" i="3"/>
  <c r="BA5" i="3" s="1"/>
  <c r="BL13" i="3"/>
  <c r="BL5" i="3" s="1"/>
  <c r="W8" i="21"/>
  <c r="AB10" i="21"/>
  <c r="U9" i="21"/>
  <c r="E8" i="6"/>
  <c r="E58" i="39" s="1"/>
  <c r="C15" i="43"/>
  <c r="G1" i="77"/>
  <c r="M10" i="1"/>
  <c r="O10" i="1" s="1"/>
  <c r="P10" i="1" s="1"/>
  <c r="AB32" i="21"/>
  <c r="AA9" i="21"/>
  <c r="S8" i="21"/>
  <c r="AB23" i="21"/>
  <c r="AC23" i="21"/>
  <c r="F81" i="21"/>
  <c r="F19" i="21" s="1"/>
  <c r="G79" i="21"/>
  <c r="H17" i="21"/>
  <c r="F17" i="21"/>
  <c r="S17" i="21" s="1"/>
  <c r="J17" i="21"/>
  <c r="F77" i="21"/>
  <c r="F15" i="21" s="1"/>
  <c r="S23" i="21"/>
  <c r="S21" i="21"/>
  <c r="AC34" i="21"/>
  <c r="U39" i="21"/>
  <c r="AA40" i="21"/>
  <c r="S34" i="21"/>
  <c r="AA38" i="21"/>
  <c r="S39" i="21"/>
  <c r="AC40" i="21"/>
  <c r="U35" i="21"/>
  <c r="AC35" i="21"/>
  <c r="U42" i="21"/>
  <c r="W42" i="21"/>
  <c r="S42" i="21"/>
  <c r="U43" i="21"/>
  <c r="AA43" i="21"/>
  <c r="W32" i="21"/>
  <c r="S46" i="21"/>
  <c r="W10" i="21"/>
  <c r="AA12" i="21"/>
  <c r="S12" i="21"/>
  <c r="D5" i="46"/>
  <c r="C5" i="46"/>
  <c r="P75" i="15"/>
  <c r="F28" i="15"/>
  <c r="C28" i="15" s="1"/>
  <c r="F30" i="44"/>
  <c r="C30" i="44" s="1"/>
  <c r="M20" i="44"/>
  <c r="F70" i="9"/>
  <c r="F72" i="9"/>
  <c r="F66" i="9"/>
  <c r="P72" i="9" s="1"/>
  <c r="D23" i="15"/>
  <c r="G10" i="1"/>
  <c r="E32" i="6"/>
  <c r="Q16" i="1"/>
  <c r="G13" i="3"/>
  <c r="U14" i="39"/>
  <c r="W14" i="39"/>
  <c r="O6" i="1"/>
  <c r="P6" i="1" s="1"/>
  <c r="C15" i="12" s="1"/>
  <c r="E14" i="6"/>
  <c r="E13" i="6"/>
  <c r="E10" i="6"/>
  <c r="E15" i="6"/>
  <c r="E12" i="6"/>
  <c r="E11" i="6"/>
  <c r="O12" i="1"/>
  <c r="P12" i="1" s="1"/>
  <c r="G30" i="6"/>
  <c r="G31" i="6" s="1"/>
  <c r="O13" i="1"/>
  <c r="P13" i="1" s="1"/>
  <c r="H16" i="1"/>
  <c r="D21" i="12"/>
  <c r="C21" i="12" s="1"/>
  <c r="L16" i="4"/>
  <c r="K17" i="4" s="1"/>
  <c r="A22" i="51" s="1"/>
  <c r="B16" i="63" s="1"/>
  <c r="H17" i="39"/>
  <c r="U17" i="39" s="1"/>
  <c r="G91" i="39"/>
  <c r="F17" i="39"/>
  <c r="AA17" i="39" s="1"/>
  <c r="J17" i="39"/>
  <c r="W17" i="39" s="1"/>
  <c r="G93" i="39"/>
  <c r="F19" i="39"/>
  <c r="J19" i="39"/>
  <c r="H19" i="39"/>
  <c r="AB19" i="39" s="1"/>
  <c r="H23" i="39"/>
  <c r="S25" i="39"/>
  <c r="AA29" i="39"/>
  <c r="S29" i="39"/>
  <c r="G103" i="39"/>
  <c r="AC31" i="39"/>
  <c r="S31" i="39"/>
  <c r="W29" i="39"/>
  <c r="W27" i="39"/>
  <c r="S27" i="39"/>
  <c r="U27" i="39"/>
  <c r="S23" i="39"/>
  <c r="W23" i="39"/>
  <c r="U19" i="39"/>
  <c r="AC17" i="39"/>
  <c r="S17" i="39"/>
  <c r="W25" i="39"/>
  <c r="AB25" i="39"/>
  <c r="AB43" i="39"/>
  <c r="AA44" i="39"/>
  <c r="AC44" i="39"/>
  <c r="AB44" i="39"/>
  <c r="S41" i="39"/>
  <c r="W41" i="39"/>
  <c r="U41" i="39"/>
  <c r="AB15" i="39"/>
  <c r="AB16" i="39"/>
  <c r="AC47" i="39"/>
  <c r="A30" i="64"/>
  <c r="A30" i="51"/>
  <c r="B22" i="63" s="1"/>
  <c r="A18" i="64"/>
  <c r="B74" i="63" s="1"/>
  <c r="C53" i="10"/>
  <c r="L5" i="54"/>
  <c r="B39" i="63" s="1"/>
  <c r="T41" i="4"/>
  <c r="A17" i="51" s="1"/>
  <c r="B13" i="63" s="1"/>
  <c r="A18" i="51"/>
  <c r="B14" i="63" s="1"/>
  <c r="K5" i="54"/>
  <c r="A11" i="55"/>
  <c r="B62" i="63" s="1"/>
  <c r="A2" i="55"/>
  <c r="B55" i="63" s="1"/>
  <c r="K76" i="9"/>
  <c r="L52" i="37"/>
  <c r="L48" i="35"/>
  <c r="M48" i="35" s="1"/>
  <c r="N48" i="35" s="1"/>
  <c r="O48" i="35" s="1"/>
  <c r="J7" i="35"/>
  <c r="H7" i="35"/>
  <c r="F7" i="35"/>
  <c r="E46" i="36"/>
  <c r="F46" i="36" s="1"/>
  <c r="G46" i="36" s="1"/>
  <c r="H46" i="36" s="1"/>
  <c r="I46" i="36" s="1"/>
  <c r="J46" i="36" s="1"/>
  <c r="K46" i="36" s="1"/>
  <c r="L46" i="36" s="1"/>
  <c r="M46" i="36" s="1"/>
  <c r="N46" i="36" s="1"/>
  <c r="O46" i="36" s="1"/>
  <c r="H7" i="36"/>
  <c r="E59" i="34"/>
  <c r="E58" i="33"/>
  <c r="F58" i="21"/>
  <c r="C18" i="11"/>
  <c r="K77" i="9"/>
  <c r="K79" i="9" s="1"/>
  <c r="K81" i="9" s="1"/>
  <c r="E12" i="52"/>
  <c r="B15" i="52"/>
  <c r="F31" i="15"/>
  <c r="F33" i="44"/>
  <c r="D7" i="59"/>
  <c r="C6" i="59"/>
  <c r="E8" i="59"/>
  <c r="E7" i="59" s="1"/>
  <c r="E6" i="59" s="1"/>
  <c r="E5" i="59" s="1"/>
  <c r="B8" i="59"/>
  <c r="B7" i="59" s="1"/>
  <c r="B6" i="59" s="1"/>
  <c r="B5" i="59" s="1"/>
  <c r="X7" i="59"/>
  <c r="Y7" i="59"/>
  <c r="Z7" i="59" s="1"/>
  <c r="B4" i="52"/>
  <c r="B7" i="52"/>
  <c r="E14" i="52"/>
  <c r="E6" i="52"/>
  <c r="C4" i="4" s="1"/>
  <c r="B20" i="55" s="1"/>
  <c r="B70" i="63" s="1"/>
  <c r="E11" i="52"/>
  <c r="E4" i="4" s="1"/>
  <c r="B21" i="55" s="1"/>
  <c r="B72" i="63" s="1"/>
  <c r="E9" i="52"/>
  <c r="E7" i="52"/>
  <c r="B9" i="52"/>
  <c r="E4" i="52"/>
  <c r="E13" i="52"/>
  <c r="B8" i="52"/>
  <c r="E10" i="52"/>
  <c r="B10" i="52"/>
  <c r="B6" i="52"/>
  <c r="B5" i="52"/>
  <c r="B11" i="52"/>
  <c r="B12" i="52"/>
  <c r="E8" i="52"/>
  <c r="B14" i="52"/>
  <c r="E5" i="52"/>
  <c r="Y3" i="59"/>
  <c r="Z3" i="59" s="1"/>
  <c r="AB8" i="59"/>
  <c r="AA8" i="59"/>
  <c r="D8" i="59"/>
  <c r="Y8" i="59"/>
  <c r="Z8" i="59" s="1"/>
  <c r="P22" i="46"/>
  <c r="P24" i="46"/>
  <c r="B68" i="40" s="1"/>
  <c r="P23" i="46"/>
  <c r="P25" i="46"/>
  <c r="B73" i="39" s="1"/>
  <c r="P21" i="46"/>
  <c r="E20" i="46"/>
  <c r="C36" i="44"/>
  <c r="Q73" i="44"/>
  <c r="C6" i="15"/>
  <c r="F65" i="15"/>
  <c r="C29" i="44"/>
  <c r="C8" i="44"/>
  <c r="J1" i="65"/>
  <c r="F67" i="15"/>
  <c r="F50" i="15"/>
  <c r="C27" i="15"/>
  <c r="F64" i="15"/>
  <c r="I1" i="65"/>
  <c r="F70" i="15"/>
  <c r="M9" i="44"/>
  <c r="J8" i="44" s="1"/>
  <c r="L59" i="15"/>
  <c r="L60" i="44"/>
  <c r="L59" i="44"/>
  <c r="F49" i="15"/>
  <c r="F58" i="15" s="1"/>
  <c r="M7" i="15"/>
  <c r="M17" i="15" s="1"/>
  <c r="I55" i="44"/>
  <c r="J54" i="44"/>
  <c r="L57" i="44"/>
  <c r="J58" i="44"/>
  <c r="J56" i="44" s="1"/>
  <c r="J59" i="44" s="1"/>
  <c r="Q52" i="44" s="1"/>
  <c r="J60" i="44"/>
  <c r="J61" i="44"/>
  <c r="Q50" i="44" s="1"/>
  <c r="Q72" i="15"/>
  <c r="J22" i="44"/>
  <c r="F63" i="15"/>
  <c r="C4" i="65"/>
  <c r="B39" i="1" s="1"/>
  <c r="C16" i="15"/>
  <c r="L47" i="77"/>
  <c r="F13" i="77"/>
  <c r="J15" i="77"/>
  <c r="F42" i="77"/>
  <c r="F37" i="77"/>
  <c r="M26" i="77"/>
  <c r="F9" i="77"/>
  <c r="F16" i="77"/>
  <c r="M24" i="77"/>
  <c r="M29" i="77"/>
  <c r="F26" i="77"/>
  <c r="M22" i="77"/>
  <c r="M6" i="77"/>
  <c r="C18" i="44"/>
  <c r="J36" i="77"/>
  <c r="E3" i="65"/>
  <c r="F43" i="77"/>
  <c r="L48" i="15"/>
  <c r="F8" i="77"/>
  <c r="M28" i="77"/>
  <c r="M23" i="77"/>
  <c r="M9" i="77"/>
  <c r="L48" i="77"/>
  <c r="F7" i="77"/>
  <c r="F40" i="77"/>
  <c r="F36" i="77"/>
  <c r="M27" i="77"/>
  <c r="F38" i="77"/>
  <c r="F6" i="77"/>
  <c r="M8" i="77"/>
  <c r="E2" i="65"/>
  <c r="AB29" i="39" l="1"/>
  <c r="J53" i="15"/>
  <c r="F1" i="15" s="1"/>
  <c r="I54" i="15"/>
  <c r="L58" i="15"/>
  <c r="Q61" i="15" s="1"/>
  <c r="J57" i="15"/>
  <c r="J55" i="15" s="1"/>
  <c r="J58" i="15" s="1"/>
  <c r="Q51" i="15" s="1"/>
  <c r="L56" i="15"/>
  <c r="AB7" i="78"/>
  <c r="T48" i="78" s="1"/>
  <c r="G48" i="78" s="1"/>
  <c r="G52" i="78" s="1"/>
  <c r="H52" i="78" s="1"/>
  <c r="U7" i="78"/>
  <c r="I65" i="40"/>
  <c r="H67" i="40"/>
  <c r="W7" i="78"/>
  <c r="AC7" i="78"/>
  <c r="V48" i="78" s="1"/>
  <c r="I48" i="78" s="1"/>
  <c r="S7" i="78"/>
  <c r="AA7" i="78"/>
  <c r="R48" i="78" s="1"/>
  <c r="J70" i="39"/>
  <c r="I72" i="39"/>
  <c r="AP11" i="1"/>
  <c r="AP16" i="1" s="1"/>
  <c r="F22" i="11" s="1"/>
  <c r="G11" i="1"/>
  <c r="G16" i="1" s="1"/>
  <c r="S15" i="21"/>
  <c r="AA15" i="21"/>
  <c r="AB17" i="39"/>
  <c r="AZ13" i="3"/>
  <c r="AZ5" i="3" s="1"/>
  <c r="E3" i="6" s="1"/>
  <c r="D16" i="43" s="1"/>
  <c r="C16" i="43" s="1"/>
  <c r="E53" i="40"/>
  <c r="AA17" i="21"/>
  <c r="F27" i="6"/>
  <c r="F67" i="77"/>
  <c r="F64" i="77"/>
  <c r="L60" i="77"/>
  <c r="Q67" i="77" s="1"/>
  <c r="J60" i="77"/>
  <c r="Q49" i="77" s="1"/>
  <c r="I54" i="77"/>
  <c r="J59" i="77"/>
  <c r="L57" i="77"/>
  <c r="J53" i="77"/>
  <c r="Q53" i="77" s="1"/>
  <c r="L56" i="77"/>
  <c r="J57" i="77"/>
  <c r="J55" i="77" s="1"/>
  <c r="J58" i="77" s="1"/>
  <c r="Q51" i="77" s="1"/>
  <c r="F65" i="77"/>
  <c r="Q72" i="77"/>
  <c r="C27" i="77"/>
  <c r="C6" i="77"/>
  <c r="C32" i="77" s="1"/>
  <c r="F63" i="77"/>
  <c r="F70" i="77"/>
  <c r="L59" i="77"/>
  <c r="Q62" i="77" s="1"/>
  <c r="L58" i="77"/>
  <c r="Q74" i="77" s="1"/>
  <c r="F50" i="77"/>
  <c r="F49" i="77"/>
  <c r="M7" i="77"/>
  <c r="J6" i="77" s="1"/>
  <c r="J18" i="77" s="1"/>
  <c r="L19" i="6"/>
  <c r="L22" i="6"/>
  <c r="F1" i="77"/>
  <c r="F33" i="12"/>
  <c r="C34" i="12" s="1"/>
  <c r="D33" i="12" s="1"/>
  <c r="Q18" i="1"/>
  <c r="Q58" i="77"/>
  <c r="AA19" i="21"/>
  <c r="S19" i="21"/>
  <c r="J19" i="21"/>
  <c r="G81" i="21"/>
  <c r="H19" i="21"/>
  <c r="AC17" i="21"/>
  <c r="W17" i="21"/>
  <c r="AB17" i="21"/>
  <c r="U17" i="21"/>
  <c r="G77" i="21"/>
  <c r="H15" i="21"/>
  <c r="J15" i="21"/>
  <c r="M11" i="77"/>
  <c r="J10" i="77" s="1"/>
  <c r="F11" i="77"/>
  <c r="F24" i="43"/>
  <c r="C26" i="43" s="1"/>
  <c r="D24" i="43" s="1"/>
  <c r="L21" i="6"/>
  <c r="L20" i="6"/>
  <c r="G5" i="3"/>
  <c r="B3" i="3" s="1"/>
  <c r="AT6" i="3" s="1"/>
  <c r="K14" i="1"/>
  <c r="E30" i="6"/>
  <c r="E58" i="40"/>
  <c r="E63" i="39"/>
  <c r="E62" i="40"/>
  <c r="E67" i="39"/>
  <c r="E65" i="39"/>
  <c r="E60" i="40"/>
  <c r="E59" i="40"/>
  <c r="E64" i="39"/>
  <c r="E16" i="6"/>
  <c r="E66" i="39"/>
  <c r="E61" i="40"/>
  <c r="S19" i="39"/>
  <c r="AA19" i="39"/>
  <c r="W19" i="39"/>
  <c r="AC19" i="39"/>
  <c r="AB23" i="39"/>
  <c r="U23" i="39"/>
  <c r="A17" i="64"/>
  <c r="A25" i="64"/>
  <c r="A25" i="51"/>
  <c r="B18" i="63" s="1"/>
  <c r="B38" i="63"/>
  <c r="A3" i="55"/>
  <c r="B56" i="63" s="1"/>
  <c r="F59" i="34"/>
  <c r="J7" i="36"/>
  <c r="F7" i="36"/>
  <c r="AB7" i="35"/>
  <c r="T38" i="35" s="1"/>
  <c r="G38" i="35" s="1"/>
  <c r="U7" i="35"/>
  <c r="G58" i="21"/>
  <c r="F58" i="33"/>
  <c r="G58" i="33" s="1"/>
  <c r="H58" i="33" s="1"/>
  <c r="I58" i="33" s="1"/>
  <c r="J58" i="33" s="1"/>
  <c r="K58" i="33" s="1"/>
  <c r="L58" i="33" s="1"/>
  <c r="M58" i="33" s="1"/>
  <c r="N58" i="33" s="1"/>
  <c r="O58" i="33" s="1"/>
  <c r="AB7" i="36"/>
  <c r="T36" i="36" s="1"/>
  <c r="G36" i="36" s="1"/>
  <c r="U7" i="36"/>
  <c r="AA7" i="35"/>
  <c r="R38" i="35" s="1"/>
  <c r="S7" i="35"/>
  <c r="AC7" i="35"/>
  <c r="V38" i="35" s="1"/>
  <c r="I38" i="35" s="1"/>
  <c r="W7" i="35"/>
  <c r="M52" i="37"/>
  <c r="D6" i="59"/>
  <c r="C5" i="59"/>
  <c r="D5" i="59" s="1"/>
  <c r="M19" i="44"/>
  <c r="M20" i="46"/>
  <c r="C19" i="46"/>
  <c r="C34" i="46" s="1"/>
  <c r="B40" i="1"/>
  <c r="F24" i="77" s="1"/>
  <c r="F17" i="11"/>
  <c r="C17" i="11" s="1"/>
  <c r="C19" i="11" s="1"/>
  <c r="L47" i="44"/>
  <c r="Q62" i="15"/>
  <c r="Q75" i="15"/>
  <c r="M13" i="44"/>
  <c r="J12" i="44" s="1"/>
  <c r="J7" i="44" s="1"/>
  <c r="F11" i="15"/>
  <c r="M11" i="15"/>
  <c r="J10" i="15" s="1"/>
  <c r="F13" i="44"/>
  <c r="C12" i="44" s="1"/>
  <c r="C7" i="44" s="1"/>
  <c r="Q75" i="44"/>
  <c r="Q62" i="44"/>
  <c r="C48" i="15"/>
  <c r="C32" i="15"/>
  <c r="M28" i="46"/>
  <c r="P28" i="46"/>
  <c r="O28" i="46"/>
  <c r="N28" i="46"/>
  <c r="F1" i="44"/>
  <c r="Q54" i="44"/>
  <c r="J20" i="44"/>
  <c r="Q63" i="44"/>
  <c r="Q76" i="44"/>
  <c r="C34" i="44"/>
  <c r="J6" i="15"/>
  <c r="AE9" i="1"/>
  <c r="C16" i="77"/>
  <c r="AE11" i="1"/>
  <c r="AE10" i="1"/>
  <c r="L38" i="9" l="1"/>
  <c r="B14" i="66" s="1"/>
  <c r="Q74" i="15"/>
  <c r="Q53" i="15"/>
  <c r="F7" i="33"/>
  <c r="S7" i="33" s="1"/>
  <c r="J7" i="33"/>
  <c r="K70" i="39"/>
  <c r="J72" i="39"/>
  <c r="J65" i="40"/>
  <c r="I67" i="40"/>
  <c r="E48" i="78"/>
  <c r="R49" i="78"/>
  <c r="G53" i="78"/>
  <c r="H53" i="78" s="1"/>
  <c r="I52" i="78"/>
  <c r="J52" i="78" s="1"/>
  <c r="I53" i="78"/>
  <c r="J53" i="78" s="1"/>
  <c r="H12" i="39"/>
  <c r="J12" i="39"/>
  <c r="W12" i="39" s="1"/>
  <c r="J12" i="40"/>
  <c r="AC12" i="40" s="1"/>
  <c r="F12" i="39"/>
  <c r="S12" i="39" s="1"/>
  <c r="F12" i="40"/>
  <c r="AA12" i="40" s="1"/>
  <c r="H12" i="40"/>
  <c r="AB12" i="40" s="1"/>
  <c r="D46" i="9"/>
  <c r="D16" i="12"/>
  <c r="C21" i="4"/>
  <c r="O5" i="54" s="1"/>
  <c r="B45" i="63" s="1"/>
  <c r="E6" i="6"/>
  <c r="J5" i="77"/>
  <c r="J26" i="77" s="1"/>
  <c r="Q61" i="77"/>
  <c r="E27" i="6"/>
  <c r="E31" i="6" s="1"/>
  <c r="F31" i="6"/>
  <c r="C33" i="77"/>
  <c r="C48" i="77"/>
  <c r="Q75" i="77"/>
  <c r="W19" i="21"/>
  <c r="AC19" i="21"/>
  <c r="AB19" i="21"/>
  <c r="U19" i="21"/>
  <c r="AB15" i="21"/>
  <c r="U15" i="21"/>
  <c r="AC15" i="21"/>
  <c r="W15" i="21"/>
  <c r="C24" i="77"/>
  <c r="C52" i="77"/>
  <c r="C10" i="77"/>
  <c r="C5" i="77" s="1"/>
  <c r="L27" i="6"/>
  <c r="E297" i="3"/>
  <c r="E250" i="3"/>
  <c r="E408" i="3"/>
  <c r="E44" i="3"/>
  <c r="E131" i="3"/>
  <c r="E304" i="3"/>
  <c r="E165" i="3"/>
  <c r="E404" i="3"/>
  <c r="E30" i="3"/>
  <c r="E441" i="3"/>
  <c r="E367" i="3"/>
  <c r="E415" i="3"/>
  <c r="E80" i="3"/>
  <c r="E28" i="3"/>
  <c r="E141" i="3"/>
  <c r="E179" i="3"/>
  <c r="E168" i="3"/>
  <c r="AS6" i="3"/>
  <c r="E34" i="3"/>
  <c r="E444" i="3"/>
  <c r="E407" i="3"/>
  <c r="E383" i="3"/>
  <c r="E398" i="3"/>
  <c r="W6" i="3"/>
  <c r="E232"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238" i="3"/>
  <c r="E237" i="3"/>
  <c r="E100" i="3"/>
  <c r="E223" i="3"/>
  <c r="E399" i="3"/>
  <c r="E317" i="3"/>
  <c r="E119" i="3"/>
  <c r="E500" i="3"/>
  <c r="E97" i="3"/>
  <c r="AE6" i="3"/>
  <c r="E550" i="3"/>
  <c r="E247" i="3"/>
  <c r="E136" i="3"/>
  <c r="E568" i="3"/>
  <c r="E85" i="3"/>
  <c r="E539" i="3"/>
  <c r="E332" i="3"/>
  <c r="E245" i="3"/>
  <c r="E166" i="3"/>
  <c r="E102" i="3"/>
  <c r="O6" i="3"/>
  <c r="E25" i="3"/>
  <c r="E204" i="3"/>
  <c r="E258" i="3"/>
  <c r="E207" i="3"/>
  <c r="E479" i="3"/>
  <c r="E449" i="3"/>
  <c r="E43" i="3"/>
  <c r="E196" i="3"/>
  <c r="E276" i="3"/>
  <c r="E259" i="3"/>
  <c r="E370" i="3"/>
  <c r="E308" i="3"/>
  <c r="E526" i="3"/>
  <c r="E416" i="3"/>
  <c r="E477" i="3"/>
  <c r="E96" i="3"/>
  <c r="E540" i="3"/>
  <c r="E160" i="3"/>
  <c r="E134" i="3"/>
  <c r="E242"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1" i="3"/>
  <c r="E36" i="3"/>
  <c r="E428" i="3"/>
  <c r="E374" i="3"/>
  <c r="E205" i="3"/>
  <c r="E478" i="3"/>
  <c r="E357" i="3"/>
  <c r="J6" i="3"/>
  <c r="E48" i="3"/>
  <c r="E438" i="3"/>
  <c r="E455" i="3"/>
  <c r="E289" i="3"/>
  <c r="E363" i="3"/>
  <c r="E113" i="3"/>
  <c r="E79" i="3"/>
  <c r="E425" i="3"/>
  <c r="E401" i="3"/>
  <c r="E257" i="3"/>
  <c r="E272" i="3"/>
  <c r="E139" i="3"/>
  <c r="E52" i="3"/>
  <c r="E445" i="3"/>
  <c r="E451" i="3"/>
  <c r="E556" i="3"/>
  <c r="U6" i="3"/>
  <c r="E291" i="3"/>
  <c r="E305" i="3"/>
  <c r="E527" i="3"/>
  <c r="E73" i="3"/>
  <c r="E365" i="3"/>
  <c r="E126" i="3"/>
  <c r="E248" i="3"/>
  <c r="E211" i="3"/>
  <c r="E336" i="3"/>
  <c r="Y6" i="3"/>
  <c r="AR6" i="3"/>
  <c r="E466" i="3"/>
  <c r="E65" i="3"/>
  <c r="E51" i="3"/>
  <c r="E513" i="3"/>
  <c r="E198" i="3"/>
  <c r="E345" i="3"/>
  <c r="E281"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AY6" i="3"/>
  <c r="E202" i="3"/>
  <c r="E92" i="3"/>
  <c r="E41" i="3"/>
  <c r="E414" i="3"/>
  <c r="E418" i="3"/>
  <c r="E411" i="3"/>
  <c r="Q6" i="3"/>
  <c r="E33" i="3"/>
  <c r="E447" i="3"/>
  <c r="E547" i="3"/>
  <c r="E32" i="3"/>
  <c r="E274" i="3"/>
  <c r="E170" i="3"/>
  <c r="E201" i="3"/>
  <c r="E89" i="3"/>
  <c r="E295" i="3"/>
  <c r="E492" i="3"/>
  <c r="E161" i="3"/>
  <c r="E157" i="3"/>
  <c r="E270" i="3"/>
  <c r="E280" i="3"/>
  <c r="E395" i="3"/>
  <c r="E561" i="3"/>
  <c r="E23" i="3"/>
  <c r="E443" i="3"/>
  <c r="E265" i="3"/>
  <c r="E194" i="3"/>
  <c r="AM6" i="3"/>
  <c r="E78" i="3"/>
  <c r="E337" i="3"/>
  <c r="E390" i="3"/>
  <c r="E158" i="3"/>
  <c r="E296" i="3"/>
  <c r="E472" i="3"/>
  <c r="E187" i="3"/>
  <c r="E253" i="3"/>
  <c r="E225" i="3"/>
  <c r="E537" i="3"/>
  <c r="E199" i="3"/>
  <c r="E54" i="3"/>
  <c r="E423" i="3"/>
  <c r="E452" i="3"/>
  <c r="E435" i="3"/>
  <c r="E178" i="3"/>
  <c r="E60" i="3"/>
  <c r="E292" i="3"/>
  <c r="I3" i="6"/>
  <c r="E549" i="3"/>
  <c r="E149" i="3"/>
  <c r="E209" i="3"/>
  <c r="E59" i="3"/>
  <c r="E535" i="3"/>
  <c r="E381" i="3"/>
  <c r="E427" i="3"/>
  <c r="E278" i="3"/>
  <c r="E94" i="3"/>
  <c r="E376" i="3"/>
  <c r="E294" i="3"/>
  <c r="E21" i="3"/>
  <c r="E64" i="3"/>
  <c r="E140" i="3"/>
  <c r="E213" i="3"/>
  <c r="E490" i="3"/>
  <c r="E536" i="3"/>
  <c r="E218" i="3"/>
  <c r="E397" i="3"/>
  <c r="E442" i="3"/>
  <c r="E462" i="3"/>
  <c r="E110" i="3"/>
  <c r="E47" i="3"/>
  <c r="E63" i="3"/>
  <c r="E545" i="3"/>
  <c r="E174" i="3"/>
  <c r="E184" i="3"/>
  <c r="E129" i="3"/>
  <c r="E482" i="3"/>
  <c r="E98" i="3"/>
  <c r="E473" i="3"/>
  <c r="E422" i="3"/>
  <c r="N6" i="3"/>
  <c r="E75" i="3"/>
  <c r="E426" i="3"/>
  <c r="E463" i="3"/>
  <c r="E460" i="3"/>
  <c r="E249" i="3"/>
  <c r="E450" i="3"/>
  <c r="E464" i="3"/>
  <c r="AN6" i="3"/>
  <c r="E283" i="3"/>
  <c r="E156" i="3"/>
  <c r="E49" i="3"/>
  <c r="E193" i="3"/>
  <c r="E104" i="3"/>
  <c r="E534" i="3"/>
  <c r="E387" i="3"/>
  <c r="R6" i="3"/>
  <c r="E125" i="3"/>
  <c r="AH6" i="3"/>
  <c r="P6" i="3"/>
  <c r="E343" i="3"/>
  <c r="E84" i="3"/>
  <c r="E142" i="3"/>
  <c r="AP6" i="3"/>
  <c r="E410" i="3"/>
  <c r="E431" i="3"/>
  <c r="E468" i="3"/>
  <c r="E70" i="3"/>
  <c r="E109" i="3"/>
  <c r="E38" i="3"/>
  <c r="E185" i="3"/>
  <c r="E151" i="3"/>
  <c r="E148" i="3"/>
  <c r="E313" i="3"/>
  <c r="E27" i="3"/>
  <c r="E53" i="3"/>
  <c r="E412" i="3"/>
  <c r="E405" i="3"/>
  <c r="E469" i="3"/>
  <c r="E13" i="3"/>
  <c r="E68" i="39"/>
  <c r="M14" i="1"/>
  <c r="K16" i="1"/>
  <c r="N52" i="37"/>
  <c r="G42" i="35"/>
  <c r="H42" i="35" s="1"/>
  <c r="G43" i="35"/>
  <c r="H43" i="35" s="1"/>
  <c r="W7" i="36"/>
  <c r="AC7" i="36"/>
  <c r="V36" i="36" s="1"/>
  <c r="I36" i="36" s="1"/>
  <c r="G59" i="34"/>
  <c r="AA7" i="33"/>
  <c r="R48" i="33" s="1"/>
  <c r="I42" i="35"/>
  <c r="J42" i="35" s="1"/>
  <c r="R39" i="35"/>
  <c r="E38" i="35"/>
  <c r="G41" i="36"/>
  <c r="H41" i="36" s="1"/>
  <c r="G40" i="36"/>
  <c r="H40" i="36" s="1"/>
  <c r="AC7" i="33"/>
  <c r="V48" i="33" s="1"/>
  <c r="I48" i="33" s="1"/>
  <c r="W7" i="33"/>
  <c r="H58" i="21"/>
  <c r="I58" i="21" s="1"/>
  <c r="J58" i="21" s="1"/>
  <c r="K58" i="21" s="1"/>
  <c r="L58" i="21" s="1"/>
  <c r="M58" i="21" s="1"/>
  <c r="N58" i="21" s="1"/>
  <c r="O58" i="21" s="1"/>
  <c r="AA7" i="36"/>
  <c r="R36" i="36" s="1"/>
  <c r="S7" i="36"/>
  <c r="H7" i="33"/>
  <c r="T14" i="46"/>
  <c r="V14" i="46" s="1"/>
  <c r="C36" i="46"/>
  <c r="G36" i="46" s="1"/>
  <c r="I36" i="46" s="1"/>
  <c r="C38" i="46"/>
  <c r="G38" i="46" s="1"/>
  <c r="I38" i="46" s="1"/>
  <c r="C33" i="46"/>
  <c r="E33" i="46" s="1"/>
  <c r="T16" i="46"/>
  <c r="V16" i="46" s="1"/>
  <c r="T10" i="46"/>
  <c r="V10" i="46" s="1"/>
  <c r="T8" i="46"/>
  <c r="V8" i="46" s="1"/>
  <c r="C39" i="46"/>
  <c r="E39" i="46" s="1"/>
  <c r="T9" i="46"/>
  <c r="V9" i="46" s="1"/>
  <c r="C35" i="46"/>
  <c r="G35" i="46" s="1"/>
  <c r="I35" i="46" s="1"/>
  <c r="T13" i="46"/>
  <c r="V13" i="46" s="1"/>
  <c r="T11" i="46"/>
  <c r="V11" i="46" s="1"/>
  <c r="C37" i="46"/>
  <c r="G37" i="46" s="1"/>
  <c r="I37" i="46" s="1"/>
  <c r="T15" i="46"/>
  <c r="V15" i="46" s="1"/>
  <c r="T12" i="46"/>
  <c r="V12" i="46" s="1"/>
  <c r="E34" i="46"/>
  <c r="G34" i="46"/>
  <c r="I34" i="46" s="1"/>
  <c r="J18" i="15"/>
  <c r="J5" i="15"/>
  <c r="C40" i="44"/>
  <c r="J28" i="44"/>
  <c r="J31" i="44" s="1"/>
  <c r="J26" i="44"/>
  <c r="C52" i="15"/>
  <c r="C47" i="15" s="1"/>
  <c r="C10" i="15"/>
  <c r="C5" i="15" s="1"/>
  <c r="C20" i="11"/>
  <c r="C21" i="11" s="1"/>
  <c r="C22" i="11" s="1"/>
  <c r="C23" i="11" s="1"/>
  <c r="B2" i="11" s="1"/>
  <c r="F21" i="43"/>
  <c r="C23" i="43" s="1"/>
  <c r="D21" i="43" s="1"/>
  <c r="F24" i="15"/>
  <c r="C24" i="15" s="1"/>
  <c r="F26" i="12"/>
  <c r="F26" i="44"/>
  <c r="C26" i="44" s="1"/>
  <c r="F41" i="15"/>
  <c r="F41" i="77"/>
  <c r="W12" i="40" l="1"/>
  <c r="S12" i="40"/>
  <c r="H7" i="21"/>
  <c r="AB7" i="21" s="1"/>
  <c r="T48" i="21" s="1"/>
  <c r="G48" i="21" s="1"/>
  <c r="C48" i="78"/>
  <c r="C49" i="78"/>
  <c r="B3" i="78" s="1"/>
  <c r="E52" i="78"/>
  <c r="F52" i="78" s="1"/>
  <c r="E53" i="78"/>
  <c r="F53" i="78" s="1"/>
  <c r="K65" i="40"/>
  <c r="J67" i="40"/>
  <c r="L70" i="39"/>
  <c r="K72" i="39"/>
  <c r="U12" i="40"/>
  <c r="AA12" i="39"/>
  <c r="AC12" i="39"/>
  <c r="U12" i="39"/>
  <c r="AB12" i="39"/>
  <c r="F68" i="15"/>
  <c r="D22" i="12"/>
  <c r="C22" i="12" s="1"/>
  <c r="C20" i="12" s="1"/>
  <c r="D13" i="11"/>
  <c r="C13" i="11" s="1"/>
  <c r="D19" i="12"/>
  <c r="C19" i="12" s="1"/>
  <c r="C16" i="12"/>
  <c r="J24" i="77"/>
  <c r="F68" i="77"/>
  <c r="J29" i="77"/>
  <c r="E37" i="46"/>
  <c r="K20" i="6"/>
  <c r="K19" i="6"/>
  <c r="K25" i="6"/>
  <c r="M25" i="6" s="1"/>
  <c r="I25" i="6" s="1"/>
  <c r="S25" i="6" s="1"/>
  <c r="K26" i="6"/>
  <c r="M26" i="6" s="1"/>
  <c r="I26" i="6" s="1"/>
  <c r="S26" i="6" s="1"/>
  <c r="K22" i="6"/>
  <c r="K23" i="6"/>
  <c r="K21" i="6"/>
  <c r="K24" i="6"/>
  <c r="H6" i="3"/>
  <c r="C47" i="77"/>
  <c r="C59" i="77" s="1"/>
  <c r="G39" i="46"/>
  <c r="I39" i="46" s="1"/>
  <c r="C38" i="77"/>
  <c r="AC6" i="3"/>
  <c r="AY416" i="3"/>
  <c r="AY392" i="3"/>
  <c r="AY68" i="3"/>
  <c r="AY507" i="3"/>
  <c r="AY522" i="3"/>
  <c r="AY521" i="3"/>
  <c r="AY508" i="3"/>
  <c r="AY411" i="3"/>
  <c r="AY552" i="3"/>
  <c r="AY298" i="3"/>
  <c r="AY23" i="3"/>
  <c r="AY551" i="3"/>
  <c r="BE6" i="3"/>
  <c r="AY121" i="3"/>
  <c r="AY167" i="3"/>
  <c r="AY173" i="3"/>
  <c r="AY499" i="3"/>
  <c r="BF6" i="3"/>
  <c r="AY86" i="3"/>
  <c r="AY491" i="3"/>
  <c r="AY482" i="3"/>
  <c r="AY439" i="3"/>
  <c r="AY473" i="3"/>
  <c r="AY59" i="3"/>
  <c r="AY61" i="3"/>
  <c r="AY391" i="3"/>
  <c r="AY313" i="3"/>
  <c r="AY484" i="3"/>
  <c r="AY303" i="3"/>
  <c r="AY42" i="3"/>
  <c r="AY352" i="3"/>
  <c r="AY118" i="3"/>
  <c r="AY459" i="3"/>
  <c r="AY336" i="3"/>
  <c r="AY293" i="3"/>
  <c r="AY111" i="3"/>
  <c r="BH6" i="3"/>
  <c r="AY526" i="3"/>
  <c r="AY309" i="3"/>
  <c r="AY44" i="3"/>
  <c r="AY561" i="3"/>
  <c r="AY406" i="3"/>
  <c r="AY407" i="3"/>
  <c r="AY461" i="3"/>
  <c r="AY186" i="3"/>
  <c r="AY540" i="3"/>
  <c r="AY563" i="3"/>
  <c r="AY84" i="3"/>
  <c r="AY192" i="3"/>
  <c r="AY512" i="3"/>
  <c r="AY362" i="3"/>
  <c r="AY177" i="3"/>
  <c r="AY423" i="3"/>
  <c r="AY228" i="3"/>
  <c r="AY18" i="3"/>
  <c r="AY566" i="3"/>
  <c r="AY488" i="3"/>
  <c r="AY568" i="3"/>
  <c r="AY451" i="3"/>
  <c r="AY54" i="3"/>
  <c r="AY460" i="3"/>
  <c r="AY312" i="3"/>
  <c r="AY444" i="3"/>
  <c r="AY134" i="3"/>
  <c r="AY261" i="3"/>
  <c r="AY354" i="3"/>
  <c r="AY33" i="3"/>
  <c r="AY215" i="3"/>
  <c r="AY387" i="3"/>
  <c r="AY162" i="3"/>
  <c r="AY400" i="3"/>
  <c r="AY441" i="3"/>
  <c r="AY474" i="3"/>
  <c r="AY541" i="3"/>
  <c r="AY306" i="3"/>
  <c r="AY237" i="3"/>
  <c r="AY48" i="3"/>
  <c r="AY454" i="3"/>
  <c r="AY276" i="3"/>
  <c r="AY519" i="3"/>
  <c r="AY288" i="3"/>
  <c r="AY85" i="3"/>
  <c r="AY58" i="3"/>
  <c r="AY250" i="3"/>
  <c r="AY272" i="3"/>
  <c r="AY124" i="3"/>
  <c r="AY271" i="3"/>
  <c r="AY229" i="3"/>
  <c r="AY431" i="3"/>
  <c r="AY34" i="3"/>
  <c r="AY176" i="3"/>
  <c r="AY318" i="3"/>
  <c r="AY22" i="3"/>
  <c r="AY127" i="3"/>
  <c r="AY140" i="3"/>
  <c r="AY66" i="3"/>
  <c r="AY222" i="3"/>
  <c r="AY505" i="3"/>
  <c r="AY357" i="3"/>
  <c r="AY436" i="3"/>
  <c r="AY410" i="3"/>
  <c r="AY125" i="3"/>
  <c r="AY403" i="3"/>
  <c r="AY554" i="3"/>
  <c r="AY539" i="3"/>
  <c r="AY532" i="3"/>
  <c r="AY564" i="3"/>
  <c r="AY212" i="3"/>
  <c r="BB6" i="3"/>
  <c r="AY251" i="3"/>
  <c r="AY296" i="3"/>
  <c r="AY353" i="3"/>
  <c r="AY338" i="3"/>
  <c r="AY284" i="3"/>
  <c r="AY79" i="3"/>
  <c r="AY419" i="3"/>
  <c r="AY243" i="3"/>
  <c r="AY426" i="3"/>
  <c r="AY373" i="3"/>
  <c r="AY301" i="3"/>
  <c r="AY466" i="3"/>
  <c r="AY496" i="3"/>
  <c r="AY523" i="3"/>
  <c r="AY535" i="3"/>
  <c r="AY517" i="3"/>
  <c r="BJ6" i="3"/>
  <c r="AY536" i="3"/>
  <c r="AY94" i="3"/>
  <c r="AY462" i="3"/>
  <c r="AY102" i="3"/>
  <c r="AY533" i="3"/>
  <c r="AY470" i="3"/>
  <c r="AY347" i="3"/>
  <c r="AY19" i="3"/>
  <c r="AY231" i="3"/>
  <c r="AY263" i="3"/>
  <c r="AY421" i="3"/>
  <c r="AY113" i="3"/>
  <c r="AY17" i="3"/>
  <c r="AY325" i="3"/>
  <c r="AY498" i="3"/>
  <c r="AY147" i="3"/>
  <c r="AY218" i="3"/>
  <c r="AY465" i="3"/>
  <c r="AY21" i="3"/>
  <c r="AY141" i="3"/>
  <c r="AY80" i="3"/>
  <c r="AY126" i="3"/>
  <c r="AY55" i="3"/>
  <c r="AY310" i="3"/>
  <c r="AY340" i="3"/>
  <c r="AY278" i="3"/>
  <c r="AY35" i="3"/>
  <c r="AY92" i="3"/>
  <c r="AY187" i="3"/>
  <c r="AY335" i="3"/>
  <c r="AY369" i="3"/>
  <c r="AY544" i="3"/>
  <c r="AY24" i="3"/>
  <c r="AY494" i="3"/>
  <c r="AY515" i="3"/>
  <c r="AY290" i="3"/>
  <c r="AY46" i="3"/>
  <c r="AY569" i="3"/>
  <c r="AY371" i="3"/>
  <c r="AY283" i="3"/>
  <c r="AY380" i="3"/>
  <c r="AY396" i="3"/>
  <c r="AY245" i="3"/>
  <c r="AY239" i="3"/>
  <c r="AY107" i="3"/>
  <c r="AY152" i="3"/>
  <c r="AY546" i="3"/>
  <c r="AY417" i="3"/>
  <c r="AY163" i="3"/>
  <c r="AY492" i="3"/>
  <c r="AY355" i="3"/>
  <c r="BR6" i="3"/>
  <c r="AY285" i="3"/>
  <c r="AY327" i="3"/>
  <c r="AY538" i="3"/>
  <c r="AY557" i="3"/>
  <c r="AY418" i="3"/>
  <c r="AY289" i="3"/>
  <c r="AY130" i="3"/>
  <c r="AY331" i="3"/>
  <c r="AY164" i="3"/>
  <c r="AY509" i="3"/>
  <c r="BM6" i="3"/>
  <c r="AY252" i="3"/>
  <c r="AY205" i="3"/>
  <c r="AY377" i="3"/>
  <c r="AY468" i="3"/>
  <c r="AY297" i="3"/>
  <c r="AY210" i="3"/>
  <c r="AY490" i="3"/>
  <c r="BO6" i="3"/>
  <c r="AY393" i="3"/>
  <c r="AY189" i="3"/>
  <c r="AY395" i="3"/>
  <c r="AY322" i="3"/>
  <c r="AY281" i="3"/>
  <c r="AY40" i="3"/>
  <c r="AY475" i="3"/>
  <c r="AY60" i="3"/>
  <c r="AY240" i="3"/>
  <c r="AY108" i="3"/>
  <c r="AY506" i="3"/>
  <c r="AY483" i="3"/>
  <c r="AY559" i="3"/>
  <c r="AY185" i="3"/>
  <c r="AY375" i="3"/>
  <c r="AY447" i="3"/>
  <c r="AY153" i="3"/>
  <c r="AY299" i="3"/>
  <c r="AY78" i="3"/>
  <c r="AY208" i="3"/>
  <c r="AY20" i="3"/>
  <c r="AY503" i="3"/>
  <c r="AY247" i="3"/>
  <c r="AY415" i="3"/>
  <c r="AY112" i="3"/>
  <c r="AY518" i="3"/>
  <c r="AY456" i="3"/>
  <c r="AY388" i="3"/>
  <c r="AY370" i="3"/>
  <c r="AY323" i="3"/>
  <c r="BT6" i="3"/>
  <c r="AY319" i="3"/>
  <c r="AY413" i="3"/>
  <c r="AY166" i="3"/>
  <c r="AY367" i="3"/>
  <c r="BG6" i="3"/>
  <c r="AY165" i="3"/>
  <c r="AY255" i="3"/>
  <c r="AY452" i="3"/>
  <c r="AY477" i="3"/>
  <c r="AY511" i="3"/>
  <c r="AY332" i="3"/>
  <c r="AY119" i="3"/>
  <c r="AY513" i="3"/>
  <c r="AY524" i="3"/>
  <c r="AY56" i="3"/>
  <c r="AY390" i="3"/>
  <c r="AY562" i="3"/>
  <c r="AY428" i="3"/>
  <c r="AY438" i="3"/>
  <c r="AY179" i="3"/>
  <c r="AY560" i="3"/>
  <c r="AY16" i="3"/>
  <c r="AY525" i="3"/>
  <c r="AY445" i="3"/>
  <c r="AY437" i="3"/>
  <c r="AY273" i="3"/>
  <c r="AY158" i="3"/>
  <c r="AY219" i="3"/>
  <c r="BA6" i="3"/>
  <c r="AY211" i="3"/>
  <c r="AY32" i="3"/>
  <c r="AY458" i="3"/>
  <c r="AY242" i="3"/>
  <c r="AY385" i="3"/>
  <c r="AY220" i="3"/>
  <c r="AY404" i="3"/>
  <c r="AY534" i="3"/>
  <c r="AY434" i="3"/>
  <c r="AY334" i="3"/>
  <c r="AY469" i="3"/>
  <c r="AY571" i="3"/>
  <c r="AY110" i="3"/>
  <c r="AY213" i="3"/>
  <c r="AY547" i="3"/>
  <c r="AY339" i="3"/>
  <c r="AY363" i="3"/>
  <c r="AY495" i="3"/>
  <c r="AY195" i="3"/>
  <c r="AY440" i="3"/>
  <c r="AY71" i="3"/>
  <c r="AY63" i="3"/>
  <c r="AY328" i="3"/>
  <c r="AY351" i="3"/>
  <c r="AY174" i="3"/>
  <c r="AY199" i="3"/>
  <c r="AY399" i="3"/>
  <c r="AY244" i="3"/>
  <c r="AY485" i="3"/>
  <c r="AY531" i="3"/>
  <c r="AY151" i="3"/>
  <c r="AY184" i="3"/>
  <c r="AY453" i="3"/>
  <c r="AY29" i="3"/>
  <c r="AY316" i="3"/>
  <c r="AY138" i="3"/>
  <c r="AY471" i="3"/>
  <c r="AY365" i="3"/>
  <c r="AY171" i="3"/>
  <c r="AY409" i="3"/>
  <c r="AY368" i="3"/>
  <c r="AY259" i="3"/>
  <c r="AY75" i="3"/>
  <c r="AY154" i="3"/>
  <c r="AY510" i="3"/>
  <c r="AY207" i="3"/>
  <c r="AY268" i="3"/>
  <c r="AY320" i="3"/>
  <c r="AY314" i="3"/>
  <c r="AY430" i="3"/>
  <c r="AY156" i="3"/>
  <c r="AY424" i="3"/>
  <c r="AY558" i="3"/>
  <c r="AY38" i="3"/>
  <c r="AY114" i="3"/>
  <c r="AY556" i="3"/>
  <c r="AY274" i="3"/>
  <c r="AY13" i="3"/>
  <c r="AY91" i="3"/>
  <c r="AY543" i="3"/>
  <c r="BC6" i="3"/>
  <c r="AY457" i="3"/>
  <c r="AY101" i="3"/>
  <c r="AY346" i="3"/>
  <c r="AY350" i="3"/>
  <c r="AY65" i="3"/>
  <c r="AY181" i="3"/>
  <c r="AY317" i="3"/>
  <c r="AY31" i="3"/>
  <c r="AY105" i="3"/>
  <c r="AY67" i="3"/>
  <c r="AY82" i="3"/>
  <c r="AY41" i="3"/>
  <c r="AY128" i="3"/>
  <c r="AY504" i="3"/>
  <c r="AY182" i="3"/>
  <c r="AY175" i="3"/>
  <c r="AY264" i="3"/>
  <c r="AY467" i="3"/>
  <c r="AY479" i="3"/>
  <c r="AY139" i="3"/>
  <c r="AY364" i="3"/>
  <c r="AY70" i="3"/>
  <c r="AY238" i="3"/>
  <c r="BK6" i="3"/>
  <c r="AY115" i="3"/>
  <c r="AY435" i="3"/>
  <c r="AY230" i="3"/>
  <c r="AY132" i="3"/>
  <c r="AY305" i="3"/>
  <c r="AY405" i="3"/>
  <c r="AY429" i="3"/>
  <c r="AY442" i="3"/>
  <c r="AY43" i="3"/>
  <c r="AY572" i="3"/>
  <c r="AY501" i="3"/>
  <c r="AY99" i="3"/>
  <c r="AY481" i="3"/>
  <c r="AY103" i="3"/>
  <c r="AY204" i="3"/>
  <c r="AY150" i="3"/>
  <c r="AY216" i="3"/>
  <c r="AY432" i="3"/>
  <c r="AY28" i="3"/>
  <c r="AY280" i="3"/>
  <c r="AY311" i="3"/>
  <c r="AY172" i="3"/>
  <c r="AY257" i="3"/>
  <c r="BS6" i="3"/>
  <c r="AY254" i="3"/>
  <c r="AY394" i="3"/>
  <c r="AY359" i="3"/>
  <c r="AY282" i="3"/>
  <c r="AY530" i="3"/>
  <c r="AY87" i="3"/>
  <c r="AY97" i="3"/>
  <c r="AY109" i="3"/>
  <c r="AY198" i="3"/>
  <c r="AY142" i="3"/>
  <c r="AY77" i="3"/>
  <c r="AY537" i="3"/>
  <c r="AY73" i="3"/>
  <c r="AY144" i="3"/>
  <c r="AY57" i="3"/>
  <c r="AY136" i="3"/>
  <c r="AY262" i="3"/>
  <c r="AY232" i="3"/>
  <c r="AY349" i="3"/>
  <c r="AY448" i="3"/>
  <c r="AY397" i="3"/>
  <c r="AY49" i="3"/>
  <c r="AY149" i="3"/>
  <c r="AY381" i="3"/>
  <c r="AY379" i="3"/>
  <c r="AY326" i="3"/>
  <c r="AY463" i="3"/>
  <c r="AY178" i="3"/>
  <c r="AY135" i="3"/>
  <c r="AY294" i="3"/>
  <c r="AY372" i="3"/>
  <c r="AY550" i="3"/>
  <c r="AY62" i="3"/>
  <c r="AY269" i="3"/>
  <c r="AY376" i="3"/>
  <c r="AY389" i="3"/>
  <c r="AY196" i="3"/>
  <c r="AY570" i="3"/>
  <c r="AY292" i="3"/>
  <c r="AY180" i="3"/>
  <c r="AY51" i="3"/>
  <c r="AY89" i="3"/>
  <c r="AY345" i="3"/>
  <c r="AY300" i="3"/>
  <c r="AY514" i="3"/>
  <c r="AY133" i="3"/>
  <c r="AY527" i="3"/>
  <c r="AY356" i="3"/>
  <c r="AY200" i="3"/>
  <c r="AY100" i="3"/>
  <c r="AY486" i="3"/>
  <c r="AY209" i="3"/>
  <c r="AY226" i="3"/>
  <c r="AY253" i="3"/>
  <c r="AY386" i="3"/>
  <c r="AY224" i="3"/>
  <c r="AY493" i="3"/>
  <c r="AY64" i="3"/>
  <c r="AY443" i="3"/>
  <c r="AY148" i="3"/>
  <c r="AY446" i="3"/>
  <c r="AY221" i="3"/>
  <c r="AY500" i="3"/>
  <c r="AY489" i="3"/>
  <c r="AY287" i="3"/>
  <c r="AY15" i="3"/>
  <c r="AY497" i="3"/>
  <c r="AY567" i="3"/>
  <c r="AY478" i="3"/>
  <c r="AY93" i="3"/>
  <c r="AY270" i="3"/>
  <c r="AY260" i="3"/>
  <c r="AY487" i="3"/>
  <c r="AY502" i="3"/>
  <c r="AY455" i="3"/>
  <c r="AY433" i="3"/>
  <c r="AY545" i="3"/>
  <c r="AY267" i="3"/>
  <c r="AY401" i="3"/>
  <c r="AY235" i="3"/>
  <c r="AY190" i="3"/>
  <c r="AY223" i="3"/>
  <c r="AY344" i="3"/>
  <c r="AY358" i="3"/>
  <c r="AY90" i="3"/>
  <c r="AY480" i="3"/>
  <c r="AY553" i="3"/>
  <c r="BP6" i="3"/>
  <c r="AY565" i="3"/>
  <c r="AY137" i="3"/>
  <c r="AY360" i="3"/>
  <c r="BQ6" i="3"/>
  <c r="AY225" i="3"/>
  <c r="AY249" i="3"/>
  <c r="AY520" i="3"/>
  <c r="AY206" i="3"/>
  <c r="AY131" i="3"/>
  <c r="AY329" i="3"/>
  <c r="AY233" i="3"/>
  <c r="AY96" i="3"/>
  <c r="AY472" i="3"/>
  <c r="AY248" i="3"/>
  <c r="AY145" i="3"/>
  <c r="AY160" i="3"/>
  <c r="BL6" i="3"/>
  <c r="BD6" i="3"/>
  <c r="BN6" i="3"/>
  <c r="AY27" i="3"/>
  <c r="AY193" i="3"/>
  <c r="AY378" i="3"/>
  <c r="AY14" i="3"/>
  <c r="AY266" i="3"/>
  <c r="AY120" i="3"/>
  <c r="AY227" i="3"/>
  <c r="AY304" i="3"/>
  <c r="AY414" i="3"/>
  <c r="AY275" i="3"/>
  <c r="AY191" i="3"/>
  <c r="AY449" i="3"/>
  <c r="AY330" i="3"/>
  <c r="AY201" i="3"/>
  <c r="AY412" i="3"/>
  <c r="AY307" i="3"/>
  <c r="AY161" i="3"/>
  <c r="AY50" i="3"/>
  <c r="AY265" i="3"/>
  <c r="AY343" i="3"/>
  <c r="AY402" i="3"/>
  <c r="AY234" i="3"/>
  <c r="AY47" i="3"/>
  <c r="AY159" i="3"/>
  <c r="D3" i="6"/>
  <c r="Y164" i="86" s="1"/>
  <c r="G3" i="46" s="1"/>
  <c r="AY37" i="3"/>
  <c r="AY203" i="3"/>
  <c r="AY95" i="3"/>
  <c r="AY83" i="3"/>
  <c r="AY45" i="3"/>
  <c r="AY277" i="3"/>
  <c r="AY384" i="3"/>
  <c r="AY425" i="3"/>
  <c r="AY202" i="3"/>
  <c r="AY286" i="3"/>
  <c r="AY398" i="3"/>
  <c r="AY169" i="3"/>
  <c r="AY348" i="3"/>
  <c r="AY72" i="3"/>
  <c r="AY241" i="3"/>
  <c r="AY30" i="3"/>
  <c r="AY54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256" i="3"/>
  <c r="AY464" i="3"/>
  <c r="AY81" i="3"/>
  <c r="AY295" i="3"/>
  <c r="AY342" i="3"/>
  <c r="AY194" i="3"/>
  <c r="AY279" i="3"/>
  <c r="AY155" i="3"/>
  <c r="AY450" i="3"/>
  <c r="AY302" i="3"/>
  <c r="AY122" i="3"/>
  <c r="BI6" i="3"/>
  <c r="M16" i="1"/>
  <c r="O14" i="1"/>
  <c r="O16" i="1" s="1"/>
  <c r="G33" i="46"/>
  <c r="I33" i="46" s="1"/>
  <c r="E35" i="46"/>
  <c r="E36" i="46"/>
  <c r="E38" i="46"/>
  <c r="U7" i="33"/>
  <c r="AB7" i="33"/>
  <c r="T48" i="33" s="1"/>
  <c r="G48" i="33" s="1"/>
  <c r="R37" i="36"/>
  <c r="E36" i="36"/>
  <c r="I41" i="36" s="1"/>
  <c r="J41" i="36" s="1"/>
  <c r="I52" i="33"/>
  <c r="J52" i="33" s="1"/>
  <c r="C39" i="35"/>
  <c r="B3" i="35" s="1"/>
  <c r="B2" i="35" s="1"/>
  <c r="C38" i="35"/>
  <c r="I40" i="36"/>
  <c r="J40" i="36" s="1"/>
  <c r="F7" i="21"/>
  <c r="O52" i="37"/>
  <c r="F7" i="37" s="1"/>
  <c r="H7" i="37"/>
  <c r="J7" i="37"/>
  <c r="U7" i="21"/>
  <c r="E43" i="35"/>
  <c r="F43" i="35" s="1"/>
  <c r="E42" i="35"/>
  <c r="F42" i="35" s="1"/>
  <c r="I43" i="35"/>
  <c r="J43" i="35" s="1"/>
  <c r="R49" i="33"/>
  <c r="E48" i="33"/>
  <c r="H59" i="34"/>
  <c r="J7" i="21"/>
  <c r="C65" i="15"/>
  <c r="C59" i="15"/>
  <c r="B3" i="11"/>
  <c r="C27" i="12"/>
  <c r="D26" i="12" s="1"/>
  <c r="C32" i="12" s="1"/>
  <c r="D30" i="12" s="1"/>
  <c r="J26" i="15"/>
  <c r="J29" i="15" s="1"/>
  <c r="J24" i="15"/>
  <c r="C38" i="15"/>
  <c r="Q58" i="44"/>
  <c r="Q67" i="44"/>
  <c r="Q49" i="44"/>
  <c r="Q55" i="44" s="1"/>
  <c r="F7" i="67"/>
  <c r="H22" i="46" l="1"/>
  <c r="C101" i="46"/>
  <c r="N104" i="45"/>
  <c r="AB11" i="46"/>
  <c r="AB13" i="46" s="1"/>
  <c r="E22" i="46"/>
  <c r="J101" i="46"/>
  <c r="AE11" i="46"/>
  <c r="AE13" i="46" s="1"/>
  <c r="AH11" i="46"/>
  <c r="AH13" i="46" s="1"/>
  <c r="K101" i="46"/>
  <c r="L101" i="46"/>
  <c r="G101" i="46"/>
  <c r="I101" i="46"/>
  <c r="AC11" i="46"/>
  <c r="AC13" i="46" s="1"/>
  <c r="Y11" i="46"/>
  <c r="Y13" i="46" s="1"/>
  <c r="H101" i="46"/>
  <c r="Z7" i="46"/>
  <c r="AF11" i="46"/>
  <c r="AF13" i="46" s="1"/>
  <c r="Z11" i="46"/>
  <c r="Z13" i="46" s="1"/>
  <c r="C23" i="46"/>
  <c r="AA11" i="46"/>
  <c r="AA13" i="46" s="1"/>
  <c r="F22" i="46"/>
  <c r="N101" i="46"/>
  <c r="AI11" i="46"/>
  <c r="AI13" i="46" s="1"/>
  <c r="AG11" i="46"/>
  <c r="AG13" i="46" s="1"/>
  <c r="E101" i="46"/>
  <c r="B113" i="46"/>
  <c r="AD11" i="46"/>
  <c r="AD13" i="46" s="1"/>
  <c r="F101" i="46"/>
  <c r="AJ11" i="46"/>
  <c r="AJ13" i="46" s="1"/>
  <c r="M101" i="46"/>
  <c r="G22" i="46"/>
  <c r="D101" i="46"/>
  <c r="B5" i="11"/>
  <c r="L72" i="39"/>
  <c r="M70" i="39"/>
  <c r="K67" i="40"/>
  <c r="L65" i="40"/>
  <c r="F8" i="12"/>
  <c r="B2" i="78"/>
  <c r="B4" i="11"/>
  <c r="C60" i="77"/>
  <c r="C65" i="77"/>
  <c r="E6" i="3"/>
  <c r="S11" i="1"/>
  <c r="M24" i="6"/>
  <c r="I24" i="6" s="1"/>
  <c r="S24" i="6" s="1"/>
  <c r="M23" i="6"/>
  <c r="I23" i="6" s="1"/>
  <c r="S23" i="6" s="1"/>
  <c r="S10" i="1"/>
  <c r="S6" i="1"/>
  <c r="K27" i="6"/>
  <c r="M19" i="6"/>
  <c r="M21" i="6"/>
  <c r="I21" i="6" s="1"/>
  <c r="S21" i="6" s="1"/>
  <c r="S8" i="1"/>
  <c r="M22" i="6"/>
  <c r="I22" i="6" s="1"/>
  <c r="S22" i="6" s="1"/>
  <c r="S9" i="1"/>
  <c r="M20" i="6"/>
  <c r="I20" i="6" s="1"/>
  <c r="S20" i="6" s="1"/>
  <c r="S7" i="1"/>
  <c r="C40" i="39"/>
  <c r="B24" i="31"/>
  <c r="D22" i="6"/>
  <c r="K38" i="9"/>
  <c r="C14" i="66" s="1"/>
  <c r="D8" i="6"/>
  <c r="E46" i="9"/>
  <c r="D24" i="6"/>
  <c r="D25" i="6"/>
  <c r="D21" i="6"/>
  <c r="D5" i="6"/>
  <c r="C22" i="4"/>
  <c r="D20" i="6"/>
  <c r="E63" i="40"/>
  <c r="F46" i="9"/>
  <c r="D6" i="6"/>
  <c r="D23" i="6"/>
  <c r="D9" i="6"/>
  <c r="D19" i="6"/>
  <c r="D29" i="6"/>
  <c r="D28" i="6"/>
  <c r="D12" i="6"/>
  <c r="D14" i="6"/>
  <c r="D26" i="6"/>
  <c r="D11" i="6"/>
  <c r="D15" i="6"/>
  <c r="D13" i="6"/>
  <c r="D10" i="6"/>
  <c r="H26" i="6"/>
  <c r="H21" i="6"/>
  <c r="H23" i="6"/>
  <c r="R23" i="6" s="1"/>
  <c r="R10" i="1" s="1"/>
  <c r="H24" i="6"/>
  <c r="H25" i="6"/>
  <c r="H20" i="6"/>
  <c r="P14" i="1"/>
  <c r="P16" i="1" s="1"/>
  <c r="C13" i="12" s="1"/>
  <c r="C13" i="43"/>
  <c r="N16" i="1"/>
  <c r="C29" i="43" s="1"/>
  <c r="L16" i="1"/>
  <c r="E53" i="33"/>
  <c r="F53" i="33" s="1"/>
  <c r="E52" i="33"/>
  <c r="F52" i="33" s="1"/>
  <c r="G52" i="21"/>
  <c r="H52" i="21" s="1"/>
  <c r="U7" i="37"/>
  <c r="AB7" i="37"/>
  <c r="T42" i="37" s="1"/>
  <c r="G42" i="37" s="1"/>
  <c r="AA7" i="21"/>
  <c r="R48" i="21" s="1"/>
  <c r="S7" i="21"/>
  <c r="C36" i="36"/>
  <c r="C37" i="36"/>
  <c r="B3" i="36" s="1"/>
  <c r="B2" i="36" s="1"/>
  <c r="AC7" i="21"/>
  <c r="V48" i="21" s="1"/>
  <c r="I48" i="21" s="1"/>
  <c r="W7" i="21"/>
  <c r="I59" i="34"/>
  <c r="C48" i="33"/>
  <c r="C49" i="33"/>
  <c r="B3" i="33" s="1"/>
  <c r="B2" i="33" s="1"/>
  <c r="AC7" i="37"/>
  <c r="V42" i="37" s="1"/>
  <c r="I42" i="37" s="1"/>
  <c r="W7" i="37"/>
  <c r="AA7" i="37"/>
  <c r="R42" i="37" s="1"/>
  <c r="S7" i="37"/>
  <c r="I53" i="33"/>
  <c r="J53" i="33" s="1"/>
  <c r="E40" i="36"/>
  <c r="F40" i="36" s="1"/>
  <c r="E41" i="36"/>
  <c r="F41" i="36" s="1"/>
  <c r="G52" i="33"/>
  <c r="H52" i="33" s="1"/>
  <c r="G53" i="33"/>
  <c r="H53" i="33" s="1"/>
  <c r="E4" i="67"/>
  <c r="D77" i="9"/>
  <c r="N75" i="9" s="1"/>
  <c r="F35" i="15"/>
  <c r="B7" i="67"/>
  <c r="E7" i="67"/>
  <c r="M21" i="15"/>
  <c r="C17" i="77"/>
  <c r="C17" i="15"/>
  <c r="D102" i="46" l="1"/>
  <c r="D105" i="46"/>
  <c r="D106" i="46"/>
  <c r="D103" i="46"/>
  <c r="D107" i="46"/>
  <c r="D109" i="46"/>
  <c r="D104" i="46"/>
  <c r="M104" i="46"/>
  <c r="M106" i="46"/>
  <c r="M103" i="46"/>
  <c r="M102" i="46"/>
  <c r="M107" i="46"/>
  <c r="M105" i="46"/>
  <c r="M109" i="46"/>
  <c r="F106" i="46"/>
  <c r="F109" i="46"/>
  <c r="F107" i="46"/>
  <c r="F103" i="46"/>
  <c r="F104" i="46"/>
  <c r="F102" i="46"/>
  <c r="F105" i="46"/>
  <c r="D118" i="46"/>
  <c r="E118" i="46" s="1"/>
  <c r="F118" i="46" s="1"/>
  <c r="B117" i="46"/>
  <c r="C117" i="46" s="1"/>
  <c r="B115" i="46"/>
  <c r="D117" i="46"/>
  <c r="E117" i="46" s="1"/>
  <c r="F117" i="46" s="1"/>
  <c r="G117" i="46" s="1"/>
  <c r="H117" i="46" s="1"/>
  <c r="I116" i="46"/>
  <c r="J116" i="46" s="1"/>
  <c r="K116" i="46" s="1"/>
  <c r="L116" i="46" s="1"/>
  <c r="M116" i="46" s="1"/>
  <c r="I117" i="46"/>
  <c r="J117" i="46" s="1"/>
  <c r="K117" i="46" s="1"/>
  <c r="L117" i="46" s="1"/>
  <c r="M117" i="46" s="1"/>
  <c r="B118" i="46"/>
  <c r="C118" i="46" s="1"/>
  <c r="D116" i="46"/>
  <c r="E116" i="46" s="1"/>
  <c r="F116" i="46" s="1"/>
  <c r="G116" i="46" s="1"/>
  <c r="H116" i="46" s="1"/>
  <c r="D115" i="46"/>
  <c r="E115" i="46" s="1"/>
  <c r="F115" i="46" s="1"/>
  <c r="G115" i="46" s="1"/>
  <c r="H115" i="46" s="1"/>
  <c r="I118" i="46"/>
  <c r="J118" i="46" s="1"/>
  <c r="K118" i="46" s="1"/>
  <c r="L118" i="46" s="1"/>
  <c r="M118" i="46" s="1"/>
  <c r="G118" i="46"/>
  <c r="H118" i="46" s="1"/>
  <c r="I115" i="46"/>
  <c r="J115" i="46" s="1"/>
  <c r="K115" i="46" s="1"/>
  <c r="L115" i="46" s="1"/>
  <c r="M115" i="46" s="1"/>
  <c r="B116" i="46"/>
  <c r="C116" i="46" s="1"/>
  <c r="N105" i="46"/>
  <c r="N106" i="46"/>
  <c r="N102" i="46"/>
  <c r="N109" i="46"/>
  <c r="N107" i="46"/>
  <c r="N104" i="46"/>
  <c r="N103" i="46"/>
  <c r="I106" i="46"/>
  <c r="I104" i="46"/>
  <c r="I107" i="46"/>
  <c r="I102" i="46"/>
  <c r="I109" i="46"/>
  <c r="I103" i="46"/>
  <c r="I105" i="46"/>
  <c r="L105" i="46"/>
  <c r="L102" i="46"/>
  <c r="L107" i="46"/>
  <c r="L106" i="46"/>
  <c r="L104" i="46"/>
  <c r="L109" i="46"/>
  <c r="L103" i="46"/>
  <c r="J106" i="46"/>
  <c r="J107" i="46"/>
  <c r="J105" i="46"/>
  <c r="J103" i="46"/>
  <c r="J102" i="46"/>
  <c r="J104" i="46"/>
  <c r="J109" i="46"/>
  <c r="C109" i="46"/>
  <c r="C103" i="46"/>
  <c r="C104" i="46"/>
  <c r="C102" i="46"/>
  <c r="C107" i="46"/>
  <c r="C106" i="46"/>
  <c r="C105" i="46"/>
  <c r="E102" i="46"/>
  <c r="E104" i="46"/>
  <c r="E105" i="46"/>
  <c r="E103" i="46"/>
  <c r="E106" i="46"/>
  <c r="E107" i="46"/>
  <c r="E109" i="46"/>
  <c r="H103" i="46"/>
  <c r="H109" i="46"/>
  <c r="H105" i="46"/>
  <c r="H102" i="46"/>
  <c r="H106" i="46"/>
  <c r="H107" i="46"/>
  <c r="H104" i="46"/>
  <c r="G109" i="46"/>
  <c r="G106" i="46"/>
  <c r="G103" i="46"/>
  <c r="G104" i="46"/>
  <c r="G102" i="46"/>
  <c r="G107" i="46"/>
  <c r="G105" i="46"/>
  <c r="K103" i="46"/>
  <c r="K105" i="46"/>
  <c r="K102" i="46"/>
  <c r="K109" i="46"/>
  <c r="K106" i="46"/>
  <c r="K104" i="46"/>
  <c r="K107" i="46"/>
  <c r="D22" i="46"/>
  <c r="H22" i="6"/>
  <c r="R22" i="6" s="1"/>
  <c r="R9" i="1" s="1"/>
  <c r="M65" i="40"/>
  <c r="L67" i="40"/>
  <c r="N70" i="39"/>
  <c r="N72" i="39" s="1"/>
  <c r="M72" i="39"/>
  <c r="F9" i="39" s="1"/>
  <c r="R20" i="6"/>
  <c r="R7" i="1" s="1"/>
  <c r="R24" i="6"/>
  <c r="R11" i="1" s="1"/>
  <c r="R21" i="6"/>
  <c r="M27" i="6"/>
  <c r="I19" i="6"/>
  <c r="S16" i="1"/>
  <c r="T11" i="1" s="1"/>
  <c r="C26" i="31"/>
  <c r="R26" i="31" s="1"/>
  <c r="S26" i="31" s="1"/>
  <c r="B22" i="31"/>
  <c r="C25" i="31"/>
  <c r="R25" i="31" s="1"/>
  <c r="S25" i="31" s="1"/>
  <c r="C27" i="31"/>
  <c r="R27" i="31" s="1"/>
  <c r="S27" i="31" s="1"/>
  <c r="S24" i="31"/>
  <c r="J40" i="39"/>
  <c r="F40" i="39"/>
  <c r="H40" i="39"/>
  <c r="R8" i="1"/>
  <c r="C34" i="15"/>
  <c r="F62" i="15"/>
  <c r="C61" i="15" s="1"/>
  <c r="J20" i="15"/>
  <c r="R25" i="6"/>
  <c r="R26" i="6"/>
  <c r="D30" i="6"/>
  <c r="D27" i="6"/>
  <c r="D16" i="6"/>
  <c r="A6" i="51"/>
  <c r="B7" i="63" s="1"/>
  <c r="N5" i="54"/>
  <c r="B43" i="63" s="1"/>
  <c r="A20" i="51"/>
  <c r="B15" i="63" s="1"/>
  <c r="A20" i="64"/>
  <c r="A6" i="64"/>
  <c r="C17" i="12"/>
  <c r="C14" i="12"/>
  <c r="C14" i="43"/>
  <c r="C17" i="43"/>
  <c r="G46" i="37"/>
  <c r="H46" i="37" s="1"/>
  <c r="G47" i="37"/>
  <c r="H47" i="37" s="1"/>
  <c r="R43" i="37"/>
  <c r="E42" i="37"/>
  <c r="I46" i="37"/>
  <c r="J46" i="37" s="1"/>
  <c r="I47" i="37"/>
  <c r="J47" i="37" s="1"/>
  <c r="J59" i="34"/>
  <c r="I52" i="21"/>
  <c r="J52" i="21" s="1"/>
  <c r="R49" i="21"/>
  <c r="E48" i="21"/>
  <c r="G53" i="21"/>
  <c r="H53" i="21" s="1"/>
  <c r="E3" i="67"/>
  <c r="B2" i="67"/>
  <c r="F35" i="77"/>
  <c r="M21" i="77"/>
  <c r="C14" i="77"/>
  <c r="S6" i="46" l="1"/>
  <c r="T6" i="46" s="1"/>
  <c r="V6" i="46" s="1"/>
  <c r="S3" i="46"/>
  <c r="T3" i="46" s="1"/>
  <c r="V3" i="46" s="1"/>
  <c r="S2" i="46"/>
  <c r="T2" i="46" s="1"/>
  <c r="V2" i="46" s="1"/>
  <c r="S5" i="46"/>
  <c r="T5" i="46" s="1"/>
  <c r="V5" i="46" s="1"/>
  <c r="S4" i="46"/>
  <c r="T4" i="46" s="1"/>
  <c r="V4" i="46" s="1"/>
  <c r="S7" i="46"/>
  <c r="T7" i="46" s="1"/>
  <c r="V7" i="46" s="1"/>
  <c r="C115" i="46"/>
  <c r="D113" i="46" s="1"/>
  <c r="J22" i="46" s="1"/>
  <c r="C21" i="46" s="1"/>
  <c r="C29" i="46" s="1"/>
  <c r="S9" i="39"/>
  <c r="AA9" i="39"/>
  <c r="N65" i="40"/>
  <c r="N67" i="40" s="1"/>
  <c r="J9" i="40" s="1"/>
  <c r="M67" i="40"/>
  <c r="H9" i="40" s="1"/>
  <c r="J9" i="39"/>
  <c r="H9" i="39"/>
  <c r="J20" i="77"/>
  <c r="C34" i="77"/>
  <c r="C31" i="77" s="1"/>
  <c r="F62" i="77"/>
  <c r="C61" i="77" s="1"/>
  <c r="C58" i="77" s="1"/>
  <c r="C18" i="77"/>
  <c r="C15" i="77"/>
  <c r="T7" i="1"/>
  <c r="T6" i="1"/>
  <c r="H19" i="6"/>
  <c r="S19" i="6"/>
  <c r="S27" i="6" s="1"/>
  <c r="I27" i="6"/>
  <c r="T10" i="1"/>
  <c r="T12" i="1"/>
  <c r="T13" i="1"/>
  <c r="T8" i="1"/>
  <c r="T9" i="1"/>
  <c r="AA40" i="39"/>
  <c r="S40" i="39"/>
  <c r="AB40" i="39"/>
  <c r="U40" i="39"/>
  <c r="AC40" i="39"/>
  <c r="W40" i="39"/>
  <c r="S22" i="31"/>
  <c r="D31" i="6"/>
  <c r="C18" i="12"/>
  <c r="C23" i="12" s="1"/>
  <c r="C18" i="43"/>
  <c r="C49" i="21"/>
  <c r="C48" i="21"/>
  <c r="K59" i="34"/>
  <c r="C43" i="37"/>
  <c r="B3" i="37" s="1"/>
  <c r="B2" i="37" s="1"/>
  <c r="C42" i="37"/>
  <c r="U9" i="40"/>
  <c r="AB9" i="40"/>
  <c r="T44" i="40" s="1"/>
  <c r="G44" i="40" s="1"/>
  <c r="E52" i="21"/>
  <c r="F52" i="21" s="1"/>
  <c r="E53" i="21"/>
  <c r="F53" i="21" s="1"/>
  <c r="I53" i="21"/>
  <c r="J53" i="21" s="1"/>
  <c r="E47" i="37"/>
  <c r="F47" i="37" s="1"/>
  <c r="E46" i="37"/>
  <c r="F46" i="37" s="1"/>
  <c r="B3" i="67"/>
  <c r="B4" i="67"/>
  <c r="C16" i="44"/>
  <c r="C14" i="15"/>
  <c r="C8" i="12" l="1"/>
  <c r="E8" i="12" s="1"/>
  <c r="C30" i="46"/>
  <c r="E30" i="46" s="1"/>
  <c r="C27" i="46" s="1"/>
  <c r="E29" i="46"/>
  <c r="C26" i="46" s="1"/>
  <c r="B2" i="46" s="1"/>
  <c r="W9" i="40"/>
  <c r="AC9" i="40"/>
  <c r="V44" i="40" s="1"/>
  <c r="I44" i="40" s="1"/>
  <c r="I48" i="40" s="1"/>
  <c r="J48" i="40" s="1"/>
  <c r="U9" i="39"/>
  <c r="AB9" i="39"/>
  <c r="F9" i="40"/>
  <c r="AC9" i="39"/>
  <c r="W9" i="39"/>
  <c r="B3" i="21"/>
  <c r="B2" i="21" s="1"/>
  <c r="C19" i="77"/>
  <c r="C18" i="15"/>
  <c r="C15" i="15"/>
  <c r="C17" i="44"/>
  <c r="C20" i="44"/>
  <c r="T16" i="1"/>
  <c r="R19" i="6"/>
  <c r="H27" i="6"/>
  <c r="B20" i="31"/>
  <c r="R22" i="31"/>
  <c r="B21" i="31" s="1"/>
  <c r="I6" i="6"/>
  <c r="C13" i="39" s="1"/>
  <c r="I5" i="6"/>
  <c r="C19" i="43"/>
  <c r="C25" i="43" s="1"/>
  <c r="C24" i="43" s="1"/>
  <c r="J59" i="15"/>
  <c r="J60" i="15" s="1"/>
  <c r="C33" i="15"/>
  <c r="C31" i="15" s="1"/>
  <c r="G48" i="40"/>
  <c r="H48" i="40" s="1"/>
  <c r="L59" i="34"/>
  <c r="M59" i="34" s="1"/>
  <c r="N59" i="34" s="1"/>
  <c r="O59" i="34" s="1"/>
  <c r="H7" i="34" s="1"/>
  <c r="G49" i="40" l="1"/>
  <c r="H49" i="40" s="1"/>
  <c r="J13" i="39"/>
  <c r="H13" i="39"/>
  <c r="F13" i="39"/>
  <c r="C10" i="12"/>
  <c r="D4" i="46"/>
  <c r="B4" i="46"/>
  <c r="B3" i="46"/>
  <c r="AA9" i="40"/>
  <c r="R44" i="40" s="1"/>
  <c r="S9" i="40"/>
  <c r="C19" i="15"/>
  <c r="C20" i="15" s="1"/>
  <c r="C23" i="15" s="1"/>
  <c r="C21" i="44"/>
  <c r="C22" i="44" s="1"/>
  <c r="C28" i="44" s="1"/>
  <c r="C20" i="77"/>
  <c r="C26" i="77" s="1"/>
  <c r="R6" i="1"/>
  <c r="R16" i="1" s="1"/>
  <c r="R27" i="6"/>
  <c r="Q49" i="15"/>
  <c r="L46" i="15"/>
  <c r="C60" i="15"/>
  <c r="C58" i="15" s="1"/>
  <c r="C22" i="43"/>
  <c r="C21" i="43" s="1"/>
  <c r="C28" i="43" s="1"/>
  <c r="C30" i="43" s="1"/>
  <c r="C32" i="43" s="1"/>
  <c r="B2" i="43" s="1"/>
  <c r="U7" i="34"/>
  <c r="AB7" i="34"/>
  <c r="T49" i="34" s="1"/>
  <c r="G49" i="34" s="1"/>
  <c r="J7" i="34"/>
  <c r="F7" i="34"/>
  <c r="AB13" i="39" l="1"/>
  <c r="T49" i="39" s="1"/>
  <c r="G49" i="39" s="1"/>
  <c r="G53" i="39" s="1"/>
  <c r="H53" i="39" s="1"/>
  <c r="U13" i="39"/>
  <c r="S13" i="39"/>
  <c r="AA13" i="39"/>
  <c r="R49" i="39" s="1"/>
  <c r="AC13" i="39"/>
  <c r="V49" i="39" s="1"/>
  <c r="I49" i="39" s="1"/>
  <c r="W13" i="39"/>
  <c r="R45" i="40"/>
  <c r="E44" i="40"/>
  <c r="C23" i="77"/>
  <c r="C29" i="77" s="1"/>
  <c r="C56" i="77" s="1"/>
  <c r="C63" i="77" s="1"/>
  <c r="C26" i="15"/>
  <c r="C29" i="15" s="1"/>
  <c r="C25" i="44"/>
  <c r="C31" i="44" s="1"/>
  <c r="L57" i="15"/>
  <c r="L60" i="15" s="1"/>
  <c r="Q67" i="15" s="1"/>
  <c r="B4" i="43"/>
  <c r="B5" i="43"/>
  <c r="B3" i="43"/>
  <c r="AA7" i="34"/>
  <c r="R49" i="34" s="1"/>
  <c r="S7" i="34"/>
  <c r="G53" i="34"/>
  <c r="H53" i="34" s="1"/>
  <c r="AC7" i="34"/>
  <c r="V49" i="34" s="1"/>
  <c r="I49" i="34" s="1"/>
  <c r="W7" i="34"/>
  <c r="I53" i="39" l="1"/>
  <c r="J53" i="39" s="1"/>
  <c r="E49" i="39"/>
  <c r="E53" i="39" s="1"/>
  <c r="F53" i="39" s="1"/>
  <c r="R50" i="39"/>
  <c r="G54" i="39"/>
  <c r="H54" i="39" s="1"/>
  <c r="I49" i="40"/>
  <c r="J49" i="40" s="1"/>
  <c r="E48" i="40"/>
  <c r="F48" i="40" s="1"/>
  <c r="E49" i="40"/>
  <c r="F49" i="40" s="1"/>
  <c r="C45" i="40"/>
  <c r="C44" i="40"/>
  <c r="J19" i="77"/>
  <c r="J17" i="77" s="1"/>
  <c r="C13" i="77"/>
  <c r="C37" i="77" s="1"/>
  <c r="J14" i="77"/>
  <c r="J13" i="77" s="1"/>
  <c r="J23" i="77" s="1"/>
  <c r="C36" i="77"/>
  <c r="Q50" i="77"/>
  <c r="C13" i="15"/>
  <c r="Q50" i="15"/>
  <c r="J14" i="15"/>
  <c r="J19" i="15"/>
  <c r="J17" i="15" s="1"/>
  <c r="C56" i="15"/>
  <c r="C63" i="15" s="1"/>
  <c r="C36" i="15"/>
  <c r="C15" i="44"/>
  <c r="J16" i="44"/>
  <c r="J21" i="44"/>
  <c r="J19" i="44" s="1"/>
  <c r="C38" i="44"/>
  <c r="C35" i="44"/>
  <c r="C33" i="44" s="1"/>
  <c r="Q51" i="44"/>
  <c r="Q58" i="15"/>
  <c r="I53" i="34"/>
  <c r="J53" i="34" s="1"/>
  <c r="G54" i="34"/>
  <c r="H54" i="34" s="1"/>
  <c r="R50" i="34"/>
  <c r="E49" i="34"/>
  <c r="E54" i="39" l="1"/>
  <c r="F54" i="39" s="1"/>
  <c r="C49" i="39"/>
  <c r="C50" i="39"/>
  <c r="I54" i="39"/>
  <c r="J54" i="39" s="1"/>
  <c r="B56" i="40"/>
  <c r="F56" i="40" s="1"/>
  <c r="B61" i="40"/>
  <c r="F61" i="40" s="1"/>
  <c r="F63" i="40"/>
  <c r="B2" i="40" s="1"/>
  <c r="B55" i="40"/>
  <c r="F55" i="40" s="1"/>
  <c r="B59" i="40"/>
  <c r="F59" i="40" s="1"/>
  <c r="B60" i="40"/>
  <c r="F60" i="40" s="1"/>
  <c r="B57" i="40"/>
  <c r="F57" i="40" s="1"/>
  <c r="B62" i="40"/>
  <c r="F62" i="40" s="1"/>
  <c r="B58" i="40"/>
  <c r="F58" i="40" s="1"/>
  <c r="B53" i="40"/>
  <c r="F53" i="40" s="1"/>
  <c r="B54" i="40"/>
  <c r="F54" i="40" s="1"/>
  <c r="Q71" i="77"/>
  <c r="J35" i="77"/>
  <c r="C30" i="77"/>
  <c r="C39" i="77" s="1"/>
  <c r="C40" i="77" s="1"/>
  <c r="C55" i="77"/>
  <c r="C64" i="77" s="1"/>
  <c r="C57" i="77" s="1"/>
  <c r="C66" i="77" s="1"/>
  <c r="C67" i="77" s="1"/>
  <c r="C70" i="77" s="1"/>
  <c r="J22" i="77"/>
  <c r="J16" i="77" s="1"/>
  <c r="J25" i="77" s="1"/>
  <c r="C43" i="44"/>
  <c r="Q72" i="44"/>
  <c r="C39" i="44"/>
  <c r="C32" i="44" s="1"/>
  <c r="C42" i="44" s="1"/>
  <c r="J22" i="15"/>
  <c r="J13" i="15"/>
  <c r="J23" i="15" s="1"/>
  <c r="J35" i="15"/>
  <c r="C37" i="15"/>
  <c r="C30" i="15" s="1"/>
  <c r="C39" i="15" s="1"/>
  <c r="C55" i="15"/>
  <c r="C64" i="15" s="1"/>
  <c r="C57" i="15" s="1"/>
  <c r="C66" i="15" s="1"/>
  <c r="C67" i="15" s="1"/>
  <c r="Q71" i="15"/>
  <c r="J15" i="44"/>
  <c r="J25" i="44" s="1"/>
  <c r="J24" i="44"/>
  <c r="C50" i="34"/>
  <c r="B3" i="34" s="1"/>
  <c r="B2" i="34" s="1"/>
  <c r="C49" i="34"/>
  <c r="E54" i="34"/>
  <c r="F54" i="34" s="1"/>
  <c r="E53" i="34"/>
  <c r="F53" i="34" s="1"/>
  <c r="I54" i="34"/>
  <c r="J54" i="34" s="1"/>
  <c r="L51" i="15"/>
  <c r="B60" i="39" l="1"/>
  <c r="F60" i="39" s="1"/>
  <c r="B64" i="39"/>
  <c r="F64" i="39" s="1"/>
  <c r="B58" i="39"/>
  <c r="F58" i="39" s="1"/>
  <c r="B63" i="39"/>
  <c r="F63" i="39" s="1"/>
  <c r="B59" i="39"/>
  <c r="F59" i="39" s="1"/>
  <c r="B67" i="39"/>
  <c r="F67" i="39" s="1"/>
  <c r="B66" i="39"/>
  <c r="F66" i="39" s="1"/>
  <c r="B61" i="39"/>
  <c r="F61" i="39" s="1"/>
  <c r="B62" i="39"/>
  <c r="F62" i="39" s="1"/>
  <c r="B65" i="39"/>
  <c r="F65" i="39" s="1"/>
  <c r="B4" i="40"/>
  <c r="B5" i="40"/>
  <c r="B3" i="40"/>
  <c r="Q70" i="77"/>
  <c r="Q69" i="77" s="1"/>
  <c r="J39" i="77"/>
  <c r="J40" i="77" s="1"/>
  <c r="J16" i="15"/>
  <c r="J25" i="15" s="1"/>
  <c r="C46" i="77"/>
  <c r="Q48" i="77"/>
  <c r="Q54" i="77" s="1"/>
  <c r="Q57" i="77"/>
  <c r="Q63" i="77" s="1"/>
  <c r="J42" i="77"/>
  <c r="J43" i="77" s="1"/>
  <c r="Q66" i="77"/>
  <c r="Q76" i="77" s="1"/>
  <c r="B2" i="77"/>
  <c r="C43" i="77"/>
  <c r="J18" i="44"/>
  <c r="J27" i="44" s="1"/>
  <c r="Q68" i="15"/>
  <c r="C40" i="15"/>
  <c r="C46" i="15" s="1"/>
  <c r="Q70" i="15"/>
  <c r="Q69" i="15" s="1"/>
  <c r="C70" i="15"/>
  <c r="J39" i="15"/>
  <c r="J40" i="15" s="1"/>
  <c r="Q71" i="44"/>
  <c r="Q70" i="44" s="1"/>
  <c r="C44" i="44"/>
  <c r="C45" i="44" s="1"/>
  <c r="L51" i="77"/>
  <c r="F68" i="39" l="1"/>
  <c r="B2" i="39" s="1"/>
  <c r="Q68" i="77"/>
  <c r="B3" i="77"/>
  <c r="H8" i="12" s="1"/>
  <c r="N7" i="12" s="1"/>
  <c r="L52" i="44"/>
  <c r="B2" i="44"/>
  <c r="Q48" i="15"/>
  <c r="Q54" i="15" s="1"/>
  <c r="C43" i="15"/>
  <c r="Q57" i="15"/>
  <c r="Q63" i="15" s="1"/>
  <c r="Q66" i="15"/>
  <c r="Q76" i="15" s="1"/>
  <c r="B2" i="15"/>
  <c r="G10" i="12" s="1"/>
  <c r="J42" i="15"/>
  <c r="J43" i="15" s="1"/>
  <c r="C19" i="9"/>
  <c r="L43" i="9" l="1"/>
  <c r="B5" i="39"/>
  <c r="B4" i="39"/>
  <c r="B3" i="39"/>
  <c r="B4" i="44"/>
  <c r="B3" i="44"/>
  <c r="B5" i="44"/>
  <c r="C6" i="12"/>
  <c r="B3" i="15"/>
  <c r="L58" i="44"/>
  <c r="L61" i="44" s="1"/>
  <c r="Q69" i="44"/>
  <c r="C20" i="9"/>
  <c r="C21" i="9"/>
  <c r="G8" i="12" l="1"/>
  <c r="Q68" i="44"/>
  <c r="Q77" i="44" s="1"/>
  <c r="Q59" i="44"/>
  <c r="Q64" i="44" s="1"/>
  <c r="C24" i="12"/>
  <c r="C29" i="12"/>
  <c r="C35" i="12" l="1"/>
  <c r="C33" i="12" s="1"/>
  <c r="C28" i="12"/>
  <c r="C26" i="12" s="1"/>
  <c r="C31" i="12" s="1"/>
  <c r="C30" i="12" s="1"/>
  <c r="C36" i="12" l="1"/>
  <c r="B2" i="12" s="1"/>
  <c r="D19" i="9"/>
  <c r="G19" i="9" l="1"/>
  <c r="Q24" i="9" s="1"/>
  <c r="L44" i="9"/>
  <c r="D22" i="9"/>
  <c r="B3" i="12"/>
  <c r="B4" i="12"/>
  <c r="B5" i="12"/>
  <c r="D21" i="9"/>
  <c r="D20" i="9"/>
  <c r="L24" i="9" l="1"/>
  <c r="G21" i="9"/>
  <c r="G20" i="9"/>
  <c r="G22" i="9"/>
  <c r="N24" i="9" s="1"/>
  <c r="C32" i="9"/>
  <c r="C45" i="9" s="1"/>
  <c r="N43" i="9"/>
  <c r="H14" i="66" l="1"/>
  <c r="B7" i="66" s="1"/>
  <c r="O40" i="9"/>
  <c r="D45" i="9"/>
  <c r="E45" i="9"/>
  <c r="F45" i="9"/>
  <c r="C35" i="9"/>
  <c r="F42" i="9" s="1"/>
  <c r="C34" i="9"/>
  <c r="O43" i="9"/>
  <c r="C33" i="9"/>
  <c r="C42" i="9"/>
  <c r="C44" i="9" s="1"/>
  <c r="O38" i="9"/>
  <c r="K31" i="9" l="1"/>
  <c r="K32" i="9" s="1"/>
  <c r="R7" i="54"/>
  <c r="B52" i="63" s="1"/>
  <c r="N69" i="9"/>
  <c r="G14" i="66"/>
  <c r="B6" i="66" s="1"/>
  <c r="O39" i="9"/>
  <c r="D44" i="9"/>
  <c r="F44" i="9"/>
  <c r="E44" i="9"/>
  <c r="K25" i="9"/>
  <c r="K26" i="9"/>
  <c r="N38" i="9"/>
  <c r="K28" i="9" s="1"/>
  <c r="D42" i="9"/>
  <c r="Q5" i="54" s="1"/>
  <c r="B47" i="63" s="1"/>
  <c r="E42" i="9"/>
  <c r="P5" i="54" s="1"/>
  <c r="B46" i="63" s="1"/>
  <c r="M38" i="9"/>
  <c r="K27" i="9" s="1"/>
  <c r="D63" i="9"/>
  <c r="N68" i="9"/>
  <c r="R5" i="54"/>
  <c r="B48" i="63" s="1"/>
  <c r="D14" i="66"/>
  <c r="J14" i="66" s="1"/>
  <c r="J13" i="66" s="1"/>
  <c r="K29" i="9" l="1"/>
  <c r="K30" i="9" s="1"/>
  <c r="R6" i="54"/>
  <c r="B50" i="63" s="1"/>
  <c r="M86" i="9"/>
  <c r="N86" i="9" s="1"/>
  <c r="M84" i="9"/>
  <c r="N84" i="9" s="1"/>
  <c r="M88" i="9"/>
  <c r="N88" i="9" s="1"/>
  <c r="M87" i="9"/>
  <c r="N87" i="9" s="1"/>
  <c r="M85" i="9"/>
  <c r="N85" i="9" s="1"/>
  <c r="M83" i="9"/>
  <c r="N83" i="9" s="1"/>
  <c r="E14" i="66"/>
  <c r="F14" i="66"/>
  <c r="C111" i="9"/>
  <c r="C104" i="9" s="1"/>
  <c r="D71" i="9"/>
  <c r="D66" i="9" s="1"/>
  <c r="N72" i="9" s="1"/>
  <c r="C103" i="9"/>
  <c r="D73" i="9"/>
  <c r="N73" i="9" s="1"/>
  <c r="C82" i="9"/>
  <c r="C81" i="9" s="1"/>
  <c r="C85" i="9" s="1"/>
  <c r="C86" i="9" s="1"/>
  <c r="D72" i="9" s="1"/>
  <c r="D70" i="9"/>
  <c r="C90" i="9"/>
  <c r="C96" i="9"/>
  <c r="C91" i="9" s="1"/>
  <c r="N89" i="9" l="1"/>
  <c r="O89" i="9" s="1"/>
  <c r="C113" i="9"/>
  <c r="C114" i="9" s="1"/>
  <c r="E114" i="9" s="1"/>
  <c r="E115" i="9" s="1"/>
  <c r="C97" i="9"/>
  <c r="C115" i="9" l="1"/>
  <c r="D76" i="9" s="1"/>
  <c r="D74" i="9" s="1"/>
  <c r="N74" i="9" s="1"/>
  <c r="O77" i="9" s="1"/>
  <c r="O79" i="9" s="1"/>
  <c r="C98" i="9"/>
  <c r="E98" i="9" s="1"/>
  <c r="E99" i="9" s="1"/>
  <c r="Q77" i="9" l="1"/>
  <c r="C99" i="9"/>
  <c r="O78" i="9"/>
  <c r="O80" i="9"/>
  <c r="O81" i="9"/>
  <c r="B1" i="66" l="1"/>
  <c r="C7" i="66" l="1"/>
  <c r="C8" i="66"/>
  <c r="C6" i="66"/>
  <c r="B2" i="66" l="1"/>
  <c r="D8" i="66" l="1"/>
  <c r="D7" i="66"/>
  <c r="D6" i="66"/>
  <c r="E15" i="66" l="1"/>
  <c r="B5" i="66"/>
  <c r="F15" i="66"/>
  <c r="D5" i="66" l="1"/>
  <c r="C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颜小宇</author>
  </authors>
  <commentList>
    <comment ref="A1" authorId="0">
      <text>
        <r>
          <rPr>
            <b/>
            <sz val="9"/>
            <rFont val="宋体"/>
            <family val="3"/>
            <charset val="134"/>
            <scheme val="minor"/>
          </rPr>
          <t>以基底面积计算</t>
        </r>
      </text>
    </comment>
    <comment ref="F4" authorId="0">
      <text>
        <r>
          <rPr>
            <b/>
            <sz val="9"/>
            <rFont val="宋体"/>
            <family val="3"/>
            <charset val="134"/>
            <scheme val="minor"/>
          </rPr>
          <t>以基底面积计算</t>
        </r>
      </text>
    </comment>
    <comment ref="M6" authorId="0">
      <text>
        <r>
          <rPr>
            <b/>
            <sz val="9"/>
            <rFont val="宋体"/>
            <family val="3"/>
            <charset val="134"/>
            <scheme val="minor"/>
          </rPr>
          <t>以基底面积计算</t>
        </r>
      </text>
    </comment>
  </commentList>
</comments>
</file>

<file path=xl/comments5.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sharedStrings.xml><?xml version="1.0" encoding="utf-8"?>
<sst xmlns="http://schemas.openxmlformats.org/spreadsheetml/2006/main" count="63863" uniqueCount="11227">
  <si>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</si>
  <si>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</si>
  <si>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</si>
  <si>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</si>
  <si>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</si>
  <si>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</si>
  <si>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</si>
  <si>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</si>
  <si>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</si>
  <si>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</si>
  <si>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</si>
  <si>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</si>
  <si>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</si>
  <si>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</si>
  <si>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</si>
  <si>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</si>
  <si>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</si>
  <si>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</si>
  <si>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</si>
  <si>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</si>
  <si>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</si>
  <si>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</si>
  <si>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</si>
  <si>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</si>
  <si>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</si>
  <si>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</si>
  <si>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</si>
  <si>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</si>
  <si>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</si>
  <si>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</si>
  <si>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</si>
  <si>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</si>
  <si>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</si>
  <si>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</si>
  <si>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</si>
  <si>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</si>
  <si>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</si>
  <si>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</si>
  <si>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</si>
  <si>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</si>
  <si>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</si>
  <si>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</si>
  <si>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</si>
  <si>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</si>
  <si>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</si>
  <si>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</si>
  <si>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</si>
  <si>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</si>
  <si>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</si>
  <si>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</si>
  <si>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</si>
  <si>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</si>
  <si>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</si>
  <si>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</si>
  <si>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</si>
  <si>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</si>
  <si>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</si>
  <si>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</si>
  <si>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</si>
  <si>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</si>
  <si>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</si>
  <si>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</si>
  <si>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</si>
  <si>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</si>
  <si>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</si>
  <si>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</si>
  <si>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</si>
  <si>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</si>
  <si>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</si>
  <si>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</si>
  <si>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</si>
  <si>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</si>
  <si>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</si>
  <si>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</si>
  <si>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</si>
  <si>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</si>
  <si>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</si>
  <si>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</si>
  <si>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</si>
  <si>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</si>
  <si>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</si>
  <si>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</si>
  <si>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</si>
  <si>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</si>
  <si>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</si>
  <si>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</si>
  <si>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</si>
  <si>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</si>
  <si>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</si>
  <si>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</si>
  <si>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</si>
  <si>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</si>
  <si>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</si>
  <si>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</si>
  <si>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</si>
  <si>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</si>
  <si>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</si>
  <si>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</si>
  <si>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</si>
  <si>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</si>
  <si>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</si>
  <si>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</si>
  <si>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</si>
  <si>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</si>
  <si>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</si>
  <si>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</si>
  <si>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</si>
  <si>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</si>
  <si>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</si>
  <si>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</si>
  <si>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</si>
  <si>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</si>
  <si>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</si>
  <si>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</si>
  <si>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</si>
  <si>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</si>
  <si>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</si>
  <si>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</si>
  <si>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</si>
  <si>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</si>
  <si>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</si>
  <si>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</si>
  <si>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</si>
  <si>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</si>
  <si>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</si>
  <si>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</si>
  <si>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</si>
  <si>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</si>
  <si>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</si>
  <si>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</si>
  <si>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</si>
  <si>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</si>
  <si>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</si>
  <si>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</si>
  <si>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</si>
  <si>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</si>
  <si>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</si>
  <si>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</si>
  <si>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</si>
  <si>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</si>
  <si>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</si>
  <si>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</si>
  <si>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</si>
  <si>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</si>
  <si>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</si>
  <si>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</si>
  <si>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</si>
  <si>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</si>
  <si>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</si>
  <si>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</si>
  <si>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</si>
  <si>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</si>
  <si>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</si>
  <si>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</si>
  <si>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</si>
  <si>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</si>
  <si>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</si>
  <si>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</si>
  <si>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</si>
  <si>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</si>
  <si>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</si>
  <si>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</si>
  <si>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</si>
  <si>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</si>
  <si>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</si>
  <si>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</si>
  <si>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</si>
  <si>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</si>
  <si>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</si>
  <si>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</si>
  <si>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</si>
  <si>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</si>
  <si>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</si>
  <si>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</si>
  <si>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</si>
  <si>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</si>
  <si>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</si>
  <si>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</si>
  <si>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</si>
  <si>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</si>
  <si>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</si>
  <si>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</si>
  <si>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</si>
  <si>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</si>
  <si>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</si>
  <si>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</si>
  <si>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</si>
  <si>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</si>
  <si>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</si>
  <si>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</si>
  <si>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</si>
  <si>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</si>
  <si>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</si>
  <si>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</si>
  <si>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</si>
  <si>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</si>
  <si>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</si>
  <si>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</si>
  <si>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</si>
  <si>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</si>
  <si>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</si>
  <si>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</si>
  <si>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</si>
  <si>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</si>
  <si>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</si>
  <si>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</si>
  <si>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</si>
  <si>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</si>
  <si>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</si>
  <si>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</si>
  <si>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</si>
  <si>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</si>
  <si>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</si>
  <si>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</si>
  <si>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</si>
  <si>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</si>
  <si>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</si>
  <si>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</si>
  <si>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</si>
  <si>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</si>
  <si>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</si>
  <si>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</si>
  <si>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</si>
  <si>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</si>
  <si>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</si>
  <si>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</si>
  <si>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</si>
  <si>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</si>
  <si>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</si>
  <si>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</si>
  <si>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</si>
  <si>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</si>
  <si>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</si>
  <si>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</si>
  <si>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</si>
  <si>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</si>
  <si>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</si>
  <si>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</si>
  <si>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</si>
  <si>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</si>
  <si>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</si>
  <si>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</si>
  <si>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</si>
  <si>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</si>
  <si>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</si>
  <si>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</si>
  <si>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</si>
  <si>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</si>
  <si>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</si>
  <si>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</si>
  <si>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</si>
  <si>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</si>
  <si>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</si>
  <si>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</si>
  <si>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</si>
  <si>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</si>
  <si>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</si>
  <si>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</si>
  <si>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</si>
  <si>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</si>
  <si>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</si>
  <si>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</si>
  <si>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</si>
  <si>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</si>
  <si>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</si>
  <si>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</si>
  <si>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</si>
  <si>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</si>
  <si>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</si>
  <si>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</si>
  <si>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</si>
  <si>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</si>
  <si>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</si>
  <si>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</si>
  <si>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</si>
  <si>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</si>
  <si>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</si>
  <si>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</si>
  <si>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</si>
  <si>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</si>
  <si>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</si>
  <si>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</si>
  <si>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</si>
  <si>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</si>
  <si>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</si>
  <si>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</si>
  <si>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</si>
  <si>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</si>
  <si>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</si>
  <si>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</si>
  <si>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</si>
  <si>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</si>
  <si>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</si>
  <si>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</si>
  <si>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</si>
  <si>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</si>
  <si>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</si>
  <si>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</si>
  <si>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</si>
  <si>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</si>
  <si>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</si>
  <si>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</si>
  <si>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</si>
  <si>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</si>
  <si>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</si>
  <si>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</si>
  <si>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</si>
  <si>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</si>
  <si>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</si>
  <si>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</si>
  <si>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</si>
  <si>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</si>
  <si>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</si>
  <si>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</si>
  <si>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</si>
  <si>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</si>
  <si>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</si>
  <si>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</si>
  <si>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</si>
  <si>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</si>
  <si>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</si>
  <si>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</si>
  <si>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</si>
  <si>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</si>
  <si>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</si>
  <si>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</si>
  <si>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</si>
  <si>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</si>
  <si>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</si>
  <si>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</si>
  <si>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</si>
  <si>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</si>
  <si>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</si>
  <si>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</si>
  <si>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</si>
  <si>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</si>
  <si>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</si>
  <si>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</si>
  <si>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</si>
  <si>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</si>
  <si>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</si>
  <si>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</si>
  <si>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</si>
  <si>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</si>
  <si>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</si>
  <si>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</si>
  <si>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</si>
  <si>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</si>
  <si>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</si>
  <si>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</si>
  <si>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</si>
  <si>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</si>
  <si>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</si>
  <si>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</si>
  <si>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</si>
  <si>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</si>
  <si>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</si>
  <si>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</si>
  <si>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</si>
  <si>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</si>
  <si>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</si>
  <si>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</si>
  <si>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</si>
  <si>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</si>
  <si>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</si>
  <si>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</si>
  <si>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</si>
  <si>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</si>
  <si>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</si>
  <si>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</si>
  <si>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</si>
  <si>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</si>
  <si>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</si>
  <si>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</si>
  <si>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</si>
  <si>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</si>
  <si>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</si>
  <si>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</si>
  <si>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</si>
  <si>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</si>
  <si>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</si>
  <si>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</si>
  <si>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</si>
  <si>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</si>
  <si>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</si>
  <si>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</si>
  <si>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</si>
  <si>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</si>
  <si>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</si>
  <si>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</si>
  <si>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</si>
  <si>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</si>
  <si>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</si>
  <si>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</si>
  <si>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</si>
  <si>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</si>
  <si>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</si>
  <si>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</si>
  <si>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</si>
  <si>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</si>
  <si>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</si>
  <si>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</si>
  <si>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</si>
  <si>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</si>
  <si>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</si>
  <si>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</si>
  <si>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</si>
  <si>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</si>
  <si>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</si>
  <si>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</si>
  <si>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</si>
  <si>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</si>
  <si>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</si>
  <si>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</si>
  <si>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</si>
  <si>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</si>
  <si>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</si>
  <si>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</si>
  <si>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</si>
  <si>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</si>
  <si>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</si>
  <si>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</si>
  <si>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</si>
  <si>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</si>
  <si>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</si>
  <si>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</si>
  <si>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</si>
  <si>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</si>
  <si>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</si>
  <si>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</si>
  <si>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</si>
  <si>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</si>
  <si>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</si>
  <si>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</si>
  <si>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</si>
  <si>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</si>
  <si>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</si>
  <si>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</si>
  <si>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</si>
  <si>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</si>
  <si>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</si>
  <si>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</si>
  <si>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</si>
  <si>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</si>
  <si>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</si>
  <si>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</si>
  <si>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</si>
  <si>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</si>
  <si>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</si>
  <si>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</si>
  <si>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</si>
  <si>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</si>
  <si>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</si>
  <si>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</si>
  <si>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</si>
  <si>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</si>
  <si>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</si>
  <si>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</si>
  <si>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</si>
  <si>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</si>
  <si>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</si>
  <si>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</si>
  <si>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</si>
  <si>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</si>
  <si>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</si>
  <si>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</si>
  <si>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</si>
  <si>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</si>
  <si>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</si>
  <si>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</si>
  <si>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</si>
  <si>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</si>
  <si>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</si>
  <si>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</si>
  <si>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</si>
  <si>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</si>
  <si>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</si>
  <si>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</si>
  <si>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</si>
  <si>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</si>
  <si>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</si>
  <si>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</si>
  <si>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</si>
  <si>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</si>
  <si>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</si>
  <si>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</si>
  <si>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</si>
  <si>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</si>
  <si>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</si>
  <si>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</si>
  <si>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</si>
  <si>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</si>
  <si>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</si>
  <si>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</si>
  <si>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</si>
  <si>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</si>
  <si>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</si>
  <si>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</si>
  <si>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</si>
  <si>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</si>
  <si>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</si>
  <si>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</si>
  <si>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</si>
  <si>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</si>
  <si>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</si>
  <si>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</si>
  <si>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</si>
  <si>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</si>
  <si>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</si>
  <si>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</si>
  <si>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</si>
  <si>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</si>
  <si>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</si>
  <si>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</si>
  <si>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</si>
  <si>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</si>
  <si>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</si>
  <si>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</si>
  <si>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</si>
  <si>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</si>
  <si>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</si>
  <si>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</si>
  <si>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</si>
  <si>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</si>
  <si>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</si>
  <si>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</si>
  <si>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</si>
  <si>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</si>
  <si>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</si>
  <si>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</si>
  <si>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</si>
  <si>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</si>
  <si>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</si>
  <si>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</si>
  <si>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</si>
  <si>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</si>
  <si>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</si>
  <si>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</si>
  <si>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</si>
  <si>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</si>
  <si>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</si>
  <si>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</si>
  <si>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</si>
  <si>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</si>
  <si>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</si>
  <si>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</si>
  <si>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</si>
  <si>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</si>
  <si>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</si>
  <si>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</si>
  <si>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</si>
  <si>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</si>
  <si>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</si>
  <si>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</si>
  <si>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</si>
  <si>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</si>
  <si>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</si>
  <si>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</si>
  <si>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</si>
  <si>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</si>
  <si>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</si>
  <si>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</si>
  <si>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</si>
  <si>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</si>
  <si>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</si>
  <si>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</si>
  <si>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</si>
  <si>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</si>
  <si>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</si>
  <si>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</si>
  <si>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</si>
  <si>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</si>
  <si>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</si>
  <si>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</si>
  <si>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</si>
  <si>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</si>
  <si>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</si>
  <si>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</si>
  <si>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</si>
  <si>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</si>
  <si>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</si>
  <si>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</si>
  <si>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</si>
  <si>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</si>
  <si>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</si>
  <si>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</si>
  <si>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</si>
  <si>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</si>
  <si>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</si>
  <si>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</si>
  <si>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</si>
  <si>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</si>
  <si>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</si>
  <si>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</si>
  <si>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</si>
  <si>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</si>
  <si>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</si>
  <si>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</si>
  <si>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</si>
  <si>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</si>
  <si>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</si>
  <si>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</si>
  <si>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</si>
  <si>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</si>
  <si>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</si>
  <si>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</si>
  <si>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</si>
  <si>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</si>
  <si>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</si>
  <si>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</si>
  <si>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</si>
  <si>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</si>
  <si>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</si>
  <si>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</si>
  <si>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</si>
  <si>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</si>
  <si>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</si>
  <si>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</si>
  <si>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</si>
  <si>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</si>
  <si>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</si>
  <si>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</si>
  <si>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</si>
  <si>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</si>
  <si>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</si>
  <si>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</si>
  <si>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</si>
  <si>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</si>
  <si>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</si>
  <si>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</si>
  <si>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</si>
  <si>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</si>
  <si>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</si>
  <si>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</si>
  <si>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</si>
  <si>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</si>
  <si>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</si>
  <si>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</si>
  <si>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</si>
  <si>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</si>
  <si>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</si>
  <si>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</si>
  <si>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</si>
  <si>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</si>
  <si>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</si>
  <si>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</si>
  <si>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</si>
  <si>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</si>
  <si>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</si>
  <si>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</si>
  <si>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</si>
  <si>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</si>
  <si>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</si>
  <si>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</si>
  <si>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</si>
  <si>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</si>
  <si>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</si>
  <si>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</si>
  <si>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</si>
  <si>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</si>
  <si>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</si>
  <si>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</si>
  <si>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</si>
  <si>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</si>
  <si>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</si>
  <si>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</si>
  <si>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</si>
  <si>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</si>
  <si>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</si>
  <si>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</si>
  <si>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</si>
  <si>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</si>
  <si>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</si>
  <si>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</si>
  <si>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</si>
  <si>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</si>
  <si>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</si>
  <si>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</si>
  <si>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</si>
  <si>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</si>
  <si>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</si>
  <si>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</si>
  <si>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</si>
  <si>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</si>
  <si>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</si>
  <si>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</si>
  <si>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</si>
  <si>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</si>
  <si>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</si>
  <si>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</si>
  <si>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</si>
  <si>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</si>
  <si>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</si>
  <si>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</si>
  <si>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</si>
  <si>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</si>
  <si>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</si>
  <si>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</si>
  <si>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</si>
  <si>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</si>
  <si>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</si>
  <si>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</si>
  <si>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</si>
  <si>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</si>
  <si>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</si>
  <si>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</si>
  <si>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</si>
  <si>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</si>
  <si>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</si>
  <si>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</si>
  <si>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</si>
  <si>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</si>
  <si>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</si>
  <si>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</si>
  <si>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</si>
  <si>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</si>
  <si>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</si>
  <si>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</si>
  <si>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</si>
  <si>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</si>
  <si>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</si>
  <si>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</si>
  <si>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</si>
  <si>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</si>
  <si>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</si>
  <si>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</si>
  <si>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</si>
  <si>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</si>
  <si>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</si>
  <si>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</si>
  <si>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</si>
  <si>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</si>
  <si>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</si>
  <si>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</si>
  <si>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</si>
  <si>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</si>
  <si>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</si>
  <si>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</si>
  <si>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</si>
  <si>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</si>
  <si>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</si>
  <si>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</si>
  <si>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</si>
  <si>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</si>
  <si>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</si>
  <si>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</si>
  <si>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</si>
  <si>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</si>
  <si>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</si>
  <si>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</si>
  <si>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</si>
  <si>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</si>
  <si>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</si>
  <si>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</si>
  <si>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</si>
  <si>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</si>
  <si>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</si>
  <si>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</si>
  <si>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</si>
  <si>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</si>
  <si>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</si>
  <si>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</si>
  <si>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</si>
  <si>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</si>
  <si>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</si>
  <si>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</si>
  <si>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</si>
  <si>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</si>
  <si>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</si>
  <si>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</si>
  <si>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</si>
  <si>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</si>
  <si>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</si>
  <si>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</si>
  <si>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</si>
  <si>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</si>
  <si>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</si>
  <si>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</si>
  <si>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</si>
  <si>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</si>
  <si>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</si>
  <si>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</si>
  <si>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</si>
  <si>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</si>
  <si>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</si>
  <si>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</si>
  <si>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</si>
  <si>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</si>
  <si>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</si>
  <si>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</si>
  <si>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</si>
  <si>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</si>
  <si>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</si>
  <si>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</si>
  <si>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</si>
  <si>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</si>
  <si>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</si>
  <si>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</si>
  <si>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</si>
  <si>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</si>
  <si>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</si>
  <si>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</si>
  <si>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</si>
  <si>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</si>
  <si>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</si>
  <si>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</si>
  <si>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</si>
  <si>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</si>
  <si>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</si>
  <si>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</si>
  <si>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</si>
  <si>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</si>
  <si>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</si>
  <si>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</si>
  <si>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</si>
  <si>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</si>
  <si>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</si>
  <si>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</si>
  <si>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</si>
  <si>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</si>
  <si>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</si>
  <si>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</si>
  <si>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</si>
  <si>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</si>
  <si>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</si>
  <si>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</si>
  <si>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</si>
  <si>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</si>
  <si>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</si>
  <si>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</si>
  <si>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</si>
  <si>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</si>
  <si>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</si>
  <si>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</si>
  <si>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</si>
  <si>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</si>
  <si>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</si>
  <si>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</si>
  <si>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</si>
  <si>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</si>
  <si>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</si>
  <si>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</si>
  <si>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</si>
  <si>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</si>
  <si>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</si>
  <si>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</si>
  <si>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</si>
  <si>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</si>
  <si>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</si>
  <si>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</si>
  <si>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</si>
  <si>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</si>
  <si>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</si>
  <si>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</si>
  <si>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</si>
  <si>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</si>
  <si>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</si>
  <si>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</si>
  <si>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</si>
  <si>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</si>
  <si>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</si>
  <si>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</si>
  <si>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</si>
  <si>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</si>
  <si>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</si>
  <si>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</si>
  <si>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</si>
  <si>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</si>
  <si>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</si>
  <si>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</si>
  <si>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</si>
  <si>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</si>
  <si>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</si>
  <si>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</si>
  <si>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</si>
  <si>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</si>
  <si>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</si>
  <si>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</si>
  <si>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</si>
  <si>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</si>
  <si>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</si>
  <si>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</si>
  <si>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</si>
  <si>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</si>
  <si>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</si>
  <si>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</si>
  <si>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</si>
  <si>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</si>
  <si>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</si>
  <si>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</si>
  <si>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</si>
  <si>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</si>
  <si>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</si>
  <si>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</si>
  <si>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</si>
  <si>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</si>
  <si>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</si>
  <si>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</si>
  <si>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</si>
  <si>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</si>
  <si>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</si>
  <si>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</si>
  <si>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</si>
  <si>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</si>
  <si>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</si>
  <si>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</si>
  <si>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</si>
  <si>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</si>
  <si>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</si>
  <si>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</si>
  <si>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</si>
  <si>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</si>
  <si>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</si>
  <si>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</si>
  <si>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</si>
  <si>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</si>
  <si>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</si>
  <si>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</si>
  <si>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</si>
  <si>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</si>
  <si>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</si>
  <si>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</si>
  <si>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</si>
  <si>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</si>
  <si>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</si>
  <si>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</si>
  <si>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</si>
  <si>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</si>
  <si>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</si>
  <si>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</si>
  <si>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</si>
  <si>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</si>
  <si>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</si>
  <si>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</si>
  <si>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</si>
  <si>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</si>
  <si>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</si>
  <si>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</si>
  <si>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</si>
  <si>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</si>
  <si>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</si>
  <si>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</si>
  <si>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</si>
  <si>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</si>
  <si>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</si>
  <si>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</si>
  <si>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</si>
  <si>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</si>
  <si>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</si>
  <si>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</si>
  <si>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</si>
  <si>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</si>
  <si>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</si>
  <si>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</si>
  <si>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</si>
  <si>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</si>
  <si>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</si>
  <si>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</si>
  <si>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</si>
  <si>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</si>
  <si>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</si>
  <si>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</si>
  <si>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</si>
  <si>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</si>
  <si>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</si>
  <si>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</si>
  <si>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</si>
  <si>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</si>
  <si>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</si>
  <si>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</si>
  <si>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</si>
  <si>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</si>
  <si>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</si>
  <si>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</si>
  <si>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</si>
  <si>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</si>
  <si>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</si>
  <si>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</si>
  <si>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</si>
  <si>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</si>
  <si>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</si>
  <si>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</si>
  <si>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</si>
  <si>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</si>
  <si>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</si>
  <si>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</si>
  <si>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</si>
  <si>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</si>
  <si>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</si>
  <si>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</si>
  <si>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</si>
  <si>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</si>
  <si>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</si>
  <si>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</si>
  <si>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</si>
  <si>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</si>
  <si>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</si>
  <si>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</si>
  <si>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</si>
  <si>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</si>
  <si>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</si>
  <si>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</si>
  <si>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</si>
  <si>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</si>
  <si>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</si>
  <si>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</si>
  <si>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</si>
  <si>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</si>
  <si>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</si>
  <si>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</si>
  <si>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</si>
  <si>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</si>
  <si>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</si>
  <si>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</si>
  <si>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</si>
  <si>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</si>
  <si>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</si>
  <si>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</si>
  <si>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</si>
  <si>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</si>
  <si>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</si>
  <si>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</si>
  <si>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</si>
  <si>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</si>
  <si>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</si>
  <si>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</si>
  <si>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</si>
  <si>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</si>
  <si>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</si>
  <si>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</si>
  <si>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</si>
  <si>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</si>
  <si>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</si>
  <si>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</si>
  <si>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</si>
  <si>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</si>
  <si>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</si>
  <si>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</si>
  <si>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</si>
  <si>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</si>
  <si>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</si>
  <si>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</si>
  <si>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</si>
  <si>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</si>
  <si>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</si>
  <si>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</si>
  <si>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</si>
  <si>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</si>
  <si>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</si>
  <si>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</si>
  <si>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</si>
  <si>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</si>
  <si>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</si>
  <si>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</si>
  <si>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</si>
  <si>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</si>
  <si>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</si>
  <si>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</si>
  <si>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</si>
  <si>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</si>
  <si>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</si>
  <si>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</si>
  <si>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</si>
  <si>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</si>
  <si>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</si>
  <si>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</si>
  <si>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</si>
  <si>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</si>
  <si>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</si>
  <si>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</si>
  <si>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</si>
  <si>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</si>
  <si>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</si>
  <si>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</si>
  <si>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</si>
  <si>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</si>
  <si>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</si>
  <si>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</si>
  <si>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</si>
  <si>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</si>
  <si>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</si>
  <si>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</si>
  <si>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</si>
  <si>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</si>
  <si>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</si>
  <si>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</si>
  <si>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</si>
  <si>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</si>
  <si>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</si>
  <si>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</si>
  <si>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</si>
  <si>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</si>
  <si>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</si>
  <si>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</si>
  <si>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</si>
  <si>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</si>
  <si>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</si>
  <si>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</si>
  <si>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</si>
  <si>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</si>
  <si>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</si>
  <si>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</si>
  <si>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</si>
  <si>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</si>
  <si>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</si>
  <si>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</si>
  <si>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</si>
  <si>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</si>
  <si>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</si>
  <si>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</si>
  <si>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</si>
  <si>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</si>
  <si>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</si>
  <si>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</si>
  <si>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</si>
  <si>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</si>
  <si>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</si>
  <si>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</si>
  <si>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</si>
  <si>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</si>
  <si>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</si>
  <si>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</si>
  <si>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</si>
  <si>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</si>
  <si>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</si>
  <si>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</si>
  <si>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</si>
  <si>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</si>
  <si>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</si>
  <si>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</si>
  <si>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</si>
  <si>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</si>
  <si>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</si>
  <si>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</si>
  <si>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</si>
  <si>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</si>
  <si>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</si>
  <si>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</si>
  <si>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</si>
  <si>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</si>
  <si>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</si>
  <si>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</si>
  <si>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</si>
  <si>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</si>
  <si>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</si>
  <si>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</si>
  <si>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</si>
  <si>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</si>
  <si>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</si>
  <si>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</si>
  <si>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</si>
  <si>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</si>
  <si>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</si>
  <si>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</si>
  <si>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</si>
  <si>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</si>
  <si>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</si>
  <si>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</si>
  <si>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</si>
  <si>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</si>
  <si>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</si>
  <si>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</si>
  <si>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</si>
  <si>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</si>
  <si>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</si>
  <si>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</si>
  <si>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</si>
  <si>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</si>
  <si>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</si>
  <si>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</si>
  <si>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</si>
  <si>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</si>
  <si>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</si>
  <si>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</si>
  <si>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</si>
  <si>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</si>
  <si>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</si>
  <si>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</si>
  <si>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</si>
  <si>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</si>
  <si>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</si>
  <si>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</si>
  <si>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</si>
  <si>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</si>
  <si>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</si>
  <si>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</si>
  <si>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</si>
  <si>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</si>
  <si>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</si>
  <si>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</si>
  <si>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</si>
  <si>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</si>
  <si>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</si>
  <si>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</si>
  <si>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</si>
  <si>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</si>
  <si>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</si>
  <si>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</si>
  <si>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</si>
  <si>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</si>
  <si>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</si>
  <si>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</si>
  <si>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</si>
  <si>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</si>
  <si>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</si>
  <si>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</si>
  <si>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</si>
  <si>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</si>
  <si>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</si>
  <si>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</si>
  <si>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</si>
  <si>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</si>
  <si>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</si>
  <si>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</si>
  <si>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</si>
  <si>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</si>
  <si>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</si>
  <si>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</si>
  <si>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</si>
  <si>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</si>
  <si>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</si>
  <si>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</si>
  <si>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</si>
  <si>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</si>
  <si>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</si>
  <si>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</si>
  <si>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</si>
  <si>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</si>
  <si>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</si>
  <si>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</si>
  <si>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</si>
  <si>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</si>
  <si>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</si>
  <si>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</si>
  <si>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</si>
  <si>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</si>
  <si>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</si>
  <si>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</si>
  <si>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</si>
  <si>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</si>
  <si>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</si>
  <si>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</si>
  <si>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</si>
  <si>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</si>
  <si>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</si>
  <si>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</si>
  <si>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</si>
  <si>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</si>
  <si>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</si>
  <si>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</si>
  <si>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</si>
  <si>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</si>
  <si>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</si>
  <si>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</si>
  <si>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</si>
  <si>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</si>
  <si>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</si>
  <si>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</si>
  <si>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</si>
  <si>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</si>
  <si>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</si>
  <si>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</si>
  <si>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</si>
  <si>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</si>
  <si>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</si>
  <si>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</si>
  <si>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</si>
  <si>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</si>
  <si>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</si>
  <si>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</si>
  <si>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</si>
  <si>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</si>
  <si>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</si>
  <si>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</si>
  <si>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</si>
  <si>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</si>
  <si>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</si>
  <si>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</si>
  <si>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</si>
  <si>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</si>
  <si>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</si>
  <si>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</si>
  <si>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</si>
  <si>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</si>
  <si>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</si>
  <si>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</si>
  <si>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</si>
  <si>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</si>
  <si>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</si>
  <si>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</si>
  <si>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</si>
  <si>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</si>
  <si>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</si>
  <si>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</si>
  <si>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</si>
  <si>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</si>
  <si>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</si>
  <si>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</si>
  <si>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</si>
  <si>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</si>
  <si>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</si>
  <si>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</si>
  <si>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</si>
  <si>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</si>
  <si>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</si>
  <si>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</si>
  <si>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</si>
  <si>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</si>
  <si>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</si>
  <si>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</si>
  <si>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</si>
  <si>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</si>
  <si>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</si>
  <si>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</si>
  <si>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</si>
  <si>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</si>
  <si>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</si>
  <si>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</si>
  <si>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</si>
  <si>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</si>
  <si>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</si>
  <si>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</si>
  <si>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</si>
  <si>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</si>
  <si>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</si>
  <si>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</si>
  <si>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</si>
  <si>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</si>
  <si>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</si>
  <si>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</si>
  <si>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</si>
  <si>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</si>
  <si>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</si>
  <si>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</si>
  <si>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</si>
  <si>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</si>
  <si>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</si>
  <si>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</si>
  <si>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</si>
  <si>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</si>
  <si>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</si>
  <si>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</si>
  <si>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</si>
  <si>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</si>
  <si>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</si>
  <si>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</si>
  <si>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</si>
  <si>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</si>
  <si>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</si>
  <si>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</si>
  <si>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</si>
  <si>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</si>
  <si>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</si>
  <si>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</si>
  <si>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</si>
  <si>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</si>
  <si>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</si>
  <si>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</si>
  <si>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</si>
  <si>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</si>
  <si>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</si>
  <si>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</si>
  <si>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</si>
  <si>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</si>
  <si>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</si>
  <si>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</si>
  <si>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</si>
  <si>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</si>
  <si>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</si>
  <si>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</si>
  <si>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</si>
  <si>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</si>
  <si>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</si>
  <si>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</si>
  <si>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</si>
  <si>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</si>
  <si>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</si>
  <si>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</si>
  <si>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</si>
  <si>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</si>
  <si>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</si>
  <si>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</si>
  <si>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</si>
  <si>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</si>
  <si>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</si>
  <si>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</si>
  <si>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</si>
  <si>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</si>
  <si>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</si>
  <si>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</si>
  <si>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</si>
  <si>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</si>
  <si>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</si>
  <si>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</si>
  <si>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</si>
  <si>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</si>
  <si>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</si>
  <si>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</si>
  <si>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</si>
  <si>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</si>
  <si>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</si>
  <si>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</si>
  <si>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</si>
  <si>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</si>
  <si>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</si>
  <si>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</si>
  <si>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</si>
  <si>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</si>
  <si>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</si>
  <si>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</si>
  <si>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</si>
  <si>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</si>
  <si>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</si>
  <si>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</si>
  <si>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</si>
  <si>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</si>
  <si>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</si>
  <si>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</si>
  <si>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</si>
  <si>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</si>
  <si>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</si>
  <si>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</si>
  <si>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</si>
  <si>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</si>
  <si>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</si>
  <si>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</si>
  <si>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</si>
  <si>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</si>
  <si>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</si>
  <si>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</si>
  <si>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</si>
  <si>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</si>
  <si>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</si>
  <si>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</si>
  <si>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</si>
  <si>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</si>
  <si>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</si>
  <si>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</si>
  <si>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</si>
  <si>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</si>
  <si>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</si>
  <si>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</si>
  <si>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</si>
  <si>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</si>
  <si>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</si>
  <si>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</si>
  <si>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</si>
  <si>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</si>
  <si>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</si>
  <si>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</si>
  <si>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</si>
  <si>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</si>
  <si>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</si>
  <si>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</si>
  <si>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</si>
  <si>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</si>
  <si>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</si>
  <si>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</si>
  <si>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</si>
  <si>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</si>
  <si>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</si>
  <si>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</si>
  <si>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</si>
  <si>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</si>
  <si>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</si>
  <si>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</si>
  <si>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</si>
  <si>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</si>
  <si>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</si>
  <si>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</si>
  <si>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</si>
  <si>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</si>
  <si>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</si>
  <si>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</si>
  <si>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</si>
  <si>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</si>
  <si>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</si>
  <si>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</si>
  <si>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</si>
  <si>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</si>
  <si>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</si>
  <si>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</si>
  <si>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</si>
  <si>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</si>
  <si>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</si>
  <si>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</si>
  <si>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</si>
  <si>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</si>
  <si>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</si>
  <si>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</si>
  <si>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</si>
  <si>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</si>
  <si>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</si>
  <si>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</si>
  <si>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</si>
  <si>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</si>
  <si>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</si>
  <si>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</si>
  <si>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</si>
  <si>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</si>
  <si>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</si>
  <si>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</si>
  <si>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</si>
  <si>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</si>
  <si>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</si>
  <si>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</si>
  <si>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</si>
  <si>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</si>
  <si>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</si>
  <si>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</si>
  <si>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</si>
  <si>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</si>
  <si>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</si>
  <si>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</si>
  <si>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</si>
  <si>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</si>
  <si>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</si>
  <si>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</si>
  <si>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</si>
  <si>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</si>
  <si>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</si>
  <si>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</si>
  <si>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</si>
  <si>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</si>
  <si>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</si>
  <si>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</si>
  <si>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</si>
  <si>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</si>
  <si>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</si>
  <si>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</si>
  <si>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</si>
  <si>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</si>
  <si>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</si>
  <si>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</si>
  <si>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</si>
  <si>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</si>
  <si>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</si>
  <si>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</si>
  <si>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</si>
  <si>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</si>
  <si>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</si>
  <si>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</si>
  <si>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</si>
  <si>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</si>
  <si>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</si>
  <si>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</si>
  <si>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</si>
  <si>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</si>
  <si>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</si>
  <si>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</si>
  <si>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</si>
  <si>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</si>
  <si>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</si>
  <si>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</si>
  <si>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</si>
  <si>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</si>
  <si>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</si>
  <si>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</si>
  <si>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</si>
  <si>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</si>
  <si>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</si>
  <si>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</si>
  <si>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</si>
  <si>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</si>
  <si>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</si>
  <si>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</si>
  <si>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</si>
  <si>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</si>
  <si>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</si>
  <si>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</si>
  <si>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</si>
  <si>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</si>
  <si>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</si>
  <si>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</si>
  <si>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</si>
  <si>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</si>
  <si>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</si>
  <si>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</si>
  <si>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</si>
  <si>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</si>
  <si>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</si>
  <si>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</si>
  <si>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</si>
  <si>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</si>
  <si>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</si>
  <si>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</si>
  <si>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</si>
  <si>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</si>
  <si>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</si>
  <si>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</si>
  <si>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</si>
  <si>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</si>
  <si>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</si>
  <si>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</si>
  <si>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</si>
  <si>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</si>
  <si>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</si>
  <si>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</si>
  <si>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</si>
  <si>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</si>
  <si>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</si>
  <si>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</si>
  <si>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</si>
  <si>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</si>
  <si>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</si>
  <si>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</si>
  <si>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</si>
  <si>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</si>
  <si>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</si>
  <si>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</si>
  <si>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</si>
  <si>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</si>
  <si>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</si>
  <si>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</si>
  <si>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</si>
  <si>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</si>
  <si>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</si>
  <si>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</si>
  <si>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</si>
  <si>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</si>
  <si>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</si>
  <si>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</si>
  <si>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</si>
  <si>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</si>
  <si>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</si>
  <si>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</si>
  <si>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</si>
  <si>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</si>
  <si>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</si>
  <si>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</si>
  <si>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</si>
  <si>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</si>
  <si>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</si>
  <si>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</si>
  <si>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</si>
  <si>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</si>
  <si>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</si>
  <si>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</si>
  <si>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</si>
  <si>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</si>
  <si>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</si>
  <si>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</si>
  <si>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</si>
  <si>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</si>
  <si>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</si>
  <si>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</si>
  <si>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</si>
  <si>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</si>
  <si>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</si>
  <si>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</si>
  <si>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</si>
  <si>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</si>
  <si>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</si>
  <si>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</si>
  <si>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</si>
  <si>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</si>
  <si>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</si>
  <si>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</si>
  <si>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</si>
  <si>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</si>
  <si>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</si>
  <si>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</si>
  <si>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</si>
  <si>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</si>
  <si>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</si>
  <si>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</si>
  <si>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</si>
  <si>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</si>
  <si>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</si>
  <si>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</si>
  <si>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</si>
  <si>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</si>
  <si>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</si>
  <si>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</si>
  <si>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</si>
  <si>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</si>
  <si>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</si>
  <si>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</si>
  <si>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</si>
  <si>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</si>
  <si>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</si>
  <si>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</si>
  <si>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</si>
  <si>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</si>
  <si>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</si>
  <si>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</si>
  <si>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</si>
  <si>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</si>
  <si>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</si>
  <si>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</si>
  <si>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</si>
  <si>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</si>
  <si>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</si>
  <si>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</si>
  <si>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</si>
  <si>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</si>
  <si>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</si>
  <si>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</si>
  <si>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</si>
  <si>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</si>
  <si>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</si>
  <si>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</si>
  <si>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</si>
  <si>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</si>
  <si>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</si>
  <si>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</si>
  <si>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</si>
  <si>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</si>
  <si>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</si>
  <si>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</si>
  <si>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</si>
  <si>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</si>
  <si>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</si>
  <si>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</si>
  <si>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</si>
  <si>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</si>
  <si>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</si>
  <si>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</si>
  <si>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</si>
  <si>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</si>
  <si>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</si>
  <si>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</si>
  <si>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</si>
  <si>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</si>
  <si>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</si>
  <si>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</si>
  <si>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</si>
  <si>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</si>
  <si>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</si>
  <si>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</si>
  <si>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</si>
  <si>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</si>
  <si>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</si>
  <si>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</si>
  <si>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</si>
  <si>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</si>
  <si>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</si>
  <si>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</si>
  <si>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</si>
  <si>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</si>
  <si>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</si>
  <si>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</si>
  <si>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</si>
  <si>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</si>
  <si>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</si>
  <si>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</si>
  <si>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</si>
  <si>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</si>
  <si>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</si>
  <si>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</si>
  <si>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</si>
  <si>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</si>
  <si>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</si>
  <si>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</si>
  <si>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</si>
  <si>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</si>
  <si>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</si>
  <si>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</si>
  <si>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</si>
  <si>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</si>
  <si>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</si>
  <si>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</si>
  <si>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</si>
  <si>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</si>
  <si>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</si>
  <si>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</si>
  <si>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</si>
  <si>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</si>
  <si>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</si>
  <si>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</si>
  <si>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</si>
  <si>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</si>
  <si>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</si>
  <si>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</si>
  <si>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</si>
  <si>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</si>
  <si>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</si>
  <si>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</si>
  <si>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</si>
  <si>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</si>
  <si>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</si>
  <si>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</si>
  <si>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</si>
  <si>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</si>
  <si>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</si>
  <si>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</si>
  <si>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</si>
  <si>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</si>
  <si>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</si>
  <si>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</si>
  <si>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</si>
  <si>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</si>
  <si>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</si>
  <si>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</si>
  <si>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</si>
  <si>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</si>
  <si>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</si>
  <si>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</si>
  <si>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</si>
  <si>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</si>
  <si>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</si>
  <si>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</si>
  <si>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</si>
  <si>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</si>
  <si>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</si>
  <si>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</si>
  <si>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</si>
  <si>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</si>
  <si>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</si>
  <si>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</si>
  <si>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</si>
  <si>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</si>
  <si>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</si>
  <si>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</si>
  <si>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</si>
  <si>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</si>
  <si>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</si>
  <si>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</si>
  <si>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</si>
  <si>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</si>
  <si>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</si>
  <si>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</si>
  <si>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</si>
  <si>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</si>
  <si>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</si>
  <si>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</si>
  <si>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</si>
  <si>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</si>
  <si>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</si>
  <si>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</si>
  <si>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</si>
  <si>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</si>
  <si>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</si>
  <si>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</si>
  <si>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</si>
  <si>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</si>
  <si>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</si>
  <si>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</si>
  <si>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</si>
  <si>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</si>
  <si>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</si>
  <si>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</si>
  <si>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</si>
  <si>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</si>
  <si>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</si>
  <si>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</si>
  <si>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</si>
  <si>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</si>
  <si>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</si>
  <si>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</si>
  <si>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</si>
  <si>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</si>
  <si>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</si>
  <si>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</si>
  <si>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</si>
  <si>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</si>
  <si>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</si>
  <si>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</si>
  <si>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</si>
  <si>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</si>
  <si>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</si>
  <si>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</si>
  <si>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</si>
  <si>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</si>
  <si>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</si>
  <si>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</si>
  <si>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</si>
  <si>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</si>
  <si>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</si>
  <si>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</si>
  <si>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</si>
  <si>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</si>
  <si>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</si>
  <si>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</si>
  <si>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</si>
  <si>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</si>
  <si>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</si>
  <si>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</si>
  <si>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</si>
  <si>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</si>
  <si>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</si>
  <si>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</si>
  <si>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</si>
  <si>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</si>
  <si>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</si>
  <si>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</si>
  <si>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</si>
  <si>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</si>
  <si>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</si>
  <si>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</si>
  <si>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</si>
  <si>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</si>
  <si>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</si>
  <si>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</si>
  <si>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</si>
  <si>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</si>
  <si>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</si>
  <si>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</si>
  <si>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</si>
  <si>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</si>
  <si>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</si>
  <si>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</si>
  <si>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</si>
  <si>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</si>
  <si>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</si>
  <si>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</si>
  <si>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</si>
  <si>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</si>
  <si>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</si>
  <si>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</si>
  <si>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</si>
  <si>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</si>
  <si>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</si>
  <si>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</si>
  <si>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</si>
  <si>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</si>
  <si>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</si>
  <si>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</si>
  <si>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</si>
  <si>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</si>
  <si>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</si>
  <si>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</si>
  <si>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</si>
  <si>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</si>
  <si>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</si>
  <si>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</si>
  <si>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</si>
  <si>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</si>
  <si>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</si>
  <si>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</si>
  <si>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</si>
  <si>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</si>
  <si>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</si>
  <si>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</si>
  <si>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</si>
  <si>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</si>
  <si>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</si>
  <si>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</si>
  <si>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</si>
  <si>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</si>
  <si>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</si>
  <si>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</si>
  <si>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</si>
  <si>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</si>
  <si>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</si>
  <si>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</si>
  <si>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</si>
  <si>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</si>
  <si>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</si>
  <si>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</si>
  <si>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</si>
  <si>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</si>
  <si>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</si>
  <si>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</si>
  <si>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</si>
  <si>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</si>
  <si>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</si>
  <si>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</si>
  <si>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</si>
  <si>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</si>
  <si>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</si>
  <si>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</si>
  <si>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</si>
  <si>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</si>
  <si>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</si>
  <si>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</si>
  <si>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</si>
  <si>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</si>
  <si>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</si>
  <si>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</si>
  <si>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</si>
  <si>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</si>
  <si>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</si>
  <si>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</si>
  <si>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</si>
  <si>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</si>
  <si>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</si>
  <si>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</si>
  <si>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</si>
  <si>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</si>
  <si>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</si>
  <si>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</si>
  <si>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</si>
  <si>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</si>
  <si>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</si>
  <si>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</si>
  <si>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</si>
  <si>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</si>
  <si>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</si>
  <si>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</si>
  <si>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</si>
  <si>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</si>
  <si>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</si>
  <si>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</si>
  <si>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</si>
  <si>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</si>
  <si>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</si>
  <si>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</si>
  <si>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</si>
  <si>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</si>
  <si>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</si>
  <si>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</si>
  <si>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</si>
  <si>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</si>
  <si>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</si>
  <si>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</si>
  <si>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</si>
  <si>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</si>
  <si>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</si>
  <si>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</si>
  <si>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</si>
  <si>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</si>
  <si>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</si>
  <si>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</si>
  <si>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</si>
  <si>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</si>
  <si>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</si>
  <si>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</si>
  <si>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</si>
  <si>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</si>
  <si>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</si>
  <si>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</si>
  <si>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</si>
  <si>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</si>
  <si>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</si>
  <si>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</si>
  <si>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</si>
  <si>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</si>
  <si>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</si>
  <si>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</si>
  <si>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</si>
  <si>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</si>
  <si>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</si>
  <si>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</si>
  <si>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</si>
  <si>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</si>
  <si>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</si>
  <si>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</si>
  <si>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</si>
  <si>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</si>
  <si>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</si>
  <si>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</si>
  <si>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</si>
  <si>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</si>
  <si>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</si>
  <si>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</si>
  <si>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</si>
  <si>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</si>
  <si>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</si>
  <si>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</si>
  <si>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</si>
  <si>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</si>
  <si>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</si>
  <si>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</si>
  <si>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</si>
  <si>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</si>
  <si>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</si>
  <si>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</si>
  <si>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</si>
  <si>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</si>
  <si>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</si>
  <si>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</si>
  <si>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</si>
  <si>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</si>
  <si>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</si>
  <si>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</si>
  <si>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</si>
  <si>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</si>
  <si>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</si>
  <si>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</si>
  <si>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</si>
  <si>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</si>
  <si>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</si>
  <si>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</si>
  <si>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</si>
  <si>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</si>
  <si>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</si>
  <si>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</si>
  <si>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</si>
  <si>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</si>
  <si>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</si>
  <si>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</si>
  <si>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</si>
  <si>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</si>
  <si>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</si>
  <si>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</si>
  <si>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</si>
  <si>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</si>
  <si>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</si>
  <si>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</si>
  <si>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</si>
  <si>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</si>
  <si>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</si>
  <si>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</si>
  <si>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</si>
  <si>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</si>
  <si>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</si>
  <si>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</si>
  <si>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</si>
  <si>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</si>
  <si>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</si>
  <si>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</si>
  <si>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</si>
  <si>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</si>
  <si>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</si>
  <si>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</si>
  <si>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</si>
  <si>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</si>
  <si>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</si>
  <si>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</si>
  <si>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</si>
  <si>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</si>
  <si>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</si>
  <si>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</si>
  <si>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</si>
  <si>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</si>
  <si>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</si>
  <si>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</si>
  <si>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</si>
  <si>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</si>
  <si>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</si>
  <si>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</si>
  <si>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</si>
  <si>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</si>
  <si>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</si>
  <si>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</si>
  <si>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</si>
  <si>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</si>
  <si>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</si>
  <si>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</si>
  <si>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</si>
  <si>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</si>
  <si>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</si>
  <si>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</si>
  <si>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</si>
  <si>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</si>
  <si>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</si>
  <si>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</si>
  <si>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</si>
  <si>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</si>
  <si>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</si>
  <si>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</si>
  <si>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</si>
  <si>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</si>
  <si>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</si>
  <si>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</si>
  <si>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</si>
  <si>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</si>
  <si>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</si>
  <si>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</si>
  <si>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</si>
  <si>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</si>
  <si>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</si>
  <si>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</si>
  <si>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</si>
  <si>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</si>
  <si>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</si>
  <si>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</si>
  <si>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</si>
  <si>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</si>
  <si>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</si>
  <si>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</si>
  <si>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</si>
  <si>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</si>
  <si>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</si>
  <si>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</si>
  <si>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</si>
  <si>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</si>
  <si>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</si>
  <si>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</si>
  <si>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</si>
  <si>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</si>
  <si>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</si>
  <si>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</si>
  <si>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</si>
  <si>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</si>
  <si>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</si>
  <si>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</si>
  <si>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</si>
  <si>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</si>
  <si>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</si>
  <si>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</si>
  <si>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</si>
  <si>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</si>
  <si>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</si>
  <si>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</si>
  <si>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</si>
  <si>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</si>
  <si>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</si>
  <si>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</si>
  <si>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</si>
  <si>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</si>
  <si>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</si>
  <si>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</si>
  <si>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</si>
  <si>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</si>
  <si>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</si>
  <si>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</si>
  <si>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</si>
  <si>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</si>
  <si>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</si>
  <si>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</si>
  <si>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</si>
  <si>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</si>
  <si>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</si>
  <si>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</si>
  <si>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</si>
  <si>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</si>
  <si>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</si>
  <si>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</si>
  <si>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</si>
  <si>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</si>
  <si>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</si>
  <si>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</si>
  <si>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</si>
  <si>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</si>
  <si>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</si>
  <si>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</si>
  <si>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</si>
  <si>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</si>
  <si>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</si>
  <si>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</si>
  <si>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</si>
  <si>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</si>
  <si>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</si>
  <si>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</si>
  <si>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</si>
  <si>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</si>
  <si>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</si>
  <si>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</si>
  <si>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</si>
  <si>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</si>
  <si>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</si>
  <si>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</si>
  <si>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</si>
  <si>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</si>
  <si>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</si>
  <si>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</si>
  <si>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</si>
  <si>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</si>
  <si>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</si>
  <si>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</si>
  <si>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</si>
  <si>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</si>
  <si>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</si>
  <si>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</si>
  <si>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</si>
  <si>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</si>
  <si>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</si>
  <si>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</si>
  <si>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</si>
  <si>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</si>
  <si>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</si>
  <si>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</si>
  <si>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</si>
  <si>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</si>
  <si>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</si>
  <si>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</si>
  <si>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</si>
  <si>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</si>
  <si>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</si>
  <si>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</si>
  <si>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</si>
  <si>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</si>
  <si>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</si>
  <si>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</si>
  <si>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</si>
  <si>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</si>
  <si>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</si>
  <si>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</si>
  <si>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</si>
  <si>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</si>
  <si>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</si>
  <si>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</si>
  <si>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</si>
  <si>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</si>
  <si>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</si>
  <si>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</si>
  <si>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</si>
  <si>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</si>
  <si>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</si>
  <si>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</si>
  <si>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</si>
  <si>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</si>
  <si>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</si>
  <si>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</si>
  <si>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</si>
  <si>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</si>
  <si>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</si>
  <si>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</si>
  <si>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</si>
  <si>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</si>
  <si>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</si>
  <si>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</si>
  <si>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</si>
  <si>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</si>
  <si>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</si>
  <si>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</si>
  <si>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</si>
  <si>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</si>
  <si>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</si>
  <si>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</si>
  <si>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</si>
  <si>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</si>
  <si>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</si>
  <si>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</si>
  <si>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</si>
  <si>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</si>
  <si>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</si>
  <si>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</si>
  <si>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</si>
  <si>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</si>
  <si>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</si>
  <si>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</si>
  <si>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</si>
  <si>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</si>
  <si>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</si>
  <si>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</si>
  <si>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</si>
  <si>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</si>
  <si>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</si>
  <si>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</si>
  <si>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</si>
  <si>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</si>
  <si>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</si>
  <si>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</si>
  <si>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</si>
  <si>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</si>
  <si>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</si>
  <si>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</si>
  <si>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</si>
  <si>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</si>
  <si>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</si>
  <si>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</si>
  <si>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</si>
  <si>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</si>
  <si>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</si>
  <si>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</si>
  <si>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</si>
  <si>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</si>
  <si>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</si>
  <si>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</si>
  <si>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</si>
  <si>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</si>
  <si>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</si>
  <si>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</si>
  <si>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</si>
  <si>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</si>
  <si>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</si>
  <si>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</si>
  <si>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</si>
  <si>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</si>
  <si>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</si>
  <si>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</si>
  <si>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</si>
  <si>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</si>
  <si>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</si>
  <si>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</si>
  <si>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</si>
  <si>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</si>
  <si>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</si>
  <si>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</si>
  <si>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</si>
  <si>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</si>
  <si>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</si>
  <si>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</si>
  <si>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</si>
  <si>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</si>
  <si>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</si>
  <si>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</si>
  <si>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</si>
  <si>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</si>
  <si>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</si>
  <si>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</si>
  <si>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</si>
  <si>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</si>
  <si>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</si>
  <si>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</si>
  <si>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</si>
  <si>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</si>
  <si>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</si>
  <si>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</si>
  <si>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</si>
  <si>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</si>
  <si>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</si>
  <si>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</si>
  <si>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</si>
  <si>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</si>
  <si>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</si>
  <si>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</si>
  <si>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</si>
  <si>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</si>
  <si>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</si>
  <si>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</si>
  <si>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</si>
  <si>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</si>
  <si>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</si>
  <si>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</si>
  <si>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</si>
  <si>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</si>
  <si>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</si>
  <si>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</si>
  <si>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</si>
  <si>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</si>
  <si>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</si>
  <si>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</si>
  <si>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</si>
  <si>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</si>
  <si>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</si>
  <si>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</si>
  <si>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</si>
  <si>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</si>
  <si>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</si>
  <si>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</si>
  <si>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</si>
  <si>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</si>
  <si>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</si>
  <si>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</si>
  <si>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</si>
  <si>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</si>
  <si>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</si>
  <si>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</si>
  <si>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</si>
  <si>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</si>
  <si>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</si>
  <si>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</si>
  <si>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</si>
  <si>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</si>
  <si>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</si>
  <si>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</si>
  <si>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</si>
  <si>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</si>
  <si>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</si>
  <si>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</si>
  <si>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</si>
  <si>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</si>
  <si>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</si>
  <si>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</si>
  <si>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</si>
  <si>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</si>
  <si>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</si>
  <si>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</si>
  <si>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</si>
  <si>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</si>
  <si>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</si>
  <si>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</si>
  <si>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</si>
  <si>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</si>
  <si>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</si>
  <si>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</si>
  <si>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</si>
  <si>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</si>
  <si>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</si>
  <si>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</si>
  <si>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</si>
  <si>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</si>
  <si>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</si>
  <si>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</si>
  <si>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</si>
  <si>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</si>
  <si>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</si>
  <si>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</si>
  <si>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</si>
  <si>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</si>
  <si>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</si>
  <si>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</si>
  <si>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</si>
  <si>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</si>
  <si>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</si>
  <si>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</si>
  <si>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</si>
  <si>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</si>
  <si>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</si>
  <si>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</si>
  <si>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</si>
  <si>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</si>
  <si>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</si>
  <si>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</si>
  <si>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</si>
  <si>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</si>
  <si>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</si>
  <si>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</si>
  <si>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</si>
  <si>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</si>
  <si>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</si>
  <si>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</si>
  <si>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</si>
  <si>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</si>
  <si>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</si>
  <si>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</si>
  <si>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</si>
  <si>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</si>
  <si>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</si>
  <si>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</si>
  <si>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</si>
  <si>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</si>
  <si>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</si>
  <si>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</si>
  <si>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</si>
  <si>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</si>
  <si>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</si>
  <si>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</si>
  <si>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</si>
  <si>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</si>
  <si>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</si>
  <si>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</si>
  <si>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</si>
  <si>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</si>
  <si>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</si>
  <si>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</si>
  <si>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</si>
  <si>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</si>
  <si>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</si>
  <si>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</si>
  <si>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</si>
  <si>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</si>
  <si>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</si>
  <si>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</si>
  <si>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</si>
  <si>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</si>
  <si>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</si>
  <si>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</si>
  <si>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</si>
  <si>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</si>
  <si>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</si>
  <si>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</si>
  <si>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</si>
  <si>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</si>
  <si>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</si>
  <si>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</si>
  <si>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</si>
  <si>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</si>
  <si>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</si>
  <si>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</si>
  <si>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</si>
  <si>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</si>
  <si>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</si>
  <si>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</si>
  <si>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</si>
  <si>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</si>
  <si>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</si>
  <si>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</si>
  <si>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</si>
  <si>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</si>
  <si>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</si>
  <si>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</si>
  <si>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</si>
  <si>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</si>
  <si>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</si>
  <si>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</si>
  <si>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</si>
  <si>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</si>
  <si>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</si>
  <si>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</si>
  <si>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</si>
  <si>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</si>
  <si>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</si>
  <si>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</si>
  <si>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</si>
  <si>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</si>
  <si>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</si>
  <si>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</si>
  <si>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</si>
  <si>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</si>
  <si>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</si>
  <si>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</si>
  <si>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</si>
  <si>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</si>
  <si>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</si>
  <si>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</si>
  <si>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</si>
  <si>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</si>
  <si>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</si>
  <si>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</si>
  <si>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</si>
  <si>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</si>
  <si>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</si>
  <si>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</si>
  <si>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</si>
  <si>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</si>
  <si>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</si>
  <si>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</si>
  <si>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</si>
  <si>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</si>
  <si>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</si>
  <si>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</si>
  <si>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</si>
  <si>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</si>
  <si>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</si>
  <si>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</si>
  <si>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</si>
  <si>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</si>
  <si>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</si>
  <si>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</si>
  <si>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</si>
  <si>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</si>
  <si>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</si>
  <si>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</si>
  <si>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</si>
  <si>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</si>
  <si>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</si>
  <si>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</si>
  <si>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</si>
  <si>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</si>
  <si>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</si>
  <si>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</si>
  <si>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</si>
  <si>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</si>
  <si>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</si>
  <si>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</si>
  <si>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</si>
  <si>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</si>
  <si>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</si>
  <si>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</si>
  <si>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</si>
  <si>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</si>
  <si>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</si>
  <si>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</si>
  <si>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</si>
  <si>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</si>
  <si>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</si>
  <si>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</si>
  <si>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</si>
  <si>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</si>
  <si>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</si>
  <si>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</si>
  <si>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</si>
  <si>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</si>
  <si>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</si>
  <si>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</si>
  <si>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</si>
  <si>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</si>
  <si>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</si>
  <si>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</si>
  <si>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</si>
  <si>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</si>
  <si>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</si>
  <si>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</si>
  <si>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</si>
  <si>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</si>
  <si>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</si>
  <si>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</si>
  <si>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</si>
  <si>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</si>
  <si>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</si>
  <si>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</si>
  <si>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</si>
  <si>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</si>
  <si>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</si>
  <si>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</si>
  <si>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</si>
  <si>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</si>
  <si>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</si>
  <si>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</si>
  <si>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</si>
  <si>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</si>
  <si>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</si>
  <si>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</si>
  <si>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</si>
  <si>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</si>
  <si>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</si>
  <si>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</si>
  <si>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</si>
  <si>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</si>
  <si>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</si>
  <si>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</si>
  <si>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</si>
  <si>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</si>
  <si>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</si>
  <si>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</si>
  <si>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</si>
  <si>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</si>
  <si>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</si>
  <si>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</si>
  <si>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</si>
  <si>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</si>
  <si>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</si>
  <si>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</si>
  <si>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</si>
  <si>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</si>
  <si>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</si>
  <si>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</si>
  <si>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</si>
  <si>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</si>
  <si>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</si>
  <si>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</si>
  <si>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</si>
  <si>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</si>
  <si>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</si>
  <si>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</si>
  <si>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</si>
  <si>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</si>
  <si>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</si>
  <si>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</si>
  <si>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</si>
  <si>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</si>
  <si>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</si>
  <si>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</si>
  <si>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</si>
  <si>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</si>
  <si>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</si>
  <si>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</si>
  <si>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</si>
  <si>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</si>
  <si>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</si>
  <si>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</si>
  <si>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</si>
  <si>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</si>
  <si>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</si>
  <si>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</si>
  <si>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</si>
  <si>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</si>
  <si>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</si>
  <si>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</si>
  <si>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</si>
  <si>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</si>
  <si>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</si>
  <si>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</si>
  <si>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</si>
  <si>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</si>
  <si>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</si>
  <si>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</si>
  <si>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</si>
  <si>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</si>
  <si>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</si>
  <si>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</si>
  <si>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</si>
  <si>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</si>
  <si>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</si>
  <si>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</si>
  <si>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</si>
  <si>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</si>
  <si>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</si>
  <si>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</si>
  <si>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</si>
  <si>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</si>
  <si>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</si>
  <si>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</si>
  <si>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</si>
  <si>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</si>
  <si>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</si>
  <si>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</si>
  <si>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</si>
  <si>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</si>
  <si>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</si>
  <si>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</si>
  <si>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</si>
  <si>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</si>
  <si>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</si>
  <si>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</si>
  <si>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</si>
  <si>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</si>
  <si>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</si>
  <si>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</si>
  <si>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</si>
  <si>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</si>
  <si>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</si>
  <si>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</si>
  <si>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</si>
  <si>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</si>
  <si>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</si>
  <si>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</si>
  <si>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</si>
  <si>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</si>
  <si>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</si>
  <si>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</si>
  <si>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</si>
  <si>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</si>
  <si>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</si>
  <si>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</si>
  <si>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</si>
  <si>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</si>
  <si>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</si>
  <si>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</si>
  <si>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</si>
  <si>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</si>
  <si>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</si>
  <si>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</si>
  <si>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</si>
  <si>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</si>
  <si>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</si>
  <si>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</si>
  <si>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</si>
  <si>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</si>
  <si>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</si>
  <si>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</si>
  <si>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</si>
  <si>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</si>
  <si>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</si>
  <si>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</si>
  <si>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</si>
  <si>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</si>
  <si>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</si>
  <si>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</si>
  <si>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</si>
  <si>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</si>
  <si>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</si>
  <si>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</si>
  <si>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</si>
  <si>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</si>
  <si>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</si>
  <si>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</si>
  <si>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</si>
  <si>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</si>
  <si>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</si>
  <si>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</si>
  <si>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</si>
  <si>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</si>
  <si>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</si>
  <si>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</si>
  <si>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</si>
  <si>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</si>
  <si>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</si>
  <si>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</si>
  <si>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</si>
  <si>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</si>
  <si>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</si>
  <si>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</si>
  <si>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</si>
  <si>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</si>
  <si>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</si>
  <si>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</si>
  <si>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</si>
  <si>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</si>
  <si>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</si>
  <si>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</si>
  <si>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</si>
  <si>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</si>
  <si>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</si>
  <si>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</si>
  <si>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</si>
  <si>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</si>
  <si>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</si>
  <si>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</si>
  <si>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</si>
  <si>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</si>
  <si>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</si>
  <si>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</si>
  <si>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</si>
  <si>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</si>
  <si>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</si>
  <si>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</si>
  <si>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</si>
  <si>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</si>
  <si>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</si>
  <si>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</si>
  <si>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</si>
  <si>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</si>
  <si>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</si>
  <si>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</si>
  <si>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</si>
  <si>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</si>
  <si>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</si>
  <si>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</si>
  <si>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</si>
  <si>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</si>
  <si>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</si>
  <si>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</si>
  <si>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</si>
  <si>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</si>
  <si>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</si>
  <si>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</si>
  <si>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</si>
  <si>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</si>
  <si>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</si>
  <si>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</si>
  <si>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</si>
  <si>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</si>
  <si>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</si>
  <si>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</si>
  <si>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</si>
  <si>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</si>
  <si>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</si>
  <si>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</si>
  <si>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</si>
  <si>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</si>
  <si>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</si>
  <si>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</si>
  <si>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</si>
  <si>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</si>
  <si>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</si>
  <si>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</si>
  <si>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</si>
  <si>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</si>
  <si>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</si>
  <si>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</si>
  <si>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</si>
  <si>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</si>
  <si>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</si>
  <si>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</si>
  <si>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</si>
  <si>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</si>
  <si>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</si>
  <si>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</si>
  <si>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</si>
  <si>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</si>
  <si>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</si>
  <si>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</si>
  <si>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</si>
  <si>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</si>
  <si>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</si>
  <si>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</si>
  <si>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</si>
  <si>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</si>
  <si>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</si>
  <si>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</si>
  <si>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</si>
  <si>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</si>
  <si>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</si>
  <si>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</si>
  <si>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</si>
  <si>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</si>
  <si>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</si>
  <si>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</si>
  <si>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</si>
  <si>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</si>
  <si>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</si>
  <si>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</si>
  <si>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</si>
  <si>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</si>
  <si>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</si>
  <si>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</si>
  <si>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</si>
  <si>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</si>
  <si>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</si>
  <si>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</si>
  <si>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</si>
  <si>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</si>
  <si>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</si>
  <si>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</si>
  <si>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</si>
  <si>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</si>
  <si>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</si>
  <si>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</si>
  <si>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</si>
  <si>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</si>
  <si>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</si>
  <si>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</si>
  <si>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</si>
  <si>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</si>
  <si>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</si>
  <si>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</si>
  <si>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</si>
  <si>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</si>
  <si>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</si>
  <si>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</si>
  <si>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</si>
  <si>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</si>
  <si>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</si>
  <si>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</si>
  <si>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</si>
  <si>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</si>
  <si>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</si>
  <si>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</si>
  <si>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</si>
  <si>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</si>
  <si>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</si>
  <si>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</si>
  <si>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</si>
  <si>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</si>
  <si>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</si>
  <si>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</si>
  <si>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</si>
  <si>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</si>
  <si>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</si>
  <si>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</si>
  <si>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</si>
  <si>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</si>
  <si>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</si>
  <si>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</si>
  <si>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</si>
  <si>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</si>
  <si>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</si>
  <si>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</si>
  <si>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</si>
  <si>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</si>
  <si>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</si>
  <si>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</si>
  <si>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</si>
  <si>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</si>
  <si>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</si>
  <si>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</si>
  <si>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</si>
  <si>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</si>
  <si>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</si>
  <si>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</si>
  <si>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</si>
  <si>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</si>
  <si>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</si>
  <si>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</si>
  <si>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</si>
  <si>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</si>
  <si>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</si>
  <si>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王鹏</t>
  </si>
  <si>
    <t>郑燚</t>
  </si>
  <si>
    <t>五矿国际信托有限公司</t>
    <phoneticPr fontId="6" type="noConversion"/>
  </si>
  <si>
    <t>市场价格</t>
  </si>
  <si>
    <t>其他：</t>
  </si>
  <si>
    <t>企业</t>
  </si>
  <si>
    <t>一致</t>
  </si>
  <si>
    <t>商业</t>
  </si>
  <si>
    <t>否</t>
  </si>
  <si>
    <t>综合项目（居住、综合）</t>
  </si>
  <si>
    <t>旅游地产</t>
  </si>
  <si>
    <t>平整</t>
  </si>
  <si>
    <t>通路</t>
  </si>
  <si>
    <t>通电</t>
  </si>
  <si>
    <t>通讯</t>
  </si>
  <si>
    <t>剩余法-待开发</t>
  </si>
  <si>
    <t>比较法-住宅、综合</t>
  </si>
  <si>
    <t>项目局部</t>
  </si>
  <si>
    <t>土地</t>
  </si>
  <si>
    <t>地块名称</t>
  </si>
  <si>
    <t>城市</t>
  </si>
  <si>
    <t>用地性质</t>
  </si>
  <si>
    <t>区县</t>
  </si>
  <si>
    <t>板块</t>
  </si>
  <si>
    <t>土地位置</t>
  </si>
  <si>
    <t>出让方式</t>
  </si>
  <si>
    <t>地块编号</t>
  </si>
  <si>
    <t>详细规划</t>
  </si>
  <si>
    <t>建设用地面积(㎡)</t>
  </si>
  <si>
    <t>规划建筑面积(㎡)</t>
  </si>
  <si>
    <t>商业比例</t>
  </si>
  <si>
    <t>建筑密度</t>
  </si>
  <si>
    <t>限制高度</t>
  </si>
  <si>
    <t>保障房类型</t>
  </si>
  <si>
    <t>推出保障房面积(㎡)</t>
  </si>
  <si>
    <t>成交保障房面积(㎡)</t>
  </si>
  <si>
    <t>配建自住房情况</t>
  </si>
  <si>
    <t>推出特殊政策</t>
  </si>
  <si>
    <t>成交特殊政策</t>
  </si>
  <si>
    <t>配建养老设施面积情况</t>
  </si>
  <si>
    <t>开发进度</t>
  </si>
  <si>
    <t>公告时间</t>
  </si>
  <si>
    <t>起始日期</t>
  </si>
  <si>
    <t>截止日期</t>
  </si>
  <si>
    <t>成交日期</t>
  </si>
  <si>
    <t>公告编号</t>
  </si>
  <si>
    <t>交易状态</t>
  </si>
  <si>
    <t>受让单位</t>
  </si>
  <si>
    <t>保证金(万元)</t>
  </si>
  <si>
    <t>起始价(万元)</t>
  </si>
  <si>
    <t>成交价(万元)</t>
  </si>
  <si>
    <t>推出每亩价(万元/亩)</t>
  </si>
  <si>
    <t>成交每亩价(万元/亩)</t>
  </si>
  <si>
    <t>推出楼面价(元/㎡)</t>
  </si>
  <si>
    <t>成交楼面价(元/㎡)</t>
  </si>
  <si>
    <t>推出楼面价(除保障房)(元/㎡)</t>
  </si>
  <si>
    <t>成交楼面价(除保障房)(元/㎡)</t>
  </si>
  <si>
    <t>溢价率</t>
  </si>
  <si>
    <t>出让年限</t>
  </si>
  <si>
    <t>竞报整体自持比例(%)</t>
  </si>
  <si>
    <t>竞报商品住房自持比例(%)</t>
  </si>
  <si>
    <t>竞报商办部分自持比例(%)</t>
  </si>
  <si>
    <t>土地星级</t>
  </si>
  <si>
    <t>眉山市</t>
  </si>
  <si>
    <t>住宅用地</t>
  </si>
  <si>
    <t>仁寿县</t>
  </si>
  <si>
    <t>拍卖</t>
  </si>
  <si>
    <t>城镇住宅-普通商品住房用地</t>
  </si>
  <si>
    <t>小于30</t>
  </si>
  <si>
    <t>大于-12并且小于80</t>
  </si>
  <si>
    <t>70年</t>
  </si>
  <si>
    <t>0星</t>
  </si>
  <si>
    <t>2020-10-16</t>
  </si>
  <si>
    <t>大于或等于-6并且小于或等于80</t>
  </si>
  <si>
    <t>大于1并且小于或等于1.8</t>
  </si>
  <si>
    <t>小于或等于30</t>
  </si>
  <si>
    <t>黑龙滩镇开元社区</t>
  </si>
  <si>
    <t>大于1并且小于或等于1.2</t>
  </si>
  <si>
    <t>小于或等于28</t>
  </si>
  <si>
    <t>大于或等于-8并且小于或等于30</t>
  </si>
  <si>
    <t>大于或等于-8并且小于或等于54</t>
  </si>
  <si>
    <t>大于或等于-8并且小于或等于60</t>
  </si>
  <si>
    <t>大于1并且小于2.5</t>
  </si>
  <si>
    <t>小于25</t>
  </si>
  <si>
    <t>小于100</t>
  </si>
  <si>
    <t>小于80</t>
  </si>
  <si>
    <t>大于1并且小于1.8</t>
  </si>
  <si>
    <t>小于60</t>
  </si>
  <si>
    <t>2星</t>
  </si>
  <si>
    <t>1星</t>
  </si>
  <si>
    <t>黑龙滩镇三桥村</t>
  </si>
  <si>
    <t>2019-106</t>
  </si>
  <si>
    <t>未开工</t>
  </si>
  <si>
    <t>2020-09-24</t>
  </si>
  <si>
    <t>眉仁公资告[2020]第40号</t>
  </si>
  <si>
    <t>已成交</t>
  </si>
  <si>
    <t>眉山印象中铁置业有限公司</t>
  </si>
  <si>
    <t>黑龙滩镇铁门村</t>
  </si>
  <si>
    <t>2019-83</t>
  </si>
  <si>
    <t>大于1并且小于或等于1.5</t>
  </si>
  <si>
    <t>大于-8并且小于或等于54</t>
  </si>
  <si>
    <t>四川丰华百顺置业有限公司</t>
  </si>
  <si>
    <t>2019-169</t>
  </si>
  <si>
    <t>2020-09-22</t>
  </si>
  <si>
    <t>黑龙滩镇金山村</t>
  </si>
  <si>
    <t>2019-150</t>
  </si>
  <si>
    <t>城镇住宅用地</t>
  </si>
  <si>
    <t>大于或等于-8并且小于50</t>
  </si>
  <si>
    <t>2020-09-07</t>
  </si>
  <si>
    <t>2020-09-30</t>
  </si>
  <si>
    <t>眉仁公资告[2020]第35号</t>
  </si>
  <si>
    <t>四川中铁鸿丰置业有限公司</t>
  </si>
  <si>
    <t>天府大道西侧</t>
  </si>
  <si>
    <t>2020(TR)-12号</t>
  </si>
  <si>
    <t>大于1并且小于2.2</t>
  </si>
  <si>
    <t>小于22</t>
  </si>
  <si>
    <t>小于54</t>
  </si>
  <si>
    <t>2020-09-10</t>
  </si>
  <si>
    <t>眉仁公资告[2020]38号</t>
  </si>
  <si>
    <t>眉山加悦置业有限公司</t>
  </si>
  <si>
    <t>2020(TR)-14号</t>
  </si>
  <si>
    <t>2020(TR)-13号</t>
  </si>
  <si>
    <t>2020(TR)-16号</t>
  </si>
  <si>
    <t>2020(TR)-15号</t>
  </si>
  <si>
    <t>2020(TR)-11号</t>
  </si>
  <si>
    <t>2020(TR)-17号</t>
  </si>
  <si>
    <t>2019-155</t>
  </si>
  <si>
    <t>2020(TR)-18号</t>
  </si>
  <si>
    <t>长平水街南侧、普宁大道西侧</t>
  </si>
  <si>
    <t>2020-38</t>
  </si>
  <si>
    <t>大于或等于1.5并且小于或等于1.8</t>
  </si>
  <si>
    <t>大于-6并且小于54</t>
  </si>
  <si>
    <t>2020-09-04</t>
  </si>
  <si>
    <t>2020-09-27</t>
  </si>
  <si>
    <t>眉仁公资告[2020]第36号</t>
  </si>
  <si>
    <t>四川万景房地产开发有限公司</t>
  </si>
  <si>
    <t>3星</t>
  </si>
  <si>
    <t>长平水街旁</t>
  </si>
  <si>
    <t>2020-37</t>
  </si>
  <si>
    <t>大于-6并且小于45</t>
  </si>
  <si>
    <t>仁寿大道与普宁大道交界处东南侧</t>
  </si>
  <si>
    <t>2019-148</t>
  </si>
  <si>
    <t>大于或等于2并且小于或等于2.7</t>
  </si>
  <si>
    <t>2020-08-31</t>
  </si>
  <si>
    <t>眉仁公资告[2020]第34号</t>
  </si>
  <si>
    <t>仁寿县鑫城建设开发有限责任公司</t>
  </si>
  <si>
    <t>清水西路东侧,南天府大道北侧</t>
  </si>
  <si>
    <t>2020(TR)-39号</t>
  </si>
  <si>
    <t>大于2并且小于2.5</t>
  </si>
  <si>
    <t>眉仁公资告[2020]33号</t>
  </si>
  <si>
    <t>眉山环天发展有限公司</t>
  </si>
  <si>
    <t>环天北路北侧,益州大道东侧</t>
  </si>
  <si>
    <t>2020(TR)-35号</t>
  </si>
  <si>
    <t>4星</t>
  </si>
  <si>
    <t>环天北路北侧,工业西路西侧</t>
  </si>
  <si>
    <t>2020(TR)-36号</t>
  </si>
  <si>
    <t>2020(TR)-33号</t>
  </si>
  <si>
    <t>2020(TR)-38号</t>
  </si>
  <si>
    <t>2020(TR)-37号</t>
  </si>
  <si>
    <t>2020(TR)-40号</t>
  </si>
  <si>
    <t>2020(TR)-34号</t>
  </si>
  <si>
    <t>2020(TR)-41号</t>
  </si>
  <si>
    <t>2020(TR)-32号</t>
  </si>
  <si>
    <t>环天北路北侧,益州大道东侧(具体范围见红线图)</t>
  </si>
  <si>
    <t>2020(TR)-31号</t>
  </si>
  <si>
    <t>怀仁大道旁</t>
  </si>
  <si>
    <t>2020-21</t>
  </si>
  <si>
    <t>大于1并且小于或等于1.02</t>
  </si>
  <si>
    <t>小于或等于35</t>
  </si>
  <si>
    <t>大于-6并且小于或等于35</t>
  </si>
  <si>
    <t>2020-08-21</t>
  </si>
  <si>
    <t>2020-09-14</t>
  </si>
  <si>
    <t>眉仁公资告[2020]第31号</t>
  </si>
  <si>
    <t>仁寿县永兴宇达房地产开发有限公司</t>
  </si>
  <si>
    <t>黑龙滩镇茶山村</t>
  </si>
  <si>
    <t>2019-160</t>
  </si>
  <si>
    <t>眉仁公资告[2020]第25-1号</t>
  </si>
  <si>
    <t>四川金瑞中铁置业有限公司</t>
  </si>
  <si>
    <t>黑龙滩镇光相社区</t>
  </si>
  <si>
    <t>2020-1</t>
  </si>
  <si>
    <t>大于1并且小于1.2</t>
  </si>
  <si>
    <t>大于或等于54并且小于或等于-8</t>
  </si>
  <si>
    <t>2020-08-20</t>
  </si>
  <si>
    <t>2020-09-11</t>
  </si>
  <si>
    <t>眉仁公资告[2020]第29号</t>
  </si>
  <si>
    <t>四川高瑞房地产开发有限公司</t>
  </si>
  <si>
    <t>2019-117</t>
  </si>
  <si>
    <t>2020-08-04</t>
  </si>
  <si>
    <t>2020-08-27</t>
  </si>
  <si>
    <t>眉仁公资告[2020]第27号</t>
  </si>
  <si>
    <t>天府仁寿大道与视高路交汇处</t>
  </si>
  <si>
    <t>2020-23</t>
  </si>
  <si>
    <t>大于或等于2并且小于或等于2.2</t>
  </si>
  <si>
    <t>大于-12并且小于或等于80</t>
  </si>
  <si>
    <t>2020-08-25</t>
  </si>
  <si>
    <t>眉仁公资告[2020]第26号</t>
  </si>
  <si>
    <t>2020-07-13</t>
  </si>
  <si>
    <t>眉仁公资告[2020]第22号</t>
  </si>
  <si>
    <t>2019-161</t>
  </si>
  <si>
    <t>视高街道天府大道西侧,视高大道一段南侧</t>
  </si>
  <si>
    <t>2020(TR)-2</t>
  </si>
  <si>
    <t>大于1并且小于2</t>
  </si>
  <si>
    <t>2020-04-27</t>
  </si>
  <si>
    <t>2020-05-19</t>
  </si>
  <si>
    <t>眉仁公资告[2020]第15号</t>
  </si>
  <si>
    <t>成都海恒灏企业管理有限公司</t>
  </si>
  <si>
    <t>天府仁寿大道东侧</t>
  </si>
  <si>
    <t>2019-156</t>
  </si>
  <si>
    <t>小于或等于25</t>
  </si>
  <si>
    <t>大于-6并且小于或等于60</t>
  </si>
  <si>
    <t>2020-04-15</t>
  </si>
  <si>
    <t>2020-05-12</t>
  </si>
  <si>
    <t>眉仁公资告[2020]第11号</t>
  </si>
  <si>
    <t>成都荣盛房地产开发有限公司</t>
  </si>
  <si>
    <t>仁寿县视高镇天府大道西侧,环湖东路东侧</t>
  </si>
  <si>
    <t>2019(TR)-56</t>
  </si>
  <si>
    <t>大于1并且小于3.16</t>
  </si>
  <si>
    <t>2020-03-20</t>
  </si>
  <si>
    <t>2020-04-09</t>
  </si>
  <si>
    <t>眉仁公资告[2020]第9号</t>
  </si>
  <si>
    <t>仁寿领悦房地产开发有限公司</t>
  </si>
  <si>
    <t>2019(TR)-36</t>
  </si>
  <si>
    <t>2019(TR)-55</t>
  </si>
  <si>
    <t>大于1并且小于1.82</t>
  </si>
  <si>
    <t>仁寿县视高镇环湖东路东侧</t>
  </si>
  <si>
    <t>2019(TR)-35</t>
  </si>
  <si>
    <t>陵州大道旁</t>
  </si>
  <si>
    <t>2019-129</t>
  </si>
  <si>
    <t>大于或等于2并且小于或等于2.5</t>
  </si>
  <si>
    <t>大于或等于-12并且小于或等于80</t>
  </si>
  <si>
    <t>2020-02-12</t>
  </si>
  <si>
    <t>2020-03-04</t>
  </si>
  <si>
    <t>眉仁公资告[2020]第7号</t>
  </si>
  <si>
    <t>成都创锦汇企业管理有限公司</t>
  </si>
  <si>
    <t>龙滩大道旁</t>
  </si>
  <si>
    <t>2019-130</t>
  </si>
  <si>
    <t>大于或等于-12并且小于或等于50</t>
  </si>
  <si>
    <t>视高街道寨子北路北侧</t>
  </si>
  <si>
    <t>2019(TR)-108</t>
  </si>
  <si>
    <t>2020-01-23</t>
  </si>
  <si>
    <t>2020-02-19</t>
  </si>
  <si>
    <t>眉仁公资告[2020]第6号</t>
  </si>
  <si>
    <t>2019(TR)-109</t>
  </si>
  <si>
    <t>2019(TR)-107</t>
  </si>
  <si>
    <t>2019(TR)-102</t>
  </si>
  <si>
    <t>2019(TR)-103</t>
  </si>
  <si>
    <t>2019(TR)-106</t>
  </si>
  <si>
    <t>2019(TR)-100</t>
  </si>
  <si>
    <t>南宁市龙光房地产开发有限公司</t>
  </si>
  <si>
    <t>2019(TR)-105</t>
  </si>
  <si>
    <t>2019(TR)-104</t>
  </si>
  <si>
    <t>2019(TR)-99</t>
  </si>
  <si>
    <t>四川三聚亿实业有限公司</t>
  </si>
  <si>
    <t>2019(TR)-101</t>
  </si>
  <si>
    <t>视高街道环天府新区快速通道北侧</t>
  </si>
  <si>
    <t>2019(TR)-118</t>
  </si>
  <si>
    <t>2020-01-16</t>
  </si>
  <si>
    <t>2020-02-13</t>
  </si>
  <si>
    <t>眉仁公资告[2020]第4号</t>
  </si>
  <si>
    <t>2019(TR)-117</t>
  </si>
  <si>
    <t>2019(TR)-78</t>
  </si>
  <si>
    <t>小于或等于80</t>
  </si>
  <si>
    <t>2020-01-07</t>
  </si>
  <si>
    <t>2020-02-04</t>
  </si>
  <si>
    <t>眉仁公资告[2020]第3号</t>
  </si>
  <si>
    <t>四川联创考拉科技产业有限公司</t>
  </si>
  <si>
    <t>仁寿县视高镇环湖东路东侧,天府大道西侧</t>
  </si>
  <si>
    <t>2019(TR)-75</t>
  </si>
  <si>
    <t>2019(TR)-74</t>
  </si>
  <si>
    <t>2019-101</t>
  </si>
  <si>
    <t>开工中</t>
  </si>
  <si>
    <t>2019-12-31</t>
  </si>
  <si>
    <t>2020-01-22</t>
  </si>
  <si>
    <t>眉仁公资告[2019]第1-1号</t>
  </si>
  <si>
    <t>四川兴川晟华房地产有限公司</t>
  </si>
  <si>
    <t>2019-99</t>
  </si>
  <si>
    <t>2019-98</t>
  </si>
  <si>
    <t>2019-100</t>
  </si>
  <si>
    <t>黑龙滩镇铁门社区</t>
  </si>
  <si>
    <t>视高街道视青路北侧</t>
  </si>
  <si>
    <t>2019(TR)-110</t>
  </si>
  <si>
    <t>2019-12-23</t>
  </si>
  <si>
    <t>2020-01-13</t>
  </si>
  <si>
    <t>眉仁公资告[2019]第48号</t>
  </si>
  <si>
    <t>视高街道天府大道西侧,物流大道北侧</t>
  </si>
  <si>
    <t>2019(TR)-95</t>
  </si>
  <si>
    <t>大于1并且小于2.7</t>
  </si>
  <si>
    <t>四川新华川港利达企业管理有限公司</t>
  </si>
  <si>
    <t>2019(TR)-96</t>
  </si>
  <si>
    <t>视高镇天府大道东侧</t>
  </si>
  <si>
    <t>2019(TR)-93</t>
  </si>
  <si>
    <t>2019-12-17</t>
  </si>
  <si>
    <t>2020-01-10</t>
  </si>
  <si>
    <t>眉仁公资告[2019]第47号</t>
  </si>
  <si>
    <t>仁寿县视高镇中建大道南侧,腾飞大道西侧</t>
  </si>
  <si>
    <t>2019(TR)-62</t>
  </si>
  <si>
    <t>视高镇中建大道南侧,清水路东侧</t>
  </si>
  <si>
    <t>2019(TR)-90</t>
  </si>
  <si>
    <t>2019(TR)-64</t>
  </si>
  <si>
    <t>2019(TR)-92</t>
  </si>
  <si>
    <t>2019(TR)-61</t>
  </si>
  <si>
    <t>2019(TR)-63</t>
  </si>
  <si>
    <t>2019-12-10</t>
  </si>
  <si>
    <t>2019-107</t>
  </si>
  <si>
    <t>2019-12-06</t>
  </si>
  <si>
    <t>眉仁公资告[2019]第40号</t>
  </si>
  <si>
    <t>四川鹏达中铁置业有限公司</t>
  </si>
  <si>
    <t>怀仁大道南侧</t>
  </si>
  <si>
    <t>挂牌</t>
  </si>
  <si>
    <t>2019-136</t>
  </si>
  <si>
    <t>大于或等于1.5并且小于或等于2</t>
  </si>
  <si>
    <t>眉仁公资告[2019]第43号</t>
  </si>
  <si>
    <t>万达地产集团有限公司</t>
  </si>
  <si>
    <t>2019-135</t>
  </si>
  <si>
    <t>黑龙滩镇四海社区</t>
  </si>
  <si>
    <t>2019-108</t>
  </si>
  <si>
    <t>大于或等于-8并且小于或等于18</t>
  </si>
  <si>
    <t>大于或等于1并且小于或等于1.2</t>
  </si>
  <si>
    <t>黑龙滩镇大田村</t>
  </si>
  <si>
    <t>2019-109</t>
  </si>
  <si>
    <t>视高镇腾飞大道西侧,环天府新区快速通道南侧</t>
  </si>
  <si>
    <t>2019(TR)-82</t>
  </si>
  <si>
    <t>大于或等于-15并且小于80</t>
  </si>
  <si>
    <t>2019-12-09</t>
  </si>
  <si>
    <t>2019-12-30</t>
  </si>
  <si>
    <t>眉仁公资告[2019]42号</t>
  </si>
  <si>
    <t>四川恒邦双林教育咨询有限公司</t>
  </si>
  <si>
    <t>2019(TR)-81</t>
  </si>
  <si>
    <t>眉仁公资告[2019]41号</t>
  </si>
  <si>
    <t>2019-12-04</t>
  </si>
  <si>
    <t>2019-12-24</t>
  </si>
  <si>
    <t>眉仁公资告[2019]第36号</t>
  </si>
  <si>
    <t>黑龙滩镇大田村、茶山村</t>
  </si>
  <si>
    <t>2019-157</t>
  </si>
  <si>
    <t>大于或等于-8并且小于或等于15</t>
  </si>
  <si>
    <t>2019-158</t>
  </si>
  <si>
    <t>2019-159</t>
  </si>
  <si>
    <t>四川中眉酒店管理有限公司</t>
  </si>
  <si>
    <t>北斗镇大桥社区</t>
  </si>
  <si>
    <t>2018-65</t>
  </si>
  <si>
    <t>大于或等于30并且小于或等于40</t>
  </si>
  <si>
    <t>大于或等于-6并且小于或等于40</t>
  </si>
  <si>
    <t>2019-11-07</t>
  </si>
  <si>
    <t>2019-11-28</t>
  </si>
  <si>
    <t>眉仁公资告[2019]第33号</t>
  </si>
  <si>
    <t>四川仁寿碧海房地产开发有限公司</t>
  </si>
  <si>
    <t>2019-71</t>
  </si>
  <si>
    <t>2019-10-25</t>
  </si>
  <si>
    <t>2019-11-15</t>
  </si>
  <si>
    <t>眉仁公资告[2019]第32号</t>
  </si>
  <si>
    <t>2019-85</t>
  </si>
  <si>
    <t>2019-84</t>
  </si>
  <si>
    <t>2019-70</t>
  </si>
  <si>
    <t>仁寿县文林镇陵州大道东侧</t>
  </si>
  <si>
    <t>2019-78</t>
  </si>
  <si>
    <t>大于或等于1.5并且小于或等于2.2</t>
  </si>
  <si>
    <t>大于-6并且小于80</t>
  </si>
  <si>
    <t>2019-10-12</t>
  </si>
  <si>
    <t>2019-11-01</t>
  </si>
  <si>
    <t>眉仁公资告[2019]第30号</t>
  </si>
  <si>
    <t>四川智云宏业科技有限公司</t>
  </si>
  <si>
    <t>2019-79</t>
  </si>
  <si>
    <t>2019-10-11</t>
  </si>
  <si>
    <t>仁寿县视高镇环湖东路东侧,物流大道北侧</t>
  </si>
  <si>
    <t>2019(TR)-67</t>
  </si>
  <si>
    <t>2019-09-20</t>
  </si>
  <si>
    <t>眉仁公资告[2019]第28号</t>
  </si>
  <si>
    <t>2019(TR)-77</t>
  </si>
  <si>
    <t>2019(TR)-66</t>
  </si>
  <si>
    <t>2019-61</t>
  </si>
  <si>
    <t>等于1</t>
  </si>
  <si>
    <t>2019-07-25</t>
  </si>
  <si>
    <t>2019-08-16</t>
  </si>
  <si>
    <t>眉仁公资告[2019]第25号</t>
  </si>
  <si>
    <t>四川中铁立元置业有限公司</t>
  </si>
  <si>
    <t>2019-62</t>
  </si>
  <si>
    <t>大于或等于1.5并且小于或等于1</t>
  </si>
  <si>
    <t>四川恒荣中铁置业有限公司</t>
  </si>
  <si>
    <t>文林镇陵州大道旁</t>
  </si>
  <si>
    <t>清水镇大坡社区</t>
  </si>
  <si>
    <t>2019-60</t>
  </si>
  <si>
    <t>大于或等于1并且小于或等于1.3</t>
  </si>
  <si>
    <t>小于或等于50</t>
  </si>
  <si>
    <t>小于或等于60</t>
  </si>
  <si>
    <t>2019-07-08</t>
  </si>
  <si>
    <t>2019-07-30</t>
  </si>
  <si>
    <t>仁寿县自然资源和规划局国有土地使用权拍卖出让公告(眉仁公资告[2019]第21号)</t>
  </si>
  <si>
    <t>万科企业股份有限公司</t>
  </si>
  <si>
    <t>清水镇石鼓花海社区</t>
  </si>
  <si>
    <t>2019-57</t>
  </si>
  <si>
    <t>小于或等于40</t>
  </si>
  <si>
    <t>2019-58</t>
  </si>
  <si>
    <t>小于或等于45</t>
  </si>
  <si>
    <t>仁寿县视高镇天府大道西侧</t>
  </si>
  <si>
    <t>2019(TR)-3</t>
  </si>
  <si>
    <t>大于1并且小于2.6</t>
  </si>
  <si>
    <t>小于28</t>
  </si>
  <si>
    <t>2019-07-04</t>
  </si>
  <si>
    <t>2019-07-24</t>
  </si>
  <si>
    <t>仁寿县自然资源和规划局国有土地使用权拍卖出让公告(眉仁公资告[2019]第19号)</t>
  </si>
  <si>
    <t>四川袍商实业有限公司</t>
  </si>
  <si>
    <t>2019(TR)-31</t>
  </si>
  <si>
    <t>2019-06-21</t>
  </si>
  <si>
    <t>2019-07-17</t>
  </si>
  <si>
    <t>仁寿县自然资源和规划局国有土地使用权拍卖出让公告(眉仁公资告[2019]第18号)</t>
  </si>
  <si>
    <t>四川圆中润达丰置业发展有限公司</t>
  </si>
  <si>
    <t>仁寿县视高镇天府大道西侧,环湖东路北侧</t>
  </si>
  <si>
    <t>2019(TR)-30</t>
  </si>
  <si>
    <t>2019(TR)-25</t>
  </si>
  <si>
    <t>仁寿县视高镇环天府新区快速通道北侧,视高大道东侧</t>
  </si>
  <si>
    <t>2019(TR)-45</t>
  </si>
  <si>
    <t>小于33</t>
  </si>
  <si>
    <t>小于18</t>
  </si>
  <si>
    <t>2019-06-06</t>
  </si>
  <si>
    <t>2019-06-27</t>
  </si>
  <si>
    <t>仁寿县自然资源和规划局国有土地使用权拍卖出让公告(眉仁公资告[2019]第15号)</t>
  </si>
  <si>
    <t>仁寿县视高镇环天府新区快速通道北侧,泉龙河南侧</t>
  </si>
  <si>
    <t>2019(TR)-46</t>
  </si>
  <si>
    <t>仁寿县视高镇环湖西路西侧</t>
  </si>
  <si>
    <t>2019(TR)-34</t>
  </si>
  <si>
    <t>大于1并且小于1.5</t>
  </si>
  <si>
    <t>2019-05-07</t>
  </si>
  <si>
    <t>2019-05-28</t>
  </si>
  <si>
    <t>眉仁公资告[2019]第12号</t>
  </si>
  <si>
    <t>宁波新好房地产信息询有限公司</t>
  </si>
  <si>
    <t>2019-04-15</t>
  </si>
  <si>
    <t>2019-05-08</t>
  </si>
  <si>
    <t>眉仁公资告[2019]第09号</t>
  </si>
  <si>
    <t>2018-97</t>
  </si>
  <si>
    <t>西藏天峰房地产开发有限公司</t>
  </si>
  <si>
    <t>仁寿县视高镇环天府新区快速通道北侧(四至界限均以红线图为准)</t>
  </si>
  <si>
    <t>2019(TR)-18</t>
  </si>
  <si>
    <t>2019-04-11</t>
  </si>
  <si>
    <t>2019-05-06</t>
  </si>
  <si>
    <t>眉仁公资告[2019]第07号</t>
  </si>
  <si>
    <t>成都市常鑫房地产开发有限公司</t>
  </si>
  <si>
    <t>2019(TR)-15</t>
  </si>
  <si>
    <t>成都市龙光房地产有限公司</t>
  </si>
  <si>
    <t>2019(TR)-19</t>
  </si>
  <si>
    <t>杭州翰越商务信息咨询有限公司</t>
  </si>
  <si>
    <t>2019(TR)-17</t>
  </si>
  <si>
    <t>四川众明共创企业管理咨询有限公司</t>
  </si>
  <si>
    <t>2019(TR)-16</t>
  </si>
  <si>
    <t>2019(TR)-20</t>
  </si>
  <si>
    <t>文林镇龙滩大道与陵州大道交叉口</t>
  </si>
  <si>
    <t>2019-35</t>
  </si>
  <si>
    <t>大于1.5并且小于2</t>
  </si>
  <si>
    <t>2019-04-10</t>
  </si>
  <si>
    <t>2019-04-30</t>
  </si>
  <si>
    <t>眉仁公资告[2019]第08号</t>
  </si>
  <si>
    <t>仁寿县视高镇中建大道南侧、环湖东路东侧(四至界限以红线图为准)</t>
  </si>
  <si>
    <t>2019(TR)-9号</t>
  </si>
  <si>
    <t>2019-03-21</t>
  </si>
  <si>
    <t>眉仁公资告[2019]第06号</t>
  </si>
  <si>
    <t>天府新区仁寿视高城市公共资源管理有限公司</t>
  </si>
  <si>
    <t>仁寿县视高镇天府大道西侧,红星大道三段北侧</t>
  </si>
  <si>
    <t>综合用地(含住宅)</t>
  </si>
  <si>
    <t>2019(TR)-6</t>
  </si>
  <si>
    <t>商业服务业实施用地B,R2二类居住用地</t>
  </si>
  <si>
    <t>＜3.5</t>
  </si>
  <si>
    <t/>
  </si>
  <si>
    <t>2019-02-01</t>
  </si>
  <si>
    <t>2019-02-21</t>
  </si>
  <si>
    <t>眉仁公资告[2019]第03号-2</t>
  </si>
  <si>
    <t>四川德源卓逸置业有限公司</t>
  </si>
  <si>
    <t>住宅用地70年、商服用地40年、公共管理与公共服务用地50年</t>
  </si>
  <si>
    <t>2019(TR)-5</t>
  </si>
  <si>
    <t>二类居住用地R2、商业服务业设施用地B</t>
  </si>
  <si>
    <t>＞1,＜2.27</t>
  </si>
  <si>
    <t>眉仁公资告[2019]第03号-1</t>
  </si>
  <si>
    <t>仁寿县视高镇天府大道西侧,红星大道三段南侧</t>
  </si>
  <si>
    <t>2019(TR)-7</t>
  </si>
  <si>
    <t>眉仁公资告[2019]第03号-3</t>
  </si>
  <si>
    <t>四川特驱卓逸置业有限公司</t>
  </si>
  <si>
    <t>城南湿地公园旁</t>
  </si>
  <si>
    <t>2019-1</t>
  </si>
  <si>
    <t>中低价位、中小套型普通商品住房用地</t>
  </si>
  <si>
    <t>大于或等于15并且小于或等于30</t>
  </si>
  <si>
    <t>大于或等于-12并且小于或等于100</t>
  </si>
  <si>
    <t>2019-01-10</t>
  </si>
  <si>
    <t>2019-01-30</t>
  </si>
  <si>
    <t>眉仁公资告[2019]第01号</t>
  </si>
  <si>
    <t>仁寿铭信实业有限公司</t>
  </si>
  <si>
    <t>2019-5</t>
  </si>
  <si>
    <t>大于或等于-6并且小于或等于45</t>
  </si>
  <si>
    <t>2019-6</t>
  </si>
  <si>
    <t>2019-2</t>
  </si>
  <si>
    <t>大于或等于1并且小于或等于1.5</t>
  </si>
  <si>
    <t>大于或等于15并且小于或等于35</t>
  </si>
  <si>
    <t>大于或等于-6并且小于或等于60</t>
  </si>
  <si>
    <t>2019-3</t>
  </si>
  <si>
    <t>2019-10</t>
  </si>
  <si>
    <t>大于或等于1.8并且小于或等于2</t>
  </si>
  <si>
    <t>2019-11</t>
  </si>
  <si>
    <t>大于或等于2.2并且小于或等于2.5</t>
  </si>
  <si>
    <t>2019-8</t>
  </si>
  <si>
    <t>2019-9</t>
  </si>
  <si>
    <t>信利集团项目生活区</t>
  </si>
  <si>
    <t>2019-4</t>
  </si>
  <si>
    <t>大于或等于1并且小于或等于2.5</t>
  </si>
  <si>
    <t>其他普通商品住房用地</t>
  </si>
  <si>
    <t>2018-12-27</t>
  </si>
  <si>
    <t>2019-01-18</t>
  </si>
  <si>
    <t>眉仁公资告[2018]第46号</t>
  </si>
  <si>
    <t>黑龙滩镇金山村、铁门社区</t>
  </si>
  <si>
    <t>2018-98</t>
  </si>
  <si>
    <t>2018-35号</t>
  </si>
  <si>
    <t>二类居住用地(R2)</t>
  </si>
  <si>
    <t>1.0≤容积率≤1.1</t>
  </si>
  <si>
    <t>建筑密度≤40%</t>
  </si>
  <si>
    <t>建筑限高≤45米</t>
  </si>
  <si>
    <t>2019-01-17</t>
  </si>
  <si>
    <t>眉仁公资告〔2018〕第44号-10</t>
  </si>
  <si>
    <t>2018-26号</t>
  </si>
  <si>
    <t>商业兼容住宅(B1兼容R2)其中住宅计入容积率建筑面积不超过总计入容积率建筑面积的40%</t>
  </si>
  <si>
    <t>1.0*≤容积率≤1.3</t>
  </si>
  <si>
    <t>建筑密度≤50%</t>
  </si>
  <si>
    <t>建筑限高≤60米</t>
  </si>
  <si>
    <t>眉仁公资告〔2018〕第44号-2</t>
  </si>
  <si>
    <t>40/70</t>
  </si>
  <si>
    <t>2018-131号</t>
  </si>
  <si>
    <t>眉仁公资告〔2018〕第44号-16</t>
  </si>
  <si>
    <t>清水镇大坡社区、石鼓花海社区</t>
  </si>
  <si>
    <t>2018-30号</t>
  </si>
  <si>
    <t>1.0≤容积率≤1.4</t>
  </si>
  <si>
    <t>眉仁公资告〔2018〕第44号-6</t>
  </si>
  <si>
    <t>2018-25号</t>
  </si>
  <si>
    <t>1.0≤容积率≤1.2</t>
  </si>
  <si>
    <t>眉仁公资告〔2018〕第44号-1</t>
  </si>
  <si>
    <t>2018-32号</t>
  </si>
  <si>
    <t>容积率:1.0</t>
  </si>
  <si>
    <t>眉仁公资告〔2018〕第44号-7</t>
  </si>
  <si>
    <t>2018-130号</t>
  </si>
  <si>
    <t>眉仁公资告〔2018〕第44号-15</t>
  </si>
  <si>
    <t>2018-29号</t>
  </si>
  <si>
    <t>眉仁公资告〔2018〕第44号-5</t>
  </si>
  <si>
    <t>2018-128号</t>
  </si>
  <si>
    <t>眉仁公资告〔2018〕第44号-13</t>
  </si>
  <si>
    <t>2018-28号</t>
  </si>
  <si>
    <t>商业兼容住宅(B1兼容R2),其中住宅计入容积率建筑面积不超过总计入容积率建筑面积的50%</t>
  </si>
  <si>
    <t>1.0≤容积率≤1.3</t>
  </si>
  <si>
    <t>眉仁公资告〔2018〕第44号-4</t>
  </si>
  <si>
    <t>2018-33号</t>
  </si>
  <si>
    <t>眉仁公资告〔2018〕第44号-8</t>
  </si>
  <si>
    <t>2018-34号</t>
  </si>
  <si>
    <t>眉仁公资告〔2018〕第44号-9</t>
  </si>
  <si>
    <t>2018-36号</t>
  </si>
  <si>
    <t>眉仁公资告〔2018〕第44号-11</t>
  </si>
  <si>
    <t>2018-129号</t>
  </si>
  <si>
    <t>眉仁公资告〔2018〕第44号-14</t>
  </si>
  <si>
    <t>2018-37号</t>
  </si>
  <si>
    <t>眉仁公资告〔2018〕第44号-12</t>
  </si>
  <si>
    <t>仁寿县视高镇中建大道南侧、环湖西路西侧</t>
  </si>
  <si>
    <t>2018-57</t>
  </si>
  <si>
    <t>2018-11-27</t>
  </si>
  <si>
    <t>2018-12-18</t>
  </si>
  <si>
    <t>眉仁公资告[2018]第42号</t>
  </si>
  <si>
    <t>广西大都投资有限公司</t>
  </si>
  <si>
    <t>城北新城,广都路旁</t>
  </si>
  <si>
    <t>2018-115</t>
  </si>
  <si>
    <t>大于或等于15并且小于或等于25</t>
  </si>
  <si>
    <t>小于150</t>
  </si>
  <si>
    <t>仁寿大道旁</t>
  </si>
  <si>
    <t>小于200</t>
  </si>
  <si>
    <t>仁寿县视高镇天府大道西侧,环天府新区快速通道南侧</t>
  </si>
  <si>
    <t>四川圆中北科实业发展有限公司</t>
  </si>
  <si>
    <t>2018-116</t>
  </si>
  <si>
    <t>城北新城怀仁大道旁</t>
  </si>
  <si>
    <t>2018-119</t>
  </si>
  <si>
    <t>2018-56</t>
  </si>
  <si>
    <t>2018-117</t>
  </si>
  <si>
    <t>2018-118</t>
  </si>
  <si>
    <t>城北新城贵平路旁</t>
  </si>
  <si>
    <t>2018-120</t>
  </si>
  <si>
    <t>2018-58</t>
  </si>
  <si>
    <t>2018-93</t>
  </si>
  <si>
    <t>2018-11-16</t>
  </si>
  <si>
    <t>2018-12-07</t>
  </si>
  <si>
    <t>眉仁公资告[2018]第39号</t>
  </si>
  <si>
    <t>2018-113</t>
  </si>
  <si>
    <t>四川中铁润一置业有限公司</t>
  </si>
  <si>
    <t>2018-112</t>
  </si>
  <si>
    <t>2018-99</t>
  </si>
  <si>
    <t>文林镇体育广场旁</t>
  </si>
  <si>
    <t>2018-104</t>
  </si>
  <si>
    <t>2018-11-08</t>
  </si>
  <si>
    <t>2018-11-29</t>
  </si>
  <si>
    <t>眉仁公资告[2018]第37号</t>
  </si>
  <si>
    <t>四川仁寿鑫龙水务建设有限公司</t>
  </si>
  <si>
    <t>城北新城</t>
  </si>
  <si>
    <t>2018-79</t>
  </si>
  <si>
    <t>普宁大道旁</t>
  </si>
  <si>
    <t>2018-82</t>
  </si>
  <si>
    <t>2018-74</t>
  </si>
  <si>
    <t>2018-11-02</t>
  </si>
  <si>
    <t>2018-11-23</t>
  </si>
  <si>
    <t>眉仁公资告[2018]第36号</t>
  </si>
  <si>
    <t>2018-73</t>
  </si>
  <si>
    <t>2018-83</t>
  </si>
  <si>
    <t>2018-11-09</t>
  </si>
  <si>
    <t>2018-81</t>
  </si>
  <si>
    <t>2018-10-19</t>
  </si>
  <si>
    <t>眉仁公资告[2018]第31号</t>
  </si>
  <si>
    <t>仁寿县产业投资有限公司</t>
  </si>
  <si>
    <t>2018-78</t>
  </si>
  <si>
    <t>2018-80</t>
  </si>
  <si>
    <t>2018-68</t>
  </si>
  <si>
    <t>等于2</t>
  </si>
  <si>
    <t>2018-10-18</t>
  </si>
  <si>
    <t>2018-11-07</t>
  </si>
  <si>
    <t>眉仁公资告[2018]第33号</t>
  </si>
  <si>
    <t>2018-76号</t>
  </si>
  <si>
    <t>住宅兼容商业用地</t>
  </si>
  <si>
    <t>≥2且≤2.5</t>
  </si>
  <si>
    <t>≥15%且≤30%</t>
  </si>
  <si>
    <t>2018-10-30</t>
  </si>
  <si>
    <t>住宅70年、商业40年</t>
  </si>
  <si>
    <t>2018-77号</t>
  </si>
  <si>
    <t>天府仁寿大道旁</t>
  </si>
  <si>
    <t>2018-75号</t>
  </si>
  <si>
    <t>≥2.0且≤2.5</t>
  </si>
  <si>
    <t>龙棉路丽都滨河二期旁</t>
  </si>
  <si>
    <t>2018-61</t>
  </si>
  <si>
    <t>大于或等于3.5并且小于或等于5</t>
  </si>
  <si>
    <t>2018-09-21</t>
  </si>
  <si>
    <t>2018-10-12</t>
  </si>
  <si>
    <t>眉仁公资告[2018]第27号</t>
  </si>
  <si>
    <t>仁寿县中远房地产开发有限公司</t>
  </si>
  <si>
    <t>仁寿县视高天府大道西侧,环天府新区快速通道南侧</t>
  </si>
  <si>
    <t>2018-67</t>
  </si>
  <si>
    <t>大于1.8并且小于2.5</t>
  </si>
  <si>
    <t>2018-09-09</t>
  </si>
  <si>
    <t>2018-09-29</t>
  </si>
  <si>
    <t>眉仁公资告[2018]第26号</t>
  </si>
  <si>
    <t>2018-69</t>
  </si>
  <si>
    <t>2018-08-31</t>
  </si>
  <si>
    <t>眉仁公资告[2018]第24号</t>
  </si>
  <si>
    <t>2018-07-31</t>
  </si>
  <si>
    <t>视高镇河心社区</t>
  </si>
  <si>
    <t>2018-42</t>
  </si>
  <si>
    <t>2018-08-03</t>
  </si>
  <si>
    <t>2018-08-24</t>
  </si>
  <si>
    <t>眉仁公资告[2018]第22号</t>
  </si>
  <si>
    <t>高一非</t>
  </si>
  <si>
    <t>2018-50</t>
  </si>
  <si>
    <t>大于或等于-12并且小于或等于15</t>
  </si>
  <si>
    <t>2018-08-22</t>
  </si>
  <si>
    <t>眉仁公资告[2018]第20号</t>
  </si>
  <si>
    <t>2018-53</t>
  </si>
  <si>
    <t>2018-48</t>
  </si>
  <si>
    <t>大于或等于-6并且小于或等于21</t>
  </si>
  <si>
    <t>文林镇文化公园旁</t>
  </si>
  <si>
    <t>2018-41</t>
  </si>
  <si>
    <t>大于或等于1.2并且小于或等于1.5</t>
  </si>
  <si>
    <t>2018-05-31</t>
  </si>
  <si>
    <t>2018-06-20</t>
  </si>
  <si>
    <t>眉仁公资告[2018]第17号</t>
  </si>
  <si>
    <t>仁寿远郡置业有限责任公司(远大聚华)</t>
  </si>
  <si>
    <t>2018-40</t>
  </si>
  <si>
    <t>文化公园旁</t>
  </si>
  <si>
    <t>2018-17</t>
  </si>
  <si>
    <t>2018-03-29</t>
  </si>
  <si>
    <t>2018-04-18</t>
  </si>
  <si>
    <t>眉仁公资告[2018]第11号</t>
  </si>
  <si>
    <t>金辉</t>
  </si>
  <si>
    <t>2018-23</t>
  </si>
  <si>
    <t>大于或等于-6并且小于或等于35</t>
  </si>
  <si>
    <t>美的</t>
  </si>
  <si>
    <t>2018-18</t>
  </si>
  <si>
    <t>大于或等于-6并且小于或等于100</t>
  </si>
  <si>
    <t>保利</t>
  </si>
  <si>
    <t>2018-16</t>
  </si>
  <si>
    <t>大于或等于-16并且小于或等于200</t>
  </si>
  <si>
    <t>万科</t>
  </si>
  <si>
    <t>2018-21</t>
  </si>
  <si>
    <t>碧桂园</t>
  </si>
  <si>
    <t>2018-19</t>
  </si>
  <si>
    <t>领地</t>
  </si>
  <si>
    <t>2018-20</t>
  </si>
  <si>
    <t>峨眉子然</t>
  </si>
  <si>
    <t>2018-24</t>
  </si>
  <si>
    <t>2018-22</t>
  </si>
  <si>
    <t>文林镇南区嘉南大道旁</t>
  </si>
  <si>
    <t>2018-10</t>
  </si>
  <si>
    <t>2018-03-13</t>
  </si>
  <si>
    <t>2018-04-04</t>
  </si>
  <si>
    <t>眉仁公资告[2018]第09号号</t>
  </si>
  <si>
    <t>四川美家好房地产开发有限公司</t>
  </si>
  <si>
    <t>清水镇百花村</t>
  </si>
  <si>
    <t>2018-15</t>
  </si>
  <si>
    <t>2018-03-07</t>
  </si>
  <si>
    <t>2018-03-30</t>
  </si>
  <si>
    <t>眉仁公资告[2018]第08号</t>
  </si>
  <si>
    <t>四川朗汇房地产开发有限公司</t>
  </si>
  <si>
    <t>2017-56</t>
  </si>
  <si>
    <t>大于或等于1.8并且小于或等于2.2</t>
  </si>
  <si>
    <t>大于或等于20并且小于或等于30</t>
  </si>
  <si>
    <t>2018-03-28</t>
  </si>
  <si>
    <t>眉仁公资告[2018]第07号</t>
  </si>
  <si>
    <t>2018-01-09</t>
  </si>
  <si>
    <t>2017-57</t>
  </si>
  <si>
    <t>已完工</t>
  </si>
  <si>
    <t>2018-01-31</t>
  </si>
  <si>
    <t>眉仁公资告[2018]第04号</t>
  </si>
  <si>
    <t>成都中南锦合房地产开发有限公司</t>
  </si>
  <si>
    <t>兴盛镇五星社区</t>
  </si>
  <si>
    <t>2017-92</t>
  </si>
  <si>
    <t>2017-96</t>
  </si>
  <si>
    <t>大于或等于1.5并且小于或等于2.1</t>
  </si>
  <si>
    <t>2018-01-04</t>
  </si>
  <si>
    <t>2018-01-26</t>
  </si>
  <si>
    <t>眉仁公资告[2018]第03号</t>
  </si>
  <si>
    <t>四川铂智科技发展有限公司</t>
  </si>
  <si>
    <t>2017-94</t>
  </si>
  <si>
    <t>2017-100</t>
  </si>
  <si>
    <t>2018-01-24</t>
  </si>
  <si>
    <t>眉仁公资告[2018]第01号</t>
  </si>
  <si>
    <t>四川朗鸿房地产开发有限公司</t>
  </si>
  <si>
    <t>2017-101</t>
  </si>
  <si>
    <t>楼面地价</t>
  </si>
  <si>
    <t>正常</t>
  </si>
  <si>
    <t>成都市监测指标情况一览表</t>
  </si>
  <si>
    <t>时间</t>
  </si>
  <si>
    <t>水平值</t>
  </si>
  <si>
    <t>环比增长率</t>
  </si>
  <si>
    <t>住宅</t>
    <phoneticPr fontId="228" type="noConversion"/>
  </si>
  <si>
    <t>商业</t>
    <phoneticPr fontId="228" type="noConversion"/>
  </si>
  <si>
    <t>其他省市系数</t>
  </si>
  <si>
    <t>较规则</t>
    <phoneticPr fontId="26" type="noConversion"/>
  </si>
  <si>
    <t>较不规则</t>
    <phoneticPr fontId="26" type="noConversion"/>
  </si>
  <si>
    <t>三通一平</t>
  </si>
  <si>
    <t>三通一平</t>
    <phoneticPr fontId="26" type="noConversion"/>
  </si>
  <si>
    <t>较好</t>
  </si>
  <si>
    <t>较好</t>
    <phoneticPr fontId="26" type="noConversion"/>
  </si>
  <si>
    <t>2500平方米公园、市政道路（无偿移交）；40%安置房（4000元/平方米回购）</t>
    <phoneticPr fontId="228" type="noConversion"/>
  </si>
  <si>
    <t>幼儿园、2500平方米公园、市政道路（无偿移交）；40%安置房（4000元/平方米回购）</t>
    <phoneticPr fontId="228" type="noConversion"/>
  </si>
  <si>
    <t>较差</t>
  </si>
  <si>
    <t>六通</t>
  </si>
  <si>
    <t>地上</t>
  </si>
  <si>
    <t>一般</t>
  </si>
  <si>
    <t>天府智慧城：市政道路（投资1200元/平方米，无偿移交）</t>
    <phoneticPr fontId="228" type="noConversion"/>
  </si>
  <si>
    <t>怀仁大道南侧</t>
    <phoneticPr fontId="228" type="noConversion"/>
  </si>
  <si>
    <t>平层住宅</t>
  </si>
  <si>
    <t>洋房</t>
  </si>
  <si>
    <t>叠拼</t>
  </si>
  <si>
    <t>地下</t>
  </si>
  <si>
    <t>车库</t>
  </si>
  <si>
    <t>住宅-高层</t>
  </si>
  <si>
    <t>住宅-高层</t>
    <phoneticPr fontId="7" type="noConversion"/>
  </si>
  <si>
    <t>住宅-洋房</t>
  </si>
  <si>
    <t>住宅-叠拼</t>
  </si>
  <si>
    <t>省会市名称</t>
  </si>
  <si>
    <t>建筑型式</t>
  </si>
  <si>
    <t>说明</t>
  </si>
  <si>
    <t>多层</t>
  </si>
  <si>
    <t>小高层</t>
  </si>
  <si>
    <t>高层</t>
  </si>
  <si>
    <t>1375</t>
  </si>
  <si>
    <t>1478</t>
  </si>
  <si>
    <t>1627</t>
  </si>
  <si>
    <t>2020-H1</t>
    <phoneticPr fontId="3" type="noConversion"/>
  </si>
  <si>
    <t>2019-H2</t>
    <phoneticPr fontId="3" type="noConversion"/>
  </si>
  <si>
    <t>钢混</t>
  </si>
  <si>
    <t>土地（套用方法）</t>
  </si>
  <si>
    <t>按租金收入计税</t>
  </si>
  <si>
    <t>不动产收益法（商业）</t>
  </si>
  <si>
    <t>不动产收益法（车库）</t>
  </si>
  <si>
    <t>不动产收益法（车库）</t>
    <phoneticPr fontId="14" type="noConversion"/>
  </si>
  <si>
    <t>车位个均面积</t>
    <phoneticPr fontId="15" type="noConversion"/>
  </si>
  <si>
    <t>车位个均售价</t>
    <phoneticPr fontId="15" type="noConversion"/>
  </si>
  <si>
    <t>平方米</t>
    <phoneticPr fontId="15" type="noConversion"/>
  </si>
  <si>
    <r>
      <rPr>
        <b/>
        <sz val="11"/>
        <color indexed="8"/>
        <rFont val="宋体"/>
        <family val="3"/>
        <charset val="134"/>
      </rPr>
      <t>万</t>
    </r>
    <r>
      <rPr>
        <b/>
        <sz val="11"/>
        <color indexed="8"/>
        <rFont val="Arial"/>
        <family val="2"/>
      </rPr>
      <t>/</t>
    </r>
    <r>
      <rPr>
        <b/>
        <sz val="11"/>
        <color indexed="8"/>
        <rFont val="宋体"/>
        <family val="3"/>
        <charset val="134"/>
      </rPr>
      <t>个</t>
    </r>
    <phoneticPr fontId="15" type="noConversion"/>
  </si>
  <si>
    <t>土地面积</t>
  </si>
  <si>
    <t>容积率</t>
    <phoneticPr fontId="3" type="noConversion"/>
  </si>
  <si>
    <t>A-01-01</t>
    <phoneticPr fontId="21" type="noConversion"/>
  </si>
  <si>
    <t>A-04-01</t>
    <phoneticPr fontId="21" type="noConversion"/>
  </si>
  <si>
    <t>A-07-01</t>
    <phoneticPr fontId="21" type="noConversion"/>
  </si>
  <si>
    <t>A-10-03</t>
    <phoneticPr fontId="21" type="noConversion"/>
  </si>
  <si>
    <t>容积率</t>
    <phoneticPr fontId="21" type="noConversion"/>
  </si>
  <si>
    <t>1.5（含）-2</t>
  </si>
  <si>
    <t>2.5（含）-3</t>
  </si>
  <si>
    <t>仅含出让金</t>
  </si>
  <si>
    <t>售价</t>
  </si>
  <si>
    <t>住宅</t>
    <phoneticPr fontId="21" type="noConversion"/>
  </si>
  <si>
    <t>60-70（含）</t>
  </si>
  <si>
    <t>天府万科城</t>
    <phoneticPr fontId="3" type="noConversion"/>
  </si>
  <si>
    <t>高层</t>
    <phoneticPr fontId="21" type="noConversion"/>
  </si>
  <si>
    <t>小高层</t>
    <phoneticPr fontId="21" type="noConversion"/>
  </si>
  <si>
    <t>多层</t>
    <phoneticPr fontId="21" type="noConversion"/>
  </si>
  <si>
    <r>
      <rPr>
        <sz val="11"/>
        <color indexed="8"/>
        <rFont val="宋体"/>
        <family val="3"/>
        <charset val="134"/>
      </rPr>
      <t>楼层：</t>
    </r>
    <r>
      <rPr>
        <sz val="11"/>
        <color indexed="8"/>
        <rFont val="Arial"/>
        <family val="2"/>
      </rPr>
      <t>15-18</t>
    </r>
    <r>
      <rPr>
        <sz val="11"/>
        <color indexed="8"/>
        <rFont val="宋体"/>
        <family val="3"/>
        <charset val="134"/>
      </rPr>
      <t>层</t>
    </r>
    <phoneticPr fontId="21" type="noConversion"/>
  </si>
  <si>
    <t>折扣</t>
    <phoneticPr fontId="21" type="noConversion"/>
  </si>
  <si>
    <t>精装</t>
  </si>
  <si>
    <t>精装</t>
    <phoneticPr fontId="21" type="noConversion"/>
  </si>
  <si>
    <t>简装</t>
    <phoneticPr fontId="21" type="noConversion"/>
  </si>
  <si>
    <t>毛坯</t>
  </si>
  <si>
    <t>毛坯</t>
    <phoneticPr fontId="21" type="noConversion"/>
  </si>
  <si>
    <t>精装修</t>
  </si>
  <si>
    <t>精装修</t>
    <phoneticPr fontId="21" type="noConversion"/>
  </si>
  <si>
    <t>中档</t>
  </si>
  <si>
    <t>中档</t>
    <phoneticPr fontId="21" type="noConversion"/>
  </si>
  <si>
    <t>钢混</t>
    <phoneticPr fontId="21" type="noConversion"/>
  </si>
  <si>
    <t>专业</t>
  </si>
  <si>
    <t>专业</t>
    <phoneticPr fontId="21" type="noConversion"/>
  </si>
  <si>
    <t>六通</t>
    <phoneticPr fontId="21" type="noConversion"/>
  </si>
  <si>
    <t>平层</t>
  </si>
  <si>
    <t>平层</t>
    <phoneticPr fontId="21" type="noConversion"/>
  </si>
  <si>
    <t>住宅-小高层</t>
  </si>
  <si>
    <t>视高产业园区清水镇天府大道旁</t>
    <phoneticPr fontId="3" type="noConversion"/>
  </si>
  <si>
    <t>叠拼</t>
    <phoneticPr fontId="21" type="noConversion"/>
  </si>
  <si>
    <t>分期业态</t>
  </si>
  <si>
    <t>建造面积</t>
  </si>
  <si>
    <t>销售面积</t>
  </si>
  <si>
    <t>关键节点及其他</t>
  </si>
  <si>
    <t>项目    分期</t>
  </si>
  <si>
    <t>业态性质</t>
  </si>
  <si>
    <t>产品类型</t>
  </si>
  <si>
    <t>地上建筑面积</t>
  </si>
  <si>
    <t>地下建筑面积</t>
  </si>
  <si>
    <t>地上销售面积</t>
  </si>
  <si>
    <t>地下销售面积</t>
  </si>
  <si>
    <t>计容面积</t>
  </si>
  <si>
    <t>T4高层</t>
  </si>
  <si>
    <t>勿删！</t>
  </si>
  <si>
    <t>高层（H≤100m）</t>
  </si>
  <si>
    <t>人防车库</t>
  </si>
  <si>
    <t>高层（100＜H≤120m）</t>
  </si>
  <si>
    <t>产权车库</t>
  </si>
  <si>
    <t>高层（120＜H≤160m）</t>
  </si>
  <si>
    <t>T6高层</t>
  </si>
  <si>
    <t>高层（H＞160m）</t>
  </si>
  <si>
    <t>联排（英式）</t>
  </si>
  <si>
    <t>四代高层</t>
  </si>
  <si>
    <t>裙房商业</t>
  </si>
  <si>
    <t>配套</t>
  </si>
  <si>
    <t>项目合计</t>
  </si>
  <si>
    <t>列次</t>
  </si>
  <si>
    <t>项目   分期</t>
  </si>
  <si>
    <t>全项目</t>
  </si>
  <si>
    <t>宗地面积</t>
    <phoneticPr fontId="26" type="noConversion"/>
  </si>
  <si>
    <r>
      <rPr>
        <sz val="11"/>
        <color indexed="8"/>
        <rFont val="宋体"/>
        <family val="3"/>
        <charset val="134"/>
      </rPr>
      <t>特大</t>
    </r>
    <r>
      <rPr>
        <sz val="11"/>
        <color indexed="8"/>
        <rFont val="Arial"/>
        <family val="2"/>
      </rPr>
      <t>/</t>
    </r>
    <r>
      <rPr>
        <sz val="11"/>
        <color indexed="8"/>
        <rFont val="宋体"/>
        <family val="3"/>
        <charset val="134"/>
      </rPr>
      <t>特小</t>
    </r>
    <phoneticPr fontId="26" type="noConversion"/>
  </si>
  <si>
    <r>
      <rPr>
        <sz val="11"/>
        <color indexed="8"/>
        <rFont val="宋体"/>
        <family val="3"/>
        <charset val="134"/>
      </rPr>
      <t>较大</t>
    </r>
    <r>
      <rPr>
        <sz val="11"/>
        <color indexed="8"/>
        <rFont val="Arial"/>
        <family val="2"/>
      </rPr>
      <t>/</t>
    </r>
    <r>
      <rPr>
        <sz val="11"/>
        <color indexed="8"/>
        <rFont val="宋体"/>
        <family val="3"/>
        <charset val="134"/>
      </rPr>
      <t>较小</t>
    </r>
    <phoneticPr fontId="26" type="noConversion"/>
  </si>
  <si>
    <t>适宜</t>
    <phoneticPr fontId="26" type="noConversion"/>
  </si>
  <si>
    <r>
      <t>1</t>
    </r>
    <r>
      <rPr>
        <sz val="11"/>
        <color indexed="8"/>
        <rFont val="宋体"/>
        <family val="3"/>
        <charset val="134"/>
      </rPr>
      <t>以下、</t>
    </r>
    <r>
      <rPr>
        <sz val="11"/>
        <color indexed="8"/>
        <rFont val="Arial"/>
        <family val="2"/>
      </rPr>
      <t>20</t>
    </r>
    <r>
      <rPr>
        <sz val="11"/>
        <color indexed="8"/>
        <rFont val="宋体"/>
        <family val="3"/>
        <charset val="134"/>
      </rPr>
      <t>以上</t>
    </r>
    <phoneticPr fontId="26" type="noConversion"/>
  </si>
  <si>
    <r>
      <t>3-15</t>
    </r>
    <r>
      <rPr>
        <sz val="11"/>
        <color indexed="8"/>
        <rFont val="宋体"/>
        <family val="3"/>
        <charset val="134"/>
      </rPr>
      <t>万</t>
    </r>
    <phoneticPr fontId="26" type="noConversion"/>
  </si>
  <si>
    <r>
      <t>1-3</t>
    </r>
    <r>
      <rPr>
        <sz val="11"/>
        <color indexed="8"/>
        <rFont val="宋体"/>
        <family val="3"/>
        <charset val="134"/>
      </rPr>
      <t>、</t>
    </r>
    <r>
      <rPr>
        <sz val="11"/>
        <color indexed="8"/>
        <rFont val="Arial"/>
        <family val="2"/>
      </rPr>
      <t>15-20</t>
    </r>
    <phoneticPr fontId="26" type="noConversion"/>
  </si>
  <si>
    <t xml:space="preserve">环球中军文化旅游开发有限公司、四川省环融中军文化旅游开发有限公司
</t>
    <phoneticPr fontId="6" type="noConversion"/>
  </si>
  <si>
    <t>城镇住宅用地</t>
    <phoneticPr fontId="6" type="noConversion"/>
  </si>
  <si>
    <t>拍卖公告</t>
    <phoneticPr fontId="6" type="noConversion"/>
  </si>
  <si>
    <t>住宅、商业及地下车库</t>
    <phoneticPr fontId="6" type="noConversion"/>
  </si>
  <si>
    <t>《10.27住宅425亩新测算》、《10.27商业405测算》</t>
    <phoneticPr fontId="6" type="noConversion"/>
  </si>
  <si>
    <t>商业占比</t>
    <phoneticPr fontId="26" type="noConversion"/>
  </si>
  <si>
    <t>朗基香颂天府</t>
    <phoneticPr fontId="3" type="noConversion"/>
  </si>
  <si>
    <t>天府新区兴隆湖南天府大道视高段60号</t>
    <phoneticPr fontId="3" type="noConversion"/>
  </si>
  <si>
    <t xml:space="preserve"> 融创九天一城</t>
    <phoneticPr fontId="3" type="noConversion"/>
  </si>
  <si>
    <t>仁寿县视高镇中建大道南侧</t>
    <phoneticPr fontId="3" type="noConversion"/>
  </si>
  <si>
    <r>
      <rPr>
        <sz val="10"/>
        <rFont val="宋体"/>
        <family val="3"/>
        <charset val="134"/>
      </rPr>
      <t>安置</t>
    </r>
    <r>
      <rPr>
        <sz val="10"/>
        <rFont val="Arial"/>
        <family val="2"/>
      </rPr>
      <t>50%</t>
    </r>
    <phoneticPr fontId="228" type="noConversion"/>
  </si>
  <si>
    <r>
      <rPr>
        <sz val="10"/>
        <rFont val="宋体"/>
        <family val="3"/>
        <charset val="134"/>
      </rPr>
      <t>安置4</t>
    </r>
    <r>
      <rPr>
        <sz val="10"/>
        <rFont val="Arial"/>
        <family val="2"/>
      </rPr>
      <t>0%</t>
    </r>
    <phoneticPr fontId="228" type="noConversion"/>
  </si>
  <si>
    <t>http://www.ms.gov.cn/info/5659/1052275.htm</t>
  </si>
  <si>
    <t>起拍价</t>
  </si>
  <si>
    <t>住宅-小高层</t>
    <phoneticPr fontId="7" type="noConversion"/>
  </si>
  <si>
    <t>住宅-洋房</t>
    <phoneticPr fontId="7" type="noConversion"/>
  </si>
  <si>
    <t>住宅-叠拼</t>
    <phoneticPr fontId="7" type="noConversion"/>
  </si>
  <si>
    <t>商业</t>
    <phoneticPr fontId="7" type="noConversion"/>
  </si>
  <si>
    <t>地下车库</t>
    <phoneticPr fontId="7" type="noConversion"/>
  </si>
  <si>
    <t>2020-61</t>
  </si>
  <si>
    <t>2020-62</t>
  </si>
  <si>
    <t>2020-87</t>
  </si>
  <si>
    <t>2020-88</t>
  </si>
  <si>
    <t>2020-89</t>
  </si>
  <si>
    <t>已注销</t>
  </si>
  <si>
    <t>四川省眉山市视高街道新明村、南桥社区</t>
    <phoneticPr fontId="6" type="noConversion"/>
  </si>
  <si>
    <t>视高街道腾飞大道西侧,环湖西路北侧</t>
  </si>
  <si>
    <t>2020(TR)-82</t>
  </si>
  <si>
    <t>2020-11-18</t>
  </si>
  <si>
    <t>2020-12-08</t>
  </si>
  <si>
    <t>眉天府公资拍告[2020]1号</t>
  </si>
  <si>
    <t>2020(TR)-83</t>
  </si>
  <si>
    <t>视高街道腾飞大道西侧,南天府大道北侧</t>
  </si>
  <si>
    <t>2020(TR)-80</t>
  </si>
  <si>
    <t>眉山环天天新房地产发展有限公司</t>
  </si>
  <si>
    <t>2020(TR)-81</t>
  </si>
  <si>
    <t>大于30</t>
  </si>
  <si>
    <t>大于60</t>
  </si>
  <si>
    <t>2019-82</t>
  </si>
  <si>
    <t>2020-11-13</t>
  </si>
  <si>
    <t>2020-12-04</t>
  </si>
  <si>
    <t>眉仁公资告[2020]第56号</t>
  </si>
  <si>
    <t>2019-66</t>
  </si>
  <si>
    <t>四川鹏鑫港置业有限公司</t>
  </si>
  <si>
    <t>2019-65</t>
  </si>
  <si>
    <t>2019-67</t>
  </si>
  <si>
    <t>视高街道环湖东路以东</t>
  </si>
  <si>
    <t>2020(TR)—76号</t>
  </si>
  <si>
    <t>大于1并且小于2.3</t>
  </si>
  <si>
    <t>2020-11-09</t>
  </si>
  <si>
    <t>2020-12-01</t>
  </si>
  <si>
    <t>眉仁公资告[2020第]54号</t>
  </si>
  <si>
    <t>四川通威世地置业有限公司</t>
  </si>
  <si>
    <t>2020(TR)—75号</t>
  </si>
  <si>
    <t>汪洋镇汪洋大道旁</t>
  </si>
  <si>
    <t>2020-41</t>
  </si>
  <si>
    <t>小于或等于20</t>
  </si>
  <si>
    <t>大于-12并且小于或等于60</t>
  </si>
  <si>
    <t>2020-11-04</t>
  </si>
  <si>
    <t>2020-11-25</t>
  </si>
  <si>
    <t>眉仁公资告[2020]第53号</t>
  </si>
  <si>
    <t>四川君烨地产有限公司</t>
  </si>
  <si>
    <t>南坛路旁</t>
  </si>
  <si>
    <t>2020-31</t>
  </si>
  <si>
    <t>大于2并且小于或等于2.5</t>
  </si>
  <si>
    <t>2020-10-22</t>
  </si>
  <si>
    <t>2020-11-20</t>
  </si>
  <si>
    <t>眉仁公资告[2020]第48号</t>
  </si>
  <si>
    <t>仁寿发展投资集团有限公司</t>
  </si>
  <si>
    <t>迎宾大道、新兴街交汇处</t>
  </si>
  <si>
    <t>2020-33</t>
  </si>
  <si>
    <t>2020-10-15</t>
  </si>
  <si>
    <t>眉仁公资告[2020]第47号</t>
  </si>
  <si>
    <t>2020-32</t>
  </si>
  <si>
    <t>视高街道南桥社区</t>
  </si>
  <si>
    <t>2019-153</t>
  </si>
  <si>
    <t>大于1并且小于或等于1.05</t>
  </si>
  <si>
    <t>小于或等于43</t>
  </si>
  <si>
    <t>大于或等于-6并且小于或等于18</t>
  </si>
  <si>
    <t>2020-11-06</t>
  </si>
  <si>
    <t>眉仁公资告[2020]第49号</t>
  </si>
  <si>
    <t>四川省环融中军文化旅游开发有限公司</t>
  </si>
  <si>
    <t>2019-167</t>
  </si>
  <si>
    <t>2019-166</t>
  </si>
  <si>
    <t>大于1并且小于或等于3.1</t>
  </si>
  <si>
    <t>小于或等于22</t>
  </si>
  <si>
    <t>2020-44</t>
  </si>
  <si>
    <t>2019-154</t>
  </si>
  <si>
    <t>大于1并且小于或等于2.9</t>
  </si>
  <si>
    <t>陵州大道、学三路</t>
  </si>
  <si>
    <t>2020-27</t>
  </si>
  <si>
    <t>大于1并且小于或等于2.5</t>
  </si>
  <si>
    <t>2020-07-24</t>
  </si>
  <si>
    <t>2020-08-14</t>
  </si>
  <si>
    <t>眉仁公资告[2020]23号</t>
  </si>
  <si>
    <t>2019-152</t>
  </si>
  <si>
    <t>大于1并且小于或等于3</t>
  </si>
  <si>
    <t>2019-151</t>
  </si>
  <si>
    <t>大于或等于-6并且小于或等于36</t>
  </si>
  <si>
    <t>2019-170</t>
  </si>
  <si>
    <t>2020-2</t>
  </si>
  <si>
    <t>2020-10-10</t>
  </si>
  <si>
    <t>2020-11-03</t>
  </si>
  <si>
    <t>眉仁公资告[2020]第45号</t>
  </si>
  <si>
    <t>四川皓悦森置业有限公司</t>
  </si>
  <si>
    <t>2019-168</t>
  </si>
  <si>
    <t>2019-177</t>
  </si>
  <si>
    <t>2020-3</t>
  </si>
  <si>
    <t>视高街道天府大道东侧</t>
  </si>
  <si>
    <t>2020-10-09</t>
  </si>
  <si>
    <t>2020-11-02</t>
  </si>
  <si>
    <t>眉仁公资告[2020]TR-44号</t>
  </si>
  <si>
    <t>眉山聚亿置业有限公司</t>
  </si>
  <si>
    <t>2020(TR)-45</t>
  </si>
  <si>
    <t>2020(TR)-44</t>
  </si>
  <si>
    <t>视高街道物流大道北侧,腾飞达到西侧</t>
  </si>
  <si>
    <t>2020(TR)-74</t>
  </si>
  <si>
    <t>2020-10-30</t>
  </si>
  <si>
    <t>眉仁公资告[2020]TR-73号</t>
  </si>
  <si>
    <t>2020(TR)-73</t>
  </si>
  <si>
    <t>四川通威世地置业有限公司</t>
    <phoneticPr fontId="228" type="noConversion"/>
  </si>
  <si>
    <t>本次</t>
    <phoneticPr fontId="9" type="noConversion"/>
  </si>
  <si>
    <t>容积率</t>
    <phoneticPr fontId="9" type="noConversion"/>
  </si>
  <si>
    <t>涨幅</t>
    <phoneticPr fontId="9" type="noConversion"/>
  </si>
  <si>
    <t>容积率</t>
    <phoneticPr fontId="9" type="noConversion"/>
  </si>
  <si>
    <t>地面单价（万/亩)</t>
    <phoneticPr fontId="9" type="noConversion"/>
  </si>
  <si>
    <t>地上计容楼面单价（元/平方米）</t>
    <phoneticPr fontId="9" type="noConversion"/>
  </si>
  <si>
    <t xml:space="preserve">1.该地块属于带安置的出让土地，安置条件如下。
（1）安置住房面积约占总住宅建筑面积的40%，户型为60平方米、90平方米、120平方米，其户型数占比分别为35％、50%、15%。
（2）安置房须整栋修建、整栋安置，建筑业态、修建标准、室外绿化及相关附属设施等与其他楼栋相同。
（3）标准车位按照国家相关规定配备，政府不予回购，同时给予拆迁户的购买指导价不超过6万元/个。拆迁户购买多个标准车位的，每套安置住房仅可享受6万元/个指导价的标准车位1个，其余车位按市场价执行。
（4）仁寿县视高街道办为安置房回购主体，回购价为4000元/平方米。安置房达到预售条件后3个月内支付总回购款的50%，安置房主体工程完工后3个月内支付总回购款的30%，安置房交房后1个月内支付总回购款的10%，安置房办理安置户产权证书后1个月内支付总回购款的10%。
（5）地块内所有安置房达到预售条件后，可依法办理的非安置房预售面积（不含商业、车位，下同）不超过非安置房总建筑面积的70%；地块内所有安置房主体结构建设进度达到50%后，可依法办理的非安置房总预售面积不超过非安置房总建筑面积的80%；地块内所有安置房主体结构完工后，可依法办理的非安置房总预售面积不超过非安置房总建筑面积的90%；地块内所有安置房交付给视高街道办后，依法办理的非安置房总预售面积可达到非安置房总建筑面积的100%。
（6）回购安置住房涉及的税、费，由竞得人按商品房规定标准缴纳。
（7）本地块竞得人取得土地后须6个月内按程序完成报建手续并开工建设，整个地块3年内竣工，其中：自交付土地之日起18个月内交付安置住房。竞得人取得土地后6个月内未按程序完成报建手续并开工建设，出让人有权无偿收回土地使用权；超期交房而产生的过渡费，作为土地竞得人应承担的违约责任，由竞得人按最新过渡费标准，以应安置建筑面积支付过渡费。竞得人因自身原因造成本项目“烂尾”的，应承担相应的法律责任，具体在《国有建设用地出让合同》补充协议中另行约定。
</t>
    <phoneticPr fontId="228" type="noConversion"/>
  </si>
  <si>
    <t xml:space="preserve"> </t>
  </si>
  <si>
    <t>产品量</t>
  </si>
  <si>
    <t>占地面积</t>
  </si>
  <si>
    <t>产品名称</t>
  </si>
  <si>
    <t>层数</t>
  </si>
  <si>
    <t>层高</t>
  </si>
  <si>
    <t>栋数</t>
  </si>
  <si>
    <t>单元数</t>
  </si>
  <si>
    <t>户数</t>
  </si>
  <si>
    <t>地上赠送面积</t>
  </si>
  <si>
    <t>基底面积</t>
  </si>
  <si>
    <t>用地面积</t>
  </si>
  <si>
    <t>1.1期</t>
  </si>
  <si>
    <t>1.1期-T4高层</t>
  </si>
  <si>
    <t>1.1期-叠拼</t>
  </si>
  <si>
    <t>1.1期-人防车库</t>
  </si>
  <si>
    <t>1.1期-产权车库</t>
  </si>
  <si>
    <t>1.2期</t>
  </si>
  <si>
    <t>1.2期-T6高层</t>
  </si>
  <si>
    <t>1.2期-叠拼</t>
  </si>
  <si>
    <t>1.2期-人防车库</t>
  </si>
  <si>
    <t>1.2期-产权车库</t>
  </si>
  <si>
    <t>1.3期</t>
  </si>
  <si>
    <t>1.3期-T6高层</t>
  </si>
  <si>
    <t>1.3期-叠拼</t>
  </si>
  <si>
    <t>1.3期-人防车库</t>
  </si>
  <si>
    <t>1.3期-产权车库</t>
  </si>
  <si>
    <t>1.4期</t>
  </si>
  <si>
    <t>1.4期-四代高层</t>
  </si>
  <si>
    <t>1.4期-叠拼</t>
  </si>
  <si>
    <t>1.4期-人防车库</t>
  </si>
  <si>
    <t>1.4期-产权车库</t>
  </si>
  <si>
    <t>1.1期-裙房商业</t>
  </si>
  <si>
    <t>1.2期-裙房商业</t>
  </si>
  <si>
    <t>1.3期-四代高层</t>
  </si>
  <si>
    <t>1.3期-洋房</t>
  </si>
  <si>
    <t>公建配套-网红图书馆</t>
  </si>
  <si>
    <t>1期配套</t>
  </si>
  <si>
    <t>1期配套-公建配套-网红图书馆</t>
  </si>
  <si>
    <t>公建配套-健身中心、综合体育馆</t>
  </si>
  <si>
    <t>1期配套-公建配套-健身中心、综合体育馆</t>
  </si>
  <si>
    <t>公建配套-妇幼保健院</t>
  </si>
  <si>
    <t>1期配套-公建配套-妇幼保健院</t>
  </si>
  <si>
    <t>公建配套-养老院</t>
  </si>
  <si>
    <t>1期配套-公建配套-养老院</t>
  </si>
  <si>
    <t>公建配套-行政办公</t>
  </si>
  <si>
    <t>1期配套-公建配套-行政办公</t>
  </si>
  <si>
    <t>公建配套-通讯消防</t>
  </si>
  <si>
    <t>1期配套-公建配套-通讯消防</t>
  </si>
  <si>
    <t>1期配套-人防车库</t>
  </si>
  <si>
    <t>1期配套-产权车库</t>
  </si>
  <si>
    <t>2期住宅</t>
  </si>
  <si>
    <t>2期住宅-高层</t>
  </si>
  <si>
    <t>2期住宅-洋房</t>
  </si>
  <si>
    <t>2期住宅-叠拼</t>
  </si>
  <si>
    <t>底商</t>
  </si>
  <si>
    <t>2期住宅-底商</t>
  </si>
  <si>
    <t>2期住宅-人防车库</t>
  </si>
  <si>
    <t>2期住宅-产权车库</t>
  </si>
  <si>
    <t>公建配套-小学</t>
  </si>
  <si>
    <t>2期配套</t>
  </si>
  <si>
    <t>2期配套-公建配套-小学</t>
  </si>
  <si>
    <t>2期配套-人防车库</t>
  </si>
  <si>
    <t>2期配套-产权车库</t>
  </si>
  <si>
    <t>联排（法式）</t>
  </si>
  <si>
    <t>3期住宅</t>
  </si>
  <si>
    <t>3期住宅-高层</t>
  </si>
  <si>
    <t>3期住宅-洋房</t>
  </si>
  <si>
    <t>3期住宅-叠拼</t>
  </si>
  <si>
    <t>3期住宅-底商</t>
  </si>
  <si>
    <t>3期住宅-人防车库</t>
  </si>
  <si>
    <t>3期住宅-产权车库</t>
  </si>
  <si>
    <t xml:space="preserve">商业合院 </t>
  </si>
  <si>
    <t>3期商业</t>
  </si>
  <si>
    <t xml:space="preserve">3期商业-商业合院 </t>
  </si>
  <si>
    <t>6.1+3.3</t>
  </si>
  <si>
    <t>公寓</t>
  </si>
  <si>
    <t>3期商业-公寓</t>
  </si>
  <si>
    <t>商业街</t>
  </si>
  <si>
    <t>3期商业-商业街</t>
  </si>
  <si>
    <t>3期商业-人防车库</t>
  </si>
  <si>
    <t>3期商业-产权车库</t>
  </si>
  <si>
    <t>公建配套-宗教</t>
  </si>
  <si>
    <t>3期配套</t>
  </si>
  <si>
    <t>3期配套-公建配套-宗教</t>
  </si>
  <si>
    <t>公建配套-综合医院</t>
  </si>
  <si>
    <t>3期配套-公建配套-综合医院</t>
  </si>
  <si>
    <t>公建配套-综合文化活动室</t>
  </si>
  <si>
    <t>3期配套-公建配套-综合文化活动室</t>
  </si>
  <si>
    <t>公建配套-体育馆</t>
  </si>
  <si>
    <t>3期配套-公建配套-体育馆</t>
  </si>
  <si>
    <t>3期配套-人防车库</t>
  </si>
  <si>
    <t>3期配套-产权车库</t>
  </si>
  <si>
    <t>幼儿园</t>
  </si>
  <si>
    <t>3期商业-幼儿园</t>
  </si>
  <si>
    <t>4期住宅</t>
  </si>
  <si>
    <t>4期住宅-高层</t>
  </si>
  <si>
    <t>4期住宅-洋房</t>
  </si>
  <si>
    <t>4期住宅-叠拼</t>
  </si>
  <si>
    <t>4期住宅-底商</t>
  </si>
  <si>
    <t>4期住宅-人防车库</t>
  </si>
  <si>
    <t>4期住宅-产权车库</t>
  </si>
  <si>
    <t>4期商业</t>
  </si>
  <si>
    <t xml:space="preserve">4期商业-商业合院 </t>
  </si>
  <si>
    <t>4期商业-公寓</t>
  </si>
  <si>
    <t>4期商业-商业街</t>
  </si>
  <si>
    <t>4期商业-人防车库</t>
  </si>
  <si>
    <t>4期商业-产权车库</t>
  </si>
  <si>
    <t>公建配套-K12学校</t>
  </si>
  <si>
    <t>4期配套</t>
  </si>
  <si>
    <t>4期配套-公建配套-K12学校</t>
  </si>
  <si>
    <t>公建配套-医院</t>
  </si>
  <si>
    <t>4期配套-公建配套-医院</t>
  </si>
  <si>
    <t>4期配套-人防车库</t>
  </si>
  <si>
    <t>4期配套-产权车库</t>
  </si>
  <si>
    <t>5期住宅</t>
  </si>
  <si>
    <t>5期住宅-高层</t>
  </si>
  <si>
    <t>5期住宅-洋房</t>
  </si>
  <si>
    <t>5期住宅-叠拼</t>
  </si>
  <si>
    <t>5期住宅-底商</t>
  </si>
  <si>
    <t>5期住宅-人防车库</t>
  </si>
  <si>
    <t>5期住宅-产权车库</t>
  </si>
  <si>
    <t>5期商业</t>
  </si>
  <si>
    <t xml:space="preserve">5期商业-商业合院 </t>
  </si>
  <si>
    <t>商业叠拼</t>
  </si>
  <si>
    <t>5期商业-商业叠拼</t>
  </si>
  <si>
    <t>5期商业-幼儿园</t>
  </si>
  <si>
    <t>5期商业-商业街</t>
  </si>
  <si>
    <t>邻里中心</t>
  </si>
  <si>
    <t>5期商业-邻里中心</t>
  </si>
  <si>
    <t>5期商业-公寓</t>
  </si>
  <si>
    <t>5期商业-人防车库</t>
  </si>
  <si>
    <t>5期商业-产权车库</t>
  </si>
  <si>
    <t>公建配套-全民健身中心</t>
  </si>
  <si>
    <t>5期配套</t>
  </si>
  <si>
    <t>5期配套-公建配套-全民健身中心</t>
  </si>
  <si>
    <t>5期配套-人防车库</t>
  </si>
  <si>
    <t>5期配套-产权车库</t>
  </si>
  <si>
    <t>6期住宅</t>
  </si>
  <si>
    <t>6期住宅-高层</t>
  </si>
  <si>
    <t>6期住宅-洋房</t>
  </si>
  <si>
    <t>6期住宅-叠拼</t>
  </si>
  <si>
    <t>6期住宅-底商</t>
  </si>
  <si>
    <t>6期住宅-人防车库</t>
  </si>
  <si>
    <t>6期住宅-产权车库</t>
  </si>
  <si>
    <t>6期商业</t>
  </si>
  <si>
    <t>6期商业-商业街</t>
  </si>
  <si>
    <t>购物中心（自持）</t>
  </si>
  <si>
    <t>6期商业-购物中心（自持）</t>
  </si>
  <si>
    <t>6期商业-公寓</t>
  </si>
  <si>
    <t>6期商业-人防车库</t>
  </si>
  <si>
    <t>6期商业-产权车库</t>
  </si>
  <si>
    <t>公建配套-社会停车</t>
  </si>
  <si>
    <t>6期配套</t>
  </si>
  <si>
    <t>6期配套-公建配套-社会停车</t>
  </si>
  <si>
    <t>6期配套-公建配套-小学</t>
  </si>
  <si>
    <t>公建配套-加油站</t>
  </si>
  <si>
    <t>6期配套-公建配套-加油站</t>
  </si>
  <si>
    <t>公建配套-公园里小学</t>
  </si>
  <si>
    <t>6期配套-公建配套-公园里小学</t>
  </si>
  <si>
    <t>6期配套-人防车库</t>
  </si>
  <si>
    <t>6期配套-产权车库</t>
  </si>
  <si>
    <t>7期商业</t>
  </si>
  <si>
    <t xml:space="preserve">7期商业-商业合院 </t>
  </si>
  <si>
    <t>7期商业-公寓</t>
  </si>
  <si>
    <t>7期商业-商业</t>
  </si>
  <si>
    <t>7期商业-人防车库</t>
  </si>
  <si>
    <t>7期商业-产权车库</t>
  </si>
  <si>
    <t>市政道路</t>
  </si>
  <si>
    <t>7期配套</t>
  </si>
  <si>
    <t>7期配套-市政道路</t>
  </si>
  <si>
    <t>配套绿化</t>
  </si>
  <si>
    <t>7期配套-配套绿化</t>
  </si>
  <si>
    <t>商业合院</t>
  </si>
  <si>
    <t>405亩</t>
  </si>
  <si>
    <t>405亩-商业合院</t>
  </si>
  <si>
    <t>6、6/3</t>
  </si>
  <si>
    <t>405亩-商业叠拼</t>
  </si>
  <si>
    <t>6/5.4</t>
  </si>
  <si>
    <t>405亩-商业街</t>
  </si>
  <si>
    <t>公寓底商</t>
  </si>
  <si>
    <t>405亩-公寓底商</t>
  </si>
  <si>
    <t>办公LOFT</t>
  </si>
  <si>
    <t>405亩-办公LOFT</t>
  </si>
  <si>
    <t>办公SOHO</t>
  </si>
  <si>
    <t>405亩-办公SOHO</t>
  </si>
  <si>
    <t>酒店/民宿（销售）</t>
  </si>
  <si>
    <t>405亩-酒店/民宿（销售）</t>
  </si>
  <si>
    <t>5.4/3.6/3.6</t>
  </si>
  <si>
    <t>主题屋</t>
  </si>
  <si>
    <t>405亩-主题屋</t>
  </si>
  <si>
    <t>酒店/民宿（运营）</t>
  </si>
  <si>
    <t>405亩-酒店/民宿（运营）</t>
  </si>
  <si>
    <t>6、/5.4/3.6/3.6</t>
  </si>
  <si>
    <t>展厅</t>
  </si>
  <si>
    <t>405亩-展厅</t>
  </si>
  <si>
    <t>405亩-人防车库</t>
  </si>
  <si>
    <t>405亩-产权车库</t>
  </si>
  <si>
    <t>=</t>
  </si>
  <si>
    <t>7期</t>
  </si>
  <si>
    <t>地上</t>
    <phoneticPr fontId="228" type="noConversion"/>
  </si>
  <si>
    <t>住宅</t>
    <phoneticPr fontId="228" type="noConversion"/>
  </si>
  <si>
    <t>高层</t>
    <phoneticPr fontId="228" type="noConversion"/>
  </si>
  <si>
    <t>洋房</t>
    <phoneticPr fontId="228" type="noConversion"/>
  </si>
  <si>
    <t>叠拼</t>
    <phoneticPr fontId="228" type="noConversion"/>
  </si>
  <si>
    <t>商业</t>
    <phoneticPr fontId="228" type="noConversion"/>
  </si>
  <si>
    <t>底商</t>
    <phoneticPr fontId="228" type="noConversion"/>
  </si>
  <si>
    <t>公共配套</t>
    <phoneticPr fontId="228" type="noConversion"/>
  </si>
  <si>
    <t>设备及其他</t>
    <phoneticPr fontId="228" type="noConversion"/>
  </si>
  <si>
    <t>地下</t>
    <phoneticPr fontId="228" type="noConversion"/>
  </si>
  <si>
    <t>产权车库</t>
    <phoneticPr fontId="228" type="noConversion"/>
  </si>
  <si>
    <t>人防车库</t>
    <phoneticPr fontId="228" type="noConversion"/>
  </si>
  <si>
    <t>小计</t>
    <phoneticPr fontId="228" type="noConversion"/>
  </si>
  <si>
    <t>合计</t>
    <phoneticPr fontId="228" type="noConversion"/>
  </si>
  <si>
    <t>2020(TR)-43</t>
    <phoneticPr fontId="228" type="noConversion"/>
  </si>
  <si>
    <t>风控已看P02住宅一期</t>
    <phoneticPr fontId="9" type="noConversion"/>
  </si>
  <si>
    <t>房源</t>
  </si>
  <si>
    <t>销售状态</t>
  </si>
  <si>
    <t>分期</t>
  </si>
  <si>
    <t>楼栋</t>
  </si>
  <si>
    <t>预测建筑面积</t>
  </si>
  <si>
    <t>预测套内面积</t>
  </si>
  <si>
    <t>预测公摊面积</t>
  </si>
  <si>
    <t>表价总价</t>
  </si>
  <si>
    <t>建面表单价</t>
  </si>
  <si>
    <t>套内表单价</t>
  </si>
  <si>
    <t>成交总价</t>
  </si>
  <si>
    <t>成交总价建面单价</t>
  </si>
  <si>
    <t>认购日期</t>
    <phoneticPr fontId="256" type="noConversion"/>
  </si>
  <si>
    <t>P1967-01-001-1-1-101</t>
  </si>
  <si>
    <t>未售</t>
  </si>
  <si>
    <t>环球融创未来城</t>
  </si>
  <si>
    <t>A-01-01(乐源50亩）</t>
  </si>
  <si>
    <t>1号楼</t>
  </si>
  <si>
    <t>住宅-高层1（24-38米/9-12层）-平层-精装-可售-商品房</t>
  </si>
  <si>
    <t>P1967-01-001-1-1-102</t>
  </si>
  <si>
    <t>P1967-01-001-1-1-103</t>
  </si>
  <si>
    <t>P1967-01-001-1-1-104</t>
  </si>
  <si>
    <t>P1967-01-001-1-10-1001</t>
  </si>
  <si>
    <t>P1967-01-001-1-10-1002</t>
  </si>
  <si>
    <t>P1967-01-001-1-10-1003</t>
  </si>
  <si>
    <t>P1967-01-001-1-10-1004</t>
  </si>
  <si>
    <t>P1967-01-001-1-11-1101</t>
  </si>
  <si>
    <t>P1967-01-001-1-11-1102</t>
  </si>
  <si>
    <t>P1967-01-001-1-11-1103</t>
  </si>
  <si>
    <t>P1967-01-001-1-11-1104</t>
  </si>
  <si>
    <t>P1967-01-001-1-12-1201</t>
  </si>
  <si>
    <t>P1967-01-001-1-12-1202</t>
  </si>
  <si>
    <t>P1967-01-001-1-12-1203</t>
  </si>
  <si>
    <t>P1967-01-001-1-12-1204</t>
  </si>
  <si>
    <t>P1967-01-001-1-2-201</t>
  </si>
  <si>
    <t>P1967-01-001-1-2-202</t>
  </si>
  <si>
    <t>P1967-01-001-1-2-203</t>
  </si>
  <si>
    <t>P1967-01-001-1-2-204</t>
  </si>
  <si>
    <t>P1967-01-001-1-3-301</t>
  </si>
  <si>
    <t>P1967-01-001-1-3-302</t>
  </si>
  <si>
    <t>P1967-01-001-1-3-303</t>
  </si>
  <si>
    <t>P1967-01-001-1-3-304</t>
  </si>
  <si>
    <t>P1967-01-001-1-4-401</t>
  </si>
  <si>
    <t>P1967-01-001-1-4-402</t>
  </si>
  <si>
    <t>P1967-01-001-1-4-403</t>
  </si>
  <si>
    <t>P1967-01-001-1-4-404</t>
  </si>
  <si>
    <t>P1967-01-001-1-5-501</t>
  </si>
  <si>
    <t>P1967-01-001-1-5-502</t>
  </si>
  <si>
    <t>P1967-01-001-1-5-503</t>
  </si>
  <si>
    <t>P1967-01-001-1-5-504</t>
  </si>
  <si>
    <t>P1967-01-001-1-6-601</t>
  </si>
  <si>
    <t>P1967-01-001-1-6-602</t>
  </si>
  <si>
    <t>P1967-01-001-1-6-603</t>
  </si>
  <si>
    <t>P1967-01-001-1-6-604</t>
  </si>
  <si>
    <t>P1967-01-001-1-7-701</t>
  </si>
  <si>
    <t>P1967-01-001-1-7-702</t>
  </si>
  <si>
    <t>P1967-01-001-1-7-703</t>
  </si>
  <si>
    <t>P1967-01-001-1-7-704</t>
  </si>
  <si>
    <t>P1967-01-001-1-8-801</t>
  </si>
  <si>
    <t>P1967-01-001-1-8-802</t>
  </si>
  <si>
    <t>P1967-01-001-1-8-803</t>
  </si>
  <si>
    <t>P1967-01-001-1-8-804</t>
  </si>
  <si>
    <t>P1967-01-001-1-9-901</t>
  </si>
  <si>
    <t>P1967-01-001-1-9-902</t>
  </si>
  <si>
    <t>P1967-01-001-1-9-903</t>
  </si>
  <si>
    <t>P1967-01-001-1-9-904</t>
  </si>
  <si>
    <t>P1967-01-001-2-1-101</t>
  </si>
  <si>
    <t>P1967-01-001-2-1-102</t>
  </si>
  <si>
    <t>P1967-01-001-2-1-103</t>
  </si>
  <si>
    <t>P1967-01-001-2-1-104</t>
  </si>
  <si>
    <t>P1967-01-001-2-10-1001</t>
  </si>
  <si>
    <t>P1967-01-001-2-10-1002</t>
  </si>
  <si>
    <t>P1967-01-001-2-10-1003</t>
  </si>
  <si>
    <t>P1967-01-001-2-10-1004</t>
  </si>
  <si>
    <t>P1967-01-001-2-11-1101</t>
  </si>
  <si>
    <t>P1967-01-001-2-11-1102</t>
  </si>
  <si>
    <t>P1967-01-001-2-11-1103</t>
  </si>
  <si>
    <t>P1967-01-001-2-11-1104</t>
  </si>
  <si>
    <t>P1967-01-001-2-12-1201</t>
  </si>
  <si>
    <t>P1967-01-001-2-12-1202</t>
  </si>
  <si>
    <t>P1967-01-001-2-12-1203</t>
  </si>
  <si>
    <t>P1967-01-001-2-12-1204</t>
  </si>
  <si>
    <t>P1967-01-001-2-2-201</t>
  </si>
  <si>
    <t>P1967-01-001-2-2-202</t>
  </si>
  <si>
    <t>P1967-01-001-2-2-203</t>
  </si>
  <si>
    <t>P1967-01-001-2-2-204</t>
  </si>
  <si>
    <t>P1967-01-001-2-3-301</t>
  </si>
  <si>
    <t>P1967-01-001-2-3-302</t>
  </si>
  <si>
    <t>P1967-01-001-2-3-303</t>
  </si>
  <si>
    <t>P1967-01-001-2-3-304</t>
  </si>
  <si>
    <t>P1967-01-001-2-4-401</t>
  </si>
  <si>
    <t>P1967-01-001-2-4-402</t>
  </si>
  <si>
    <t>P1967-01-001-2-4-403</t>
  </si>
  <si>
    <t>P1967-01-001-2-4-404</t>
  </si>
  <si>
    <t>P1967-01-001-2-5-501</t>
  </si>
  <si>
    <t>P1967-01-001-2-5-502</t>
  </si>
  <si>
    <t>P1967-01-001-2-5-503</t>
  </si>
  <si>
    <t>P1967-01-001-2-5-504</t>
  </si>
  <si>
    <t>P1967-01-001-2-6-601</t>
  </si>
  <si>
    <t>P1967-01-001-2-6-602</t>
  </si>
  <si>
    <t>P1967-01-001-2-6-603</t>
  </si>
  <si>
    <t>P1967-01-001-2-6-604</t>
  </si>
  <si>
    <t>P1967-01-001-2-7-701</t>
  </si>
  <si>
    <t>P1967-01-001-2-7-702</t>
  </si>
  <si>
    <t>P1967-01-001-2-7-703</t>
  </si>
  <si>
    <t>P1967-01-001-2-7-704</t>
  </si>
  <si>
    <t>P1967-01-001-2-8-801</t>
  </si>
  <si>
    <t>P1967-01-001-2-8-802</t>
  </si>
  <si>
    <t>P1967-01-001-2-8-803</t>
  </si>
  <si>
    <t>P1967-01-001-2-8-804</t>
  </si>
  <si>
    <t>P1967-01-001-2-9-901</t>
  </si>
  <si>
    <t>P1967-01-001-2-9-902</t>
  </si>
  <si>
    <t>P1967-01-001-2-9-903</t>
  </si>
  <si>
    <t>P1967-01-001-2-9-904</t>
  </si>
  <si>
    <t>P1967-01-002-1-1-101</t>
  </si>
  <si>
    <t>3号楼</t>
  </si>
  <si>
    <t>P1967-01-002-1-1-102</t>
  </si>
  <si>
    <t>P1967-01-002-1-1-103</t>
  </si>
  <si>
    <t>P1967-01-002-1-1-104</t>
  </si>
  <si>
    <t>P1967-01-002-1-10-1001</t>
  </si>
  <si>
    <t>P1967-01-002-1-10-1002</t>
  </si>
  <si>
    <t>P1967-01-002-1-10-1003</t>
  </si>
  <si>
    <t>P1967-01-002-1-10-1004</t>
  </si>
  <si>
    <t>P1967-01-002-1-2-201</t>
  </si>
  <si>
    <t>P1967-01-002-1-2-202</t>
  </si>
  <si>
    <t>P1967-01-002-1-2-203</t>
  </si>
  <si>
    <t>P1967-01-002-1-2-204</t>
  </si>
  <si>
    <t>P1967-01-002-1-3-301</t>
  </si>
  <si>
    <t>P1967-01-002-1-3-302</t>
  </si>
  <si>
    <t>P1967-01-002-1-3-303</t>
  </si>
  <si>
    <t>P1967-01-002-1-3-304</t>
  </si>
  <si>
    <t>P1967-01-002-1-4-401</t>
  </si>
  <si>
    <t>P1967-01-002-1-4-402</t>
  </si>
  <si>
    <t>P1967-01-002-1-4-403</t>
  </si>
  <si>
    <t>P1967-01-002-1-4-404</t>
  </si>
  <si>
    <t>P1967-01-002-1-5-501</t>
  </si>
  <si>
    <t>P1967-01-002-1-5-502</t>
  </si>
  <si>
    <t>P1967-01-002-1-5-503</t>
  </si>
  <si>
    <t>P1967-01-002-1-5-504</t>
  </si>
  <si>
    <t>P1967-01-002-1-6-601</t>
  </si>
  <si>
    <t>P1967-01-002-1-6-602</t>
  </si>
  <si>
    <t>P1967-01-002-1-6-603</t>
  </si>
  <si>
    <t>P1967-01-002-1-6-604</t>
  </si>
  <si>
    <t>P1967-01-002-1-7-701</t>
  </si>
  <si>
    <t>P1967-01-002-1-7-702</t>
  </si>
  <si>
    <t>P1967-01-002-1-7-703</t>
  </si>
  <si>
    <t>P1967-01-002-1-7-704</t>
  </si>
  <si>
    <t>P1967-01-002-1-8-801</t>
  </si>
  <si>
    <t>P1967-01-002-1-8-802</t>
  </si>
  <si>
    <t>P1967-01-002-1-8-803</t>
  </si>
  <si>
    <t>P1967-01-002-1-8-804</t>
  </si>
  <si>
    <t>P1967-01-002-1-9-901</t>
  </si>
  <si>
    <t>P1967-01-002-1-9-902</t>
  </si>
  <si>
    <t>P1967-01-002-1-9-903</t>
  </si>
  <si>
    <t>P1967-01-002-1-9-904</t>
  </si>
  <si>
    <t>P1967-01-002-2-1-101</t>
  </si>
  <si>
    <t>P1967-01-002-2-1-102</t>
  </si>
  <si>
    <t>P1967-01-002-2-1-103</t>
  </si>
  <si>
    <t>P1967-01-002-2-1-104</t>
  </si>
  <si>
    <t>P1967-01-002-2-10-1001</t>
  </si>
  <si>
    <t>P1967-01-002-2-10-1002</t>
  </si>
  <si>
    <t>P1967-01-002-2-10-1003</t>
  </si>
  <si>
    <t>P1967-01-002-2-10-1004</t>
  </si>
  <si>
    <t>P1967-01-002-2-2-201</t>
  </si>
  <si>
    <t>P1967-01-002-2-2-202</t>
  </si>
  <si>
    <t>P1967-01-002-2-2-203</t>
  </si>
  <si>
    <t>P1967-01-002-2-2-204</t>
  </si>
  <si>
    <t>P1967-01-002-2-3-301</t>
  </si>
  <si>
    <t>P1967-01-002-2-3-302</t>
  </si>
  <si>
    <t>P1967-01-002-2-3-303</t>
  </si>
  <si>
    <t>P1967-01-002-2-3-304</t>
  </si>
  <si>
    <t>P1967-01-002-2-4-401</t>
  </si>
  <si>
    <t>P1967-01-002-2-4-402</t>
  </si>
  <si>
    <t>P1967-01-002-2-4-403</t>
  </si>
  <si>
    <t>P1967-01-002-2-4-404</t>
  </si>
  <si>
    <t>P1967-01-002-2-5-501</t>
  </si>
  <si>
    <t>P1967-01-002-2-5-502</t>
  </si>
  <si>
    <t>P1967-01-002-2-5-503</t>
  </si>
  <si>
    <t>P1967-01-002-2-5-504</t>
  </si>
  <si>
    <t>P1967-01-002-2-6-601</t>
  </si>
  <si>
    <t>P1967-01-002-2-6-602</t>
  </si>
  <si>
    <t>P1967-01-002-2-6-603</t>
  </si>
  <si>
    <t>P1967-01-002-2-6-604</t>
  </si>
  <si>
    <t>P1967-01-002-2-7-701</t>
  </si>
  <si>
    <t>P1967-01-002-2-7-702</t>
  </si>
  <si>
    <t>P1967-01-002-2-7-703</t>
  </si>
  <si>
    <t>P1967-01-002-2-7-704</t>
  </si>
  <si>
    <t>P1967-01-002-2-8-801</t>
  </si>
  <si>
    <t>P1967-01-002-2-8-802</t>
  </si>
  <si>
    <t>P1967-01-002-2-8-803</t>
  </si>
  <si>
    <t>P1967-01-002-2-8-804</t>
  </si>
  <si>
    <t>P1967-01-002-2-9-901</t>
  </si>
  <si>
    <t>P1967-01-002-2-9-902</t>
  </si>
  <si>
    <t>P1967-01-002-2-9-903</t>
  </si>
  <si>
    <t>P1967-01-002-2-9-904</t>
  </si>
  <si>
    <t>P1967-01-005-1-1-101</t>
  </si>
  <si>
    <t>2号楼</t>
  </si>
  <si>
    <t>P1967-01-005-1-1-102</t>
  </si>
  <si>
    <t>P1967-01-005-1-1-103</t>
  </si>
  <si>
    <t>P1967-01-005-1-1-104</t>
  </si>
  <si>
    <t>P1967-01-005-1-10-1001</t>
  </si>
  <si>
    <t>P1967-01-005-1-10-1002</t>
  </si>
  <si>
    <t>P1967-01-005-1-10-1003</t>
  </si>
  <si>
    <t>P1967-01-005-1-10-1004</t>
  </si>
  <si>
    <t>P1967-01-005-1-11-1101</t>
  </si>
  <si>
    <t>P1967-01-005-1-11-1102</t>
  </si>
  <si>
    <t>P1967-01-005-1-11-1103</t>
  </si>
  <si>
    <t>P1967-01-005-1-11-1104</t>
  </si>
  <si>
    <t>P1967-01-005-1-2-201</t>
  </si>
  <si>
    <t>P1967-01-005-1-2-202</t>
  </si>
  <si>
    <t>P1967-01-005-1-2-203</t>
  </si>
  <si>
    <t>P1967-01-005-1-2-204</t>
  </si>
  <si>
    <t>P1967-01-005-1-3-301</t>
  </si>
  <si>
    <t>P1967-01-005-1-3-302</t>
  </si>
  <si>
    <t>P1967-01-005-1-3-303</t>
  </si>
  <si>
    <t>P1967-01-005-1-3-304</t>
  </si>
  <si>
    <t>P1967-01-005-1-4-401</t>
  </si>
  <si>
    <t>P1967-01-005-1-4-402</t>
  </si>
  <si>
    <t>P1967-01-005-1-4-403</t>
  </si>
  <si>
    <t>P1967-01-005-1-4-404</t>
  </si>
  <si>
    <t>P1967-01-005-1-5-501</t>
  </si>
  <si>
    <t>P1967-01-005-1-5-502</t>
  </si>
  <si>
    <t>P1967-01-005-1-5-503</t>
  </si>
  <si>
    <t>P1967-01-005-1-5-504</t>
  </si>
  <si>
    <t>P1967-01-005-1-6-601</t>
  </si>
  <si>
    <t>P1967-01-005-1-6-602</t>
  </si>
  <si>
    <t>P1967-01-005-1-6-603</t>
  </si>
  <si>
    <t>P1967-01-005-1-6-604</t>
  </si>
  <si>
    <t>P1967-01-005-1-7-701</t>
  </si>
  <si>
    <t>P1967-01-005-1-7-702</t>
  </si>
  <si>
    <t>P1967-01-005-1-7-703</t>
  </si>
  <si>
    <t>P1967-01-005-1-7-704</t>
  </si>
  <si>
    <t>P1967-01-005-1-8-801</t>
  </si>
  <si>
    <t>P1967-01-005-1-8-802</t>
  </si>
  <si>
    <t>P1967-01-005-1-8-803</t>
  </si>
  <si>
    <t>P1967-01-005-1-8-804</t>
  </si>
  <si>
    <t>P1967-01-005-1-9-901</t>
  </si>
  <si>
    <t>P1967-01-005-1-9-902</t>
  </si>
  <si>
    <t>P1967-01-005-1-9-903</t>
  </si>
  <si>
    <t>P1967-01-005-1-9-904</t>
  </si>
  <si>
    <t>P1967-01-006-1-1-101</t>
  </si>
  <si>
    <t>4号楼</t>
  </si>
  <si>
    <t>P1967-01-006-1-1-102</t>
  </si>
  <si>
    <t>P1967-01-006-1-1-103</t>
  </si>
  <si>
    <t>P1967-01-006-1-1-104</t>
  </si>
  <si>
    <t>P1967-01-006-1-10-1001</t>
  </si>
  <si>
    <t>P1967-01-006-1-10-1002</t>
  </si>
  <si>
    <t>P1967-01-006-1-10-1003</t>
  </si>
  <si>
    <t>P1967-01-006-1-10-1004</t>
  </si>
  <si>
    <t>P1967-01-006-1-11-1101</t>
  </si>
  <si>
    <t>P1967-01-006-1-11-1102</t>
  </si>
  <si>
    <t>P1967-01-006-1-11-1103</t>
  </si>
  <si>
    <t>P1967-01-006-1-11-1104</t>
  </si>
  <si>
    <t>P1967-01-006-1-12-1201</t>
  </si>
  <si>
    <t>P1967-01-006-1-12-1202</t>
  </si>
  <si>
    <t>P1967-01-006-1-12-1203</t>
  </si>
  <si>
    <t>P1967-01-006-1-12-1204</t>
  </si>
  <si>
    <t>P1967-01-006-1-2-201</t>
  </si>
  <si>
    <t>P1967-01-006-1-2-202</t>
  </si>
  <si>
    <t>P1967-01-006-1-2-203</t>
  </si>
  <si>
    <t>P1967-01-006-1-2-204</t>
  </si>
  <si>
    <t>P1967-01-006-1-3-301</t>
  </si>
  <si>
    <t>P1967-01-006-1-3-302</t>
  </si>
  <si>
    <t>P1967-01-006-1-3-303</t>
  </si>
  <si>
    <t>P1967-01-006-1-3-304</t>
  </si>
  <si>
    <t>P1967-01-006-1-4-401</t>
  </si>
  <si>
    <t>P1967-01-006-1-4-402</t>
  </si>
  <si>
    <t>P1967-01-006-1-4-403</t>
  </si>
  <si>
    <t>P1967-01-006-1-4-404</t>
  </si>
  <si>
    <t>P1967-01-006-1-5-501</t>
  </si>
  <si>
    <t>P1967-01-006-1-5-502</t>
  </si>
  <si>
    <t>P1967-01-006-1-5-503</t>
  </si>
  <si>
    <t>P1967-01-006-1-5-504</t>
  </si>
  <si>
    <t>P1967-01-006-1-6-601</t>
  </si>
  <si>
    <t>P1967-01-006-1-6-602</t>
  </si>
  <si>
    <t>P1967-01-006-1-6-603</t>
  </si>
  <si>
    <t>P1967-01-006-1-6-604</t>
  </si>
  <si>
    <t>P1967-01-006-1-7-701</t>
  </si>
  <si>
    <t>P1967-01-006-1-7-702</t>
  </si>
  <si>
    <t>P1967-01-006-1-7-703</t>
  </si>
  <si>
    <t>P1967-01-006-1-7-704</t>
  </si>
  <si>
    <t>P1967-01-006-1-8-801</t>
  </si>
  <si>
    <t>P1967-01-006-1-8-802</t>
  </si>
  <si>
    <t>P1967-01-006-1-8-803</t>
  </si>
  <si>
    <t>P1967-01-006-1-8-804</t>
  </si>
  <si>
    <t>P1967-01-006-1-9-901</t>
  </si>
  <si>
    <t>P1967-01-006-1-9-902</t>
  </si>
  <si>
    <t>P1967-01-006-1-9-903</t>
  </si>
  <si>
    <t>P1967-01-006-1-9-904</t>
  </si>
  <si>
    <t>P1967-01-006-2-1-101</t>
  </si>
  <si>
    <t>P1967-01-006-2-1-102</t>
  </si>
  <si>
    <t>P1967-01-006-2-1-103</t>
  </si>
  <si>
    <t>P1967-01-006-2-1-104</t>
  </si>
  <si>
    <t>P1967-01-006-2-10-1001</t>
  </si>
  <si>
    <t>P1967-01-006-2-10-1002</t>
  </si>
  <si>
    <t>P1967-01-006-2-10-1003</t>
  </si>
  <si>
    <t>P1967-01-006-2-10-1004</t>
  </si>
  <si>
    <t>P1967-01-006-2-11-1101</t>
  </si>
  <si>
    <t>P1967-01-006-2-11-1102</t>
  </si>
  <si>
    <t>P1967-01-006-2-11-1103</t>
  </si>
  <si>
    <t>P1967-01-006-2-11-1104</t>
  </si>
  <si>
    <t>P1967-01-006-2-12-1201</t>
  </si>
  <si>
    <t>P1967-01-006-2-12-1202</t>
  </si>
  <si>
    <t>P1967-01-006-2-12-1203</t>
  </si>
  <si>
    <t>P1967-01-006-2-12-1204</t>
  </si>
  <si>
    <t>P1967-01-006-2-2-201</t>
  </si>
  <si>
    <t>P1967-01-006-2-2-202</t>
  </si>
  <si>
    <t>P1967-01-006-2-2-203</t>
  </si>
  <si>
    <t>P1967-01-006-2-2-204</t>
  </si>
  <si>
    <t>P1967-01-006-2-3-301</t>
  </si>
  <si>
    <t>P1967-01-006-2-3-302</t>
  </si>
  <si>
    <t>P1967-01-006-2-3-303</t>
  </si>
  <si>
    <t>P1967-01-006-2-3-304</t>
  </si>
  <si>
    <t>P1967-01-006-2-4-401</t>
  </si>
  <si>
    <t>P1967-01-006-2-4-402</t>
  </si>
  <si>
    <t>P1967-01-006-2-4-403</t>
  </si>
  <si>
    <t>P1967-01-006-2-4-404</t>
  </si>
  <si>
    <t>P1967-01-006-2-5-501</t>
  </si>
  <si>
    <t>P1967-01-006-2-5-502</t>
  </si>
  <si>
    <t>P1967-01-006-2-5-503</t>
  </si>
  <si>
    <t>P1967-01-006-2-5-504</t>
  </si>
  <si>
    <t>P1967-01-006-2-6-601</t>
  </si>
  <si>
    <t>P1967-01-006-2-6-602</t>
  </si>
  <si>
    <t>P1967-01-006-2-6-603</t>
  </si>
  <si>
    <t>P1967-01-006-2-6-604</t>
  </si>
  <si>
    <t>P1967-01-006-2-7-701</t>
  </si>
  <si>
    <t>P1967-01-006-2-7-702</t>
  </si>
  <si>
    <t>P1967-01-006-2-7-703</t>
  </si>
  <si>
    <t>P1967-01-006-2-7-704</t>
  </si>
  <si>
    <t>P1967-01-006-2-8-801</t>
  </si>
  <si>
    <t>P1967-01-006-2-8-802</t>
  </si>
  <si>
    <t>P1967-01-006-2-8-803</t>
  </si>
  <si>
    <t>P1967-01-006-2-8-804</t>
  </si>
  <si>
    <t>P1967-01-006-2-9-901</t>
  </si>
  <si>
    <t>P1967-01-006-2-9-902</t>
  </si>
  <si>
    <t>P1967-01-006-2-9-903</t>
  </si>
  <si>
    <t>P1967-01-006-2-9-904</t>
  </si>
  <si>
    <t>P1967-01-007-1-1-101</t>
  </si>
  <si>
    <t>6号楼</t>
  </si>
  <si>
    <t>P1967-01-007-1-1-104</t>
  </si>
  <si>
    <t>P1967-01-007-1-10-1001</t>
  </si>
  <si>
    <t>P1967-01-007-1-10-1002</t>
  </si>
  <si>
    <t>P1967-01-007-1-10-1003</t>
  </si>
  <si>
    <t>P1967-01-007-1-10-1004</t>
  </si>
  <si>
    <t>P1967-01-007-1-11-1101</t>
  </si>
  <si>
    <t>P1967-01-007-1-11-1102</t>
  </si>
  <si>
    <t>P1967-01-007-1-11-1103</t>
  </si>
  <si>
    <t>P1967-01-007-1-11-1104</t>
  </si>
  <si>
    <t>P1967-01-007-1-12-1201</t>
  </si>
  <si>
    <t>P1967-01-007-1-12-1202</t>
  </si>
  <si>
    <t>P1967-01-007-1-12-1203</t>
  </si>
  <si>
    <t>P1967-01-007-1-12-1204</t>
  </si>
  <si>
    <t>P1967-01-007-1-2-201</t>
  </si>
  <si>
    <t>P1967-01-007-1-2-202</t>
  </si>
  <si>
    <t>P1967-01-007-1-2-203</t>
  </si>
  <si>
    <t>P1967-01-007-1-2-204</t>
  </si>
  <si>
    <t>P1967-01-007-1-3-301</t>
  </si>
  <si>
    <t>P1967-01-007-1-3-302</t>
  </si>
  <si>
    <t>P1967-01-007-1-3-303</t>
  </si>
  <si>
    <t>P1967-01-007-1-3-304</t>
  </si>
  <si>
    <t>P1967-01-007-1-4-401</t>
  </si>
  <si>
    <t>P1967-01-007-1-4-402</t>
  </si>
  <si>
    <t>P1967-01-007-1-4-403</t>
  </si>
  <si>
    <t>P1967-01-007-1-4-404</t>
  </si>
  <si>
    <t>P1967-01-007-1-5-501</t>
  </si>
  <si>
    <t>P1967-01-007-1-5-502</t>
  </si>
  <si>
    <t>P1967-01-007-1-5-503</t>
  </si>
  <si>
    <t>P1967-01-007-1-5-504</t>
  </si>
  <si>
    <t>P1967-01-007-1-6-601</t>
  </si>
  <si>
    <t>P1967-01-007-1-6-602</t>
  </si>
  <si>
    <t>P1967-01-007-1-6-603</t>
  </si>
  <si>
    <t>P1967-01-007-1-6-604</t>
  </si>
  <si>
    <t>P1967-01-007-1-7-701</t>
  </si>
  <si>
    <t>P1967-01-007-1-7-702</t>
  </si>
  <si>
    <t>P1967-01-007-1-7-703</t>
  </si>
  <si>
    <t>P1967-01-007-1-7-704</t>
  </si>
  <si>
    <t>P1967-01-007-1-8-801</t>
  </si>
  <si>
    <t>P1967-01-007-1-8-802</t>
  </si>
  <si>
    <t>P1967-01-007-1-8-803</t>
  </si>
  <si>
    <t>P1967-01-007-1-8-804</t>
  </si>
  <si>
    <t>P1967-01-007-1-9-901</t>
  </si>
  <si>
    <t>P1967-01-007-1-9-902</t>
  </si>
  <si>
    <t>P1967-01-007-1-9-903</t>
  </si>
  <si>
    <t>P1967-01-007-1-9-904</t>
  </si>
  <si>
    <t>P1967-01-007-2-1-101</t>
  </si>
  <si>
    <t>P1967-01-007-2-10-1001</t>
  </si>
  <si>
    <t>P1967-01-007-2-10-1002</t>
  </si>
  <si>
    <t>P1967-01-007-2-10-1003</t>
  </si>
  <si>
    <t>P1967-01-007-2-10-1004</t>
  </si>
  <si>
    <t>P1967-01-007-2-11-1101</t>
  </si>
  <si>
    <t>P1967-01-007-2-11-1102</t>
  </si>
  <si>
    <t>P1967-01-007-2-11-1103</t>
  </si>
  <si>
    <t>P1967-01-007-2-11-1104</t>
  </si>
  <si>
    <t>P1967-01-007-2-12-1201</t>
  </si>
  <si>
    <t>P1967-01-007-2-12-1202</t>
  </si>
  <si>
    <t>P1967-01-007-2-12-1203</t>
  </si>
  <si>
    <t>P1967-01-007-2-12-1204</t>
  </si>
  <si>
    <t>P1967-01-007-2-2-201</t>
  </si>
  <si>
    <t>P1967-01-007-2-3-301</t>
  </si>
  <si>
    <t>P1967-01-007-2-3-302</t>
  </si>
  <si>
    <t>P1967-01-007-2-3-303</t>
  </si>
  <si>
    <t>P1967-01-007-2-3-304</t>
  </si>
  <si>
    <t>P1967-01-007-2-4-401</t>
  </si>
  <si>
    <t>P1967-01-007-2-4-402</t>
  </si>
  <si>
    <t>P1967-01-007-2-4-403</t>
  </si>
  <si>
    <t>P1967-01-007-2-4-404</t>
  </si>
  <si>
    <t>P1967-01-007-2-5-501</t>
  </si>
  <si>
    <t>P1967-01-007-2-5-502</t>
  </si>
  <si>
    <t>P1967-01-007-2-5-503</t>
  </si>
  <si>
    <t>P1967-01-007-2-5-504</t>
  </si>
  <si>
    <t>P1967-01-007-2-6-601</t>
  </si>
  <si>
    <t>P1967-01-007-2-6-602</t>
  </si>
  <si>
    <t>P1967-01-007-2-6-603</t>
  </si>
  <si>
    <t>P1967-01-007-2-6-604</t>
  </si>
  <si>
    <t>P1967-01-007-2-7-701</t>
  </si>
  <si>
    <t>P1967-01-007-2-7-702</t>
  </si>
  <si>
    <t>P1967-01-007-2-7-703</t>
  </si>
  <si>
    <t>P1967-01-007-2-7-704</t>
  </si>
  <si>
    <t>P1967-01-007-2-8-801</t>
  </si>
  <si>
    <t>P1967-01-007-2-8-802</t>
  </si>
  <si>
    <t>P1967-01-007-2-8-803</t>
  </si>
  <si>
    <t>P1967-01-007-2-8-804</t>
  </si>
  <si>
    <t>P1967-01-007-2-9-901</t>
  </si>
  <si>
    <t>P1967-01-007-2-9-902</t>
  </si>
  <si>
    <t>P1967-01-007-2-9-903</t>
  </si>
  <si>
    <t>P1967-01-007-2-9-904</t>
  </si>
  <si>
    <t>P1967-01-008-1-1-104</t>
  </si>
  <si>
    <t>7号楼</t>
  </si>
  <si>
    <t>P1967-01-008-1-10-1001</t>
  </si>
  <si>
    <t>P1967-01-008-1-10-1002</t>
  </si>
  <si>
    <t>P1967-01-008-1-10-1003</t>
  </si>
  <si>
    <t>P1967-01-008-1-10-1004</t>
  </si>
  <si>
    <t>P1967-01-008-1-11-1101</t>
  </si>
  <si>
    <t>P1967-01-008-1-11-1102</t>
  </si>
  <si>
    <t>P1967-01-008-1-11-1103</t>
  </si>
  <si>
    <t>P1967-01-008-1-11-1104</t>
  </si>
  <si>
    <t>P1967-01-008-1-12-1201</t>
  </si>
  <si>
    <t>P1967-01-008-1-12-1202</t>
  </si>
  <si>
    <t>P1967-01-008-1-12-1203</t>
  </si>
  <si>
    <t>P1967-01-008-1-12-1204</t>
  </si>
  <si>
    <t>P1967-01-008-1-2-201</t>
  </si>
  <si>
    <t>P1967-01-008-1-2-202</t>
  </si>
  <si>
    <t>P1967-01-008-1-2-203</t>
  </si>
  <si>
    <t>P1967-01-008-1-2-204</t>
  </si>
  <si>
    <t>P1967-01-008-1-3-301</t>
  </si>
  <si>
    <t>P1967-01-008-1-3-302</t>
  </si>
  <si>
    <t>P1967-01-008-1-3-303</t>
  </si>
  <si>
    <t>P1967-01-008-1-3-304</t>
  </si>
  <si>
    <t>P1967-01-008-1-4-401</t>
  </si>
  <si>
    <t>P1967-01-008-1-4-402</t>
  </si>
  <si>
    <t>P1967-01-008-1-4-403</t>
  </si>
  <si>
    <t>P1967-01-008-1-4-404</t>
  </si>
  <si>
    <t>P1967-01-008-1-5-501</t>
  </si>
  <si>
    <t>P1967-01-008-1-5-502</t>
  </si>
  <si>
    <t>P1967-01-008-1-5-503</t>
  </si>
  <si>
    <t>P1967-01-008-1-5-504</t>
  </si>
  <si>
    <t>P1967-01-008-1-6-601</t>
  </si>
  <si>
    <t>P1967-01-008-1-6-602</t>
  </si>
  <si>
    <t>P1967-01-008-1-6-603</t>
  </si>
  <si>
    <t>P1967-01-008-1-6-604</t>
  </si>
  <si>
    <t>P1967-01-008-1-7-701</t>
  </si>
  <si>
    <t>P1967-01-008-1-7-702</t>
  </si>
  <si>
    <t>P1967-01-008-1-7-703</t>
  </si>
  <si>
    <t>P1967-01-008-1-7-704</t>
  </si>
  <si>
    <t>P1967-01-008-1-8-801</t>
  </si>
  <si>
    <t>P1967-01-008-1-8-802</t>
  </si>
  <si>
    <t>P1967-01-008-1-8-803</t>
  </si>
  <si>
    <t>P1967-01-008-1-8-804</t>
  </si>
  <si>
    <t>P1967-01-008-1-9-901</t>
  </si>
  <si>
    <t>P1967-01-008-1-9-902</t>
  </si>
  <si>
    <t>P1967-01-008-1-9-903</t>
  </si>
  <si>
    <t>P1967-01-008-1-9-904</t>
  </si>
  <si>
    <t>P1967-01-008-2-10-1001</t>
  </si>
  <si>
    <t>P1967-01-008-2-10-1002</t>
  </si>
  <si>
    <t>P1967-01-008-2-10-1003</t>
  </si>
  <si>
    <t>P1967-01-008-2-10-1004</t>
  </si>
  <si>
    <t>P1967-01-008-2-11-1101</t>
  </si>
  <si>
    <t>P1967-01-008-2-11-1102</t>
  </si>
  <si>
    <t>P1967-01-008-2-11-1103</t>
  </si>
  <si>
    <t>P1967-01-008-2-11-1104</t>
  </si>
  <si>
    <t>P1967-01-008-2-12-1201</t>
  </si>
  <si>
    <t>P1967-01-008-2-12-1202</t>
  </si>
  <si>
    <t>P1967-01-008-2-12-1203</t>
  </si>
  <si>
    <t>P1967-01-008-2-12-1204</t>
  </si>
  <si>
    <t>P1967-01-008-2-2-201</t>
  </si>
  <si>
    <t>P1967-01-008-2-2-202</t>
  </si>
  <si>
    <t>P1967-01-008-2-2-203</t>
  </si>
  <si>
    <t>P1967-01-008-2-2-204</t>
  </si>
  <si>
    <t>P1967-01-008-2-3-301</t>
  </si>
  <si>
    <t>P1967-01-008-2-3-302</t>
  </si>
  <si>
    <t>P1967-01-008-2-3-303</t>
  </si>
  <si>
    <t>P1967-01-008-2-3-304</t>
  </si>
  <si>
    <t>P1967-01-008-2-4-401</t>
  </si>
  <si>
    <t>P1967-01-008-2-4-402</t>
  </si>
  <si>
    <t>P1967-01-008-2-4-403</t>
  </si>
  <si>
    <t>P1967-01-008-2-4-404</t>
  </si>
  <si>
    <t>P1967-01-008-2-5-501</t>
  </si>
  <si>
    <t>P1967-01-008-2-5-502</t>
  </si>
  <si>
    <t>P1967-01-008-2-5-503</t>
  </si>
  <si>
    <t>P1967-01-008-2-5-504</t>
  </si>
  <si>
    <t>P1967-01-008-2-6-601</t>
  </si>
  <si>
    <t>P1967-01-008-2-6-602</t>
  </si>
  <si>
    <t>P1967-01-008-2-6-603</t>
  </si>
  <si>
    <t>P1967-01-008-2-6-604</t>
  </si>
  <si>
    <t>P1967-01-008-2-7-701</t>
  </si>
  <si>
    <t>P1967-01-008-2-7-702</t>
  </si>
  <si>
    <t>P1967-01-008-2-7-703</t>
  </si>
  <si>
    <t>P1967-01-008-2-7-704</t>
  </si>
  <si>
    <t>P1967-01-008-2-8-801</t>
  </si>
  <si>
    <t>P1967-01-008-2-8-802</t>
  </si>
  <si>
    <t>P1967-01-008-2-8-803</t>
  </si>
  <si>
    <t>P1967-01-008-2-8-804</t>
  </si>
  <si>
    <t>P1967-01-008-2-9-901</t>
  </si>
  <si>
    <t>P1967-01-008-2-9-902</t>
  </si>
  <si>
    <t>P1967-01-008-2-9-903</t>
  </si>
  <si>
    <t>P1967-01-008-2-9-904</t>
  </si>
  <si>
    <t>P1967-01-009-1-1-101</t>
  </si>
  <si>
    <t>5号楼</t>
  </si>
  <si>
    <t>P1967-01-009-1-1-102</t>
  </si>
  <si>
    <t>P1967-01-009-1-1-103</t>
  </si>
  <si>
    <t>P1967-01-009-1-10-1001</t>
  </si>
  <si>
    <t>P1967-01-009-1-10-1002</t>
  </si>
  <si>
    <t>P1967-01-009-1-10-1003</t>
  </si>
  <si>
    <t>P1967-01-009-1-10-1004</t>
  </si>
  <si>
    <t>P1967-01-009-1-11-1101</t>
  </si>
  <si>
    <t>P1967-01-009-1-11-1102</t>
  </si>
  <si>
    <t>P1967-01-009-1-11-1103</t>
  </si>
  <si>
    <t>P1967-01-009-1-11-1104</t>
  </si>
  <si>
    <t>P1967-01-009-1-12-1201</t>
  </si>
  <si>
    <t>P1967-01-009-1-12-1202</t>
  </si>
  <si>
    <t>P1967-01-009-1-12-1203</t>
  </si>
  <si>
    <t>P1967-01-009-1-12-1204</t>
  </si>
  <si>
    <t>P1967-01-009-1-2-201</t>
  </si>
  <si>
    <t>P1967-01-009-1-2-202</t>
  </si>
  <si>
    <t>P1967-01-009-1-2-203</t>
  </si>
  <si>
    <t>P1967-01-009-1-2-204</t>
  </si>
  <si>
    <t>P1967-01-009-1-3-301</t>
  </si>
  <si>
    <t>P1967-01-009-1-3-302</t>
  </si>
  <si>
    <t>P1967-01-009-1-3-303</t>
  </si>
  <si>
    <t>P1967-01-009-1-3-304</t>
  </si>
  <si>
    <t>P1967-01-009-1-4-401</t>
  </si>
  <si>
    <t>P1967-01-009-1-4-402</t>
  </si>
  <si>
    <t>P1967-01-009-1-4-403</t>
  </si>
  <si>
    <t>P1967-01-009-1-4-404</t>
  </si>
  <si>
    <t>P1967-01-009-1-5-501</t>
  </si>
  <si>
    <t>P1967-01-009-1-5-502</t>
  </si>
  <si>
    <t>P1967-01-009-1-5-503</t>
  </si>
  <si>
    <t>P1967-01-009-1-5-504</t>
  </si>
  <si>
    <t>P1967-01-009-1-6-601</t>
  </si>
  <si>
    <t>P1967-01-009-1-6-602</t>
  </si>
  <si>
    <t>P1967-01-009-1-6-603</t>
  </si>
  <si>
    <t>P1967-01-009-1-6-604</t>
  </si>
  <si>
    <t>P1967-01-009-1-7-701</t>
  </si>
  <si>
    <t>P1967-01-009-1-7-702</t>
  </si>
  <si>
    <t>P1967-01-009-1-7-703</t>
  </si>
  <si>
    <t>P1967-01-009-1-7-704</t>
  </si>
  <si>
    <t>P1967-01-009-1-8-801</t>
  </si>
  <si>
    <t>P1967-01-009-1-8-802</t>
  </si>
  <si>
    <t>P1967-01-009-1-8-803</t>
  </si>
  <si>
    <t>P1967-01-009-1-8-804</t>
  </si>
  <si>
    <t>P1967-01-009-1-9-901</t>
  </si>
  <si>
    <t>P1967-01-009-1-9-902</t>
  </si>
  <si>
    <t>P1967-01-009-1-9-903</t>
  </si>
  <si>
    <t>P1967-01-009-1-9-904</t>
  </si>
  <si>
    <t>P1967-01-010-1-1-101</t>
  </si>
  <si>
    <t>8号楼</t>
  </si>
  <si>
    <t>P1967-01-010-1-1-102</t>
  </si>
  <si>
    <t>P1967-01-010-1-1-103</t>
  </si>
  <si>
    <t>P1967-01-010-1-1-104</t>
  </si>
  <si>
    <t>P1967-01-010-1-10-1001</t>
  </si>
  <si>
    <t>P1967-01-010-1-10-1002</t>
  </si>
  <si>
    <t>P1967-01-010-1-10-1003</t>
  </si>
  <si>
    <t>P1967-01-010-1-10-1004</t>
  </si>
  <si>
    <t>P1967-01-010-1-11-1101</t>
  </si>
  <si>
    <t>P1967-01-010-1-11-1102</t>
  </si>
  <si>
    <t>P1967-01-010-1-11-1103</t>
  </si>
  <si>
    <t>P1967-01-010-1-11-1104</t>
  </si>
  <si>
    <t>P1967-01-010-1-12-1201</t>
  </si>
  <si>
    <t>P1967-01-010-1-12-1202</t>
  </si>
  <si>
    <t>P1967-01-010-1-12-1203</t>
  </si>
  <si>
    <t>P1967-01-010-1-12-1204</t>
  </si>
  <si>
    <t>P1967-01-010-1-2-201</t>
  </si>
  <si>
    <t>P1967-01-010-1-2-202</t>
  </si>
  <si>
    <t>P1967-01-010-1-2-203</t>
  </si>
  <si>
    <t>P1967-01-010-1-2-204</t>
  </si>
  <si>
    <t>P1967-01-010-1-3-301</t>
  </si>
  <si>
    <t>P1967-01-010-1-3-302</t>
  </si>
  <si>
    <t>P1967-01-010-1-3-303</t>
  </si>
  <si>
    <t>P1967-01-010-1-3-304</t>
  </si>
  <si>
    <t>P1967-01-010-1-4-401</t>
  </si>
  <si>
    <t>P1967-01-010-1-4-402</t>
  </si>
  <si>
    <t>P1967-01-010-1-4-403</t>
  </si>
  <si>
    <t>P1967-01-010-1-4-404</t>
  </si>
  <si>
    <t>P1967-01-010-1-5-501</t>
  </si>
  <si>
    <t>P1967-01-010-1-5-502</t>
  </si>
  <si>
    <t>P1967-01-010-1-5-503</t>
  </si>
  <si>
    <t>P1967-01-010-1-5-504</t>
  </si>
  <si>
    <t>P1967-01-010-1-6-601</t>
  </si>
  <si>
    <t>P1967-01-010-1-6-602</t>
  </si>
  <si>
    <t>P1967-01-010-1-6-603</t>
  </si>
  <si>
    <t>P1967-01-010-1-6-604</t>
  </si>
  <si>
    <t>P1967-01-010-1-7-701</t>
  </si>
  <si>
    <t>P1967-01-010-1-7-702</t>
  </si>
  <si>
    <t>P1967-01-010-1-7-703</t>
  </si>
  <si>
    <t>P1967-01-010-1-7-704</t>
  </si>
  <si>
    <t>P1967-01-010-1-8-801</t>
  </si>
  <si>
    <t>P1967-01-010-1-8-802</t>
  </si>
  <si>
    <t>P1967-01-010-1-8-803</t>
  </si>
  <si>
    <t>P1967-01-010-1-8-804</t>
  </si>
  <si>
    <t>P1967-01-010-1-9-901</t>
  </si>
  <si>
    <t>P1967-01-010-1-9-902</t>
  </si>
  <si>
    <t>P1967-01-010-1-9-903</t>
  </si>
  <si>
    <t>P1967-01-010-1-9-904</t>
  </si>
  <si>
    <t>P1967-02-001-1-10-1001</t>
  </si>
  <si>
    <t>A-04-01/02(乐源95亩)</t>
  </si>
  <si>
    <t>住宅-高层3（60-80米/20-25层）-平层-精装-可售-商品房</t>
  </si>
  <si>
    <t>P1967-02-001-1-10-1002</t>
  </si>
  <si>
    <t>P1967-02-001-1-10-1003</t>
  </si>
  <si>
    <t>P1967-02-001-1-10-1004</t>
  </si>
  <si>
    <t>P1967-02-001-1-10-1005</t>
  </si>
  <si>
    <t>P1967-02-001-1-10-1006</t>
  </si>
  <si>
    <t>P1967-02-001-1-11-1101</t>
  </si>
  <si>
    <t>P1967-02-001-1-11-1102</t>
  </si>
  <si>
    <t>P1967-02-001-1-11-1103</t>
  </si>
  <si>
    <t>P1967-02-001-1-11-1104</t>
  </si>
  <si>
    <t>P1967-02-001-1-11-1105</t>
  </si>
  <si>
    <t>P1967-02-001-1-11-1106</t>
  </si>
  <si>
    <t>P1967-02-001-1-12-1201</t>
  </si>
  <si>
    <t>P1967-02-001-1-12-1202</t>
  </si>
  <si>
    <t>认购</t>
  </si>
  <si>
    <t>P1967-02-001-1-12-1203</t>
  </si>
  <si>
    <t>P1967-02-001-1-12-1204</t>
  </si>
  <si>
    <t>P1967-02-001-1-12-1205</t>
  </si>
  <si>
    <t>P1967-02-001-1-12-1206</t>
  </si>
  <si>
    <t>P1967-02-001-1-13-1301</t>
  </si>
  <si>
    <t>P1967-02-001-1-13-1302</t>
  </si>
  <si>
    <t>P1967-02-001-1-13-1303</t>
  </si>
  <si>
    <t>P1967-02-001-1-13-1304</t>
  </si>
  <si>
    <t>P1967-02-001-1-13-1305</t>
  </si>
  <si>
    <t>P1967-02-001-1-13-1306</t>
  </si>
  <si>
    <t>P1967-02-001-1-14-1401</t>
  </si>
  <si>
    <t>P1967-02-001-1-14-1402</t>
  </si>
  <si>
    <t>P1967-02-001-1-14-1403</t>
  </si>
  <si>
    <t>P1967-02-001-1-14-1404</t>
  </si>
  <si>
    <t>P1967-02-001-1-14-1405</t>
  </si>
  <si>
    <t>P1967-02-001-1-14-1406</t>
  </si>
  <si>
    <t>P1967-02-001-1-15-1501</t>
  </si>
  <si>
    <t>P1967-02-001-1-15-1502</t>
  </si>
  <si>
    <t>P1967-02-001-1-15-1503</t>
  </si>
  <si>
    <t>P1967-02-001-1-15-1504</t>
  </si>
  <si>
    <t>P1967-02-001-1-15-1505</t>
  </si>
  <si>
    <t>P1967-02-001-1-15-1506</t>
  </si>
  <si>
    <t>P1967-02-001-1-16-1601</t>
  </si>
  <si>
    <t>P1967-02-001-1-16-1602</t>
  </si>
  <si>
    <t>P1967-02-001-1-16-1603</t>
  </si>
  <si>
    <t>P1967-02-001-1-16-1604</t>
  </si>
  <si>
    <t>P1967-02-001-1-16-1605</t>
  </si>
  <si>
    <t>P1967-02-001-1-16-1606</t>
  </si>
  <si>
    <t>P1967-02-001-1-17-1701</t>
  </si>
  <si>
    <t>P1967-02-001-1-17-1702</t>
  </si>
  <si>
    <t>P1967-02-001-1-17-1703</t>
  </si>
  <si>
    <t>P1967-02-001-1-17-1704</t>
  </si>
  <si>
    <t>P1967-02-001-1-17-1705</t>
  </si>
  <si>
    <t>P1967-02-001-1-17-1706</t>
  </si>
  <si>
    <t>P1967-02-001-1-18-1801</t>
  </si>
  <si>
    <t>P1967-02-001-1-18-1802</t>
  </si>
  <si>
    <t>P1967-02-001-1-18-1803</t>
  </si>
  <si>
    <t>P1967-02-001-1-18-1804</t>
  </si>
  <si>
    <t>P1967-02-001-1-18-1805</t>
  </si>
  <si>
    <t>P1967-02-001-1-18-1806</t>
  </si>
  <si>
    <t>P1967-02-001-1-19-1901</t>
  </si>
  <si>
    <t>P1967-02-001-1-19-1902</t>
  </si>
  <si>
    <t>P1967-02-001-1-19-1903</t>
  </si>
  <si>
    <t>P1967-02-001-1-19-1904</t>
  </si>
  <si>
    <t>P1967-02-001-1-19-1905</t>
  </si>
  <si>
    <t>P1967-02-001-1-19-1906</t>
  </si>
  <si>
    <t>P1967-02-001-1-2-201</t>
  </si>
  <si>
    <t>P1967-02-001-1-2-202</t>
  </si>
  <si>
    <t>P1967-02-001-1-2-203</t>
  </si>
  <si>
    <t>P1967-02-001-1-2-204</t>
  </si>
  <si>
    <t>P1967-02-001-1-2-205</t>
  </si>
  <si>
    <t>P1967-02-001-1-20-2001</t>
  </si>
  <si>
    <t>P1967-02-001-1-20-2002</t>
  </si>
  <si>
    <t>P1967-02-001-1-20-2003</t>
  </si>
  <si>
    <t>P1967-02-001-1-20-2004</t>
  </si>
  <si>
    <t>P1967-02-001-1-20-2005</t>
  </si>
  <si>
    <t>P1967-02-001-1-20-2006</t>
  </si>
  <si>
    <t>P1967-02-001-1-21-2101</t>
  </si>
  <si>
    <t>P1967-02-001-1-21-2102</t>
  </si>
  <si>
    <t>P1967-02-001-1-21-2103</t>
  </si>
  <si>
    <t>P1967-02-001-1-21-2104</t>
  </si>
  <si>
    <t>P1967-02-001-1-21-2105</t>
  </si>
  <si>
    <t>P1967-02-001-1-21-2106</t>
  </si>
  <si>
    <t>P1967-02-001-1-22-2201</t>
  </si>
  <si>
    <t>P1967-02-001-1-22-2202</t>
  </si>
  <si>
    <t>P1967-02-001-1-22-2203</t>
  </si>
  <si>
    <t>P1967-02-001-1-22-2204</t>
  </si>
  <si>
    <t>P1967-02-001-1-22-2205</t>
  </si>
  <si>
    <t>P1967-02-001-1-22-2206</t>
  </si>
  <si>
    <t>P1967-02-001-1-23-2301</t>
  </si>
  <si>
    <t>P1967-02-001-1-23-2302</t>
  </si>
  <si>
    <t>P1967-02-001-1-23-2303</t>
  </si>
  <si>
    <t>P1967-02-001-1-23-2304</t>
  </si>
  <si>
    <t>P1967-02-001-1-23-2305</t>
  </si>
  <si>
    <t>P1967-02-001-1-23-2306</t>
  </si>
  <si>
    <t>P1967-02-001-1-24-2401</t>
  </si>
  <si>
    <t>P1967-02-001-1-24-2402</t>
  </si>
  <si>
    <t>P1967-02-001-1-24-2403</t>
  </si>
  <si>
    <t>P1967-02-001-1-24-2404</t>
  </si>
  <si>
    <t>P1967-02-001-1-24-2405</t>
  </si>
  <si>
    <t>P1967-02-001-1-24-2406</t>
  </si>
  <si>
    <t>P1967-02-001-1-25-2501</t>
  </si>
  <si>
    <t>P1967-02-001-1-25-2502</t>
  </si>
  <si>
    <t>P1967-02-001-1-25-2503</t>
  </si>
  <si>
    <t>P1967-02-001-1-25-2504</t>
  </si>
  <si>
    <t>P1967-02-001-1-25-2505</t>
  </si>
  <si>
    <t>P1967-02-001-1-25-2506</t>
  </si>
  <si>
    <t>P1967-02-001-1-26-2601</t>
  </si>
  <si>
    <t>P1967-02-001-1-26-2602</t>
  </si>
  <si>
    <t>P1967-02-001-1-26-2603</t>
  </si>
  <si>
    <t>P1967-02-001-1-26-2604</t>
  </si>
  <si>
    <t>P1967-02-001-1-26-2605</t>
  </si>
  <si>
    <t>P1967-02-001-1-26-2606</t>
  </si>
  <si>
    <t>P1967-02-001-1-3-301</t>
  </si>
  <si>
    <t>P1967-02-001-1-3-302</t>
  </si>
  <si>
    <t>P1967-02-001-1-3-303</t>
  </si>
  <si>
    <t>P1967-02-001-1-3-304</t>
  </si>
  <si>
    <t>P1967-02-001-1-3-305</t>
  </si>
  <si>
    <t>P1967-02-001-1-3-306</t>
  </si>
  <si>
    <t>P1967-02-001-1-4-401</t>
  </si>
  <si>
    <t>P1967-02-001-1-4-402</t>
  </si>
  <si>
    <t>P1967-02-001-1-4-403</t>
  </si>
  <si>
    <t>P1967-02-001-1-4-404</t>
  </si>
  <si>
    <t>P1967-02-001-1-4-405</t>
  </si>
  <si>
    <t>P1967-02-001-1-4-406</t>
  </si>
  <si>
    <t>P1967-02-001-1-5-501</t>
  </si>
  <si>
    <t>P1967-02-001-1-5-502</t>
  </si>
  <si>
    <t>P1967-02-001-1-5-503</t>
  </si>
  <si>
    <t>P1967-02-001-1-5-504</t>
  </si>
  <si>
    <t>P1967-02-001-1-5-505</t>
  </si>
  <si>
    <t>P1967-02-001-1-5-506</t>
  </si>
  <si>
    <t>P1967-02-001-1-6-601</t>
  </si>
  <si>
    <t>P1967-02-001-1-6-602</t>
  </si>
  <si>
    <t>P1967-02-001-1-6-603</t>
  </si>
  <si>
    <t>P1967-02-001-1-6-604</t>
  </si>
  <si>
    <t>P1967-02-001-1-6-605</t>
  </si>
  <si>
    <t>P1967-02-001-1-6-606</t>
  </si>
  <si>
    <t>P1967-02-001-1-7-701</t>
  </si>
  <si>
    <t>P1967-02-001-1-7-702</t>
  </si>
  <si>
    <t>P1967-02-001-1-7-703</t>
  </si>
  <si>
    <t>P1967-02-001-1-7-704</t>
  </si>
  <si>
    <t>P1967-02-001-1-7-705</t>
  </si>
  <si>
    <t>P1967-02-001-1-7-706</t>
  </si>
  <si>
    <t>P1967-02-001-1-8-801</t>
  </si>
  <si>
    <t>P1967-02-001-1-8-802</t>
  </si>
  <si>
    <t>P1967-02-001-1-8-803</t>
  </si>
  <si>
    <t>P1967-02-001-1-8-804</t>
  </si>
  <si>
    <t>P1967-02-001-1-8-805</t>
  </si>
  <si>
    <t>P1967-02-001-1-8-806</t>
  </si>
  <si>
    <t>P1967-02-001-1-9-901</t>
  </si>
  <si>
    <t>P1967-02-001-1-9-902</t>
  </si>
  <si>
    <t>P1967-02-001-1-9-903</t>
  </si>
  <si>
    <t>P1967-02-001-1-9-904</t>
  </si>
  <si>
    <t>P1967-02-001-1-9-905</t>
  </si>
  <si>
    <t>P1967-02-001-1-9-906</t>
  </si>
  <si>
    <t>P1967-02-002-1-1-101</t>
  </si>
  <si>
    <t>11号楼</t>
  </si>
  <si>
    <t>住宅-多层（24米以下/≤8层）-叠拼-毛坯-可售-商品房</t>
  </si>
  <si>
    <t>P1967-02-002-1-1-102</t>
  </si>
  <si>
    <t>P1967-02-002-1-1-103</t>
  </si>
  <si>
    <t>P1967-02-002-1-1-104</t>
  </si>
  <si>
    <t>P1967-02-002-1-3-301</t>
  </si>
  <si>
    <t>P1967-02-002-1-3-302</t>
  </si>
  <si>
    <t>P1967-02-002-1-3-303</t>
  </si>
  <si>
    <t>P1967-02-002-1-3-304</t>
  </si>
  <si>
    <t>P1967-02-002-2-1-101</t>
  </si>
  <si>
    <t>P1967-02-002-2-1-102</t>
  </si>
  <si>
    <t>P1967-02-002-2-1-103</t>
  </si>
  <si>
    <t>P1967-02-002-2-1-104</t>
  </si>
  <si>
    <t>P1967-02-002-2-3-301</t>
  </si>
  <si>
    <t>P1967-02-002-2-3-302</t>
  </si>
  <si>
    <t>P1967-02-002-2-3-303</t>
  </si>
  <si>
    <t>P1967-02-002-2-3-304</t>
  </si>
  <si>
    <t>P1967-02-003-1-1-101</t>
  </si>
  <si>
    <t>P1967-02-003-1-1-102</t>
  </si>
  <si>
    <t>P1967-02-003-1-1-104</t>
  </si>
  <si>
    <t>P1967-02-003-1-1-105</t>
  </si>
  <si>
    <t>P1967-02-003-1-10-1001</t>
  </si>
  <si>
    <t>P1967-02-003-1-10-1002</t>
  </si>
  <si>
    <t>P1967-02-003-1-10-1003</t>
  </si>
  <si>
    <t>P1967-02-003-1-10-1004</t>
  </si>
  <si>
    <t>P1967-02-003-1-10-1005</t>
  </si>
  <si>
    <t>P1967-02-003-1-10-1006</t>
  </si>
  <si>
    <t>P1967-02-003-1-11-1101</t>
  </si>
  <si>
    <t>P1967-02-003-1-11-1102</t>
  </si>
  <si>
    <t>P1967-02-003-1-11-1103</t>
  </si>
  <si>
    <t>P1967-02-003-1-11-1104</t>
  </si>
  <si>
    <t>P1967-02-003-1-11-1105</t>
  </si>
  <si>
    <t>P1967-02-003-1-11-1106</t>
  </si>
  <si>
    <t>P1967-02-003-1-12-1201</t>
  </si>
  <si>
    <t>P1967-02-003-1-12-1202</t>
  </si>
  <si>
    <t>P1967-02-003-1-12-1203</t>
  </si>
  <si>
    <t>P1967-02-003-1-12-1204</t>
  </si>
  <si>
    <t>P1967-02-003-1-12-1205</t>
  </si>
  <si>
    <t>P1967-02-003-1-12-1206</t>
  </si>
  <si>
    <t>P1967-02-003-1-13-1301</t>
  </si>
  <si>
    <t>P1967-02-003-1-13-1302</t>
  </si>
  <si>
    <t>P1967-02-003-1-13-1303</t>
  </si>
  <si>
    <t>P1967-02-003-1-13-1304</t>
  </si>
  <si>
    <t>P1967-02-003-1-13-1305</t>
  </si>
  <si>
    <t>P1967-02-003-1-13-1306</t>
  </si>
  <si>
    <t>P1967-02-003-1-14-1401</t>
  </si>
  <si>
    <t>P1967-02-003-1-14-1402</t>
  </si>
  <si>
    <t>P1967-02-003-1-14-1403</t>
  </si>
  <si>
    <t>P1967-02-003-1-14-1404</t>
  </si>
  <si>
    <t>P1967-02-003-1-14-1405</t>
  </si>
  <si>
    <t>P1967-02-003-1-14-1406</t>
  </si>
  <si>
    <t>P1967-02-003-1-15-1501</t>
  </si>
  <si>
    <t>P1967-02-003-1-15-1502</t>
  </si>
  <si>
    <t>P1967-02-003-1-15-1503</t>
  </si>
  <si>
    <t>P1967-02-003-1-15-1504</t>
  </si>
  <si>
    <t>P1967-02-003-1-15-1505</t>
  </si>
  <si>
    <t>P1967-02-003-1-15-1506</t>
  </si>
  <si>
    <t>P1967-02-003-1-16-1601</t>
  </si>
  <si>
    <t>P1967-02-003-1-16-1602</t>
  </si>
  <si>
    <t>P1967-02-003-1-16-1603</t>
  </si>
  <si>
    <t>P1967-02-003-1-16-1604</t>
  </si>
  <si>
    <t>P1967-02-003-1-16-1605</t>
  </si>
  <si>
    <t>P1967-02-003-1-16-1606</t>
  </si>
  <si>
    <t>P1967-02-003-1-17-1701</t>
  </si>
  <si>
    <t>P1967-02-003-1-17-1702</t>
  </si>
  <si>
    <t>P1967-02-003-1-17-1703</t>
  </si>
  <si>
    <t>P1967-02-003-1-17-1704</t>
  </si>
  <si>
    <t>P1967-02-003-1-17-1705</t>
  </si>
  <si>
    <t>P1967-02-003-1-17-1706</t>
  </si>
  <si>
    <t>P1967-02-003-1-18-1801</t>
  </si>
  <si>
    <t>P1967-02-003-1-18-1802</t>
  </si>
  <si>
    <t>P1967-02-003-1-18-1803</t>
  </si>
  <si>
    <t>P1967-02-003-1-18-1804</t>
  </si>
  <si>
    <t>P1967-02-003-1-18-1805</t>
  </si>
  <si>
    <t>P1967-02-003-1-18-1806</t>
  </si>
  <si>
    <t>P1967-02-003-1-19-1901</t>
  </si>
  <si>
    <t>P1967-02-003-1-19-1902</t>
  </si>
  <si>
    <t>P1967-02-003-1-19-1903</t>
  </si>
  <si>
    <t>P1967-02-003-1-19-1904</t>
  </si>
  <si>
    <t>P1967-02-003-1-19-1905</t>
  </si>
  <si>
    <t>P1967-02-003-1-19-1906</t>
  </si>
  <si>
    <t>P1967-02-003-1-2-201</t>
  </si>
  <si>
    <t>P1967-02-003-1-2-202</t>
  </si>
  <si>
    <t>P1967-02-003-1-2-204</t>
  </si>
  <si>
    <t>P1967-02-003-1-2-205</t>
  </si>
  <si>
    <t>P1967-02-003-1-20-2001</t>
  </si>
  <si>
    <t>P1967-02-003-1-20-2002</t>
  </si>
  <si>
    <t>P1967-02-003-1-20-2003</t>
  </si>
  <si>
    <t>P1967-02-003-1-20-2004</t>
  </si>
  <si>
    <t>P1967-02-003-1-20-2005</t>
  </si>
  <si>
    <t>P1967-02-003-1-20-2006</t>
  </si>
  <si>
    <t>P1967-02-003-1-21-2101</t>
  </si>
  <si>
    <t>P1967-02-003-1-21-2102</t>
  </si>
  <si>
    <t>P1967-02-003-1-21-2103</t>
  </si>
  <si>
    <t>P1967-02-003-1-21-2104</t>
  </si>
  <si>
    <t>P1967-02-003-1-21-2105</t>
  </si>
  <si>
    <t>P1967-02-003-1-21-2106</t>
  </si>
  <si>
    <t>P1967-02-003-1-22-2201</t>
  </si>
  <si>
    <t>P1967-02-003-1-22-2202</t>
  </si>
  <si>
    <t>P1967-02-003-1-22-2203</t>
  </si>
  <si>
    <t>P1967-02-003-1-22-2204</t>
  </si>
  <si>
    <t>P1967-02-003-1-22-2205</t>
  </si>
  <si>
    <t>P1967-02-003-1-22-2206</t>
  </si>
  <si>
    <t>P1967-02-003-1-23-2301</t>
  </si>
  <si>
    <t>P1967-02-003-1-23-2302</t>
  </si>
  <si>
    <t>P1967-02-003-1-23-2303</t>
  </si>
  <si>
    <t>P1967-02-003-1-23-2304</t>
  </si>
  <si>
    <t>P1967-02-003-1-23-2305</t>
  </si>
  <si>
    <t>P1967-02-003-1-23-2306</t>
  </si>
  <si>
    <t>P1967-02-003-1-24-2401</t>
  </si>
  <si>
    <t>P1967-02-003-1-24-2402</t>
  </si>
  <si>
    <t>P1967-02-003-1-24-2403</t>
  </si>
  <si>
    <t>P1967-02-003-1-24-2404</t>
  </si>
  <si>
    <t>P1967-02-003-1-24-2405</t>
  </si>
  <si>
    <t>P1967-02-003-1-24-2406</t>
  </si>
  <si>
    <t>P1967-02-003-1-25-2501</t>
  </si>
  <si>
    <t>P1967-02-003-1-25-2502</t>
  </si>
  <si>
    <t>P1967-02-003-1-25-2503</t>
  </si>
  <si>
    <t>P1967-02-003-1-25-2504</t>
  </si>
  <si>
    <t>P1967-02-003-1-25-2505</t>
  </si>
  <si>
    <t>P1967-02-003-1-25-2506</t>
  </si>
  <si>
    <t>P1967-02-003-1-26-2601</t>
  </si>
  <si>
    <t>P1967-02-003-1-26-2602</t>
  </si>
  <si>
    <t>P1967-02-003-1-26-2603</t>
  </si>
  <si>
    <t>P1967-02-003-1-26-2604</t>
  </si>
  <si>
    <t>P1967-02-003-1-26-2605</t>
  </si>
  <si>
    <t>P1967-02-003-1-26-2606</t>
  </si>
  <si>
    <t>P1967-02-003-1-3-301</t>
  </si>
  <si>
    <t>P1967-02-003-1-3-302</t>
  </si>
  <si>
    <t>P1967-02-003-1-3-303</t>
  </si>
  <si>
    <t>P1967-02-003-1-3-304</t>
  </si>
  <si>
    <t>P1967-02-003-1-3-305</t>
  </si>
  <si>
    <t>P1967-02-003-1-3-306</t>
  </si>
  <si>
    <t>P1967-02-003-1-4-401</t>
  </si>
  <si>
    <t>P1967-02-003-1-4-402</t>
  </si>
  <si>
    <t>P1967-02-003-1-4-403</t>
  </si>
  <si>
    <t>P1967-02-003-1-4-404</t>
  </si>
  <si>
    <t>P1967-02-003-1-4-405</t>
  </si>
  <si>
    <t>P1967-02-003-1-4-406</t>
  </si>
  <si>
    <t>P1967-02-003-1-5-501</t>
  </si>
  <si>
    <t>P1967-02-003-1-5-502</t>
  </si>
  <si>
    <t>P1967-02-003-1-5-503</t>
  </si>
  <si>
    <t>P1967-02-003-1-5-504</t>
  </si>
  <si>
    <t>P1967-02-003-1-5-505</t>
  </si>
  <si>
    <t>P1967-02-003-1-5-506</t>
  </si>
  <si>
    <t>P1967-02-003-1-6-601</t>
  </si>
  <si>
    <t>P1967-02-003-1-6-602</t>
  </si>
  <si>
    <t>P1967-02-003-1-6-603</t>
  </si>
  <si>
    <t>P1967-02-003-1-6-604</t>
  </si>
  <si>
    <t>P1967-02-003-1-6-605</t>
  </si>
  <si>
    <t>P1967-02-003-1-6-606</t>
  </si>
  <si>
    <t>P1967-02-003-1-7-701</t>
  </si>
  <si>
    <t>P1967-02-003-1-7-702</t>
  </si>
  <si>
    <t>P1967-02-003-1-7-703</t>
  </si>
  <si>
    <t>P1967-02-003-1-7-704</t>
  </si>
  <si>
    <t>P1967-02-003-1-7-705</t>
  </si>
  <si>
    <t>P1967-02-003-1-7-706</t>
  </si>
  <si>
    <t>P1967-02-003-1-8-801</t>
  </si>
  <si>
    <t>P1967-02-003-1-8-802</t>
  </si>
  <si>
    <t>P1967-02-003-1-8-803</t>
  </si>
  <si>
    <t>P1967-02-003-1-8-804</t>
  </si>
  <si>
    <t>P1967-02-003-1-8-805</t>
  </si>
  <si>
    <t>P1967-02-003-1-8-806</t>
  </si>
  <si>
    <t>P1967-02-003-1-9-901</t>
  </si>
  <si>
    <t>P1967-02-003-1-9-902</t>
  </si>
  <si>
    <t>P1967-02-003-1-9-903</t>
  </si>
  <si>
    <t>P1967-02-003-1-9-904</t>
  </si>
  <si>
    <t>P1967-02-003-1-9-905</t>
  </si>
  <si>
    <t>P1967-02-003-1-9-906</t>
  </si>
  <si>
    <t>P1967-02-008-1-1-102</t>
  </si>
  <si>
    <t>P1967-02-008-1-1-103</t>
  </si>
  <si>
    <t>P1967-02-008-1-1-105</t>
  </si>
  <si>
    <t>P1967-02-008-1-1-106</t>
  </si>
  <si>
    <t>P1967-02-008-1-10-1001</t>
  </si>
  <si>
    <t>P1967-02-008-1-10-1002</t>
  </si>
  <si>
    <t>P1967-02-008-1-10-1003</t>
  </si>
  <si>
    <t>P1967-02-008-1-10-1004</t>
  </si>
  <si>
    <t>P1967-02-008-1-10-1005</t>
  </si>
  <si>
    <t>P1967-02-008-1-10-1006</t>
  </si>
  <si>
    <t>P1967-02-008-1-11-1101</t>
  </si>
  <si>
    <t>P1967-02-008-1-11-1102</t>
  </si>
  <si>
    <t>P1967-02-008-1-11-1103</t>
  </si>
  <si>
    <t>P1967-02-008-1-11-1104</t>
  </si>
  <si>
    <t>P1967-02-008-1-11-1105</t>
  </si>
  <si>
    <t>P1967-02-008-1-11-1106</t>
  </si>
  <si>
    <t>P1967-02-008-1-12-1201</t>
  </si>
  <si>
    <t>P1967-02-008-1-12-1202</t>
  </si>
  <si>
    <t>P1967-02-008-1-12-1203</t>
  </si>
  <si>
    <t>P1967-02-008-1-12-1204</t>
  </si>
  <si>
    <t>P1967-02-008-1-12-1205</t>
  </si>
  <si>
    <t>P1967-02-008-1-12-1206</t>
  </si>
  <si>
    <t>P1967-02-008-1-13-1301</t>
  </si>
  <si>
    <t>P1967-02-008-1-13-1302</t>
  </si>
  <si>
    <t>P1967-02-008-1-13-1303</t>
  </si>
  <si>
    <t>P1967-02-008-1-13-1304</t>
  </si>
  <si>
    <t>P1967-02-008-1-13-1305</t>
  </si>
  <si>
    <t>P1967-02-008-1-13-1306</t>
  </si>
  <si>
    <t>P1967-02-008-1-14-1401</t>
  </si>
  <si>
    <t>P1967-02-008-1-14-1402</t>
  </si>
  <si>
    <t>P1967-02-008-1-14-1403</t>
  </si>
  <si>
    <t>P1967-02-008-1-14-1404</t>
  </si>
  <si>
    <t>P1967-02-008-1-14-1405</t>
  </si>
  <si>
    <t>P1967-02-008-1-14-1406</t>
  </si>
  <si>
    <t>P1967-02-008-1-15-1501</t>
  </si>
  <si>
    <t>P1967-02-008-1-15-1502</t>
  </si>
  <si>
    <t>P1967-02-008-1-15-1503</t>
  </si>
  <si>
    <t>P1967-02-008-1-15-1504</t>
  </si>
  <si>
    <t>P1967-02-008-1-15-1505</t>
  </si>
  <si>
    <t>P1967-02-008-1-15-1506</t>
  </si>
  <si>
    <t>P1967-02-008-1-16-1601</t>
  </si>
  <si>
    <t>P1967-02-008-1-16-1602</t>
  </si>
  <si>
    <t>P1967-02-008-1-16-1603</t>
  </si>
  <si>
    <t>P1967-02-008-1-16-1604</t>
  </si>
  <si>
    <t>P1967-02-008-1-16-1605</t>
  </si>
  <si>
    <t>P1967-02-008-1-16-1606</t>
  </si>
  <si>
    <t>P1967-02-008-1-17-1701</t>
  </si>
  <si>
    <t>P1967-02-008-1-17-1702</t>
  </si>
  <si>
    <t>P1967-02-008-1-17-1703</t>
  </si>
  <si>
    <t>P1967-02-008-1-17-1704</t>
  </si>
  <si>
    <t>P1967-02-008-1-17-1705</t>
  </si>
  <si>
    <t>P1967-02-008-1-17-1706</t>
  </si>
  <si>
    <t>P1967-02-008-1-18-1801</t>
  </si>
  <si>
    <t>P1967-02-008-1-18-1802</t>
  </si>
  <si>
    <t>P1967-02-008-1-18-1803</t>
  </si>
  <si>
    <t>P1967-02-008-1-18-1804</t>
  </si>
  <si>
    <t>P1967-02-008-1-18-1805</t>
  </si>
  <si>
    <t>P1967-02-008-1-18-1806</t>
  </si>
  <si>
    <t>P1967-02-008-1-19-1901</t>
  </si>
  <si>
    <t>P1967-02-008-1-19-1902</t>
  </si>
  <si>
    <t>P1967-02-008-1-19-1903</t>
  </si>
  <si>
    <t>P1967-02-008-1-19-1904</t>
  </si>
  <si>
    <t>P1967-02-008-1-19-1905</t>
  </si>
  <si>
    <t>P1967-02-008-1-19-1906</t>
  </si>
  <si>
    <t>P1967-02-008-1-2-202</t>
  </si>
  <si>
    <t>P1967-02-008-1-2-203</t>
  </si>
  <si>
    <t>P1967-02-008-1-2-205</t>
  </si>
  <si>
    <t>P1967-02-008-1-2-206</t>
  </si>
  <si>
    <t>P1967-02-008-1-20-2001</t>
  </si>
  <si>
    <t>P1967-02-008-1-20-2002</t>
  </si>
  <si>
    <t>P1967-02-008-1-20-2003</t>
  </si>
  <si>
    <t>P1967-02-008-1-20-2004</t>
  </si>
  <si>
    <t>P1967-02-008-1-20-2005</t>
  </si>
  <si>
    <t>P1967-02-008-1-20-2006</t>
  </si>
  <si>
    <t>P1967-02-008-1-21-2101</t>
  </si>
  <si>
    <t>P1967-02-008-1-21-2102</t>
  </si>
  <si>
    <t>P1967-02-008-1-21-2103</t>
  </si>
  <si>
    <t>P1967-02-008-1-21-2104</t>
  </si>
  <si>
    <t>P1967-02-008-1-21-2105</t>
  </si>
  <si>
    <t>P1967-02-008-1-21-2106</t>
  </si>
  <si>
    <t>P1967-02-008-1-22-2201</t>
  </si>
  <si>
    <t>P1967-02-008-1-22-2202</t>
  </si>
  <si>
    <t>P1967-02-008-1-22-2203</t>
  </si>
  <si>
    <t>P1967-02-008-1-22-2204</t>
  </si>
  <si>
    <t>P1967-02-008-1-22-2205</t>
  </si>
  <si>
    <t>P1967-02-008-1-22-2206</t>
  </si>
  <si>
    <t>P1967-02-008-1-23-2301</t>
  </si>
  <si>
    <t>P1967-02-008-1-23-2302</t>
  </si>
  <si>
    <t>P1967-02-008-1-23-2303</t>
  </si>
  <si>
    <t>P1967-02-008-1-23-2304</t>
  </si>
  <si>
    <t>P1967-02-008-1-23-2305</t>
  </si>
  <si>
    <t>P1967-02-008-1-23-2306</t>
  </si>
  <si>
    <t>P1967-02-008-1-24-2401</t>
  </si>
  <si>
    <t>P1967-02-008-1-24-2402</t>
  </si>
  <si>
    <t>P1967-02-008-1-24-2403</t>
  </si>
  <si>
    <t>P1967-02-008-1-24-2404</t>
  </si>
  <si>
    <t>P1967-02-008-1-24-2405</t>
  </si>
  <si>
    <t>P1967-02-008-1-24-2406</t>
  </si>
  <si>
    <t>P1967-02-008-1-25-2501</t>
  </si>
  <si>
    <t>P1967-02-008-1-25-2502</t>
  </si>
  <si>
    <t>P1967-02-008-1-25-2503</t>
  </si>
  <si>
    <t>P1967-02-008-1-25-2504</t>
  </si>
  <si>
    <t>P1967-02-008-1-25-2505</t>
  </si>
  <si>
    <t>P1967-02-008-1-25-2506</t>
  </si>
  <si>
    <t>P1967-02-008-1-26-2601</t>
  </si>
  <si>
    <t>P1967-02-008-1-26-2602</t>
  </si>
  <si>
    <t>P1967-02-008-1-26-2603</t>
  </si>
  <si>
    <t>P1967-02-008-1-26-2604</t>
  </si>
  <si>
    <t>P1967-02-008-1-26-2605</t>
  </si>
  <si>
    <t>P1967-02-008-1-26-2606</t>
  </si>
  <si>
    <t>P1967-02-008-1-3-301</t>
  </si>
  <si>
    <t>P1967-02-008-1-3-302</t>
  </si>
  <si>
    <t>P1967-02-008-1-3-303</t>
  </si>
  <si>
    <t>P1967-02-008-1-3-304</t>
  </si>
  <si>
    <t>P1967-02-008-1-3-305</t>
  </si>
  <si>
    <t>P1967-02-008-1-3-306</t>
  </si>
  <si>
    <t>P1967-02-008-1-4-401</t>
  </si>
  <si>
    <t>P1967-02-008-1-4-402</t>
  </si>
  <si>
    <t>P1967-02-008-1-4-403</t>
  </si>
  <si>
    <t>P1967-02-008-1-4-404</t>
  </si>
  <si>
    <t>P1967-02-008-1-4-405</t>
  </si>
  <si>
    <t>P1967-02-008-1-4-406</t>
  </si>
  <si>
    <t>P1967-02-008-1-5-501</t>
  </si>
  <si>
    <t>P1967-02-008-1-5-502</t>
  </si>
  <si>
    <t>P1967-02-008-1-5-503</t>
  </si>
  <si>
    <t>P1967-02-008-1-5-504</t>
  </si>
  <si>
    <t>P1967-02-008-1-5-505</t>
  </si>
  <si>
    <t>P1967-02-008-1-5-506</t>
  </si>
  <si>
    <t>P1967-02-008-1-6-601</t>
  </si>
  <si>
    <t>P1967-02-008-1-6-602</t>
  </si>
  <si>
    <t>P1967-02-008-1-6-603</t>
  </si>
  <si>
    <t>P1967-02-008-1-6-604</t>
  </si>
  <si>
    <t>P1967-02-008-1-6-605</t>
  </si>
  <si>
    <t>P1967-02-008-1-6-606</t>
  </si>
  <si>
    <t>P1967-02-008-1-7-701</t>
  </si>
  <si>
    <t>P1967-02-008-1-7-702</t>
  </si>
  <si>
    <t>P1967-02-008-1-7-703</t>
  </si>
  <si>
    <t>P1967-02-008-1-7-704</t>
  </si>
  <si>
    <t>P1967-02-008-1-7-705</t>
  </si>
  <si>
    <t>P1967-02-008-1-7-706</t>
  </si>
  <si>
    <t>P1967-02-008-1-8-801</t>
  </si>
  <si>
    <t>P1967-02-008-1-8-802</t>
  </si>
  <si>
    <t>P1967-02-008-1-8-803</t>
  </si>
  <si>
    <t>P1967-02-008-1-8-804</t>
  </si>
  <si>
    <t>P1967-02-008-1-8-805</t>
  </si>
  <si>
    <t>P1967-02-008-1-8-806</t>
  </si>
  <si>
    <t>P1967-02-008-1-9-901</t>
  </si>
  <si>
    <t>P1967-02-008-1-9-902</t>
  </si>
  <si>
    <t>P1967-02-008-1-9-903</t>
  </si>
  <si>
    <t>P1967-02-008-1-9-904</t>
  </si>
  <si>
    <t>P1967-02-008-1-9-905</t>
  </si>
  <si>
    <t>P1967-02-008-1-9-906</t>
  </si>
  <si>
    <t>P1967-02-009-1-10-1001</t>
  </si>
  <si>
    <t>P1967-02-009-1-10-1002</t>
  </si>
  <si>
    <t>P1967-02-009-1-10-1003</t>
  </si>
  <si>
    <t>P1967-02-009-1-10-1004</t>
  </si>
  <si>
    <t>P1967-02-009-1-10-1005</t>
  </si>
  <si>
    <t>P1967-02-009-1-10-1006</t>
  </si>
  <si>
    <t>P1967-02-009-1-11-1101</t>
  </si>
  <si>
    <t>P1967-02-009-1-11-1102</t>
  </si>
  <si>
    <t>线下合同</t>
  </si>
  <si>
    <t>P1967-02-009-1-11-1103</t>
  </si>
  <si>
    <t>P1967-02-009-1-11-1104</t>
  </si>
  <si>
    <t>P1967-02-009-1-11-1105</t>
  </si>
  <si>
    <t>P1967-02-009-1-11-1106</t>
  </si>
  <si>
    <t>P1967-02-009-1-12-1201</t>
  </si>
  <si>
    <t>P1967-02-009-1-12-1202</t>
  </si>
  <si>
    <t>P1967-02-009-1-12-1203</t>
  </si>
  <si>
    <t>P1967-02-009-1-12-1204</t>
  </si>
  <si>
    <t>P1967-02-009-1-12-1205</t>
  </si>
  <si>
    <t>P1967-02-009-1-12-1206</t>
  </si>
  <si>
    <t>P1967-02-009-1-13-1301</t>
  </si>
  <si>
    <t>P1967-02-009-1-13-1302</t>
  </si>
  <si>
    <t>P1967-02-009-1-13-1303</t>
  </si>
  <si>
    <t>P1967-02-009-1-13-1304</t>
  </si>
  <si>
    <t>P1967-02-009-1-13-1305</t>
  </si>
  <si>
    <t>P1967-02-009-1-13-1306</t>
  </si>
  <si>
    <t>P1967-02-009-1-14-1401</t>
  </si>
  <si>
    <t>P1967-02-009-1-14-1402</t>
  </si>
  <si>
    <t>P1967-02-009-1-14-1403</t>
  </si>
  <si>
    <t>P1967-02-009-1-14-1404</t>
  </si>
  <si>
    <t>P1967-02-009-1-14-1405</t>
  </si>
  <si>
    <t>P1967-02-009-1-14-1406</t>
  </si>
  <si>
    <t>P1967-02-009-1-15-1501</t>
  </si>
  <si>
    <t>P1967-02-009-1-15-1502</t>
  </si>
  <si>
    <t>P1967-02-009-1-15-1503</t>
  </si>
  <si>
    <t>P1967-02-009-1-15-1504</t>
  </si>
  <si>
    <t>P1967-02-009-1-15-1505</t>
  </si>
  <si>
    <t>P1967-02-009-1-15-1506</t>
  </si>
  <si>
    <t>P1967-02-009-1-16-1601</t>
  </si>
  <si>
    <t>P1967-02-009-1-16-1602</t>
  </si>
  <si>
    <t>P1967-02-009-1-16-1603</t>
  </si>
  <si>
    <t>P1967-02-009-1-16-1604</t>
  </si>
  <si>
    <t>P1967-02-009-1-16-1605</t>
  </si>
  <si>
    <t>P1967-02-009-1-16-1606</t>
  </si>
  <si>
    <t>P1967-02-009-1-17-1701</t>
  </si>
  <si>
    <t>P1967-02-009-1-17-1702</t>
  </si>
  <si>
    <t>P1967-02-009-1-17-1703</t>
  </si>
  <si>
    <t>P1967-02-009-1-17-1704</t>
  </si>
  <si>
    <t>P1967-02-009-1-17-1705</t>
  </si>
  <si>
    <t>P1967-02-009-1-17-1706</t>
  </si>
  <si>
    <t>P1967-02-009-1-18-1801</t>
  </si>
  <si>
    <t>P1967-02-009-1-18-1802</t>
  </si>
  <si>
    <t>P1967-02-009-1-18-1803</t>
  </si>
  <si>
    <t>P1967-02-009-1-18-1804</t>
  </si>
  <si>
    <t>P1967-02-009-1-18-1805</t>
  </si>
  <si>
    <t>P1967-02-009-1-18-1806</t>
  </si>
  <si>
    <t>P1967-02-009-1-19-1901</t>
  </si>
  <si>
    <t>P1967-02-009-1-19-1902</t>
  </si>
  <si>
    <t>P1967-02-009-1-19-1903</t>
  </si>
  <si>
    <t>P1967-02-009-1-19-1904</t>
  </si>
  <si>
    <t>P1967-02-009-1-19-1905</t>
  </si>
  <si>
    <t>P1967-02-009-1-19-1906</t>
  </si>
  <si>
    <t>P1967-02-009-1-2-201</t>
  </si>
  <si>
    <t>P1967-02-009-1-2-202</t>
  </si>
  <si>
    <t>P1967-02-009-1-2-204</t>
  </si>
  <si>
    <t>P1967-02-009-1-2-205</t>
  </si>
  <si>
    <t>P1967-02-009-1-20-2001</t>
  </si>
  <si>
    <t>P1967-02-009-1-20-2002</t>
  </si>
  <si>
    <t>P1967-02-009-1-20-2003</t>
  </si>
  <si>
    <t>P1967-02-009-1-20-2004</t>
  </si>
  <si>
    <t>P1967-02-009-1-20-2005</t>
  </si>
  <si>
    <t>P1967-02-009-1-20-2006</t>
  </si>
  <si>
    <t>P1967-02-009-1-21-2101</t>
  </si>
  <si>
    <t>P1967-02-009-1-21-2102</t>
  </si>
  <si>
    <t>P1967-02-009-1-21-2103</t>
  </si>
  <si>
    <t>P1967-02-009-1-21-2104</t>
  </si>
  <si>
    <t>P1967-02-009-1-21-2105</t>
  </si>
  <si>
    <t>P1967-02-009-1-21-2106</t>
  </si>
  <si>
    <t>P1967-02-009-1-22-2201</t>
  </si>
  <si>
    <t>P1967-02-009-1-22-2202</t>
  </si>
  <si>
    <t>P1967-02-009-1-22-2203</t>
  </si>
  <si>
    <t>P1967-02-009-1-22-2204</t>
  </si>
  <si>
    <t>P1967-02-009-1-22-2205</t>
  </si>
  <si>
    <t>P1967-02-009-1-22-2206</t>
  </si>
  <si>
    <t>P1967-02-009-1-23-2301</t>
  </si>
  <si>
    <t>P1967-02-009-1-23-2302</t>
  </si>
  <si>
    <t>P1967-02-009-1-23-2303</t>
  </si>
  <si>
    <t>P1967-02-009-1-23-2304</t>
  </si>
  <si>
    <t>P1967-02-009-1-23-2305</t>
  </si>
  <si>
    <t>P1967-02-009-1-23-2306</t>
  </si>
  <si>
    <t>P1967-02-009-1-24-2401</t>
  </si>
  <si>
    <t>P1967-02-009-1-24-2402</t>
  </si>
  <si>
    <t>P1967-02-009-1-24-2403</t>
  </si>
  <si>
    <t>P1967-02-009-1-24-2404</t>
  </si>
  <si>
    <t>P1967-02-009-1-24-2405</t>
  </si>
  <si>
    <t>P1967-02-009-1-24-2406</t>
  </si>
  <si>
    <t>P1967-02-009-1-25-2501</t>
  </si>
  <si>
    <t>P1967-02-009-1-25-2502</t>
  </si>
  <si>
    <t>P1967-02-009-1-25-2503</t>
  </si>
  <si>
    <t>P1967-02-009-1-25-2504</t>
  </si>
  <si>
    <t>P1967-02-009-1-25-2505</t>
  </si>
  <si>
    <t>P1967-02-009-1-25-2506</t>
  </si>
  <si>
    <t>P1967-02-009-1-3-301</t>
  </si>
  <si>
    <t>P1967-02-009-1-3-302</t>
  </si>
  <si>
    <t>P1967-02-009-1-3-303</t>
  </si>
  <si>
    <t>P1967-02-009-1-3-304</t>
  </si>
  <si>
    <t>P1967-02-009-1-3-305</t>
  </si>
  <si>
    <t>P1967-02-009-1-3-306</t>
  </si>
  <si>
    <t>P1967-02-009-1-4-401</t>
  </si>
  <si>
    <t>P1967-02-009-1-4-402</t>
  </si>
  <si>
    <t>P1967-02-009-1-4-403</t>
  </si>
  <si>
    <t>P1967-02-009-1-4-404</t>
  </si>
  <si>
    <t>P1967-02-009-1-4-405</t>
  </si>
  <si>
    <t>P1967-02-009-1-4-406</t>
  </si>
  <si>
    <t>P1967-02-009-1-5-501</t>
  </si>
  <si>
    <t>P1967-02-009-1-5-502</t>
  </si>
  <si>
    <t>P1967-02-009-1-5-503</t>
  </si>
  <si>
    <t>P1967-02-009-1-5-504</t>
  </si>
  <si>
    <t>P1967-02-009-1-5-505</t>
  </si>
  <si>
    <t>P1967-02-009-1-5-506</t>
  </si>
  <si>
    <t>P1967-02-009-1-6-601</t>
  </si>
  <si>
    <t>P1967-02-009-1-6-602</t>
  </si>
  <si>
    <t>P1967-02-009-1-6-603</t>
  </si>
  <si>
    <t>P1967-02-009-1-6-604</t>
  </si>
  <si>
    <t>P1967-02-009-1-6-605</t>
  </si>
  <si>
    <t>P1967-02-009-1-6-606</t>
  </si>
  <si>
    <t>P1967-02-009-1-7-701</t>
  </si>
  <si>
    <t>P1967-02-009-1-7-702</t>
  </si>
  <si>
    <t>P1967-02-009-1-7-703</t>
  </si>
  <si>
    <t>P1967-02-009-1-7-704</t>
  </si>
  <si>
    <t>P1967-02-009-1-7-705</t>
  </si>
  <si>
    <t>P1967-02-009-1-7-706</t>
  </si>
  <si>
    <t>P1967-02-009-1-8-801</t>
  </si>
  <si>
    <t>P1967-02-009-1-8-802</t>
  </si>
  <si>
    <t>P1967-02-009-1-8-803</t>
  </si>
  <si>
    <t>P1967-02-009-1-8-804</t>
  </si>
  <si>
    <t>P1967-02-009-1-8-805</t>
  </si>
  <si>
    <t>P1967-02-009-1-8-806</t>
  </si>
  <si>
    <t>P1967-02-009-1-9-901</t>
  </si>
  <si>
    <t>P1967-02-009-1-9-902</t>
  </si>
  <si>
    <t>P1967-02-009-1-9-903</t>
  </si>
  <si>
    <t>P1967-02-009-1-9-904</t>
  </si>
  <si>
    <t>P1967-02-009-1-9-905</t>
  </si>
  <si>
    <t>P1967-02-009-1-9-906</t>
  </si>
  <si>
    <t>P1967-02-010-1-1-102</t>
  </si>
  <si>
    <t>P1967-02-010-1-1-103</t>
  </si>
  <si>
    <t>P1967-02-010-1-1-106</t>
  </si>
  <si>
    <t>P1967-02-010-1-10-1001</t>
  </si>
  <si>
    <t>P1967-02-010-1-10-1002</t>
  </si>
  <si>
    <t>P1967-02-010-1-10-1003</t>
  </si>
  <si>
    <t>P1967-02-010-1-10-1004</t>
  </si>
  <si>
    <t>P1967-02-010-1-10-1005</t>
  </si>
  <si>
    <t>P1967-02-010-1-10-1006</t>
  </si>
  <si>
    <t>P1967-02-010-1-11-1101</t>
  </si>
  <si>
    <t>P1967-02-010-1-11-1102</t>
  </si>
  <si>
    <t>P1967-02-010-1-11-1103</t>
  </si>
  <si>
    <t>P1967-02-010-1-11-1104</t>
  </si>
  <si>
    <t>P1967-02-010-1-11-1105</t>
  </si>
  <si>
    <t>P1967-02-010-1-11-1106</t>
  </si>
  <si>
    <t>P1967-02-010-1-12-1201</t>
  </si>
  <si>
    <t>P1967-02-010-1-12-1202</t>
  </si>
  <si>
    <t>P1967-02-010-1-12-1203</t>
  </si>
  <si>
    <t>P1967-02-010-1-12-1204</t>
  </si>
  <si>
    <t>P1967-02-010-1-12-1205</t>
  </si>
  <si>
    <t>P1967-02-010-1-12-1206</t>
  </si>
  <si>
    <t>P1967-02-010-1-13-1301</t>
  </si>
  <si>
    <t>P1967-02-010-1-13-1302</t>
  </si>
  <si>
    <t>P1967-02-010-1-13-1303</t>
  </si>
  <si>
    <t>P1967-02-010-1-13-1304</t>
  </si>
  <si>
    <t>P1967-02-010-1-13-1305</t>
  </si>
  <si>
    <t>P1967-02-010-1-13-1306</t>
  </si>
  <si>
    <t>P1967-02-010-1-14-1401</t>
  </si>
  <si>
    <t>P1967-02-010-1-14-1402</t>
  </si>
  <si>
    <t>P1967-02-010-1-14-1403</t>
  </si>
  <si>
    <t>P1967-02-010-1-14-1404</t>
  </si>
  <si>
    <t>P1967-02-010-1-14-1405</t>
  </si>
  <si>
    <t>P1967-02-010-1-14-1406</t>
  </si>
  <si>
    <t>P1967-02-010-1-15-1501</t>
  </si>
  <si>
    <t>P1967-02-010-1-15-1502</t>
  </si>
  <si>
    <t>P1967-02-010-1-15-1503</t>
  </si>
  <si>
    <t>P1967-02-010-1-15-1504</t>
  </si>
  <si>
    <t>P1967-02-010-1-15-1505</t>
  </si>
  <si>
    <t>P1967-02-010-1-15-1506</t>
  </si>
  <si>
    <t>P1967-02-010-1-16-1601</t>
  </si>
  <si>
    <t>P1967-02-010-1-16-1602</t>
  </si>
  <si>
    <t>P1967-02-010-1-16-1603</t>
  </si>
  <si>
    <t>P1967-02-010-1-16-1604</t>
  </si>
  <si>
    <t>P1967-02-010-1-16-1605</t>
  </si>
  <si>
    <t>P1967-02-010-1-16-1606</t>
  </si>
  <si>
    <t>P1967-02-010-1-17-1701</t>
  </si>
  <si>
    <t>P1967-02-010-1-17-1702</t>
  </si>
  <si>
    <t>P1967-02-010-1-17-1703</t>
  </si>
  <si>
    <t>P1967-02-010-1-17-1704</t>
  </si>
  <si>
    <t>P1967-02-010-1-17-1705</t>
  </si>
  <si>
    <t>P1967-02-010-1-17-1706</t>
  </si>
  <si>
    <t>P1967-02-010-1-18-1801</t>
  </si>
  <si>
    <t>P1967-02-010-1-18-1802</t>
  </si>
  <si>
    <t>P1967-02-010-1-18-1803</t>
  </si>
  <si>
    <t>P1967-02-010-1-18-1804</t>
  </si>
  <si>
    <t>P1967-02-010-1-18-1805</t>
  </si>
  <si>
    <t>P1967-02-010-1-18-1806</t>
  </si>
  <si>
    <t>P1967-02-010-1-19-1901</t>
  </si>
  <si>
    <t>P1967-02-010-1-19-1902</t>
  </si>
  <si>
    <t>P1967-02-010-1-19-1903</t>
  </si>
  <si>
    <t>P1967-02-010-1-19-1904</t>
  </si>
  <si>
    <t>P1967-02-010-1-19-1905</t>
  </si>
  <si>
    <t>P1967-02-010-1-19-1906</t>
  </si>
  <si>
    <t>P1967-02-010-1-2-202</t>
  </si>
  <si>
    <t>P1967-02-010-1-2-203</t>
  </si>
  <si>
    <t>P1967-02-010-1-2-205</t>
  </si>
  <si>
    <t>P1967-02-010-1-2-206</t>
  </si>
  <si>
    <t>P1967-02-010-1-20-2001</t>
  </si>
  <si>
    <t>P1967-02-010-1-20-2002</t>
  </si>
  <si>
    <t>P1967-02-010-1-20-2003</t>
  </si>
  <si>
    <t>P1967-02-010-1-20-2004</t>
  </si>
  <si>
    <t>P1967-02-010-1-20-2005</t>
  </si>
  <si>
    <t>P1967-02-010-1-20-2006</t>
  </si>
  <si>
    <t>P1967-02-010-1-21-2101</t>
  </si>
  <si>
    <t>P1967-02-010-1-21-2102</t>
  </si>
  <si>
    <t>P1967-02-010-1-21-2103</t>
  </si>
  <si>
    <t>P1967-02-010-1-21-2104</t>
  </si>
  <si>
    <t>P1967-02-010-1-21-2105</t>
  </si>
  <si>
    <t>P1967-02-010-1-21-2106</t>
  </si>
  <si>
    <t>P1967-02-010-1-22-2201</t>
  </si>
  <si>
    <t>P1967-02-010-1-22-2202</t>
  </si>
  <si>
    <t>P1967-02-010-1-22-2203</t>
  </si>
  <si>
    <t>P1967-02-010-1-22-2204</t>
  </si>
  <si>
    <t>P1967-02-010-1-22-2205</t>
  </si>
  <si>
    <t>P1967-02-010-1-22-2206</t>
  </si>
  <si>
    <t>P1967-02-010-1-23-2301</t>
  </si>
  <si>
    <t>P1967-02-010-1-23-2302</t>
  </si>
  <si>
    <t>P1967-02-010-1-23-2303</t>
  </si>
  <si>
    <t>P1967-02-010-1-23-2304</t>
  </si>
  <si>
    <t>P1967-02-010-1-23-2305</t>
  </si>
  <si>
    <t>P1967-02-010-1-23-2306</t>
  </si>
  <si>
    <t>P1967-02-010-1-24-2401</t>
  </si>
  <si>
    <t>P1967-02-010-1-24-2402</t>
  </si>
  <si>
    <t>P1967-02-010-1-24-2403</t>
  </si>
  <si>
    <t>P1967-02-010-1-24-2404</t>
  </si>
  <si>
    <t>P1967-02-010-1-24-2405</t>
  </si>
  <si>
    <t>P1967-02-010-1-24-2406</t>
  </si>
  <si>
    <t>P1967-02-010-1-25-2501</t>
  </si>
  <si>
    <t>P1967-02-010-1-25-2502</t>
  </si>
  <si>
    <t>P1967-02-010-1-25-2503</t>
  </si>
  <si>
    <t>P1967-02-010-1-25-2504</t>
  </si>
  <si>
    <t>P1967-02-010-1-25-2505</t>
  </si>
  <si>
    <t>P1967-02-010-1-25-2506</t>
  </si>
  <si>
    <t>P1967-02-010-1-3-301</t>
  </si>
  <si>
    <t>P1967-02-010-1-3-302</t>
  </si>
  <si>
    <t>P1967-02-010-1-3-303</t>
  </si>
  <si>
    <t>P1967-02-010-1-3-304</t>
  </si>
  <si>
    <t>P1967-02-010-1-3-305</t>
  </si>
  <si>
    <t>P1967-02-010-1-3-306</t>
  </si>
  <si>
    <t>P1967-02-010-1-4-401</t>
  </si>
  <si>
    <t>P1967-02-010-1-4-402</t>
  </si>
  <si>
    <t>P1967-02-010-1-4-403</t>
  </si>
  <si>
    <t>P1967-02-010-1-4-404</t>
  </si>
  <si>
    <t>P1967-02-010-1-4-405</t>
  </si>
  <si>
    <t>P1967-02-010-1-4-406</t>
  </si>
  <si>
    <t>P1967-02-010-1-5-501</t>
  </si>
  <si>
    <t>P1967-02-010-1-5-502</t>
  </si>
  <si>
    <t>P1967-02-010-1-5-503</t>
  </si>
  <si>
    <t>P1967-02-010-1-5-504</t>
  </si>
  <si>
    <t>P1967-02-010-1-5-505</t>
  </si>
  <si>
    <t>P1967-02-010-1-5-506</t>
  </si>
  <si>
    <t>P1967-02-010-1-6-601</t>
  </si>
  <si>
    <t>P1967-02-010-1-6-602</t>
  </si>
  <si>
    <t>P1967-02-010-1-6-603</t>
  </si>
  <si>
    <t>P1967-02-010-1-6-604</t>
  </si>
  <si>
    <t>P1967-02-010-1-6-605</t>
  </si>
  <si>
    <t>P1967-02-010-1-6-606</t>
  </si>
  <si>
    <t>P1967-02-010-1-7-701</t>
  </si>
  <si>
    <t>P1967-02-010-1-7-702</t>
  </si>
  <si>
    <t>P1967-02-010-1-7-703</t>
  </si>
  <si>
    <t>P1967-02-010-1-7-704</t>
  </si>
  <si>
    <t>P1967-02-010-1-7-705</t>
  </si>
  <si>
    <t>P1967-02-010-1-7-706</t>
  </si>
  <si>
    <t>P1967-02-010-1-8-801</t>
  </si>
  <si>
    <t>P1967-02-010-1-8-802</t>
  </si>
  <si>
    <t>P1967-02-010-1-8-803</t>
  </si>
  <si>
    <t>P1967-02-010-1-8-804</t>
  </si>
  <si>
    <t>P1967-02-010-1-8-805</t>
  </si>
  <si>
    <t>P1967-02-010-1-8-806</t>
  </si>
  <si>
    <t>P1967-02-010-1-9-901</t>
  </si>
  <si>
    <t>P1967-02-010-1-9-902</t>
  </si>
  <si>
    <t>P1967-02-010-1-9-903</t>
  </si>
  <si>
    <t>P1967-02-010-1-9-904</t>
  </si>
  <si>
    <t>P1967-02-010-1-9-905</t>
  </si>
  <si>
    <t>P1967-02-010-1-9-906</t>
  </si>
  <si>
    <t>P1967-02-011-1-1-101</t>
  </si>
  <si>
    <t>P1967-02-011-1-1-102</t>
  </si>
  <si>
    <t>P1967-02-011-1-1-103</t>
  </si>
  <si>
    <t>P1967-02-011-1-1-104</t>
  </si>
  <si>
    <t>P1967-02-011-1-1-105</t>
  </si>
  <si>
    <t>P1967-02-011-1-10-1001</t>
  </si>
  <si>
    <t>P1967-02-011-1-10-1002</t>
  </si>
  <si>
    <t>P1967-02-011-1-10-1003</t>
  </si>
  <si>
    <t>P1967-02-011-1-10-1004</t>
  </si>
  <si>
    <t>P1967-02-011-1-10-1005</t>
  </si>
  <si>
    <t>P1967-02-011-1-10-1006</t>
  </si>
  <si>
    <t>P1967-02-011-1-11-1101</t>
  </si>
  <si>
    <t>P1967-02-011-1-11-1102</t>
  </si>
  <si>
    <t>P1967-02-011-1-11-1103</t>
  </si>
  <si>
    <t>P1967-02-011-1-11-1104</t>
  </si>
  <si>
    <t>P1967-02-011-1-11-1105</t>
  </si>
  <si>
    <t>P1967-02-011-1-11-1106</t>
  </si>
  <si>
    <t>P1967-02-011-1-12-1201</t>
  </si>
  <si>
    <t>P1967-02-011-1-12-1202</t>
  </si>
  <si>
    <t>P1967-02-011-1-12-1203</t>
  </si>
  <si>
    <t>P1967-02-011-1-12-1204</t>
  </si>
  <si>
    <t>P1967-02-011-1-12-1205</t>
  </si>
  <si>
    <t>P1967-02-011-1-12-1206</t>
  </si>
  <si>
    <t>P1967-02-011-1-13-1301</t>
  </si>
  <si>
    <t>P1967-02-011-1-13-1302</t>
  </si>
  <si>
    <t>P1967-02-011-1-13-1303</t>
  </si>
  <si>
    <t>P1967-02-011-1-13-1304</t>
  </si>
  <si>
    <t>P1967-02-011-1-13-1305</t>
  </si>
  <si>
    <t>P1967-02-011-1-13-1306</t>
  </si>
  <si>
    <t>P1967-02-011-1-14-1401</t>
  </si>
  <si>
    <t>P1967-02-011-1-14-1402</t>
  </si>
  <si>
    <t>P1967-02-011-1-14-1403</t>
  </si>
  <si>
    <t>P1967-02-011-1-14-1404</t>
  </si>
  <si>
    <t>P1967-02-011-1-14-1405</t>
  </si>
  <si>
    <t>P1967-02-011-1-14-1406</t>
  </si>
  <si>
    <t>P1967-02-011-1-15-1501</t>
  </si>
  <si>
    <t>P1967-02-011-1-15-1502</t>
  </si>
  <si>
    <t>P1967-02-011-1-15-1503</t>
  </si>
  <si>
    <t>P1967-02-011-1-15-1504</t>
  </si>
  <si>
    <t>P1967-02-011-1-15-1505</t>
  </si>
  <si>
    <t>P1967-02-011-1-15-1506</t>
  </si>
  <si>
    <t>P1967-02-011-1-16-1601</t>
  </si>
  <si>
    <t>P1967-02-011-1-16-1602</t>
  </si>
  <si>
    <t>P1967-02-011-1-16-1603</t>
  </si>
  <si>
    <t>P1967-02-011-1-16-1604</t>
  </si>
  <si>
    <t>P1967-02-011-1-16-1605</t>
  </si>
  <si>
    <t>P1967-02-011-1-16-1606</t>
  </si>
  <si>
    <t>P1967-02-011-1-17-1701</t>
  </si>
  <si>
    <t>P1967-02-011-1-17-1702</t>
  </si>
  <si>
    <t>P1967-02-011-1-17-1703</t>
  </si>
  <si>
    <t>P1967-02-011-1-17-1704</t>
  </si>
  <si>
    <t>P1967-02-011-1-17-1705</t>
  </si>
  <si>
    <t>P1967-02-011-1-17-1706</t>
  </si>
  <si>
    <t>P1967-02-011-1-18-1801</t>
  </si>
  <si>
    <t>P1967-02-011-1-18-1802</t>
  </si>
  <si>
    <t>P1967-02-011-1-18-1803</t>
  </si>
  <si>
    <t>P1967-02-011-1-18-1804</t>
  </si>
  <si>
    <t>P1967-02-011-1-18-1805</t>
  </si>
  <si>
    <t>P1967-02-011-1-18-1806</t>
  </si>
  <si>
    <t>P1967-02-011-1-19-1901</t>
  </si>
  <si>
    <t>P1967-02-011-1-19-1902</t>
  </si>
  <si>
    <t>P1967-02-011-1-19-1903</t>
  </si>
  <si>
    <t>P1967-02-011-1-19-1904</t>
  </si>
  <si>
    <t>P1967-02-011-1-19-1905</t>
  </si>
  <si>
    <t>P1967-02-011-1-19-1906</t>
  </si>
  <si>
    <t>P1967-02-011-1-2-201</t>
  </si>
  <si>
    <t>P1967-02-011-1-2-202</t>
  </si>
  <si>
    <t>P1967-02-011-1-2-203</t>
  </si>
  <si>
    <t>P1967-02-011-1-2-204</t>
  </si>
  <si>
    <t>P1967-02-011-1-2-205</t>
  </si>
  <si>
    <t>P1967-02-011-1-20-2001</t>
  </si>
  <si>
    <t>P1967-02-011-1-20-2002</t>
  </si>
  <si>
    <t>P1967-02-011-1-20-2003</t>
  </si>
  <si>
    <t>P1967-02-011-1-20-2004</t>
  </si>
  <si>
    <t>P1967-02-011-1-20-2005</t>
  </si>
  <si>
    <t>P1967-02-011-1-20-2006</t>
  </si>
  <si>
    <t>P1967-02-011-1-21-2101</t>
  </si>
  <si>
    <t>P1967-02-011-1-21-2102</t>
  </si>
  <si>
    <t>P1967-02-011-1-21-2103</t>
  </si>
  <si>
    <t>P1967-02-011-1-21-2104</t>
  </si>
  <si>
    <t>P1967-02-011-1-21-2105</t>
  </si>
  <si>
    <t>P1967-02-011-1-21-2106</t>
  </si>
  <si>
    <t>P1967-02-011-1-22-2201</t>
  </si>
  <si>
    <t>P1967-02-011-1-22-2202</t>
  </si>
  <si>
    <t>P1967-02-011-1-22-2203</t>
  </si>
  <si>
    <t>P1967-02-011-1-22-2204</t>
  </si>
  <si>
    <t>P1967-02-011-1-22-2205</t>
  </si>
  <si>
    <t>P1967-02-011-1-22-2206</t>
  </si>
  <si>
    <t>P1967-02-011-1-3-301</t>
  </si>
  <si>
    <t>P1967-02-011-1-3-302</t>
  </si>
  <si>
    <t>P1967-02-011-1-3-303</t>
  </si>
  <si>
    <t>P1967-02-011-1-3-304</t>
  </si>
  <si>
    <t>P1967-02-011-1-3-305</t>
  </si>
  <si>
    <t>P1967-02-011-1-3-306</t>
  </si>
  <si>
    <t>P1967-02-011-1-4-401</t>
  </si>
  <si>
    <t>P1967-02-011-1-4-402</t>
  </si>
  <si>
    <t>P1967-02-011-1-4-403</t>
  </si>
  <si>
    <t>P1967-02-011-1-4-404</t>
  </si>
  <si>
    <t>P1967-02-011-1-4-405</t>
  </si>
  <si>
    <t>P1967-02-011-1-4-406</t>
  </si>
  <si>
    <t>P1967-02-011-1-5-501</t>
  </si>
  <si>
    <t>P1967-02-011-1-5-502</t>
  </si>
  <si>
    <t>P1967-02-011-1-5-503</t>
  </si>
  <si>
    <t>P1967-02-011-1-5-504</t>
  </si>
  <si>
    <t>P1967-02-011-1-5-505</t>
  </si>
  <si>
    <t>P1967-02-011-1-5-506</t>
  </si>
  <si>
    <t>P1967-02-011-1-6-601</t>
  </si>
  <si>
    <t>P1967-02-011-1-6-602</t>
  </si>
  <si>
    <t>P1967-02-011-1-6-603</t>
  </si>
  <si>
    <t>P1967-02-011-1-6-604</t>
  </si>
  <si>
    <t>P1967-02-011-1-6-605</t>
  </si>
  <si>
    <t>P1967-02-011-1-6-606</t>
  </si>
  <si>
    <t>P1967-02-011-1-7-701</t>
  </si>
  <si>
    <t>P1967-02-011-1-7-702</t>
  </si>
  <si>
    <t>P1967-02-011-1-7-703</t>
  </si>
  <si>
    <t>P1967-02-011-1-7-704</t>
  </si>
  <si>
    <t>P1967-02-011-1-7-705</t>
  </si>
  <si>
    <t>P1967-02-011-1-7-706</t>
  </si>
  <si>
    <t>P1967-02-011-1-8-801</t>
  </si>
  <si>
    <t>P1967-02-011-1-8-802</t>
  </si>
  <si>
    <t>P1967-02-011-1-8-803</t>
  </si>
  <si>
    <t>P1967-02-011-1-8-804</t>
  </si>
  <si>
    <t>P1967-02-011-1-8-805</t>
  </si>
  <si>
    <t>P1967-02-011-1-8-806</t>
  </si>
  <si>
    <t>P1967-02-011-1-9-901</t>
  </si>
  <si>
    <t>P1967-02-011-1-9-902</t>
  </si>
  <si>
    <t>P1967-02-011-1-9-903</t>
  </si>
  <si>
    <t>P1967-02-011-1-9-904</t>
  </si>
  <si>
    <t>P1967-02-011-1-9-905</t>
  </si>
  <si>
    <t>P1967-02-011-1-9-906</t>
  </si>
  <si>
    <t>P1967-02-012-1-1-101</t>
  </si>
  <si>
    <t>P1967-02-012-1-1-102</t>
  </si>
  <si>
    <t>P1967-02-012-1-1-103</t>
  </si>
  <si>
    <t>P1967-02-012-1-1-104</t>
  </si>
  <si>
    <t>P1967-02-012-1-1-105</t>
  </si>
  <si>
    <t>P1967-02-012-1-10-1001</t>
  </si>
  <si>
    <t>P1967-02-012-1-10-1002</t>
  </si>
  <si>
    <t>P1967-02-012-1-10-1003</t>
  </si>
  <si>
    <t>P1967-02-012-1-10-1004</t>
  </si>
  <si>
    <t>P1967-02-012-1-10-1005</t>
  </si>
  <si>
    <t>P1967-02-012-1-10-1006</t>
  </si>
  <si>
    <t>P1967-02-012-1-11-1101</t>
  </si>
  <si>
    <t>P1967-02-012-1-11-1102</t>
  </si>
  <si>
    <t>P1967-02-012-1-11-1103</t>
  </si>
  <si>
    <t>P1967-02-012-1-11-1104</t>
  </si>
  <si>
    <t>P1967-02-012-1-11-1105</t>
  </si>
  <si>
    <t>P1967-02-012-1-11-1106</t>
  </si>
  <si>
    <t>P1967-02-012-1-12-1201</t>
  </si>
  <si>
    <t>P1967-02-012-1-12-1202</t>
  </si>
  <si>
    <t>P1967-02-012-1-12-1203</t>
  </si>
  <si>
    <t>P1967-02-012-1-12-1204</t>
  </si>
  <si>
    <t>P1967-02-012-1-12-1205</t>
  </si>
  <si>
    <t>P1967-02-012-1-12-1206</t>
  </si>
  <si>
    <t>P1967-02-012-1-13-1301</t>
  </si>
  <si>
    <t>P1967-02-012-1-13-1302</t>
  </si>
  <si>
    <t>P1967-02-012-1-13-1303</t>
  </si>
  <si>
    <t>P1967-02-012-1-13-1304</t>
  </si>
  <si>
    <t>P1967-02-012-1-13-1305</t>
  </si>
  <si>
    <t>P1967-02-012-1-13-1306</t>
  </si>
  <si>
    <t>P1967-02-012-1-14-1401</t>
  </si>
  <si>
    <t>P1967-02-012-1-14-1402</t>
  </si>
  <si>
    <t>P1967-02-012-1-14-1403</t>
  </si>
  <si>
    <t>P1967-02-012-1-14-1404</t>
  </si>
  <si>
    <t>P1967-02-012-1-14-1405</t>
  </si>
  <si>
    <t>P1967-02-012-1-14-1406</t>
  </si>
  <si>
    <t>P1967-02-012-1-15-1501</t>
  </si>
  <si>
    <t>P1967-02-012-1-15-1502</t>
  </si>
  <si>
    <t>P1967-02-012-1-15-1503</t>
  </si>
  <si>
    <t>P1967-02-012-1-15-1504</t>
  </si>
  <si>
    <t>P1967-02-012-1-15-1505</t>
  </si>
  <si>
    <t>P1967-02-012-1-15-1506</t>
  </si>
  <si>
    <t>P1967-02-012-1-16-1601</t>
  </si>
  <si>
    <t>P1967-02-012-1-16-1602</t>
  </si>
  <si>
    <t>P1967-02-012-1-16-1603</t>
  </si>
  <si>
    <t>P1967-02-012-1-16-1604</t>
  </si>
  <si>
    <t>P1967-02-012-1-16-1605</t>
  </si>
  <si>
    <t>P1967-02-012-1-16-1606</t>
  </si>
  <si>
    <t>P1967-02-012-1-17-1701</t>
  </si>
  <si>
    <t>P1967-02-012-1-17-1702</t>
  </si>
  <si>
    <t>P1967-02-012-1-17-1703</t>
  </si>
  <si>
    <t>P1967-02-012-1-17-1704</t>
  </si>
  <si>
    <t>P1967-02-012-1-17-1705</t>
  </si>
  <si>
    <t>P1967-02-012-1-17-1706</t>
  </si>
  <si>
    <t>P1967-02-012-1-18-1801</t>
  </si>
  <si>
    <t>P1967-02-012-1-18-1802</t>
  </si>
  <si>
    <t>P1967-02-012-1-18-1803</t>
  </si>
  <si>
    <t>P1967-02-012-1-18-1804</t>
  </si>
  <si>
    <t>P1967-02-012-1-18-1805</t>
  </si>
  <si>
    <t>P1967-02-012-1-18-1806</t>
  </si>
  <si>
    <t>P1967-02-012-1-19-1901</t>
  </si>
  <si>
    <t>P1967-02-012-1-19-1902</t>
  </si>
  <si>
    <t>P1967-02-012-1-19-1903</t>
  </si>
  <si>
    <t>P1967-02-012-1-19-1904</t>
  </si>
  <si>
    <t>P1967-02-012-1-19-1905</t>
  </si>
  <si>
    <t>P1967-02-012-1-19-1906</t>
  </si>
  <si>
    <t>P1967-02-012-1-2-201</t>
  </si>
  <si>
    <t>P1967-02-012-1-2-202</t>
  </si>
  <si>
    <t>P1967-02-012-1-2-203</t>
  </si>
  <si>
    <t>P1967-02-012-1-2-204</t>
  </si>
  <si>
    <t>P1967-02-012-1-2-205</t>
  </si>
  <si>
    <t>P1967-02-012-1-20-2001</t>
  </si>
  <si>
    <t>P1967-02-012-1-20-2002</t>
  </si>
  <si>
    <t>P1967-02-012-1-20-2003</t>
  </si>
  <si>
    <t>P1967-02-012-1-20-2004</t>
  </si>
  <si>
    <t>P1967-02-012-1-20-2005</t>
  </si>
  <si>
    <t>P1967-02-012-1-20-2006</t>
  </si>
  <si>
    <t>P1967-02-012-1-21-2101</t>
  </si>
  <si>
    <t>P1967-02-012-1-21-2102</t>
  </si>
  <si>
    <t>P1967-02-012-1-21-2103</t>
  </si>
  <si>
    <t>P1967-02-012-1-21-2104</t>
  </si>
  <si>
    <t>P1967-02-012-1-21-2105</t>
  </si>
  <si>
    <t>P1967-02-012-1-21-2106</t>
  </si>
  <si>
    <t>P1967-02-012-1-22-2201</t>
  </si>
  <si>
    <t>P1967-02-012-1-22-2202</t>
  </si>
  <si>
    <t>P1967-02-012-1-22-2203</t>
  </si>
  <si>
    <t>P1967-02-012-1-22-2204</t>
  </si>
  <si>
    <t>P1967-02-012-1-22-2205</t>
  </si>
  <si>
    <t>P1967-02-012-1-22-2206</t>
  </si>
  <si>
    <t>P1967-02-012-1-3-301</t>
  </si>
  <si>
    <t>P1967-02-012-1-3-302</t>
  </si>
  <si>
    <t>P1967-02-012-1-3-303</t>
  </si>
  <si>
    <t>P1967-02-012-1-3-304</t>
  </si>
  <si>
    <t>P1967-02-012-1-3-305</t>
  </si>
  <si>
    <t>P1967-02-012-1-3-306</t>
  </si>
  <si>
    <t>P1967-02-012-1-4-401</t>
  </si>
  <si>
    <t>P1967-02-012-1-4-402</t>
  </si>
  <si>
    <t>P1967-02-012-1-4-403</t>
  </si>
  <si>
    <t>P1967-02-012-1-4-404</t>
  </si>
  <si>
    <t>P1967-02-012-1-4-405</t>
  </si>
  <si>
    <t>P1967-02-012-1-4-406</t>
  </si>
  <si>
    <t>P1967-02-012-1-5-501</t>
  </si>
  <si>
    <t>P1967-02-012-1-5-502</t>
  </si>
  <si>
    <t>P1967-02-012-1-5-503</t>
  </si>
  <si>
    <t>P1967-02-012-1-5-504</t>
  </si>
  <si>
    <t>P1967-02-012-1-5-505</t>
  </si>
  <si>
    <t>P1967-02-012-1-5-506</t>
  </si>
  <si>
    <t>P1967-02-012-1-6-601</t>
  </si>
  <si>
    <t>P1967-02-012-1-6-602</t>
  </si>
  <si>
    <t>P1967-02-012-1-6-603</t>
  </si>
  <si>
    <t>P1967-02-012-1-6-604</t>
  </si>
  <si>
    <t>P1967-02-012-1-6-605</t>
  </si>
  <si>
    <t>P1967-02-012-1-6-606</t>
  </si>
  <si>
    <t>P1967-02-012-1-7-701</t>
  </si>
  <si>
    <t>P1967-02-012-1-7-702</t>
  </si>
  <si>
    <t>P1967-02-012-1-7-703</t>
  </si>
  <si>
    <t>P1967-02-012-1-7-704</t>
  </si>
  <si>
    <t>P1967-02-012-1-7-705</t>
  </si>
  <si>
    <t>P1967-02-012-1-7-706</t>
  </si>
  <si>
    <t>P1967-02-012-1-8-801</t>
  </si>
  <si>
    <t>P1967-02-012-1-8-802</t>
  </si>
  <si>
    <t>P1967-02-012-1-8-803</t>
  </si>
  <si>
    <t>P1967-02-012-1-8-804</t>
  </si>
  <si>
    <t>P1967-02-012-1-8-805</t>
  </si>
  <si>
    <t>P1967-02-012-1-8-806</t>
  </si>
  <si>
    <t>P1967-02-012-1-9-901</t>
  </si>
  <si>
    <t>P1967-02-012-1-9-902</t>
  </si>
  <si>
    <t>P1967-02-012-1-9-903</t>
  </si>
  <si>
    <t>P1967-02-012-1-9-904</t>
  </si>
  <si>
    <t>P1967-02-012-1-9-905</t>
  </si>
  <si>
    <t>P1967-02-012-1-9-906</t>
  </si>
  <si>
    <t>P1967-02-013-1-1-102</t>
  </si>
  <si>
    <t>P1967-02-013-1-1-103</t>
  </si>
  <si>
    <t>P1967-02-013-1-1-104</t>
  </si>
  <si>
    <t>P1967-02-013-1-1-105</t>
  </si>
  <si>
    <t>P1967-02-013-1-1-106</t>
  </si>
  <si>
    <t>P1967-02-013-1-10-1001</t>
  </si>
  <si>
    <t>P1967-02-013-1-10-1002</t>
  </si>
  <si>
    <t>P1967-02-013-1-10-1003</t>
  </si>
  <si>
    <t>P1967-02-013-1-10-1004</t>
  </si>
  <si>
    <t>P1967-02-013-1-10-1005</t>
  </si>
  <si>
    <t>P1967-02-013-1-10-1006</t>
  </si>
  <si>
    <t>P1967-02-013-1-11-1101</t>
  </si>
  <si>
    <t>P1967-02-013-1-11-1102</t>
  </si>
  <si>
    <t>P1967-02-013-1-11-1103</t>
  </si>
  <si>
    <t>P1967-02-013-1-11-1104</t>
  </si>
  <si>
    <t>P1967-02-013-1-11-1105</t>
  </si>
  <si>
    <t>P1967-02-013-1-11-1106</t>
  </si>
  <si>
    <t>P1967-02-013-1-12-1201</t>
  </si>
  <si>
    <t>P1967-02-013-1-12-1202</t>
  </si>
  <si>
    <t>P1967-02-013-1-12-1203</t>
  </si>
  <si>
    <t>P1967-02-013-1-12-1204</t>
  </si>
  <si>
    <t>P1967-02-013-1-12-1205</t>
  </si>
  <si>
    <t>P1967-02-013-1-12-1206</t>
  </si>
  <si>
    <t>P1967-02-013-1-13-1301</t>
  </si>
  <si>
    <t>P1967-02-013-1-13-1302</t>
  </si>
  <si>
    <t>P1967-02-013-1-13-1303</t>
  </si>
  <si>
    <t>P1967-02-013-1-13-1304</t>
  </si>
  <si>
    <t>P1967-02-013-1-13-1305</t>
  </si>
  <si>
    <t>P1967-02-013-1-13-1306</t>
  </si>
  <si>
    <t>P1967-02-013-1-14-1401</t>
  </si>
  <si>
    <t>P1967-02-013-1-14-1402</t>
  </si>
  <si>
    <t>P1967-02-013-1-14-1403</t>
  </si>
  <si>
    <t>P1967-02-013-1-14-1404</t>
  </si>
  <si>
    <t>P1967-02-013-1-14-1405</t>
  </si>
  <si>
    <t>P1967-02-013-1-14-1406</t>
  </si>
  <si>
    <t>P1967-02-013-1-15-1501</t>
  </si>
  <si>
    <t>P1967-02-013-1-15-1502</t>
  </si>
  <si>
    <t>P1967-02-013-1-15-1503</t>
  </si>
  <si>
    <t>P1967-02-013-1-15-1504</t>
  </si>
  <si>
    <t>P1967-02-013-1-15-1505</t>
  </si>
  <si>
    <t>P1967-02-013-1-15-1506</t>
  </si>
  <si>
    <t>P1967-02-013-1-16-1601</t>
  </si>
  <si>
    <t>P1967-02-013-1-16-1602</t>
  </si>
  <si>
    <t>P1967-02-013-1-16-1603</t>
  </si>
  <si>
    <t>P1967-02-013-1-16-1604</t>
  </si>
  <si>
    <t>P1967-02-013-1-16-1605</t>
  </si>
  <si>
    <t>P1967-02-013-1-16-1606</t>
  </si>
  <si>
    <t>P1967-02-013-1-17-1701</t>
  </si>
  <si>
    <t>P1967-02-013-1-17-1702</t>
  </si>
  <si>
    <t>P1967-02-013-1-17-1703</t>
  </si>
  <si>
    <t>P1967-02-013-1-17-1704</t>
  </si>
  <si>
    <t>P1967-02-013-1-17-1705</t>
  </si>
  <si>
    <t>P1967-02-013-1-17-1706</t>
  </si>
  <si>
    <t>P1967-02-013-1-18-1801</t>
  </si>
  <si>
    <t>P1967-02-013-1-18-1802</t>
  </si>
  <si>
    <t>P1967-02-013-1-18-1803</t>
  </si>
  <si>
    <t>P1967-02-013-1-18-1804</t>
  </si>
  <si>
    <t>P1967-02-013-1-18-1805</t>
  </si>
  <si>
    <t>P1967-02-013-1-18-1806</t>
  </si>
  <si>
    <t>P1967-02-013-1-19-1901</t>
  </si>
  <si>
    <t>P1967-02-013-1-19-1902</t>
  </si>
  <si>
    <t>P1967-02-013-1-19-1903</t>
  </si>
  <si>
    <t>P1967-02-013-1-19-1904</t>
  </si>
  <si>
    <t>P1967-02-013-1-19-1905</t>
  </si>
  <si>
    <t>P1967-02-013-1-19-1906</t>
  </si>
  <si>
    <t>P1967-02-013-1-2-202</t>
  </si>
  <si>
    <t>P1967-02-013-1-2-203</t>
  </si>
  <si>
    <t>P1967-02-013-1-2-204</t>
  </si>
  <si>
    <t>P1967-02-013-1-2-205</t>
  </si>
  <si>
    <t>P1967-02-013-1-2-206</t>
  </si>
  <si>
    <t>P1967-02-013-1-20-2001</t>
  </si>
  <si>
    <t>P1967-02-013-1-20-2002</t>
  </si>
  <si>
    <t>P1967-02-013-1-20-2003</t>
  </si>
  <si>
    <t>P1967-02-013-1-20-2004</t>
  </si>
  <si>
    <t>P1967-02-013-1-20-2005</t>
  </si>
  <si>
    <t>P1967-02-013-1-20-2006</t>
  </si>
  <si>
    <t>P1967-02-013-1-21-2101</t>
  </si>
  <si>
    <t>P1967-02-013-1-21-2102</t>
  </si>
  <si>
    <t>P1967-02-013-1-21-2103</t>
  </si>
  <si>
    <t>P1967-02-013-1-21-2104</t>
  </si>
  <si>
    <t>P1967-02-013-1-21-2105</t>
  </si>
  <si>
    <t>P1967-02-013-1-21-2106</t>
  </si>
  <si>
    <t>P1967-02-013-1-22-2201</t>
  </si>
  <si>
    <t>P1967-02-013-1-22-2202</t>
  </si>
  <si>
    <t>P1967-02-013-1-22-2203</t>
  </si>
  <si>
    <t>P1967-02-013-1-22-2204</t>
  </si>
  <si>
    <t>P1967-02-013-1-22-2205</t>
  </si>
  <si>
    <t>P1967-02-013-1-22-2206</t>
  </si>
  <si>
    <t>P1967-02-013-1-23-2301</t>
  </si>
  <si>
    <t>P1967-02-013-1-23-2302</t>
  </si>
  <si>
    <t>P1967-02-013-1-23-2303</t>
  </si>
  <si>
    <t>P1967-02-013-1-23-2304</t>
  </si>
  <si>
    <t>P1967-02-013-1-23-2305</t>
  </si>
  <si>
    <t>P1967-02-013-1-23-2306</t>
  </si>
  <si>
    <t>P1967-02-013-1-24-2401</t>
  </si>
  <si>
    <t>P1967-02-013-1-24-2402</t>
  </si>
  <si>
    <t>P1967-02-013-1-24-2403</t>
  </si>
  <si>
    <t>P1967-02-013-1-24-2404</t>
  </si>
  <si>
    <t>P1967-02-013-1-24-2405</t>
  </si>
  <si>
    <t>P1967-02-013-1-24-2406</t>
  </si>
  <si>
    <t>P1967-02-013-1-25-2501</t>
  </si>
  <si>
    <t>P1967-02-013-1-25-2502</t>
  </si>
  <si>
    <t>P1967-02-013-1-25-2503</t>
  </si>
  <si>
    <t>P1967-02-013-1-25-2504</t>
  </si>
  <si>
    <t>P1967-02-013-1-25-2505</t>
  </si>
  <si>
    <t>P1967-02-013-1-25-2506</t>
  </si>
  <si>
    <t>P1967-02-013-1-26-2601</t>
  </si>
  <si>
    <t>P1967-02-013-1-26-2602</t>
  </si>
  <si>
    <t>P1967-02-013-1-26-2603</t>
  </si>
  <si>
    <t>P1967-02-013-1-26-2604</t>
  </si>
  <si>
    <t>P1967-02-013-1-26-2605</t>
  </si>
  <si>
    <t>P1967-02-013-1-26-2606</t>
  </si>
  <si>
    <t>P1967-02-013-1-3-301</t>
  </si>
  <si>
    <t>P1967-02-013-1-3-302</t>
  </si>
  <si>
    <t>P1967-02-013-1-3-303</t>
  </si>
  <si>
    <t>P1967-02-013-1-3-304</t>
  </si>
  <si>
    <t>P1967-02-013-1-3-305</t>
  </si>
  <si>
    <t>P1967-02-013-1-3-306</t>
  </si>
  <si>
    <t>P1967-02-013-1-4-401</t>
  </si>
  <si>
    <t>P1967-02-013-1-4-402</t>
  </si>
  <si>
    <t>P1967-02-013-1-4-403</t>
  </si>
  <si>
    <t>P1967-02-013-1-4-404</t>
  </si>
  <si>
    <t>P1967-02-013-1-4-405</t>
  </si>
  <si>
    <t>P1967-02-013-1-4-406</t>
  </si>
  <si>
    <t>P1967-02-013-1-5-501</t>
  </si>
  <si>
    <t>P1967-02-013-1-5-502</t>
  </si>
  <si>
    <t>P1967-02-013-1-5-503</t>
  </si>
  <si>
    <t>P1967-02-013-1-5-504</t>
  </si>
  <si>
    <t>P1967-02-013-1-5-505</t>
  </si>
  <si>
    <t>P1967-02-013-1-5-506</t>
  </si>
  <si>
    <t>P1967-02-013-1-6-601</t>
  </si>
  <si>
    <t>P1967-02-013-1-6-602</t>
  </si>
  <si>
    <t>P1967-02-013-1-6-603</t>
  </si>
  <si>
    <t>P1967-02-013-1-6-604</t>
  </si>
  <si>
    <t>P1967-02-013-1-6-605</t>
  </si>
  <si>
    <t>P1967-02-013-1-6-606</t>
  </si>
  <si>
    <t>P1967-02-013-1-7-701</t>
  </si>
  <si>
    <t>P1967-02-013-1-7-702</t>
  </si>
  <si>
    <t>P1967-02-013-1-7-703</t>
  </si>
  <si>
    <t>P1967-02-013-1-7-704</t>
  </si>
  <si>
    <t>P1967-02-013-1-7-705</t>
  </si>
  <si>
    <t>P1967-02-013-1-7-706</t>
  </si>
  <si>
    <t>P1967-02-013-1-8-801</t>
  </si>
  <si>
    <t>P1967-02-013-1-8-802</t>
  </si>
  <si>
    <t>P1967-02-013-1-8-803</t>
  </si>
  <si>
    <t>P1967-02-013-1-8-804</t>
  </si>
  <si>
    <t>P1967-02-013-1-8-805</t>
  </si>
  <si>
    <t>P1967-02-013-1-8-806</t>
  </si>
  <si>
    <t>P1967-02-013-1-9-901</t>
  </si>
  <si>
    <t>P1967-02-013-1-9-902</t>
  </si>
  <si>
    <t>P1967-02-013-1-9-903</t>
  </si>
  <si>
    <t>P1967-02-013-1-9-904</t>
  </si>
  <si>
    <t>P1967-02-013-1-9-905</t>
  </si>
  <si>
    <t>P1967-02-013-1-9-906</t>
  </si>
  <si>
    <t>P1967-02-014-1-1-101</t>
  </si>
  <si>
    <t>9号楼</t>
  </si>
  <si>
    <t>P1967-02-014-1-1-102</t>
  </si>
  <si>
    <t>P1967-02-014-1-1-103</t>
  </si>
  <si>
    <t>P1967-02-014-1-1-104</t>
  </si>
  <si>
    <t>P1967-02-014-1-1-105</t>
  </si>
  <si>
    <t>P1967-02-014-1-10-1001</t>
  </si>
  <si>
    <t>P1967-02-014-1-10-1002</t>
  </si>
  <si>
    <t>P1967-02-014-1-10-1003</t>
  </si>
  <si>
    <t>P1967-02-014-1-10-1004</t>
  </si>
  <si>
    <t>P1967-02-014-1-10-1005</t>
  </si>
  <si>
    <t>P1967-02-014-1-10-1006</t>
  </si>
  <si>
    <t>P1967-02-014-1-11-1101</t>
  </si>
  <si>
    <t>P1967-02-014-1-11-1102</t>
  </si>
  <si>
    <t>P1967-02-014-1-11-1103</t>
  </si>
  <si>
    <t>P1967-02-014-1-11-1104</t>
  </si>
  <si>
    <t>P1967-02-014-1-11-1105</t>
  </si>
  <si>
    <t>P1967-02-014-1-11-1106</t>
  </si>
  <si>
    <t>P1967-02-014-1-12-1201</t>
  </si>
  <si>
    <t>P1967-02-014-1-12-1202</t>
  </si>
  <si>
    <t>P1967-02-014-1-12-1203</t>
  </si>
  <si>
    <t>P1967-02-014-1-12-1204</t>
  </si>
  <si>
    <t>P1967-02-014-1-12-1205</t>
  </si>
  <si>
    <t>P1967-02-014-1-12-1206</t>
  </si>
  <si>
    <t>P1967-02-014-1-13-1301</t>
  </si>
  <si>
    <t>P1967-02-014-1-13-1302</t>
  </si>
  <si>
    <t>P1967-02-014-1-13-1303</t>
  </si>
  <si>
    <t>P1967-02-014-1-13-1304</t>
  </si>
  <si>
    <t>P1967-02-014-1-13-1305</t>
  </si>
  <si>
    <t>P1967-02-014-1-13-1306</t>
  </si>
  <si>
    <t>P1967-02-014-1-14-1401</t>
  </si>
  <si>
    <t>P1967-02-014-1-14-1402</t>
  </si>
  <si>
    <t>P1967-02-014-1-14-1403</t>
  </si>
  <si>
    <t>P1967-02-014-1-14-1404</t>
  </si>
  <si>
    <t>P1967-02-014-1-14-1405</t>
  </si>
  <si>
    <t>P1967-02-014-1-14-1406</t>
  </si>
  <si>
    <t>P1967-02-014-1-15-1501</t>
  </si>
  <si>
    <t>P1967-02-014-1-15-1502</t>
  </si>
  <si>
    <t>P1967-02-014-1-15-1503</t>
  </si>
  <si>
    <t>P1967-02-014-1-15-1504</t>
  </si>
  <si>
    <t>P1967-02-014-1-15-1505</t>
  </si>
  <si>
    <t>P1967-02-014-1-15-1506</t>
  </si>
  <si>
    <t>P1967-02-014-1-16-1601</t>
  </si>
  <si>
    <t>P1967-02-014-1-16-1602</t>
  </si>
  <si>
    <t>P1967-02-014-1-16-1603</t>
  </si>
  <si>
    <t>P1967-02-014-1-16-1604</t>
  </si>
  <si>
    <t>P1967-02-014-1-16-1605</t>
  </si>
  <si>
    <t>P1967-02-014-1-16-1606</t>
  </si>
  <si>
    <t>P1967-02-014-1-17-1701</t>
  </si>
  <si>
    <t>P1967-02-014-1-17-1702</t>
  </si>
  <si>
    <t>P1967-02-014-1-17-1703</t>
  </si>
  <si>
    <t>P1967-02-014-1-17-1704</t>
  </si>
  <si>
    <t>P1967-02-014-1-17-1705</t>
  </si>
  <si>
    <t>P1967-02-014-1-17-1706</t>
  </si>
  <si>
    <t>P1967-02-014-1-18-1801</t>
  </si>
  <si>
    <t>P1967-02-014-1-18-1802</t>
  </si>
  <si>
    <t>P1967-02-014-1-18-1803</t>
  </si>
  <si>
    <t>P1967-02-014-1-18-1804</t>
  </si>
  <si>
    <t>P1967-02-014-1-18-1805</t>
  </si>
  <si>
    <t>P1967-02-014-1-18-1806</t>
  </si>
  <si>
    <t>P1967-02-014-1-19-1901</t>
  </si>
  <si>
    <t>P1967-02-014-1-19-1902</t>
  </si>
  <si>
    <t>P1967-02-014-1-19-1903</t>
  </si>
  <si>
    <t>P1967-02-014-1-19-1904</t>
  </si>
  <si>
    <t>P1967-02-014-1-19-1905</t>
  </si>
  <si>
    <t>P1967-02-014-1-19-1906</t>
  </si>
  <si>
    <t>P1967-02-014-1-2-201</t>
  </si>
  <si>
    <t>P1967-02-014-1-2-202</t>
  </si>
  <si>
    <t>P1967-02-014-1-2-203</t>
  </si>
  <si>
    <t>P1967-02-014-1-2-204</t>
  </si>
  <si>
    <t>P1967-02-014-1-2-205</t>
  </si>
  <si>
    <t>P1967-02-014-1-20-2001</t>
  </si>
  <si>
    <t>P1967-02-014-1-20-2002</t>
  </si>
  <si>
    <t>P1967-02-014-1-20-2003</t>
  </si>
  <si>
    <t>P1967-02-014-1-20-2004</t>
  </si>
  <si>
    <t>P1967-02-014-1-20-2005</t>
  </si>
  <si>
    <t>P1967-02-014-1-20-2006</t>
  </si>
  <si>
    <t>P1967-02-014-1-21-2101</t>
  </si>
  <si>
    <t>P1967-02-014-1-21-2102</t>
  </si>
  <si>
    <t>P1967-02-014-1-21-2103</t>
  </si>
  <si>
    <t>P1967-02-014-1-21-2104</t>
  </si>
  <si>
    <t>P1967-02-014-1-21-2105</t>
  </si>
  <si>
    <t>P1967-02-014-1-21-2106</t>
  </si>
  <si>
    <t>P1967-02-014-1-22-2201</t>
  </si>
  <si>
    <t>P1967-02-014-1-22-2202</t>
  </si>
  <si>
    <t>P1967-02-014-1-22-2203</t>
  </si>
  <si>
    <t>P1967-02-014-1-22-2204</t>
  </si>
  <si>
    <t>P1967-02-014-1-22-2205</t>
  </si>
  <si>
    <t>P1967-02-014-1-22-2206</t>
  </si>
  <si>
    <t>P1967-02-014-1-23-2301</t>
  </si>
  <si>
    <t>P1967-02-014-1-23-2302</t>
  </si>
  <si>
    <t>P1967-02-014-1-23-2303</t>
  </si>
  <si>
    <t>P1967-02-014-1-23-2304</t>
  </si>
  <si>
    <t>P1967-02-014-1-23-2305</t>
  </si>
  <si>
    <t>P1967-02-014-1-23-2306</t>
  </si>
  <si>
    <t>P1967-02-014-1-24-2401</t>
  </si>
  <si>
    <t>P1967-02-014-1-24-2402</t>
  </si>
  <si>
    <t>P1967-02-014-1-24-2403</t>
  </si>
  <si>
    <t>P1967-02-014-1-24-2404</t>
  </si>
  <si>
    <t>P1967-02-014-1-24-2405</t>
  </si>
  <si>
    <t>P1967-02-014-1-24-2406</t>
  </si>
  <si>
    <t>P1967-02-014-1-25-2501</t>
  </si>
  <si>
    <t>P1967-02-014-1-25-2502</t>
  </si>
  <si>
    <t>P1967-02-014-1-25-2503</t>
  </si>
  <si>
    <t>P1967-02-014-1-25-2504</t>
  </si>
  <si>
    <t>P1967-02-014-1-25-2505</t>
  </si>
  <si>
    <t>P1967-02-014-1-25-2506</t>
  </si>
  <si>
    <t>P1967-02-014-1-26-2601</t>
  </si>
  <si>
    <t>P1967-02-014-1-26-2602</t>
  </si>
  <si>
    <t>P1967-02-014-1-26-2603</t>
  </si>
  <si>
    <t>P1967-02-014-1-26-2604</t>
  </si>
  <si>
    <t>P1967-02-014-1-26-2605</t>
  </si>
  <si>
    <t>P1967-02-014-1-26-2606</t>
  </si>
  <si>
    <t>P1967-02-014-1-3-301</t>
  </si>
  <si>
    <t>P1967-02-014-1-3-302</t>
  </si>
  <si>
    <t>P1967-02-014-1-3-303</t>
  </si>
  <si>
    <t>P1967-02-014-1-3-304</t>
  </si>
  <si>
    <t>P1967-02-014-1-3-305</t>
  </si>
  <si>
    <t>P1967-02-014-1-3-306</t>
  </si>
  <si>
    <t>P1967-02-014-1-4-401</t>
  </si>
  <si>
    <t>P1967-02-014-1-4-402</t>
  </si>
  <si>
    <t>P1967-02-014-1-4-403</t>
  </si>
  <si>
    <t>P1967-02-014-1-4-404</t>
  </si>
  <si>
    <t>P1967-02-014-1-4-405</t>
  </si>
  <si>
    <t>P1967-02-014-1-4-406</t>
  </si>
  <si>
    <t>P1967-02-014-1-5-501</t>
  </si>
  <si>
    <t>P1967-02-014-1-5-502</t>
  </si>
  <si>
    <t>P1967-02-014-1-5-503</t>
  </si>
  <si>
    <t>P1967-02-014-1-5-504</t>
  </si>
  <si>
    <t>P1967-02-014-1-5-505</t>
  </si>
  <si>
    <t>P1967-02-014-1-5-506</t>
  </si>
  <si>
    <t>P1967-02-014-1-6-601</t>
  </si>
  <si>
    <t>P1967-02-014-1-6-602</t>
  </si>
  <si>
    <t>P1967-02-014-1-6-603</t>
  </si>
  <si>
    <t>P1967-02-014-1-6-604</t>
  </si>
  <si>
    <t>P1967-02-014-1-6-605</t>
  </si>
  <si>
    <t>P1967-02-014-1-6-606</t>
  </si>
  <si>
    <t>P1967-02-014-1-7-701</t>
  </si>
  <si>
    <t>P1967-02-014-1-7-702</t>
  </si>
  <si>
    <t>P1967-02-014-1-7-703</t>
  </si>
  <si>
    <t>P1967-02-014-1-7-704</t>
  </si>
  <si>
    <t>P1967-02-014-1-7-705</t>
  </si>
  <si>
    <t>P1967-02-014-1-7-706</t>
  </si>
  <si>
    <t>P1967-02-014-1-8-801</t>
  </si>
  <si>
    <t>P1967-02-014-1-8-802</t>
  </si>
  <si>
    <t>P1967-02-014-1-8-803</t>
  </si>
  <si>
    <t>P1967-02-014-1-8-804</t>
  </si>
  <si>
    <t>P1967-02-014-1-8-805</t>
  </si>
  <si>
    <t>P1967-02-014-1-8-806</t>
  </si>
  <si>
    <t>P1967-02-014-1-9-901</t>
  </si>
  <si>
    <t>P1967-02-014-1-9-902</t>
  </si>
  <si>
    <t>P1967-02-014-1-9-903</t>
  </si>
  <si>
    <t>P1967-02-014-1-9-904</t>
  </si>
  <si>
    <t>P1967-02-014-1-9-905</t>
  </si>
  <si>
    <t>P1967-02-014-1-9-906</t>
  </si>
  <si>
    <t>P1967-02-015-1-10-1001</t>
  </si>
  <si>
    <t>10号楼</t>
  </si>
  <si>
    <t>P1967-02-015-1-10-1002</t>
  </si>
  <si>
    <t>P1967-02-015-1-10-1003</t>
  </si>
  <si>
    <t>P1967-02-015-1-10-1004</t>
  </si>
  <si>
    <t>P1967-02-015-1-10-1005</t>
  </si>
  <si>
    <t>P1967-02-015-1-10-1006</t>
  </si>
  <si>
    <t>P1967-02-015-1-11-1101</t>
  </si>
  <si>
    <t>P1967-02-015-1-11-1102</t>
  </si>
  <si>
    <t>P1967-02-015-1-11-1103</t>
  </si>
  <si>
    <t>P1967-02-015-1-11-1104</t>
  </si>
  <si>
    <t>P1967-02-015-1-11-1105</t>
  </si>
  <si>
    <t>P1967-02-015-1-11-1106</t>
  </si>
  <si>
    <t>P1967-02-015-1-12-1201</t>
  </si>
  <si>
    <t>P1967-02-015-1-12-1202</t>
  </si>
  <si>
    <t>P1967-02-015-1-12-1203</t>
  </si>
  <si>
    <t>P1967-02-015-1-12-1204</t>
  </si>
  <si>
    <t>P1967-02-015-1-12-1205</t>
  </si>
  <si>
    <t>P1967-02-015-1-12-1206</t>
  </si>
  <si>
    <t>P1967-02-015-1-13-1301</t>
  </si>
  <si>
    <t>P1967-02-015-1-13-1302</t>
  </si>
  <si>
    <t>P1967-02-015-1-13-1303</t>
  </si>
  <si>
    <t>P1967-02-015-1-13-1304</t>
  </si>
  <si>
    <t>P1967-02-015-1-13-1305</t>
  </si>
  <si>
    <t>P1967-02-015-1-13-1306</t>
  </si>
  <si>
    <t>P1967-02-015-1-14-1401</t>
  </si>
  <si>
    <t>P1967-02-015-1-14-1402</t>
  </si>
  <si>
    <t>P1967-02-015-1-14-1403</t>
  </si>
  <si>
    <t>P1967-02-015-1-14-1404</t>
  </si>
  <si>
    <t>P1967-02-015-1-14-1405</t>
  </si>
  <si>
    <t>P1967-02-015-1-14-1406</t>
  </si>
  <si>
    <t>P1967-02-015-1-15-1501</t>
  </si>
  <si>
    <t>P1967-02-015-1-15-1502</t>
  </si>
  <si>
    <t>P1967-02-015-1-15-1503</t>
  </si>
  <si>
    <t>P1967-02-015-1-15-1504</t>
  </si>
  <si>
    <t>P1967-02-015-1-15-1505</t>
  </si>
  <si>
    <t>P1967-02-015-1-15-1506</t>
  </si>
  <si>
    <t>P1967-02-015-1-16-1601</t>
  </si>
  <si>
    <t>P1967-02-015-1-16-1602</t>
  </si>
  <si>
    <t>P1967-02-015-1-16-1603</t>
  </si>
  <si>
    <t>P1967-02-015-1-16-1604</t>
  </si>
  <si>
    <t>P1967-02-015-1-16-1605</t>
  </si>
  <si>
    <t>P1967-02-015-1-16-1606</t>
  </si>
  <si>
    <t>P1967-02-015-1-17-1701</t>
  </si>
  <si>
    <t>P1967-02-015-1-17-1702</t>
  </si>
  <si>
    <t>P1967-02-015-1-17-1703</t>
  </si>
  <si>
    <t>P1967-02-015-1-17-1704</t>
  </si>
  <si>
    <t>P1967-02-015-1-17-1705</t>
  </si>
  <si>
    <t>P1967-02-015-1-17-1706</t>
  </si>
  <si>
    <t>P1967-02-015-1-18-1801</t>
  </si>
  <si>
    <t>P1967-02-015-1-18-1802</t>
  </si>
  <si>
    <t>P1967-02-015-1-18-1803</t>
  </si>
  <si>
    <t>P1967-02-015-1-18-1804</t>
  </si>
  <si>
    <t>P1967-02-015-1-18-1805</t>
  </si>
  <si>
    <t>P1967-02-015-1-18-1806</t>
  </si>
  <si>
    <t>P1967-02-015-1-19-1901</t>
  </si>
  <si>
    <t>P1967-02-015-1-19-1902</t>
  </si>
  <si>
    <t>P1967-02-015-1-19-1903</t>
  </si>
  <si>
    <t>P1967-02-015-1-19-1904</t>
  </si>
  <si>
    <t>P1967-02-015-1-19-1905</t>
  </si>
  <si>
    <t>P1967-02-015-1-19-1906</t>
  </si>
  <si>
    <t>P1967-02-015-1-2-202</t>
  </si>
  <si>
    <t>P1967-02-015-1-2-203</t>
  </si>
  <si>
    <t>P1967-02-015-1-2-204</t>
  </si>
  <si>
    <t>P1967-02-015-1-2-205</t>
  </si>
  <si>
    <t>P1967-02-015-1-2-206</t>
  </si>
  <si>
    <t>P1967-02-015-1-20-2001</t>
  </si>
  <si>
    <t>P1967-02-015-1-20-2002</t>
  </si>
  <si>
    <t>P1967-02-015-1-20-2003</t>
  </si>
  <si>
    <t>P1967-02-015-1-20-2004</t>
  </si>
  <si>
    <t>P1967-02-015-1-20-2005</t>
  </si>
  <si>
    <t>P1967-02-015-1-20-2006</t>
  </si>
  <si>
    <t>P1967-02-015-1-21-2101</t>
  </si>
  <si>
    <t>P1967-02-015-1-21-2102</t>
  </si>
  <si>
    <t>P1967-02-015-1-21-2103</t>
  </si>
  <si>
    <t>P1967-02-015-1-21-2104</t>
  </si>
  <si>
    <t>P1967-02-015-1-21-2105</t>
  </si>
  <si>
    <t>P1967-02-015-1-21-2106</t>
  </si>
  <si>
    <t>P1967-02-015-1-22-2201</t>
  </si>
  <si>
    <t>P1967-02-015-1-22-2202</t>
  </si>
  <si>
    <t>P1967-02-015-1-22-2203</t>
  </si>
  <si>
    <t>P1967-02-015-1-22-2204</t>
  </si>
  <si>
    <t>P1967-02-015-1-22-2205</t>
  </si>
  <si>
    <t>P1967-02-015-1-22-2206</t>
  </si>
  <si>
    <t>P1967-02-015-1-23-2301</t>
  </si>
  <si>
    <t>P1967-02-015-1-23-2302</t>
  </si>
  <si>
    <t>P1967-02-015-1-23-2303</t>
  </si>
  <si>
    <t>P1967-02-015-1-23-2304</t>
  </si>
  <si>
    <t>P1967-02-015-1-23-2305</t>
  </si>
  <si>
    <t>P1967-02-015-1-23-2306</t>
  </si>
  <si>
    <t>P1967-02-015-1-24-2401</t>
  </si>
  <si>
    <t>P1967-02-015-1-24-2402</t>
  </si>
  <si>
    <t>P1967-02-015-1-24-2403</t>
  </si>
  <si>
    <t>P1967-02-015-1-24-2404</t>
  </si>
  <si>
    <t>P1967-02-015-1-24-2405</t>
  </si>
  <si>
    <t>P1967-02-015-1-24-2406</t>
  </si>
  <si>
    <t>P1967-02-015-1-25-2501</t>
  </si>
  <si>
    <t>P1967-02-015-1-25-2502</t>
  </si>
  <si>
    <t>P1967-02-015-1-25-2503</t>
  </si>
  <si>
    <t>P1967-02-015-1-25-2504</t>
  </si>
  <si>
    <t>P1967-02-015-1-25-2505</t>
  </si>
  <si>
    <t>P1967-02-015-1-25-2506</t>
  </si>
  <si>
    <t>P1967-02-015-1-26-2601</t>
  </si>
  <si>
    <t>P1967-02-015-1-26-2602</t>
  </si>
  <si>
    <t>P1967-02-015-1-26-2603</t>
  </si>
  <si>
    <t>P1967-02-015-1-26-2604</t>
  </si>
  <si>
    <t>P1967-02-015-1-26-2605</t>
  </si>
  <si>
    <t>P1967-02-015-1-26-2606</t>
  </si>
  <si>
    <t>P1967-02-015-1-3-301</t>
  </si>
  <si>
    <t>P1967-02-015-1-3-302</t>
  </si>
  <si>
    <t>P1967-02-015-1-3-303</t>
  </si>
  <si>
    <t>P1967-02-015-1-3-304</t>
  </si>
  <si>
    <t>P1967-02-015-1-3-305</t>
  </si>
  <si>
    <t>P1967-02-015-1-3-306</t>
  </si>
  <si>
    <t>P1967-02-015-1-4-401</t>
  </si>
  <si>
    <t>P1967-02-015-1-4-402</t>
  </si>
  <si>
    <t>P1967-02-015-1-4-403</t>
  </si>
  <si>
    <t>P1967-02-015-1-4-404</t>
  </si>
  <si>
    <t>P1967-02-015-1-4-405</t>
  </si>
  <si>
    <t>P1967-02-015-1-4-406</t>
  </si>
  <si>
    <t>P1967-02-015-1-5-501</t>
  </si>
  <si>
    <t>P1967-02-015-1-5-502</t>
  </si>
  <si>
    <t>P1967-02-015-1-5-503</t>
  </si>
  <si>
    <t>P1967-02-015-1-5-504</t>
  </si>
  <si>
    <t>P1967-02-015-1-5-505</t>
  </si>
  <si>
    <t>P1967-02-015-1-5-506</t>
  </si>
  <si>
    <t>P1967-02-015-1-6-601</t>
  </si>
  <si>
    <t>P1967-02-015-1-6-602</t>
  </si>
  <si>
    <t>P1967-02-015-1-6-603</t>
  </si>
  <si>
    <t>P1967-02-015-1-6-604</t>
  </si>
  <si>
    <t>P1967-02-015-1-6-605</t>
  </si>
  <si>
    <t>P1967-02-015-1-6-606</t>
  </si>
  <si>
    <t>P1967-02-015-1-7-701</t>
  </si>
  <si>
    <t>P1967-02-015-1-7-702</t>
  </si>
  <si>
    <t>P1967-02-015-1-7-703</t>
  </si>
  <si>
    <t>P1967-02-015-1-7-704</t>
  </si>
  <si>
    <t>P1967-02-015-1-7-705</t>
  </si>
  <si>
    <t>P1967-02-015-1-7-706</t>
  </si>
  <si>
    <t>P1967-02-015-1-8-801</t>
  </si>
  <si>
    <t>P1967-02-015-1-8-802</t>
  </si>
  <si>
    <t>P1967-02-015-1-8-803</t>
  </si>
  <si>
    <t>P1967-02-015-1-8-804</t>
  </si>
  <si>
    <t>P1967-02-015-1-8-805</t>
  </si>
  <si>
    <t>P1967-02-015-1-8-806</t>
  </si>
  <si>
    <t>P1967-02-015-1-9-901</t>
  </si>
  <si>
    <t>P1967-02-015-1-9-902</t>
  </si>
  <si>
    <t>P1967-02-015-1-9-903</t>
  </si>
  <si>
    <t>P1967-02-015-1-9-904</t>
  </si>
  <si>
    <t>P1967-02-015-1-9-905</t>
  </si>
  <si>
    <t>P1967-02-015-1-9-906</t>
  </si>
  <si>
    <t>P1967-02-017-1-1-101</t>
  </si>
  <si>
    <t>12号楼</t>
  </si>
  <si>
    <t>P1967-02-017-1-1-102</t>
  </si>
  <si>
    <t>P1967-02-017-1-1-103</t>
  </si>
  <si>
    <t>P1967-02-017-1-1-104</t>
  </si>
  <si>
    <t>P1967-02-017-1-3-301</t>
  </si>
  <si>
    <t>P1967-02-017-1-3-302</t>
  </si>
  <si>
    <t>P1967-02-017-1-3-303</t>
  </si>
  <si>
    <t>P1967-02-017-1-3-304</t>
  </si>
  <si>
    <t>P1967-02-017-2-1-101</t>
  </si>
  <si>
    <t>P1967-02-017-2-1-102</t>
  </si>
  <si>
    <t>P1967-02-017-2-1-103</t>
  </si>
  <si>
    <t>P1967-02-017-2-1-104</t>
  </si>
  <si>
    <t>P1967-02-017-2-3-301</t>
  </si>
  <si>
    <t>P1967-02-017-2-3-302</t>
  </si>
  <si>
    <t>P1967-02-017-2-3-303</t>
  </si>
  <si>
    <t>P1967-02-017-2-3-304</t>
  </si>
  <si>
    <t>P1967-02-018-1-1-101</t>
  </si>
  <si>
    <t>13号楼</t>
  </si>
  <si>
    <t>P1967-02-018-1-1-102</t>
  </si>
  <si>
    <t>P1967-02-018-1-1-103</t>
  </si>
  <si>
    <t>P1967-02-018-1-1-104</t>
  </si>
  <si>
    <t>P1967-02-018-1-3-301</t>
  </si>
  <si>
    <t>P1967-02-018-1-3-302</t>
  </si>
  <si>
    <t>P1967-02-018-1-3-303</t>
  </si>
  <si>
    <t>P1967-02-018-1-3-304</t>
  </si>
  <si>
    <t>P1967-02-018-2-1-101</t>
  </si>
  <si>
    <t>P1967-02-018-2-1-102</t>
  </si>
  <si>
    <t>P1967-02-018-2-1-103</t>
  </si>
  <si>
    <t>P1967-02-018-2-1-104</t>
  </si>
  <si>
    <t>P1967-02-018-2-3-301</t>
  </si>
  <si>
    <t>P1967-02-018-2-3-302</t>
  </si>
  <si>
    <t>P1967-02-018-2-3-303</t>
  </si>
  <si>
    <t>P1967-02-018-2-3-304</t>
  </si>
  <si>
    <t>P1967-02-018-3-1-101</t>
  </si>
  <si>
    <t>P1967-02-018-3-1-102</t>
  </si>
  <si>
    <t>P1967-02-018-3-1-103</t>
  </si>
  <si>
    <t>P1967-02-018-3-1-104</t>
  </si>
  <si>
    <t>P1967-02-018-3-3-301</t>
  </si>
  <si>
    <t>P1967-02-018-3-3-302</t>
  </si>
  <si>
    <t>P1967-02-018-3-3-303</t>
  </si>
  <si>
    <t>P1967-02-018-3-3-304</t>
  </si>
  <si>
    <t>P1967-02-019-1-1-101</t>
  </si>
  <si>
    <t>14号楼</t>
  </si>
  <si>
    <t>P1967-02-019-1-1-102</t>
  </si>
  <si>
    <t>P1967-02-019-1-1-103</t>
  </si>
  <si>
    <t>P1967-02-019-1-1-104</t>
  </si>
  <si>
    <t>P1967-02-019-1-3-301</t>
  </si>
  <si>
    <t>P1967-02-019-1-3-302</t>
  </si>
  <si>
    <t>P1967-02-019-1-3-303</t>
  </si>
  <si>
    <t>P1967-02-019-1-3-304</t>
  </si>
  <si>
    <t>P1967-02-019-2-1-101</t>
  </si>
  <si>
    <t>P1967-02-019-2-1-102</t>
  </si>
  <si>
    <t>P1967-02-019-2-1-103</t>
  </si>
  <si>
    <t>P1967-02-019-2-1-104</t>
  </si>
  <si>
    <t>P1967-02-019-2-3-301</t>
  </si>
  <si>
    <t>P1967-02-019-2-3-302</t>
  </si>
  <si>
    <t>P1967-02-019-2-3-303</t>
  </si>
  <si>
    <t>P1967-02-019-2-3-304</t>
  </si>
  <si>
    <t>P1967-02-019-3-1-101</t>
  </si>
  <si>
    <t>P1967-02-019-3-1-102</t>
  </si>
  <si>
    <t>P1967-02-019-3-1-103</t>
  </si>
  <si>
    <t>P1967-02-019-3-1-104</t>
  </si>
  <si>
    <t>P1967-02-019-3-3-301</t>
  </si>
  <si>
    <t>P1967-02-019-3-3-302</t>
  </si>
  <si>
    <t>P1967-02-019-3-3-303</t>
  </si>
  <si>
    <t>P1967-02-019-3-3-304</t>
  </si>
  <si>
    <t>P1967-02-020-1-1-101</t>
  </si>
  <si>
    <t>15号楼</t>
  </si>
  <si>
    <t>P1967-02-020-1-1-102</t>
  </si>
  <si>
    <t>P1967-02-020-1-1-103</t>
  </si>
  <si>
    <t>P1967-02-020-1-1-104</t>
  </si>
  <si>
    <t>P1967-02-020-1-3-301</t>
  </si>
  <si>
    <t>P1967-02-020-1-3-302</t>
  </si>
  <si>
    <t>P1967-02-020-1-3-303</t>
  </si>
  <si>
    <t>P1967-02-020-1-3-304</t>
  </si>
  <si>
    <t>P1967-02-020-2-1-101</t>
  </si>
  <si>
    <t>P1967-02-020-2-1-102</t>
  </si>
  <si>
    <t>P1967-02-020-2-1-103</t>
  </si>
  <si>
    <t>P1967-02-020-2-1-104</t>
  </si>
  <si>
    <t>P1967-02-020-2-3-301</t>
  </si>
  <si>
    <t>P1967-02-020-2-3-302</t>
  </si>
  <si>
    <t>P1967-02-020-2-3-303</t>
  </si>
  <si>
    <t>P1967-02-020-2-3-304</t>
  </si>
  <si>
    <t>P1967-02-020-3-1-101</t>
  </si>
  <si>
    <t>P1967-02-020-3-1-102</t>
  </si>
  <si>
    <t>P1967-02-020-3-1-103</t>
  </si>
  <si>
    <t>P1967-02-020-3-1-104</t>
  </si>
  <si>
    <t>P1967-02-020-3-3-301</t>
  </si>
  <si>
    <t>P1967-02-020-3-3-302</t>
  </si>
  <si>
    <t>P1967-02-020-3-3-303</t>
  </si>
  <si>
    <t>P1967-02-020-3-3-304</t>
  </si>
  <si>
    <t>P1967-02-021-1-1-101</t>
  </si>
  <si>
    <t>16号楼</t>
  </si>
  <si>
    <t>P1967-02-021-1-1-102</t>
  </si>
  <si>
    <t>P1967-02-021-1-1-103</t>
  </si>
  <si>
    <t>P1967-02-021-1-1-104</t>
  </si>
  <si>
    <t>P1967-02-021-1-3-301</t>
  </si>
  <si>
    <t>P1967-02-021-1-3-302</t>
  </si>
  <si>
    <t>P1967-02-021-1-3-303</t>
  </si>
  <si>
    <t>P1967-02-021-1-3-304</t>
  </si>
  <si>
    <t>P1967-02-021-2-1-101</t>
  </si>
  <si>
    <t>P1967-02-021-2-1-102</t>
  </si>
  <si>
    <t>P1967-02-021-2-1-103</t>
  </si>
  <si>
    <t>P1967-02-021-2-1-104</t>
  </si>
  <si>
    <t>P1967-02-021-2-3-301</t>
  </si>
  <si>
    <t>P1967-02-021-2-3-302</t>
  </si>
  <si>
    <t>P1967-02-021-2-3-303</t>
  </si>
  <si>
    <t>P1967-02-021-2-3-304</t>
  </si>
  <si>
    <t>P1967-02-022-1-1-101</t>
  </si>
  <si>
    <t>17号楼</t>
  </si>
  <si>
    <t>P1967-02-022-1-1-102</t>
  </si>
  <si>
    <t>P1967-02-022-1-1-103</t>
  </si>
  <si>
    <t>P1967-02-022-1-1-104</t>
  </si>
  <si>
    <t>P1967-02-022-1-3-301</t>
  </si>
  <si>
    <t>P1967-02-022-1-3-302</t>
  </si>
  <si>
    <t>P1967-02-022-1-3-303</t>
  </si>
  <si>
    <t>P1967-02-022-1-3-304</t>
  </si>
  <si>
    <t>P1967-02-022-2-1-101</t>
  </si>
  <si>
    <t>P1967-02-022-2-1-102</t>
  </si>
  <si>
    <t>P1967-02-022-2-1-103</t>
  </si>
  <si>
    <t>P1967-02-022-2-1-104</t>
  </si>
  <si>
    <t>P1967-02-022-2-3-301</t>
  </si>
  <si>
    <t>P1967-02-022-2-3-302</t>
  </si>
  <si>
    <t>P1967-02-022-2-3-303</t>
  </si>
  <si>
    <t>P1967-02-022-2-3-304</t>
  </si>
  <si>
    <t>P1967-02-023-1-1-101</t>
  </si>
  <si>
    <t>18号楼</t>
  </si>
  <si>
    <t>P1967-02-023-1-1-102</t>
  </si>
  <si>
    <t>P1967-02-023-1-1-103</t>
  </si>
  <si>
    <t>P1967-02-023-1-1-104</t>
  </si>
  <si>
    <t>P1967-02-023-1-3-301</t>
  </si>
  <si>
    <t>P1967-02-023-1-3-302</t>
  </si>
  <si>
    <t>P1967-02-023-1-3-303</t>
  </si>
  <si>
    <t>P1967-02-023-1-3-304</t>
  </si>
  <si>
    <t>P1967-02-023-2-1-101</t>
  </si>
  <si>
    <t>P1967-02-023-2-1-102</t>
  </si>
  <si>
    <t>P1967-02-023-2-1-103</t>
  </si>
  <si>
    <t>P1967-02-023-2-1-104</t>
  </si>
  <si>
    <t>P1967-02-023-2-3-301</t>
  </si>
  <si>
    <t>P1967-02-023-2-3-302</t>
  </si>
  <si>
    <t>P1967-02-023-2-3-303</t>
  </si>
  <si>
    <t>P1967-02-023-2-3-304</t>
  </si>
  <si>
    <t>P1967-02-023-3-1-101</t>
  </si>
  <si>
    <t>P1967-02-023-3-1-102</t>
  </si>
  <si>
    <t>P1967-02-023-3-1-103</t>
  </si>
  <si>
    <t>已网签未备案合同</t>
  </si>
  <si>
    <t>P1967-02-023-3-1-104</t>
  </si>
  <si>
    <t>P1967-02-023-3-3-301</t>
  </si>
  <si>
    <t>P1967-02-023-3-3-302</t>
  </si>
  <si>
    <t>P1967-02-023-3-3-303</t>
  </si>
  <si>
    <t>P1967-02-023-3-3-304</t>
  </si>
  <si>
    <t>P1967-03-001-1-10-1001</t>
  </si>
  <si>
    <t>A-07-01/02/03(乐源200亩）</t>
  </si>
  <si>
    <t>P1967-03-001-1-10-1002</t>
  </si>
  <si>
    <t>P1967-03-001-1-10-1003</t>
  </si>
  <si>
    <t>P1967-03-001-1-10-1004</t>
  </si>
  <si>
    <t>P1967-03-001-1-10-1005</t>
  </si>
  <si>
    <t>P1967-03-001-1-10-1006</t>
  </si>
  <si>
    <t>P1967-03-001-1-11-1101</t>
  </si>
  <si>
    <t>P1967-03-001-1-11-1102</t>
  </si>
  <si>
    <t>P1967-03-001-1-11-1103</t>
  </si>
  <si>
    <t>P1967-03-001-1-11-1104</t>
  </si>
  <si>
    <t>P1967-03-001-1-11-1105</t>
  </si>
  <si>
    <t>P1967-03-001-1-11-1106</t>
  </si>
  <si>
    <t>P1967-03-001-1-12-1201</t>
  </si>
  <si>
    <t>P1967-03-001-1-12-1202</t>
  </si>
  <si>
    <t>P1967-03-001-1-12-1203</t>
  </si>
  <si>
    <t>P1967-03-001-1-12-1204</t>
  </si>
  <si>
    <t>P1967-03-001-1-12-1205</t>
  </si>
  <si>
    <t>P1967-03-001-1-12-1206</t>
  </si>
  <si>
    <t>P1967-03-001-1-13-1301</t>
  </si>
  <si>
    <t>P1967-03-001-1-13-1302</t>
  </si>
  <si>
    <t>P1967-03-001-1-13-1303</t>
  </si>
  <si>
    <t>P1967-03-001-1-13-1304</t>
  </si>
  <si>
    <t>P1967-03-001-1-13-1305</t>
  </si>
  <si>
    <t>P1967-03-001-1-13-1306</t>
  </si>
  <si>
    <t>P1967-03-001-1-14-1401</t>
  </si>
  <si>
    <t>P1967-03-001-1-14-1402</t>
  </si>
  <si>
    <t>P1967-03-001-1-14-1403</t>
  </si>
  <si>
    <t>P1967-03-001-1-14-1404</t>
  </si>
  <si>
    <t>P1967-03-001-1-14-1405</t>
  </si>
  <si>
    <t>P1967-03-001-1-14-1406</t>
  </si>
  <si>
    <t>P1967-03-001-1-15-1501</t>
  </si>
  <si>
    <t>P1967-03-001-1-15-1502</t>
  </si>
  <si>
    <t>P1967-03-001-1-15-1503</t>
  </si>
  <si>
    <t>P1967-03-001-1-15-1504</t>
  </si>
  <si>
    <t>P1967-03-001-1-15-1505</t>
  </si>
  <si>
    <t>P1967-03-001-1-15-1506</t>
  </si>
  <si>
    <t>P1967-03-001-1-16-1601</t>
  </si>
  <si>
    <t>P1967-03-001-1-16-1602</t>
  </si>
  <si>
    <t>P1967-03-001-1-16-1603</t>
  </si>
  <si>
    <t>P1967-03-001-1-16-1604</t>
  </si>
  <si>
    <t>P1967-03-001-1-16-1605</t>
  </si>
  <si>
    <t>P1967-03-001-1-16-1606</t>
  </si>
  <si>
    <t>P1967-03-001-1-17-1701</t>
  </si>
  <si>
    <t>P1967-03-001-1-17-1702</t>
  </si>
  <si>
    <t>P1967-03-001-1-17-1703</t>
  </si>
  <si>
    <t>P1967-03-001-1-17-1704</t>
  </si>
  <si>
    <t>P1967-03-001-1-17-1705</t>
  </si>
  <si>
    <t>P1967-03-001-1-17-1706</t>
  </si>
  <si>
    <t>P1967-03-001-1-18-1801</t>
  </si>
  <si>
    <t>P1967-03-001-1-18-1802</t>
  </si>
  <si>
    <t>P1967-03-001-1-18-1803</t>
  </si>
  <si>
    <t>P1967-03-001-1-18-1804</t>
  </si>
  <si>
    <t>P1967-03-001-1-18-1805</t>
  </si>
  <si>
    <t>P1967-03-001-1-18-1806</t>
  </si>
  <si>
    <t>P1967-03-001-1-19-1901</t>
  </si>
  <si>
    <t>P1967-03-001-1-19-1902</t>
  </si>
  <si>
    <t>P1967-03-001-1-19-1903</t>
  </si>
  <si>
    <t>P1967-03-001-1-19-1904</t>
  </si>
  <si>
    <t>P1967-03-001-1-19-1905</t>
  </si>
  <si>
    <t>P1967-03-001-1-19-1906</t>
  </si>
  <si>
    <t>P1967-03-001-1-2-201</t>
  </si>
  <si>
    <t>P1967-03-001-1-2-202</t>
  </si>
  <si>
    <t>P1967-03-001-1-20-2001</t>
  </si>
  <si>
    <t>P1967-03-001-1-20-2002</t>
  </si>
  <si>
    <t>P1967-03-001-1-20-2003</t>
  </si>
  <si>
    <t>P1967-03-001-1-20-2004</t>
  </si>
  <si>
    <t>P1967-03-001-1-20-2005</t>
  </si>
  <si>
    <t>P1967-03-001-1-20-2006</t>
  </si>
  <si>
    <t>P1967-03-001-1-21-2101</t>
  </si>
  <si>
    <t>P1967-03-001-1-21-2102</t>
  </si>
  <si>
    <t>P1967-03-001-1-21-2103</t>
  </si>
  <si>
    <t>P1967-03-001-1-21-2104</t>
  </si>
  <si>
    <t>P1967-03-001-1-21-2105</t>
  </si>
  <si>
    <t>P1967-03-001-1-21-2106</t>
  </si>
  <si>
    <t>P1967-03-001-1-22-2201</t>
  </si>
  <si>
    <t>P1967-03-001-1-22-2202</t>
  </si>
  <si>
    <t>P1967-03-001-1-22-2203</t>
  </si>
  <si>
    <t>P1967-03-001-1-22-2204</t>
  </si>
  <si>
    <t>P1967-03-001-1-22-2205</t>
  </si>
  <si>
    <t>P1967-03-001-1-22-2206</t>
  </si>
  <si>
    <t>P1967-03-001-1-23-2301</t>
  </si>
  <si>
    <t>P1967-03-001-1-23-2302</t>
  </si>
  <si>
    <t>P1967-03-001-1-23-2303</t>
  </si>
  <si>
    <t>P1967-03-001-1-23-2304</t>
  </si>
  <si>
    <t>P1967-03-001-1-23-2305</t>
  </si>
  <si>
    <t>P1967-03-001-1-23-2306</t>
  </si>
  <si>
    <t>P1967-03-001-1-24-2401</t>
  </si>
  <si>
    <t>P1967-03-001-1-24-2402</t>
  </si>
  <si>
    <t>P1967-03-001-1-24-2403</t>
  </si>
  <si>
    <t>P1967-03-001-1-24-2404</t>
  </si>
  <si>
    <t>P1967-03-001-1-24-2405</t>
  </si>
  <si>
    <t>P1967-03-001-1-24-2406</t>
  </si>
  <si>
    <t>P1967-03-001-1-25-2501</t>
  </si>
  <si>
    <t>P1967-03-001-1-25-2502</t>
  </si>
  <si>
    <t>P1967-03-001-1-25-2503</t>
  </si>
  <si>
    <t>P1967-03-001-1-25-2504</t>
  </si>
  <si>
    <t>P1967-03-001-1-25-2505</t>
  </si>
  <si>
    <t>P1967-03-001-1-25-2506</t>
  </si>
  <si>
    <t>P1967-03-001-1-26-2601</t>
  </si>
  <si>
    <t>P1967-03-001-1-26-2602</t>
  </si>
  <si>
    <t>P1967-03-001-1-26-2603</t>
  </si>
  <si>
    <t>P1967-03-001-1-26-2604</t>
  </si>
  <si>
    <t>P1967-03-001-1-26-2605</t>
  </si>
  <si>
    <t>P1967-03-001-1-26-2606</t>
  </si>
  <si>
    <t>P1967-03-001-1-3-301</t>
  </si>
  <si>
    <t>P1967-03-001-1-3-302</t>
  </si>
  <si>
    <t>P1967-03-001-1-3-303</t>
  </si>
  <si>
    <t>P1967-03-001-1-3-304</t>
  </si>
  <si>
    <t>P1967-03-001-1-3-305</t>
  </si>
  <si>
    <t>P1967-03-001-1-3-306</t>
  </si>
  <si>
    <t>P1967-03-001-1-4-401</t>
  </si>
  <si>
    <t>P1967-03-001-1-4-402</t>
  </si>
  <si>
    <t>P1967-03-001-1-4-403</t>
  </si>
  <si>
    <t>P1967-03-001-1-4-404</t>
  </si>
  <si>
    <t>P1967-03-001-1-4-405</t>
  </si>
  <si>
    <t>P1967-03-001-1-4-406</t>
  </si>
  <si>
    <t>P1967-03-001-1-5-501</t>
  </si>
  <si>
    <t>P1967-03-001-1-5-502</t>
  </si>
  <si>
    <t>P1967-03-001-1-5-503</t>
  </si>
  <si>
    <t>P1967-03-001-1-5-504</t>
  </si>
  <si>
    <t>P1967-03-001-1-5-505</t>
  </si>
  <si>
    <t>P1967-03-001-1-5-506</t>
  </si>
  <si>
    <t>P1967-03-001-1-6-601</t>
  </si>
  <si>
    <t>P1967-03-001-1-6-602</t>
  </si>
  <si>
    <t>P1967-03-001-1-6-603</t>
  </si>
  <si>
    <t>P1967-03-001-1-6-604</t>
  </si>
  <si>
    <t>P1967-03-001-1-6-605</t>
  </si>
  <si>
    <t>P1967-03-001-1-6-606</t>
  </si>
  <si>
    <t>P1967-03-001-1-7-701</t>
  </si>
  <si>
    <t>P1967-03-001-1-7-702</t>
  </si>
  <si>
    <t>P1967-03-001-1-7-703</t>
  </si>
  <si>
    <t>P1967-03-001-1-7-704</t>
  </si>
  <si>
    <t>P1967-03-001-1-7-705</t>
  </si>
  <si>
    <t>P1967-03-001-1-7-706</t>
  </si>
  <si>
    <t>P1967-03-001-1-8-801</t>
  </si>
  <si>
    <t>P1967-03-001-1-8-802</t>
  </si>
  <si>
    <t>P1967-03-001-1-8-803</t>
  </si>
  <si>
    <t>P1967-03-001-1-8-804</t>
  </si>
  <si>
    <t>P1967-03-001-1-8-805</t>
  </si>
  <si>
    <t>P1967-03-001-1-8-806</t>
  </si>
  <si>
    <t>P1967-03-001-1-9-901</t>
  </si>
  <si>
    <t>P1967-03-001-1-9-902</t>
  </si>
  <si>
    <t>P1967-03-001-1-9-903</t>
  </si>
  <si>
    <t>P1967-03-001-1-9-904</t>
  </si>
  <si>
    <t>P1967-03-001-1-9-905</t>
  </si>
  <si>
    <t>P1967-03-001-1-9-906</t>
  </si>
  <si>
    <t>P1967-03-002-1-1-101</t>
  </si>
  <si>
    <t>P1967-03-002-1-1-102</t>
  </si>
  <si>
    <t>P1967-03-002-1-1-103</t>
  </si>
  <si>
    <t>P1967-03-002-1-10-1001</t>
  </si>
  <si>
    <t>P1967-03-002-1-10-1002</t>
  </si>
  <si>
    <t>P1967-03-002-1-10-1003</t>
  </si>
  <si>
    <t>P1967-03-002-1-10-1004</t>
  </si>
  <si>
    <t>P1967-03-002-1-10-1005</t>
  </si>
  <si>
    <t>P1967-03-002-1-10-1006</t>
  </si>
  <si>
    <t>P1967-03-002-1-11-1101</t>
  </si>
  <si>
    <t>P1967-03-002-1-11-1102</t>
  </si>
  <si>
    <t>P1967-03-002-1-11-1103</t>
  </si>
  <si>
    <t>P1967-03-002-1-11-1104</t>
  </si>
  <si>
    <t>P1967-03-002-1-11-1105</t>
  </si>
  <si>
    <t>P1967-03-002-1-11-1106</t>
  </si>
  <si>
    <t>P1967-03-002-1-12-1201</t>
  </si>
  <si>
    <t>P1967-03-002-1-12-1202</t>
  </si>
  <si>
    <t>P1967-03-002-1-12-1203</t>
  </si>
  <si>
    <t>P1967-03-002-1-12-1204</t>
  </si>
  <si>
    <t>P1967-03-002-1-12-1205</t>
  </si>
  <si>
    <t>P1967-03-002-1-12-1206</t>
  </si>
  <si>
    <t>P1967-03-002-1-13-1301</t>
  </si>
  <si>
    <t>P1967-03-002-1-13-1302</t>
  </si>
  <si>
    <t>P1967-03-002-1-13-1303</t>
  </si>
  <si>
    <t>P1967-03-002-1-13-1304</t>
  </si>
  <si>
    <t>P1967-03-002-1-13-1305</t>
  </si>
  <si>
    <t>P1967-03-002-1-13-1306</t>
  </si>
  <si>
    <t>P1967-03-002-1-14-1401</t>
  </si>
  <si>
    <t>P1967-03-002-1-14-1402</t>
  </si>
  <si>
    <t>P1967-03-002-1-14-1403</t>
  </si>
  <si>
    <t>P1967-03-002-1-14-1404</t>
  </si>
  <si>
    <t>P1967-03-002-1-14-1405</t>
  </si>
  <si>
    <t>P1967-03-002-1-14-1406</t>
  </si>
  <si>
    <t>P1967-03-002-1-15-1501</t>
  </si>
  <si>
    <t>P1967-03-002-1-15-1502</t>
  </si>
  <si>
    <t>P1967-03-002-1-15-1503</t>
  </si>
  <si>
    <t>P1967-03-002-1-15-1504</t>
  </si>
  <si>
    <t>P1967-03-002-1-15-1505</t>
  </si>
  <si>
    <t>P1967-03-002-1-15-1506</t>
  </si>
  <si>
    <t>P1967-03-002-1-16-1601</t>
  </si>
  <si>
    <t>P1967-03-002-1-16-1602</t>
  </si>
  <si>
    <t>P1967-03-002-1-16-1603</t>
  </si>
  <si>
    <t>P1967-03-002-1-16-1604</t>
  </si>
  <si>
    <t>P1967-03-002-1-16-1605</t>
  </si>
  <si>
    <t>P1967-03-002-1-16-1606</t>
  </si>
  <si>
    <t>P1967-03-002-1-17-1701</t>
  </si>
  <si>
    <t>P1967-03-002-1-17-1702</t>
  </si>
  <si>
    <t>P1967-03-002-1-17-1703</t>
  </si>
  <si>
    <t>P1967-03-002-1-17-1704</t>
  </si>
  <si>
    <t>P1967-03-002-1-17-1705</t>
  </si>
  <si>
    <t>P1967-03-002-1-17-1706</t>
  </si>
  <si>
    <t>P1967-03-002-1-18-1801</t>
  </si>
  <si>
    <t>P1967-03-002-1-18-1802</t>
  </si>
  <si>
    <t>P1967-03-002-1-18-1803</t>
  </si>
  <si>
    <t>P1967-03-002-1-18-1804</t>
  </si>
  <si>
    <t>P1967-03-002-1-18-1805</t>
  </si>
  <si>
    <t>P1967-03-002-1-18-1806</t>
  </si>
  <si>
    <t>P1967-03-002-1-19-1901</t>
  </si>
  <si>
    <t>P1967-03-002-1-19-1902</t>
  </si>
  <si>
    <t>P1967-03-002-1-19-1903</t>
  </si>
  <si>
    <t>P1967-03-002-1-19-1904</t>
  </si>
  <si>
    <t>P1967-03-002-1-19-1905</t>
  </si>
  <si>
    <t>P1967-03-002-1-19-1906</t>
  </si>
  <si>
    <t>P1967-03-002-1-2-201</t>
  </si>
  <si>
    <t>P1967-03-002-1-2-202</t>
  </si>
  <si>
    <t>P1967-03-002-1-2-203</t>
  </si>
  <si>
    <t>P1967-03-002-1-20-2001</t>
  </si>
  <si>
    <t>P1967-03-002-1-20-2002</t>
  </si>
  <si>
    <t>P1967-03-002-1-20-2003</t>
  </si>
  <si>
    <t>P1967-03-002-1-20-2004</t>
  </si>
  <si>
    <t>P1967-03-002-1-20-2005</t>
  </si>
  <si>
    <t>P1967-03-002-1-20-2006</t>
  </si>
  <si>
    <t>P1967-03-002-1-21-2101</t>
  </si>
  <si>
    <t>P1967-03-002-1-21-2102</t>
  </si>
  <si>
    <t>P1967-03-002-1-21-2103</t>
  </si>
  <si>
    <t>P1967-03-002-1-21-2104</t>
  </si>
  <si>
    <t>P1967-03-002-1-21-2105</t>
  </si>
  <si>
    <t>P1967-03-002-1-21-2106</t>
  </si>
  <si>
    <t>P1967-03-002-1-22-2201</t>
  </si>
  <si>
    <t>P1967-03-002-1-22-2202</t>
  </si>
  <si>
    <t>P1967-03-002-1-22-2203</t>
  </si>
  <si>
    <t>P1967-03-002-1-22-2204</t>
  </si>
  <si>
    <t>P1967-03-002-1-22-2205</t>
  </si>
  <si>
    <t>P1967-03-002-1-22-2206</t>
  </si>
  <si>
    <t>P1967-03-002-1-23-2301</t>
  </si>
  <si>
    <t>P1967-03-002-1-23-2302</t>
  </si>
  <si>
    <t>P1967-03-002-1-23-2303</t>
  </si>
  <si>
    <t>P1967-03-002-1-23-2304</t>
  </si>
  <si>
    <t>P1967-03-002-1-23-2305</t>
  </si>
  <si>
    <t>P1967-03-002-1-23-2306</t>
  </si>
  <si>
    <t>P1967-03-002-1-24-2401</t>
  </si>
  <si>
    <t>P1967-03-002-1-24-2402</t>
  </si>
  <si>
    <t>P1967-03-002-1-24-2403</t>
  </si>
  <si>
    <t>P1967-03-002-1-24-2404</t>
  </si>
  <si>
    <t>P1967-03-002-1-24-2405</t>
  </si>
  <si>
    <t>P1967-03-002-1-24-2406</t>
  </si>
  <si>
    <t>P1967-03-002-1-25-2501</t>
  </si>
  <si>
    <t>P1967-03-002-1-25-2502</t>
  </si>
  <si>
    <t>P1967-03-002-1-25-2503</t>
  </si>
  <si>
    <t>P1967-03-002-1-25-2504</t>
  </si>
  <si>
    <t>P1967-03-002-1-25-2505</t>
  </si>
  <si>
    <t>P1967-03-002-1-25-2506</t>
  </si>
  <si>
    <t>P1967-03-002-1-26-2601</t>
  </si>
  <si>
    <t>P1967-03-002-1-26-2602</t>
  </si>
  <si>
    <t>P1967-03-002-1-26-2603</t>
  </si>
  <si>
    <t>P1967-03-002-1-26-2604</t>
  </si>
  <si>
    <t>P1967-03-002-1-26-2605</t>
  </si>
  <si>
    <t>P1967-03-002-1-26-2606</t>
  </si>
  <si>
    <t>P1967-03-002-1-3-301</t>
  </si>
  <si>
    <t>P1967-03-002-1-3-302</t>
  </si>
  <si>
    <t>P1967-03-002-1-3-303</t>
  </si>
  <si>
    <t>P1967-03-002-1-3-304</t>
  </si>
  <si>
    <t>P1967-03-002-1-3-305</t>
  </si>
  <si>
    <t>P1967-03-002-1-3-306</t>
  </si>
  <si>
    <t>P1967-03-002-1-4-401</t>
  </si>
  <si>
    <t>P1967-03-002-1-4-402</t>
  </si>
  <si>
    <t>P1967-03-002-1-4-403</t>
  </si>
  <si>
    <t>P1967-03-002-1-4-404</t>
  </si>
  <si>
    <t>P1967-03-002-1-4-405</t>
  </si>
  <si>
    <t>P1967-03-002-1-4-406</t>
  </si>
  <si>
    <t>P1967-03-002-1-5-501</t>
  </si>
  <si>
    <t>P1967-03-002-1-5-502</t>
  </si>
  <si>
    <t>P1967-03-002-1-5-503</t>
  </si>
  <si>
    <t>P1967-03-002-1-5-504</t>
  </si>
  <si>
    <t>P1967-03-002-1-5-505</t>
  </si>
  <si>
    <t>P1967-03-002-1-5-506</t>
  </si>
  <si>
    <t>P1967-03-002-1-6-601</t>
  </si>
  <si>
    <t>P1967-03-002-1-6-602</t>
  </si>
  <si>
    <t>P1967-03-002-1-6-603</t>
  </si>
  <si>
    <t>P1967-03-002-1-6-604</t>
  </si>
  <si>
    <t>P1967-03-002-1-6-605</t>
  </si>
  <si>
    <t>P1967-03-002-1-6-606</t>
  </si>
  <si>
    <t>P1967-03-002-1-7-701</t>
  </si>
  <si>
    <t>P1967-03-002-1-7-702</t>
  </si>
  <si>
    <t>P1967-03-002-1-7-703</t>
  </si>
  <si>
    <t>P1967-03-002-1-7-704</t>
  </si>
  <si>
    <t>P1967-03-002-1-7-705</t>
  </si>
  <si>
    <t>P1967-03-002-1-7-706</t>
  </si>
  <si>
    <t>P1967-03-002-1-8-801</t>
  </si>
  <si>
    <t>P1967-03-002-1-8-802</t>
  </si>
  <si>
    <t>P1967-03-002-1-8-803</t>
  </si>
  <si>
    <t>P1967-03-002-1-8-804</t>
  </si>
  <si>
    <t>P1967-03-002-1-8-805</t>
  </si>
  <si>
    <t>P1967-03-002-1-8-806</t>
  </si>
  <si>
    <t>P1967-03-002-1-9-901</t>
  </si>
  <si>
    <t>P1967-03-002-1-9-902</t>
  </si>
  <si>
    <t>P1967-03-002-1-9-903</t>
  </si>
  <si>
    <t>P1967-03-002-1-9-904</t>
  </si>
  <si>
    <t>P1967-03-002-1-9-905</t>
  </si>
  <si>
    <t>P1967-03-002-1-9-906</t>
  </si>
  <si>
    <t>P1967-03-003-1-10-1001</t>
  </si>
  <si>
    <t>P1967-03-003-1-10-1002</t>
  </si>
  <si>
    <t>P1967-03-003-1-10-1003</t>
  </si>
  <si>
    <t>P1967-03-003-1-10-1004</t>
  </si>
  <si>
    <t>P1967-03-003-1-10-1005</t>
  </si>
  <si>
    <t>P1967-03-003-1-10-1006</t>
  </si>
  <si>
    <t>P1967-03-003-1-11-1101</t>
  </si>
  <si>
    <t>P1967-03-003-1-11-1102</t>
  </si>
  <si>
    <t>P1967-03-003-1-11-1103</t>
  </si>
  <si>
    <t>P1967-03-003-1-11-1104</t>
  </si>
  <si>
    <t>P1967-03-003-1-11-1105</t>
  </si>
  <si>
    <t>P1967-03-003-1-11-1106</t>
  </si>
  <si>
    <t>P1967-03-003-1-12-1201</t>
  </si>
  <si>
    <t>P1967-03-003-1-12-1202</t>
  </si>
  <si>
    <t>P1967-03-003-1-12-1203</t>
  </si>
  <si>
    <t>P1967-03-003-1-12-1204</t>
  </si>
  <si>
    <t>P1967-03-003-1-12-1205</t>
  </si>
  <si>
    <t>P1967-03-003-1-12-1206</t>
  </si>
  <si>
    <t>P1967-03-003-1-13-1301</t>
  </si>
  <si>
    <t>P1967-03-003-1-13-1302</t>
  </si>
  <si>
    <t>P1967-03-003-1-13-1303</t>
  </si>
  <si>
    <t>P1967-03-003-1-13-1304</t>
  </si>
  <si>
    <t>P1967-03-003-1-13-1305</t>
  </si>
  <si>
    <t>P1967-03-003-1-13-1306</t>
  </si>
  <si>
    <t>P1967-03-003-1-14-1401</t>
  </si>
  <si>
    <t>P1967-03-003-1-14-1402</t>
  </si>
  <si>
    <t>P1967-03-003-1-14-1403</t>
  </si>
  <si>
    <t>P1967-03-003-1-14-1404</t>
  </si>
  <si>
    <t>P1967-03-003-1-14-1405</t>
  </si>
  <si>
    <t>P1967-03-003-1-14-1406</t>
  </si>
  <si>
    <t>P1967-03-003-1-15-1501</t>
  </si>
  <si>
    <t>P1967-03-003-1-15-1502</t>
  </si>
  <si>
    <t>P1967-03-003-1-15-1503</t>
  </si>
  <si>
    <t>P1967-03-003-1-15-1504</t>
  </si>
  <si>
    <t>P1967-03-003-1-15-1505</t>
  </si>
  <si>
    <t>P1967-03-003-1-15-1506</t>
  </si>
  <si>
    <t>P1967-03-003-1-16-1601</t>
  </si>
  <si>
    <t>P1967-03-003-1-16-1602</t>
  </si>
  <si>
    <t>P1967-03-003-1-16-1603</t>
  </si>
  <si>
    <t>P1967-03-003-1-16-1604</t>
  </si>
  <si>
    <t>P1967-03-003-1-16-1605</t>
  </si>
  <si>
    <t>P1967-03-003-1-16-1606</t>
  </si>
  <si>
    <t>P1967-03-003-1-17-1701</t>
  </si>
  <si>
    <t>P1967-03-003-1-17-1702</t>
  </si>
  <si>
    <t>P1967-03-003-1-17-1703</t>
  </si>
  <si>
    <t>P1967-03-003-1-17-1704</t>
  </si>
  <si>
    <t>P1967-03-003-1-17-1705</t>
  </si>
  <si>
    <t>P1967-03-003-1-17-1706</t>
  </si>
  <si>
    <t>P1967-03-003-1-18-1801</t>
  </si>
  <si>
    <t>P1967-03-003-1-18-1802</t>
  </si>
  <si>
    <t>P1967-03-003-1-18-1803</t>
  </si>
  <si>
    <t>P1967-03-003-1-18-1804</t>
  </si>
  <si>
    <t>P1967-03-003-1-18-1805</t>
  </si>
  <si>
    <t>P1967-03-003-1-18-1806</t>
  </si>
  <si>
    <t>P1967-03-003-1-19-1901</t>
  </si>
  <si>
    <t>P1967-03-003-1-19-1902</t>
  </si>
  <si>
    <t>P1967-03-003-1-19-1903</t>
  </si>
  <si>
    <t>P1967-03-003-1-19-1904</t>
  </si>
  <si>
    <t>P1967-03-003-1-19-1905</t>
  </si>
  <si>
    <t>P1967-03-003-1-19-1906</t>
  </si>
  <si>
    <t>P1967-03-003-1-2-201</t>
  </si>
  <si>
    <t>P1967-03-003-1-2-202</t>
  </si>
  <si>
    <t>P1967-03-003-1-2-203</t>
  </si>
  <si>
    <t>P1967-03-003-1-2-204</t>
  </si>
  <si>
    <t>P1967-03-003-1-2-205</t>
  </si>
  <si>
    <t>P1967-03-003-1-20-2001</t>
  </si>
  <si>
    <t>P1967-03-003-1-20-2002</t>
  </si>
  <si>
    <t>P1967-03-003-1-20-2003</t>
  </si>
  <si>
    <t>P1967-03-003-1-20-2004</t>
  </si>
  <si>
    <t>P1967-03-003-1-20-2005</t>
  </si>
  <si>
    <t>P1967-03-003-1-20-2006</t>
  </si>
  <si>
    <t>P1967-03-003-1-21-2101</t>
  </si>
  <si>
    <t>P1967-03-003-1-21-2102</t>
  </si>
  <si>
    <t>P1967-03-003-1-21-2103</t>
  </si>
  <si>
    <t>P1967-03-003-1-21-2104</t>
  </si>
  <si>
    <t>P1967-03-003-1-21-2105</t>
  </si>
  <si>
    <t>P1967-03-003-1-21-2106</t>
  </si>
  <si>
    <t>P1967-03-003-1-22-2201</t>
  </si>
  <si>
    <t>P1967-03-003-1-22-2202</t>
  </si>
  <si>
    <t>P1967-03-003-1-22-2203</t>
  </si>
  <si>
    <t>P1967-03-003-1-22-2204</t>
  </si>
  <si>
    <t>P1967-03-003-1-22-2205</t>
  </si>
  <si>
    <t>P1967-03-003-1-22-2206</t>
  </si>
  <si>
    <t>P1967-03-003-1-23-2301</t>
  </si>
  <si>
    <t>P1967-03-003-1-23-2302</t>
  </si>
  <si>
    <t>P1967-03-003-1-23-2303</t>
  </si>
  <si>
    <t>P1967-03-003-1-23-2304</t>
  </si>
  <si>
    <t>P1967-03-003-1-23-2305</t>
  </si>
  <si>
    <t>P1967-03-003-1-23-2306</t>
  </si>
  <si>
    <t>P1967-03-003-1-24-2401</t>
  </si>
  <si>
    <t>P1967-03-003-1-24-2402</t>
  </si>
  <si>
    <t>P1967-03-003-1-24-2403</t>
  </si>
  <si>
    <t>P1967-03-003-1-24-2404</t>
  </si>
  <si>
    <t>P1967-03-003-1-24-2405</t>
  </si>
  <si>
    <t>P1967-03-003-1-24-2406</t>
  </si>
  <si>
    <t>P1967-03-003-1-25-2501</t>
  </si>
  <si>
    <t>P1967-03-003-1-25-2502</t>
  </si>
  <si>
    <t>P1967-03-003-1-25-2503</t>
  </si>
  <si>
    <t>P1967-03-003-1-25-2504</t>
  </si>
  <si>
    <t>P1967-03-003-1-25-2505</t>
  </si>
  <si>
    <t>P1967-03-003-1-25-2506</t>
  </si>
  <si>
    <t>P1967-03-003-1-26-2601</t>
  </si>
  <si>
    <t>P1967-03-003-1-26-2602</t>
  </si>
  <si>
    <t>P1967-03-003-1-26-2603</t>
  </si>
  <si>
    <t>P1967-03-003-1-26-2604</t>
  </si>
  <si>
    <t>P1967-03-003-1-26-2605</t>
  </si>
  <si>
    <t>P1967-03-003-1-26-2606</t>
  </si>
  <si>
    <t>P1967-03-003-1-3-301</t>
  </si>
  <si>
    <t>P1967-03-003-1-3-302</t>
  </si>
  <si>
    <t>P1967-03-003-1-3-303</t>
  </si>
  <si>
    <t>P1967-03-003-1-3-304</t>
  </si>
  <si>
    <t>P1967-03-003-1-3-305</t>
  </si>
  <si>
    <t>P1967-03-003-1-3-306</t>
  </si>
  <si>
    <t>P1967-03-003-1-4-401</t>
  </si>
  <si>
    <t>P1967-03-003-1-4-402</t>
  </si>
  <si>
    <t>P1967-03-003-1-4-403</t>
  </si>
  <si>
    <t>P1967-03-003-1-4-404</t>
  </si>
  <si>
    <t>P1967-03-003-1-4-405</t>
  </si>
  <si>
    <t>P1967-03-003-1-4-406</t>
  </si>
  <si>
    <t>P1967-03-003-1-5-501</t>
  </si>
  <si>
    <t>P1967-03-003-1-5-502</t>
  </si>
  <si>
    <t>P1967-03-003-1-5-503</t>
  </si>
  <si>
    <t>P1967-03-003-1-5-504</t>
  </si>
  <si>
    <t>P1967-03-003-1-5-505</t>
  </si>
  <si>
    <t>P1967-03-003-1-5-506</t>
  </si>
  <si>
    <t>P1967-03-003-1-6-601</t>
  </si>
  <si>
    <t>P1967-03-003-1-6-602</t>
  </si>
  <si>
    <t>P1967-03-003-1-6-603</t>
  </si>
  <si>
    <t>P1967-03-003-1-6-604</t>
  </si>
  <si>
    <t>P1967-03-003-1-6-605</t>
  </si>
  <si>
    <t>P1967-03-003-1-6-606</t>
  </si>
  <si>
    <t>P1967-03-003-1-7-701</t>
  </si>
  <si>
    <t>P1967-03-003-1-7-702</t>
  </si>
  <si>
    <t>P1967-03-003-1-7-703</t>
  </si>
  <si>
    <t>P1967-03-003-1-7-704</t>
  </si>
  <si>
    <t>P1967-03-003-1-7-705</t>
  </si>
  <si>
    <t>P1967-03-003-1-7-706</t>
  </si>
  <si>
    <t>P1967-03-003-1-8-801</t>
  </si>
  <si>
    <t>P1967-03-003-1-8-802</t>
  </si>
  <si>
    <t>P1967-03-003-1-8-803</t>
  </si>
  <si>
    <t>P1967-03-003-1-8-804</t>
  </si>
  <si>
    <t>P1967-03-003-1-8-805</t>
  </si>
  <si>
    <t>P1967-03-003-1-8-806</t>
  </si>
  <si>
    <t>P1967-03-003-1-9-901</t>
  </si>
  <si>
    <t>P1967-03-003-1-9-902</t>
  </si>
  <si>
    <t>P1967-03-003-1-9-903</t>
  </si>
  <si>
    <t>P1967-03-003-1-9-904</t>
  </si>
  <si>
    <t>P1967-03-003-1-9-905</t>
  </si>
  <si>
    <t>P1967-03-003-1-9-906</t>
  </si>
  <si>
    <t>P1967-03-004-1-10-1001</t>
  </si>
  <si>
    <t>P1967-03-004-1-10-1002</t>
  </si>
  <si>
    <t>P1967-03-004-1-10-1003</t>
  </si>
  <si>
    <t>P1967-03-004-1-10-1004</t>
  </si>
  <si>
    <t>P1967-03-004-1-10-1005</t>
  </si>
  <si>
    <t>P1967-03-004-1-10-1006</t>
  </si>
  <si>
    <t>P1967-03-004-1-11-1101</t>
  </si>
  <si>
    <t>P1967-03-004-1-11-1102</t>
  </si>
  <si>
    <t>P1967-03-004-1-11-1103</t>
  </si>
  <si>
    <t>P1967-03-004-1-11-1104</t>
  </si>
  <si>
    <t>P1967-03-004-1-11-1105</t>
  </si>
  <si>
    <t>P1967-03-004-1-11-1106</t>
  </si>
  <si>
    <t>P1967-03-004-1-12-1201</t>
  </si>
  <si>
    <t>P1967-03-004-1-12-1202</t>
  </si>
  <si>
    <t>P1967-03-004-1-12-1203</t>
  </si>
  <si>
    <t>P1967-03-004-1-12-1204</t>
  </si>
  <si>
    <t>P1967-03-004-1-12-1205</t>
  </si>
  <si>
    <t>P1967-03-004-1-12-1206</t>
  </si>
  <si>
    <t>P1967-03-004-1-13-1301</t>
  </si>
  <si>
    <t>P1967-03-004-1-13-1302</t>
  </si>
  <si>
    <t>P1967-03-004-1-13-1303</t>
  </si>
  <si>
    <t>P1967-03-004-1-13-1304</t>
  </si>
  <si>
    <t>P1967-03-004-1-13-1305</t>
  </si>
  <si>
    <t>P1967-03-004-1-13-1306</t>
  </si>
  <si>
    <t>P1967-03-004-1-14-1401</t>
  </si>
  <si>
    <t>P1967-03-004-1-14-1402</t>
  </si>
  <si>
    <t>P1967-03-004-1-14-1403</t>
  </si>
  <si>
    <t>P1967-03-004-1-14-1404</t>
  </si>
  <si>
    <t>P1967-03-004-1-14-1405</t>
  </si>
  <si>
    <t>P1967-03-004-1-14-1406</t>
  </si>
  <si>
    <t>P1967-03-004-1-15-1501</t>
  </si>
  <si>
    <t>P1967-03-004-1-15-1502</t>
  </si>
  <si>
    <t>P1967-03-004-1-15-1503</t>
  </si>
  <si>
    <t>P1967-03-004-1-15-1504</t>
  </si>
  <si>
    <t>P1967-03-004-1-15-1505</t>
  </si>
  <si>
    <t>P1967-03-004-1-15-1506</t>
  </si>
  <si>
    <t>P1967-03-004-1-16-1601</t>
  </si>
  <si>
    <t>P1967-03-004-1-16-1602</t>
  </si>
  <si>
    <t>P1967-03-004-1-16-1603</t>
  </si>
  <si>
    <t>P1967-03-004-1-16-1604</t>
  </si>
  <si>
    <t>P1967-03-004-1-16-1605</t>
  </si>
  <si>
    <t>P1967-03-004-1-16-1606</t>
  </si>
  <si>
    <t>P1967-03-004-1-17-1701</t>
  </si>
  <si>
    <t>P1967-03-004-1-17-1702</t>
  </si>
  <si>
    <t>P1967-03-004-1-17-1703</t>
  </si>
  <si>
    <t>P1967-03-004-1-17-1704</t>
  </si>
  <si>
    <t>P1967-03-004-1-17-1705</t>
  </si>
  <si>
    <t>P1967-03-004-1-17-1706</t>
  </si>
  <si>
    <t>P1967-03-004-1-18-1801</t>
  </si>
  <si>
    <t>P1967-03-004-1-18-1802</t>
  </si>
  <si>
    <t>P1967-03-004-1-18-1803</t>
  </si>
  <si>
    <t>P1967-03-004-1-18-1804</t>
  </si>
  <si>
    <t>P1967-03-004-1-18-1805</t>
  </si>
  <si>
    <t>P1967-03-004-1-18-1806</t>
  </si>
  <si>
    <t>P1967-03-004-1-19-1901</t>
  </si>
  <si>
    <t>P1967-03-004-1-19-1902</t>
  </si>
  <si>
    <t>P1967-03-004-1-19-1903</t>
  </si>
  <si>
    <t>P1967-03-004-1-19-1904</t>
  </si>
  <si>
    <t>P1967-03-004-1-19-1905</t>
  </si>
  <si>
    <t>P1967-03-004-1-19-1906</t>
  </si>
  <si>
    <t>P1967-03-004-1-2-201</t>
  </si>
  <si>
    <t>P1967-03-004-1-2-202</t>
  </si>
  <si>
    <t>P1967-03-004-1-2-203</t>
  </si>
  <si>
    <t>P1967-03-004-1-2-204</t>
  </si>
  <si>
    <t>P1967-03-004-1-2-205</t>
  </si>
  <si>
    <t>P1967-03-004-1-20-2001</t>
  </si>
  <si>
    <t>P1967-03-004-1-20-2002</t>
  </si>
  <si>
    <t>P1967-03-004-1-20-2003</t>
  </si>
  <si>
    <t>P1967-03-004-1-20-2004</t>
  </si>
  <si>
    <t>P1967-03-004-1-20-2005</t>
  </si>
  <si>
    <t>P1967-03-004-1-20-2006</t>
  </si>
  <si>
    <t>P1967-03-004-1-21-2101</t>
  </si>
  <si>
    <t>P1967-03-004-1-21-2102</t>
  </si>
  <si>
    <t>P1967-03-004-1-21-2103</t>
  </si>
  <si>
    <t>P1967-03-004-1-21-2104</t>
  </si>
  <si>
    <t>P1967-03-004-1-21-2105</t>
  </si>
  <si>
    <t>P1967-03-004-1-21-2106</t>
  </si>
  <si>
    <t>P1967-03-004-1-3-301</t>
  </si>
  <si>
    <t>P1967-03-004-1-3-302</t>
  </si>
  <si>
    <t>P1967-03-004-1-3-303</t>
  </si>
  <si>
    <t>P1967-03-004-1-3-304</t>
  </si>
  <si>
    <t>P1967-03-004-1-3-305</t>
  </si>
  <si>
    <t>P1967-03-004-1-3-306</t>
  </si>
  <si>
    <t>P1967-03-004-1-4-401</t>
  </si>
  <si>
    <t>P1967-03-004-1-4-402</t>
  </si>
  <si>
    <t>P1967-03-004-1-4-403</t>
  </si>
  <si>
    <t>P1967-03-004-1-4-404</t>
  </si>
  <si>
    <t>P1967-03-004-1-4-405</t>
  </si>
  <si>
    <t>P1967-03-004-1-4-406</t>
  </si>
  <si>
    <t>P1967-03-004-1-5-501</t>
  </si>
  <si>
    <t>P1967-03-004-1-5-502</t>
  </si>
  <si>
    <t>P1967-03-004-1-5-503</t>
  </si>
  <si>
    <t>P1967-03-004-1-5-504</t>
  </si>
  <si>
    <t>P1967-03-004-1-5-505</t>
  </si>
  <si>
    <t>P1967-03-004-1-5-506</t>
  </si>
  <si>
    <t>P1967-03-004-1-6-601</t>
  </si>
  <si>
    <t>P1967-03-004-1-6-602</t>
  </si>
  <si>
    <t>P1967-03-004-1-6-603</t>
  </si>
  <si>
    <t>P1967-03-004-1-6-604</t>
  </si>
  <si>
    <t>P1967-03-004-1-6-605</t>
  </si>
  <si>
    <t>P1967-03-004-1-6-606</t>
  </si>
  <si>
    <t>P1967-03-004-1-7-701</t>
  </si>
  <si>
    <t>P1967-03-004-1-7-702</t>
  </si>
  <si>
    <t>P1967-03-004-1-7-703</t>
  </si>
  <si>
    <t>P1967-03-004-1-7-704</t>
  </si>
  <si>
    <t>P1967-03-004-1-7-705</t>
  </si>
  <si>
    <t>P1967-03-004-1-7-706</t>
  </si>
  <si>
    <t>P1967-03-004-1-8-801</t>
  </si>
  <si>
    <t>P1967-03-004-1-8-802</t>
  </si>
  <si>
    <t>P1967-03-004-1-8-803</t>
  </si>
  <si>
    <t>P1967-03-004-1-8-804</t>
  </si>
  <si>
    <t>P1967-03-004-1-8-805</t>
  </si>
  <si>
    <t>P1967-03-004-1-8-806</t>
  </si>
  <si>
    <t>P1967-03-004-1-9-901</t>
  </si>
  <si>
    <t>P1967-03-004-1-9-902</t>
  </si>
  <si>
    <t>P1967-03-004-1-9-903</t>
  </si>
  <si>
    <t>P1967-03-004-1-9-904</t>
  </si>
  <si>
    <t>P1967-03-004-1-9-905</t>
  </si>
  <si>
    <t>P1967-03-004-1-9-906</t>
  </si>
  <si>
    <t>P1967-03-007-1-1-101</t>
  </si>
  <si>
    <t>P1967-03-007-1-1-102</t>
  </si>
  <si>
    <t>P1967-03-007-1-10-1001</t>
  </si>
  <si>
    <t>P1967-03-007-1-10-1002</t>
  </si>
  <si>
    <t>P1967-03-007-1-10-1003</t>
  </si>
  <si>
    <t>P1967-03-007-1-10-1004</t>
  </si>
  <si>
    <t>P1967-03-007-1-10-1005</t>
  </si>
  <si>
    <t>P1967-03-007-1-10-1006</t>
  </si>
  <si>
    <t>P1967-03-007-1-11-1101</t>
  </si>
  <si>
    <t>P1967-03-007-1-11-1102</t>
  </si>
  <si>
    <t>P1967-03-007-1-11-1103</t>
  </si>
  <si>
    <t>P1967-03-007-1-11-1104</t>
  </si>
  <si>
    <t>P1967-03-007-1-11-1105</t>
  </si>
  <si>
    <t>P1967-03-007-1-11-1106</t>
  </si>
  <si>
    <t>P1967-03-007-1-12-1201</t>
  </si>
  <si>
    <t>P1967-03-007-1-12-1202</t>
  </si>
  <si>
    <t>P1967-03-007-1-12-1203</t>
  </si>
  <si>
    <t>P1967-03-007-1-12-1204</t>
  </si>
  <si>
    <t>P1967-03-007-1-12-1205</t>
  </si>
  <si>
    <t>P1967-03-007-1-12-1206</t>
  </si>
  <si>
    <t>P1967-03-007-1-13-1301</t>
  </si>
  <si>
    <t>P1967-03-007-1-13-1302</t>
  </si>
  <si>
    <t>P1967-03-007-1-13-1303</t>
  </si>
  <si>
    <t>P1967-03-007-1-13-1304</t>
  </si>
  <si>
    <t>P1967-03-007-1-13-1305</t>
  </si>
  <si>
    <t>P1967-03-007-1-13-1306</t>
  </si>
  <si>
    <t>P1967-03-007-1-14-1401</t>
  </si>
  <si>
    <t>P1967-03-007-1-14-1402</t>
  </si>
  <si>
    <t>P1967-03-007-1-14-1403</t>
  </si>
  <si>
    <t>P1967-03-007-1-14-1404</t>
  </si>
  <si>
    <t>P1967-03-007-1-14-1405</t>
  </si>
  <si>
    <t>P1967-03-007-1-14-1406</t>
  </si>
  <si>
    <t>P1967-03-007-1-15-1501</t>
  </si>
  <si>
    <t>P1967-03-007-1-15-1502</t>
  </si>
  <si>
    <t>P1967-03-007-1-15-1503</t>
  </si>
  <si>
    <t>P1967-03-007-1-15-1504</t>
  </si>
  <si>
    <t>P1967-03-007-1-15-1505</t>
  </si>
  <si>
    <t>P1967-03-007-1-15-1506</t>
  </si>
  <si>
    <t>P1967-03-007-1-16-1601</t>
  </si>
  <si>
    <t>P1967-03-007-1-16-1602</t>
  </si>
  <si>
    <t>P1967-03-007-1-16-1603</t>
  </si>
  <si>
    <t>P1967-03-007-1-16-1604</t>
  </si>
  <si>
    <t>P1967-03-007-1-16-1605</t>
  </si>
  <si>
    <t>P1967-03-007-1-16-1606</t>
  </si>
  <si>
    <t>P1967-03-007-1-17-1701</t>
  </si>
  <si>
    <t>P1967-03-007-1-17-1702</t>
  </si>
  <si>
    <t>P1967-03-007-1-17-1703</t>
  </si>
  <si>
    <t>P1967-03-007-1-17-1704</t>
  </si>
  <si>
    <t>P1967-03-007-1-17-1705</t>
  </si>
  <si>
    <t>P1967-03-007-1-17-1706</t>
  </si>
  <si>
    <t>P1967-03-007-1-18-1801</t>
  </si>
  <si>
    <t>P1967-03-007-1-18-1802</t>
  </si>
  <si>
    <t>P1967-03-007-1-18-1803</t>
  </si>
  <si>
    <t>P1967-03-007-1-18-1804</t>
  </si>
  <si>
    <t>P1967-03-007-1-18-1805</t>
  </si>
  <si>
    <t>P1967-03-007-1-18-1806</t>
  </si>
  <si>
    <t>P1967-03-007-1-19-1901</t>
  </si>
  <si>
    <t>P1967-03-007-1-19-1902</t>
  </si>
  <si>
    <t>P1967-03-007-1-19-1903</t>
  </si>
  <si>
    <t>P1967-03-007-1-19-1904</t>
  </si>
  <si>
    <t>P1967-03-007-1-19-1905</t>
  </si>
  <si>
    <t>P1967-03-007-1-19-1906</t>
  </si>
  <si>
    <t>P1967-03-007-1-2-201</t>
  </si>
  <si>
    <t>P1967-03-007-1-2-202</t>
  </si>
  <si>
    <t>P1967-03-007-1-2-203</t>
  </si>
  <si>
    <t>P1967-03-007-1-2-204</t>
  </si>
  <si>
    <t>P1967-03-007-1-2-205</t>
  </si>
  <si>
    <t>P1967-03-007-1-20-2001</t>
  </si>
  <si>
    <t>P1967-03-007-1-20-2002</t>
  </si>
  <si>
    <t>P1967-03-007-1-20-2003</t>
  </si>
  <si>
    <t>P1967-03-007-1-20-2004</t>
  </si>
  <si>
    <t>P1967-03-007-1-20-2005</t>
  </si>
  <si>
    <t>P1967-03-007-1-20-2006</t>
  </si>
  <si>
    <t>P1967-03-007-1-21-2101</t>
  </si>
  <si>
    <t>P1967-03-007-1-21-2102</t>
  </si>
  <si>
    <t>P1967-03-007-1-21-2103</t>
  </si>
  <si>
    <t>P1967-03-007-1-21-2104</t>
  </si>
  <si>
    <t>P1967-03-007-1-21-2105</t>
  </si>
  <si>
    <t>P1967-03-007-1-21-2106</t>
  </si>
  <si>
    <t>P1967-03-007-1-3-301</t>
  </si>
  <si>
    <t>P1967-03-007-1-3-302</t>
  </si>
  <si>
    <t>P1967-03-007-1-3-303</t>
  </si>
  <si>
    <t>P1967-03-007-1-3-304</t>
  </si>
  <si>
    <t>P1967-03-007-1-3-305</t>
  </si>
  <si>
    <t>P1967-03-007-1-3-306</t>
  </si>
  <si>
    <t>P1967-03-007-1-4-401</t>
  </si>
  <si>
    <t>P1967-03-007-1-4-402</t>
  </si>
  <si>
    <t>P1967-03-007-1-4-403</t>
  </si>
  <si>
    <t>P1967-03-007-1-4-404</t>
  </si>
  <si>
    <t>P1967-03-007-1-4-405</t>
  </si>
  <si>
    <t>P1967-03-007-1-4-406</t>
  </si>
  <si>
    <t>P1967-03-007-1-5-501</t>
  </si>
  <si>
    <t>P1967-03-007-1-5-502</t>
  </si>
  <si>
    <t>P1967-03-007-1-5-503</t>
  </si>
  <si>
    <t>P1967-03-007-1-5-504</t>
  </si>
  <si>
    <t>P1967-03-007-1-5-505</t>
  </si>
  <si>
    <t>P1967-03-007-1-5-506</t>
  </si>
  <si>
    <t>P1967-03-007-1-6-601</t>
  </si>
  <si>
    <t>P1967-03-007-1-6-602</t>
  </si>
  <si>
    <t>P1967-03-007-1-6-603</t>
  </si>
  <si>
    <t>P1967-03-007-1-6-604</t>
  </si>
  <si>
    <t>P1967-03-007-1-6-605</t>
  </si>
  <si>
    <t>P1967-03-007-1-6-606</t>
  </si>
  <si>
    <t>P1967-03-007-1-7-701</t>
  </si>
  <si>
    <t>P1967-03-007-1-7-702</t>
  </si>
  <si>
    <t>P1967-03-007-1-7-703</t>
  </si>
  <si>
    <t>P1967-03-007-1-7-704</t>
  </si>
  <si>
    <t>P1967-03-007-1-7-705</t>
  </si>
  <si>
    <t>P1967-03-007-1-7-706</t>
  </si>
  <si>
    <t>P1967-03-007-1-8-801</t>
  </si>
  <si>
    <t>P1967-03-007-1-8-802</t>
  </si>
  <si>
    <t>P1967-03-007-1-8-803</t>
  </si>
  <si>
    <t>P1967-03-007-1-8-804</t>
  </si>
  <si>
    <t>P1967-03-007-1-8-805</t>
  </si>
  <si>
    <t>P1967-03-007-1-8-806</t>
  </si>
  <si>
    <t>P1967-03-007-1-9-901</t>
  </si>
  <si>
    <t>P1967-03-007-1-9-902</t>
  </si>
  <si>
    <t>P1967-03-007-1-9-903</t>
  </si>
  <si>
    <t>P1967-03-007-1-9-904</t>
  </si>
  <si>
    <t>P1967-03-007-1-9-905</t>
  </si>
  <si>
    <t>P1967-03-007-1-9-906</t>
  </si>
  <si>
    <t>P1967-03-008-1-10-1001</t>
  </si>
  <si>
    <t>P1967-03-008-1-10-1002</t>
  </si>
  <si>
    <t>P1967-03-008-1-10-1003</t>
  </si>
  <si>
    <t>P1967-03-008-1-10-1004</t>
  </si>
  <si>
    <t>P1967-03-008-1-10-1005</t>
  </si>
  <si>
    <t>P1967-03-008-1-10-1006</t>
  </si>
  <si>
    <t>P1967-03-008-1-11-1101</t>
  </si>
  <si>
    <t>P1967-03-008-1-11-1102</t>
  </si>
  <si>
    <t>P1967-03-008-1-11-1103</t>
  </si>
  <si>
    <t>P1967-03-008-1-11-1104</t>
  </si>
  <si>
    <t>P1967-03-008-1-11-1105</t>
  </si>
  <si>
    <t>P1967-03-008-1-11-1106</t>
  </si>
  <si>
    <t>P1967-03-008-1-12-1201</t>
  </si>
  <si>
    <t>P1967-03-008-1-12-1202</t>
  </si>
  <si>
    <t>P1967-03-008-1-12-1203</t>
  </si>
  <si>
    <t>P1967-03-008-1-12-1204</t>
  </si>
  <si>
    <t>P1967-03-008-1-12-1205</t>
  </si>
  <si>
    <t>P1967-03-008-1-12-1206</t>
  </si>
  <si>
    <t>P1967-03-008-1-13-1301</t>
  </si>
  <si>
    <t>P1967-03-008-1-13-1302</t>
  </si>
  <si>
    <t>P1967-03-008-1-13-1303</t>
  </si>
  <si>
    <t>P1967-03-008-1-13-1304</t>
  </si>
  <si>
    <t>P1967-03-008-1-13-1305</t>
  </si>
  <si>
    <t>P1967-03-008-1-13-1306</t>
  </si>
  <si>
    <t>P1967-03-008-1-14-1401</t>
  </si>
  <si>
    <t>P1967-03-008-1-14-1402</t>
  </si>
  <si>
    <t>P1967-03-008-1-14-1403</t>
  </si>
  <si>
    <t>P1967-03-008-1-14-1404</t>
  </si>
  <si>
    <t>P1967-03-008-1-14-1405</t>
  </si>
  <si>
    <t>P1967-03-008-1-14-1406</t>
  </si>
  <si>
    <t>P1967-03-008-1-15-1501</t>
  </si>
  <si>
    <t>P1967-03-008-1-15-1502</t>
  </si>
  <si>
    <t>P1967-03-008-1-15-1503</t>
  </si>
  <si>
    <t>P1967-03-008-1-15-1504</t>
  </si>
  <si>
    <t>P1967-03-008-1-15-1505</t>
  </si>
  <si>
    <t>P1967-03-008-1-15-1506</t>
  </si>
  <si>
    <t>P1967-03-008-1-16-1601</t>
  </si>
  <si>
    <t>P1967-03-008-1-16-1602</t>
  </si>
  <si>
    <t>P1967-03-008-1-16-1603</t>
  </si>
  <si>
    <t>P1967-03-008-1-16-1604</t>
  </si>
  <si>
    <t>P1967-03-008-1-16-1605</t>
  </si>
  <si>
    <t>P1967-03-008-1-16-1606</t>
  </si>
  <si>
    <t>P1967-03-008-1-17-1701</t>
  </si>
  <si>
    <t>P1967-03-008-1-17-1702</t>
  </si>
  <si>
    <t>P1967-03-008-1-17-1703</t>
  </si>
  <si>
    <t>P1967-03-008-1-17-1704</t>
  </si>
  <si>
    <t>P1967-03-008-1-17-1705</t>
  </si>
  <si>
    <t>P1967-03-008-1-17-1706</t>
  </si>
  <si>
    <t>P1967-03-008-1-18-1801</t>
  </si>
  <si>
    <t>P1967-03-008-1-18-1802</t>
  </si>
  <si>
    <t>P1967-03-008-1-18-1803</t>
  </si>
  <si>
    <t>P1967-03-008-1-18-1804</t>
  </si>
  <si>
    <t>P1967-03-008-1-18-1805</t>
  </si>
  <si>
    <t>P1967-03-008-1-18-1806</t>
  </si>
  <si>
    <t>P1967-03-008-1-19-1901</t>
  </si>
  <si>
    <t>P1967-03-008-1-19-1902</t>
  </si>
  <si>
    <t>P1967-03-008-1-19-1903</t>
  </si>
  <si>
    <t>P1967-03-008-1-19-1904</t>
  </si>
  <si>
    <t>P1967-03-008-1-19-1905</t>
  </si>
  <si>
    <t>P1967-03-008-1-19-1906</t>
  </si>
  <si>
    <t>P1967-03-008-1-2-202</t>
  </si>
  <si>
    <t>P1967-03-008-1-2-203</t>
  </si>
  <si>
    <t>P1967-03-008-1-2-204</t>
  </si>
  <si>
    <t>P1967-03-008-1-2-205</t>
  </si>
  <si>
    <t>P1967-03-008-1-2-206</t>
  </si>
  <si>
    <t>P1967-03-008-1-20-2001</t>
  </si>
  <si>
    <t>P1967-03-008-1-20-2002</t>
  </si>
  <si>
    <t>P1967-03-008-1-20-2003</t>
  </si>
  <si>
    <t>P1967-03-008-1-20-2004</t>
  </si>
  <si>
    <t>P1967-03-008-1-20-2005</t>
  </si>
  <si>
    <t>P1967-03-008-1-20-2006</t>
  </si>
  <si>
    <t>P1967-03-008-1-21-2101</t>
  </si>
  <si>
    <t>P1967-03-008-1-21-2102</t>
  </si>
  <si>
    <t>P1967-03-008-1-21-2103</t>
  </si>
  <si>
    <t>P1967-03-008-1-21-2104</t>
  </si>
  <si>
    <t>P1967-03-008-1-21-2105</t>
  </si>
  <si>
    <t>P1967-03-008-1-21-2106</t>
  </si>
  <si>
    <t>P1967-03-008-1-22-2201</t>
  </si>
  <si>
    <t>P1967-03-008-1-22-2202</t>
  </si>
  <si>
    <t>P1967-03-008-1-22-2203</t>
  </si>
  <si>
    <t>P1967-03-008-1-22-2204</t>
  </si>
  <si>
    <t>P1967-03-008-1-22-2205</t>
  </si>
  <si>
    <t>P1967-03-008-1-22-2206</t>
  </si>
  <si>
    <t>P1967-03-008-1-23-2301</t>
  </si>
  <si>
    <t>P1967-03-008-1-23-2302</t>
  </si>
  <si>
    <t>P1967-03-008-1-23-2303</t>
  </si>
  <si>
    <t>P1967-03-008-1-23-2304</t>
  </si>
  <si>
    <t>P1967-03-008-1-23-2305</t>
  </si>
  <si>
    <t>P1967-03-008-1-23-2306</t>
  </si>
  <si>
    <t>P1967-03-008-1-24-2401</t>
  </si>
  <si>
    <t>P1967-03-008-1-24-2402</t>
  </si>
  <si>
    <t>P1967-03-008-1-24-2403</t>
  </si>
  <si>
    <t>P1967-03-008-1-24-2404</t>
  </si>
  <si>
    <t>P1967-03-008-1-24-2405</t>
  </si>
  <si>
    <t>P1967-03-008-1-24-2406</t>
  </si>
  <si>
    <t>P1967-03-008-1-25-2501</t>
  </si>
  <si>
    <t>P1967-03-008-1-25-2502</t>
  </si>
  <si>
    <t>P1967-03-008-1-25-2503</t>
  </si>
  <si>
    <t>P1967-03-008-1-25-2504</t>
  </si>
  <si>
    <t>P1967-03-008-1-25-2505</t>
  </si>
  <si>
    <t>P1967-03-008-1-25-2506</t>
  </si>
  <si>
    <t>P1967-03-008-1-26-2601</t>
  </si>
  <si>
    <t>P1967-03-008-1-26-2602</t>
  </si>
  <si>
    <t>P1967-03-008-1-26-2603</t>
  </si>
  <si>
    <t>P1967-03-008-1-26-2604</t>
  </si>
  <si>
    <t>P1967-03-008-1-26-2605</t>
  </si>
  <si>
    <t>P1967-03-008-1-26-2606</t>
  </si>
  <si>
    <t>P1967-03-008-1-3-301</t>
  </si>
  <si>
    <t>P1967-03-008-1-3-302</t>
  </si>
  <si>
    <t>P1967-03-008-1-3-303</t>
  </si>
  <si>
    <t>P1967-03-008-1-3-304</t>
  </si>
  <si>
    <t>P1967-03-008-1-3-305</t>
  </si>
  <si>
    <t>P1967-03-008-1-3-306</t>
  </si>
  <si>
    <t>P1967-03-008-1-4-401</t>
  </si>
  <si>
    <t>P1967-03-008-1-4-402</t>
  </si>
  <si>
    <t>P1967-03-008-1-4-403</t>
  </si>
  <si>
    <t>P1967-03-008-1-4-404</t>
  </si>
  <si>
    <t>P1967-03-008-1-4-405</t>
  </si>
  <si>
    <t>P1967-03-008-1-4-406</t>
  </si>
  <si>
    <t>P1967-03-008-1-5-501</t>
  </si>
  <si>
    <t>P1967-03-008-1-5-502</t>
  </si>
  <si>
    <t>P1967-03-008-1-5-503</t>
  </si>
  <si>
    <t>P1967-03-008-1-5-504</t>
  </si>
  <si>
    <t>P1967-03-008-1-5-505</t>
  </si>
  <si>
    <t>P1967-03-008-1-5-506</t>
  </si>
  <si>
    <t>P1967-03-008-1-6-601</t>
  </si>
  <si>
    <t>P1967-03-008-1-6-602</t>
  </si>
  <si>
    <t>P1967-03-008-1-6-603</t>
  </si>
  <si>
    <t>P1967-03-008-1-6-604</t>
  </si>
  <si>
    <t>P1967-03-008-1-6-605</t>
  </si>
  <si>
    <t>P1967-03-008-1-6-606</t>
  </si>
  <si>
    <t>P1967-03-008-1-7-701</t>
  </si>
  <si>
    <t>P1967-03-008-1-7-702</t>
  </si>
  <si>
    <t>P1967-03-008-1-7-703</t>
  </si>
  <si>
    <t>P1967-03-008-1-7-704</t>
  </si>
  <si>
    <t>P1967-03-008-1-7-705</t>
  </si>
  <si>
    <t>P1967-03-008-1-7-706</t>
  </si>
  <si>
    <t>P1967-03-008-1-8-801</t>
  </si>
  <si>
    <t>P1967-03-008-1-8-802</t>
  </si>
  <si>
    <t>P1967-03-008-1-8-803</t>
  </si>
  <si>
    <t>P1967-03-008-1-8-804</t>
  </si>
  <si>
    <t>P1967-03-008-1-8-805</t>
  </si>
  <si>
    <t>P1967-03-008-1-8-806</t>
  </si>
  <si>
    <t>P1967-03-008-1-9-901</t>
  </si>
  <si>
    <t>P1967-03-008-1-9-902</t>
  </si>
  <si>
    <t>P1967-03-008-1-9-903</t>
  </si>
  <si>
    <t>P1967-03-008-1-9-904</t>
  </si>
  <si>
    <t>P1967-03-008-1-9-905</t>
  </si>
  <si>
    <t>P1967-03-008-1-9-906</t>
  </si>
  <si>
    <t>P1967-03-009-1-1-102</t>
  </si>
  <si>
    <t>P1967-03-009-1-1-103</t>
  </si>
  <si>
    <t>P1967-03-009-1-1-105</t>
  </si>
  <si>
    <t>P1967-03-009-1-1-106</t>
  </si>
  <si>
    <t>P1967-03-009-1-10-1001</t>
  </si>
  <si>
    <t>P1967-03-009-1-10-1002</t>
  </si>
  <si>
    <t>P1967-03-009-1-10-1003</t>
  </si>
  <si>
    <t>P1967-03-009-1-10-1004</t>
  </si>
  <si>
    <t>P1967-03-009-1-10-1005</t>
  </si>
  <si>
    <t>P1967-03-009-1-10-1006</t>
  </si>
  <si>
    <t>P1967-03-009-1-11-1101</t>
  </si>
  <si>
    <t>P1967-03-009-1-11-1102</t>
  </si>
  <si>
    <t>P1967-03-009-1-11-1103</t>
  </si>
  <si>
    <t>P1967-03-009-1-11-1104</t>
  </si>
  <si>
    <t>P1967-03-009-1-11-1105</t>
  </si>
  <si>
    <t>P1967-03-009-1-11-1106</t>
  </si>
  <si>
    <t>P1967-03-009-1-12-1201</t>
  </si>
  <si>
    <t>P1967-03-009-1-12-1202</t>
  </si>
  <si>
    <t>P1967-03-009-1-12-1203</t>
  </si>
  <si>
    <t>P1967-03-009-1-12-1204</t>
  </si>
  <si>
    <t>P1967-03-009-1-12-1205</t>
  </si>
  <si>
    <t>P1967-03-009-1-12-1206</t>
  </si>
  <si>
    <t>P1967-03-009-1-13-1301</t>
  </si>
  <si>
    <t>P1967-03-009-1-13-1302</t>
  </si>
  <si>
    <t>P1967-03-009-1-13-1303</t>
  </si>
  <si>
    <t>P1967-03-009-1-13-1304</t>
  </si>
  <si>
    <t>P1967-03-009-1-13-1305</t>
  </si>
  <si>
    <t>P1967-03-009-1-13-1306</t>
  </si>
  <si>
    <t>P1967-03-009-1-14-1401</t>
  </si>
  <si>
    <t>P1967-03-009-1-14-1402</t>
  </si>
  <si>
    <t>P1967-03-009-1-14-1403</t>
  </si>
  <si>
    <t>P1967-03-009-1-14-1404</t>
  </si>
  <si>
    <t>P1967-03-009-1-14-1405</t>
  </si>
  <si>
    <t>P1967-03-009-1-14-1406</t>
  </si>
  <si>
    <t>P1967-03-009-1-15-1501</t>
  </si>
  <si>
    <t>P1967-03-009-1-15-1502</t>
  </si>
  <si>
    <t>P1967-03-009-1-15-1503</t>
  </si>
  <si>
    <t>P1967-03-009-1-15-1504</t>
  </si>
  <si>
    <t>P1967-03-009-1-15-1505</t>
  </si>
  <si>
    <t>P1967-03-009-1-15-1506</t>
  </si>
  <si>
    <t>P1967-03-009-1-16-1601</t>
  </si>
  <si>
    <t>P1967-03-009-1-16-1602</t>
  </si>
  <si>
    <t>P1967-03-009-1-16-1603</t>
  </si>
  <si>
    <t>P1967-03-009-1-16-1604</t>
  </si>
  <si>
    <t>P1967-03-009-1-16-1605</t>
  </si>
  <si>
    <t>P1967-03-009-1-16-1606</t>
  </si>
  <si>
    <t>P1967-03-009-1-17-1701</t>
  </si>
  <si>
    <t>P1967-03-009-1-17-1702</t>
  </si>
  <si>
    <t>P1967-03-009-1-17-1703</t>
  </si>
  <si>
    <t>P1967-03-009-1-17-1704</t>
  </si>
  <si>
    <t>P1967-03-009-1-17-1705</t>
  </si>
  <si>
    <t>P1967-03-009-1-17-1706</t>
  </si>
  <si>
    <t>P1967-03-009-1-18-1801</t>
  </si>
  <si>
    <t>P1967-03-009-1-18-1802</t>
  </si>
  <si>
    <t>P1967-03-009-1-18-1803</t>
  </si>
  <si>
    <t>P1967-03-009-1-18-1804</t>
  </si>
  <si>
    <t>P1967-03-009-1-18-1805</t>
  </si>
  <si>
    <t>P1967-03-009-1-18-1806</t>
  </si>
  <si>
    <t>P1967-03-009-1-19-1901</t>
  </si>
  <si>
    <t>P1967-03-009-1-19-1902</t>
  </si>
  <si>
    <t>P1967-03-009-1-19-1903</t>
  </si>
  <si>
    <t>P1967-03-009-1-19-1904</t>
  </si>
  <si>
    <t>P1967-03-009-1-19-1905</t>
  </si>
  <si>
    <t>P1967-03-009-1-19-1906</t>
  </si>
  <si>
    <t>P1967-03-009-1-2-202</t>
  </si>
  <si>
    <t>P1967-03-009-1-2-203</t>
  </si>
  <si>
    <t>P1967-03-009-1-2-204</t>
  </si>
  <si>
    <t>P1967-03-009-1-2-205</t>
  </si>
  <si>
    <t>P1967-03-009-1-2-206</t>
  </si>
  <si>
    <t>P1967-03-009-1-20-2001</t>
  </si>
  <si>
    <t>P1967-03-009-1-20-2002</t>
  </si>
  <si>
    <t>P1967-03-009-1-20-2003</t>
  </si>
  <si>
    <t>P1967-03-009-1-20-2004</t>
  </si>
  <si>
    <t>P1967-03-009-1-20-2005</t>
  </si>
  <si>
    <t>P1967-03-009-1-20-2006</t>
  </si>
  <si>
    <t>P1967-03-009-1-21-2101</t>
  </si>
  <si>
    <t>P1967-03-009-1-21-2102</t>
  </si>
  <si>
    <t>P1967-03-009-1-21-2103</t>
  </si>
  <si>
    <t>P1967-03-009-1-21-2104</t>
  </si>
  <si>
    <t>P1967-03-009-1-21-2105</t>
  </si>
  <si>
    <t>P1967-03-009-1-21-2106</t>
  </si>
  <si>
    <t>P1967-03-009-1-22-2201</t>
  </si>
  <si>
    <t>P1967-03-009-1-22-2202</t>
  </si>
  <si>
    <t>P1967-03-009-1-22-2203</t>
  </si>
  <si>
    <t>P1967-03-009-1-22-2204</t>
  </si>
  <si>
    <t>P1967-03-009-1-22-2205</t>
  </si>
  <si>
    <t>P1967-03-009-1-22-2206</t>
  </si>
  <si>
    <t>P1967-03-009-1-3-301</t>
  </si>
  <si>
    <t>P1967-03-009-1-3-302</t>
  </si>
  <si>
    <t>P1967-03-009-1-3-303</t>
  </si>
  <si>
    <t>P1967-03-009-1-3-304</t>
  </si>
  <si>
    <t>P1967-03-009-1-3-305</t>
  </si>
  <si>
    <t>P1967-03-009-1-3-306</t>
  </si>
  <si>
    <t>P1967-03-009-1-4-401</t>
  </si>
  <si>
    <t>P1967-03-009-1-4-402</t>
  </si>
  <si>
    <t>P1967-03-009-1-4-403</t>
  </si>
  <si>
    <t>P1967-03-009-1-4-404</t>
  </si>
  <si>
    <t>P1967-03-009-1-4-405</t>
  </si>
  <si>
    <t>P1967-03-009-1-4-406</t>
  </si>
  <si>
    <t>P1967-03-009-1-5-501</t>
  </si>
  <si>
    <t>P1967-03-009-1-5-502</t>
  </si>
  <si>
    <t>P1967-03-009-1-5-503</t>
  </si>
  <si>
    <t>P1967-03-009-1-5-504</t>
  </si>
  <si>
    <t>P1967-03-009-1-5-505</t>
  </si>
  <si>
    <t>P1967-03-009-1-5-506</t>
  </si>
  <si>
    <t>P1967-03-009-1-6-601</t>
  </si>
  <si>
    <t>P1967-03-009-1-6-602</t>
  </si>
  <si>
    <t>P1967-03-009-1-6-603</t>
  </si>
  <si>
    <t>P1967-03-009-1-6-604</t>
  </si>
  <si>
    <t>P1967-03-009-1-6-605</t>
  </si>
  <si>
    <t>P1967-03-009-1-6-606</t>
  </si>
  <si>
    <t>P1967-03-009-1-7-701</t>
  </si>
  <si>
    <t>P1967-03-009-1-7-702</t>
  </si>
  <si>
    <t>P1967-03-009-1-7-703</t>
  </si>
  <si>
    <t>P1967-03-009-1-7-704</t>
  </si>
  <si>
    <t>P1967-03-009-1-7-705</t>
  </si>
  <si>
    <t>P1967-03-009-1-7-706</t>
  </si>
  <si>
    <t>P1967-03-009-1-8-801</t>
  </si>
  <si>
    <t>P1967-03-009-1-8-802</t>
  </si>
  <si>
    <t>P1967-03-009-1-8-803</t>
  </si>
  <si>
    <t>P1967-03-009-1-8-804</t>
  </si>
  <si>
    <t>P1967-03-009-1-8-805</t>
  </si>
  <si>
    <t>P1967-03-009-1-8-806</t>
  </si>
  <si>
    <t>P1967-03-009-1-9-901</t>
  </si>
  <si>
    <t>P1967-03-009-1-9-902</t>
  </si>
  <si>
    <t>P1967-03-009-1-9-903</t>
  </si>
  <si>
    <t>P1967-03-009-1-9-904</t>
  </si>
  <si>
    <t>P1967-03-009-1-9-905</t>
  </si>
  <si>
    <t>P1967-03-009-1-9-906</t>
  </si>
  <si>
    <t>P1967-03-010-1-1-101</t>
  </si>
  <si>
    <t>P1967-03-010-1-1-102</t>
  </si>
  <si>
    <t>P1967-03-010-1-1-104</t>
  </si>
  <si>
    <t>P1967-03-010-1-1-105</t>
  </si>
  <si>
    <t>P1967-03-010-1-1-106</t>
  </si>
  <si>
    <t>P1967-03-010-1-10-1001</t>
  </si>
  <si>
    <t>P1967-03-010-1-10-1002</t>
  </si>
  <si>
    <t>P1967-03-010-1-10-1003</t>
  </si>
  <si>
    <t>P1967-03-010-1-10-1004</t>
  </si>
  <si>
    <t>P1967-03-010-1-10-1005</t>
  </si>
  <si>
    <t>P1967-03-010-1-10-1006</t>
  </si>
  <si>
    <t>P1967-03-010-1-11-1101</t>
  </si>
  <si>
    <t>P1967-03-010-1-11-1102</t>
  </si>
  <si>
    <t>P1967-03-010-1-11-1103</t>
  </si>
  <si>
    <t>P1967-03-010-1-11-1104</t>
  </si>
  <si>
    <t>P1967-03-010-1-11-1105</t>
  </si>
  <si>
    <t>P1967-03-010-1-11-1106</t>
  </si>
  <si>
    <t>P1967-03-010-1-12-1201</t>
  </si>
  <si>
    <t>P1967-03-010-1-12-1202</t>
  </si>
  <si>
    <t>P1967-03-010-1-12-1203</t>
  </si>
  <si>
    <t>P1967-03-010-1-12-1204</t>
  </si>
  <si>
    <t>P1967-03-010-1-12-1205</t>
  </si>
  <si>
    <t>P1967-03-010-1-12-1206</t>
  </si>
  <si>
    <t>P1967-03-010-1-13-1301</t>
  </si>
  <si>
    <t>P1967-03-010-1-13-1302</t>
  </si>
  <si>
    <t>P1967-03-010-1-13-1303</t>
  </si>
  <si>
    <t>P1967-03-010-1-13-1304</t>
  </si>
  <si>
    <t>P1967-03-010-1-13-1305</t>
  </si>
  <si>
    <t>P1967-03-010-1-13-1306</t>
  </si>
  <si>
    <t>P1967-03-010-1-14-1401</t>
  </si>
  <si>
    <t>P1967-03-010-1-14-1402</t>
  </si>
  <si>
    <t>P1967-03-010-1-14-1403</t>
  </si>
  <si>
    <t>P1967-03-010-1-14-1404</t>
  </si>
  <si>
    <t>P1967-03-010-1-14-1405</t>
  </si>
  <si>
    <t>P1967-03-010-1-14-1406</t>
  </si>
  <si>
    <t>P1967-03-010-1-15-1501</t>
  </si>
  <si>
    <t>P1967-03-010-1-15-1502</t>
  </si>
  <si>
    <t>P1967-03-010-1-15-1503</t>
  </si>
  <si>
    <t>P1967-03-010-1-15-1504</t>
  </si>
  <si>
    <t>P1967-03-010-1-15-1505</t>
  </si>
  <si>
    <t>P1967-03-010-1-15-1506</t>
  </si>
  <si>
    <t>P1967-03-010-1-16-1601</t>
  </si>
  <si>
    <t>P1967-03-010-1-16-1602</t>
  </si>
  <si>
    <t>P1967-03-010-1-16-1603</t>
  </si>
  <si>
    <t>P1967-03-010-1-16-1604</t>
  </si>
  <si>
    <t>P1967-03-010-1-16-1605</t>
  </si>
  <si>
    <t>P1967-03-010-1-16-1606</t>
  </si>
  <si>
    <t>P1967-03-010-1-17-1701</t>
  </si>
  <si>
    <t>P1967-03-010-1-17-1702</t>
  </si>
  <si>
    <t>P1967-03-010-1-17-1703</t>
  </si>
  <si>
    <t>P1967-03-010-1-17-1704</t>
  </si>
  <si>
    <t>P1967-03-010-1-17-1705</t>
  </si>
  <si>
    <t>P1967-03-010-1-17-1706</t>
  </si>
  <si>
    <t>P1967-03-010-1-18-1801</t>
  </si>
  <si>
    <t>P1967-03-010-1-18-1802</t>
  </si>
  <si>
    <t>P1967-03-010-1-18-1803</t>
  </si>
  <si>
    <t>P1967-03-010-1-18-1804</t>
  </si>
  <si>
    <t>P1967-03-010-1-18-1805</t>
  </si>
  <si>
    <t>P1967-03-010-1-18-1806</t>
  </si>
  <si>
    <t>P1967-03-010-1-19-1901</t>
  </si>
  <si>
    <t>P1967-03-010-1-19-1902</t>
  </si>
  <si>
    <t>P1967-03-010-1-19-1903</t>
  </si>
  <si>
    <t>P1967-03-010-1-19-1904</t>
  </si>
  <si>
    <t>P1967-03-010-1-19-1905</t>
  </si>
  <si>
    <t>P1967-03-010-1-19-1906</t>
  </si>
  <si>
    <t>P1967-03-010-1-2-201</t>
  </si>
  <si>
    <t>P1967-03-010-1-2-202</t>
  </si>
  <si>
    <t>P1967-03-010-1-2-204</t>
  </si>
  <si>
    <t>P1967-03-010-1-2-205</t>
  </si>
  <si>
    <t>P1967-03-010-1-2-206</t>
  </si>
  <si>
    <t>P1967-03-010-1-20-2001</t>
  </si>
  <si>
    <t>P1967-03-010-1-20-2002</t>
  </si>
  <si>
    <t>P1967-03-010-1-20-2003</t>
  </si>
  <si>
    <t>P1967-03-010-1-20-2004</t>
  </si>
  <si>
    <t>P1967-03-010-1-20-2005</t>
  </si>
  <si>
    <t>P1967-03-010-1-20-2006</t>
  </si>
  <si>
    <t>P1967-03-010-1-21-2101</t>
  </si>
  <si>
    <t>P1967-03-010-1-21-2102</t>
  </si>
  <si>
    <t>P1967-03-010-1-21-2103</t>
  </si>
  <si>
    <t>P1967-03-010-1-21-2104</t>
  </si>
  <si>
    <t>P1967-03-010-1-21-2105</t>
  </si>
  <si>
    <t>P1967-03-010-1-21-2106</t>
  </si>
  <si>
    <t>P1967-03-010-1-22-2201</t>
  </si>
  <si>
    <t>P1967-03-010-1-22-2202</t>
  </si>
  <si>
    <t>P1967-03-010-1-22-2203</t>
  </si>
  <si>
    <t>P1967-03-010-1-22-2204</t>
  </si>
  <si>
    <t>P1967-03-010-1-22-2205</t>
  </si>
  <si>
    <t>P1967-03-010-1-22-2206</t>
  </si>
  <si>
    <t>P1967-03-010-1-23-2301</t>
  </si>
  <si>
    <t>P1967-03-010-1-23-2302</t>
  </si>
  <si>
    <t>P1967-03-010-1-23-2303</t>
  </si>
  <si>
    <t>P1967-03-010-1-23-2304</t>
  </si>
  <si>
    <t>P1967-03-010-1-23-2305</t>
  </si>
  <si>
    <t>P1967-03-010-1-23-2306</t>
  </si>
  <si>
    <t>P1967-03-010-1-24-2401</t>
  </si>
  <si>
    <t>P1967-03-010-1-24-2402</t>
  </si>
  <si>
    <t>P1967-03-010-1-24-2403</t>
  </si>
  <si>
    <t>P1967-03-010-1-24-2404</t>
  </si>
  <si>
    <t>P1967-03-010-1-24-2405</t>
  </si>
  <si>
    <t>P1967-03-010-1-24-2406</t>
  </si>
  <si>
    <t>P1967-03-010-1-25-2501</t>
  </si>
  <si>
    <t>P1967-03-010-1-25-2502</t>
  </si>
  <si>
    <t>P1967-03-010-1-25-2503</t>
  </si>
  <si>
    <t>P1967-03-010-1-25-2504</t>
  </si>
  <si>
    <t>P1967-03-010-1-25-2505</t>
  </si>
  <si>
    <t>P1967-03-010-1-25-2506</t>
  </si>
  <si>
    <t>P1967-03-010-1-26-2601</t>
  </si>
  <si>
    <t>P1967-03-010-1-26-2602</t>
  </si>
  <si>
    <t>P1967-03-010-1-26-2603</t>
  </si>
  <si>
    <t>P1967-03-010-1-26-2604</t>
  </si>
  <si>
    <t>P1967-03-010-1-26-2605</t>
  </si>
  <si>
    <t>P1967-03-010-1-26-2606</t>
  </si>
  <si>
    <t>P1967-03-010-1-3-301</t>
  </si>
  <si>
    <t>P1967-03-010-1-3-302</t>
  </si>
  <si>
    <t>P1967-03-010-1-3-303</t>
  </si>
  <si>
    <t>P1967-03-010-1-3-304</t>
  </si>
  <si>
    <t>P1967-03-010-1-3-305</t>
  </si>
  <si>
    <t>P1967-03-010-1-3-306</t>
  </si>
  <si>
    <t>P1967-03-010-1-4-401</t>
  </si>
  <si>
    <t>P1967-03-010-1-4-402</t>
  </si>
  <si>
    <t>P1967-03-010-1-4-403</t>
  </si>
  <si>
    <t>P1967-03-010-1-4-404</t>
  </si>
  <si>
    <t>P1967-03-010-1-4-405</t>
  </si>
  <si>
    <t>P1967-03-010-1-4-406</t>
  </si>
  <si>
    <t>P1967-03-010-1-5-501</t>
  </si>
  <si>
    <t>P1967-03-010-1-5-502</t>
  </si>
  <si>
    <t>P1967-03-010-1-5-503</t>
  </si>
  <si>
    <t>P1967-03-010-1-5-504</t>
  </si>
  <si>
    <t>P1967-03-010-1-5-505</t>
  </si>
  <si>
    <t>P1967-03-010-1-5-506</t>
  </si>
  <si>
    <t>P1967-03-010-1-6-601</t>
  </si>
  <si>
    <t>P1967-03-010-1-6-602</t>
  </si>
  <si>
    <t>P1967-03-010-1-6-603</t>
  </si>
  <si>
    <t>P1967-03-010-1-6-604</t>
  </si>
  <si>
    <t>P1967-03-010-1-6-605</t>
  </si>
  <si>
    <t>P1967-03-010-1-6-606</t>
  </si>
  <si>
    <t>P1967-03-010-1-7-701</t>
  </si>
  <si>
    <t>P1967-03-010-1-7-702</t>
  </si>
  <si>
    <t>P1967-03-010-1-7-703</t>
  </si>
  <si>
    <t>P1967-03-010-1-7-704</t>
  </si>
  <si>
    <t>P1967-03-010-1-7-705</t>
  </si>
  <si>
    <t>P1967-03-010-1-7-706</t>
  </si>
  <si>
    <t>P1967-03-010-1-8-801</t>
  </si>
  <si>
    <t>P1967-03-010-1-8-802</t>
  </si>
  <si>
    <t>P1967-03-010-1-8-803</t>
  </si>
  <si>
    <t>P1967-03-010-1-8-804</t>
  </si>
  <si>
    <t>P1967-03-010-1-8-805</t>
  </si>
  <si>
    <t>P1967-03-010-1-8-806</t>
  </si>
  <si>
    <t>P1967-03-010-1-9-901</t>
  </si>
  <si>
    <t>P1967-03-010-1-9-902</t>
  </si>
  <si>
    <t>P1967-03-010-1-9-903</t>
  </si>
  <si>
    <t>P1967-03-010-1-9-904</t>
  </si>
  <si>
    <t>P1967-03-010-1-9-905</t>
  </si>
  <si>
    <t>P1967-03-010-1-9-906</t>
  </si>
  <si>
    <t>P1967-03-011-1-1-101</t>
  </si>
  <si>
    <t>P1967-03-011-1-1-102</t>
  </si>
  <si>
    <t>P1967-03-011-1-1-104</t>
  </si>
  <si>
    <t>P1967-03-011-1-1-105</t>
  </si>
  <si>
    <t>P1967-03-011-1-1-106</t>
  </si>
  <si>
    <t>P1967-03-011-1-10-1001</t>
  </si>
  <si>
    <t>P1967-03-011-1-10-1002</t>
  </si>
  <si>
    <t>P1967-03-011-1-10-1003</t>
  </si>
  <si>
    <t>P1967-03-011-1-10-1004</t>
  </si>
  <si>
    <t>P1967-03-011-1-10-1005</t>
  </si>
  <si>
    <t>P1967-03-011-1-10-1006</t>
  </si>
  <si>
    <t>P1967-03-011-1-11-1101</t>
  </si>
  <si>
    <t>P1967-03-011-1-11-1102</t>
  </si>
  <si>
    <t>P1967-03-011-1-11-1103</t>
  </si>
  <si>
    <t>P1967-03-011-1-11-1104</t>
  </si>
  <si>
    <t>P1967-03-011-1-11-1105</t>
  </si>
  <si>
    <t>P1967-03-011-1-11-1106</t>
  </si>
  <si>
    <t>P1967-03-011-1-12-1201</t>
  </si>
  <si>
    <t>P1967-03-011-1-12-1202</t>
  </si>
  <si>
    <t>P1967-03-011-1-12-1203</t>
  </si>
  <si>
    <t>P1967-03-011-1-12-1204</t>
  </si>
  <si>
    <t>P1967-03-011-1-12-1205</t>
  </si>
  <si>
    <t>P1967-03-011-1-12-1206</t>
  </si>
  <si>
    <t>P1967-03-011-1-13-1301</t>
  </si>
  <si>
    <t>P1967-03-011-1-13-1302</t>
  </si>
  <si>
    <t>P1967-03-011-1-13-1303</t>
  </si>
  <si>
    <t>P1967-03-011-1-13-1304</t>
  </si>
  <si>
    <t>P1967-03-011-1-13-1305</t>
  </si>
  <si>
    <t>P1967-03-011-1-13-1306</t>
  </si>
  <si>
    <t>P1967-03-011-1-14-1401</t>
  </si>
  <si>
    <t>P1967-03-011-1-14-1402</t>
  </si>
  <si>
    <t>P1967-03-011-1-14-1403</t>
  </si>
  <si>
    <t>P1967-03-011-1-14-1404</t>
  </si>
  <si>
    <t>P1967-03-011-1-14-1405</t>
  </si>
  <si>
    <t>P1967-03-011-1-14-1406</t>
  </si>
  <si>
    <t>P1967-03-011-1-15-1501</t>
  </si>
  <si>
    <t>P1967-03-011-1-15-1502</t>
  </si>
  <si>
    <t>P1967-03-011-1-15-1503</t>
  </si>
  <si>
    <t>P1967-03-011-1-15-1504</t>
  </si>
  <si>
    <t>P1967-03-011-1-15-1505</t>
  </si>
  <si>
    <t>P1967-03-011-1-15-1506</t>
  </si>
  <si>
    <t>P1967-03-011-1-16-1601</t>
  </si>
  <si>
    <t>P1967-03-011-1-16-1602</t>
  </si>
  <si>
    <t>P1967-03-011-1-16-1603</t>
  </si>
  <si>
    <t>P1967-03-011-1-16-1604</t>
  </si>
  <si>
    <t>P1967-03-011-1-16-1605</t>
  </si>
  <si>
    <t>P1967-03-011-1-16-1606</t>
  </si>
  <si>
    <t>P1967-03-011-1-17-1701</t>
  </si>
  <si>
    <t>P1967-03-011-1-17-1702</t>
  </si>
  <si>
    <t>P1967-03-011-1-17-1703</t>
  </si>
  <si>
    <t>P1967-03-011-1-17-1704</t>
  </si>
  <si>
    <t>P1967-03-011-1-17-1705</t>
  </si>
  <si>
    <t>P1967-03-011-1-17-1706</t>
  </si>
  <si>
    <t>P1967-03-011-1-18-1801</t>
  </si>
  <si>
    <t>P1967-03-011-1-18-1802</t>
  </si>
  <si>
    <t>P1967-03-011-1-18-1803</t>
  </si>
  <si>
    <t>P1967-03-011-1-18-1804</t>
  </si>
  <si>
    <t>P1967-03-011-1-18-1805</t>
  </si>
  <si>
    <t>P1967-03-011-1-18-1806</t>
  </si>
  <si>
    <t>P1967-03-011-1-19-1901</t>
  </si>
  <si>
    <t>P1967-03-011-1-19-1902</t>
  </si>
  <si>
    <t>P1967-03-011-1-19-1903</t>
  </si>
  <si>
    <t>P1967-03-011-1-19-1904</t>
  </si>
  <si>
    <t>P1967-03-011-1-19-1905</t>
  </si>
  <si>
    <t>P1967-03-011-1-19-1906</t>
  </si>
  <si>
    <t>P1967-03-011-1-2-201</t>
  </si>
  <si>
    <t>P1967-03-011-1-2-202</t>
  </si>
  <si>
    <t>P1967-03-011-1-2-204</t>
  </si>
  <si>
    <t>P1967-03-011-1-2-205</t>
  </si>
  <si>
    <t>P1967-03-011-1-2-206</t>
  </si>
  <si>
    <t>P1967-03-011-1-20-2001</t>
  </si>
  <si>
    <t>P1967-03-011-1-20-2002</t>
  </si>
  <si>
    <t>P1967-03-011-1-20-2003</t>
  </si>
  <si>
    <t>P1967-03-011-1-20-2004</t>
  </si>
  <si>
    <t>P1967-03-011-1-20-2005</t>
  </si>
  <si>
    <t>P1967-03-011-1-20-2006</t>
  </si>
  <si>
    <t>P1967-03-011-1-21-2101</t>
  </si>
  <si>
    <t>P1967-03-011-1-21-2102</t>
  </si>
  <si>
    <t>P1967-03-011-1-21-2103</t>
  </si>
  <si>
    <t>P1967-03-011-1-21-2104</t>
  </si>
  <si>
    <t>P1967-03-011-1-21-2105</t>
  </si>
  <si>
    <t>P1967-03-011-1-21-2106</t>
  </si>
  <si>
    <t>P1967-03-011-1-22-2201</t>
  </si>
  <si>
    <t>P1967-03-011-1-22-2202</t>
  </si>
  <si>
    <t>P1967-03-011-1-22-2203</t>
  </si>
  <si>
    <t>P1967-03-011-1-22-2204</t>
  </si>
  <si>
    <t>P1967-03-011-1-22-2205</t>
  </si>
  <si>
    <t>P1967-03-011-1-22-2206</t>
  </si>
  <si>
    <t>P1967-03-011-1-23-2301</t>
  </si>
  <si>
    <t>P1967-03-011-1-23-2302</t>
  </si>
  <si>
    <t>P1967-03-011-1-23-2303</t>
  </si>
  <si>
    <t>P1967-03-011-1-23-2304</t>
  </si>
  <si>
    <t>P1967-03-011-1-23-2305</t>
  </si>
  <si>
    <t>P1967-03-011-1-23-2306</t>
  </si>
  <si>
    <t>P1967-03-011-1-24-2401</t>
  </si>
  <si>
    <t>P1967-03-011-1-24-2402</t>
  </si>
  <si>
    <t>P1967-03-011-1-24-2403</t>
  </si>
  <si>
    <t>P1967-03-011-1-24-2404</t>
  </si>
  <si>
    <t>P1967-03-011-1-24-2405</t>
  </si>
  <si>
    <t>P1967-03-011-1-24-2406</t>
  </si>
  <si>
    <t>P1967-03-011-1-25-2501</t>
  </si>
  <si>
    <t>P1967-03-011-1-25-2502</t>
  </si>
  <si>
    <t>P1967-03-011-1-25-2503</t>
  </si>
  <si>
    <t>P1967-03-011-1-25-2504</t>
  </si>
  <si>
    <t>P1967-03-011-1-25-2505</t>
  </si>
  <si>
    <t>P1967-03-011-1-25-2506</t>
  </si>
  <si>
    <t>P1967-03-011-1-26-2601</t>
  </si>
  <si>
    <t>P1967-03-011-1-26-2602</t>
  </si>
  <si>
    <t>P1967-03-011-1-26-2603</t>
  </si>
  <si>
    <t>P1967-03-011-1-26-2604</t>
  </si>
  <si>
    <t>P1967-03-011-1-26-2605</t>
  </si>
  <si>
    <t>P1967-03-011-1-26-2606</t>
  </si>
  <si>
    <t>P1967-03-011-1-3-301</t>
  </si>
  <si>
    <t>P1967-03-011-1-3-302</t>
  </si>
  <si>
    <t>P1967-03-011-1-3-303</t>
  </si>
  <si>
    <t>P1967-03-011-1-3-304</t>
  </si>
  <si>
    <t>P1967-03-011-1-3-305</t>
  </si>
  <si>
    <t>P1967-03-011-1-3-306</t>
  </si>
  <si>
    <t>P1967-03-011-1-4-401</t>
  </si>
  <si>
    <t>P1967-03-011-1-4-402</t>
  </si>
  <si>
    <t>P1967-03-011-1-4-403</t>
  </si>
  <si>
    <t>P1967-03-011-1-4-404</t>
  </si>
  <si>
    <t>P1967-03-011-1-4-405</t>
  </si>
  <si>
    <t>P1967-03-011-1-4-406</t>
  </si>
  <si>
    <t>P1967-03-011-1-5-501</t>
  </si>
  <si>
    <t>P1967-03-011-1-5-502</t>
  </si>
  <si>
    <t>P1967-03-011-1-5-503</t>
  </si>
  <si>
    <t>P1967-03-011-1-5-504</t>
  </si>
  <si>
    <t>P1967-03-011-1-5-505</t>
  </si>
  <si>
    <t>P1967-03-011-1-5-506</t>
  </si>
  <si>
    <t>P1967-03-011-1-6-601</t>
  </si>
  <si>
    <t>P1967-03-011-1-6-602</t>
  </si>
  <si>
    <t>P1967-03-011-1-6-603</t>
  </si>
  <si>
    <t>P1967-03-011-1-6-604</t>
  </si>
  <si>
    <t>P1967-03-011-1-6-605</t>
  </si>
  <si>
    <t>P1967-03-011-1-6-606</t>
  </si>
  <si>
    <t>P1967-03-011-1-7-701</t>
  </si>
  <si>
    <t>P1967-03-011-1-7-702</t>
  </si>
  <si>
    <t>P1967-03-011-1-7-703</t>
  </si>
  <si>
    <t>P1967-03-011-1-7-704</t>
  </si>
  <si>
    <t>P1967-03-011-1-7-705</t>
  </si>
  <si>
    <t>P1967-03-011-1-7-706</t>
  </si>
  <si>
    <t>P1967-03-011-1-8-801</t>
  </si>
  <si>
    <t>P1967-03-011-1-8-802</t>
  </si>
  <si>
    <t>P1967-03-011-1-8-803</t>
  </si>
  <si>
    <t>P1967-03-011-1-8-804</t>
  </si>
  <si>
    <t>P1967-03-011-1-8-805</t>
  </si>
  <si>
    <t>P1967-03-011-1-8-806</t>
  </si>
  <si>
    <t>P1967-03-011-1-9-901</t>
  </si>
  <si>
    <t>P1967-03-011-1-9-902</t>
  </si>
  <si>
    <t>P1967-03-011-1-9-903</t>
  </si>
  <si>
    <t>P1967-03-011-1-9-904</t>
  </si>
  <si>
    <t>P1967-03-011-1-9-905</t>
  </si>
  <si>
    <t>P1967-03-011-1-9-906</t>
  </si>
  <si>
    <t>P1967-03-012-1-1-101</t>
  </si>
  <si>
    <t>P1967-03-012-1-1-102</t>
  </si>
  <si>
    <t>P1967-03-012-1-1-104</t>
  </si>
  <si>
    <t>P1967-03-012-1-1-106</t>
  </si>
  <si>
    <t>P1967-03-012-1-10-1001</t>
  </si>
  <si>
    <t>P1967-03-012-1-10-1002</t>
  </si>
  <si>
    <t>P1967-03-012-1-10-1003</t>
  </si>
  <si>
    <t>P1967-03-012-1-10-1004</t>
  </si>
  <si>
    <t>P1967-03-012-1-10-1005</t>
  </si>
  <si>
    <t>P1967-03-012-1-10-1006</t>
  </si>
  <si>
    <t>P1967-03-012-1-11-1101</t>
  </si>
  <si>
    <t>P1967-03-012-1-11-1102</t>
  </si>
  <si>
    <t>P1967-03-012-1-11-1103</t>
  </si>
  <si>
    <t>P1967-03-012-1-11-1104</t>
  </si>
  <si>
    <t>P1967-03-012-1-11-1105</t>
  </si>
  <si>
    <t>P1967-03-012-1-11-1106</t>
  </si>
  <si>
    <t>P1967-03-012-1-12-1201</t>
  </si>
  <si>
    <t>P1967-03-012-1-12-1202</t>
  </si>
  <si>
    <t>P1967-03-012-1-12-1203</t>
  </si>
  <si>
    <t>P1967-03-012-1-12-1204</t>
  </si>
  <si>
    <t>P1967-03-012-1-12-1205</t>
  </si>
  <si>
    <t>P1967-03-012-1-12-1206</t>
  </si>
  <si>
    <t>P1967-03-012-1-13-1301</t>
  </si>
  <si>
    <t>P1967-03-012-1-13-1302</t>
  </si>
  <si>
    <t>P1967-03-012-1-13-1303</t>
  </si>
  <si>
    <t>P1967-03-012-1-13-1304</t>
  </si>
  <si>
    <t>P1967-03-012-1-13-1305</t>
  </si>
  <si>
    <t>P1967-03-012-1-13-1306</t>
  </si>
  <si>
    <t>P1967-03-012-1-14-1401</t>
  </si>
  <si>
    <t>P1967-03-012-1-14-1402</t>
  </si>
  <si>
    <t>P1967-03-012-1-14-1403</t>
  </si>
  <si>
    <t>P1967-03-012-1-14-1404</t>
  </si>
  <si>
    <t>P1967-03-012-1-14-1405</t>
  </si>
  <si>
    <t>P1967-03-012-1-14-1406</t>
  </si>
  <si>
    <t>P1967-03-012-1-15-1501</t>
  </si>
  <si>
    <t>P1967-03-012-1-15-1502</t>
  </si>
  <si>
    <t>P1967-03-012-1-15-1503</t>
  </si>
  <si>
    <t>P1967-03-012-1-15-1504</t>
  </si>
  <si>
    <t>P1967-03-012-1-15-1505</t>
  </si>
  <si>
    <t>P1967-03-012-1-15-1506</t>
  </si>
  <si>
    <t>P1967-03-012-1-16-1601</t>
  </si>
  <si>
    <t>P1967-03-012-1-16-1602</t>
  </si>
  <si>
    <t>P1967-03-012-1-16-1603</t>
  </si>
  <si>
    <t>P1967-03-012-1-16-1604</t>
  </si>
  <si>
    <t>P1967-03-012-1-16-1605</t>
  </si>
  <si>
    <t>P1967-03-012-1-16-1606</t>
  </si>
  <si>
    <t>P1967-03-012-1-17-1701</t>
  </si>
  <si>
    <t>P1967-03-012-1-17-1702</t>
  </si>
  <si>
    <t>P1967-03-012-1-17-1703</t>
  </si>
  <si>
    <t>P1967-03-012-1-17-1704</t>
  </si>
  <si>
    <t>P1967-03-012-1-17-1705</t>
  </si>
  <si>
    <t>P1967-03-012-1-17-1706</t>
  </si>
  <si>
    <t>P1967-03-012-1-18-1801</t>
  </si>
  <si>
    <t>P1967-03-012-1-18-1802</t>
  </si>
  <si>
    <t>P1967-03-012-1-18-1803</t>
  </si>
  <si>
    <t>P1967-03-012-1-18-1804</t>
  </si>
  <si>
    <t>P1967-03-012-1-18-1805</t>
  </si>
  <si>
    <t>P1967-03-012-1-18-1806</t>
  </si>
  <si>
    <t>P1967-03-012-1-19-1901</t>
  </si>
  <si>
    <t>P1967-03-012-1-19-1902</t>
  </si>
  <si>
    <t>P1967-03-012-1-19-1903</t>
  </si>
  <si>
    <t>P1967-03-012-1-19-1904</t>
  </si>
  <si>
    <t>P1967-03-012-1-19-1905</t>
  </si>
  <si>
    <t>P1967-03-012-1-19-1906</t>
  </si>
  <si>
    <t>P1967-03-012-1-2-201</t>
  </si>
  <si>
    <t>P1967-03-012-1-2-202</t>
  </si>
  <si>
    <t>P1967-03-012-1-2-204</t>
  </si>
  <si>
    <t>P1967-03-012-1-2-205</t>
  </si>
  <si>
    <t>P1967-03-012-1-2-206</t>
  </si>
  <si>
    <t>P1967-03-012-1-20-2001</t>
  </si>
  <si>
    <t>P1967-03-012-1-20-2002</t>
  </si>
  <si>
    <t>P1967-03-012-1-20-2003</t>
  </si>
  <si>
    <t>P1967-03-012-1-20-2004</t>
  </si>
  <si>
    <t>P1967-03-012-1-20-2005</t>
  </si>
  <si>
    <t>P1967-03-012-1-20-2006</t>
  </si>
  <si>
    <t>P1967-03-012-1-21-2101</t>
  </si>
  <si>
    <t>P1967-03-012-1-21-2102</t>
  </si>
  <si>
    <t>P1967-03-012-1-21-2103</t>
  </si>
  <si>
    <t>P1967-03-012-1-21-2104</t>
  </si>
  <si>
    <t>P1967-03-012-1-21-2105</t>
  </si>
  <si>
    <t>P1967-03-012-1-21-2106</t>
  </si>
  <si>
    <t>P1967-03-012-1-22-2201</t>
  </si>
  <si>
    <t>P1967-03-012-1-22-2202</t>
  </si>
  <si>
    <t>P1967-03-012-1-22-2203</t>
  </si>
  <si>
    <t>P1967-03-012-1-22-2204</t>
  </si>
  <si>
    <t>P1967-03-012-1-22-2205</t>
  </si>
  <si>
    <t>P1967-03-012-1-22-2206</t>
  </si>
  <si>
    <t>P1967-03-012-1-23-2301</t>
  </si>
  <si>
    <t>P1967-03-012-1-23-2302</t>
  </si>
  <si>
    <t>P1967-03-012-1-23-2303</t>
  </si>
  <si>
    <t>P1967-03-012-1-23-2304</t>
  </si>
  <si>
    <t>P1967-03-012-1-23-2305</t>
  </si>
  <si>
    <t>P1967-03-012-1-23-2306</t>
  </si>
  <si>
    <t>P1967-03-012-1-24-2401</t>
  </si>
  <si>
    <t>P1967-03-012-1-24-2402</t>
  </si>
  <si>
    <t>P1967-03-012-1-24-2403</t>
  </si>
  <si>
    <t>P1967-03-012-1-24-2404</t>
  </si>
  <si>
    <t>P1967-03-012-1-24-2405</t>
  </si>
  <si>
    <t>P1967-03-012-1-24-2406</t>
  </si>
  <si>
    <t>P1967-03-012-1-25-2501</t>
  </si>
  <si>
    <t>P1967-03-012-1-25-2502</t>
  </si>
  <si>
    <t>P1967-03-012-1-25-2503</t>
  </si>
  <si>
    <t>P1967-03-012-1-25-2504</t>
  </si>
  <si>
    <t>P1967-03-012-1-25-2505</t>
  </si>
  <si>
    <t>P1967-03-012-1-25-2506</t>
  </si>
  <si>
    <t>P1967-03-012-1-26-2601</t>
  </si>
  <si>
    <t>P1967-03-012-1-26-2602</t>
  </si>
  <si>
    <t>P1967-03-012-1-26-2603</t>
  </si>
  <si>
    <t>P1967-03-012-1-26-2604</t>
  </si>
  <si>
    <t>P1967-03-012-1-26-2605</t>
  </si>
  <si>
    <t>P1967-03-012-1-26-2606</t>
  </si>
  <si>
    <t>P1967-03-012-1-3-301</t>
  </si>
  <si>
    <t>P1967-03-012-1-3-302</t>
  </si>
  <si>
    <t>P1967-03-012-1-3-303</t>
  </si>
  <si>
    <t>P1967-03-012-1-3-304</t>
  </si>
  <si>
    <t>P1967-03-012-1-3-305</t>
  </si>
  <si>
    <t>P1967-03-012-1-3-306</t>
  </si>
  <si>
    <t>P1967-03-012-1-4-401</t>
  </si>
  <si>
    <t>P1967-03-012-1-4-402</t>
  </si>
  <si>
    <t>P1967-03-012-1-4-403</t>
  </si>
  <si>
    <t>P1967-03-012-1-4-404</t>
  </si>
  <si>
    <t>P1967-03-012-1-4-405</t>
  </si>
  <si>
    <t>P1967-03-012-1-4-406</t>
  </si>
  <si>
    <t>P1967-03-012-1-5-501</t>
  </si>
  <si>
    <t>P1967-03-012-1-5-502</t>
  </si>
  <si>
    <t>P1967-03-012-1-5-503</t>
  </si>
  <si>
    <t>P1967-03-012-1-5-504</t>
  </si>
  <si>
    <t>P1967-03-012-1-5-505</t>
  </si>
  <si>
    <t>P1967-03-012-1-5-506</t>
  </si>
  <si>
    <t>P1967-03-012-1-6-601</t>
  </si>
  <si>
    <t>P1967-03-012-1-6-602</t>
  </si>
  <si>
    <t>P1967-03-012-1-6-603</t>
  </si>
  <si>
    <t>P1967-03-012-1-6-604</t>
  </si>
  <si>
    <t>P1967-03-012-1-6-605</t>
  </si>
  <si>
    <t>P1967-03-012-1-6-606</t>
  </si>
  <si>
    <t>P1967-03-012-1-7-701</t>
  </si>
  <si>
    <t>P1967-03-012-1-7-702</t>
  </si>
  <si>
    <t>P1967-03-012-1-7-703</t>
  </si>
  <si>
    <t>P1967-03-012-1-7-704</t>
  </si>
  <si>
    <t>P1967-03-012-1-7-705</t>
  </si>
  <si>
    <t>P1967-03-012-1-7-706</t>
  </si>
  <si>
    <t>P1967-03-012-1-8-801</t>
  </si>
  <si>
    <t>P1967-03-012-1-8-802</t>
  </si>
  <si>
    <t>P1967-03-012-1-8-803</t>
  </si>
  <si>
    <t>P1967-03-012-1-8-804</t>
  </si>
  <si>
    <t>P1967-03-012-1-8-805</t>
  </si>
  <si>
    <t>P1967-03-012-1-8-806</t>
  </si>
  <si>
    <t>P1967-03-012-1-9-901</t>
  </si>
  <si>
    <t>P1967-03-012-1-9-902</t>
  </si>
  <si>
    <t>P1967-03-012-1-9-903</t>
  </si>
  <si>
    <t>P1967-03-012-1-9-904</t>
  </si>
  <si>
    <t>P1967-03-012-1-9-905</t>
  </si>
  <si>
    <t>P1967-03-012-1-9-906</t>
  </si>
  <si>
    <t>P1967-03-013-1-1-101</t>
  </si>
  <si>
    <t>P1967-03-013-1-1-102</t>
  </si>
  <si>
    <t>P1967-03-013-1-1-103</t>
  </si>
  <si>
    <t>P1967-03-013-1-1-104</t>
  </si>
  <si>
    <t>P1967-03-013-1-1-105</t>
  </si>
  <si>
    <t>P1967-03-013-1-10-1001</t>
  </si>
  <si>
    <t>P1967-03-013-1-10-1002</t>
  </si>
  <si>
    <t>P1967-03-013-1-10-1003</t>
  </si>
  <si>
    <t>P1967-03-013-1-10-1004</t>
  </si>
  <si>
    <t>P1967-03-013-1-10-1005</t>
  </si>
  <si>
    <t>P1967-03-013-1-10-1006</t>
  </si>
  <si>
    <t>P1967-03-013-1-11-1101</t>
  </si>
  <si>
    <t>P1967-03-013-1-11-1102</t>
  </si>
  <si>
    <t>P1967-03-013-1-11-1103</t>
  </si>
  <si>
    <t>P1967-03-013-1-11-1104</t>
  </si>
  <si>
    <t>P1967-03-013-1-11-1105</t>
  </si>
  <si>
    <t>P1967-03-013-1-11-1106</t>
  </si>
  <si>
    <t>P1967-03-013-1-12-1201</t>
  </si>
  <si>
    <t>P1967-03-013-1-12-1202</t>
  </si>
  <si>
    <t>P1967-03-013-1-12-1203</t>
  </si>
  <si>
    <t>P1967-03-013-1-12-1204</t>
  </si>
  <si>
    <t>P1967-03-013-1-12-1205</t>
  </si>
  <si>
    <t>P1967-03-013-1-12-1206</t>
  </si>
  <si>
    <t>P1967-03-013-1-13-1301</t>
  </si>
  <si>
    <t>P1967-03-013-1-13-1302</t>
  </si>
  <si>
    <t>P1967-03-013-1-13-1303</t>
  </si>
  <si>
    <t>P1967-03-013-1-13-1304</t>
  </si>
  <si>
    <t>P1967-03-013-1-13-1305</t>
  </si>
  <si>
    <t>P1967-03-013-1-13-1306</t>
  </si>
  <si>
    <t>P1967-03-013-1-14-1401</t>
  </si>
  <si>
    <t>P1967-03-013-1-14-1402</t>
  </si>
  <si>
    <t>P1967-03-013-1-14-1403</t>
  </si>
  <si>
    <t>P1967-03-013-1-14-1404</t>
  </si>
  <si>
    <t>P1967-03-013-1-14-1405</t>
  </si>
  <si>
    <t>P1967-03-013-1-14-1406</t>
  </si>
  <si>
    <t>P1967-03-013-1-15-1501</t>
  </si>
  <si>
    <t>P1967-03-013-1-15-1502</t>
  </si>
  <si>
    <t>P1967-03-013-1-15-1503</t>
  </si>
  <si>
    <t>P1967-03-013-1-15-1504</t>
  </si>
  <si>
    <t>P1967-03-013-1-15-1505</t>
  </si>
  <si>
    <t>P1967-03-013-1-15-1506</t>
  </si>
  <si>
    <t>P1967-03-013-1-16-1601</t>
  </si>
  <si>
    <t>P1967-03-013-1-16-1602</t>
  </si>
  <si>
    <t>P1967-03-013-1-16-1603</t>
  </si>
  <si>
    <t>P1967-03-013-1-16-1604</t>
  </si>
  <si>
    <t>P1967-03-013-1-16-1605</t>
  </si>
  <si>
    <t>P1967-03-013-1-16-1606</t>
  </si>
  <si>
    <t>P1967-03-013-1-17-1701</t>
  </si>
  <si>
    <t>P1967-03-013-1-17-1702</t>
  </si>
  <si>
    <t>P1967-03-013-1-17-1703</t>
  </si>
  <si>
    <t>P1967-03-013-1-17-1704</t>
  </si>
  <si>
    <t>P1967-03-013-1-17-1705</t>
  </si>
  <si>
    <t>P1967-03-013-1-17-1706</t>
  </si>
  <si>
    <t>P1967-03-013-1-18-1801</t>
  </si>
  <si>
    <t>P1967-03-013-1-18-1802</t>
  </si>
  <si>
    <t>P1967-03-013-1-18-1803</t>
  </si>
  <si>
    <t>P1967-03-013-1-18-1804</t>
  </si>
  <si>
    <t>P1967-03-013-1-18-1805</t>
  </si>
  <si>
    <t>P1967-03-013-1-18-1806</t>
  </si>
  <si>
    <t>P1967-03-013-1-19-1901</t>
  </si>
  <si>
    <t>P1967-03-013-1-19-1902</t>
  </si>
  <si>
    <t>P1967-03-013-1-19-1903</t>
  </si>
  <si>
    <t>P1967-03-013-1-19-1904</t>
  </si>
  <si>
    <t>P1967-03-013-1-19-1905</t>
  </si>
  <si>
    <t>P1967-03-013-1-19-1906</t>
  </si>
  <si>
    <t>P1967-03-013-1-2-201</t>
  </si>
  <si>
    <t>P1967-03-013-1-2-202</t>
  </si>
  <si>
    <t>P1967-03-013-1-2-203</t>
  </si>
  <si>
    <t>P1967-03-013-1-2-204</t>
  </si>
  <si>
    <t>P1967-03-013-1-2-205</t>
  </si>
  <si>
    <t>P1967-03-013-1-20-2001</t>
  </si>
  <si>
    <t>P1967-03-013-1-20-2002</t>
  </si>
  <si>
    <t>P1967-03-013-1-20-2003</t>
  </si>
  <si>
    <t>P1967-03-013-1-20-2004</t>
  </si>
  <si>
    <t>P1967-03-013-1-20-2005</t>
  </si>
  <si>
    <t>P1967-03-013-1-20-2006</t>
  </si>
  <si>
    <t>P1967-03-013-1-21-2101</t>
  </si>
  <si>
    <t>P1967-03-013-1-21-2102</t>
  </si>
  <si>
    <t>P1967-03-013-1-21-2103</t>
  </si>
  <si>
    <t>P1967-03-013-1-21-2104</t>
  </si>
  <si>
    <t>P1967-03-013-1-21-2105</t>
  </si>
  <si>
    <t>P1967-03-013-1-21-2106</t>
  </si>
  <si>
    <t>P1967-03-013-1-22-2201</t>
  </si>
  <si>
    <t>P1967-03-013-1-22-2202</t>
  </si>
  <si>
    <t>P1967-03-013-1-22-2203</t>
  </si>
  <si>
    <t>P1967-03-013-1-22-2204</t>
  </si>
  <si>
    <t>P1967-03-013-1-22-2205</t>
  </si>
  <si>
    <t>P1967-03-013-1-22-2206</t>
  </si>
  <si>
    <t>P1967-03-013-1-23-2301</t>
  </si>
  <si>
    <t>P1967-03-013-1-23-2302</t>
  </si>
  <si>
    <t>P1967-03-013-1-23-2303</t>
  </si>
  <si>
    <t>P1967-03-013-1-23-2304</t>
  </si>
  <si>
    <t>P1967-03-013-1-23-2305</t>
  </si>
  <si>
    <t>P1967-03-013-1-23-2306</t>
  </si>
  <si>
    <t>P1967-03-013-1-24-2401</t>
  </si>
  <si>
    <t>P1967-03-013-1-24-2402</t>
  </si>
  <si>
    <t>P1967-03-013-1-24-2403</t>
  </si>
  <si>
    <t>P1967-03-013-1-24-2404</t>
  </si>
  <si>
    <t>P1967-03-013-1-24-2405</t>
  </si>
  <si>
    <t>P1967-03-013-1-24-2406</t>
  </si>
  <si>
    <t>P1967-03-013-1-25-2501</t>
  </si>
  <si>
    <t>P1967-03-013-1-25-2502</t>
  </si>
  <si>
    <t>P1967-03-013-1-25-2503</t>
  </si>
  <si>
    <t>P1967-03-013-1-25-2504</t>
  </si>
  <si>
    <t>P1967-03-013-1-25-2505</t>
  </si>
  <si>
    <t>P1967-03-013-1-25-2506</t>
  </si>
  <si>
    <t>P1967-03-013-1-26-2601</t>
  </si>
  <si>
    <t>P1967-03-013-1-26-2602</t>
  </si>
  <si>
    <t>P1967-03-013-1-26-2603</t>
  </si>
  <si>
    <t>P1967-03-013-1-26-2604</t>
  </si>
  <si>
    <t>P1967-03-013-1-26-2605</t>
  </si>
  <si>
    <t>P1967-03-013-1-26-2606</t>
  </si>
  <si>
    <t>P1967-03-013-1-3-301</t>
  </si>
  <si>
    <t>P1967-03-013-1-3-302</t>
  </si>
  <si>
    <t>P1967-03-013-1-3-303</t>
  </si>
  <si>
    <t>P1967-03-013-1-3-304</t>
  </si>
  <si>
    <t>P1967-03-013-1-3-305</t>
  </si>
  <si>
    <t>P1967-03-013-1-3-306</t>
  </si>
  <si>
    <t>P1967-03-013-1-4-401</t>
  </si>
  <si>
    <t>P1967-03-013-1-4-402</t>
  </si>
  <si>
    <t>P1967-03-013-1-4-403</t>
  </si>
  <si>
    <t>P1967-03-013-1-4-404</t>
  </si>
  <si>
    <t>P1967-03-013-1-4-405</t>
  </si>
  <si>
    <t>P1967-03-013-1-4-406</t>
  </si>
  <si>
    <t>P1967-03-013-1-5-501</t>
  </si>
  <si>
    <t>P1967-03-013-1-5-502</t>
  </si>
  <si>
    <t>P1967-03-013-1-5-503</t>
  </si>
  <si>
    <t>P1967-03-013-1-5-504</t>
  </si>
  <si>
    <t>P1967-03-013-1-5-505</t>
  </si>
  <si>
    <t>P1967-03-013-1-5-506</t>
  </si>
  <si>
    <t>P1967-03-013-1-6-601</t>
  </si>
  <si>
    <t>P1967-03-013-1-6-602</t>
  </si>
  <si>
    <t>P1967-03-013-1-6-603</t>
  </si>
  <si>
    <t>P1967-03-013-1-6-604</t>
  </si>
  <si>
    <t>P1967-03-013-1-6-605</t>
  </si>
  <si>
    <t>P1967-03-013-1-6-606</t>
  </si>
  <si>
    <t>P1967-03-013-1-7-701</t>
  </si>
  <si>
    <t>P1967-03-013-1-7-702</t>
  </si>
  <si>
    <t>P1967-03-013-1-7-703</t>
  </si>
  <si>
    <t>P1967-03-013-1-7-704</t>
  </si>
  <si>
    <t>P1967-03-013-1-7-705</t>
  </si>
  <si>
    <t>P1967-03-013-1-7-706</t>
  </si>
  <si>
    <t>P1967-03-013-1-8-801</t>
  </si>
  <si>
    <t>P1967-03-013-1-8-802</t>
  </si>
  <si>
    <t>P1967-03-013-1-8-803</t>
  </si>
  <si>
    <t>P1967-03-013-1-8-804</t>
  </si>
  <si>
    <t>P1967-03-013-1-8-805</t>
  </si>
  <si>
    <t>P1967-03-013-1-8-806</t>
  </si>
  <si>
    <t>P1967-03-013-1-9-901</t>
  </si>
  <si>
    <t>P1967-03-013-1-9-902</t>
  </si>
  <si>
    <t>P1967-03-013-1-9-903</t>
  </si>
  <si>
    <t>P1967-03-013-1-9-904</t>
  </si>
  <si>
    <t>P1967-03-013-1-9-905</t>
  </si>
  <si>
    <t>P1967-03-013-1-9-906</t>
  </si>
  <si>
    <t>P1967-03-014-1-1-101</t>
  </si>
  <si>
    <t>P1967-03-014-1-1-102</t>
  </si>
  <si>
    <t>P1967-03-014-1-1-103</t>
  </si>
  <si>
    <t>P1967-03-014-1-1-104</t>
  </si>
  <si>
    <t>P1967-03-014-1-1-105</t>
  </si>
  <si>
    <t>P1967-03-014-1-10-1001</t>
  </si>
  <si>
    <t>P1967-03-014-1-10-1002</t>
  </si>
  <si>
    <t>P1967-03-014-1-10-1003</t>
  </si>
  <si>
    <t>P1967-03-014-1-10-1004</t>
  </si>
  <si>
    <t>P1967-03-014-1-10-1005</t>
  </si>
  <si>
    <t>P1967-03-014-1-10-1006</t>
  </si>
  <si>
    <t>P1967-03-014-1-11-1101</t>
  </si>
  <si>
    <t>P1967-03-014-1-11-1102</t>
  </si>
  <si>
    <t>P1967-03-014-1-11-1103</t>
  </si>
  <si>
    <t>P1967-03-014-1-11-1104</t>
  </si>
  <si>
    <t>P1967-03-014-1-11-1105</t>
  </si>
  <si>
    <t>P1967-03-014-1-11-1106</t>
  </si>
  <si>
    <t>P1967-03-014-1-12-1201</t>
  </si>
  <si>
    <t>P1967-03-014-1-12-1202</t>
  </si>
  <si>
    <t>P1967-03-014-1-12-1203</t>
  </si>
  <si>
    <t>P1967-03-014-1-12-1204</t>
  </si>
  <si>
    <t>P1967-03-014-1-12-1205</t>
  </si>
  <si>
    <t>P1967-03-014-1-12-1206</t>
  </si>
  <si>
    <t>P1967-03-014-1-13-1301</t>
  </si>
  <si>
    <t>P1967-03-014-1-13-1302</t>
  </si>
  <si>
    <t>P1967-03-014-1-13-1303</t>
  </si>
  <si>
    <t>P1967-03-014-1-13-1304</t>
  </si>
  <si>
    <t>P1967-03-014-1-13-1305</t>
  </si>
  <si>
    <t>P1967-03-014-1-13-1306</t>
  </si>
  <si>
    <t>P1967-03-014-1-14-1401</t>
  </si>
  <si>
    <t>P1967-03-014-1-14-1402</t>
  </si>
  <si>
    <t>P1967-03-014-1-14-1403</t>
  </si>
  <si>
    <t>P1967-03-014-1-14-1404</t>
  </si>
  <si>
    <t>P1967-03-014-1-14-1405</t>
  </si>
  <si>
    <t>P1967-03-014-1-14-1406</t>
  </si>
  <si>
    <t>P1967-03-014-1-15-1501</t>
  </si>
  <si>
    <t>P1967-03-014-1-15-1502</t>
  </si>
  <si>
    <t>P1967-03-014-1-15-1503</t>
  </si>
  <si>
    <t>P1967-03-014-1-15-1504</t>
  </si>
  <si>
    <t>P1967-03-014-1-15-1505</t>
  </si>
  <si>
    <t>P1967-03-014-1-15-1506</t>
  </si>
  <si>
    <t>P1967-03-014-1-16-1601</t>
  </si>
  <si>
    <t>P1967-03-014-1-16-1602</t>
  </si>
  <si>
    <t>P1967-03-014-1-16-1603</t>
  </si>
  <si>
    <t>P1967-03-014-1-16-1604</t>
  </si>
  <si>
    <t>P1967-03-014-1-16-1605</t>
  </si>
  <si>
    <t>P1967-03-014-1-16-1606</t>
  </si>
  <si>
    <t>P1967-03-014-1-17-1701</t>
  </si>
  <si>
    <t>P1967-03-014-1-17-1702</t>
  </si>
  <si>
    <t>P1967-03-014-1-17-1703</t>
  </si>
  <si>
    <t>P1967-03-014-1-17-1704</t>
  </si>
  <si>
    <t>P1967-03-014-1-17-1705</t>
  </si>
  <si>
    <t>P1967-03-014-1-17-1706</t>
  </si>
  <si>
    <t>P1967-03-014-1-18-1801</t>
  </si>
  <si>
    <t>P1967-03-014-1-18-1802</t>
  </si>
  <si>
    <t>P1967-03-014-1-18-1803</t>
  </si>
  <si>
    <t>P1967-03-014-1-18-1804</t>
  </si>
  <si>
    <t>P1967-03-014-1-18-1805</t>
  </si>
  <si>
    <t>P1967-03-014-1-18-1806</t>
  </si>
  <si>
    <t>P1967-03-014-1-19-1901</t>
  </si>
  <si>
    <t>P1967-03-014-1-19-1902</t>
  </si>
  <si>
    <t>P1967-03-014-1-19-1903</t>
  </si>
  <si>
    <t>P1967-03-014-1-19-1904</t>
  </si>
  <si>
    <t>P1967-03-014-1-19-1905</t>
  </si>
  <si>
    <t>P1967-03-014-1-19-1906</t>
  </si>
  <si>
    <t>P1967-03-014-1-2-201</t>
  </si>
  <si>
    <t>P1967-03-014-1-2-202</t>
  </si>
  <si>
    <t>P1967-03-014-1-2-203</t>
  </si>
  <si>
    <t>P1967-03-014-1-2-204</t>
  </si>
  <si>
    <t>P1967-03-014-1-2-205</t>
  </si>
  <si>
    <t>P1967-03-014-1-3-301</t>
  </si>
  <si>
    <t>P1967-03-014-1-3-302</t>
  </si>
  <si>
    <t>P1967-03-014-1-3-303</t>
  </si>
  <si>
    <t>P1967-03-014-1-3-304</t>
  </si>
  <si>
    <t>P1967-03-014-1-3-305</t>
  </si>
  <si>
    <t>P1967-03-014-1-3-306</t>
  </si>
  <si>
    <t>P1967-03-014-1-4-401</t>
  </si>
  <si>
    <t>P1967-03-014-1-4-402</t>
  </si>
  <si>
    <t>P1967-03-014-1-4-403</t>
  </si>
  <si>
    <t>P1967-03-014-1-4-404</t>
  </si>
  <si>
    <t>P1967-03-014-1-4-405</t>
  </si>
  <si>
    <t>P1967-03-014-1-4-406</t>
  </si>
  <si>
    <t>P1967-03-014-1-5-501</t>
  </si>
  <si>
    <t>P1967-03-014-1-5-502</t>
  </si>
  <si>
    <t>P1967-03-014-1-5-503</t>
  </si>
  <si>
    <t>P1967-03-014-1-5-504</t>
  </si>
  <si>
    <t>P1967-03-014-1-5-505</t>
  </si>
  <si>
    <t>P1967-03-014-1-5-506</t>
  </si>
  <si>
    <t>P1967-03-014-1-6-601</t>
  </si>
  <si>
    <t>P1967-03-014-1-6-602</t>
  </si>
  <si>
    <t>P1967-03-014-1-6-603</t>
  </si>
  <si>
    <t>P1967-03-014-1-6-604</t>
  </si>
  <si>
    <t>P1967-03-014-1-6-605</t>
  </si>
  <si>
    <t>P1967-03-014-1-6-606</t>
  </si>
  <si>
    <t>P1967-03-014-1-7-701</t>
  </si>
  <si>
    <t>P1967-03-014-1-7-702</t>
  </si>
  <si>
    <t>P1967-03-014-1-7-703</t>
  </si>
  <si>
    <t>P1967-03-014-1-7-704</t>
  </si>
  <si>
    <t>P1967-03-014-1-7-705</t>
  </si>
  <si>
    <t>P1967-03-014-1-7-706</t>
  </si>
  <si>
    <t>P1967-03-014-1-8-801</t>
  </si>
  <si>
    <t>P1967-03-014-1-8-802</t>
  </si>
  <si>
    <t>P1967-03-014-1-8-803</t>
  </si>
  <si>
    <t>P1967-03-014-1-8-804</t>
  </si>
  <si>
    <t>P1967-03-014-1-8-805</t>
  </si>
  <si>
    <t>P1967-03-014-1-8-806</t>
  </si>
  <si>
    <t>P1967-03-014-1-9-901</t>
  </si>
  <si>
    <t>P1967-03-014-1-9-902</t>
  </si>
  <si>
    <t>P1967-03-014-1-9-903</t>
  </si>
  <si>
    <t>P1967-03-014-1-9-904</t>
  </si>
  <si>
    <t>P1967-03-014-1-9-905</t>
  </si>
  <si>
    <t>P1967-03-014-1-9-906</t>
  </si>
  <si>
    <t>P1967-03-015-1-1-101</t>
  </si>
  <si>
    <t>P1967-03-015-1-1-102</t>
  </si>
  <si>
    <t>P1967-03-015-1-1-103</t>
  </si>
  <si>
    <t>P1967-03-015-1-1-104</t>
  </si>
  <si>
    <t>P1967-03-015-1-1-105</t>
  </si>
  <si>
    <t>P1967-03-015-1-10-1001</t>
  </si>
  <si>
    <t>P1967-03-015-1-10-1002</t>
  </si>
  <si>
    <t>P1967-03-015-1-10-1003</t>
  </si>
  <si>
    <t>P1967-03-015-1-10-1004</t>
  </si>
  <si>
    <t>P1967-03-015-1-10-1005</t>
  </si>
  <si>
    <t>P1967-03-015-1-10-1006</t>
  </si>
  <si>
    <t>P1967-03-015-1-11-1101</t>
  </si>
  <si>
    <t>P1967-03-015-1-11-1102</t>
  </si>
  <si>
    <t>P1967-03-015-1-11-1103</t>
  </si>
  <si>
    <t>P1967-03-015-1-11-1104</t>
  </si>
  <si>
    <t>P1967-03-015-1-11-1105</t>
  </si>
  <si>
    <t>P1967-03-015-1-11-1106</t>
  </si>
  <si>
    <t>P1967-03-015-1-12-1201</t>
  </si>
  <si>
    <t>P1967-03-015-1-12-1202</t>
  </si>
  <si>
    <t>P1967-03-015-1-12-1203</t>
  </si>
  <si>
    <t>P1967-03-015-1-12-1204</t>
  </si>
  <si>
    <t>P1967-03-015-1-12-1205</t>
  </si>
  <si>
    <t>P1967-03-015-1-12-1206</t>
  </si>
  <si>
    <t>P1967-03-015-1-13-1301</t>
  </si>
  <si>
    <t>P1967-03-015-1-13-1302</t>
  </si>
  <si>
    <t>P1967-03-015-1-13-1303</t>
  </si>
  <si>
    <t>P1967-03-015-1-13-1304</t>
  </si>
  <si>
    <t>P1967-03-015-1-13-1305</t>
  </si>
  <si>
    <t>P1967-03-015-1-13-1306</t>
  </si>
  <si>
    <t>P1967-03-015-1-14-1401</t>
  </si>
  <si>
    <t>P1967-03-015-1-14-1402</t>
  </si>
  <si>
    <t>P1967-03-015-1-14-1403</t>
  </si>
  <si>
    <t>P1967-03-015-1-14-1404</t>
  </si>
  <si>
    <t>P1967-03-015-1-14-1405</t>
  </si>
  <si>
    <t>P1967-03-015-1-14-1406</t>
  </si>
  <si>
    <t>P1967-03-015-1-15-1501</t>
  </si>
  <si>
    <t>P1967-03-015-1-15-1502</t>
  </si>
  <si>
    <t>P1967-03-015-1-15-1503</t>
  </si>
  <si>
    <t>P1967-03-015-1-15-1504</t>
  </si>
  <si>
    <t>P1967-03-015-1-15-1505</t>
  </si>
  <si>
    <t>P1967-03-015-1-15-1506</t>
  </si>
  <si>
    <t>P1967-03-015-1-16-1601</t>
  </si>
  <si>
    <t>P1967-03-015-1-16-1602</t>
  </si>
  <si>
    <t>P1967-03-015-1-16-1603</t>
  </si>
  <si>
    <t>P1967-03-015-1-16-1604</t>
  </si>
  <si>
    <t>P1967-03-015-1-16-1605</t>
  </si>
  <si>
    <t>P1967-03-015-1-16-1606</t>
  </si>
  <si>
    <t>P1967-03-015-1-17-1701</t>
  </si>
  <si>
    <t>P1967-03-015-1-17-1702</t>
  </si>
  <si>
    <t>P1967-03-015-1-17-1703</t>
  </si>
  <si>
    <t>P1967-03-015-1-17-1704</t>
  </si>
  <si>
    <t>P1967-03-015-1-17-1705</t>
  </si>
  <si>
    <t>P1967-03-015-1-17-1706</t>
  </si>
  <si>
    <t>P1967-03-015-1-18-1801</t>
  </si>
  <si>
    <t>P1967-03-015-1-18-1802</t>
  </si>
  <si>
    <t>P1967-03-015-1-18-1803</t>
  </si>
  <si>
    <t>P1967-03-015-1-18-1804</t>
  </si>
  <si>
    <t>P1967-03-015-1-18-1805</t>
  </si>
  <si>
    <t>P1967-03-015-1-18-1806</t>
  </si>
  <si>
    <t>P1967-03-015-1-19-1901</t>
  </si>
  <si>
    <t>P1967-03-015-1-19-1902</t>
  </si>
  <si>
    <t>P1967-03-015-1-19-1903</t>
  </si>
  <si>
    <t>P1967-03-015-1-19-1904</t>
  </si>
  <si>
    <t>P1967-03-015-1-19-1905</t>
  </si>
  <si>
    <t>P1967-03-015-1-19-1906</t>
  </si>
  <si>
    <t>P1967-03-015-1-2-201</t>
  </si>
  <si>
    <t>P1967-03-015-1-2-202</t>
  </si>
  <si>
    <t>P1967-03-015-1-2-203</t>
  </si>
  <si>
    <t>P1967-03-015-1-2-204</t>
  </si>
  <si>
    <t>P1967-03-015-1-2-205</t>
  </si>
  <si>
    <t>P1967-03-015-1-3-301</t>
  </si>
  <si>
    <t>P1967-03-015-1-3-302</t>
  </si>
  <si>
    <t>P1967-03-015-1-3-303</t>
  </si>
  <si>
    <t>P1967-03-015-1-3-304</t>
  </si>
  <si>
    <t>P1967-03-015-1-3-305</t>
  </si>
  <si>
    <t>P1967-03-015-1-3-306</t>
  </si>
  <si>
    <t>P1967-03-015-1-4-401</t>
  </si>
  <si>
    <t>P1967-03-015-1-4-402</t>
  </si>
  <si>
    <t>P1967-03-015-1-4-403</t>
  </si>
  <si>
    <t>P1967-03-015-1-4-404</t>
  </si>
  <si>
    <t>P1967-03-015-1-4-405</t>
  </si>
  <si>
    <t>P1967-03-015-1-4-406</t>
  </si>
  <si>
    <t>P1967-03-015-1-5-501</t>
  </si>
  <si>
    <t>P1967-03-015-1-5-502</t>
  </si>
  <si>
    <t>P1967-03-015-1-5-503</t>
  </si>
  <si>
    <t>P1967-03-015-1-5-504</t>
  </si>
  <si>
    <t>P1967-03-015-1-5-505</t>
  </si>
  <si>
    <t>P1967-03-015-1-5-506</t>
  </si>
  <si>
    <t>P1967-03-015-1-6-601</t>
  </si>
  <si>
    <t>P1967-03-015-1-6-602</t>
  </si>
  <si>
    <t>P1967-03-015-1-6-603</t>
  </si>
  <si>
    <t>P1967-03-015-1-6-604</t>
  </si>
  <si>
    <t>P1967-03-015-1-6-605</t>
  </si>
  <si>
    <t>P1967-03-015-1-6-606</t>
  </si>
  <si>
    <t>P1967-03-015-1-7-701</t>
  </si>
  <si>
    <t>P1967-03-015-1-7-702</t>
  </si>
  <si>
    <t>P1967-03-015-1-7-703</t>
  </si>
  <si>
    <t>P1967-03-015-1-7-704</t>
  </si>
  <si>
    <t>P1967-03-015-1-7-705</t>
  </si>
  <si>
    <t>P1967-03-015-1-7-706</t>
  </si>
  <si>
    <t>P1967-03-015-1-8-801</t>
  </si>
  <si>
    <t>P1967-03-015-1-8-802</t>
  </si>
  <si>
    <t>P1967-03-015-1-8-803</t>
  </si>
  <si>
    <t>P1967-03-015-1-8-804</t>
  </si>
  <si>
    <t>P1967-03-015-1-8-805</t>
  </si>
  <si>
    <t>P1967-03-015-1-8-806</t>
  </si>
  <si>
    <t>P1967-03-015-1-9-901</t>
  </si>
  <si>
    <t>P1967-03-015-1-9-902</t>
  </si>
  <si>
    <t>P1967-03-015-1-9-903</t>
  </si>
  <si>
    <t>P1967-03-015-1-9-904</t>
  </si>
  <si>
    <t>P1967-03-015-1-9-905</t>
  </si>
  <si>
    <t>P1967-03-015-1-9-906</t>
  </si>
  <si>
    <t>P1967-03-016-1-1-101</t>
  </si>
  <si>
    <t>P1967-03-016-1-1-102</t>
  </si>
  <si>
    <t>P1967-03-016-1-1-103</t>
  </si>
  <si>
    <t>P1967-03-016-1-1-104</t>
  </si>
  <si>
    <t>P1967-03-016-1-1-105</t>
  </si>
  <si>
    <t>P1967-03-016-1-10-1001</t>
  </si>
  <si>
    <t>P1967-03-016-1-10-1002</t>
  </si>
  <si>
    <t>P1967-03-016-1-10-1003</t>
  </si>
  <si>
    <t>P1967-03-016-1-10-1004</t>
  </si>
  <si>
    <t>P1967-03-016-1-10-1005</t>
  </si>
  <si>
    <t>P1967-03-016-1-10-1006</t>
  </si>
  <si>
    <t>P1967-03-016-1-11-1101</t>
  </si>
  <si>
    <t>P1967-03-016-1-11-1102</t>
  </si>
  <si>
    <t>P1967-03-016-1-11-1103</t>
  </si>
  <si>
    <t>P1967-03-016-1-11-1104</t>
  </si>
  <si>
    <t>P1967-03-016-1-11-1105</t>
  </si>
  <si>
    <t>P1967-03-016-1-11-1106</t>
  </si>
  <si>
    <t>P1967-03-016-1-12-1201</t>
  </si>
  <si>
    <t>P1967-03-016-1-12-1202</t>
  </si>
  <si>
    <t>P1967-03-016-1-12-1203</t>
  </si>
  <si>
    <t>P1967-03-016-1-12-1204</t>
  </si>
  <si>
    <t>P1967-03-016-1-12-1205</t>
  </si>
  <si>
    <t>P1967-03-016-1-12-1206</t>
  </si>
  <si>
    <t>P1967-03-016-1-13-1301</t>
  </si>
  <si>
    <t>P1967-03-016-1-13-1302</t>
  </si>
  <si>
    <t>P1967-03-016-1-13-1303</t>
  </si>
  <si>
    <t>P1967-03-016-1-13-1304</t>
  </si>
  <si>
    <t>P1967-03-016-1-13-1305</t>
  </si>
  <si>
    <t>P1967-03-016-1-13-1306</t>
  </si>
  <si>
    <t>P1967-03-016-1-14-1401</t>
  </si>
  <si>
    <t>P1967-03-016-1-14-1402</t>
  </si>
  <si>
    <t>P1967-03-016-1-14-1403</t>
  </si>
  <si>
    <t>P1967-03-016-1-14-1404</t>
  </si>
  <si>
    <t>P1967-03-016-1-14-1405</t>
  </si>
  <si>
    <t>P1967-03-016-1-14-1406</t>
  </si>
  <si>
    <t>P1967-03-016-1-15-1501</t>
  </si>
  <si>
    <t>P1967-03-016-1-15-1502</t>
  </si>
  <si>
    <t>P1967-03-016-1-15-1503</t>
  </si>
  <si>
    <t>P1967-03-016-1-15-1504</t>
  </si>
  <si>
    <t>P1967-03-016-1-15-1505</t>
  </si>
  <si>
    <t>P1967-03-016-1-15-1506</t>
  </si>
  <si>
    <t>P1967-03-016-1-16-1601</t>
  </si>
  <si>
    <t>P1967-03-016-1-16-1602</t>
  </si>
  <si>
    <t>P1967-03-016-1-16-1603</t>
  </si>
  <si>
    <t>P1967-03-016-1-16-1604</t>
  </si>
  <si>
    <t>P1967-03-016-1-16-1605</t>
  </si>
  <si>
    <t>P1967-03-016-1-16-1606</t>
  </si>
  <si>
    <t>P1967-03-016-1-17-1701</t>
  </si>
  <si>
    <t>P1967-03-016-1-17-1702</t>
  </si>
  <si>
    <t>P1967-03-016-1-17-1703</t>
  </si>
  <si>
    <t>P1967-03-016-1-17-1704</t>
  </si>
  <si>
    <t>P1967-03-016-1-17-1705</t>
  </si>
  <si>
    <t>P1967-03-016-1-17-1706</t>
  </si>
  <si>
    <t>P1967-03-016-1-18-1801</t>
  </si>
  <si>
    <t>P1967-03-016-1-18-1802</t>
  </si>
  <si>
    <t>P1967-03-016-1-18-1803</t>
  </si>
  <si>
    <t>P1967-03-016-1-18-1804</t>
  </si>
  <si>
    <t>P1967-03-016-1-18-1805</t>
  </si>
  <si>
    <t>P1967-03-016-1-18-1806</t>
  </si>
  <si>
    <t>P1967-03-016-1-19-1901</t>
  </si>
  <si>
    <t>P1967-03-016-1-19-1902</t>
  </si>
  <si>
    <t>P1967-03-016-1-19-1903</t>
  </si>
  <si>
    <t>P1967-03-016-1-19-1904</t>
  </si>
  <si>
    <t>P1967-03-016-1-19-1905</t>
  </si>
  <si>
    <t>P1967-03-016-1-19-1906</t>
  </si>
  <si>
    <t>P1967-03-016-1-2-201</t>
  </si>
  <si>
    <t>P1967-03-016-1-2-202</t>
  </si>
  <si>
    <t>P1967-03-016-1-2-203</t>
  </si>
  <si>
    <t>P1967-03-016-1-2-204</t>
  </si>
  <si>
    <t>P1967-03-016-1-2-205</t>
  </si>
  <si>
    <t>P1967-03-016-1-3-301</t>
  </si>
  <si>
    <t>P1967-03-016-1-3-302</t>
  </si>
  <si>
    <t>P1967-03-016-1-3-303</t>
  </si>
  <si>
    <t>P1967-03-016-1-3-304</t>
  </si>
  <si>
    <t>P1967-03-016-1-3-305</t>
  </si>
  <si>
    <t>P1967-03-016-1-3-306</t>
  </si>
  <si>
    <t>P1967-03-016-1-4-401</t>
  </si>
  <si>
    <t>P1967-03-016-1-4-402</t>
  </si>
  <si>
    <t>P1967-03-016-1-4-403</t>
  </si>
  <si>
    <t>P1967-03-016-1-4-404</t>
  </si>
  <si>
    <t>P1967-03-016-1-4-405</t>
  </si>
  <si>
    <t>P1967-03-016-1-4-406</t>
  </si>
  <si>
    <t>P1967-03-016-1-5-501</t>
  </si>
  <si>
    <t>P1967-03-016-1-5-502</t>
  </si>
  <si>
    <t>P1967-03-016-1-5-503</t>
  </si>
  <si>
    <t>P1967-03-016-1-5-504</t>
  </si>
  <si>
    <t>P1967-03-016-1-5-505</t>
  </si>
  <si>
    <t>P1967-03-016-1-5-506</t>
  </si>
  <si>
    <t>P1967-03-016-1-6-601</t>
  </si>
  <si>
    <t>P1967-03-016-1-6-602</t>
  </si>
  <si>
    <t>P1967-03-016-1-6-603</t>
  </si>
  <si>
    <t>P1967-03-016-1-6-604</t>
  </si>
  <si>
    <t>P1967-03-016-1-6-605</t>
  </si>
  <si>
    <t>P1967-03-016-1-6-606</t>
  </si>
  <si>
    <t>P1967-03-016-1-7-701</t>
  </si>
  <si>
    <t>P1967-03-016-1-7-702</t>
  </si>
  <si>
    <t>P1967-03-016-1-7-703</t>
  </si>
  <si>
    <t>P1967-03-016-1-7-704</t>
  </si>
  <si>
    <t>P1967-03-016-1-7-705</t>
  </si>
  <si>
    <t>P1967-03-016-1-7-706</t>
  </si>
  <si>
    <t>P1967-03-016-1-8-801</t>
  </si>
  <si>
    <t>P1967-03-016-1-8-802</t>
  </si>
  <si>
    <t>P1967-03-016-1-8-803</t>
  </si>
  <si>
    <t>P1967-03-016-1-8-804</t>
  </si>
  <si>
    <t>P1967-03-016-1-8-805</t>
  </si>
  <si>
    <t>P1967-03-016-1-8-806</t>
  </si>
  <si>
    <t>P1967-03-016-1-9-901</t>
  </si>
  <si>
    <t>P1967-03-016-1-9-902</t>
  </si>
  <si>
    <t>P1967-03-016-1-9-903</t>
  </si>
  <si>
    <t>P1967-03-016-1-9-904</t>
  </si>
  <si>
    <t>P1967-03-016-1-9-905</t>
  </si>
  <si>
    <t>P1967-03-016-1-9-906</t>
  </si>
  <si>
    <t>P1967-03-017-1-1-101</t>
  </si>
  <si>
    <t>P1967-03-017-1-1-102</t>
  </si>
  <si>
    <t>P1967-03-017-1-1-103</t>
  </si>
  <si>
    <t>P1967-03-017-1-1-104</t>
  </si>
  <si>
    <t>P1967-03-017-1-1-105</t>
  </si>
  <si>
    <t>P1967-03-017-1-10-1001</t>
  </si>
  <si>
    <t>P1967-03-017-1-10-1002</t>
  </si>
  <si>
    <t>P1967-03-017-1-10-1003</t>
  </si>
  <si>
    <t>P1967-03-017-1-10-1004</t>
  </si>
  <si>
    <t>P1967-03-017-1-10-1005</t>
  </si>
  <si>
    <t>P1967-03-017-1-10-1006</t>
  </si>
  <si>
    <t>P1967-03-017-1-11-1101</t>
  </si>
  <si>
    <t>P1967-03-017-1-11-1102</t>
  </si>
  <si>
    <t>P1967-03-017-1-11-1103</t>
  </si>
  <si>
    <t>P1967-03-017-1-11-1104</t>
  </si>
  <si>
    <t>P1967-03-017-1-11-1105</t>
  </si>
  <si>
    <t>P1967-03-017-1-11-1106</t>
  </si>
  <si>
    <t>P1967-03-017-1-12-1201</t>
  </si>
  <si>
    <t>P1967-03-017-1-12-1202</t>
  </si>
  <si>
    <t>P1967-03-017-1-12-1203</t>
  </si>
  <si>
    <t>P1967-03-017-1-12-1204</t>
  </si>
  <si>
    <t>P1967-03-017-1-12-1205</t>
  </si>
  <si>
    <t>P1967-03-017-1-12-1206</t>
  </si>
  <si>
    <t>P1967-03-017-1-13-1301</t>
  </si>
  <si>
    <t>P1967-03-017-1-13-1302</t>
  </si>
  <si>
    <t>P1967-03-017-1-13-1303</t>
  </si>
  <si>
    <t>P1967-03-017-1-13-1304</t>
  </si>
  <si>
    <t>P1967-03-017-1-13-1305</t>
  </si>
  <si>
    <t>P1967-03-017-1-13-1306</t>
  </si>
  <si>
    <t>P1967-03-017-1-14-1401</t>
  </si>
  <si>
    <t>P1967-03-017-1-14-1402</t>
  </si>
  <si>
    <t>P1967-03-017-1-14-1403</t>
  </si>
  <si>
    <t>P1967-03-017-1-14-1404</t>
  </si>
  <si>
    <t>P1967-03-017-1-14-1405</t>
  </si>
  <si>
    <t>P1967-03-017-1-14-1406</t>
  </si>
  <si>
    <t>P1967-03-017-1-15-1501</t>
  </si>
  <si>
    <t>P1967-03-017-1-15-1502</t>
  </si>
  <si>
    <t>P1967-03-017-1-15-1503</t>
  </si>
  <si>
    <t>P1967-03-017-1-15-1504</t>
  </si>
  <si>
    <t>P1967-03-017-1-15-1505</t>
  </si>
  <si>
    <t>P1967-03-017-1-15-1506</t>
  </si>
  <si>
    <t>P1967-03-017-1-16-1601</t>
  </si>
  <si>
    <t>P1967-03-017-1-16-1602</t>
  </si>
  <si>
    <t>P1967-03-017-1-16-1603</t>
  </si>
  <si>
    <t>P1967-03-017-1-16-1604</t>
  </si>
  <si>
    <t>P1967-03-017-1-16-1605</t>
  </si>
  <si>
    <t>P1967-03-017-1-16-1606</t>
  </si>
  <si>
    <t>P1967-03-017-1-17-1701</t>
  </si>
  <si>
    <t>P1967-03-017-1-17-1702</t>
  </si>
  <si>
    <t>P1967-03-017-1-17-1703</t>
  </si>
  <si>
    <t>P1967-03-017-1-17-1704</t>
  </si>
  <si>
    <t>P1967-03-017-1-17-1705</t>
  </si>
  <si>
    <t>P1967-03-017-1-17-1706</t>
  </si>
  <si>
    <t>P1967-03-017-1-18-1801</t>
  </si>
  <si>
    <t>P1967-03-017-1-18-1802</t>
  </si>
  <si>
    <t>P1967-03-017-1-18-1803</t>
  </si>
  <si>
    <t>P1967-03-017-1-18-1804</t>
  </si>
  <si>
    <t>P1967-03-017-1-18-1805</t>
  </si>
  <si>
    <t>P1967-03-017-1-18-1806</t>
  </si>
  <si>
    <t>P1967-03-017-1-19-1901</t>
  </si>
  <si>
    <t>P1967-03-017-1-19-1902</t>
  </si>
  <si>
    <t>P1967-03-017-1-19-1903</t>
  </si>
  <si>
    <t>P1967-03-017-1-19-1904</t>
  </si>
  <si>
    <t>P1967-03-017-1-19-1905</t>
  </si>
  <si>
    <t>P1967-03-017-1-19-1906</t>
  </si>
  <si>
    <t>P1967-03-017-1-2-201</t>
  </si>
  <si>
    <t>P1967-03-017-1-2-202</t>
  </si>
  <si>
    <t>P1967-03-017-1-2-203</t>
  </si>
  <si>
    <t>P1967-03-017-1-2-204</t>
  </si>
  <si>
    <t>P1967-03-017-1-2-205</t>
  </si>
  <si>
    <t>P1967-03-017-1-20-2001</t>
  </si>
  <si>
    <t>P1967-03-017-1-20-2002</t>
  </si>
  <si>
    <t>P1967-03-017-1-20-2003</t>
  </si>
  <si>
    <t>P1967-03-017-1-20-2004</t>
  </si>
  <si>
    <t>P1967-03-017-1-20-2005</t>
  </si>
  <si>
    <t>P1967-03-017-1-20-2006</t>
  </si>
  <si>
    <t>P1967-03-017-1-21-2101</t>
  </si>
  <si>
    <t>P1967-03-017-1-21-2102</t>
  </si>
  <si>
    <t>P1967-03-017-1-21-2103</t>
  </si>
  <si>
    <t>P1967-03-017-1-21-2104</t>
  </si>
  <si>
    <t>P1967-03-017-1-21-2105</t>
  </si>
  <si>
    <t>P1967-03-017-1-21-2106</t>
  </si>
  <si>
    <t>P1967-03-017-1-22-2201</t>
  </si>
  <si>
    <t>P1967-03-017-1-22-2202</t>
  </si>
  <si>
    <t>P1967-03-017-1-22-2203</t>
  </si>
  <si>
    <t>P1967-03-017-1-22-2204</t>
  </si>
  <si>
    <t>P1967-03-017-1-22-2205</t>
  </si>
  <si>
    <t>P1967-03-017-1-22-2206</t>
  </si>
  <si>
    <t>P1967-03-017-1-23-2301</t>
  </si>
  <si>
    <t>P1967-03-017-1-23-2302</t>
  </si>
  <si>
    <t>P1967-03-017-1-23-2303</t>
  </si>
  <si>
    <t>P1967-03-017-1-23-2304</t>
  </si>
  <si>
    <t>P1967-03-017-1-23-2305</t>
  </si>
  <si>
    <t>P1967-03-017-1-23-2306</t>
  </si>
  <si>
    <t>P1967-03-017-1-24-2401</t>
  </si>
  <si>
    <t>P1967-03-017-1-24-2402</t>
  </si>
  <si>
    <t>P1967-03-017-1-24-2403</t>
  </si>
  <si>
    <t>P1967-03-017-1-24-2404</t>
  </si>
  <si>
    <t>P1967-03-017-1-24-2405</t>
  </si>
  <si>
    <t>P1967-03-017-1-24-2406</t>
  </si>
  <si>
    <t>P1967-03-017-1-3-301</t>
  </si>
  <si>
    <t>P1967-03-017-1-3-302</t>
  </si>
  <si>
    <t>P1967-03-017-1-3-303</t>
  </si>
  <si>
    <t>P1967-03-017-1-3-304</t>
  </si>
  <si>
    <t>P1967-03-017-1-3-305</t>
  </si>
  <si>
    <t>P1967-03-017-1-3-306</t>
  </si>
  <si>
    <t>P1967-03-017-1-4-401</t>
  </si>
  <si>
    <t>P1967-03-017-1-4-402</t>
  </si>
  <si>
    <t>P1967-03-017-1-4-403</t>
  </si>
  <si>
    <t>P1967-03-017-1-4-404</t>
  </si>
  <si>
    <t>P1967-03-017-1-4-405</t>
  </si>
  <si>
    <t>P1967-03-017-1-4-406</t>
  </si>
  <si>
    <t>P1967-03-017-1-5-501</t>
  </si>
  <si>
    <t>P1967-03-017-1-5-502</t>
  </si>
  <si>
    <t>P1967-03-017-1-5-503</t>
  </si>
  <si>
    <t>P1967-03-017-1-5-504</t>
  </si>
  <si>
    <t>P1967-03-017-1-5-505</t>
  </si>
  <si>
    <t>P1967-03-017-1-5-506</t>
  </si>
  <si>
    <t>P1967-03-017-1-6-601</t>
  </si>
  <si>
    <t>P1967-03-017-1-6-602</t>
  </si>
  <si>
    <t>P1967-03-017-1-6-603</t>
  </si>
  <si>
    <t>P1967-03-017-1-6-604</t>
  </si>
  <si>
    <t>P1967-03-017-1-6-605</t>
  </si>
  <si>
    <t>P1967-03-017-1-6-606</t>
  </si>
  <si>
    <t>P1967-03-017-1-7-701</t>
  </si>
  <si>
    <t>P1967-03-017-1-7-702</t>
  </si>
  <si>
    <t>P1967-03-017-1-7-703</t>
  </si>
  <si>
    <t>P1967-03-017-1-7-704</t>
  </si>
  <si>
    <t>P1967-03-017-1-7-705</t>
  </si>
  <si>
    <t>P1967-03-017-1-7-706</t>
  </si>
  <si>
    <t>P1967-03-017-1-8-801</t>
  </si>
  <si>
    <t>P1967-03-017-1-8-802</t>
  </si>
  <si>
    <t>P1967-03-017-1-8-803</t>
  </si>
  <si>
    <t>P1967-03-017-1-8-804</t>
  </si>
  <si>
    <t>P1967-03-017-1-8-805</t>
  </si>
  <si>
    <t>P1967-03-017-1-8-806</t>
  </si>
  <si>
    <t>P1967-03-017-1-9-901</t>
  </si>
  <si>
    <t>P1967-03-017-1-9-902</t>
  </si>
  <si>
    <t>P1967-03-017-1-9-903</t>
  </si>
  <si>
    <t>P1967-03-017-1-9-904</t>
  </si>
  <si>
    <t>P1967-03-017-1-9-905</t>
  </si>
  <si>
    <t>P1967-03-017-1-9-906</t>
  </si>
  <si>
    <t>P1967-03-018-1-1-101</t>
  </si>
  <si>
    <t>P1967-03-018-1-1-102</t>
  </si>
  <si>
    <t>P1967-03-018-1-1-103</t>
  </si>
  <si>
    <t>P1967-03-018-1-1-104</t>
  </si>
  <si>
    <t>P1967-03-018-1-1-105</t>
  </si>
  <si>
    <t>P1967-03-018-1-10-1001</t>
  </si>
  <si>
    <t>P1967-03-018-1-10-1002</t>
  </si>
  <si>
    <t>P1967-03-018-1-10-1003</t>
  </si>
  <si>
    <t>P1967-03-018-1-10-1004</t>
  </si>
  <si>
    <t>P1967-03-018-1-10-1005</t>
  </si>
  <si>
    <t>P1967-03-018-1-10-1006</t>
  </si>
  <si>
    <t>P1967-03-018-1-11-1101</t>
  </si>
  <si>
    <t>P1967-03-018-1-11-1102</t>
  </si>
  <si>
    <t>P1967-03-018-1-11-1103</t>
  </si>
  <si>
    <t>P1967-03-018-1-11-1104</t>
  </si>
  <si>
    <t>P1967-03-018-1-11-1105</t>
  </si>
  <si>
    <t>P1967-03-018-1-11-1106</t>
  </si>
  <si>
    <t>P1967-03-018-1-12-1201</t>
  </si>
  <si>
    <t>P1967-03-018-1-12-1202</t>
  </si>
  <si>
    <t>P1967-03-018-1-12-1203</t>
  </si>
  <si>
    <t>P1967-03-018-1-12-1204</t>
  </si>
  <si>
    <t>P1967-03-018-1-12-1205</t>
  </si>
  <si>
    <t>P1967-03-018-1-12-1206</t>
  </si>
  <si>
    <t>P1967-03-018-1-13-1301</t>
  </si>
  <si>
    <t>P1967-03-018-1-13-1302</t>
  </si>
  <si>
    <t>P1967-03-018-1-13-1303</t>
  </si>
  <si>
    <t>P1967-03-018-1-13-1304</t>
  </si>
  <si>
    <t>P1967-03-018-1-13-1305</t>
  </si>
  <si>
    <t>P1967-03-018-1-13-1306</t>
  </si>
  <si>
    <t>P1967-03-018-1-14-1401</t>
  </si>
  <si>
    <t>P1967-03-018-1-14-1402</t>
  </si>
  <si>
    <t>P1967-03-018-1-14-1403</t>
  </si>
  <si>
    <t>P1967-03-018-1-14-1404</t>
  </si>
  <si>
    <t>P1967-03-018-1-14-1405</t>
  </si>
  <si>
    <t>P1967-03-018-1-14-1406</t>
  </si>
  <si>
    <t>P1967-03-018-1-15-1501</t>
  </si>
  <si>
    <t>P1967-03-018-1-15-1502</t>
  </si>
  <si>
    <t>P1967-03-018-1-15-1503</t>
  </si>
  <si>
    <t>P1967-03-018-1-15-1504</t>
  </si>
  <si>
    <t>P1967-03-018-1-15-1505</t>
  </si>
  <si>
    <t>P1967-03-018-1-15-1506</t>
  </si>
  <si>
    <t>P1967-03-018-1-16-1601</t>
  </si>
  <si>
    <t>P1967-03-018-1-16-1602</t>
  </si>
  <si>
    <t>P1967-03-018-1-16-1603</t>
  </si>
  <si>
    <t>P1967-03-018-1-16-1604</t>
  </si>
  <si>
    <t>P1967-03-018-1-16-1605</t>
  </si>
  <si>
    <t>P1967-03-018-1-16-1606</t>
  </si>
  <si>
    <t>P1967-03-018-1-17-1701</t>
  </si>
  <si>
    <t>P1967-03-018-1-17-1702</t>
  </si>
  <si>
    <t>P1967-03-018-1-17-1703</t>
  </si>
  <si>
    <t>P1967-03-018-1-17-1704</t>
  </si>
  <si>
    <t>P1967-03-018-1-17-1705</t>
  </si>
  <si>
    <t>P1967-03-018-1-17-1706</t>
  </si>
  <si>
    <t>P1967-03-018-1-18-1801</t>
  </si>
  <si>
    <t>P1967-03-018-1-18-1802</t>
  </si>
  <si>
    <t>P1967-03-018-1-18-1803</t>
  </si>
  <si>
    <t>P1967-03-018-1-18-1804</t>
  </si>
  <si>
    <t>P1967-03-018-1-18-1805</t>
  </si>
  <si>
    <t>P1967-03-018-1-18-1806</t>
  </si>
  <si>
    <t>P1967-03-018-1-19-1901</t>
  </si>
  <si>
    <t>P1967-03-018-1-19-1902</t>
  </si>
  <si>
    <t>P1967-03-018-1-19-1903</t>
  </si>
  <si>
    <t>P1967-03-018-1-19-1904</t>
  </si>
  <si>
    <t>P1967-03-018-1-19-1905</t>
  </si>
  <si>
    <t>P1967-03-018-1-19-1906</t>
  </si>
  <si>
    <t>P1967-03-018-1-2-201</t>
  </si>
  <si>
    <t>P1967-03-018-1-2-202</t>
  </si>
  <si>
    <t>P1967-03-018-1-2-203</t>
  </si>
  <si>
    <t>P1967-03-018-1-2-204</t>
  </si>
  <si>
    <t>P1967-03-018-1-2-205</t>
  </si>
  <si>
    <t>P1967-03-018-1-20-2001</t>
  </si>
  <si>
    <t>P1967-03-018-1-20-2002</t>
  </si>
  <si>
    <t>P1967-03-018-1-20-2003</t>
  </si>
  <si>
    <t>P1967-03-018-1-20-2004</t>
  </si>
  <si>
    <t>P1967-03-018-1-20-2005</t>
  </si>
  <si>
    <t>P1967-03-018-1-20-2006</t>
  </si>
  <si>
    <t>P1967-03-018-1-21-2101</t>
  </si>
  <si>
    <t>P1967-03-018-1-21-2102</t>
  </si>
  <si>
    <t>P1967-03-018-1-21-2103</t>
  </si>
  <si>
    <t>P1967-03-018-1-21-2104</t>
  </si>
  <si>
    <t>P1967-03-018-1-21-2105</t>
  </si>
  <si>
    <t>P1967-03-018-1-21-2106</t>
  </si>
  <si>
    <t>P1967-03-018-1-22-2201</t>
  </si>
  <si>
    <t>P1967-03-018-1-22-2202</t>
  </si>
  <si>
    <t>P1967-03-018-1-22-2203</t>
  </si>
  <si>
    <t>P1967-03-018-1-22-2204</t>
  </si>
  <si>
    <t>P1967-03-018-1-22-2205</t>
  </si>
  <si>
    <t>P1967-03-018-1-22-2206</t>
  </si>
  <si>
    <t>P1967-03-018-1-23-2301</t>
  </si>
  <si>
    <t>P1967-03-018-1-23-2302</t>
  </si>
  <si>
    <t>P1967-03-018-1-23-2303</t>
  </si>
  <si>
    <t>P1967-03-018-1-23-2304</t>
  </si>
  <si>
    <t>P1967-03-018-1-23-2305</t>
  </si>
  <si>
    <t>P1967-03-018-1-23-2306</t>
  </si>
  <si>
    <t>P1967-03-018-1-24-2401</t>
  </si>
  <si>
    <t>P1967-03-018-1-24-2402</t>
  </si>
  <si>
    <t>P1967-03-018-1-24-2403</t>
  </si>
  <si>
    <t>P1967-03-018-1-24-2404</t>
  </si>
  <si>
    <t>P1967-03-018-1-24-2405</t>
  </si>
  <si>
    <t>P1967-03-018-1-24-2406</t>
  </si>
  <si>
    <t>P1967-03-018-1-25-2501</t>
  </si>
  <si>
    <t>P1967-03-018-1-25-2502</t>
  </si>
  <si>
    <t>P1967-03-018-1-25-2503</t>
  </si>
  <si>
    <t>P1967-03-018-1-25-2504</t>
  </si>
  <si>
    <t>P1967-03-018-1-25-2505</t>
  </si>
  <si>
    <t>P1967-03-018-1-25-2506</t>
  </si>
  <si>
    <t>P1967-03-018-1-26-2601</t>
  </si>
  <si>
    <t>P1967-03-018-1-26-2602</t>
  </si>
  <si>
    <t>P1967-03-018-1-26-2603</t>
  </si>
  <si>
    <t>P1967-03-018-1-26-2604</t>
  </si>
  <si>
    <t>P1967-03-018-1-26-2605</t>
  </si>
  <si>
    <t>P1967-03-018-1-26-2606</t>
  </si>
  <si>
    <t>P1967-03-018-1-3-301</t>
  </si>
  <si>
    <t>P1967-03-018-1-3-302</t>
  </si>
  <si>
    <t>P1967-03-018-1-3-303</t>
  </si>
  <si>
    <t>P1967-03-018-1-3-304</t>
  </si>
  <si>
    <t>P1967-03-018-1-3-305</t>
  </si>
  <si>
    <t>P1967-03-018-1-3-306</t>
  </si>
  <si>
    <t>P1967-03-018-1-4-401</t>
  </si>
  <si>
    <t>P1967-03-018-1-4-402</t>
  </si>
  <si>
    <t>P1967-03-018-1-4-403</t>
  </si>
  <si>
    <t>P1967-03-018-1-4-404</t>
  </si>
  <si>
    <t>P1967-03-018-1-4-405</t>
  </si>
  <si>
    <t>P1967-03-018-1-4-406</t>
  </si>
  <si>
    <t>P1967-03-018-1-5-501</t>
  </si>
  <si>
    <t>P1967-03-018-1-5-502</t>
  </si>
  <si>
    <t>P1967-03-018-1-5-503</t>
  </si>
  <si>
    <t>P1967-03-018-1-5-504</t>
  </si>
  <si>
    <t>P1967-03-018-1-5-505</t>
  </si>
  <si>
    <t>P1967-03-018-1-5-506</t>
  </si>
  <si>
    <t>P1967-03-018-1-6-601</t>
  </si>
  <si>
    <t>P1967-03-018-1-6-602</t>
  </si>
  <si>
    <t>P1967-03-018-1-6-603</t>
  </si>
  <si>
    <t>P1967-03-018-1-6-604</t>
  </si>
  <si>
    <t>P1967-03-018-1-6-605</t>
  </si>
  <si>
    <t>P1967-03-018-1-6-606</t>
  </si>
  <si>
    <t>P1967-03-018-1-7-701</t>
  </si>
  <si>
    <t>P1967-03-018-1-7-702</t>
  </si>
  <si>
    <t>P1967-03-018-1-7-703</t>
  </si>
  <si>
    <t>P1967-03-018-1-7-704</t>
  </si>
  <si>
    <t>P1967-03-018-1-7-705</t>
  </si>
  <si>
    <t>P1967-03-018-1-7-706</t>
  </si>
  <si>
    <t>P1967-03-018-1-8-801</t>
  </si>
  <si>
    <t>P1967-03-018-1-8-802</t>
  </si>
  <si>
    <t>P1967-03-018-1-8-803</t>
  </si>
  <si>
    <t>P1967-03-018-1-8-804</t>
  </si>
  <si>
    <t>P1967-03-018-1-8-805</t>
  </si>
  <si>
    <t>P1967-03-018-1-8-806</t>
  </si>
  <si>
    <t>P1967-03-018-1-9-901</t>
  </si>
  <si>
    <t>P1967-03-018-1-9-902</t>
  </si>
  <si>
    <t>P1967-03-018-1-9-903</t>
  </si>
  <si>
    <t>P1967-03-018-1-9-904</t>
  </si>
  <si>
    <t>P1967-03-018-1-9-905</t>
  </si>
  <si>
    <t>P1967-03-018-1-9-906</t>
  </si>
  <si>
    <t>P1967-03-019-1-1-101</t>
  </si>
  <si>
    <t>P1967-03-019-1-1-102</t>
  </si>
  <si>
    <t>P1967-03-019-1-1-104</t>
  </si>
  <si>
    <t>P1967-03-019-1-1-105</t>
  </si>
  <si>
    <t>P1967-03-019-1-10-1001</t>
  </si>
  <si>
    <t>P1967-03-019-1-10-1002</t>
  </si>
  <si>
    <t>P1967-03-019-1-10-1003</t>
  </si>
  <si>
    <t>P1967-03-019-1-10-1004</t>
  </si>
  <si>
    <t>P1967-03-019-1-10-1005</t>
  </si>
  <si>
    <t>P1967-03-019-1-10-1006</t>
  </si>
  <si>
    <t>P1967-03-019-1-11-1101</t>
  </si>
  <si>
    <t>P1967-03-019-1-11-1102</t>
  </si>
  <si>
    <t>P1967-03-019-1-11-1103</t>
  </si>
  <si>
    <t>P1967-03-019-1-11-1104</t>
  </si>
  <si>
    <t>P1967-03-019-1-11-1105</t>
  </si>
  <si>
    <t>P1967-03-019-1-11-1106</t>
  </si>
  <si>
    <t>P1967-03-019-1-12-1201</t>
  </si>
  <si>
    <t>P1967-03-019-1-12-1202</t>
  </si>
  <si>
    <t>P1967-03-019-1-12-1203</t>
  </si>
  <si>
    <t>P1967-03-019-1-12-1204</t>
  </si>
  <si>
    <t>P1967-03-019-1-12-1205</t>
  </si>
  <si>
    <t>P1967-03-019-1-12-1206</t>
  </si>
  <si>
    <t>P1967-03-019-1-13-1301</t>
  </si>
  <si>
    <t>P1967-03-019-1-13-1302</t>
  </si>
  <si>
    <t>P1967-03-019-1-13-1303</t>
  </si>
  <si>
    <t>P1967-03-019-1-13-1304</t>
  </si>
  <si>
    <t>P1967-03-019-1-13-1305</t>
  </si>
  <si>
    <t>P1967-03-019-1-13-1306</t>
  </si>
  <si>
    <t>P1967-03-019-1-14-1401</t>
  </si>
  <si>
    <t>P1967-03-019-1-14-1402</t>
  </si>
  <si>
    <t>P1967-03-019-1-14-1403</t>
  </si>
  <si>
    <t>P1967-03-019-1-14-1404</t>
  </si>
  <si>
    <t>P1967-03-019-1-14-1405</t>
  </si>
  <si>
    <t>P1967-03-019-1-14-1406</t>
  </si>
  <si>
    <t>P1967-03-019-1-15-1501</t>
  </si>
  <si>
    <t>P1967-03-019-1-15-1502</t>
  </si>
  <si>
    <t>P1967-03-019-1-15-1503</t>
  </si>
  <si>
    <t>P1967-03-019-1-15-1504</t>
  </si>
  <si>
    <t>P1967-03-019-1-15-1505</t>
  </si>
  <si>
    <t>P1967-03-019-1-15-1506</t>
  </si>
  <si>
    <t>P1967-03-019-1-16-1601</t>
  </si>
  <si>
    <t>P1967-03-019-1-16-1602</t>
  </si>
  <si>
    <t>P1967-03-019-1-16-1603</t>
  </si>
  <si>
    <t>P1967-03-019-1-16-1604</t>
  </si>
  <si>
    <t>P1967-03-019-1-16-1605</t>
  </si>
  <si>
    <t>P1967-03-019-1-16-1606</t>
  </si>
  <si>
    <t>P1967-03-019-1-17-1701</t>
  </si>
  <si>
    <t>P1967-03-019-1-17-1702</t>
  </si>
  <si>
    <t>P1967-03-019-1-17-1703</t>
  </si>
  <si>
    <t>P1967-03-019-1-17-1704</t>
  </si>
  <si>
    <t>P1967-03-019-1-17-1705</t>
  </si>
  <si>
    <t>P1967-03-019-1-17-1706</t>
  </si>
  <si>
    <t>P1967-03-019-1-18-1801</t>
  </si>
  <si>
    <t>P1967-03-019-1-18-1802</t>
  </si>
  <si>
    <t>P1967-03-019-1-18-1803</t>
  </si>
  <si>
    <t>P1967-03-019-1-18-1804</t>
  </si>
  <si>
    <t>P1967-03-019-1-18-1805</t>
  </si>
  <si>
    <t>P1967-03-019-1-18-1806</t>
  </si>
  <si>
    <t>P1967-03-019-1-19-1901</t>
  </si>
  <si>
    <t>P1967-03-019-1-19-1902</t>
  </si>
  <si>
    <t>P1967-03-019-1-19-1903</t>
  </si>
  <si>
    <t>P1967-03-019-1-19-1904</t>
  </si>
  <si>
    <t>P1967-03-019-1-19-1905</t>
  </si>
  <si>
    <t>P1967-03-019-1-19-1906</t>
  </si>
  <si>
    <t>P1967-03-019-1-2-201</t>
  </si>
  <si>
    <t>P1967-03-019-1-2-202</t>
  </si>
  <si>
    <t>P1967-03-019-1-2-203</t>
  </si>
  <si>
    <t>P1967-03-019-1-2-204</t>
  </si>
  <si>
    <t>P1967-03-019-1-2-205</t>
  </si>
  <si>
    <t>P1967-03-019-1-20-2001</t>
  </si>
  <si>
    <t>P1967-03-019-1-20-2002</t>
  </si>
  <si>
    <t>P1967-03-019-1-20-2003</t>
  </si>
  <si>
    <t>P1967-03-019-1-20-2004</t>
  </si>
  <si>
    <t>P1967-03-019-1-20-2005</t>
  </si>
  <si>
    <t>P1967-03-019-1-20-2006</t>
  </si>
  <si>
    <t>P1967-03-019-1-21-2101</t>
  </si>
  <si>
    <t>P1967-03-019-1-21-2102</t>
  </si>
  <si>
    <t>P1967-03-019-1-21-2103</t>
  </si>
  <si>
    <t>P1967-03-019-1-21-2104</t>
  </si>
  <si>
    <t>P1967-03-019-1-21-2105</t>
  </si>
  <si>
    <t>P1967-03-019-1-21-2106</t>
  </si>
  <si>
    <t>P1967-03-019-1-22-2201</t>
  </si>
  <si>
    <t>P1967-03-019-1-22-2202</t>
  </si>
  <si>
    <t>P1967-03-019-1-22-2203</t>
  </si>
  <si>
    <t>P1967-03-019-1-22-2204</t>
  </si>
  <si>
    <t>P1967-03-019-1-22-2205</t>
  </si>
  <si>
    <t>P1967-03-019-1-22-2206</t>
  </si>
  <si>
    <t>P1967-03-019-1-3-301</t>
  </si>
  <si>
    <t>P1967-03-019-1-3-302</t>
  </si>
  <si>
    <t>P1967-03-019-1-3-303</t>
  </si>
  <si>
    <t>P1967-03-019-1-3-304</t>
  </si>
  <si>
    <t>P1967-03-019-1-3-305</t>
  </si>
  <si>
    <t>P1967-03-019-1-3-306</t>
  </si>
  <si>
    <t>P1967-03-019-1-4-401</t>
  </si>
  <si>
    <t>P1967-03-019-1-4-402</t>
  </si>
  <si>
    <t>P1967-03-019-1-4-403</t>
  </si>
  <si>
    <t>P1967-03-019-1-4-404</t>
  </si>
  <si>
    <t>P1967-03-019-1-4-405</t>
  </si>
  <si>
    <t>P1967-03-019-1-4-406</t>
  </si>
  <si>
    <t>P1967-03-019-1-5-501</t>
  </si>
  <si>
    <t>P1967-03-019-1-5-502</t>
  </si>
  <si>
    <t>P1967-03-019-1-5-503</t>
  </si>
  <si>
    <t>P1967-03-019-1-5-504</t>
  </si>
  <si>
    <t>P1967-03-019-1-5-505</t>
  </si>
  <si>
    <t>P1967-03-019-1-5-506</t>
  </si>
  <si>
    <t>P1967-03-019-1-6-601</t>
  </si>
  <si>
    <t>P1967-03-019-1-6-602</t>
  </si>
  <si>
    <t>P1967-03-019-1-6-603</t>
  </si>
  <si>
    <t>P1967-03-019-1-6-604</t>
  </si>
  <si>
    <t>P1967-03-019-1-6-605</t>
  </si>
  <si>
    <t>P1967-03-019-1-6-606</t>
  </si>
  <si>
    <t>P1967-03-019-1-7-701</t>
  </si>
  <si>
    <t>P1967-03-019-1-7-702</t>
  </si>
  <si>
    <t>P1967-03-019-1-7-703</t>
  </si>
  <si>
    <t>P1967-03-019-1-7-704</t>
  </si>
  <si>
    <t>P1967-03-019-1-7-705</t>
  </si>
  <si>
    <t>P1967-03-019-1-7-706</t>
  </si>
  <si>
    <t>P1967-03-019-1-8-801</t>
  </si>
  <si>
    <t>P1967-03-019-1-8-802</t>
  </si>
  <si>
    <t>P1967-03-019-1-8-803</t>
  </si>
  <si>
    <t>P1967-03-019-1-8-804</t>
  </si>
  <si>
    <t>P1967-03-019-1-8-805</t>
  </si>
  <si>
    <t>P1967-03-019-1-8-806</t>
  </si>
  <si>
    <t>P1967-03-019-1-9-901</t>
  </si>
  <si>
    <t>P1967-03-019-1-9-902</t>
  </si>
  <si>
    <t>P1967-03-019-1-9-903</t>
  </si>
  <si>
    <t>P1967-03-019-1-9-904</t>
  </si>
  <si>
    <t>P1967-03-019-1-9-905</t>
  </si>
  <si>
    <t>P1967-03-019-1-9-906</t>
  </si>
  <si>
    <t>P1967-03-020-1-1-101</t>
  </si>
  <si>
    <t>P1967-03-020-1-1-102</t>
  </si>
  <si>
    <t>P1967-03-020-1-1-103</t>
  </si>
  <si>
    <t>P1967-03-020-1-10-1001</t>
  </si>
  <si>
    <t>P1967-03-020-1-10-1002</t>
  </si>
  <si>
    <t>P1967-03-020-1-10-1003</t>
  </si>
  <si>
    <t>P1967-03-020-1-10-1004</t>
  </si>
  <si>
    <t>P1967-03-020-1-10-1005</t>
  </si>
  <si>
    <t>P1967-03-020-1-10-1006</t>
  </si>
  <si>
    <t>P1967-03-020-1-11-1101</t>
  </si>
  <si>
    <t>P1967-03-020-1-11-1102</t>
  </si>
  <si>
    <t>P1967-03-020-1-11-1103</t>
  </si>
  <si>
    <t>P1967-03-020-1-11-1104</t>
  </si>
  <si>
    <t>P1967-03-020-1-11-1105</t>
  </si>
  <si>
    <t>P1967-03-020-1-11-1106</t>
  </si>
  <si>
    <t>P1967-03-020-1-12-1201</t>
  </si>
  <si>
    <t>P1967-03-020-1-12-1202</t>
  </si>
  <si>
    <t>P1967-03-020-1-12-1203</t>
  </si>
  <si>
    <t>P1967-03-020-1-12-1204</t>
  </si>
  <si>
    <t>P1967-03-020-1-12-1205</t>
  </si>
  <si>
    <t>P1967-03-020-1-12-1206</t>
  </si>
  <si>
    <t>P1967-03-020-1-13-1301</t>
  </si>
  <si>
    <t>P1967-03-020-1-13-1302</t>
  </si>
  <si>
    <t>P1967-03-020-1-13-1303</t>
  </si>
  <si>
    <t>P1967-03-020-1-13-1304</t>
  </si>
  <si>
    <t>P1967-03-020-1-13-1305</t>
  </si>
  <si>
    <t>P1967-03-020-1-13-1306</t>
  </si>
  <si>
    <t>P1967-03-020-1-14-1401</t>
  </si>
  <si>
    <t>P1967-03-020-1-14-1402</t>
  </si>
  <si>
    <t>P1967-03-020-1-14-1403</t>
  </si>
  <si>
    <t>P1967-03-020-1-14-1404</t>
  </si>
  <si>
    <t>P1967-03-020-1-14-1405</t>
  </si>
  <si>
    <t>P1967-03-020-1-14-1406</t>
  </si>
  <si>
    <t>P1967-03-020-1-15-1501</t>
  </si>
  <si>
    <t>P1967-03-020-1-15-1502</t>
  </si>
  <si>
    <t>P1967-03-020-1-15-1503</t>
  </si>
  <si>
    <t>P1967-03-020-1-15-1504</t>
  </si>
  <si>
    <t>P1967-03-020-1-15-1505</t>
  </si>
  <si>
    <t>P1967-03-020-1-15-1506</t>
  </si>
  <si>
    <t>P1967-03-020-1-16-1601</t>
  </si>
  <si>
    <t>P1967-03-020-1-16-1602</t>
  </si>
  <si>
    <t>P1967-03-020-1-16-1603</t>
  </si>
  <si>
    <t>P1967-03-020-1-16-1604</t>
  </si>
  <si>
    <t>P1967-03-020-1-16-1605</t>
  </si>
  <si>
    <t>P1967-03-020-1-16-1606</t>
  </si>
  <si>
    <t>P1967-03-020-1-17-1701</t>
  </si>
  <si>
    <t>P1967-03-020-1-17-1702</t>
  </si>
  <si>
    <t>P1967-03-020-1-17-1703</t>
  </si>
  <si>
    <t>P1967-03-020-1-17-1704</t>
  </si>
  <si>
    <t>P1967-03-020-1-17-1705</t>
  </si>
  <si>
    <t>P1967-03-020-1-17-1706</t>
  </si>
  <si>
    <t>P1967-03-020-1-18-1801</t>
  </si>
  <si>
    <t>P1967-03-020-1-18-1802</t>
  </si>
  <si>
    <t>P1967-03-020-1-18-1803</t>
  </si>
  <si>
    <t>P1967-03-020-1-18-1804</t>
  </si>
  <si>
    <t>P1967-03-020-1-18-1805</t>
  </si>
  <si>
    <t>P1967-03-020-1-18-1806</t>
  </si>
  <si>
    <t>P1967-03-020-1-19-1901</t>
  </si>
  <si>
    <t>P1967-03-020-1-19-1902</t>
  </si>
  <si>
    <t>P1967-03-020-1-19-1903</t>
  </si>
  <si>
    <t>P1967-03-020-1-19-1904</t>
  </si>
  <si>
    <t>P1967-03-020-1-19-1905</t>
  </si>
  <si>
    <t>P1967-03-020-1-19-1906</t>
  </si>
  <si>
    <t>P1967-03-020-1-2-201</t>
  </si>
  <si>
    <t>P1967-03-020-1-2-202</t>
  </si>
  <si>
    <t>P1967-03-020-1-2-203</t>
  </si>
  <si>
    <t>P1967-03-020-1-2-204</t>
  </si>
  <si>
    <t>P1967-03-020-1-2-205</t>
  </si>
  <si>
    <t>P1967-03-020-1-20-2001</t>
  </si>
  <si>
    <t>P1967-03-020-1-20-2002</t>
  </si>
  <si>
    <t>P1967-03-020-1-20-2003</t>
  </si>
  <si>
    <t>P1967-03-020-1-20-2004</t>
  </si>
  <si>
    <t>P1967-03-020-1-20-2005</t>
  </si>
  <si>
    <t>P1967-03-020-1-20-2006</t>
  </si>
  <si>
    <t>P1967-03-020-1-21-2101</t>
  </si>
  <si>
    <t>P1967-03-020-1-21-2102</t>
  </si>
  <si>
    <t>P1967-03-020-1-21-2103</t>
  </si>
  <si>
    <t>P1967-03-020-1-21-2104</t>
  </si>
  <si>
    <t>P1967-03-020-1-21-2105</t>
  </si>
  <si>
    <t>P1967-03-020-1-21-2106</t>
  </si>
  <si>
    <t>P1967-03-020-1-22-2201</t>
  </si>
  <si>
    <t>P1967-03-020-1-22-2202</t>
  </si>
  <si>
    <t>P1967-03-020-1-22-2203</t>
  </si>
  <si>
    <t>P1967-03-020-1-22-2204</t>
  </si>
  <si>
    <t>P1967-03-020-1-22-2205</t>
  </si>
  <si>
    <t>P1967-03-020-1-22-2206</t>
  </si>
  <si>
    <t>P1967-03-020-1-3-301</t>
  </si>
  <si>
    <t>P1967-03-020-1-3-302</t>
  </si>
  <si>
    <t>P1967-03-020-1-3-303</t>
  </si>
  <si>
    <t>P1967-03-020-1-3-304</t>
  </si>
  <si>
    <t>P1967-03-020-1-3-305</t>
  </si>
  <si>
    <t>P1967-03-020-1-3-306</t>
  </si>
  <si>
    <t>P1967-03-020-1-4-401</t>
  </si>
  <si>
    <t>P1967-03-020-1-4-402</t>
  </si>
  <si>
    <t>P1967-03-020-1-4-403</t>
  </si>
  <si>
    <t>P1967-03-020-1-4-404</t>
  </si>
  <si>
    <t>P1967-03-020-1-4-405</t>
  </si>
  <si>
    <t>P1967-03-020-1-4-406</t>
  </si>
  <si>
    <t>P1967-03-020-1-5-501</t>
  </si>
  <si>
    <t>P1967-03-020-1-5-502</t>
  </si>
  <si>
    <t>P1967-03-020-1-5-503</t>
  </si>
  <si>
    <t>P1967-03-020-1-5-504</t>
  </si>
  <si>
    <t>P1967-03-020-1-5-505</t>
  </si>
  <si>
    <t>P1967-03-020-1-5-506</t>
  </si>
  <si>
    <t>P1967-03-020-1-6-601</t>
  </si>
  <si>
    <t>P1967-03-020-1-6-602</t>
  </si>
  <si>
    <t>P1967-03-020-1-6-603</t>
  </si>
  <si>
    <t>P1967-03-020-1-6-604</t>
  </si>
  <si>
    <t>P1967-03-020-1-6-605</t>
  </si>
  <si>
    <t>P1967-03-020-1-6-606</t>
  </si>
  <si>
    <t>P1967-03-020-1-7-701</t>
  </si>
  <si>
    <t>P1967-03-020-1-7-702</t>
  </si>
  <si>
    <t>P1967-03-020-1-7-703</t>
  </si>
  <si>
    <t>P1967-03-020-1-7-704</t>
  </si>
  <si>
    <t>P1967-03-020-1-7-705</t>
  </si>
  <si>
    <t>P1967-03-020-1-7-706</t>
  </si>
  <si>
    <t>P1967-03-020-1-8-801</t>
  </si>
  <si>
    <t>P1967-03-020-1-8-802</t>
  </si>
  <si>
    <t>P1967-03-020-1-8-803</t>
  </si>
  <si>
    <t>P1967-03-020-1-8-804</t>
  </si>
  <si>
    <t>P1967-03-020-1-8-805</t>
  </si>
  <si>
    <t>P1967-03-020-1-8-806</t>
  </si>
  <si>
    <t>P1967-03-020-1-9-901</t>
  </si>
  <si>
    <t>P1967-03-020-1-9-902</t>
  </si>
  <si>
    <t>P1967-03-020-1-9-903</t>
  </si>
  <si>
    <t>P1967-03-020-1-9-904</t>
  </si>
  <si>
    <t>P1967-03-020-1-9-905</t>
  </si>
  <si>
    <t>P1967-03-020-1-9-906</t>
  </si>
  <si>
    <t>P1967-03-021-1-1-101</t>
  </si>
  <si>
    <t>19号楼</t>
  </si>
  <si>
    <t>P1967-03-021-1-1-104</t>
  </si>
  <si>
    <t>P1967-03-021-1-1-105</t>
  </si>
  <si>
    <t>P1967-03-021-1-10-1001</t>
  </si>
  <si>
    <t>P1967-03-021-1-10-1002</t>
  </si>
  <si>
    <t>P1967-03-021-1-10-1003</t>
  </si>
  <si>
    <t>P1967-03-021-1-10-1004</t>
  </si>
  <si>
    <t>P1967-03-021-1-10-1005</t>
  </si>
  <si>
    <t>P1967-03-021-1-10-1006</t>
  </si>
  <si>
    <t>P1967-03-021-1-11-1101</t>
  </si>
  <si>
    <t>P1967-03-021-1-11-1102</t>
  </si>
  <si>
    <t>P1967-03-021-1-11-1103</t>
  </si>
  <si>
    <t>P1967-03-021-1-11-1104</t>
  </si>
  <si>
    <t>P1967-03-021-1-11-1105</t>
  </si>
  <si>
    <t>P1967-03-021-1-11-1106</t>
  </si>
  <si>
    <t>P1967-03-021-1-12-1201</t>
  </si>
  <si>
    <t>P1967-03-021-1-12-1202</t>
  </si>
  <si>
    <t>P1967-03-021-1-12-1203</t>
  </si>
  <si>
    <t>P1967-03-021-1-12-1204</t>
  </si>
  <si>
    <t>P1967-03-021-1-12-1205</t>
  </si>
  <si>
    <t>P1967-03-021-1-12-1206</t>
  </si>
  <si>
    <t>P1967-03-021-1-13-1301</t>
  </si>
  <si>
    <t>P1967-03-021-1-13-1302</t>
  </si>
  <si>
    <t>P1967-03-021-1-13-1303</t>
  </si>
  <si>
    <t>P1967-03-021-1-13-1304</t>
  </si>
  <si>
    <t>P1967-03-021-1-13-1305</t>
  </si>
  <si>
    <t>P1967-03-021-1-13-1306</t>
  </si>
  <si>
    <t>P1967-03-021-1-14-1401</t>
  </si>
  <si>
    <t>P1967-03-021-1-14-1402</t>
  </si>
  <si>
    <t>P1967-03-021-1-14-1403</t>
  </si>
  <si>
    <t>P1967-03-021-1-14-1404</t>
  </si>
  <si>
    <t>P1967-03-021-1-14-1405</t>
  </si>
  <si>
    <t>P1967-03-021-1-14-1406</t>
  </si>
  <si>
    <t>P1967-03-021-1-15-1501</t>
  </si>
  <si>
    <t>P1967-03-021-1-15-1502</t>
  </si>
  <si>
    <t>P1967-03-021-1-15-1503</t>
  </si>
  <si>
    <t>P1967-03-021-1-15-1504</t>
  </si>
  <si>
    <t>P1967-03-021-1-15-1505</t>
  </si>
  <si>
    <t>P1967-03-021-1-15-1506</t>
  </si>
  <si>
    <t>P1967-03-021-1-16-1601</t>
  </si>
  <si>
    <t>P1967-03-021-1-16-1602</t>
  </si>
  <si>
    <t>P1967-03-021-1-16-1603</t>
  </si>
  <si>
    <t>P1967-03-021-1-16-1604</t>
  </si>
  <si>
    <t>P1967-03-021-1-16-1605</t>
  </si>
  <si>
    <t>P1967-03-021-1-16-1606</t>
  </si>
  <si>
    <t>P1967-03-021-1-17-1701</t>
  </si>
  <si>
    <t>P1967-03-021-1-17-1702</t>
  </si>
  <si>
    <t>P1967-03-021-1-17-1703</t>
  </si>
  <si>
    <t>P1967-03-021-1-17-1704</t>
  </si>
  <si>
    <t>P1967-03-021-1-17-1705</t>
  </si>
  <si>
    <t>P1967-03-021-1-17-1706</t>
  </si>
  <si>
    <t>P1967-03-021-1-18-1801</t>
  </si>
  <si>
    <t>P1967-03-021-1-18-1802</t>
  </si>
  <si>
    <t>P1967-03-021-1-18-1803</t>
  </si>
  <si>
    <t>P1967-03-021-1-18-1804</t>
  </si>
  <si>
    <t>P1967-03-021-1-18-1805</t>
  </si>
  <si>
    <t>P1967-03-021-1-18-1806</t>
  </si>
  <si>
    <t>P1967-03-021-1-19-1901</t>
  </si>
  <si>
    <t>P1967-03-021-1-19-1902</t>
  </si>
  <si>
    <t>P1967-03-021-1-19-1903</t>
  </si>
  <si>
    <t>P1967-03-021-1-19-1904</t>
  </si>
  <si>
    <t>P1967-03-021-1-19-1905</t>
  </si>
  <si>
    <t>P1967-03-021-1-19-1906</t>
  </si>
  <si>
    <t>P1967-03-021-1-2-201</t>
  </si>
  <si>
    <t>P1967-03-021-1-2-202</t>
  </si>
  <si>
    <t>P1967-03-021-1-2-203</t>
  </si>
  <si>
    <t>P1967-03-021-1-2-204</t>
  </si>
  <si>
    <t>P1967-03-021-1-2-205</t>
  </si>
  <si>
    <t>P1967-03-021-1-20-2001</t>
  </si>
  <si>
    <t>P1967-03-021-1-20-2002</t>
  </si>
  <si>
    <t>P1967-03-021-1-20-2003</t>
  </si>
  <si>
    <t>P1967-03-021-1-20-2004</t>
  </si>
  <si>
    <t>P1967-03-021-1-20-2005</t>
  </si>
  <si>
    <t>P1967-03-021-1-20-2006</t>
  </si>
  <si>
    <t>P1967-03-021-1-21-2101</t>
  </si>
  <si>
    <t>P1967-03-021-1-21-2102</t>
  </si>
  <si>
    <t>P1967-03-021-1-21-2103</t>
  </si>
  <si>
    <t>P1967-03-021-1-21-2104</t>
  </si>
  <si>
    <t>P1967-03-021-1-21-2105</t>
  </si>
  <si>
    <t>P1967-03-021-1-21-2106</t>
  </si>
  <si>
    <t>P1967-03-021-1-22-2201</t>
  </si>
  <si>
    <t>P1967-03-021-1-22-2202</t>
  </si>
  <si>
    <t>P1967-03-021-1-22-2203</t>
  </si>
  <si>
    <t>P1967-03-021-1-22-2204</t>
  </si>
  <si>
    <t>P1967-03-021-1-22-2205</t>
  </si>
  <si>
    <t>P1967-03-021-1-22-2206</t>
  </si>
  <si>
    <t>P1967-03-021-1-23-2301</t>
  </si>
  <si>
    <t>P1967-03-021-1-23-2302</t>
  </si>
  <si>
    <t>P1967-03-021-1-23-2303</t>
  </si>
  <si>
    <t>P1967-03-021-1-23-2304</t>
  </si>
  <si>
    <t>P1967-03-021-1-23-2305</t>
  </si>
  <si>
    <t>P1967-03-021-1-23-2306</t>
  </si>
  <si>
    <t>P1967-03-021-1-24-2401</t>
  </si>
  <si>
    <t>P1967-03-021-1-24-2402</t>
  </si>
  <si>
    <t>P1967-03-021-1-24-2403</t>
  </si>
  <si>
    <t>P1967-03-021-1-24-2404</t>
  </si>
  <si>
    <t>P1967-03-021-1-24-2405</t>
  </si>
  <si>
    <t>P1967-03-021-1-24-2406</t>
  </si>
  <si>
    <t>P1967-03-021-1-25-2501</t>
  </si>
  <si>
    <t>P1967-03-021-1-25-2502</t>
  </si>
  <si>
    <t>P1967-03-021-1-25-2503</t>
  </si>
  <si>
    <t>P1967-03-021-1-25-2504</t>
  </si>
  <si>
    <t>P1967-03-021-1-25-2505</t>
  </si>
  <si>
    <t>P1967-03-021-1-25-2506</t>
  </si>
  <si>
    <t>P1967-03-021-1-26-2601</t>
  </si>
  <si>
    <t>P1967-03-021-1-26-2602</t>
  </si>
  <si>
    <t>P1967-03-021-1-26-2603</t>
  </si>
  <si>
    <t>P1967-03-021-1-26-2604</t>
  </si>
  <si>
    <t>P1967-03-021-1-26-2605</t>
  </si>
  <si>
    <t>P1967-03-021-1-26-2606</t>
  </si>
  <si>
    <t>P1967-03-021-1-3-301</t>
  </si>
  <si>
    <t>P1967-03-021-1-3-302</t>
  </si>
  <si>
    <t>P1967-03-021-1-3-303</t>
  </si>
  <si>
    <t>P1967-03-021-1-3-304</t>
  </si>
  <si>
    <t>P1967-03-021-1-3-305</t>
  </si>
  <si>
    <t>P1967-03-021-1-3-306</t>
  </si>
  <si>
    <t>P1967-03-021-1-4-401</t>
  </si>
  <si>
    <t>P1967-03-021-1-4-402</t>
  </si>
  <si>
    <t>P1967-03-021-1-4-403</t>
  </si>
  <si>
    <t>P1967-03-021-1-4-404</t>
  </si>
  <si>
    <t>P1967-03-021-1-4-405</t>
  </si>
  <si>
    <t>P1967-03-021-1-4-406</t>
  </si>
  <si>
    <t>P1967-03-021-1-5-501</t>
  </si>
  <si>
    <t>P1967-03-021-1-5-502</t>
  </si>
  <si>
    <t>P1967-03-021-1-5-503</t>
  </si>
  <si>
    <t>P1967-03-021-1-5-504</t>
  </si>
  <si>
    <t>P1967-03-021-1-5-505</t>
  </si>
  <si>
    <t>P1967-03-021-1-5-506</t>
  </si>
  <si>
    <t>P1967-03-021-1-6-601</t>
  </si>
  <si>
    <t>P1967-03-021-1-6-602</t>
  </si>
  <si>
    <t>P1967-03-021-1-6-603</t>
  </si>
  <si>
    <t>P1967-03-021-1-6-604</t>
  </si>
  <si>
    <t>P1967-03-021-1-6-605</t>
  </si>
  <si>
    <t>P1967-03-021-1-6-606</t>
  </si>
  <si>
    <t>P1967-03-021-1-7-701</t>
  </si>
  <si>
    <t>P1967-03-021-1-7-702</t>
  </si>
  <si>
    <t>P1967-03-021-1-7-703</t>
  </si>
  <si>
    <t>P1967-03-021-1-7-704</t>
  </si>
  <si>
    <t>P1967-03-021-1-7-705</t>
  </si>
  <si>
    <t>P1967-03-021-1-7-706</t>
  </si>
  <si>
    <t>P1967-03-021-1-8-801</t>
  </si>
  <si>
    <t>P1967-03-021-1-8-802</t>
  </si>
  <si>
    <t>P1967-03-021-1-8-803</t>
  </si>
  <si>
    <t>P1967-03-021-1-8-804</t>
  </si>
  <si>
    <t>P1967-03-021-1-8-805</t>
  </si>
  <si>
    <t>P1967-03-021-1-8-806</t>
  </si>
  <si>
    <t>P1967-03-021-1-9-901</t>
  </si>
  <si>
    <t>P1967-03-021-1-9-902</t>
  </si>
  <si>
    <t>P1967-03-021-1-9-903</t>
  </si>
  <si>
    <t>P1967-03-021-1-9-904</t>
  </si>
  <si>
    <t>P1967-03-021-1-9-905</t>
  </si>
  <si>
    <t>P1967-03-021-1-9-906</t>
  </si>
  <si>
    <t>P1967-03-022-1-1-102</t>
  </si>
  <si>
    <t>20号楼</t>
  </si>
  <si>
    <t>P1967-03-022-1-1-104</t>
  </si>
  <si>
    <t>P1967-03-022-1-1-105</t>
  </si>
  <si>
    <t>P1967-03-022-1-1-106</t>
  </si>
  <si>
    <t>P1967-03-022-1-10-1001</t>
  </si>
  <si>
    <t>P1967-03-022-1-10-1002</t>
  </si>
  <si>
    <t>P1967-03-022-1-10-1003</t>
  </si>
  <si>
    <t>P1967-03-022-1-10-1004</t>
  </si>
  <si>
    <t>P1967-03-022-1-10-1005</t>
  </si>
  <si>
    <t>P1967-03-022-1-10-1006</t>
  </si>
  <si>
    <t>P1967-03-022-1-11-1101</t>
  </si>
  <si>
    <t>P1967-03-022-1-11-1102</t>
  </si>
  <si>
    <t>P1967-03-022-1-11-1103</t>
  </si>
  <si>
    <t>P1967-03-022-1-11-1104</t>
  </si>
  <si>
    <t>P1967-03-022-1-11-1105</t>
  </si>
  <si>
    <t>P1967-03-022-1-11-1106</t>
  </si>
  <si>
    <t>P1967-03-022-1-12-1201</t>
  </si>
  <si>
    <t>P1967-03-022-1-12-1202</t>
  </si>
  <si>
    <t>P1967-03-022-1-12-1203</t>
  </si>
  <si>
    <t>P1967-03-022-1-12-1204</t>
  </si>
  <si>
    <t>P1967-03-022-1-12-1205</t>
  </si>
  <si>
    <t>P1967-03-022-1-12-1206</t>
  </si>
  <si>
    <t>P1967-03-022-1-13-1301</t>
  </si>
  <si>
    <t>P1967-03-022-1-13-1302</t>
  </si>
  <si>
    <t>P1967-03-022-1-13-1303</t>
  </si>
  <si>
    <t>P1967-03-022-1-13-1304</t>
  </si>
  <si>
    <t>P1967-03-022-1-13-1305</t>
  </si>
  <si>
    <t>P1967-03-022-1-13-1306</t>
  </si>
  <si>
    <t>P1967-03-022-1-14-1401</t>
  </si>
  <si>
    <t>P1967-03-022-1-14-1402</t>
  </si>
  <si>
    <t>P1967-03-022-1-14-1403</t>
  </si>
  <si>
    <t>P1967-03-022-1-14-1404</t>
  </si>
  <si>
    <t>P1967-03-022-1-14-1405</t>
  </si>
  <si>
    <t>P1967-03-022-1-14-1406</t>
  </si>
  <si>
    <t>P1967-03-022-1-15-1501</t>
  </si>
  <si>
    <t>P1967-03-022-1-15-1502</t>
  </si>
  <si>
    <t>P1967-03-022-1-15-1503</t>
  </si>
  <si>
    <t>P1967-03-022-1-15-1504</t>
  </si>
  <si>
    <t>P1967-03-022-1-15-1505</t>
  </si>
  <si>
    <t>P1967-03-022-1-15-1506</t>
  </si>
  <si>
    <t>P1967-03-022-1-16-1601</t>
  </si>
  <si>
    <t>P1967-03-022-1-16-1602</t>
  </si>
  <si>
    <t>P1967-03-022-1-16-1603</t>
  </si>
  <si>
    <t>P1967-03-022-1-16-1604</t>
  </si>
  <si>
    <t>P1967-03-022-1-16-1605</t>
  </si>
  <si>
    <t>P1967-03-022-1-16-1606</t>
  </si>
  <si>
    <t>P1967-03-022-1-17-1701</t>
  </si>
  <si>
    <t>P1967-03-022-1-17-1702</t>
  </si>
  <si>
    <t>P1967-03-022-1-17-1703</t>
  </si>
  <si>
    <t>P1967-03-022-1-17-1704</t>
  </si>
  <si>
    <t>P1967-03-022-1-17-1705</t>
  </si>
  <si>
    <t>P1967-03-022-1-17-1706</t>
  </si>
  <si>
    <t>P1967-03-022-1-18-1801</t>
  </si>
  <si>
    <t>P1967-03-022-1-18-1802</t>
  </si>
  <si>
    <t>P1967-03-022-1-18-1803</t>
  </si>
  <si>
    <t>P1967-03-022-1-18-1804</t>
  </si>
  <si>
    <t>P1967-03-022-1-18-1805</t>
  </si>
  <si>
    <t>P1967-03-022-1-18-1806</t>
  </si>
  <si>
    <t>P1967-03-022-1-19-1901</t>
  </si>
  <si>
    <t>P1967-03-022-1-19-1902</t>
  </si>
  <si>
    <t>P1967-03-022-1-19-1903</t>
  </si>
  <si>
    <t>P1967-03-022-1-19-1904</t>
  </si>
  <si>
    <t>P1967-03-022-1-19-1905</t>
  </si>
  <si>
    <t>P1967-03-022-1-19-1906</t>
  </si>
  <si>
    <t>P1967-03-022-1-2-201</t>
  </si>
  <si>
    <t>P1967-03-022-1-2-202</t>
  </si>
  <si>
    <t>P1967-03-022-1-2-204</t>
  </si>
  <si>
    <t>P1967-03-022-1-2-205</t>
  </si>
  <si>
    <t>P1967-03-022-1-2-206</t>
  </si>
  <si>
    <t>P1967-03-022-1-20-2001</t>
  </si>
  <si>
    <t>P1967-03-022-1-20-2002</t>
  </si>
  <si>
    <t>P1967-03-022-1-20-2003</t>
  </si>
  <si>
    <t>P1967-03-022-1-20-2004</t>
  </si>
  <si>
    <t>P1967-03-022-1-20-2005</t>
  </si>
  <si>
    <t>P1967-03-022-1-20-2006</t>
  </si>
  <si>
    <t>P1967-03-022-1-21-2101</t>
  </si>
  <si>
    <t>P1967-03-022-1-21-2102</t>
  </si>
  <si>
    <t>P1967-03-022-1-21-2103</t>
  </si>
  <si>
    <t>P1967-03-022-1-21-2104</t>
  </si>
  <si>
    <t>P1967-03-022-1-21-2105</t>
  </si>
  <si>
    <t>P1967-03-022-1-21-2106</t>
  </si>
  <si>
    <t>P1967-03-022-1-22-2201</t>
  </si>
  <si>
    <t>P1967-03-022-1-22-2202</t>
  </si>
  <si>
    <t>P1967-03-022-1-22-2203</t>
  </si>
  <si>
    <t>P1967-03-022-1-22-2204</t>
  </si>
  <si>
    <t>P1967-03-022-1-22-2205</t>
  </si>
  <si>
    <t>P1967-03-022-1-22-2206</t>
  </si>
  <si>
    <t>P1967-03-022-1-23-2301</t>
  </si>
  <si>
    <t>P1967-03-022-1-23-2302</t>
  </si>
  <si>
    <t>P1967-03-022-1-23-2303</t>
  </si>
  <si>
    <t>P1967-03-022-1-23-2304</t>
  </si>
  <si>
    <t>P1967-03-022-1-23-2305</t>
  </si>
  <si>
    <t>P1967-03-022-1-23-2306</t>
  </si>
  <si>
    <t>P1967-03-022-1-24-2401</t>
  </si>
  <si>
    <t>P1967-03-022-1-24-2402</t>
  </si>
  <si>
    <t>P1967-03-022-1-24-2403</t>
  </si>
  <si>
    <t>P1967-03-022-1-24-2404</t>
  </si>
  <si>
    <t>P1967-03-022-1-24-2405</t>
  </si>
  <si>
    <t>P1967-03-022-1-24-2406</t>
  </si>
  <si>
    <t>P1967-03-022-1-25-2501</t>
  </si>
  <si>
    <t>P1967-03-022-1-25-2502</t>
  </si>
  <si>
    <t>P1967-03-022-1-25-2503</t>
  </si>
  <si>
    <t>P1967-03-022-1-25-2504</t>
  </si>
  <si>
    <t>P1967-03-022-1-25-2505</t>
  </si>
  <si>
    <t>P1967-03-022-1-25-2506</t>
  </si>
  <si>
    <t>P1967-03-022-1-26-2601</t>
  </si>
  <si>
    <t>P1967-03-022-1-26-2602</t>
  </si>
  <si>
    <t>P1967-03-022-1-26-2603</t>
  </si>
  <si>
    <t>P1967-03-022-1-26-2604</t>
  </si>
  <si>
    <t>P1967-03-022-1-26-2605</t>
  </si>
  <si>
    <t>P1967-03-022-1-26-2606</t>
  </si>
  <si>
    <t>P1967-03-022-1-3-301</t>
  </si>
  <si>
    <t>P1967-03-022-1-3-302</t>
  </si>
  <si>
    <t>P1967-03-022-1-3-303</t>
  </si>
  <si>
    <t>P1967-03-022-1-3-304</t>
  </si>
  <si>
    <t>P1967-03-022-1-3-305</t>
  </si>
  <si>
    <t>P1967-03-022-1-3-306</t>
  </si>
  <si>
    <t>P1967-03-022-1-4-401</t>
  </si>
  <si>
    <t>P1967-03-022-1-4-402</t>
  </si>
  <si>
    <t>P1967-03-022-1-4-403</t>
  </si>
  <si>
    <t>P1967-03-022-1-4-404</t>
  </si>
  <si>
    <t>P1967-03-022-1-4-405</t>
  </si>
  <si>
    <t>P1967-03-022-1-4-406</t>
  </si>
  <si>
    <t>P1967-03-022-1-5-501</t>
  </si>
  <si>
    <t>P1967-03-022-1-5-502</t>
  </si>
  <si>
    <t>P1967-03-022-1-5-503</t>
  </si>
  <si>
    <t>P1967-03-022-1-5-504</t>
  </si>
  <si>
    <t>P1967-03-022-1-5-505</t>
  </si>
  <si>
    <t>P1967-03-022-1-5-506</t>
  </si>
  <si>
    <t>P1967-03-022-1-6-601</t>
  </si>
  <si>
    <t>P1967-03-022-1-6-602</t>
  </si>
  <si>
    <t>P1967-03-022-1-6-603</t>
  </si>
  <si>
    <t>P1967-03-022-1-6-604</t>
  </si>
  <si>
    <t>P1967-03-022-1-6-605</t>
  </si>
  <si>
    <t>P1967-03-022-1-6-606</t>
  </si>
  <si>
    <t>P1967-03-022-1-7-701</t>
  </si>
  <si>
    <t>P1967-03-022-1-7-702</t>
  </si>
  <si>
    <t>P1967-03-022-1-7-703</t>
  </si>
  <si>
    <t>P1967-03-022-1-7-704</t>
  </si>
  <si>
    <t>P1967-03-022-1-7-705</t>
  </si>
  <si>
    <t>P1967-03-022-1-7-706</t>
  </si>
  <si>
    <t>P1967-03-022-1-8-801</t>
  </si>
  <si>
    <t>P1967-03-022-1-8-802</t>
  </si>
  <si>
    <t>P1967-03-022-1-8-803</t>
  </si>
  <si>
    <t>P1967-03-022-1-8-804</t>
  </si>
  <si>
    <t>P1967-03-022-1-8-805</t>
  </si>
  <si>
    <t>P1967-03-022-1-8-806</t>
  </si>
  <si>
    <t>P1967-03-022-1-9-901</t>
  </si>
  <si>
    <t>P1967-03-022-1-9-902</t>
  </si>
  <si>
    <t>P1967-03-022-1-9-903</t>
  </si>
  <si>
    <t>P1967-03-022-1-9-904</t>
  </si>
  <si>
    <t>P1967-03-022-1-9-905</t>
  </si>
  <si>
    <t>P1967-03-022-1-9-906</t>
  </si>
  <si>
    <t>P1967-03-023-1-1-101</t>
  </si>
  <si>
    <t>21号楼</t>
  </si>
  <si>
    <t>P1967-03-023-1-1-102</t>
  </si>
  <si>
    <t>P1967-03-023-1-1-104</t>
  </si>
  <si>
    <t>P1967-03-023-1-1-105</t>
  </si>
  <si>
    <t>P1967-03-023-1-1-106</t>
  </si>
  <si>
    <t>P1967-03-023-1-10-1001</t>
  </si>
  <si>
    <t>P1967-03-023-1-10-1002</t>
  </si>
  <si>
    <t>P1967-03-023-1-10-1003</t>
  </si>
  <si>
    <t>P1967-03-023-1-10-1004</t>
  </si>
  <si>
    <t>P1967-03-023-1-10-1005</t>
  </si>
  <si>
    <t>P1967-03-023-1-10-1006</t>
  </si>
  <si>
    <t>P1967-03-023-1-11-1101</t>
  </si>
  <si>
    <t>P1967-03-023-1-11-1102</t>
  </si>
  <si>
    <t>P1967-03-023-1-11-1103</t>
  </si>
  <si>
    <t>P1967-03-023-1-11-1104</t>
  </si>
  <si>
    <t>P1967-03-023-1-11-1105</t>
  </si>
  <si>
    <t>P1967-03-023-1-11-1106</t>
  </si>
  <si>
    <t>P1967-03-023-1-12-1201</t>
  </si>
  <si>
    <t>P1967-03-023-1-12-1202</t>
  </si>
  <si>
    <t>P1967-03-023-1-12-1203</t>
  </si>
  <si>
    <t>P1967-03-023-1-12-1204</t>
  </si>
  <si>
    <t>P1967-03-023-1-12-1205</t>
  </si>
  <si>
    <t>P1967-03-023-1-12-1206</t>
  </si>
  <si>
    <t>P1967-03-023-1-13-1301</t>
  </si>
  <si>
    <t>P1967-03-023-1-13-1302</t>
  </si>
  <si>
    <t>P1967-03-023-1-13-1303</t>
  </si>
  <si>
    <t>P1967-03-023-1-13-1304</t>
  </si>
  <si>
    <t>P1967-03-023-1-13-1305</t>
  </si>
  <si>
    <t>P1967-03-023-1-13-1306</t>
  </si>
  <si>
    <t>P1967-03-023-1-14-1401</t>
  </si>
  <si>
    <t>P1967-03-023-1-14-1402</t>
  </si>
  <si>
    <t>P1967-03-023-1-14-1403</t>
  </si>
  <si>
    <t>P1967-03-023-1-14-1404</t>
  </si>
  <si>
    <t>P1967-03-023-1-14-1405</t>
  </si>
  <si>
    <t>P1967-03-023-1-14-1406</t>
  </si>
  <si>
    <t>P1967-03-023-1-15-1501</t>
  </si>
  <si>
    <t>P1967-03-023-1-15-1502</t>
  </si>
  <si>
    <t>P1967-03-023-1-15-1503</t>
  </si>
  <si>
    <t>P1967-03-023-1-15-1504</t>
  </si>
  <si>
    <t>P1967-03-023-1-15-1505</t>
  </si>
  <si>
    <t>P1967-03-023-1-15-1506</t>
  </si>
  <si>
    <t>P1967-03-023-1-16-1601</t>
  </si>
  <si>
    <t>P1967-03-023-1-16-1602</t>
  </si>
  <si>
    <t>P1967-03-023-1-16-1603</t>
  </si>
  <si>
    <t>P1967-03-023-1-16-1604</t>
  </si>
  <si>
    <t>P1967-03-023-1-16-1605</t>
  </si>
  <si>
    <t>P1967-03-023-1-16-1606</t>
  </si>
  <si>
    <t>P1967-03-023-1-17-1701</t>
  </si>
  <si>
    <t>P1967-03-023-1-17-1702</t>
  </si>
  <si>
    <t>P1967-03-023-1-17-1703</t>
  </si>
  <si>
    <t>P1967-03-023-1-17-1704</t>
  </si>
  <si>
    <t>P1967-03-023-1-17-1705</t>
  </si>
  <si>
    <t>P1967-03-023-1-17-1706</t>
  </si>
  <si>
    <t>P1967-03-023-1-18-1801</t>
  </si>
  <si>
    <t>P1967-03-023-1-18-1802</t>
  </si>
  <si>
    <t>P1967-03-023-1-18-1803</t>
  </si>
  <si>
    <t>P1967-03-023-1-18-1804</t>
  </si>
  <si>
    <t>P1967-03-023-1-18-1805</t>
  </si>
  <si>
    <t>P1967-03-023-1-18-1806</t>
  </si>
  <si>
    <t>P1967-03-023-1-19-1901</t>
  </si>
  <si>
    <t>P1967-03-023-1-19-1902</t>
  </si>
  <si>
    <t>P1967-03-023-1-19-1903</t>
  </si>
  <si>
    <t>P1967-03-023-1-19-1904</t>
  </si>
  <si>
    <t>P1967-03-023-1-19-1905</t>
  </si>
  <si>
    <t>P1967-03-023-1-19-1906</t>
  </si>
  <si>
    <t>P1967-03-023-1-2-201</t>
  </si>
  <si>
    <t>P1967-03-023-1-2-202</t>
  </si>
  <si>
    <t>P1967-03-023-1-2-204</t>
  </si>
  <si>
    <t>P1967-03-023-1-2-205</t>
  </si>
  <si>
    <t>P1967-03-023-1-2-206</t>
  </si>
  <si>
    <t>P1967-03-023-1-20-2001</t>
  </si>
  <si>
    <t>P1967-03-023-1-20-2002</t>
  </si>
  <si>
    <t>P1967-03-023-1-20-2003</t>
  </si>
  <si>
    <t>P1967-03-023-1-20-2004</t>
  </si>
  <si>
    <t>P1967-03-023-1-20-2005</t>
  </si>
  <si>
    <t>P1967-03-023-1-20-2006</t>
  </si>
  <si>
    <t>P1967-03-023-1-21-2101</t>
  </si>
  <si>
    <t>P1967-03-023-1-21-2102</t>
  </si>
  <si>
    <t>P1967-03-023-1-21-2103</t>
  </si>
  <si>
    <t>P1967-03-023-1-21-2104</t>
  </si>
  <si>
    <t>P1967-03-023-1-21-2105</t>
  </si>
  <si>
    <t>P1967-03-023-1-21-2106</t>
  </si>
  <si>
    <t>P1967-03-023-1-22-2201</t>
  </si>
  <si>
    <t>P1967-03-023-1-22-2202</t>
  </si>
  <si>
    <t>P1967-03-023-1-22-2203</t>
  </si>
  <si>
    <t>P1967-03-023-1-22-2204</t>
  </si>
  <si>
    <t>P1967-03-023-1-22-2205</t>
  </si>
  <si>
    <t>P1967-03-023-1-22-2206</t>
  </si>
  <si>
    <t>P1967-03-023-1-23-2301</t>
  </si>
  <si>
    <t>P1967-03-023-1-23-2302</t>
  </si>
  <si>
    <t>P1967-03-023-1-23-2303</t>
  </si>
  <si>
    <t>P1967-03-023-1-23-2304</t>
  </si>
  <si>
    <t>P1967-03-023-1-23-2305</t>
  </si>
  <si>
    <t>P1967-03-023-1-23-2306</t>
  </si>
  <si>
    <t>P1967-03-023-1-24-2401</t>
  </si>
  <si>
    <t>P1967-03-023-1-24-2402</t>
  </si>
  <si>
    <t>P1967-03-023-1-24-2403</t>
  </si>
  <si>
    <t>P1967-03-023-1-24-2404</t>
  </si>
  <si>
    <t>P1967-03-023-1-24-2405</t>
  </si>
  <si>
    <t>P1967-03-023-1-24-2406</t>
  </si>
  <si>
    <t>P1967-03-023-1-25-2501</t>
  </si>
  <si>
    <t>P1967-03-023-1-25-2502</t>
  </si>
  <si>
    <t>P1967-03-023-1-25-2503</t>
  </si>
  <si>
    <t>P1967-03-023-1-25-2504</t>
  </si>
  <si>
    <t>P1967-03-023-1-25-2505</t>
  </si>
  <si>
    <t>P1967-03-023-1-25-2506</t>
  </si>
  <si>
    <t>P1967-03-023-1-26-2601</t>
  </si>
  <si>
    <t>P1967-03-023-1-26-2602</t>
  </si>
  <si>
    <t>P1967-03-023-1-26-2603</t>
  </si>
  <si>
    <t>P1967-03-023-1-26-2604</t>
  </si>
  <si>
    <t>P1967-03-023-1-26-2605</t>
  </si>
  <si>
    <t>P1967-03-023-1-26-2606</t>
  </si>
  <si>
    <t>P1967-03-023-1-3-301</t>
  </si>
  <si>
    <t>P1967-03-023-1-3-302</t>
  </si>
  <si>
    <t>P1967-03-023-1-3-303</t>
  </si>
  <si>
    <t>P1967-03-023-1-3-304</t>
  </si>
  <si>
    <t>P1967-03-023-1-3-305</t>
  </si>
  <si>
    <t>P1967-03-023-1-3-306</t>
  </si>
  <si>
    <t>P1967-03-023-1-4-401</t>
  </si>
  <si>
    <t>P1967-03-023-1-4-402</t>
  </si>
  <si>
    <t>P1967-03-023-1-4-403</t>
  </si>
  <si>
    <t>P1967-03-023-1-4-404</t>
  </si>
  <si>
    <t>P1967-03-023-1-4-405</t>
  </si>
  <si>
    <t>P1967-03-023-1-4-406</t>
  </si>
  <si>
    <t>P1967-03-023-1-5-501</t>
  </si>
  <si>
    <t>P1967-03-023-1-5-502</t>
  </si>
  <si>
    <t>P1967-03-023-1-5-503</t>
  </si>
  <si>
    <t>P1967-03-023-1-5-504</t>
  </si>
  <si>
    <t>P1967-03-023-1-5-505</t>
  </si>
  <si>
    <t>P1967-03-023-1-5-506</t>
  </si>
  <si>
    <t>P1967-03-023-1-6-601</t>
  </si>
  <si>
    <t>P1967-03-023-1-6-602</t>
  </si>
  <si>
    <t>P1967-03-023-1-6-603</t>
  </si>
  <si>
    <t>P1967-03-023-1-6-604</t>
  </si>
  <si>
    <t>P1967-03-023-1-6-605</t>
  </si>
  <si>
    <t>P1967-03-023-1-6-606</t>
  </si>
  <si>
    <t>P1967-03-023-1-7-701</t>
  </si>
  <si>
    <t>P1967-03-023-1-7-702</t>
  </si>
  <si>
    <t>P1967-03-023-1-7-703</t>
  </si>
  <si>
    <t>P1967-03-023-1-7-704</t>
  </si>
  <si>
    <t>P1967-03-023-1-7-705</t>
  </si>
  <si>
    <t>P1967-03-023-1-7-706</t>
  </si>
  <si>
    <t>P1967-03-023-1-8-801</t>
  </si>
  <si>
    <t>P1967-03-023-1-8-802</t>
  </si>
  <si>
    <t>P1967-03-023-1-8-803</t>
  </si>
  <si>
    <t>P1967-03-023-1-8-804</t>
  </si>
  <si>
    <t>P1967-03-023-1-8-805</t>
  </si>
  <si>
    <t>P1967-03-023-1-8-806</t>
  </si>
  <si>
    <t>P1967-03-023-1-9-901</t>
  </si>
  <si>
    <t>P1967-03-023-1-9-902</t>
  </si>
  <si>
    <t>P1967-03-023-1-9-903</t>
  </si>
  <si>
    <t>P1967-03-023-1-9-904</t>
  </si>
  <si>
    <t>P1967-03-023-1-9-905</t>
  </si>
  <si>
    <t>P1967-03-023-1-9-906</t>
  </si>
  <si>
    <t>P1967-03-024-1-1-101</t>
  </si>
  <si>
    <t>22号楼</t>
  </si>
  <si>
    <t>P1967-03-024-1-1-102</t>
  </si>
  <si>
    <t>P1967-03-024-1-1-103</t>
  </si>
  <si>
    <t>P1967-03-024-1-1-104</t>
  </si>
  <si>
    <t>P1967-03-024-1-1-105</t>
  </si>
  <si>
    <t>P1967-03-024-1-10-1001</t>
  </si>
  <si>
    <t>P1967-03-024-1-10-1002</t>
  </si>
  <si>
    <t>P1967-03-024-1-10-1003</t>
  </si>
  <si>
    <t>P1967-03-024-1-10-1004</t>
  </si>
  <si>
    <t>P1967-03-024-1-10-1005</t>
  </si>
  <si>
    <t>P1967-03-024-1-10-1006</t>
  </si>
  <si>
    <t>P1967-03-024-1-11-1101</t>
  </si>
  <si>
    <t>P1967-03-024-1-11-1102</t>
  </si>
  <si>
    <t>P1967-03-024-1-11-1103</t>
  </si>
  <si>
    <t>P1967-03-024-1-11-1104</t>
  </si>
  <si>
    <t>P1967-03-024-1-11-1105</t>
  </si>
  <si>
    <t>P1967-03-024-1-11-1106</t>
  </si>
  <si>
    <t>P1967-03-024-1-12-1201</t>
  </si>
  <si>
    <t>P1967-03-024-1-12-1202</t>
  </si>
  <si>
    <t>P1967-03-024-1-12-1203</t>
  </si>
  <si>
    <t>P1967-03-024-1-12-1204</t>
  </si>
  <si>
    <t>P1967-03-024-1-12-1205</t>
  </si>
  <si>
    <t>P1967-03-024-1-12-1206</t>
  </si>
  <si>
    <t>P1967-03-024-1-13-1301</t>
  </si>
  <si>
    <t>P1967-03-024-1-13-1302</t>
  </si>
  <si>
    <t>P1967-03-024-1-13-1303</t>
  </si>
  <si>
    <t>P1967-03-024-1-13-1304</t>
  </si>
  <si>
    <t>P1967-03-024-1-13-1305</t>
  </si>
  <si>
    <t>P1967-03-024-1-13-1306</t>
  </si>
  <si>
    <t>P1967-03-024-1-14-1401</t>
  </si>
  <si>
    <t>P1967-03-024-1-14-1402</t>
  </si>
  <si>
    <t>P1967-03-024-1-14-1403</t>
  </si>
  <si>
    <t>P1967-03-024-1-14-1404</t>
  </si>
  <si>
    <t>P1967-03-024-1-14-1405</t>
  </si>
  <si>
    <t>P1967-03-024-1-14-1406</t>
  </si>
  <si>
    <t>P1967-03-024-1-15-1501</t>
  </si>
  <si>
    <t>P1967-03-024-1-15-1502</t>
  </si>
  <si>
    <t>P1967-03-024-1-15-1503</t>
  </si>
  <si>
    <t>P1967-03-024-1-15-1504</t>
  </si>
  <si>
    <t>P1967-03-024-1-15-1505</t>
  </si>
  <si>
    <t>P1967-03-024-1-15-1506</t>
  </si>
  <si>
    <t>P1967-03-024-1-16-1601</t>
  </si>
  <si>
    <t>P1967-03-024-1-16-1602</t>
  </si>
  <si>
    <t>P1967-03-024-1-16-1603</t>
  </si>
  <si>
    <t>P1967-03-024-1-16-1604</t>
  </si>
  <si>
    <t>P1967-03-024-1-16-1605</t>
  </si>
  <si>
    <t>P1967-03-024-1-16-1606</t>
  </si>
  <si>
    <t>P1967-03-024-1-17-1701</t>
  </si>
  <si>
    <t>P1967-03-024-1-17-1702</t>
  </si>
  <si>
    <t>P1967-03-024-1-17-1703</t>
  </si>
  <si>
    <t>P1967-03-024-1-17-1704</t>
  </si>
  <si>
    <t>P1967-03-024-1-17-1705</t>
  </si>
  <si>
    <t>P1967-03-024-1-17-1706</t>
  </si>
  <si>
    <t>P1967-03-024-1-18-1801</t>
  </si>
  <si>
    <t>P1967-03-024-1-18-1802</t>
  </si>
  <si>
    <t>P1967-03-024-1-18-1803</t>
  </si>
  <si>
    <t>P1967-03-024-1-18-1804</t>
  </si>
  <si>
    <t>P1967-03-024-1-18-1805</t>
  </si>
  <si>
    <t>P1967-03-024-1-18-1806</t>
  </si>
  <si>
    <t>P1967-03-024-1-19-1901</t>
  </si>
  <si>
    <t>P1967-03-024-1-19-1902</t>
  </si>
  <si>
    <t>P1967-03-024-1-19-1903</t>
  </si>
  <si>
    <t>P1967-03-024-1-19-1904</t>
  </si>
  <si>
    <t>P1967-03-024-1-19-1905</t>
  </si>
  <si>
    <t>P1967-03-024-1-19-1906</t>
  </si>
  <si>
    <t>P1967-03-024-1-2-201</t>
  </si>
  <si>
    <t>P1967-03-024-1-2-202</t>
  </si>
  <si>
    <t>P1967-03-024-1-2-203</t>
  </si>
  <si>
    <t>P1967-03-024-1-2-204</t>
  </si>
  <si>
    <t>P1967-03-024-1-2-205</t>
  </si>
  <si>
    <t>P1967-03-024-1-20-2001</t>
  </si>
  <si>
    <t>P1967-03-024-1-20-2002</t>
  </si>
  <si>
    <t>P1967-03-024-1-20-2003</t>
  </si>
  <si>
    <t>P1967-03-024-1-20-2004</t>
  </si>
  <si>
    <t>P1967-03-024-1-20-2005</t>
  </si>
  <si>
    <t>P1967-03-024-1-20-2006</t>
  </si>
  <si>
    <t>P1967-03-024-1-21-2101</t>
  </si>
  <si>
    <t>P1967-03-024-1-21-2102</t>
  </si>
  <si>
    <t>P1967-03-024-1-21-2103</t>
  </si>
  <si>
    <t>P1967-03-024-1-21-2104</t>
  </si>
  <si>
    <t>P1967-03-024-1-21-2105</t>
  </si>
  <si>
    <t>P1967-03-024-1-21-2106</t>
  </si>
  <si>
    <t>P1967-03-024-1-22-2201</t>
  </si>
  <si>
    <t>P1967-03-024-1-22-2202</t>
  </si>
  <si>
    <t>P1967-03-024-1-22-2203</t>
  </si>
  <si>
    <t>P1967-03-024-1-22-2204</t>
  </si>
  <si>
    <t>P1967-03-024-1-22-2205</t>
  </si>
  <si>
    <t>P1967-03-024-1-22-2206</t>
  </si>
  <si>
    <t>P1967-03-024-1-23-2301</t>
  </si>
  <si>
    <t>P1967-03-024-1-23-2302</t>
  </si>
  <si>
    <t>P1967-03-024-1-23-2303</t>
  </si>
  <si>
    <t>P1967-03-024-1-23-2304</t>
  </si>
  <si>
    <t>P1967-03-024-1-23-2305</t>
  </si>
  <si>
    <t>P1967-03-024-1-23-2306</t>
  </si>
  <si>
    <t>P1967-03-024-1-24-2401</t>
  </si>
  <si>
    <t>P1967-03-024-1-24-2402</t>
  </si>
  <si>
    <t>P1967-03-024-1-24-2403</t>
  </si>
  <si>
    <t>P1967-03-024-1-24-2404</t>
  </si>
  <si>
    <t>P1967-03-024-1-24-2405</t>
  </si>
  <si>
    <t>P1967-03-024-1-24-2406</t>
  </si>
  <si>
    <t>P1967-03-024-1-25-2501</t>
  </si>
  <si>
    <t>P1967-03-024-1-25-2502</t>
  </si>
  <si>
    <t>P1967-03-024-1-25-2503</t>
  </si>
  <si>
    <t>P1967-03-024-1-25-2504</t>
  </si>
  <si>
    <t>P1967-03-024-1-25-2505</t>
  </si>
  <si>
    <t>P1967-03-024-1-25-2506</t>
  </si>
  <si>
    <t>P1967-03-024-1-26-2601</t>
  </si>
  <si>
    <t>P1967-03-024-1-26-2602</t>
  </si>
  <si>
    <t>P1967-03-024-1-26-2603</t>
  </si>
  <si>
    <t>P1967-03-024-1-26-2604</t>
  </si>
  <si>
    <t>P1967-03-024-1-26-2605</t>
  </si>
  <si>
    <t>P1967-03-024-1-26-2606</t>
  </si>
  <si>
    <t>P1967-03-024-1-3-301</t>
  </si>
  <si>
    <t>P1967-03-024-1-3-302</t>
  </si>
  <si>
    <t>P1967-03-024-1-3-303</t>
  </si>
  <si>
    <t>P1967-03-024-1-3-304</t>
  </si>
  <si>
    <t>P1967-03-024-1-3-305</t>
  </si>
  <si>
    <t>P1967-03-024-1-3-306</t>
  </si>
  <si>
    <t>P1967-03-024-1-4-401</t>
  </si>
  <si>
    <t>P1967-03-024-1-4-402</t>
  </si>
  <si>
    <t>P1967-03-024-1-4-403</t>
  </si>
  <si>
    <t>P1967-03-024-1-4-404</t>
  </si>
  <si>
    <t>P1967-03-024-1-4-405</t>
  </si>
  <si>
    <t>P1967-03-024-1-4-406</t>
  </si>
  <si>
    <t>P1967-03-024-1-5-501</t>
  </si>
  <si>
    <t>P1967-03-024-1-5-502</t>
  </si>
  <si>
    <t>P1967-03-024-1-5-503</t>
  </si>
  <si>
    <t>P1967-03-024-1-5-504</t>
  </si>
  <si>
    <t>P1967-03-024-1-5-505</t>
  </si>
  <si>
    <t>P1967-03-024-1-5-506</t>
  </si>
  <si>
    <t>P1967-03-024-1-6-601</t>
  </si>
  <si>
    <t>P1967-03-024-1-6-602</t>
  </si>
  <si>
    <t>P1967-03-024-1-6-603</t>
  </si>
  <si>
    <t>P1967-03-024-1-6-604</t>
  </si>
  <si>
    <t>P1967-03-024-1-6-605</t>
  </si>
  <si>
    <t>P1967-03-024-1-6-606</t>
  </si>
  <si>
    <t>P1967-03-024-1-7-701</t>
  </si>
  <si>
    <t>P1967-03-024-1-7-702</t>
  </si>
  <si>
    <t>P1967-03-024-1-7-703</t>
  </si>
  <si>
    <t>P1967-03-024-1-7-704</t>
  </si>
  <si>
    <t>P1967-03-024-1-7-705</t>
  </si>
  <si>
    <t>P1967-03-024-1-7-706</t>
  </si>
  <si>
    <t>P1967-03-024-1-8-801</t>
  </si>
  <si>
    <t>P1967-03-024-1-8-802</t>
  </si>
  <si>
    <t>P1967-03-024-1-8-803</t>
  </si>
  <si>
    <t>P1967-03-024-1-8-804</t>
  </si>
  <si>
    <t>P1967-03-024-1-8-805</t>
  </si>
  <si>
    <t>P1967-03-024-1-8-806</t>
  </si>
  <si>
    <t>P1967-03-024-1-9-901</t>
  </si>
  <si>
    <t>P1967-03-024-1-9-902</t>
  </si>
  <si>
    <t>P1967-03-024-1-9-903</t>
  </si>
  <si>
    <t>P1967-03-024-1-9-904</t>
  </si>
  <si>
    <t>P1967-03-024-1-9-905</t>
  </si>
  <si>
    <t>P1967-03-024-1-9-906</t>
  </si>
  <si>
    <t>P1967-03-025-1-1-101</t>
  </si>
  <si>
    <t>23号楼</t>
  </si>
  <si>
    <t>P1967-03-025-1-1-102</t>
  </si>
  <si>
    <t>P1967-03-025-1-1-103</t>
  </si>
  <si>
    <t>P1967-03-025-1-1-104</t>
  </si>
  <si>
    <t>P1967-03-025-1-1-105</t>
  </si>
  <si>
    <t>P1967-03-025-1-10-1001</t>
  </si>
  <si>
    <t>P1967-03-025-1-10-1002</t>
  </si>
  <si>
    <t>P1967-03-025-1-10-1003</t>
  </si>
  <si>
    <t>P1967-03-025-1-10-1004</t>
  </si>
  <si>
    <t>P1967-03-025-1-10-1005</t>
  </si>
  <si>
    <t>P1967-03-025-1-10-1006</t>
  </si>
  <si>
    <t>P1967-03-025-1-11-1101</t>
  </si>
  <si>
    <t>P1967-03-025-1-11-1102</t>
  </si>
  <si>
    <t>P1967-03-025-1-11-1103</t>
  </si>
  <si>
    <t>P1967-03-025-1-11-1104</t>
  </si>
  <si>
    <t>P1967-03-025-1-11-1105</t>
  </si>
  <si>
    <t>P1967-03-025-1-11-1106</t>
  </si>
  <si>
    <t>P1967-03-025-1-12-1201</t>
  </si>
  <si>
    <t>P1967-03-025-1-12-1202</t>
  </si>
  <si>
    <t>P1967-03-025-1-12-1203</t>
  </si>
  <si>
    <t>P1967-03-025-1-12-1204</t>
  </si>
  <si>
    <t>P1967-03-025-1-12-1205</t>
  </si>
  <si>
    <t>P1967-03-025-1-12-1206</t>
  </si>
  <si>
    <t>P1967-03-025-1-13-1301</t>
  </si>
  <si>
    <t>P1967-03-025-1-13-1302</t>
  </si>
  <si>
    <t>P1967-03-025-1-13-1303</t>
  </si>
  <si>
    <t>P1967-03-025-1-13-1304</t>
  </si>
  <si>
    <t>P1967-03-025-1-13-1305</t>
  </si>
  <si>
    <t>P1967-03-025-1-13-1306</t>
  </si>
  <si>
    <t>P1967-03-025-1-14-1401</t>
  </si>
  <si>
    <t>P1967-03-025-1-14-1402</t>
  </si>
  <si>
    <t>P1967-03-025-1-14-1403</t>
  </si>
  <si>
    <t>P1967-03-025-1-14-1404</t>
  </si>
  <si>
    <t>P1967-03-025-1-14-1405</t>
  </si>
  <si>
    <t>P1967-03-025-1-14-1406</t>
  </si>
  <si>
    <t>P1967-03-025-1-15-1501</t>
  </si>
  <si>
    <t>P1967-03-025-1-15-1502</t>
  </si>
  <si>
    <t>P1967-03-025-1-15-1503</t>
  </si>
  <si>
    <t>P1967-03-025-1-15-1504</t>
  </si>
  <si>
    <t>P1967-03-025-1-15-1505</t>
  </si>
  <si>
    <t>P1967-03-025-1-15-1506</t>
  </si>
  <si>
    <t>P1967-03-025-1-16-1601</t>
  </si>
  <si>
    <t>P1967-03-025-1-16-1602</t>
  </si>
  <si>
    <t>P1967-03-025-1-16-1603</t>
  </si>
  <si>
    <t>P1967-03-025-1-16-1604</t>
  </si>
  <si>
    <t>P1967-03-025-1-16-1605</t>
  </si>
  <si>
    <t>P1967-03-025-1-16-1606</t>
  </si>
  <si>
    <t>P1967-03-025-1-17-1701</t>
  </si>
  <si>
    <t>P1967-03-025-1-17-1702</t>
  </si>
  <si>
    <t>P1967-03-025-1-17-1703</t>
  </si>
  <si>
    <t>P1967-03-025-1-17-1704</t>
  </si>
  <si>
    <t>P1967-03-025-1-17-1705</t>
  </si>
  <si>
    <t>P1967-03-025-1-17-1706</t>
  </si>
  <si>
    <t>P1967-03-025-1-18-1801</t>
  </si>
  <si>
    <t>P1967-03-025-1-18-1802</t>
  </si>
  <si>
    <t>P1967-03-025-1-18-1803</t>
  </si>
  <si>
    <t>P1967-03-025-1-18-1804</t>
  </si>
  <si>
    <t>P1967-03-025-1-18-1805</t>
  </si>
  <si>
    <t>P1967-03-025-1-18-1806</t>
  </si>
  <si>
    <t>P1967-03-025-1-19-1901</t>
  </si>
  <si>
    <t>P1967-03-025-1-19-1902</t>
  </si>
  <si>
    <t>P1967-03-025-1-19-1903</t>
  </si>
  <si>
    <t>P1967-03-025-1-19-1904</t>
  </si>
  <si>
    <t>P1967-03-025-1-19-1905</t>
  </si>
  <si>
    <t>P1967-03-025-1-19-1906</t>
  </si>
  <si>
    <t>P1967-03-025-1-2-201</t>
  </si>
  <si>
    <t>P1967-03-025-1-2-202</t>
  </si>
  <si>
    <t>P1967-03-025-1-2-203</t>
  </si>
  <si>
    <t>P1967-03-025-1-2-204</t>
  </si>
  <si>
    <t>P1967-03-025-1-2-205</t>
  </si>
  <si>
    <t>P1967-03-025-1-20-2001</t>
  </si>
  <si>
    <t>P1967-03-025-1-20-2002</t>
  </si>
  <si>
    <t>P1967-03-025-1-20-2003</t>
  </si>
  <si>
    <t>P1967-03-025-1-20-2004</t>
  </si>
  <si>
    <t>P1967-03-025-1-20-2005</t>
  </si>
  <si>
    <t>P1967-03-025-1-20-2006</t>
  </si>
  <si>
    <t>P1967-03-025-1-21-2101</t>
  </si>
  <si>
    <t>P1967-03-025-1-21-2102</t>
  </si>
  <si>
    <t>P1967-03-025-1-21-2103</t>
  </si>
  <si>
    <t>P1967-03-025-1-21-2104</t>
  </si>
  <si>
    <t>P1967-03-025-1-21-2105</t>
  </si>
  <si>
    <t>P1967-03-025-1-21-2106</t>
  </si>
  <si>
    <t>P1967-03-025-1-22-2201</t>
  </si>
  <si>
    <t>P1967-03-025-1-22-2202</t>
  </si>
  <si>
    <t>P1967-03-025-1-22-2203</t>
  </si>
  <si>
    <t>P1967-03-025-1-22-2204</t>
  </si>
  <si>
    <t>P1967-03-025-1-22-2205</t>
  </si>
  <si>
    <t>P1967-03-025-1-22-2206</t>
  </si>
  <si>
    <t>P1967-03-025-1-23-2301</t>
  </si>
  <si>
    <t>P1967-03-025-1-23-2302</t>
  </si>
  <si>
    <t>P1967-03-025-1-23-2303</t>
  </si>
  <si>
    <t>P1967-03-025-1-23-2304</t>
  </si>
  <si>
    <t>P1967-03-025-1-23-2305</t>
  </si>
  <si>
    <t>P1967-03-025-1-23-2306</t>
  </si>
  <si>
    <t>P1967-03-025-1-24-2401</t>
  </si>
  <si>
    <t>P1967-03-025-1-24-2402</t>
  </si>
  <si>
    <t>P1967-03-025-1-24-2403</t>
  </si>
  <si>
    <t>P1967-03-025-1-24-2404</t>
  </si>
  <si>
    <t>P1967-03-025-1-24-2405</t>
  </si>
  <si>
    <t>P1967-03-025-1-24-2406</t>
  </si>
  <si>
    <t>P1967-03-025-1-25-2501</t>
  </si>
  <si>
    <t>P1967-03-025-1-25-2502</t>
  </si>
  <si>
    <t>P1967-03-025-1-25-2503</t>
  </si>
  <si>
    <t>P1967-03-025-1-25-2504</t>
  </si>
  <si>
    <t>P1967-03-025-1-25-2505</t>
  </si>
  <si>
    <t>P1967-03-025-1-25-2506</t>
  </si>
  <si>
    <t>P1967-03-025-1-26-2601</t>
  </si>
  <si>
    <t>P1967-03-025-1-26-2602</t>
  </si>
  <si>
    <t>P1967-03-025-1-26-2603</t>
  </si>
  <si>
    <t>P1967-03-025-1-26-2604</t>
  </si>
  <si>
    <t>P1967-03-025-1-26-2605</t>
  </si>
  <si>
    <t>P1967-03-025-1-26-2606</t>
  </si>
  <si>
    <t>P1967-03-025-1-3-301</t>
  </si>
  <si>
    <t>P1967-03-025-1-3-302</t>
  </si>
  <si>
    <t>P1967-03-025-1-3-303</t>
  </si>
  <si>
    <t>P1967-03-025-1-3-304</t>
  </si>
  <si>
    <t>P1967-03-025-1-3-305</t>
  </si>
  <si>
    <t>P1967-03-025-1-3-306</t>
  </si>
  <si>
    <t>P1967-03-025-1-4-401</t>
  </si>
  <si>
    <t>P1967-03-025-1-4-402</t>
  </si>
  <si>
    <t>P1967-03-025-1-4-403</t>
  </si>
  <si>
    <t>P1967-03-025-1-4-404</t>
  </si>
  <si>
    <t>P1967-03-025-1-4-405</t>
  </si>
  <si>
    <t>P1967-03-025-1-4-406</t>
  </si>
  <si>
    <t>P1967-03-025-1-5-501</t>
  </si>
  <si>
    <t>P1967-03-025-1-5-502</t>
  </si>
  <si>
    <t>P1967-03-025-1-5-503</t>
  </si>
  <si>
    <t>P1967-03-025-1-5-504</t>
  </si>
  <si>
    <t>P1967-03-025-1-5-505</t>
  </si>
  <si>
    <t>P1967-03-025-1-5-506</t>
  </si>
  <si>
    <t>P1967-03-025-1-6-601</t>
  </si>
  <si>
    <t>P1967-03-025-1-6-602</t>
  </si>
  <si>
    <t>P1967-03-025-1-6-603</t>
  </si>
  <si>
    <t>P1967-03-025-1-6-604</t>
  </si>
  <si>
    <t>P1967-03-025-1-6-605</t>
  </si>
  <si>
    <t>P1967-03-025-1-6-606</t>
  </si>
  <si>
    <t>P1967-03-025-1-7-701</t>
  </si>
  <si>
    <t>P1967-03-025-1-7-702</t>
  </si>
  <si>
    <t>P1967-03-025-1-7-703</t>
  </si>
  <si>
    <t>P1967-03-025-1-7-704</t>
  </si>
  <si>
    <t>P1967-03-025-1-7-705</t>
  </si>
  <si>
    <t>P1967-03-025-1-7-706</t>
  </si>
  <si>
    <t>P1967-03-025-1-8-801</t>
  </si>
  <si>
    <t>P1967-03-025-1-8-802</t>
  </si>
  <si>
    <t>P1967-03-025-1-8-803</t>
  </si>
  <si>
    <t>P1967-03-025-1-8-804</t>
  </si>
  <si>
    <t>P1967-03-025-1-8-805</t>
  </si>
  <si>
    <t>P1967-03-025-1-8-806</t>
  </si>
  <si>
    <t>P1967-03-025-1-9-901</t>
  </si>
  <si>
    <t>P1967-03-025-1-9-902</t>
  </si>
  <si>
    <t>P1967-03-025-1-9-903</t>
  </si>
  <si>
    <t>P1967-03-025-1-9-904</t>
  </si>
  <si>
    <t>P1967-03-025-1-9-905</t>
  </si>
  <si>
    <t>P1967-03-025-1-9-906</t>
  </si>
  <si>
    <t>P1967-03-026-1-1-101</t>
  </si>
  <si>
    <t>24号楼</t>
  </si>
  <si>
    <t>P1967-03-026-1-1-102</t>
  </si>
  <si>
    <t>P1967-03-026-1-1-103</t>
  </si>
  <si>
    <t>P1967-03-026-1-1-104</t>
  </si>
  <si>
    <t>P1967-03-026-1-1-105</t>
  </si>
  <si>
    <t>P1967-03-026-1-10-1001</t>
  </si>
  <si>
    <t>P1967-03-026-1-10-1002</t>
  </si>
  <si>
    <t>P1967-03-026-1-10-1003</t>
  </si>
  <si>
    <t>P1967-03-026-1-10-1004</t>
  </si>
  <si>
    <t>P1967-03-026-1-10-1005</t>
  </si>
  <si>
    <t>P1967-03-026-1-10-1006</t>
  </si>
  <si>
    <t>P1967-03-026-1-11-1101</t>
  </si>
  <si>
    <t>P1967-03-026-1-11-1102</t>
  </si>
  <si>
    <t>P1967-03-026-1-11-1103</t>
  </si>
  <si>
    <t>P1967-03-026-1-11-1104</t>
  </si>
  <si>
    <t>P1967-03-026-1-11-1105</t>
  </si>
  <si>
    <t>P1967-03-026-1-11-1106</t>
  </si>
  <si>
    <t>P1967-03-026-1-12-1201</t>
  </si>
  <si>
    <t>P1967-03-026-1-12-1202</t>
  </si>
  <si>
    <t>P1967-03-026-1-12-1203</t>
  </si>
  <si>
    <t>P1967-03-026-1-12-1204</t>
  </si>
  <si>
    <t>P1967-03-026-1-12-1205</t>
  </si>
  <si>
    <t>P1967-03-026-1-12-1206</t>
  </si>
  <si>
    <t>P1967-03-026-1-13-1301</t>
  </si>
  <si>
    <t>P1967-03-026-1-13-1302</t>
  </si>
  <si>
    <t>P1967-03-026-1-13-1303</t>
  </si>
  <si>
    <t>P1967-03-026-1-13-1304</t>
  </si>
  <si>
    <t>P1967-03-026-1-13-1305</t>
  </si>
  <si>
    <t>P1967-03-026-1-13-1306</t>
  </si>
  <si>
    <t>P1967-03-026-1-14-1401</t>
  </si>
  <si>
    <t>P1967-03-026-1-14-1402</t>
  </si>
  <si>
    <t>P1967-03-026-1-14-1403</t>
  </si>
  <si>
    <t>P1967-03-026-1-14-1404</t>
  </si>
  <si>
    <t>P1967-03-026-1-14-1405</t>
  </si>
  <si>
    <t>P1967-03-026-1-14-1406</t>
  </si>
  <si>
    <t>P1967-03-026-1-15-1501</t>
  </si>
  <si>
    <t>P1967-03-026-1-15-1502</t>
  </si>
  <si>
    <t>P1967-03-026-1-15-1503</t>
  </si>
  <si>
    <t>P1967-03-026-1-15-1504</t>
  </si>
  <si>
    <t>P1967-03-026-1-15-1505</t>
  </si>
  <si>
    <t>P1967-03-026-1-15-1506</t>
  </si>
  <si>
    <t>P1967-03-026-1-16-1601</t>
  </si>
  <si>
    <t>P1967-03-026-1-16-1602</t>
  </si>
  <si>
    <t>P1967-03-026-1-16-1603</t>
  </si>
  <si>
    <t>P1967-03-026-1-16-1604</t>
  </si>
  <si>
    <t>P1967-03-026-1-16-1605</t>
  </si>
  <si>
    <t>P1967-03-026-1-16-1606</t>
  </si>
  <si>
    <t>P1967-03-026-1-17-1701</t>
  </si>
  <si>
    <t>P1967-03-026-1-17-1702</t>
  </si>
  <si>
    <t>P1967-03-026-1-17-1703</t>
  </si>
  <si>
    <t>P1967-03-026-1-17-1704</t>
  </si>
  <si>
    <t>P1967-03-026-1-17-1705</t>
  </si>
  <si>
    <t>P1967-03-026-1-17-1706</t>
  </si>
  <si>
    <t>P1967-03-026-1-18-1801</t>
  </si>
  <si>
    <t>P1967-03-026-1-18-1802</t>
  </si>
  <si>
    <t>P1967-03-026-1-18-1803</t>
  </si>
  <si>
    <t>P1967-03-026-1-18-1804</t>
  </si>
  <si>
    <t>P1967-03-026-1-18-1805</t>
  </si>
  <si>
    <t>P1967-03-026-1-18-1806</t>
  </si>
  <si>
    <t>P1967-03-026-1-19-1901</t>
  </si>
  <si>
    <t>P1967-03-026-1-19-1902</t>
  </si>
  <si>
    <t>P1967-03-026-1-19-1903</t>
  </si>
  <si>
    <t>P1967-03-026-1-19-1904</t>
  </si>
  <si>
    <t>P1967-03-026-1-19-1905</t>
  </si>
  <si>
    <t>P1967-03-026-1-19-1906</t>
  </si>
  <si>
    <t>P1967-03-026-1-2-201</t>
  </si>
  <si>
    <t>P1967-03-026-1-2-202</t>
  </si>
  <si>
    <t>P1967-03-026-1-2-203</t>
  </si>
  <si>
    <t>P1967-03-026-1-2-204</t>
  </si>
  <si>
    <t>P1967-03-026-1-2-205</t>
  </si>
  <si>
    <t>P1967-03-026-1-20-2001</t>
  </si>
  <si>
    <t>P1967-03-026-1-20-2002</t>
  </si>
  <si>
    <t>P1967-03-026-1-20-2003</t>
  </si>
  <si>
    <t>P1967-03-026-1-20-2004</t>
  </si>
  <si>
    <t>P1967-03-026-1-20-2005</t>
  </si>
  <si>
    <t>P1967-03-026-1-20-2006</t>
  </si>
  <si>
    <t>P1967-03-026-1-21-2101</t>
  </si>
  <si>
    <t>P1967-03-026-1-21-2102</t>
  </si>
  <si>
    <t>P1967-03-026-1-21-2103</t>
  </si>
  <si>
    <t>P1967-03-026-1-21-2104</t>
  </si>
  <si>
    <t>P1967-03-026-1-21-2105</t>
  </si>
  <si>
    <t>P1967-03-026-1-21-2106</t>
  </si>
  <si>
    <t>P1967-03-026-1-22-2201</t>
  </si>
  <si>
    <t>P1967-03-026-1-22-2202</t>
  </si>
  <si>
    <t>P1967-03-026-1-22-2203</t>
  </si>
  <si>
    <t>P1967-03-026-1-22-2204</t>
  </si>
  <si>
    <t>P1967-03-026-1-22-2205</t>
  </si>
  <si>
    <t>P1967-03-026-1-22-2206</t>
  </si>
  <si>
    <t>P1967-03-026-1-23-2301</t>
  </si>
  <si>
    <t>P1967-03-026-1-23-2302</t>
  </si>
  <si>
    <t>P1967-03-026-1-23-2303</t>
  </si>
  <si>
    <t>P1967-03-026-1-23-2304</t>
  </si>
  <si>
    <t>P1967-03-026-1-23-2305</t>
  </si>
  <si>
    <t>P1967-03-026-1-23-2306</t>
  </si>
  <si>
    <t>P1967-03-026-1-24-2401</t>
  </si>
  <si>
    <t>P1967-03-026-1-24-2402</t>
  </si>
  <si>
    <t>P1967-03-026-1-24-2403</t>
  </si>
  <si>
    <t>P1967-03-026-1-24-2404</t>
  </si>
  <si>
    <t>P1967-03-026-1-24-2405</t>
  </si>
  <si>
    <t>P1967-03-026-1-24-2406</t>
  </si>
  <si>
    <t>P1967-03-026-1-25-2501</t>
  </si>
  <si>
    <t>P1967-03-026-1-25-2502</t>
  </si>
  <si>
    <t>P1967-03-026-1-25-2503</t>
  </si>
  <si>
    <t>P1967-03-026-1-25-2504</t>
  </si>
  <si>
    <t>P1967-03-026-1-25-2505</t>
  </si>
  <si>
    <t>P1967-03-026-1-25-2506</t>
  </si>
  <si>
    <t>P1967-03-026-1-26-2601</t>
  </si>
  <si>
    <t>P1967-03-026-1-26-2602</t>
  </si>
  <si>
    <t>P1967-03-026-1-26-2603</t>
  </si>
  <si>
    <t>P1967-03-026-1-26-2604</t>
  </si>
  <si>
    <t>P1967-03-026-1-26-2605</t>
  </si>
  <si>
    <t>P1967-03-026-1-26-2606</t>
  </si>
  <si>
    <t>P1967-03-026-1-3-301</t>
  </si>
  <si>
    <t>P1967-03-026-1-3-302</t>
  </si>
  <si>
    <t>P1967-03-026-1-3-303</t>
  </si>
  <si>
    <t>P1967-03-026-1-3-304</t>
  </si>
  <si>
    <t>P1967-03-026-1-3-305</t>
  </si>
  <si>
    <t>P1967-03-026-1-3-306</t>
  </si>
  <si>
    <t>P1967-03-026-1-4-401</t>
  </si>
  <si>
    <t>P1967-03-026-1-4-402</t>
  </si>
  <si>
    <t>P1967-03-026-1-4-403</t>
  </si>
  <si>
    <t>P1967-03-026-1-4-404</t>
  </si>
  <si>
    <t>P1967-03-026-1-4-405</t>
  </si>
  <si>
    <t>P1967-03-026-1-4-406</t>
  </si>
  <si>
    <t>P1967-03-026-1-5-501</t>
  </si>
  <si>
    <t>P1967-03-026-1-5-502</t>
  </si>
  <si>
    <t>P1967-03-026-1-5-503</t>
  </si>
  <si>
    <t>P1967-03-026-1-5-504</t>
  </si>
  <si>
    <t>P1967-03-026-1-5-505</t>
  </si>
  <si>
    <t>P1967-03-026-1-5-506</t>
  </si>
  <si>
    <t>P1967-03-026-1-6-601</t>
  </si>
  <si>
    <t>P1967-03-026-1-6-602</t>
  </si>
  <si>
    <t>P1967-03-026-1-6-603</t>
  </si>
  <si>
    <t>P1967-03-026-1-6-604</t>
  </si>
  <si>
    <t>P1967-03-026-1-6-605</t>
  </si>
  <si>
    <t>P1967-03-026-1-6-606</t>
  </si>
  <si>
    <t>P1967-03-026-1-7-701</t>
  </si>
  <si>
    <t>P1967-03-026-1-7-702</t>
  </si>
  <si>
    <t>P1967-03-026-1-7-703</t>
  </si>
  <si>
    <t>P1967-03-026-1-7-704</t>
  </si>
  <si>
    <t>P1967-03-026-1-7-705</t>
  </si>
  <si>
    <t>P1967-03-026-1-7-706</t>
  </si>
  <si>
    <t>P1967-03-026-1-8-801</t>
  </si>
  <si>
    <t>P1967-03-026-1-8-802</t>
  </si>
  <si>
    <t>P1967-03-026-1-8-803</t>
  </si>
  <si>
    <t>P1967-03-026-1-8-804</t>
  </si>
  <si>
    <t>P1967-03-026-1-8-805</t>
  </si>
  <si>
    <t>P1967-03-026-1-8-806</t>
  </si>
  <si>
    <t>P1967-03-026-1-9-901</t>
  </si>
  <si>
    <t>P1967-03-026-1-9-902</t>
  </si>
  <si>
    <t>P1967-03-026-1-9-903</t>
  </si>
  <si>
    <t>P1967-03-026-1-9-904</t>
  </si>
  <si>
    <t>P1967-03-026-1-9-905</t>
  </si>
  <si>
    <t>P1967-03-026-1-9-906</t>
  </si>
  <si>
    <t>P1967-03-027-1-1-101</t>
  </si>
  <si>
    <t>25号楼</t>
  </si>
  <si>
    <t>P1967-03-027-1-1-102</t>
  </si>
  <si>
    <t>P1967-03-027-1-1-104</t>
  </si>
  <si>
    <t>P1967-03-027-1-1-105</t>
  </si>
  <si>
    <t>P1967-03-027-1-10-1001</t>
  </si>
  <si>
    <t>P1967-03-027-1-10-1002</t>
  </si>
  <si>
    <t>P1967-03-027-1-10-1003</t>
  </si>
  <si>
    <t>P1967-03-027-1-10-1004</t>
  </si>
  <si>
    <t>P1967-03-027-1-10-1005</t>
  </si>
  <si>
    <t>P1967-03-027-1-10-1006</t>
  </si>
  <si>
    <t>P1967-03-027-1-11-1101</t>
  </si>
  <si>
    <t>P1967-03-027-1-11-1102</t>
  </si>
  <si>
    <t>P1967-03-027-1-11-1103</t>
  </si>
  <si>
    <t>P1967-03-027-1-11-1104</t>
  </si>
  <si>
    <t>P1967-03-027-1-11-1105</t>
  </si>
  <si>
    <t>P1967-03-027-1-11-1106</t>
  </si>
  <si>
    <t>P1967-03-027-1-12-1201</t>
  </si>
  <si>
    <t>P1967-03-027-1-12-1202</t>
  </si>
  <si>
    <t>P1967-03-027-1-12-1203</t>
  </si>
  <si>
    <t>P1967-03-027-1-12-1204</t>
  </si>
  <si>
    <t>P1967-03-027-1-12-1205</t>
  </si>
  <si>
    <t>P1967-03-027-1-12-1206</t>
  </si>
  <si>
    <t>P1967-03-027-1-13-1301</t>
  </si>
  <si>
    <t>P1967-03-027-1-13-1302</t>
  </si>
  <si>
    <t>P1967-03-027-1-13-1303</t>
  </si>
  <si>
    <t>P1967-03-027-1-13-1304</t>
  </si>
  <si>
    <t>P1967-03-027-1-13-1305</t>
  </si>
  <si>
    <t>P1967-03-027-1-13-1306</t>
  </si>
  <si>
    <t>P1967-03-027-1-14-1401</t>
  </si>
  <si>
    <t>P1967-03-027-1-14-1402</t>
  </si>
  <si>
    <t>P1967-03-027-1-14-1403</t>
  </si>
  <si>
    <t>P1967-03-027-1-14-1404</t>
  </si>
  <si>
    <t>P1967-03-027-1-14-1405</t>
  </si>
  <si>
    <t>P1967-03-027-1-14-1406</t>
  </si>
  <si>
    <t>P1967-03-027-1-15-1501</t>
  </si>
  <si>
    <t>P1967-03-027-1-15-1502</t>
  </si>
  <si>
    <t>P1967-03-027-1-15-1503</t>
  </si>
  <si>
    <t>P1967-03-027-1-15-1504</t>
  </si>
  <si>
    <t>P1967-03-027-1-15-1505</t>
  </si>
  <si>
    <t>P1967-03-027-1-15-1506</t>
  </si>
  <si>
    <t>P1967-03-027-1-16-1601</t>
  </si>
  <si>
    <t>P1967-03-027-1-16-1602</t>
  </si>
  <si>
    <t>P1967-03-027-1-16-1603</t>
  </si>
  <si>
    <t>P1967-03-027-1-16-1604</t>
  </si>
  <si>
    <t>P1967-03-027-1-16-1605</t>
  </si>
  <si>
    <t>P1967-03-027-1-16-1606</t>
  </si>
  <si>
    <t>P1967-03-027-1-17-1701</t>
  </si>
  <si>
    <t>P1967-03-027-1-17-1702</t>
  </si>
  <si>
    <t>P1967-03-027-1-17-1703</t>
  </si>
  <si>
    <t>P1967-03-027-1-17-1704</t>
  </si>
  <si>
    <t>P1967-03-027-1-17-1705</t>
  </si>
  <si>
    <t>P1967-03-027-1-17-1706</t>
  </si>
  <si>
    <t>P1967-03-027-1-18-1801</t>
  </si>
  <si>
    <t>P1967-03-027-1-18-1802</t>
  </si>
  <si>
    <t>P1967-03-027-1-18-1803</t>
  </si>
  <si>
    <t>P1967-03-027-1-18-1804</t>
  </si>
  <si>
    <t>P1967-03-027-1-18-1805</t>
  </si>
  <si>
    <t>P1967-03-027-1-18-1806</t>
  </si>
  <si>
    <t>P1967-03-027-1-19-1901</t>
  </si>
  <si>
    <t>P1967-03-027-1-19-1902</t>
  </si>
  <si>
    <t>P1967-03-027-1-19-1903</t>
  </si>
  <si>
    <t>P1967-03-027-1-19-1904</t>
  </si>
  <si>
    <t>P1967-03-027-1-19-1905</t>
  </si>
  <si>
    <t>P1967-03-027-1-19-1906</t>
  </si>
  <si>
    <t>P1967-03-027-1-2-201</t>
  </si>
  <si>
    <t>P1967-03-027-1-2-202</t>
  </si>
  <si>
    <t>P1967-03-027-1-2-204</t>
  </si>
  <si>
    <t>P1967-03-027-1-2-205</t>
  </si>
  <si>
    <t>P1967-03-027-1-2-206</t>
  </si>
  <si>
    <t>P1967-03-027-1-20-2001</t>
  </si>
  <si>
    <t>P1967-03-027-1-20-2002</t>
  </si>
  <si>
    <t>P1967-03-027-1-20-2003</t>
  </si>
  <si>
    <t>P1967-03-027-1-20-2004</t>
  </si>
  <si>
    <t>P1967-03-027-1-20-2005</t>
  </si>
  <si>
    <t>P1967-03-027-1-20-2006</t>
  </si>
  <si>
    <t>P1967-03-027-1-21-2101</t>
  </si>
  <si>
    <t>P1967-03-027-1-21-2102</t>
  </si>
  <si>
    <t>P1967-03-027-1-21-2103</t>
  </si>
  <si>
    <t>P1967-03-027-1-21-2104</t>
  </si>
  <si>
    <t>P1967-03-027-1-21-2105</t>
  </si>
  <si>
    <t>P1967-03-027-1-21-2106</t>
  </si>
  <si>
    <t>P1967-03-027-1-22-2201</t>
  </si>
  <si>
    <t>P1967-03-027-1-22-2202</t>
  </si>
  <si>
    <t>P1967-03-027-1-22-2203</t>
  </si>
  <si>
    <t>P1967-03-027-1-22-2204</t>
  </si>
  <si>
    <t>P1967-03-027-1-22-2205</t>
  </si>
  <si>
    <t>P1967-03-027-1-22-2206</t>
  </si>
  <si>
    <t>P1967-03-027-1-23-2301</t>
  </si>
  <si>
    <t>P1967-03-027-1-23-2302</t>
  </si>
  <si>
    <t>P1967-03-027-1-23-2303</t>
  </si>
  <si>
    <t>P1967-03-027-1-23-2304</t>
  </si>
  <si>
    <t>P1967-03-027-1-23-2305</t>
  </si>
  <si>
    <t>P1967-03-027-1-23-2306</t>
  </si>
  <si>
    <t>P1967-03-027-1-24-2401</t>
  </si>
  <si>
    <t>P1967-03-027-1-24-2402</t>
  </si>
  <si>
    <t>P1967-03-027-1-24-2403</t>
  </si>
  <si>
    <t>P1967-03-027-1-24-2404</t>
  </si>
  <si>
    <t>P1967-03-027-1-24-2405</t>
  </si>
  <si>
    <t>P1967-03-027-1-24-2406</t>
  </si>
  <si>
    <t>P1967-03-027-1-25-2501</t>
  </si>
  <si>
    <t>P1967-03-027-1-25-2502</t>
  </si>
  <si>
    <t>P1967-03-027-1-25-2503</t>
  </si>
  <si>
    <t>P1967-03-027-1-25-2504</t>
  </si>
  <si>
    <t>P1967-03-027-1-25-2505</t>
  </si>
  <si>
    <t>P1967-03-027-1-25-2506</t>
  </si>
  <si>
    <t>P1967-03-027-1-26-2601</t>
  </si>
  <si>
    <t>P1967-03-027-1-26-2602</t>
  </si>
  <si>
    <t>P1967-03-027-1-26-2603</t>
  </si>
  <si>
    <t>P1967-03-027-1-26-2604</t>
  </si>
  <si>
    <t>P1967-03-027-1-26-2605</t>
  </si>
  <si>
    <t>P1967-03-027-1-26-2606</t>
  </si>
  <si>
    <t>P1967-03-027-1-3-301</t>
  </si>
  <si>
    <t>P1967-03-027-1-3-302</t>
  </si>
  <si>
    <t>P1967-03-027-1-3-303</t>
  </si>
  <si>
    <t>P1967-03-027-1-3-304</t>
  </si>
  <si>
    <t>P1967-03-027-1-3-305</t>
  </si>
  <si>
    <t>P1967-03-027-1-3-306</t>
  </si>
  <si>
    <t>P1967-03-027-1-4-401</t>
  </si>
  <si>
    <t>P1967-03-027-1-4-402</t>
  </si>
  <si>
    <t>P1967-03-027-1-4-403</t>
  </si>
  <si>
    <t>P1967-03-027-1-4-404</t>
  </si>
  <si>
    <t>P1967-03-027-1-4-405</t>
  </si>
  <si>
    <t>P1967-03-027-1-4-406</t>
  </si>
  <si>
    <t>P1967-03-027-1-5-501</t>
  </si>
  <si>
    <t>P1967-03-027-1-5-502</t>
  </si>
  <si>
    <t>P1967-03-027-1-5-503</t>
  </si>
  <si>
    <t>P1967-03-027-1-5-504</t>
  </si>
  <si>
    <t>P1967-03-027-1-5-505</t>
  </si>
  <si>
    <t>P1967-03-027-1-5-506</t>
  </si>
  <si>
    <t>P1967-03-027-1-6-601</t>
  </si>
  <si>
    <t>P1967-03-027-1-6-602</t>
  </si>
  <si>
    <t>P1967-03-027-1-6-603</t>
  </si>
  <si>
    <t>P1967-03-027-1-6-604</t>
  </si>
  <si>
    <t>P1967-03-027-1-6-605</t>
  </si>
  <si>
    <t>P1967-03-027-1-6-606</t>
  </si>
  <si>
    <t>P1967-03-027-1-7-701</t>
  </si>
  <si>
    <t>P1967-03-027-1-7-702</t>
  </si>
  <si>
    <t>P1967-03-027-1-7-703</t>
  </si>
  <si>
    <t>P1967-03-027-1-7-704</t>
  </si>
  <si>
    <t>P1967-03-027-1-7-705</t>
  </si>
  <si>
    <t>P1967-03-027-1-7-706</t>
  </si>
  <si>
    <t>P1967-03-027-1-8-801</t>
  </si>
  <si>
    <t>P1967-03-027-1-8-802</t>
  </si>
  <si>
    <t>P1967-03-027-1-8-803</t>
  </si>
  <si>
    <t>P1967-03-027-1-8-804</t>
  </si>
  <si>
    <t>P1967-03-027-1-8-805</t>
  </si>
  <si>
    <t>P1967-03-027-1-8-806</t>
  </si>
  <si>
    <t>P1967-03-027-1-9-901</t>
  </si>
  <si>
    <t>P1967-03-027-1-9-902</t>
  </si>
  <si>
    <t>P1967-03-027-1-9-903</t>
  </si>
  <si>
    <t>P1967-03-027-1-9-904</t>
  </si>
  <si>
    <t>P1967-03-027-1-9-905</t>
  </si>
  <si>
    <t>P1967-03-027-1-9-906</t>
  </si>
  <si>
    <t>P1967-03-028-1-1-101</t>
  </si>
  <si>
    <t>26号楼</t>
  </si>
  <si>
    <t>P1967-03-028-1-1-102</t>
  </si>
  <si>
    <t>P1967-03-028-1-3-301</t>
  </si>
  <si>
    <t>P1967-03-028-1-3-302</t>
  </si>
  <si>
    <t>P1967-03-028-2-1-101</t>
  </si>
  <si>
    <t>P1967-03-028-2-1-102</t>
  </si>
  <si>
    <t>P1967-03-028-2-3-301</t>
  </si>
  <si>
    <t>P1967-03-028-2-3-302</t>
  </si>
  <si>
    <t>P1967-03-029-1-1-101</t>
  </si>
  <si>
    <t>27号楼</t>
  </si>
  <si>
    <t>P1967-03-029-1-1-102</t>
  </si>
  <si>
    <t>P1967-03-029-1-3-301</t>
  </si>
  <si>
    <t>P1967-03-029-1-3-302</t>
  </si>
  <si>
    <t>P1967-03-029-2-1-101</t>
  </si>
  <si>
    <t>P1967-03-029-2-1-102</t>
  </si>
  <si>
    <t>P1967-03-029-2-3-301</t>
  </si>
  <si>
    <t>P1967-03-029-2-3-302</t>
  </si>
  <si>
    <t>P1967-03-029-3-1-101</t>
  </si>
  <si>
    <t>P1967-03-029-3-1-102</t>
  </si>
  <si>
    <t>P1967-03-029-3-3-301</t>
  </si>
  <si>
    <t>P1967-03-029-3-3-302</t>
  </si>
  <si>
    <t>P1967-03-029-4-1-101</t>
  </si>
  <si>
    <t>P1967-03-029-4-1-102</t>
  </si>
  <si>
    <t>P1967-03-029-4-3-301</t>
  </si>
  <si>
    <t>P1967-03-029-4-3-302</t>
  </si>
  <si>
    <t>P1967-03-030-1-1-101</t>
  </si>
  <si>
    <t>28号楼</t>
  </si>
  <si>
    <t>P1967-03-030-1-1-102</t>
  </si>
  <si>
    <t>P1967-03-030-1-3-301</t>
  </si>
  <si>
    <t>P1967-03-030-1-3-302</t>
  </si>
  <si>
    <t>P1967-03-030-2-1-101</t>
  </si>
  <si>
    <t>P1967-03-030-2-1-102</t>
  </si>
  <si>
    <t>P1967-03-030-2-3-301</t>
  </si>
  <si>
    <t>P1967-03-030-2-3-302</t>
  </si>
  <si>
    <t>P1967-03-030-3-1-101</t>
  </si>
  <si>
    <t>P1967-03-030-3-1-102</t>
  </si>
  <si>
    <t>P1967-03-030-3-3-301</t>
  </si>
  <si>
    <t>P1967-03-030-3-3-302</t>
  </si>
  <si>
    <t>P1967-03-031-1-1-101</t>
  </si>
  <si>
    <t>29号楼</t>
  </si>
  <si>
    <t>P1967-03-031-1-1-102</t>
  </si>
  <si>
    <t>P1967-03-031-1-3-301</t>
  </si>
  <si>
    <t>P1967-03-031-1-3-302</t>
  </si>
  <si>
    <t>P1967-03-031-2-1-101</t>
  </si>
  <si>
    <t>P1967-03-031-2-1-102</t>
  </si>
  <si>
    <t>P1967-03-031-2-3-301</t>
  </si>
  <si>
    <t>P1967-03-031-2-3-302</t>
  </si>
  <si>
    <t>P1967-03-031-3-1-101</t>
  </si>
  <si>
    <t>P1967-03-031-3-1-102</t>
  </si>
  <si>
    <t>P1967-03-031-3-3-301</t>
  </si>
  <si>
    <t>P1967-03-031-3-3-302</t>
  </si>
  <si>
    <t>P1967-03-031-4-1-101</t>
  </si>
  <si>
    <t>P1967-03-031-4-1-102</t>
  </si>
  <si>
    <t>P1967-03-031-4-3-301</t>
  </si>
  <si>
    <t>P1967-03-031-4-3-302</t>
  </si>
  <si>
    <t>P1967-03-032-1-1-101</t>
  </si>
  <si>
    <t>30号楼</t>
  </si>
  <si>
    <t>P1967-03-032-1-1-102</t>
  </si>
  <si>
    <t>P1967-03-032-1-3-301</t>
  </si>
  <si>
    <t>P1967-03-032-1-3-302</t>
  </si>
  <si>
    <t>P1967-03-032-2-1-101</t>
  </si>
  <si>
    <t>P1967-03-032-2-1-102</t>
  </si>
  <si>
    <t>P1967-03-032-2-3-301</t>
  </si>
  <si>
    <t>P1967-03-032-2-3-302</t>
  </si>
  <si>
    <t>P1967-03-033-1-1-101</t>
  </si>
  <si>
    <t>31号楼</t>
  </si>
  <si>
    <t>P1967-03-033-1-1-102</t>
  </si>
  <si>
    <t>P1967-03-033-1-3-301</t>
  </si>
  <si>
    <t>P1967-03-033-1-3-302</t>
  </si>
  <si>
    <t>P1967-03-033-2-1-101</t>
  </si>
  <si>
    <t>P1967-03-033-2-1-102</t>
  </si>
  <si>
    <t>P1967-03-033-2-3-301</t>
  </si>
  <si>
    <t>P1967-03-033-2-3-302</t>
  </si>
  <si>
    <t>P1967-03-033-3-1-101</t>
  </si>
  <si>
    <t>P1967-03-033-3-1-102</t>
  </si>
  <si>
    <t>P1967-03-033-3-3-301</t>
  </si>
  <si>
    <t>P1967-03-033-3-3-302</t>
  </si>
  <si>
    <t>P1967-03-034-1-1-101</t>
  </si>
  <si>
    <t>32号楼</t>
  </si>
  <si>
    <t>P1967-03-034-1-1-102</t>
  </si>
  <si>
    <t>P1967-03-034-1-3-301</t>
  </si>
  <si>
    <t>P1967-03-034-1-3-302</t>
  </si>
  <si>
    <t>P1967-03-034-2-1-101</t>
  </si>
  <si>
    <t>P1967-03-034-2-1-102</t>
  </si>
  <si>
    <t>P1967-03-034-2-3-301</t>
  </si>
  <si>
    <t>P1967-03-034-2-3-302</t>
  </si>
  <si>
    <t>P1967-03-034-3-1-101</t>
  </si>
  <si>
    <t>P1967-03-034-3-1-102</t>
  </si>
  <si>
    <t>P1967-03-034-3-3-301</t>
  </si>
  <si>
    <t>P1967-03-034-3-3-302</t>
  </si>
  <si>
    <t>P1967-03-034-4-1-101</t>
  </si>
  <si>
    <t>P1967-03-034-4-1-102</t>
  </si>
  <si>
    <t>P1967-03-034-4-3-301</t>
  </si>
  <si>
    <t>P1967-03-034-4-3-302</t>
  </si>
  <si>
    <t>P1967-03-035-1-1-101</t>
  </si>
  <si>
    <t>33号楼</t>
  </si>
  <si>
    <t>P1967-03-035-1-1-102</t>
  </si>
  <si>
    <t>P1967-03-035-1-3-301</t>
  </si>
  <si>
    <t>P1967-03-035-1-3-302</t>
  </si>
  <si>
    <t>P1967-03-035-2-1-101</t>
  </si>
  <si>
    <t>P1967-03-035-2-1-102</t>
  </si>
  <si>
    <t>P1967-03-035-2-3-301</t>
  </si>
  <si>
    <t>P1967-03-035-2-3-302</t>
  </si>
  <si>
    <t>P1967-03-035-3-1-101</t>
  </si>
  <si>
    <t>P1967-03-035-3-1-102</t>
  </si>
  <si>
    <t>P1967-03-035-3-3-301</t>
  </si>
  <si>
    <t>P1967-03-035-3-3-302</t>
  </si>
  <si>
    <t>P1967-03-036-1-1-101</t>
  </si>
  <si>
    <t>34号楼</t>
  </si>
  <si>
    <t>P1967-03-036-1-1-102</t>
  </si>
  <si>
    <t>P1967-03-036-1-3-301</t>
  </si>
  <si>
    <t>P1967-03-036-1-3-302</t>
  </si>
  <si>
    <t>P1967-03-036-2-1-101</t>
  </si>
  <si>
    <t>P1967-03-036-2-1-102</t>
  </si>
  <si>
    <t>P1967-03-036-2-3-301</t>
  </si>
  <si>
    <t>P1967-03-036-2-3-302</t>
  </si>
  <si>
    <t>P1967-03-036-3-1-101</t>
  </si>
  <si>
    <t>P1967-03-036-3-1-102</t>
  </si>
  <si>
    <t>P1967-03-036-3-3-301</t>
  </si>
  <si>
    <t>P1967-03-036-3-3-302</t>
  </si>
  <si>
    <t>P1967-03-036-4-1-101</t>
  </si>
  <si>
    <t>P1967-03-036-4-1-102</t>
  </si>
  <si>
    <t>P1967-03-036-4-3-301</t>
  </si>
  <si>
    <t>P1967-03-036-4-3-302</t>
  </si>
  <si>
    <t>P1967-03-037-1-1-101</t>
  </si>
  <si>
    <t>35号楼</t>
  </si>
  <si>
    <t>P1967-03-037-1-1-102</t>
  </si>
  <si>
    <t>P1967-03-037-1-3-301</t>
  </si>
  <si>
    <t>P1967-03-037-1-3-302</t>
  </si>
  <si>
    <t>P1967-03-037-2-1-101</t>
  </si>
  <si>
    <t>P1967-03-037-2-1-102</t>
  </si>
  <si>
    <t>P1967-03-037-2-3-301</t>
  </si>
  <si>
    <t>P1967-03-037-2-3-302</t>
  </si>
  <si>
    <t>P1967-03-037-3-1-101</t>
  </si>
  <si>
    <t>P1967-03-037-3-1-102</t>
  </si>
  <si>
    <t>P1967-03-037-3-3-301</t>
  </si>
  <si>
    <t>P1967-03-037-3-3-302</t>
  </si>
  <si>
    <t>P1967-03-038-1-1-101</t>
  </si>
  <si>
    <t>36号楼</t>
  </si>
  <si>
    <t>P1967-03-038-1-1-102</t>
  </si>
  <si>
    <t>P1967-03-038-1-3-301</t>
  </si>
  <si>
    <t>P1967-03-038-1-3-302</t>
  </si>
  <si>
    <t>P1967-03-038-2-1-101</t>
  </si>
  <si>
    <t>P1967-03-038-2-1-102</t>
  </si>
  <si>
    <t>P1967-03-038-2-3-301</t>
  </si>
  <si>
    <t>P1967-03-038-2-3-302</t>
  </si>
  <si>
    <t>P1967-03-038-3-1-101</t>
  </si>
  <si>
    <t>P1967-03-038-3-1-102</t>
  </si>
  <si>
    <t>P1967-03-038-3-3-301</t>
  </si>
  <si>
    <t>P1967-03-038-3-3-302</t>
  </si>
  <si>
    <t>P1967-03-038-4-1-101</t>
  </si>
  <si>
    <t>P1967-03-038-4-1-102</t>
  </si>
  <si>
    <t>P1967-03-038-4-3-301</t>
  </si>
  <si>
    <t>P1967-03-038-4-3-302</t>
  </si>
  <si>
    <t>P1967-03-039-1-1-101</t>
  </si>
  <si>
    <t>37号楼</t>
  </si>
  <si>
    <t>P1967-03-039-1-1-102</t>
  </si>
  <si>
    <t>P1967-03-039-1-3-301</t>
  </si>
  <si>
    <t>P1967-03-039-1-3-302</t>
  </si>
  <si>
    <t>P1967-03-039-2-1-101</t>
  </si>
  <si>
    <t>P1967-03-039-2-1-102</t>
  </si>
  <si>
    <t>P1967-03-039-2-3-301</t>
  </si>
  <si>
    <t>P1967-03-039-2-3-302</t>
  </si>
  <si>
    <t>P1967-03-039-3-1-101</t>
  </si>
  <si>
    <t>P1967-03-039-3-1-102</t>
  </si>
  <si>
    <t>P1967-03-039-3-3-301</t>
  </si>
  <si>
    <t>P1967-03-039-3-3-302</t>
  </si>
  <si>
    <t>P1967-03-039-4-1-101</t>
  </si>
  <si>
    <t>P1967-03-039-4-1-102</t>
  </si>
  <si>
    <t>P1967-03-039-4-3-301</t>
  </si>
  <si>
    <t>P1967-03-039-4-3-302</t>
  </si>
  <si>
    <t>P1967-03-040-1-1-101</t>
  </si>
  <si>
    <t>38号楼</t>
  </si>
  <si>
    <t>P1967-03-040-1-1-102</t>
  </si>
  <si>
    <t>P1967-03-040-1-3-301</t>
  </si>
  <si>
    <t>P1967-03-040-1-3-302</t>
  </si>
  <si>
    <t>P1967-03-040-2-1-101</t>
  </si>
  <si>
    <t>P1967-03-040-2-1-102</t>
  </si>
  <si>
    <t>P1967-03-040-2-3-301</t>
  </si>
  <si>
    <t>P1967-03-040-2-3-302</t>
  </si>
  <si>
    <t>P1967-03-040-3-1-101</t>
  </si>
  <si>
    <t>P1967-03-040-3-1-102</t>
  </si>
  <si>
    <t>P1967-03-040-3-3-301</t>
  </si>
  <si>
    <t>P1967-03-040-3-3-302</t>
  </si>
  <si>
    <t>P1967-03-041-1-1-101</t>
  </si>
  <si>
    <t>39号楼</t>
  </si>
  <si>
    <t>P1967-03-041-1-1-102</t>
  </si>
  <si>
    <t>P1967-03-041-1-3-301</t>
  </si>
  <si>
    <t>P1967-03-041-1-3-302</t>
  </si>
  <si>
    <t>P1967-03-041-2-1-101</t>
  </si>
  <si>
    <t>P1967-03-041-2-1-102</t>
  </si>
  <si>
    <t>P1967-03-041-2-3-301</t>
  </si>
  <si>
    <t>P1967-03-041-2-3-302</t>
  </si>
  <si>
    <t>P1967-03-041-3-1-101</t>
  </si>
  <si>
    <t>P1967-03-041-3-1-102</t>
  </si>
  <si>
    <t>P1967-03-041-3-3-301</t>
  </si>
  <si>
    <t>P1967-03-041-3-3-302</t>
  </si>
  <si>
    <t>P1967-03-042-1-1-101</t>
  </si>
  <si>
    <t>40号楼</t>
  </si>
  <si>
    <t>P1967-03-042-1-1-102</t>
  </si>
  <si>
    <t>P1967-03-042-1-3-301</t>
  </si>
  <si>
    <t>P1967-03-042-1-3-302</t>
  </si>
  <si>
    <t>P1967-03-042-2-1-101</t>
  </si>
  <si>
    <t>P1967-03-042-2-1-102</t>
  </si>
  <si>
    <t>P1967-03-042-2-3-301</t>
  </si>
  <si>
    <t>P1967-03-042-2-3-302</t>
  </si>
  <si>
    <t>P1967-03-042-3-1-101</t>
  </si>
  <si>
    <t>P1967-03-042-3-1-102</t>
  </si>
  <si>
    <t>P1967-03-042-3-3-301</t>
  </si>
  <si>
    <t>P1967-03-042-3-3-302</t>
  </si>
  <si>
    <t>P1967-03-043-1-1-101</t>
  </si>
  <si>
    <t>41号楼</t>
  </si>
  <si>
    <t>P1967-03-043-1-1-102</t>
  </si>
  <si>
    <t>P1967-03-043-1-3-301</t>
  </si>
  <si>
    <t>P1967-03-043-1-3-302</t>
  </si>
  <si>
    <t>P1967-03-043-2-1-101</t>
  </si>
  <si>
    <t>P1967-03-043-2-1-102</t>
  </si>
  <si>
    <t>P1967-03-043-2-3-301</t>
  </si>
  <si>
    <t>P1967-03-043-2-3-302</t>
  </si>
  <si>
    <t>P1967-03-043-3-1-101</t>
  </si>
  <si>
    <t>P1967-03-043-3-1-102</t>
  </si>
  <si>
    <t>P1967-03-043-3-3-301</t>
  </si>
  <si>
    <t>P1967-03-043-3-3-302</t>
  </si>
  <si>
    <t>P1967-03-044-1-1-101</t>
  </si>
  <si>
    <t>42号楼</t>
  </si>
  <si>
    <t>P1967-03-044-1-1-102</t>
  </si>
  <si>
    <t>P1967-03-044-1-3-301</t>
  </si>
  <si>
    <t>P1967-03-044-1-3-302</t>
  </si>
  <si>
    <t>P1967-03-044-2-1-101</t>
  </si>
  <si>
    <t>P1967-03-044-2-1-102</t>
  </si>
  <si>
    <t>P1967-03-044-2-3-301</t>
  </si>
  <si>
    <t>P1967-03-044-2-3-302</t>
  </si>
  <si>
    <t>P1967-03-044-3-1-101</t>
  </si>
  <si>
    <t>P1967-03-044-3-1-102</t>
  </si>
  <si>
    <t>P1967-03-044-3-3-301</t>
  </si>
  <si>
    <t>P1967-03-044-3-3-302</t>
  </si>
  <si>
    <t>P1967-03-044-4-1-101</t>
  </si>
  <si>
    <t>P1967-03-044-4-1-102</t>
  </si>
  <si>
    <t>P1967-03-044-4-3-301</t>
  </si>
  <si>
    <t>P1967-03-044-4-3-302</t>
  </si>
  <si>
    <t>P1967-03-045-1-1-101</t>
  </si>
  <si>
    <t>43号楼</t>
  </si>
  <si>
    <t>P1967-03-045-1-1-102</t>
  </si>
  <si>
    <t>P1967-03-045-1-3-301</t>
  </si>
  <si>
    <t>P1967-03-045-1-3-302</t>
  </si>
  <si>
    <t>P1967-03-045-2-1-101</t>
  </si>
  <si>
    <t>P1967-03-045-2-1-102</t>
  </si>
  <si>
    <t>P1967-03-045-2-3-301</t>
  </si>
  <si>
    <t>P1967-03-045-2-3-302</t>
  </si>
  <si>
    <t>P1967-04-001-1-1-101</t>
  </si>
  <si>
    <t>A-10-03/04（乐源77亩）</t>
  </si>
  <si>
    <t>P1967-04-001-1-10-1001</t>
  </si>
  <si>
    <t>P1967-04-001-1-10-1002</t>
  </si>
  <si>
    <t>P1967-04-001-1-10-1003</t>
  </si>
  <si>
    <t>P1967-04-001-1-10-1004</t>
  </si>
  <si>
    <t>P1967-04-001-1-10-1005</t>
  </si>
  <si>
    <t>P1967-04-001-1-10-1006</t>
  </si>
  <si>
    <t>P1967-04-001-1-11-1101</t>
  </si>
  <si>
    <t>P1967-04-001-1-11-1102</t>
  </si>
  <si>
    <t>P1967-04-001-1-11-1103</t>
  </si>
  <si>
    <t>P1967-04-001-1-11-1104</t>
  </si>
  <si>
    <t>P1967-04-001-1-11-1105</t>
  </si>
  <si>
    <t>P1967-04-001-1-11-1106</t>
  </si>
  <si>
    <t>P1967-04-001-1-12-1201</t>
  </si>
  <si>
    <t>P1967-04-001-1-12-1202</t>
  </si>
  <si>
    <t>P1967-04-001-1-12-1203</t>
  </si>
  <si>
    <t>P1967-04-001-1-12-1204</t>
  </si>
  <si>
    <t>P1967-04-001-1-12-1205</t>
  </si>
  <si>
    <t>P1967-04-001-1-12-1206</t>
  </si>
  <si>
    <t>P1967-04-001-1-13-1301</t>
  </si>
  <si>
    <t>P1967-04-001-1-13-1302</t>
  </si>
  <si>
    <t>P1967-04-001-1-13-1303</t>
  </si>
  <si>
    <t>P1967-04-001-1-13-1304</t>
  </si>
  <si>
    <t>P1967-04-001-1-13-1305</t>
  </si>
  <si>
    <t>P1967-04-001-1-13-1306</t>
  </si>
  <si>
    <t>P1967-04-001-1-14-1401</t>
  </si>
  <si>
    <t>P1967-04-001-1-14-1402</t>
  </si>
  <si>
    <t>P1967-04-001-1-14-1403</t>
  </si>
  <si>
    <t>P1967-04-001-1-14-1404</t>
  </si>
  <si>
    <t>P1967-04-001-1-14-1405</t>
  </si>
  <si>
    <t>P1967-04-001-1-14-1406</t>
  </si>
  <si>
    <t>P1967-04-001-1-15-1501</t>
  </si>
  <si>
    <t>P1967-04-001-1-15-1502</t>
  </si>
  <si>
    <t>P1967-04-001-1-15-1503</t>
  </si>
  <si>
    <t>P1967-04-001-1-15-1504</t>
  </si>
  <si>
    <t>P1967-04-001-1-15-1505</t>
  </si>
  <si>
    <t>P1967-04-001-1-15-1506</t>
  </si>
  <si>
    <t>P1967-04-001-1-16-1601</t>
  </si>
  <si>
    <t>P1967-04-001-1-16-1602</t>
  </si>
  <si>
    <t>P1967-04-001-1-16-1603</t>
  </si>
  <si>
    <t>P1967-04-001-1-16-1604</t>
  </si>
  <si>
    <t>P1967-04-001-1-16-1605</t>
  </si>
  <si>
    <t>P1967-04-001-1-16-1606</t>
  </si>
  <si>
    <t>P1967-04-001-1-17-1701</t>
  </si>
  <si>
    <t>P1967-04-001-1-17-1702</t>
  </si>
  <si>
    <t>P1967-04-001-1-17-1703</t>
  </si>
  <si>
    <t>P1967-04-001-1-17-1704</t>
  </si>
  <si>
    <t>P1967-04-001-1-17-1705</t>
  </si>
  <si>
    <t>P1967-04-001-1-17-1706</t>
  </si>
  <si>
    <t>P1967-04-001-1-18-1801</t>
  </si>
  <si>
    <t>P1967-04-001-1-18-1802</t>
  </si>
  <si>
    <t>P1967-04-001-1-18-1803</t>
  </si>
  <si>
    <t>P1967-04-001-1-18-1804</t>
  </si>
  <si>
    <t>P1967-04-001-1-18-1805</t>
  </si>
  <si>
    <t>P1967-04-001-1-18-1806</t>
  </si>
  <si>
    <t>P1967-04-001-1-19-1901</t>
  </si>
  <si>
    <t>P1967-04-001-1-19-1902</t>
  </si>
  <si>
    <t>P1967-04-001-1-19-1903</t>
  </si>
  <si>
    <t>P1967-04-001-1-19-1904</t>
  </si>
  <si>
    <t>P1967-04-001-1-19-1905</t>
  </si>
  <si>
    <t>P1967-04-001-1-19-1906</t>
  </si>
  <si>
    <t>P1967-04-001-1-2-201</t>
  </si>
  <si>
    <t>P1967-04-001-1-2-202</t>
  </si>
  <si>
    <t>P1967-04-001-1-2-203</t>
  </si>
  <si>
    <t>P1967-04-001-1-2-204</t>
  </si>
  <si>
    <t>P1967-04-001-1-20-2001</t>
  </si>
  <si>
    <t>P1967-04-001-1-20-2002</t>
  </si>
  <si>
    <t>P1967-04-001-1-20-2003</t>
  </si>
  <si>
    <t>P1967-04-001-1-20-2004</t>
  </si>
  <si>
    <t>P1967-04-001-1-20-2005</t>
  </si>
  <si>
    <t>P1967-04-001-1-20-2006</t>
  </si>
  <si>
    <t>P1967-04-001-1-21-2101</t>
  </si>
  <si>
    <t>P1967-04-001-1-21-2102</t>
  </si>
  <si>
    <t>P1967-04-001-1-21-2103</t>
  </si>
  <si>
    <t>P1967-04-001-1-21-2104</t>
  </si>
  <si>
    <t>P1967-04-001-1-21-2105</t>
  </si>
  <si>
    <t>P1967-04-001-1-21-2106</t>
  </si>
  <si>
    <t>P1967-04-001-1-22-2201</t>
  </si>
  <si>
    <t>P1967-04-001-1-22-2202</t>
  </si>
  <si>
    <t>P1967-04-001-1-22-2203</t>
  </si>
  <si>
    <t>P1967-04-001-1-22-2204</t>
  </si>
  <si>
    <t>P1967-04-001-1-22-2205</t>
  </si>
  <si>
    <t>P1967-04-001-1-22-2206</t>
  </si>
  <si>
    <t>P1967-04-001-1-3-301</t>
  </si>
  <si>
    <t>P1967-04-001-1-3-302</t>
  </si>
  <si>
    <t>P1967-04-001-1-3-303</t>
  </si>
  <si>
    <t>P1967-04-001-1-3-304</t>
  </si>
  <si>
    <t>P1967-04-001-1-3-305</t>
  </si>
  <si>
    <t>P1967-04-001-1-3-306</t>
  </si>
  <si>
    <t>P1967-04-001-1-4-401</t>
  </si>
  <si>
    <t>P1967-04-001-1-4-402</t>
  </si>
  <si>
    <t>P1967-04-001-1-4-403</t>
  </si>
  <si>
    <t>P1967-04-001-1-4-404</t>
  </si>
  <si>
    <t>P1967-04-001-1-4-405</t>
  </si>
  <si>
    <t>P1967-04-001-1-4-406</t>
  </si>
  <si>
    <t>P1967-04-001-1-5-501</t>
  </si>
  <si>
    <t>P1967-04-001-1-5-502</t>
  </si>
  <si>
    <t>P1967-04-001-1-5-503</t>
  </si>
  <si>
    <t>P1967-04-001-1-5-504</t>
  </si>
  <si>
    <t>P1967-04-001-1-5-505</t>
  </si>
  <si>
    <t>P1967-04-001-1-5-506</t>
  </si>
  <si>
    <t>P1967-04-001-1-6-601</t>
  </si>
  <si>
    <t>P1967-04-001-1-6-602</t>
  </si>
  <si>
    <t>P1967-04-001-1-6-603</t>
  </si>
  <si>
    <t>P1967-04-001-1-6-604</t>
  </si>
  <si>
    <t>P1967-04-001-1-6-605</t>
  </si>
  <si>
    <t>P1967-04-001-1-6-606</t>
  </si>
  <si>
    <t>P1967-04-001-1-7-701</t>
  </si>
  <si>
    <t>P1967-04-001-1-7-702</t>
  </si>
  <si>
    <t>P1967-04-001-1-7-703</t>
  </si>
  <si>
    <t>P1967-04-001-1-7-704</t>
  </si>
  <si>
    <t>P1967-04-001-1-7-705</t>
  </si>
  <si>
    <t>P1967-04-001-1-7-706</t>
  </si>
  <si>
    <t>P1967-04-001-1-8-801</t>
  </si>
  <si>
    <t>P1967-04-001-1-8-802</t>
  </si>
  <si>
    <t>P1967-04-001-1-8-803</t>
  </si>
  <si>
    <t>P1967-04-001-1-8-804</t>
  </si>
  <si>
    <t>P1967-04-001-1-8-805</t>
  </si>
  <si>
    <t>P1967-04-001-1-8-806</t>
  </si>
  <si>
    <t>P1967-04-001-1-9-901</t>
  </si>
  <si>
    <t>P1967-04-001-1-9-902</t>
  </si>
  <si>
    <t>P1967-04-001-1-9-903</t>
  </si>
  <si>
    <t>P1967-04-001-1-9-904</t>
  </si>
  <si>
    <t>P1967-04-001-1-9-905</t>
  </si>
  <si>
    <t>P1967-04-001-1-9-906</t>
  </si>
  <si>
    <t>P1967-04-002-1-1-101</t>
  </si>
  <si>
    <t>P1967-04-002-1-10-1001</t>
  </si>
  <si>
    <t>P1967-04-002-1-10-1002</t>
  </si>
  <si>
    <t>P1967-04-002-1-10-1003</t>
  </si>
  <si>
    <t>P1967-04-002-1-10-1004</t>
  </si>
  <si>
    <t>P1967-04-002-1-10-1005</t>
  </si>
  <si>
    <t>P1967-04-002-1-10-1006</t>
  </si>
  <si>
    <t>P1967-04-002-1-11-1101</t>
  </si>
  <si>
    <t>P1967-04-002-1-11-1102</t>
  </si>
  <si>
    <t>P1967-04-002-1-11-1103</t>
  </si>
  <si>
    <t>P1967-04-002-1-11-1104</t>
  </si>
  <si>
    <t>P1967-04-002-1-11-1105</t>
  </si>
  <si>
    <t>P1967-04-002-1-11-1106</t>
  </si>
  <si>
    <t>P1967-04-002-1-12-1201</t>
  </si>
  <si>
    <t>P1967-04-002-1-12-1202</t>
  </si>
  <si>
    <t>P1967-04-002-1-12-1203</t>
  </si>
  <si>
    <t>P1967-04-002-1-12-1204</t>
  </si>
  <si>
    <t>P1967-04-002-1-12-1205</t>
  </si>
  <si>
    <t>P1967-04-002-1-12-1206</t>
  </si>
  <si>
    <t>P1967-04-002-1-13-1301</t>
  </si>
  <si>
    <t>P1967-04-002-1-13-1302</t>
  </si>
  <si>
    <t>P1967-04-002-1-13-1303</t>
  </si>
  <si>
    <t>P1967-04-002-1-13-1304</t>
  </si>
  <si>
    <t>P1967-04-002-1-13-1305</t>
  </si>
  <si>
    <t>P1967-04-002-1-13-1306</t>
  </si>
  <si>
    <t>P1967-04-002-1-14-1401</t>
  </si>
  <si>
    <t>P1967-04-002-1-14-1402</t>
  </si>
  <si>
    <t>P1967-04-002-1-14-1403</t>
  </si>
  <si>
    <t>P1967-04-002-1-14-1404</t>
  </si>
  <si>
    <t>P1967-04-002-1-14-1405</t>
  </si>
  <si>
    <t>P1967-04-002-1-14-1406</t>
  </si>
  <si>
    <t>P1967-04-002-1-15-1501</t>
  </si>
  <si>
    <t>P1967-04-002-1-15-1502</t>
  </si>
  <si>
    <t>P1967-04-002-1-15-1503</t>
  </si>
  <si>
    <t>P1967-04-002-1-15-1504</t>
  </si>
  <si>
    <t>P1967-04-002-1-15-1505</t>
  </si>
  <si>
    <t>P1967-04-002-1-15-1506</t>
  </si>
  <si>
    <t>P1967-04-002-1-16-1601</t>
  </si>
  <si>
    <t>P1967-04-002-1-16-1602</t>
  </si>
  <si>
    <t>P1967-04-002-1-16-1603</t>
  </si>
  <si>
    <t>P1967-04-002-1-16-1604</t>
  </si>
  <si>
    <t>P1967-04-002-1-16-1605</t>
  </si>
  <si>
    <t>P1967-04-002-1-16-1606</t>
  </si>
  <si>
    <t>P1967-04-002-1-17-1701</t>
  </si>
  <si>
    <t>P1967-04-002-1-17-1702</t>
  </si>
  <si>
    <t>P1967-04-002-1-17-1703</t>
  </si>
  <si>
    <t>P1967-04-002-1-17-1704</t>
  </si>
  <si>
    <t>P1967-04-002-1-17-1705</t>
  </si>
  <si>
    <t>P1967-04-002-1-17-1706</t>
  </si>
  <si>
    <t>P1967-04-002-1-18-1801</t>
  </si>
  <si>
    <t>P1967-04-002-1-18-1802</t>
  </si>
  <si>
    <t>P1967-04-002-1-18-1803</t>
  </si>
  <si>
    <t>P1967-04-002-1-18-1804</t>
  </si>
  <si>
    <t>P1967-04-002-1-18-1805</t>
  </si>
  <si>
    <t>P1967-04-002-1-18-1806</t>
  </si>
  <si>
    <t>P1967-04-002-1-19-1901</t>
  </si>
  <si>
    <t>P1967-04-002-1-19-1902</t>
  </si>
  <si>
    <t>P1967-04-002-1-19-1903</t>
  </si>
  <si>
    <t>P1967-04-002-1-19-1904</t>
  </si>
  <si>
    <t>P1967-04-002-1-19-1905</t>
  </si>
  <si>
    <t>P1967-04-002-1-19-1906</t>
  </si>
  <si>
    <t>P1967-04-002-1-2-201</t>
  </si>
  <si>
    <t>P1967-04-002-1-2-202</t>
  </si>
  <si>
    <t>P1967-04-002-1-2-203</t>
  </si>
  <si>
    <t>P1967-04-002-1-2-204</t>
  </si>
  <si>
    <t>P1967-04-002-1-20-2001</t>
  </si>
  <si>
    <t>P1967-04-002-1-20-2002</t>
  </si>
  <si>
    <t>P1967-04-002-1-20-2003</t>
  </si>
  <si>
    <t>P1967-04-002-1-20-2004</t>
  </si>
  <si>
    <t>P1967-04-002-1-20-2005</t>
  </si>
  <si>
    <t>P1967-04-002-1-20-2006</t>
  </si>
  <si>
    <t>P1967-04-002-1-21-2101</t>
  </si>
  <si>
    <t>P1967-04-002-1-21-2102</t>
  </si>
  <si>
    <t>P1967-04-002-1-21-2103</t>
  </si>
  <si>
    <t>P1967-04-002-1-21-2104</t>
  </si>
  <si>
    <t>P1967-04-002-1-21-2105</t>
  </si>
  <si>
    <t>P1967-04-002-1-21-2106</t>
  </si>
  <si>
    <t>P1967-04-002-1-22-2201</t>
  </si>
  <si>
    <t>P1967-04-002-1-22-2202</t>
  </si>
  <si>
    <t>P1967-04-002-1-22-2203</t>
  </si>
  <si>
    <t>P1967-04-002-1-22-2204</t>
  </si>
  <si>
    <t>P1967-04-002-1-22-2205</t>
  </si>
  <si>
    <t>P1967-04-002-1-22-2206</t>
  </si>
  <si>
    <t>P1967-04-002-1-3-301</t>
  </si>
  <si>
    <t>P1967-04-002-1-3-302</t>
  </si>
  <si>
    <t>P1967-04-002-1-3-303</t>
  </si>
  <si>
    <t>P1967-04-002-1-3-304</t>
  </si>
  <si>
    <t>P1967-04-002-1-3-305</t>
  </si>
  <si>
    <t>P1967-04-002-1-3-306</t>
  </si>
  <si>
    <t>P1967-04-002-1-4-401</t>
  </si>
  <si>
    <t>P1967-04-002-1-4-402</t>
  </si>
  <si>
    <t>P1967-04-002-1-4-403</t>
  </si>
  <si>
    <t>P1967-04-002-1-4-404</t>
  </si>
  <si>
    <t>P1967-04-002-1-4-405</t>
  </si>
  <si>
    <t>P1967-04-002-1-4-406</t>
  </si>
  <si>
    <t>P1967-04-002-1-5-501</t>
  </si>
  <si>
    <t>P1967-04-002-1-5-502</t>
  </si>
  <si>
    <t>P1967-04-002-1-5-503</t>
  </si>
  <si>
    <t>P1967-04-002-1-5-504</t>
  </si>
  <si>
    <t>P1967-04-002-1-5-505</t>
  </si>
  <si>
    <t>P1967-04-002-1-5-506</t>
  </si>
  <si>
    <t>P1967-04-002-1-6-601</t>
  </si>
  <si>
    <t>P1967-04-002-1-6-602</t>
  </si>
  <si>
    <t>P1967-04-002-1-6-603</t>
  </si>
  <si>
    <t>P1967-04-002-1-6-604</t>
  </si>
  <si>
    <t>P1967-04-002-1-6-605</t>
  </si>
  <si>
    <t>P1967-04-002-1-6-606</t>
  </si>
  <si>
    <t>P1967-04-002-1-7-701</t>
  </si>
  <si>
    <t>P1967-04-002-1-7-702</t>
  </si>
  <si>
    <t>P1967-04-002-1-7-703</t>
  </si>
  <si>
    <t>P1967-04-002-1-7-704</t>
  </si>
  <si>
    <t>P1967-04-002-1-7-705</t>
  </si>
  <si>
    <t>P1967-04-002-1-7-706</t>
  </si>
  <si>
    <t>P1967-04-002-1-8-801</t>
  </si>
  <si>
    <t>P1967-04-002-1-8-802</t>
  </si>
  <si>
    <t>P1967-04-002-1-8-803</t>
  </si>
  <si>
    <t>P1967-04-002-1-8-804</t>
  </si>
  <si>
    <t>P1967-04-002-1-8-805</t>
  </si>
  <si>
    <t>P1967-04-002-1-8-806</t>
  </si>
  <si>
    <t>P1967-04-002-1-9-901</t>
  </si>
  <si>
    <t>P1967-04-002-1-9-902</t>
  </si>
  <si>
    <t>P1967-04-002-1-9-903</t>
  </si>
  <si>
    <t>P1967-04-002-1-9-904</t>
  </si>
  <si>
    <t>P1967-04-002-1-9-905</t>
  </si>
  <si>
    <t>P1967-04-002-1-9-906</t>
  </si>
  <si>
    <t>P1967-04-003-1-1-101</t>
  </si>
  <si>
    <t>P1967-04-003-1-10-1001</t>
  </si>
  <si>
    <t>P1967-04-003-1-10-1002</t>
  </si>
  <si>
    <t>P1967-04-003-1-10-1003</t>
  </si>
  <si>
    <t>P1967-04-003-1-10-1004</t>
  </si>
  <si>
    <t>P1967-04-003-1-10-1005</t>
  </si>
  <si>
    <t>P1967-04-003-1-10-1006</t>
  </si>
  <si>
    <t>P1967-04-003-1-11-1101</t>
  </si>
  <si>
    <t>P1967-04-003-1-11-1102</t>
  </si>
  <si>
    <t>P1967-04-003-1-11-1103</t>
  </si>
  <si>
    <t>P1967-04-003-1-11-1104</t>
  </si>
  <si>
    <t>P1967-04-003-1-11-1105</t>
  </si>
  <si>
    <t>P1967-04-003-1-11-1106</t>
  </si>
  <si>
    <t>P1967-04-003-1-12-1201</t>
  </si>
  <si>
    <t>P1967-04-003-1-12-1202</t>
  </si>
  <si>
    <t>P1967-04-003-1-12-1203</t>
  </si>
  <si>
    <t>P1967-04-003-1-12-1204</t>
  </si>
  <si>
    <t>P1967-04-003-1-12-1205</t>
  </si>
  <si>
    <t>P1967-04-003-1-12-1206</t>
  </si>
  <si>
    <t>P1967-04-003-1-13-1301</t>
  </si>
  <si>
    <t>P1967-04-003-1-13-1302</t>
  </si>
  <si>
    <t>P1967-04-003-1-13-1303</t>
  </si>
  <si>
    <t>P1967-04-003-1-13-1304</t>
  </si>
  <si>
    <t>P1967-04-003-1-13-1305</t>
  </si>
  <si>
    <t>P1967-04-003-1-13-1306</t>
  </si>
  <si>
    <t>P1967-04-003-1-14-1401</t>
  </si>
  <si>
    <t>P1967-04-003-1-14-1402</t>
  </si>
  <si>
    <t>P1967-04-003-1-14-1403</t>
  </si>
  <si>
    <t>P1967-04-003-1-14-1404</t>
  </si>
  <si>
    <t>P1967-04-003-1-14-1405</t>
  </si>
  <si>
    <t>P1967-04-003-1-14-1406</t>
  </si>
  <si>
    <t>P1967-04-003-1-15-1501</t>
  </si>
  <si>
    <t>P1967-04-003-1-15-1502</t>
  </si>
  <si>
    <t>P1967-04-003-1-15-1503</t>
  </si>
  <si>
    <t>P1967-04-003-1-15-1504</t>
  </si>
  <si>
    <t>P1967-04-003-1-15-1505</t>
  </si>
  <si>
    <t>P1967-04-003-1-15-1506</t>
  </si>
  <si>
    <t>P1967-04-003-1-16-1601</t>
  </si>
  <si>
    <t>P1967-04-003-1-16-1602</t>
  </si>
  <si>
    <t>P1967-04-003-1-16-1603</t>
  </si>
  <si>
    <t>P1967-04-003-1-16-1604</t>
  </si>
  <si>
    <t>P1967-04-003-1-16-1605</t>
  </si>
  <si>
    <t>P1967-04-003-1-16-1606</t>
  </si>
  <si>
    <t>P1967-04-003-1-17-1701</t>
  </si>
  <si>
    <t>P1967-04-003-1-17-1702</t>
  </si>
  <si>
    <t>P1967-04-003-1-17-1703</t>
  </si>
  <si>
    <t>P1967-04-003-1-17-1704</t>
  </si>
  <si>
    <t>P1967-04-003-1-17-1705</t>
  </si>
  <si>
    <t>P1967-04-003-1-17-1706</t>
  </si>
  <si>
    <t>P1967-04-003-1-18-1801</t>
  </si>
  <si>
    <t>P1967-04-003-1-18-1802</t>
  </si>
  <si>
    <t>P1967-04-003-1-18-1803</t>
  </si>
  <si>
    <t>P1967-04-003-1-18-1804</t>
  </si>
  <si>
    <t>P1967-04-003-1-18-1805</t>
  </si>
  <si>
    <t>P1967-04-003-1-18-1806</t>
  </si>
  <si>
    <t>P1967-04-003-1-19-1901</t>
  </si>
  <si>
    <t>P1967-04-003-1-19-1902</t>
  </si>
  <si>
    <t>P1967-04-003-1-19-1903</t>
  </si>
  <si>
    <t>P1967-04-003-1-19-1904</t>
  </si>
  <si>
    <t>P1967-04-003-1-19-1905</t>
  </si>
  <si>
    <t>P1967-04-003-1-19-1906</t>
  </si>
  <si>
    <t>P1967-04-003-1-2-201</t>
  </si>
  <si>
    <t>P1967-04-003-1-2-202</t>
  </si>
  <si>
    <t>P1967-04-003-1-2-203</t>
  </si>
  <si>
    <t>P1967-04-003-1-2-204</t>
  </si>
  <si>
    <t>P1967-04-003-1-20-2001</t>
  </si>
  <si>
    <t>P1967-04-003-1-20-2002</t>
  </si>
  <si>
    <t>P1967-04-003-1-20-2003</t>
  </si>
  <si>
    <t>P1967-04-003-1-20-2004</t>
  </si>
  <si>
    <t>P1967-04-003-1-20-2005</t>
  </si>
  <si>
    <t>P1967-04-003-1-20-2006</t>
  </si>
  <si>
    <t>P1967-04-003-1-21-2101</t>
  </si>
  <si>
    <t>P1967-04-003-1-21-2102</t>
  </si>
  <si>
    <t>P1967-04-003-1-21-2103</t>
  </si>
  <si>
    <t>P1967-04-003-1-21-2104</t>
  </si>
  <si>
    <t>P1967-04-003-1-21-2105</t>
  </si>
  <si>
    <t>P1967-04-003-1-21-2106</t>
  </si>
  <si>
    <t>P1967-04-003-1-22-2201</t>
  </si>
  <si>
    <t>P1967-04-003-1-22-2202</t>
  </si>
  <si>
    <t>P1967-04-003-1-22-2203</t>
  </si>
  <si>
    <t>P1967-04-003-1-22-2204</t>
  </si>
  <si>
    <t>P1967-04-003-1-22-2205</t>
  </si>
  <si>
    <t>P1967-04-003-1-22-2206</t>
  </si>
  <si>
    <t>P1967-04-003-1-3-301</t>
  </si>
  <si>
    <t>P1967-04-003-1-3-302</t>
  </si>
  <si>
    <t>P1967-04-003-1-3-303</t>
  </si>
  <si>
    <t>P1967-04-003-1-3-304</t>
  </si>
  <si>
    <t>P1967-04-003-1-3-305</t>
  </si>
  <si>
    <t>P1967-04-003-1-3-306</t>
  </si>
  <si>
    <t>P1967-04-003-1-4-401</t>
  </si>
  <si>
    <t>P1967-04-003-1-4-402</t>
  </si>
  <si>
    <t>P1967-04-003-1-4-403</t>
  </si>
  <si>
    <t>P1967-04-003-1-4-404</t>
  </si>
  <si>
    <t>P1967-04-003-1-4-405</t>
  </si>
  <si>
    <t>P1967-04-003-1-4-406</t>
  </si>
  <si>
    <t>P1967-04-003-1-5-501</t>
  </si>
  <si>
    <t>P1967-04-003-1-5-502</t>
  </si>
  <si>
    <t>P1967-04-003-1-5-503</t>
  </si>
  <si>
    <t>P1967-04-003-1-5-504</t>
  </si>
  <si>
    <t>P1967-04-003-1-5-505</t>
  </si>
  <si>
    <t>P1967-04-003-1-5-506</t>
  </si>
  <si>
    <t>P1967-04-003-1-6-601</t>
  </si>
  <si>
    <t>P1967-04-003-1-6-602</t>
  </si>
  <si>
    <t>P1967-04-003-1-6-603</t>
  </si>
  <si>
    <t>P1967-04-003-1-6-604</t>
  </si>
  <si>
    <t>P1967-04-003-1-6-605</t>
  </si>
  <si>
    <t>P1967-04-003-1-6-606</t>
  </si>
  <si>
    <t>P1967-04-003-1-7-701</t>
  </si>
  <si>
    <t>P1967-04-003-1-7-702</t>
  </si>
  <si>
    <t>P1967-04-003-1-7-703</t>
  </si>
  <si>
    <t>P1967-04-003-1-7-704</t>
  </si>
  <si>
    <t>P1967-04-003-1-7-705</t>
  </si>
  <si>
    <t>P1967-04-003-1-7-706</t>
  </si>
  <si>
    <t>P1967-04-003-1-8-801</t>
  </si>
  <si>
    <t>P1967-04-003-1-8-802</t>
  </si>
  <si>
    <t>P1967-04-003-1-8-803</t>
  </si>
  <si>
    <t>P1967-04-003-1-8-804</t>
  </si>
  <si>
    <t>P1967-04-003-1-8-805</t>
  </si>
  <si>
    <t>P1967-04-003-1-8-806</t>
  </si>
  <si>
    <t>P1967-04-003-1-9-901</t>
  </si>
  <si>
    <t>P1967-04-003-1-9-902</t>
  </si>
  <si>
    <t>P1967-04-003-1-9-903</t>
  </si>
  <si>
    <t>P1967-04-003-1-9-904</t>
  </si>
  <si>
    <t>P1967-04-003-1-9-905</t>
  </si>
  <si>
    <t>P1967-04-003-1-9-906</t>
  </si>
  <si>
    <t>P1967-04-006-1-1-101</t>
  </si>
  <si>
    <t>P1967-04-006-1-1-102</t>
  </si>
  <si>
    <t>P1967-04-006-1-1-104</t>
  </si>
  <si>
    <t>P1967-04-006-1-10-1001</t>
  </si>
  <si>
    <t>P1967-04-006-1-10-1002</t>
  </si>
  <si>
    <t>P1967-04-006-1-10-1003</t>
  </si>
  <si>
    <t>P1967-04-006-1-10-1004</t>
  </si>
  <si>
    <t>P1967-04-006-1-10-1005</t>
  </si>
  <si>
    <t>P1967-04-006-1-10-1006</t>
  </si>
  <si>
    <t>P1967-04-006-1-11-1101</t>
  </si>
  <si>
    <t>P1967-04-006-1-11-1102</t>
  </si>
  <si>
    <t>P1967-04-006-1-11-1103</t>
  </si>
  <si>
    <t>P1967-04-006-1-11-1104</t>
  </si>
  <si>
    <t>P1967-04-006-1-11-1105</t>
  </si>
  <si>
    <t>P1967-04-006-1-11-1106</t>
  </si>
  <si>
    <t>P1967-04-006-1-12-1201</t>
  </si>
  <si>
    <t>P1967-04-006-1-12-1202</t>
  </si>
  <si>
    <t>P1967-04-006-1-12-1203</t>
  </si>
  <si>
    <t>P1967-04-006-1-12-1204</t>
  </si>
  <si>
    <t>P1967-04-006-1-12-1205</t>
  </si>
  <si>
    <t>P1967-04-006-1-12-1206</t>
  </si>
  <si>
    <t>P1967-04-006-1-13-1301</t>
  </si>
  <si>
    <t>P1967-04-006-1-13-1302</t>
  </si>
  <si>
    <t>P1967-04-006-1-13-1303</t>
  </si>
  <si>
    <t>P1967-04-006-1-13-1304</t>
  </si>
  <si>
    <t>P1967-04-006-1-13-1305</t>
  </si>
  <si>
    <t>P1967-04-006-1-13-1306</t>
  </si>
  <si>
    <t>P1967-04-006-1-14-1401</t>
  </si>
  <si>
    <t>P1967-04-006-1-14-1402</t>
  </si>
  <si>
    <t>P1967-04-006-1-14-1403</t>
  </si>
  <si>
    <t>P1967-04-006-1-14-1404</t>
  </si>
  <si>
    <t>P1967-04-006-1-14-1405</t>
  </si>
  <si>
    <t>P1967-04-006-1-14-1406</t>
  </si>
  <si>
    <t>P1967-04-006-1-15-1501</t>
  </si>
  <si>
    <t>P1967-04-006-1-15-1502</t>
  </si>
  <si>
    <t>P1967-04-006-1-15-1503</t>
  </si>
  <si>
    <t>P1967-04-006-1-15-1504</t>
  </si>
  <si>
    <t>P1967-04-006-1-15-1505</t>
  </si>
  <si>
    <t>P1967-04-006-1-15-1506</t>
  </si>
  <si>
    <t>P1967-04-006-1-16-1601</t>
  </si>
  <si>
    <t>P1967-04-006-1-16-1602</t>
  </si>
  <si>
    <t>P1967-04-006-1-16-1603</t>
  </si>
  <si>
    <t>P1967-04-006-1-16-1604</t>
  </si>
  <si>
    <t>P1967-04-006-1-16-1605</t>
  </si>
  <si>
    <t>P1967-04-006-1-16-1606</t>
  </si>
  <si>
    <t>P1967-04-006-1-17-1701</t>
  </si>
  <si>
    <t>P1967-04-006-1-17-1702</t>
  </si>
  <si>
    <t>P1967-04-006-1-17-1703</t>
  </si>
  <si>
    <t>P1967-04-006-1-17-1704</t>
  </si>
  <si>
    <t>P1967-04-006-1-17-1705</t>
  </si>
  <si>
    <t>P1967-04-006-1-17-1706</t>
  </si>
  <si>
    <t>P1967-04-006-1-18-1801</t>
  </si>
  <si>
    <t>P1967-04-006-1-18-1802</t>
  </si>
  <si>
    <t>P1967-04-006-1-18-1803</t>
  </si>
  <si>
    <t>P1967-04-006-1-18-1804</t>
  </si>
  <si>
    <t>P1967-04-006-1-18-1805</t>
  </si>
  <si>
    <t>P1967-04-006-1-18-1806</t>
  </si>
  <si>
    <t>P1967-04-006-1-19-1901</t>
  </si>
  <si>
    <t>P1967-04-006-1-19-1902</t>
  </si>
  <si>
    <t>P1967-04-006-1-19-1903</t>
  </si>
  <si>
    <t>P1967-04-006-1-19-1904</t>
  </si>
  <si>
    <t>P1967-04-006-1-19-1905</t>
  </si>
  <si>
    <t>P1967-04-006-1-19-1906</t>
  </si>
  <si>
    <t>P1967-04-006-1-2-201</t>
  </si>
  <si>
    <t>P1967-04-006-1-2-202</t>
  </si>
  <si>
    <t>P1967-04-006-1-2-204</t>
  </si>
  <si>
    <t>P1967-04-006-1-2-205</t>
  </si>
  <si>
    <t>P1967-04-006-1-2-206</t>
  </si>
  <si>
    <t>P1967-04-006-1-20-2001</t>
  </si>
  <si>
    <t>P1967-04-006-1-20-2002</t>
  </si>
  <si>
    <t>P1967-04-006-1-20-2003</t>
  </si>
  <si>
    <t>P1967-04-006-1-20-2004</t>
  </si>
  <si>
    <t>P1967-04-006-1-20-2005</t>
  </si>
  <si>
    <t>P1967-04-006-1-20-2006</t>
  </si>
  <si>
    <t>P1967-04-006-1-21-2101</t>
  </si>
  <si>
    <t>P1967-04-006-1-21-2102</t>
  </si>
  <si>
    <t>P1967-04-006-1-21-2103</t>
  </si>
  <si>
    <t>P1967-04-006-1-21-2104</t>
  </si>
  <si>
    <t>P1967-04-006-1-21-2105</t>
  </si>
  <si>
    <t>P1967-04-006-1-21-2106</t>
  </si>
  <si>
    <t>P1967-04-006-1-22-2201</t>
  </si>
  <si>
    <t>P1967-04-006-1-22-2202</t>
  </si>
  <si>
    <t>P1967-04-006-1-22-2203</t>
  </si>
  <si>
    <t>P1967-04-006-1-22-2204</t>
  </si>
  <si>
    <t>P1967-04-006-1-22-2205</t>
  </si>
  <si>
    <t>P1967-04-006-1-22-2206</t>
  </si>
  <si>
    <t>P1967-04-006-1-23-2301</t>
  </si>
  <si>
    <t>P1967-04-006-1-23-2302</t>
  </si>
  <si>
    <t>P1967-04-006-1-23-2303</t>
  </si>
  <si>
    <t>P1967-04-006-1-23-2304</t>
  </si>
  <si>
    <t>P1967-04-006-1-23-2305</t>
  </si>
  <si>
    <t>P1967-04-006-1-23-2306</t>
  </si>
  <si>
    <t>P1967-04-006-1-24-2401</t>
  </si>
  <si>
    <t>P1967-04-006-1-24-2402</t>
  </si>
  <si>
    <t>P1967-04-006-1-24-2403</t>
  </si>
  <si>
    <t>P1967-04-006-1-24-2404</t>
  </si>
  <si>
    <t>P1967-04-006-1-24-2405</t>
  </si>
  <si>
    <t>P1967-04-006-1-24-2406</t>
  </si>
  <si>
    <t>P1967-04-006-1-3-301</t>
  </si>
  <si>
    <t>P1967-04-006-1-3-302</t>
  </si>
  <si>
    <t>P1967-04-006-1-3-303</t>
  </si>
  <si>
    <t>P1967-04-006-1-3-304</t>
  </si>
  <si>
    <t>P1967-04-006-1-3-305</t>
  </si>
  <si>
    <t>P1967-04-006-1-3-306</t>
  </si>
  <si>
    <t>P1967-04-006-1-4-401</t>
  </si>
  <si>
    <t>P1967-04-006-1-4-402</t>
  </si>
  <si>
    <t>P1967-04-006-1-4-403</t>
  </si>
  <si>
    <t>P1967-04-006-1-4-404</t>
  </si>
  <si>
    <t>P1967-04-006-1-4-405</t>
  </si>
  <si>
    <t>P1967-04-006-1-4-406</t>
  </si>
  <si>
    <t>P1967-04-006-1-5-501</t>
  </si>
  <si>
    <t>P1967-04-006-1-5-502</t>
  </si>
  <si>
    <t>P1967-04-006-1-5-503</t>
  </si>
  <si>
    <t>P1967-04-006-1-5-504</t>
  </si>
  <si>
    <t>P1967-04-006-1-5-505</t>
  </si>
  <si>
    <t>P1967-04-006-1-5-506</t>
  </si>
  <si>
    <t>P1967-04-006-1-6-601</t>
  </si>
  <si>
    <t>P1967-04-006-1-6-602</t>
  </si>
  <si>
    <t>P1967-04-006-1-6-603</t>
  </si>
  <si>
    <t>P1967-04-006-1-6-604</t>
  </si>
  <si>
    <t>P1967-04-006-1-6-605</t>
  </si>
  <si>
    <t>P1967-04-006-1-6-606</t>
  </si>
  <si>
    <t>P1967-04-006-1-7-701</t>
  </si>
  <si>
    <t>P1967-04-006-1-7-702</t>
  </si>
  <si>
    <t>P1967-04-006-1-7-703</t>
  </si>
  <si>
    <t>P1967-04-006-1-7-704</t>
  </si>
  <si>
    <t>P1967-04-006-1-7-705</t>
  </si>
  <si>
    <t>P1967-04-006-1-7-706</t>
  </si>
  <si>
    <t>P1967-04-006-1-8-801</t>
  </si>
  <si>
    <t>P1967-04-006-1-8-802</t>
  </si>
  <si>
    <t>P1967-04-006-1-8-803</t>
  </si>
  <si>
    <t>P1967-04-006-1-8-804</t>
  </si>
  <si>
    <t>P1967-04-006-1-8-805</t>
  </si>
  <si>
    <t>P1967-04-006-1-8-806</t>
  </si>
  <si>
    <t>P1967-04-006-1-9-901</t>
  </si>
  <si>
    <t>P1967-04-006-1-9-902</t>
  </si>
  <si>
    <t>P1967-04-006-1-9-903</t>
  </si>
  <si>
    <t>P1967-04-006-1-9-904</t>
  </si>
  <si>
    <t>P1967-04-006-1-9-905</t>
  </si>
  <si>
    <t>P1967-04-006-1-9-906</t>
  </si>
  <si>
    <t>P1967-04-007-1-1-101</t>
  </si>
  <si>
    <t>P1967-04-007-1-1-102</t>
  </si>
  <si>
    <t>P1967-04-007-1-1-104</t>
  </si>
  <si>
    <t>P1967-04-007-1-10-1001</t>
  </si>
  <si>
    <t>P1967-04-007-1-10-1002</t>
  </si>
  <si>
    <t>P1967-04-007-1-10-1003</t>
  </si>
  <si>
    <t>P1967-04-007-1-10-1004</t>
  </si>
  <si>
    <t>P1967-04-007-1-10-1005</t>
  </si>
  <si>
    <t>P1967-04-007-1-10-1006</t>
  </si>
  <si>
    <t>P1967-04-007-1-11-1101</t>
  </si>
  <si>
    <t>P1967-04-007-1-11-1102</t>
  </si>
  <si>
    <t>P1967-04-007-1-11-1103</t>
  </si>
  <si>
    <t>P1967-04-007-1-11-1104</t>
  </si>
  <si>
    <t>P1967-04-007-1-11-1105</t>
  </si>
  <si>
    <t>P1967-04-007-1-11-1106</t>
  </si>
  <si>
    <t>P1967-04-007-1-12-1201</t>
  </si>
  <si>
    <t>P1967-04-007-1-12-1202</t>
  </si>
  <si>
    <t>P1967-04-007-1-12-1203</t>
  </si>
  <si>
    <t>P1967-04-007-1-12-1204</t>
  </si>
  <si>
    <t>P1967-04-007-1-12-1205</t>
  </si>
  <si>
    <t>P1967-04-007-1-12-1206</t>
  </si>
  <si>
    <t>P1967-04-007-1-13-1301</t>
  </si>
  <si>
    <t>P1967-04-007-1-13-1302</t>
  </si>
  <si>
    <t>P1967-04-007-1-13-1303</t>
  </si>
  <si>
    <t>P1967-04-007-1-13-1304</t>
  </si>
  <si>
    <t>P1967-04-007-1-13-1305</t>
  </si>
  <si>
    <t>P1967-04-007-1-13-1306</t>
  </si>
  <si>
    <t>P1967-04-007-1-14-1401</t>
  </si>
  <si>
    <t>P1967-04-007-1-14-1402</t>
  </si>
  <si>
    <t>P1967-04-007-1-14-1403</t>
  </si>
  <si>
    <t>P1967-04-007-1-14-1404</t>
  </si>
  <si>
    <t>P1967-04-007-1-14-1405</t>
  </si>
  <si>
    <t>P1967-04-007-1-14-1406</t>
  </si>
  <si>
    <t>P1967-04-007-1-15-1501</t>
  </si>
  <si>
    <t>P1967-04-007-1-15-1502</t>
  </si>
  <si>
    <t>P1967-04-007-1-15-1503</t>
  </si>
  <si>
    <t>P1967-04-007-1-15-1504</t>
  </si>
  <si>
    <t>P1967-04-007-1-15-1505</t>
  </si>
  <si>
    <t>P1967-04-007-1-15-1506</t>
  </si>
  <si>
    <t>P1967-04-007-1-16-1601</t>
  </si>
  <si>
    <t>P1967-04-007-1-16-1602</t>
  </si>
  <si>
    <t>P1967-04-007-1-16-1603</t>
  </si>
  <si>
    <t>P1967-04-007-1-16-1604</t>
  </si>
  <si>
    <t>P1967-04-007-1-16-1605</t>
  </si>
  <si>
    <t>P1967-04-007-1-16-1606</t>
  </si>
  <si>
    <t>P1967-04-007-1-17-1701</t>
  </si>
  <si>
    <t>P1967-04-007-1-17-1702</t>
  </si>
  <si>
    <t>P1967-04-007-1-17-1703</t>
  </si>
  <si>
    <t>P1967-04-007-1-17-1704</t>
  </si>
  <si>
    <t>P1967-04-007-1-17-1705</t>
  </si>
  <si>
    <t>P1967-04-007-1-17-1706</t>
  </si>
  <si>
    <t>P1967-04-007-1-18-1801</t>
  </si>
  <si>
    <t>P1967-04-007-1-18-1802</t>
  </si>
  <si>
    <t>P1967-04-007-1-18-1803</t>
  </si>
  <si>
    <t>P1967-04-007-1-18-1804</t>
  </si>
  <si>
    <t>P1967-04-007-1-18-1805</t>
  </si>
  <si>
    <t>P1967-04-007-1-18-1806</t>
  </si>
  <si>
    <t>P1967-04-007-1-19-1901</t>
  </si>
  <si>
    <t>P1967-04-007-1-19-1902</t>
  </si>
  <si>
    <t>P1967-04-007-1-19-1903</t>
  </si>
  <si>
    <t>P1967-04-007-1-19-1904</t>
  </si>
  <si>
    <t>P1967-04-007-1-19-1905</t>
  </si>
  <si>
    <t>P1967-04-007-1-19-1906</t>
  </si>
  <si>
    <t>P1967-04-007-1-2-201</t>
  </si>
  <si>
    <t>P1967-04-007-1-2-202</t>
  </si>
  <si>
    <t>P1967-04-007-1-2-204</t>
  </si>
  <si>
    <t>P1967-04-007-1-2-205</t>
  </si>
  <si>
    <t>P1967-04-007-1-2-206</t>
  </si>
  <si>
    <t>P1967-04-007-1-20-2001</t>
  </si>
  <si>
    <t>P1967-04-007-1-20-2002</t>
  </si>
  <si>
    <t>P1967-04-007-1-20-2003</t>
  </si>
  <si>
    <t>P1967-04-007-1-20-2004</t>
  </si>
  <si>
    <t>P1967-04-007-1-20-2005</t>
  </si>
  <si>
    <t>P1967-04-007-1-20-2006</t>
  </si>
  <si>
    <t>P1967-04-007-1-21-2101</t>
  </si>
  <si>
    <t>P1967-04-007-1-21-2102</t>
  </si>
  <si>
    <t>P1967-04-007-1-21-2103</t>
  </si>
  <si>
    <t>P1967-04-007-1-21-2104</t>
  </si>
  <si>
    <t>P1967-04-007-1-21-2105</t>
  </si>
  <si>
    <t>P1967-04-007-1-21-2106</t>
  </si>
  <si>
    <t>P1967-04-007-1-22-2201</t>
  </si>
  <si>
    <t>P1967-04-007-1-22-2202</t>
  </si>
  <si>
    <t>P1967-04-007-1-22-2203</t>
  </si>
  <si>
    <t>P1967-04-007-1-22-2204</t>
  </si>
  <si>
    <t>P1967-04-007-1-22-2205</t>
  </si>
  <si>
    <t>P1967-04-007-1-22-2206</t>
  </si>
  <si>
    <t>P1967-04-007-1-23-2301</t>
  </si>
  <si>
    <t>P1967-04-007-1-23-2302</t>
  </si>
  <si>
    <t>P1967-04-007-1-23-2303</t>
  </si>
  <si>
    <t>P1967-04-007-1-23-2304</t>
  </si>
  <si>
    <t>P1967-04-007-1-23-2305</t>
  </si>
  <si>
    <t>P1967-04-007-1-23-2306</t>
  </si>
  <si>
    <t>P1967-04-007-1-24-2401</t>
  </si>
  <si>
    <t>P1967-04-007-1-24-2402</t>
  </si>
  <si>
    <t>P1967-04-007-1-24-2403</t>
  </si>
  <si>
    <t>P1967-04-007-1-24-2404</t>
  </si>
  <si>
    <t>P1967-04-007-1-24-2405</t>
  </si>
  <si>
    <t>P1967-04-007-1-24-2406</t>
  </si>
  <si>
    <t>P1967-04-007-1-3-301</t>
  </si>
  <si>
    <t>P1967-04-007-1-3-302</t>
  </si>
  <si>
    <t>P1967-04-007-1-3-303</t>
  </si>
  <si>
    <t>P1967-04-007-1-3-304</t>
  </si>
  <si>
    <t>P1967-04-007-1-3-305</t>
  </si>
  <si>
    <t>P1967-04-007-1-3-306</t>
  </si>
  <si>
    <t>P1967-04-007-1-4-401</t>
  </si>
  <si>
    <t>P1967-04-007-1-4-402</t>
  </si>
  <si>
    <t>P1967-04-007-1-4-403</t>
  </si>
  <si>
    <t>P1967-04-007-1-4-404</t>
  </si>
  <si>
    <t>P1967-04-007-1-4-405</t>
  </si>
  <si>
    <t>P1967-04-007-1-4-406</t>
  </si>
  <si>
    <t>P1967-04-007-1-5-501</t>
  </si>
  <si>
    <t>P1967-04-007-1-5-502</t>
  </si>
  <si>
    <t>P1967-04-007-1-5-503</t>
  </si>
  <si>
    <t>P1967-04-007-1-5-504</t>
  </si>
  <si>
    <t>P1967-04-007-1-5-505</t>
  </si>
  <si>
    <t>P1967-04-007-1-5-506</t>
  </si>
  <si>
    <t>P1967-04-007-1-6-601</t>
  </si>
  <si>
    <t>P1967-04-007-1-6-602</t>
  </si>
  <si>
    <t>P1967-04-007-1-6-603</t>
  </si>
  <si>
    <t>P1967-04-007-1-6-604</t>
  </si>
  <si>
    <t>P1967-04-007-1-6-605</t>
  </si>
  <si>
    <t>P1967-04-007-1-6-606</t>
  </si>
  <si>
    <t>P1967-04-007-1-7-701</t>
  </si>
  <si>
    <t>P1967-04-007-1-7-702</t>
  </si>
  <si>
    <t>P1967-04-007-1-7-703</t>
  </si>
  <si>
    <t>P1967-04-007-1-7-704</t>
  </si>
  <si>
    <t>P1967-04-007-1-7-705</t>
  </si>
  <si>
    <t>P1967-04-007-1-7-706</t>
  </si>
  <si>
    <t>P1967-04-007-1-8-801</t>
  </si>
  <si>
    <t>P1967-04-007-1-8-802</t>
  </si>
  <si>
    <t>P1967-04-007-1-8-803</t>
  </si>
  <si>
    <t>P1967-04-007-1-8-804</t>
  </si>
  <si>
    <t>P1967-04-007-1-8-805</t>
  </si>
  <si>
    <t>P1967-04-007-1-8-806</t>
  </si>
  <si>
    <t>P1967-04-007-1-9-901</t>
  </si>
  <si>
    <t>P1967-04-007-1-9-902</t>
  </si>
  <si>
    <t>P1967-04-007-1-9-903</t>
  </si>
  <si>
    <t>P1967-04-007-1-9-904</t>
  </si>
  <si>
    <t>P1967-04-007-1-9-905</t>
  </si>
  <si>
    <t>P1967-04-007-1-9-906</t>
  </si>
  <si>
    <t>P1967-04-008-1-1-101</t>
  </si>
  <si>
    <t>P1967-04-008-1-1-102</t>
  </si>
  <si>
    <t>P1967-04-008-1-3-301</t>
  </si>
  <si>
    <t>P1967-04-008-1-3-302</t>
  </si>
  <si>
    <t>P1967-04-008-2-1-101</t>
  </si>
  <si>
    <t>P1967-04-008-2-1-102</t>
  </si>
  <si>
    <t>P1967-04-008-2-3-301</t>
  </si>
  <si>
    <t>P1967-04-008-2-3-302</t>
  </si>
  <si>
    <t>P1967-04-008-3-1-101</t>
  </si>
  <si>
    <t>P1967-04-008-3-1-102</t>
  </si>
  <si>
    <t>P1967-04-008-3-3-301</t>
  </si>
  <si>
    <t>P1967-04-008-3-3-302</t>
  </si>
  <si>
    <t>P1967-04-009-1-1-101</t>
  </si>
  <si>
    <t>P1967-04-009-1-1-102</t>
  </si>
  <si>
    <t>P1967-04-009-1-3-301</t>
  </si>
  <si>
    <t>P1967-04-009-1-3-302</t>
  </si>
  <si>
    <t>P1967-04-009-2-1-101</t>
  </si>
  <si>
    <t>P1967-04-009-2-1-102</t>
  </si>
  <si>
    <t>P1967-04-009-2-3-301</t>
  </si>
  <si>
    <t>P1967-04-009-2-3-302</t>
  </si>
  <si>
    <t>P1967-04-009-3-1-101</t>
  </si>
  <si>
    <t>P1967-04-009-3-1-102</t>
  </si>
  <si>
    <t>P1967-04-009-3-3-301</t>
  </si>
  <si>
    <t>P1967-04-009-3-3-302</t>
  </si>
  <si>
    <t>P1967-04-009-4-1-101</t>
  </si>
  <si>
    <t>P1967-04-009-4-1-102</t>
  </si>
  <si>
    <t>P1967-04-009-4-3-301</t>
  </si>
  <si>
    <t>P1967-04-009-4-3-302</t>
  </si>
  <si>
    <t>P1967-04-010-1-1-101</t>
  </si>
  <si>
    <t>P1967-04-010-1-1-102</t>
  </si>
  <si>
    <t>P1967-04-010-1-3-301</t>
  </si>
  <si>
    <t>P1967-04-010-1-3-302</t>
  </si>
  <si>
    <t>P1967-04-010-2-1-101</t>
  </si>
  <si>
    <t>P1967-04-010-2-1-102</t>
  </si>
  <si>
    <t>P1967-04-010-2-3-301</t>
  </si>
  <si>
    <t>P1967-04-010-2-3-302</t>
  </si>
  <si>
    <t>P1967-04-010-3-1-101</t>
  </si>
  <si>
    <t>P1967-04-010-3-1-102</t>
  </si>
  <si>
    <t>P1967-04-010-3-3-301</t>
  </si>
  <si>
    <t>P1967-04-010-3-3-302</t>
  </si>
  <si>
    <t>P1967-04-011-1-1-101</t>
  </si>
  <si>
    <t>P1967-04-011-1-1-102</t>
  </si>
  <si>
    <t>P1967-04-011-1-3-301</t>
  </si>
  <si>
    <t>P1967-04-011-1-3-302</t>
  </si>
  <si>
    <t>P1967-04-011-2-1-101</t>
  </si>
  <si>
    <t>P1967-04-011-2-1-102</t>
  </si>
  <si>
    <t>P1967-04-011-2-3-301</t>
  </si>
  <si>
    <t>P1967-04-011-2-3-302</t>
  </si>
  <si>
    <t>P1967-04-012-1-1-101</t>
  </si>
  <si>
    <t>P1967-04-012-1-1-102</t>
  </si>
  <si>
    <t>P1967-04-012-1-3-301</t>
  </si>
  <si>
    <t>P1967-04-012-1-3-302</t>
  </si>
  <si>
    <t>P1967-04-012-2-1-101</t>
  </si>
  <si>
    <t>P1967-04-012-2-1-102</t>
  </si>
  <si>
    <t>P1967-04-012-2-3-301</t>
  </si>
  <si>
    <t>P1967-04-012-2-3-302</t>
  </si>
  <si>
    <t>P1967-04-013-1-1-101</t>
  </si>
  <si>
    <t>P1967-04-013-1-1-102</t>
  </si>
  <si>
    <t>P1967-04-013-1-3-301</t>
  </si>
  <si>
    <t>P1967-04-013-1-3-302</t>
  </si>
  <si>
    <t>P1967-04-013-2-1-101</t>
  </si>
  <si>
    <t>P1967-04-013-2-1-102</t>
  </si>
  <si>
    <t>P1967-04-013-2-3-301</t>
  </si>
  <si>
    <t>P1967-04-013-2-3-302</t>
  </si>
  <si>
    <t>P1967-04-014-1-1-101</t>
  </si>
  <si>
    <t>P1967-04-014-1-1-102</t>
  </si>
  <si>
    <t>P1967-04-014-1-3-301</t>
  </si>
  <si>
    <t>P1967-04-014-1-3-302</t>
  </si>
  <si>
    <t>P1967-04-014-2-1-101</t>
  </si>
  <si>
    <t>P1967-04-014-2-1-102</t>
  </si>
  <si>
    <t>P1967-04-014-2-3-301</t>
  </si>
  <si>
    <t>P1967-04-014-2-3-302</t>
  </si>
  <si>
    <t>P1967-04-014-3-1-101</t>
  </si>
  <si>
    <t>P1967-04-014-3-1-102</t>
  </si>
  <si>
    <t>P1967-04-014-3-3-301</t>
  </si>
  <si>
    <t>P1967-04-014-3-3-302</t>
  </si>
  <si>
    <t>P1967-04-015-1-1-101</t>
  </si>
  <si>
    <t>P1967-04-015-1-1-102</t>
  </si>
  <si>
    <t>P1967-04-015-1-3-301</t>
  </si>
  <si>
    <t>P1967-04-015-1-3-302</t>
  </si>
  <si>
    <t>P1967-04-015-2-1-101</t>
  </si>
  <si>
    <t>P1967-04-015-2-1-102</t>
  </si>
  <si>
    <t>P1967-04-015-2-3-301</t>
  </si>
  <si>
    <t>P1967-04-015-2-3-302</t>
  </si>
  <si>
    <t>P1967-04-015-3-1-101</t>
  </si>
  <si>
    <t>P1967-04-015-3-1-102</t>
  </si>
  <si>
    <t>P1967-04-015-3-3-301</t>
  </si>
  <si>
    <t>P1967-04-015-3-3-302</t>
  </si>
  <si>
    <t>P1967-04-016-1-1-101</t>
  </si>
  <si>
    <t>P1967-04-016-1-1-102</t>
  </si>
  <si>
    <t>P1967-04-016-1-3-301</t>
  </si>
  <si>
    <t>P1967-04-016-1-3-302</t>
  </si>
  <si>
    <t>P1967-04-016-2-1-101</t>
  </si>
  <si>
    <t>P1967-04-016-2-1-102</t>
  </si>
  <si>
    <t>P1967-04-016-2-3-301</t>
  </si>
  <si>
    <t>P1967-04-016-2-3-302</t>
  </si>
  <si>
    <t>P1967-04-016-3-1-101</t>
  </si>
  <si>
    <t>P1967-04-016-3-1-102</t>
  </si>
  <si>
    <t>P1967-04-016-3-3-301</t>
  </si>
  <si>
    <t>P1967-04-016-3-3-302</t>
  </si>
  <si>
    <t>P1967-04-017-1-1-101</t>
  </si>
  <si>
    <t>P1967-04-017-1-1-102</t>
  </si>
  <si>
    <t>P1967-04-017-1-3-301</t>
  </si>
  <si>
    <t>P1967-04-017-1-3-302</t>
  </si>
  <si>
    <t>P1967-04-017-2-1-101</t>
  </si>
  <si>
    <t>P1967-04-017-2-1-102</t>
  </si>
  <si>
    <t>P1967-04-017-2-3-301</t>
  </si>
  <si>
    <t>P1967-04-017-2-3-302</t>
  </si>
  <si>
    <t>P1967-04-017-3-1-101</t>
  </si>
  <si>
    <t>P1967-04-017-3-1-102</t>
  </si>
  <si>
    <t>P1967-04-017-3-3-301</t>
  </si>
  <si>
    <t>P1967-04-017-3-3-302</t>
  </si>
  <si>
    <t>P1967-04-018-1-1-101</t>
  </si>
  <si>
    <t>P1967-04-018-1-1-102</t>
  </si>
  <si>
    <t>P1967-04-018-1-3-301</t>
  </si>
  <si>
    <t>P1967-04-018-1-3-302</t>
  </si>
  <si>
    <t>P1967-04-018-2-1-101</t>
  </si>
  <si>
    <t>P1967-04-018-2-1-102</t>
  </si>
  <si>
    <t>P1967-04-018-2-3-301</t>
  </si>
  <si>
    <t>P1967-04-018-2-3-302</t>
  </si>
  <si>
    <t>P1967-04-018-3-1-101</t>
  </si>
  <si>
    <t>P1967-04-018-3-1-102</t>
  </si>
  <si>
    <t>P1967-04-018-3-3-301</t>
  </si>
  <si>
    <t>P1967-04-018-3-3-302</t>
  </si>
  <si>
    <t>P1967-04-019-1-1-101</t>
  </si>
  <si>
    <t>P1967-04-019-1-1-102</t>
  </si>
  <si>
    <t>P1967-04-019-1-3-301</t>
  </si>
  <si>
    <t>P1967-04-019-1-3-302</t>
  </si>
  <si>
    <t>P1967-04-019-2-1-101</t>
  </si>
  <si>
    <t>P1967-04-019-2-1-102</t>
  </si>
  <si>
    <t>P1967-04-019-2-3-301</t>
  </si>
  <si>
    <t>P1967-04-019-2-3-302</t>
  </si>
  <si>
    <t>P1967-04-019-3-1-101</t>
  </si>
  <si>
    <t>P1967-04-019-3-1-102</t>
  </si>
  <si>
    <t>P1967-04-019-3-3-301</t>
  </si>
  <si>
    <t>P1967-04-019-3-3-302</t>
  </si>
  <si>
    <t>P1967-04-020-1-1-101</t>
  </si>
  <si>
    <t>P1967-04-020-1-1-102</t>
  </si>
  <si>
    <t>P1967-04-020-1-3-301</t>
  </si>
  <si>
    <t>P1967-04-020-1-3-302</t>
  </si>
  <si>
    <t>P1967-04-020-2-1-101</t>
  </si>
  <si>
    <t>P1967-04-020-2-1-102</t>
  </si>
  <si>
    <t>P1967-04-020-2-3-301</t>
  </si>
  <si>
    <t>P1967-04-020-2-3-302</t>
  </si>
  <si>
    <t>P1967-04-020-3-1-101</t>
  </si>
  <si>
    <t>P1967-04-020-3-1-102</t>
  </si>
  <si>
    <t>P1967-04-020-3-3-301</t>
  </si>
  <si>
    <t>P1967-04-020-3-3-302</t>
  </si>
  <si>
    <t>P1967-04-020-4-1-101</t>
  </si>
  <si>
    <t>P1967-04-020-4-1-102</t>
  </si>
  <si>
    <t>P1967-04-020-4-3-301</t>
  </si>
  <si>
    <t>P1967-04-020-4-3-302</t>
  </si>
  <si>
    <t>P1967-04-021-1-1-101</t>
  </si>
  <si>
    <t>P1967-04-021-1-1-102</t>
  </si>
  <si>
    <t>P1967-04-021-1-3-301</t>
  </si>
  <si>
    <t>P1967-04-021-1-3-302</t>
  </si>
  <si>
    <t>P1967-04-021-2-1-101</t>
  </si>
  <si>
    <t>P1967-04-021-2-1-102</t>
  </si>
  <si>
    <t>P1967-04-021-2-3-301</t>
  </si>
  <si>
    <t>P1967-04-021-2-3-302</t>
  </si>
  <si>
    <t>P1967-04-021-3-1-101</t>
  </si>
  <si>
    <t>P1967-04-021-3-1-102</t>
  </si>
  <si>
    <t>P1967-04-021-3-3-301</t>
  </si>
  <si>
    <t>P1967-04-021-3-3-302</t>
  </si>
  <si>
    <t>P1967-04-022-1-1-101</t>
  </si>
  <si>
    <t>P1967-04-022-1-1-102</t>
  </si>
  <si>
    <t>P1967-04-022-1-3-301</t>
  </si>
  <si>
    <t>P1967-04-022-1-3-302</t>
  </si>
  <si>
    <t>P1967-04-022-2-1-101</t>
  </si>
  <si>
    <t>P1967-04-022-2-1-102</t>
  </si>
  <si>
    <t>P1967-04-022-2-3-301</t>
  </si>
  <si>
    <t>P1967-04-022-2-3-302</t>
  </si>
  <si>
    <t>P1967-04-022-3-1-101</t>
  </si>
  <si>
    <t>P1967-04-022-3-1-102</t>
  </si>
  <si>
    <t>P1967-04-022-3-3-301</t>
  </si>
  <si>
    <t>P1967-04-022-3-3-302</t>
  </si>
  <si>
    <t>P1967-04-022-4-1-101</t>
  </si>
  <si>
    <t>P1967-04-022-4-1-102</t>
  </si>
  <si>
    <t>P1967-04-022-4-3-301</t>
  </si>
  <si>
    <t>P1967-04-022-4-3-302</t>
  </si>
  <si>
    <t>P1967-04-023-1-1-101</t>
  </si>
  <si>
    <t>P1967-04-023-1-1-102</t>
  </si>
  <si>
    <t>P1967-04-023-1-3-301</t>
  </si>
  <si>
    <t>P1967-04-023-1-3-302</t>
  </si>
  <si>
    <t>P1967-04-023-2-1-101</t>
  </si>
  <si>
    <t>P1967-04-023-2-1-102</t>
  </si>
  <si>
    <t>P1967-04-023-2-3-301</t>
  </si>
  <si>
    <t>P1967-04-023-2-3-302</t>
  </si>
  <si>
    <t>P1967-04-023-3-1-101</t>
  </si>
  <si>
    <t>P1967-04-023-3-1-102</t>
  </si>
  <si>
    <t>P1967-04-023-3-3-301</t>
  </si>
  <si>
    <t>P1967-04-023-3-3-302</t>
  </si>
  <si>
    <t>P1967-04-024-1-1-101</t>
  </si>
  <si>
    <t>P1967-04-024-1-1-102</t>
  </si>
  <si>
    <t>P1967-04-024-1-3-301</t>
  </si>
  <si>
    <t>P1967-04-024-1-3-302</t>
  </si>
  <si>
    <t>P1967-04-024-2-1-101</t>
  </si>
  <si>
    <t>P1967-04-024-2-1-102</t>
  </si>
  <si>
    <t>P1967-04-024-2-3-301</t>
  </si>
  <si>
    <t>P1967-04-024-2-3-302</t>
  </si>
  <si>
    <t>P1967-04-024-3-1-101</t>
  </si>
  <si>
    <t>P1967-04-024-3-1-102</t>
  </si>
  <si>
    <t>P1967-04-024-3-3-301</t>
  </si>
  <si>
    <t>P1967-04-024-3-3-302</t>
  </si>
  <si>
    <t>P1967-04-025-1-1-101</t>
  </si>
  <si>
    <t>住宅-多层（24米以下/≤8层）-平层洋房-毛坯-可售-商品房</t>
  </si>
  <si>
    <t>P1967-04-025-1-1-102</t>
  </si>
  <si>
    <t>P1967-04-025-1-2-201</t>
  </si>
  <si>
    <t>P1967-04-025-1-2-202</t>
  </si>
  <si>
    <t>P1967-04-025-1-3-301</t>
  </si>
  <si>
    <t>P1967-04-025-1-3-302</t>
  </si>
  <si>
    <t>P1967-04-025-1-4-401</t>
  </si>
  <si>
    <t>P1967-04-025-1-4-402</t>
  </si>
  <si>
    <t>P1967-04-025-1-5-501</t>
  </si>
  <si>
    <t>P1967-04-025-1-5-502</t>
  </si>
  <si>
    <t>P1967-04-025-1-6-601</t>
  </si>
  <si>
    <t>P1967-04-025-2-1-101</t>
  </si>
  <si>
    <t>P1967-04-025-2-1-102</t>
  </si>
  <si>
    <t>P1967-04-025-2-2-201</t>
  </si>
  <si>
    <t>P1967-04-025-2-2-202</t>
  </si>
  <si>
    <t>P1967-04-025-2-3-301</t>
  </si>
  <si>
    <t>P1967-04-025-2-3-302</t>
  </si>
  <si>
    <t>P1967-04-025-2-4-401</t>
  </si>
  <si>
    <t>P1967-04-025-2-4-402</t>
  </si>
  <si>
    <t>P1967-04-025-2-5-501</t>
  </si>
  <si>
    <t>P1967-04-025-2-5-502</t>
  </si>
  <si>
    <t>P1967-04-025-2-6-601</t>
  </si>
  <si>
    <t>认购</t>
    <phoneticPr fontId="228" type="noConversion"/>
  </si>
  <si>
    <t>高层（精装）</t>
    <phoneticPr fontId="228" type="noConversion"/>
  </si>
  <si>
    <t>叠拼（毛坯）</t>
    <phoneticPr fontId="228" type="noConversion"/>
  </si>
  <si>
    <t>洋房（毛坯）</t>
    <phoneticPr fontId="228" type="noConversion"/>
  </si>
  <si>
    <t>成交总价</t>
    <phoneticPr fontId="228" type="noConversion"/>
  </si>
  <si>
    <t>合计</t>
    <phoneticPr fontId="228" type="noConversion"/>
  </si>
  <si>
    <t>预测建筑面积</t>
    <phoneticPr fontId="228" type="noConversion"/>
  </si>
  <si>
    <t>成交单价</t>
    <phoneticPr fontId="228" type="noConversion"/>
  </si>
  <si>
    <t>容积率</t>
    <phoneticPr fontId="228" type="noConversion"/>
  </si>
  <si>
    <t>2020-63</t>
    <phoneticPr fontId="228" type="noConversion"/>
  </si>
  <si>
    <t>1.无偿代建一所占地约130亩、建设计容面积不低于58870平方米的K-12一贯制学校，投资不低于28731万元；
2.无偿代建配套市政道路，道路全长约1612米，宽18米，道路建设标准为工程部分投资不低于1400元/平方米；同时需同步建设各类市政管线和绿化交安等道路附属工程内容。</t>
    <phoneticPr fontId="228" type="noConversion"/>
  </si>
  <si>
    <t>2020-64</t>
    <phoneticPr fontId="228" type="noConversion"/>
  </si>
  <si>
    <t>2020-65</t>
  </si>
  <si>
    <t>1.无偿代建配套市政道路，道路全长约1266米，宽30米，道路建设标准为工程部分投资不低于1700元/平方米；同时需同步建设各类市政管线和绿化交安等道路附属工程内容。</t>
    <phoneticPr fontId="228" type="noConversion"/>
  </si>
  <si>
    <t>2020-66</t>
  </si>
  <si>
    <t>1.无偿代建配套市政道路，道路全长约1543米，宽30米，道路建设标准为工程部分投资不低于1700元/平方米；同时需同步建设各类市政管线和绿化交安等道路附属工程内容。</t>
    <phoneticPr fontId="228" type="noConversion"/>
  </si>
  <si>
    <t>2020-67</t>
  </si>
  <si>
    <t>2020-68</t>
  </si>
  <si>
    <t>1.无偿代建配套市政道路，道路全长约1560米，宽30米，道路建设标准为工程部分投资不低于1700元/平方米；同时需同步建设各类市政管线和绿化交安等道路附属工程内容，道路建成并经验收合格后无偿移交给县政府指定单位。</t>
    <phoneticPr fontId="228" type="noConversion"/>
  </si>
  <si>
    <t>2020-69</t>
    <phoneticPr fontId="228" type="noConversion"/>
  </si>
  <si>
    <t>商业占比</t>
    <phoneticPr fontId="228" type="noConversion"/>
  </si>
  <si>
    <t>容积率</t>
    <phoneticPr fontId="228" type="noConversion"/>
  </si>
  <si>
    <t>土地面积</t>
    <phoneticPr fontId="228" type="noConversion"/>
  </si>
  <si>
    <t>地号</t>
    <phoneticPr fontId="228" type="noConversion"/>
  </si>
  <si>
    <t>2020-70</t>
    <phoneticPr fontId="228" type="noConversion"/>
  </si>
  <si>
    <t>2020-71</t>
  </si>
  <si>
    <t>2020-72</t>
  </si>
  <si>
    <t>2020-73</t>
  </si>
  <si>
    <t>2020-74</t>
  </si>
  <si>
    <t>2020-75</t>
  </si>
  <si>
    <t>2020-76</t>
  </si>
  <si>
    <t>2020-77</t>
  </si>
  <si>
    <t>2020-78</t>
  </si>
  <si>
    <t>2020-79</t>
  </si>
  <si>
    <t>2020-80</t>
  </si>
  <si>
    <t>2020-81</t>
  </si>
  <si>
    <t>2020-82</t>
  </si>
  <si>
    <t>2020-83</t>
  </si>
  <si>
    <t>2020-84</t>
  </si>
  <si>
    <t>2020-85</t>
  </si>
  <si>
    <t>2020-86</t>
  </si>
  <si>
    <t>2020-90</t>
  </si>
  <si>
    <t>2020-91</t>
  </si>
  <si>
    <t xml:space="preserve">1.无偿代建配套市政道路，道路全长约945米，宽12米，道路建设标准为工程部分投资不低于1200元/平方米；同时需同步建设各类市政管线和绿化交安等道路附属工程内容。
2.无偿代建一所占地约32亩、建设计容面积不低于22000平方米的医院，投资不低于17410万元。医院建设内容中除应具有完善的各科室业务用房和配套设施外，还应包括（但不限于）手术室、检验科、ICU、感染病区、产房、防辐射工程（放射科）、消毒供应室、静脉配置中心、医疗纯水系统、物品传输轨道系统、医疗污水处理等专业科室深化设计装修内容（不含医疗设备）。
</t>
    <phoneticPr fontId="228" type="noConversion"/>
  </si>
  <si>
    <t>1.无偿代建一所占地约44亩、建设计容面积不低于44000平方米的医院，投资不低于35876万元。医院建设内容中除应具有完善的各科室业务用房和配套设施外，还应包括（但不限于）手术室、检验科、ICU、感染病区、产房、防辐射工程（放射科）、消毒供应室、静脉配置中心、医疗纯水系统、物品传输轨道系统、医疗污水处理等专业科室深化设计装修内容（不含医疗设备）。</t>
    <phoneticPr fontId="228" type="noConversion"/>
  </si>
  <si>
    <t>计容规划建筑面积</t>
    <phoneticPr fontId="228" type="noConversion"/>
  </si>
  <si>
    <t>——</t>
    <phoneticPr fontId="228" type="noConversion"/>
  </si>
  <si>
    <t>学校、路</t>
    <phoneticPr fontId="228" type="noConversion"/>
  </si>
  <si>
    <t>路</t>
    <phoneticPr fontId="228" type="noConversion"/>
  </si>
  <si>
    <t>学校、路</t>
    <phoneticPr fontId="228" type="noConversion"/>
  </si>
  <si>
    <t>公园</t>
    <phoneticPr fontId="228" type="noConversion"/>
  </si>
  <si>
    <t>医院</t>
    <phoneticPr fontId="228" type="noConversion"/>
  </si>
  <si>
    <t>医院、路</t>
    <phoneticPr fontId="228" type="noConversion"/>
  </si>
  <si>
    <t>1.无偿代建配套公园绿地，公园绿地面积约285041平方米，建设标准为工程部分投资不低于500元/平方米；同时需同步建设各类市政管线和亮化美观等附属工程内容。</t>
    <phoneticPr fontId="228" type="noConversion"/>
  </si>
  <si>
    <t>1.无偿代建配套市政道路，道路全长约717米，宽18米，道路建设标准为工程部分投资不低于1400元/平方米；同时需同步建设各类市政管线和绿化交安等道路附属工程内容。</t>
    <phoneticPr fontId="228" type="noConversion"/>
  </si>
  <si>
    <t>1.无偿代建配套市政道路，道路全长约2033米，宽40米，道路建设标准为工程部分投资不低于1800元/平方米；同时需同步建设各类市政管线和绿化交安等道路附属工程内容。</t>
    <phoneticPr fontId="228" type="noConversion"/>
  </si>
  <si>
    <t>1.无偿代建配套市政道路，12米宽道路长约4395米，18米宽道路长约632米，道路建设标准为工程部分投资分别不低于1200元/平方米和1400元/平方米；同时需同步建设各类市政管线和绿化交安等道路附属工程内容。</t>
    <phoneticPr fontId="228" type="noConversion"/>
  </si>
  <si>
    <t>1.无偿代建配套市政道路，18米宽道路长约545米，宽24米道路长约1494米，道路建设标准为工程部分投资分别不低于1400元/平方米和1500元/平方米；同时需同步建设各类市政管线和绿化交安等道路附属工程内容。</t>
    <phoneticPr fontId="228" type="noConversion"/>
  </si>
  <si>
    <t>1.无偿代建配套市政道路，道路全长约1093米，宽18米，道路建设标准为工程部分投资不低于1400元/平方米；同时需同步建设各类市政管线和绿化交安等道路附属工程内容。</t>
    <phoneticPr fontId="228" type="noConversion"/>
  </si>
  <si>
    <t>1.无偿代建配套市政道路，道路全长约2296米，宽40米，道路建设标准为工程部分投资不低于1800元/平方米；同时需同步建设各类市政管线和绿化交安等道路附属工程内容。</t>
    <phoneticPr fontId="228" type="noConversion"/>
  </si>
  <si>
    <t>1.无偿代建配套公园绿地，公园绿地面积约364026平方米，建设标准为工程部分投资不低于500元/平方米；同时需同步建设各类市政管线和亮化美观等附属工程内容。</t>
    <phoneticPr fontId="228" type="noConversion"/>
  </si>
  <si>
    <t>1.无偿代建配套市政道路，道路全长约780米，宽18米，道路建设标准为工程部分投资不低于1400元/平方米；同时需同步建设各类市政管线和绿化交安等道路附属工程内容。</t>
    <phoneticPr fontId="228" type="noConversion"/>
  </si>
  <si>
    <t>1.无偿代建配套市政道路，道路全长约1268米，宽40米，道路建设标准为工程部分投资不低于1800元/平方米；同时需同步建设各类市政管线和绿化交安等道路附属工程内容。</t>
    <phoneticPr fontId="228" type="noConversion"/>
  </si>
  <si>
    <t>1.无偿代建配套市政道路，12米宽道路长约180米，18米宽道路长约139米，道路建设标准为工程部分投资分别不低于1200元/平方米和1400元/平方米；同时需同步建设各类市政管线和绿化交安等道路附属工程内容。</t>
    <phoneticPr fontId="228" type="noConversion"/>
  </si>
  <si>
    <t>1.无偿代建配套市政道路，道路全长约1520米，宽30米，道路建设标准为工程部分投资不低于1700元/平方米；同时需同步建设各类市政管线和绿化交安等道路附属工程内容。</t>
    <phoneticPr fontId="228" type="noConversion"/>
  </si>
  <si>
    <t>序号</t>
    <phoneticPr fontId="228" type="noConversion"/>
  </si>
  <si>
    <t xml:space="preserve">1.无偿代建配套市政道路，道路全长约1046米，宽18米，道路建设标准为工程部分投资不低于1400元/平方米；同时需同步建设各类市政管线和绿化交安等道路附属工程内容。
1.无偿代建一所占地约42亩、建设计容面积不低于15400平方米的学校，投资不低于7466万元。
</t>
    <phoneticPr fontId="228" type="noConversion"/>
  </si>
  <si>
    <t xml:space="preserve">1.无偿代建配套市政道路，道路全长约160米，宽12米，道路建设标准为工程部分投资不低于1200元/平方米；同时需同步建设各类市政管线和绿化交安等道路附属工程内容。
1.无偿代建一所占地约50亩、建设计容面积不低于15400平方米的学校，投资不低于7466万元。
</t>
    <phoneticPr fontId="228" type="noConversion"/>
  </si>
  <si>
    <t>配建成本/万元</t>
    <phoneticPr fontId="228" type="noConversion"/>
  </si>
  <si>
    <t>配建内容</t>
    <phoneticPr fontId="228" type="noConversion"/>
  </si>
  <si>
    <t>计容面积合计</t>
    <phoneticPr fontId="228" type="noConversion"/>
  </si>
  <si>
    <t>住宅一期</t>
    <phoneticPr fontId="3" type="noConversion"/>
  </si>
  <si>
    <t>起拍价</t>
    <phoneticPr fontId="228" type="noConversion"/>
  </si>
  <si>
    <t>交易费</t>
    <phoneticPr fontId="228" type="noConversion"/>
  </si>
  <si>
    <t>合计</t>
    <phoneticPr fontId="228" type="noConversion"/>
  </si>
  <si>
    <t>（本次评估）</t>
    <phoneticPr fontId="228" type="noConversion"/>
  </si>
  <si>
    <t>公共配套内容</t>
    <phoneticPr fontId="228" type="noConversion"/>
  </si>
  <si>
    <t>配套面积</t>
    <phoneticPr fontId="228" type="noConversion"/>
  </si>
  <si>
    <t>1.按每百户不低于20平方米建筑面积标准配建养老服务设施，不计容，产权归政府所有。
2.综合文化活动室（可结合物管用房进行建设），计容。
3.建筑面积不低于200平方米的物管用房，计容。
4.对内公用厕所建筑面积不低于30平方米，计容。
5.建筑面积不低于100平方米的垃圾房，计容。
6.配套建设不低于600平方米的社区用房，不计容，无偿移交政府。</t>
    <phoneticPr fontId="228" type="noConversion"/>
  </si>
  <si>
    <t>1.按每百户不低于20平方米建筑面积标准配建养老服务设施，不计容，产权归政府所有。
2.综合文化活动室（可结合物管用房进行建设），计容。
3.建筑面积不低于165平方米的物管用房，计容。
4.对内公用厕所，建筑面积不低于30平方米，计容。</t>
    <phoneticPr fontId="228" type="noConversion"/>
  </si>
  <si>
    <t xml:space="preserve">1.按每百户不低于20平方米建筑面积标准配建养老服务设施，不计容，产权归政府所有。
2.综合文化活动室（可结合物管用房进行建设），计容。
3.建筑面积不低于375平方米的物管用房，计容。
4.对内公用厕所，其建筑面积不低于60平方米，计容。
5.建筑面积不低于100平方米的垃圾房，计容。
</t>
    <phoneticPr fontId="228" type="noConversion"/>
  </si>
  <si>
    <t>1.按每百户不低于20平方米建筑面积标准配建养老服务设施，不计容，产权归政府所有。
2.综合文化活动室（可结合物管用房进行建设），计容。
3.建筑面积不低于515平方米的物管用房，计容。
4.对内公用厕所，其建筑面积不低于40平方米，计容。
5.建筑面积不低于150平方米的垃圾房，计容。
6.建设100平方米对外服务的公共厕所及管理用房，不计容，产权归政府所有。
7.建设不低于600平方米的社区用房，不计容，产权归政府所有。</t>
    <phoneticPr fontId="228" type="noConversion"/>
  </si>
  <si>
    <t>1.按每百户不低于20平方米建筑面积标准配建养老服务设施，不计容，产权归政府所有。
2.综合文化活动室（可结合物管用房进行建设），计容。
3.建筑面积不低于240平方米的物管用房，计容。
4.对内公用厕所建筑面积不低于40平方米，计容。
5.配套建设户均用地面积不低于0.9平方米的室外健身活动场地或户均建筑面积不低于0.3平方米的室内健身活动场地。</t>
    <phoneticPr fontId="228" type="noConversion"/>
  </si>
  <si>
    <t>场地平整</t>
  </si>
  <si>
    <r>
      <rPr>
        <sz val="11"/>
        <rFont val="宋体"/>
        <family val="3"/>
        <charset val="134"/>
      </rPr>
      <t>成都</t>
    </r>
  </si>
  <si>
    <r>
      <t>1</t>
    </r>
    <r>
      <rPr>
        <sz val="11"/>
        <rFont val="宋体"/>
        <family val="3"/>
        <charset val="134"/>
      </rPr>
      <t>、本指标较</t>
    </r>
    <r>
      <rPr>
        <sz val="11"/>
        <rFont val="Arial"/>
        <family val="2"/>
      </rPr>
      <t>2019</t>
    </r>
    <r>
      <rPr>
        <sz val="11"/>
        <rFont val="宋体"/>
        <family val="3"/>
        <charset val="134"/>
      </rPr>
      <t xml:space="preserve">年下半年下降，原因主要是材料价格下降。
</t>
    </r>
    <r>
      <rPr>
        <sz val="11"/>
        <rFont val="Arial"/>
        <family val="2"/>
      </rPr>
      <t>2</t>
    </r>
    <r>
      <rPr>
        <sz val="11"/>
        <rFont val="宋体"/>
        <family val="3"/>
        <charset val="134"/>
      </rPr>
      <t>、住宅结构类型：多层为框架结构，小高层、高层为框架剪力墙结构。</t>
    </r>
  </si>
  <si>
    <r>
      <t>1.</t>
    </r>
    <r>
      <rPr>
        <sz val="11"/>
        <color indexed="8"/>
        <rFont val="宋体"/>
        <family val="3"/>
        <charset val="134"/>
      </rPr>
      <t xml:space="preserve">本指标为清水房，含土建和一般水电安装。不含土方、地基处理、门窗、精装修、消防弱电、总平绿化等。
</t>
    </r>
    <r>
      <rPr>
        <sz val="11"/>
        <color indexed="8"/>
        <rFont val="Arial"/>
        <family val="2"/>
      </rPr>
      <t>2.</t>
    </r>
    <r>
      <rPr>
        <sz val="11"/>
        <color indexed="8"/>
        <rFont val="宋体"/>
        <family val="3"/>
        <charset val="134"/>
      </rPr>
      <t>本指标较</t>
    </r>
    <r>
      <rPr>
        <sz val="11"/>
        <color indexed="8"/>
        <rFont val="Arial"/>
        <family val="2"/>
      </rPr>
      <t>2019</t>
    </r>
    <r>
      <rPr>
        <sz val="11"/>
        <color indexed="8"/>
        <rFont val="宋体"/>
        <family val="3"/>
        <charset val="134"/>
      </rPr>
      <t>年上半年下降，主要原因是钢材价格下降。</t>
    </r>
    <phoneticPr fontId="3" type="noConversion"/>
  </si>
  <si>
    <t>住宅一期建安</t>
    <phoneticPr fontId="3" type="noConversion"/>
  </si>
  <si>
    <t>可售货值</t>
  </si>
  <si>
    <t>土地款</t>
  </si>
  <si>
    <t>大配套&amp;契税等</t>
  </si>
  <si>
    <t>前期</t>
  </si>
  <si>
    <t>建安工程</t>
  </si>
  <si>
    <t>市政基础</t>
  </si>
  <si>
    <t>公用配套</t>
  </si>
  <si>
    <t>公共维修基金</t>
  </si>
  <si>
    <t>不可预见</t>
  </si>
  <si>
    <t>资金成本</t>
  </si>
  <si>
    <t>开发间接费</t>
  </si>
  <si>
    <t>合计
（含土评增）</t>
  </si>
  <si>
    <t>计容建面</t>
    <phoneticPr fontId="228" type="noConversion"/>
  </si>
  <si>
    <t>中粮天府智慧城</t>
    <phoneticPr fontId="21" type="noConversion"/>
  </si>
  <si>
    <t>天府大道南段与环天府快速路交汇处</t>
    <phoneticPr fontId="21" type="noConversion"/>
  </si>
  <si>
    <t>滨江睿城</t>
    <phoneticPr fontId="21" type="noConversion"/>
  </si>
  <si>
    <t>天府大道南四段与成仁路交汇西南</t>
    <phoneticPr fontId="21" type="noConversion"/>
  </si>
  <si>
    <t>高层26层</t>
    <phoneticPr fontId="21" type="noConversion"/>
  </si>
  <si>
    <r>
      <rPr>
        <sz val="11"/>
        <color indexed="8"/>
        <rFont val="宋体"/>
        <family val="3"/>
        <charset val="134"/>
      </rPr>
      <t>高层</t>
    </r>
    <r>
      <rPr>
        <sz val="11"/>
        <color indexed="8"/>
        <rFont val="Arial"/>
        <family val="2"/>
      </rPr>
      <t>18</t>
    </r>
    <r>
      <rPr>
        <sz val="11"/>
        <color indexed="8"/>
        <rFont val="宋体"/>
        <family val="3"/>
        <charset val="134"/>
      </rPr>
      <t>层</t>
    </r>
    <phoneticPr fontId="21" type="noConversion"/>
  </si>
  <si>
    <t>https://kuaibao.qq.com/s/20201118A0I7VT00?refer=spider_map</t>
    <phoneticPr fontId="228" type="noConversion"/>
  </si>
  <si>
    <r>
      <rPr>
        <sz val="10"/>
        <rFont val="宋体"/>
        <family val="3"/>
        <charset val="134"/>
      </rPr>
      <t>产业</t>
    </r>
    <phoneticPr fontId="228" type="noConversion"/>
  </si>
  <si>
    <r>
      <rPr>
        <sz val="11"/>
        <rFont val="宋体"/>
        <family val="3"/>
        <charset val="134"/>
      </rPr>
      <t>安置</t>
    </r>
    <r>
      <rPr>
        <sz val="11"/>
        <rFont val="Arial"/>
        <family val="2"/>
      </rPr>
      <t>40%</t>
    </r>
    <r>
      <rPr>
        <sz val="11"/>
        <rFont val="宋体"/>
        <family val="3"/>
        <charset val="134"/>
      </rPr>
      <t>，</t>
    </r>
    <r>
      <rPr>
        <sz val="11"/>
        <rFont val="Arial"/>
        <family val="2"/>
      </rPr>
      <t>4000</t>
    </r>
    <r>
      <rPr>
        <sz val="11"/>
        <rFont val="宋体"/>
        <family val="3"/>
        <charset val="134"/>
      </rPr>
      <t>元</t>
    </r>
    <r>
      <rPr>
        <sz val="11"/>
        <rFont val="Arial"/>
        <family val="2"/>
      </rPr>
      <t>/</t>
    </r>
    <r>
      <rPr>
        <sz val="11"/>
        <rFont val="宋体"/>
        <family val="3"/>
        <charset val="134"/>
      </rPr>
      <t>平方米回购</t>
    </r>
    <phoneticPr fontId="26" type="noConversion"/>
  </si>
  <si>
    <t>无</t>
    <phoneticPr fontId="26" type="noConversion"/>
  </si>
  <si>
    <t>无</t>
    <phoneticPr fontId="26" type="noConversion"/>
  </si>
  <si>
    <t>有</t>
    <phoneticPr fontId="26" type="noConversion"/>
  </si>
  <si>
    <t>1.该地块属于带安置的出让土地，安置条件如下。
（1）安置住房面积约占总住宅建筑面积的40%，户型为60平方米、90平方米、120平方米，其户型数占比分别为35％、50%、15%。
（2）安置房须整栋修建、整栋安置，建筑业态、修建标准、室外绿化及相关附属设施等与其他楼栋相同。
（3）标准车位按照国家相关规定配备，政府不予回购，同时给予拆迁户的购买指导价不超过6万元/个。拆迁户购买多个标准车位的，每套安置住房仅可享受6万元/个指导价的标准车位1个，其余车位按市场价执行。
（4）仁寿县视高街道办为安置房回购主体，回购价为4000元/平方米。安置房达到预售条件后3个月内支付总回购款的50%，安置房主体工程完工后3个月内支付总回购款的30%，安置房交房后1个月内支付总回购款的10%，安置房办理安置户产权证书后1个月内支付总回购款的10%。
（5）地块内所有安置房达到预售条件后，可依法办理的非安置房预售面积（不含商业、车位，下同）不超过非安置房总建筑面积的70%；地块内所有安置房主体结构建设进度达到50%后，可依法办理的非安置房总预售面积不超过非安置房总建筑面积的80%；地块内所有安置房主体结构完工后，可依法办理的非安置房总预售面积不超过非安置房总建筑面积的90%；地块内所有安置房交付给视高街道办后，依法办理的非安置房总预售面积可达到非安置房总建筑面积的100%。
（6）回购安置住房涉及的税、费，由竞得人按商品房规定标准缴纳。
（7）本地块竞得人取得土地后须6个月内按程序完成报建手续并开工建设，整个地块3年内竣工，其中：自交付土地之日起18个月内交付安置住房。竞得人取得土地后6个月内未按程序完成报建手续并开工建设，出让人有权无偿收回土地使用权；超期交房而产生的过渡费，作为土地竞得人应承担的违约责任，由竞得人按最新过渡费标准，以应安置建筑面积支付过渡费。竞得人因自身原因造成本项目“烂尾”的，应承担相应的法律责任，具体在《国有建设用地出让合同》补充协议中另行约定。
2.竞得人应按本地块规划设计条件配建市政道路，建成后无偿移交四川天府新区眉山管理委员会。
3.该宗地出让过程中涉及契税、印花税、交易服务费、测绘费等由竞得人缴纳。</t>
    <phoneticPr fontId="228" type="noConversion"/>
  </si>
  <si>
    <t xml:space="preserve">1.该地块属于带安置的出让土地，安置条件如下。
（1）安置住房面积约占总住宅建筑面积的40%，户型为60平方米、90平方米、120平方米，其户型数占比分别为35％、50%、15%。
（2）安置房须整栋修建、整栋安置，建筑业态、修建标准、室外绿化及相关附属设施等与其他楼栋相同。
（3）标准车位按照国家相关规定配备，政府不予回购，同时给予拆迁户的购买指导价不超过6万元/个。拆迁户购买多个标准车位的，每套安置住房仅可享受6万元/个指导价的标准车位1个，其余车位按市场价执行。
（4）仁寿县视高街道办为安置房回购主体，回购价为4000元/平方米。安置房达到预售条件后3个月内支付总回购款的50%，安置房主体工程完工后3个月内支付总回购款的30%，安置房交房后1个月内支付总回购款的10%，安置房办理安置户产权证书后1个月内支付总回购款的10%。
（5）地块内所有安置房达到预售条件后，可依法办理的非安置房预售面积（不含商业、车位，下同）不超过非安置房总建筑面积的70%；地块内所有安置房主体结构建设进度达到50%后，可依法办理的非安置房总预售面积不超过非安置房总建筑面积的80%；地块内所有安置房主体结构完工后，可依法办理的非安置房总预售面积不超过非安置房总建筑面积的90%；地块内所有安置房交付给视高街道办后，依法办理的非安置房总预售面积可达到非安置房总建筑面积的100%。
（6）回购安置住房涉及的税、费，由竞得人按商品房规定标准缴纳。
（7）本地块竞得人取得土地后须6个月内按程序完成报建手续并开工建设，整个地块3年内竣工，其中：自交付土地之日起18个月内交付安置住房。竞得人取得土地后6个月内未按程序完成报建手续并开工建设，出让人有权无偿收回土地使用权；超期交房而产生的过渡费，作为土地竞得人应承担的违约责任，由竞得人按最新过渡费标准，以应安置建筑面积支付过渡费。竞得人因自身原因造成本项目“烂尾”的，应承担相应的法律责任，具体在《国有建设用地出让合同》补充协议中另行约定。
2.竞得人应按本地块规划设计条件配建市政道路、绿化，建成后无偿移交四川天府新区眉山管理委员会。
3.该宗地出让过程中涉及契税、印花税、交易服务费、测绘费等由竞得人缴纳。
4.竞得人在未完成《国有建设用地使用权出让合同》约定和其他约定条件之前不得转让土地使用权。否则，出让人将依法无偿收回土地使用权，重新组织出让。
（五）土地使用权出让年限：70年。
   （六）起拍价38070万元，竞买保证金7614万元。竞得人须在该宗地成交确认后10个工作日内签订《国有建设用地使用权出让合同》。合同签订后30天内缴清土地出让总价款的50％，180天内缴清余款。竞得人逾期不签订《国有建设用地使用权出让合同》的，出让人有权终止供地，且不予退还定金（成交价的20%）。
（七）动工及竣工期限：按《国有建设用地使用权出让合同》的规定办理。
</t>
    <phoneticPr fontId="228" type="noConversion"/>
  </si>
  <si>
    <r>
      <rPr>
        <sz val="11"/>
        <rFont val="宋体"/>
        <family val="3"/>
        <charset val="134"/>
      </rPr>
      <t>安置</t>
    </r>
    <r>
      <rPr>
        <sz val="11"/>
        <rFont val="Arial"/>
        <family val="2"/>
      </rPr>
      <t>40%</t>
    </r>
    <r>
      <rPr>
        <sz val="11"/>
        <rFont val="宋体"/>
        <family val="3"/>
        <charset val="134"/>
      </rPr>
      <t>，</t>
    </r>
    <r>
      <rPr>
        <sz val="11"/>
        <rFont val="Arial"/>
        <family val="2"/>
      </rPr>
      <t>4000</t>
    </r>
    <r>
      <rPr>
        <sz val="11"/>
        <rFont val="宋体"/>
        <family val="3"/>
        <charset val="134"/>
      </rPr>
      <t>元</t>
    </r>
    <r>
      <rPr>
        <sz val="11"/>
        <rFont val="Arial"/>
        <family val="2"/>
      </rPr>
      <t>/</t>
    </r>
    <r>
      <rPr>
        <sz val="11"/>
        <rFont val="宋体"/>
        <family val="3"/>
        <charset val="134"/>
      </rPr>
      <t>平方米回购</t>
    </r>
    <phoneticPr fontId="26" type="noConversion"/>
  </si>
  <si>
    <t>计容单价</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</si>
</sst>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31">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 numFmtId="194" formatCode="_(* #,##0.00_);_(* \(#,##0.00\);_(* &quot;-&quot;??_);_(@_)"/>
    <numFmt numFmtId="195" formatCode="_ * #,##0_ ;_ * \-#,##0_ ;_ * &quot;-&quot;??_ ;_ @_ "/>
    <numFmt numFmtId="196" formatCode="#&quot;月&quot;"/>
    <numFmt numFmtId="197" formatCode="_ * #,##0.00_ ;_ * \-#,##0.00_ ;_ * &quot;-&quot;??_ ;_ @_ "/>
    <numFmt numFmtId="198" formatCode="#,##0.00_ "/>
    <numFmt numFmtId="199" formatCode="[$€-2]\ #,##0.00000_);[Red]\([$€-2]\ #,##0.00000\)"/>
    <numFmt numFmtId="200" formatCode="\¥#,##0_);[Red]\(\¥#,##0\)"/>
    <numFmt numFmtId="201" formatCode="_ * #,##0.0_ ;_ * \-#,##0.0_ ;_ * &quot;-&quot;??_ ;_ @_ "/>
    <numFmt numFmtId="202" formatCode="_ * #,##0_ ;_ * \-#,##0_ ;_ * &quot;-&quot;_ ;_ @_ "/>
    <numFmt numFmtId="203" formatCode="[$-F400]h:mm:ss\ AM/PM"/>
    <numFmt numFmtId="204" formatCode="#,##0.0000"/>
    <numFmt numFmtId="205" formatCode="_(* #,##0_);_(* \(#,##0\);_(* &quot;-&quot;??_);_(@_)"/>
  </numFmts>
  <fonts count="31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宋体"/>
      <family val="3"/>
      <charset val="134"/>
    </font>
    <font>
      <sz val="10"/>
      <name val="宋体"/>
      <family val="3"/>
      <charset val="134"/>
      <scheme val="minor"/>
    </font>
    <font>
      <b/>
      <sz val="10"/>
      <name val="Calibri"/>
      <family val="2"/>
    </font>
    <font>
      <sz val="10"/>
      <name val="Calibri"/>
      <family val="2"/>
    </font>
    <font>
      <sz val="10"/>
      <color rgb="FFFF0000"/>
      <name val="Calibri"/>
      <family val="2"/>
    </font>
    <font>
      <sz val="10"/>
      <color theme="1"/>
      <name val="Calibri"/>
      <family val="2"/>
    </font>
    <font>
      <sz val="10"/>
      <color rgb="FF0070C0"/>
      <name val="Calibri"/>
      <family val="2"/>
    </font>
    <font>
      <b/>
      <sz val="10"/>
      <color theme="0"/>
      <name val="宋体"/>
      <family val="3"/>
      <charset val="134"/>
    </font>
    <font>
      <b/>
      <sz val="10"/>
      <color theme="0"/>
      <name val="Calibri"/>
      <family val="2"/>
    </font>
    <font>
      <sz val="10"/>
      <color theme="0"/>
      <name val="宋体"/>
      <family val="3"/>
      <charset val="134"/>
      <scheme val="minor"/>
    </font>
    <font>
      <sz val="10"/>
      <color theme="0"/>
      <name val="宋体"/>
      <family val="3"/>
      <charset val="134"/>
    </font>
    <font>
      <b/>
      <sz val="9"/>
      <name val="宋体"/>
      <family val="3"/>
      <charset val="134"/>
      <scheme val="minor"/>
    </font>
    <font>
      <sz val="10"/>
      <color theme="0"/>
      <name val="Calibri"/>
      <family val="2"/>
    </font>
    <font>
      <sz val="11"/>
      <color theme="1"/>
      <name val="宋体"/>
      <family val="3"/>
      <charset val="134"/>
      <scheme val="minor"/>
    </font>
    <font>
      <b/>
      <sz val="10"/>
      <color indexed="8"/>
      <name val="华文细黑"/>
      <family val="3"/>
      <charset val="134"/>
    </font>
    <font>
      <sz val="10"/>
      <color indexed="8"/>
      <name val="华文细黑"/>
      <family val="3"/>
      <charset val="134"/>
    </font>
    <font>
      <b/>
      <sz val="14"/>
      <name val="宋体"/>
      <family val="3"/>
      <charset val="134"/>
      <scheme val="minor"/>
    </font>
    <font>
      <b/>
      <sz val="14"/>
      <color rgb="FFFF0000"/>
      <name val="宋体"/>
      <family val="3"/>
      <charset val="134"/>
      <scheme val="minor"/>
    </font>
    <font>
      <b/>
      <sz val="10"/>
      <color rgb="FFFF0000"/>
      <name val="Calibri"/>
      <family val="2"/>
    </font>
    <font>
      <sz val="10"/>
      <color theme="4"/>
      <name val="Calibri"/>
      <family val="2"/>
    </font>
    <font>
      <sz val="11"/>
      <color rgb="FF000000"/>
      <name val="宋体"/>
      <family val="3"/>
      <charset val="134"/>
      <scheme val="minor"/>
    </font>
    <font>
      <sz val="10"/>
      <color rgb="FF000000"/>
      <name val="宋体"/>
      <family val="3"/>
      <charset val="134"/>
      <scheme val="minor"/>
    </font>
    <font>
      <sz val="12"/>
      <color theme="1"/>
      <name val="微软雅黑"/>
      <family val="2"/>
      <charset val="134"/>
    </font>
    <font>
      <b/>
      <sz val="11"/>
      <name val="宋体"/>
      <family val="3"/>
      <charset val="134"/>
      <scheme val="minor"/>
    </font>
    <font>
      <sz val="11"/>
      <name val="宋体"/>
      <family val="3"/>
      <charset val="134"/>
      <scheme val="minor"/>
    </font>
    <font>
      <b/>
      <sz val="10"/>
      <name val="宋体"/>
      <family val="3"/>
      <charset val="134"/>
      <scheme val="minor"/>
    </font>
    <font>
      <b/>
      <sz val="11"/>
      <color theme="1"/>
      <name val="Calibri"/>
      <family val="2"/>
    </font>
    <font>
      <b/>
      <sz val="11"/>
      <color theme="0"/>
      <name val="宋体"/>
      <family val="3"/>
      <charset val="134"/>
      <scheme val="minor"/>
    </font>
    <font>
      <sz val="12"/>
      <color theme="1"/>
      <name val="华文细黑"/>
      <family val="3"/>
      <charset val="134"/>
    </font>
    <font>
      <b/>
      <sz val="12"/>
      <color theme="1"/>
      <name val="华文细黑"/>
      <family val="3"/>
      <charset val="134"/>
    </font>
    <font>
      <b/>
      <sz val="9"/>
      <color theme="0"/>
      <name val="微软雅黑"/>
      <family val="2"/>
      <charset val="134"/>
    </font>
    <font>
      <sz val="9"/>
      <name val="微软雅黑"/>
      <family val="2"/>
      <charset val="134"/>
    </font>
    <font>
      <sz val="11"/>
      <color theme="9" tint="-0.249977111117893"/>
      <name val="宋体"/>
      <family val="3"/>
      <charset val="134"/>
    </font>
    <font>
      <u/>
      <sz val="11"/>
      <color theme="10"/>
      <name val="宋体"/>
      <family val="3"/>
      <charset val="134"/>
      <scheme val="minor"/>
    </font>
  </fonts>
  <fills count="4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9" tint="0.59999389629810485"/>
        <bgColor indexed="64"/>
      </patternFill>
    </fill>
    <fill>
      <patternFill patternType="solid">
        <fgColor rgb="FF00B0F0"/>
        <bgColor indexed="64"/>
      </patternFill>
    </fill>
    <fill>
      <patternFill patternType="solid">
        <fgColor rgb="FFFCD5B4"/>
        <bgColor indexed="64"/>
      </patternFill>
    </fill>
    <fill>
      <patternFill patternType="solid">
        <fgColor rgb="FFFFC000"/>
        <bgColor indexed="64"/>
      </patternFill>
    </fill>
    <fill>
      <patternFill patternType="solid">
        <fgColor theme="7" tint="-0.249977111117893"/>
        <bgColor indexed="64"/>
      </patternFill>
    </fill>
    <fill>
      <patternFill patternType="solid">
        <fgColor theme="5"/>
        <bgColor indexed="64"/>
      </patternFill>
    </fill>
    <fill>
      <patternFill patternType="solid">
        <fgColor theme="0" tint="-0.499984740745262"/>
        <bgColor indexed="64"/>
      </patternFill>
    </fill>
    <fill>
      <patternFill patternType="solid">
        <fgColor theme="0" tint="-4.9989318521683403E-2"/>
        <bgColor indexed="64"/>
      </patternFill>
    </fill>
    <fill>
      <patternFill patternType="solid">
        <fgColor theme="7" tint="0.59999389629810485"/>
        <bgColor indexed="64"/>
      </patternFill>
    </fill>
    <fill>
      <patternFill patternType="solid">
        <fgColor theme="6" tint="0.39988402966399123"/>
        <bgColor indexed="64"/>
      </patternFill>
    </fill>
    <fill>
      <patternFill patternType="solid">
        <fgColor theme="7" tint="0.39988402966399123"/>
        <bgColor indexed="64"/>
      </patternFill>
    </fill>
    <fill>
      <patternFill patternType="solid">
        <fgColor theme="9" tint="0.59999389629810485"/>
        <bgColor rgb="FF000000"/>
      </patternFill>
    </fill>
    <fill>
      <patternFill patternType="solid">
        <fgColor rgb="FFFFC000"/>
        <bgColor rgb="FF000000"/>
      </patternFill>
    </fill>
    <fill>
      <patternFill patternType="solid">
        <fgColor theme="8" tint="0.39988402966399123"/>
        <bgColor indexed="64"/>
      </patternFill>
    </fill>
    <fill>
      <patternFill patternType="solid">
        <fgColor theme="3" tint="0.39988402966399123"/>
        <bgColor indexed="64"/>
      </patternFill>
    </fill>
    <fill>
      <patternFill patternType="solid">
        <fgColor rgb="FF92D050"/>
        <bgColor rgb="FF000000"/>
      </patternFill>
    </fill>
    <fill>
      <patternFill patternType="solid">
        <fgColor rgb="FFFFFF00"/>
        <bgColor rgb="FF000000"/>
      </patternFill>
    </fill>
    <fill>
      <patternFill patternType="solid">
        <fgColor rgb="FF00B050"/>
        <bgColor indexed="64"/>
      </patternFill>
    </fill>
    <fill>
      <patternFill patternType="solid">
        <fgColor indexed="22"/>
        <bgColor indexed="64"/>
      </patternFill>
    </fill>
    <fill>
      <patternFill patternType="solid">
        <fgColor theme="2"/>
        <bgColor indexed="64"/>
      </patternFill>
    </fill>
    <fill>
      <patternFill patternType="solid">
        <fgColor theme="9" tint="0.79998168889431442"/>
        <bgColor indexed="64"/>
      </patternFill>
    </fill>
  </fills>
  <borders count="18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thin">
        <color auto="1"/>
      </left>
      <right/>
      <top style="thin">
        <color auto="1"/>
      </top>
      <bottom style="thin">
        <color theme="0"/>
      </bottom>
      <diagonal/>
    </border>
    <border>
      <left/>
      <right/>
      <top style="thin">
        <color auto="1"/>
      </top>
      <bottom style="thin">
        <color theme="0"/>
      </bottom>
      <diagonal/>
    </border>
    <border>
      <left/>
      <right style="thin">
        <color theme="0"/>
      </right>
      <top style="thin">
        <color auto="1"/>
      </top>
      <bottom style="thin">
        <color theme="0"/>
      </bottom>
      <diagonal/>
    </border>
    <border>
      <left style="thin">
        <color theme="0"/>
      </left>
      <right/>
      <top style="thin">
        <color auto="1"/>
      </top>
      <bottom style="thin">
        <color theme="0"/>
      </bottom>
      <diagonal/>
    </border>
    <border>
      <left style="thin">
        <color auto="1"/>
      </left>
      <right style="thin">
        <color theme="0"/>
      </right>
      <top/>
      <bottom style="thin">
        <color theme="0"/>
      </bottom>
      <diagonal/>
    </border>
    <border>
      <left/>
      <right style="thin">
        <color theme="0"/>
      </right>
      <top/>
      <bottom style="thin">
        <color theme="0"/>
      </bottom>
      <diagonal/>
    </border>
    <border>
      <left style="thin">
        <color auto="1"/>
      </left>
      <right style="thin">
        <color theme="0"/>
      </right>
      <top style="thin">
        <color theme="0"/>
      </top>
      <bottom style="thin">
        <color theme="0"/>
      </bottom>
      <diagonal/>
    </border>
    <border>
      <left/>
      <right style="thin">
        <color theme="0"/>
      </right>
      <top style="thin">
        <color theme="0"/>
      </top>
      <bottom style="thin">
        <color theme="0"/>
      </bottom>
      <diagonal/>
    </border>
    <border>
      <left/>
      <right style="thin">
        <color rgb="FFFFFFFF"/>
      </right>
      <top style="thin">
        <color rgb="FFFFFFFF"/>
      </top>
      <bottom style="thin">
        <color rgb="FFFFFFFF"/>
      </bottom>
      <diagonal/>
    </border>
    <border>
      <left style="thin">
        <color theme="0"/>
      </left>
      <right style="thin">
        <color theme="0"/>
      </right>
      <top style="thin">
        <color theme="0"/>
      </top>
      <bottom style="thin">
        <color theme="0"/>
      </bottom>
      <diagonal/>
    </border>
    <border>
      <left style="thin">
        <color auto="1"/>
      </left>
      <right/>
      <top style="thin">
        <color theme="0"/>
      </top>
      <bottom style="thin">
        <color auto="1"/>
      </bottom>
      <diagonal/>
    </border>
    <border>
      <left/>
      <right/>
      <top style="thin">
        <color theme="0"/>
      </top>
      <bottom style="thin">
        <color auto="1"/>
      </bottom>
      <diagonal/>
    </border>
    <border>
      <left/>
      <right style="thin">
        <color theme="0"/>
      </right>
      <top style="thin">
        <color theme="0"/>
      </top>
      <bottom/>
      <diagonal/>
    </border>
    <border>
      <left/>
      <right style="thin">
        <color theme="0"/>
      </right>
      <top style="thin">
        <color auto="1"/>
      </top>
      <bottom style="thin">
        <color auto="1"/>
      </bottom>
      <diagonal/>
    </border>
    <border>
      <left style="thin">
        <color auto="1"/>
      </left>
      <right style="thin">
        <color theme="0"/>
      </right>
      <top style="thin">
        <color auto="1"/>
      </top>
      <bottom style="thin">
        <color theme="0"/>
      </bottom>
      <diagonal/>
    </border>
    <border>
      <left style="thin">
        <color theme="0"/>
      </left>
      <right style="thin">
        <color theme="0"/>
      </right>
      <top style="thin">
        <color auto="1"/>
      </top>
      <bottom style="thin">
        <color theme="0"/>
      </bottom>
      <diagonal/>
    </border>
    <border>
      <left style="thin">
        <color theme="0"/>
      </left>
      <right style="thin">
        <color theme="0"/>
      </right>
      <top style="thin">
        <color theme="0"/>
      </top>
      <bottom/>
      <diagonal/>
    </border>
    <border>
      <left style="thin">
        <color auto="1"/>
      </left>
      <right style="thin">
        <color theme="0"/>
      </right>
      <top style="thin">
        <color theme="0"/>
      </top>
      <bottom style="thin">
        <color auto="1"/>
      </bottom>
      <diagonal/>
    </border>
    <border>
      <left style="thin">
        <color theme="0"/>
      </left>
      <right style="thin">
        <color theme="0"/>
      </right>
      <top style="thin">
        <color theme="0"/>
      </top>
      <bottom style="thin">
        <color auto="1"/>
      </bottom>
      <diagonal/>
    </border>
    <border>
      <left/>
      <right style="thin">
        <color theme="0"/>
      </right>
      <top style="thin">
        <color theme="0"/>
      </top>
      <bottom style="thin">
        <color auto="1"/>
      </bottom>
      <diagonal/>
    </border>
    <border>
      <left style="thin">
        <color auto="1"/>
      </left>
      <right style="thin">
        <color theme="0"/>
      </right>
      <top style="thin">
        <color theme="0"/>
      </top>
      <bottom/>
      <diagonal/>
    </border>
    <border>
      <left style="thin">
        <color theme="0"/>
      </left>
      <right style="thin">
        <color theme="0"/>
      </right>
      <top/>
      <bottom style="thin">
        <color theme="0"/>
      </bottom>
      <diagonal/>
    </border>
    <border>
      <left style="thin">
        <color theme="0" tint="-0.249977111117893"/>
      </left>
      <right style="thin">
        <color theme="0" tint="-0.249977111117893"/>
      </right>
      <top style="thin">
        <color theme="0" tint="-0.249977111117893"/>
      </top>
      <bottom style="thin">
        <color theme="0" tint="-0.249977111117893"/>
      </bottom>
      <diagonal/>
    </border>
    <border>
      <left/>
      <right style="thin">
        <color theme="0" tint="-0.249977111117893"/>
      </right>
      <top style="thin">
        <color theme="0" tint="-0.249977111117893"/>
      </top>
      <bottom style="thin">
        <color theme="0" tint="-0.249977111117893"/>
      </bottom>
      <diagonal/>
    </border>
    <border>
      <left style="thin">
        <color theme="0" tint="-0.249977111117893"/>
      </left>
      <right/>
      <top style="thin">
        <color theme="0" tint="-0.249977111117893"/>
      </top>
      <bottom style="thin">
        <color theme="0" tint="-0.249977111117893"/>
      </bottom>
      <diagonal/>
    </border>
  </borders>
  <cellStyleXfs count="34">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xf numFmtId="0" fontId="32" fillId="0" borderId="0"/>
    <xf numFmtId="9" fontId="145" fillId="0" borderId="0" applyFont="0" applyFill="0" applyBorder="0" applyAlignment="0" applyProtection="0">
      <alignment vertical="center"/>
    </xf>
    <xf numFmtId="0" fontId="145" fillId="0" borderId="0">
      <alignment vertical="center"/>
    </xf>
    <xf numFmtId="194" fontId="145" fillId="0" borderId="0" applyFont="0" applyFill="0" applyBorder="0" applyAlignment="0" applyProtection="0">
      <alignment vertical="center"/>
    </xf>
    <xf numFmtId="197" fontId="145" fillId="0" borderId="0" applyFont="0" applyFill="0" applyBorder="0" applyAlignment="0" applyProtection="0">
      <alignment vertical="center"/>
    </xf>
    <xf numFmtId="194" fontId="145" fillId="0" borderId="0" applyFont="0" applyFill="0" applyBorder="0" applyAlignment="0" applyProtection="0">
      <alignment vertical="center"/>
    </xf>
    <xf numFmtId="194" fontId="145" fillId="0" borderId="0" applyFont="0" applyFill="0" applyBorder="0" applyAlignment="0" applyProtection="0">
      <alignment vertical="center"/>
    </xf>
    <xf numFmtId="194" fontId="145" fillId="0" borderId="0" applyFont="0" applyFill="0" applyBorder="0" applyAlignment="0" applyProtection="0">
      <alignment vertical="center"/>
    </xf>
    <xf numFmtId="194" fontId="145" fillId="0" borderId="0" applyFont="0" applyFill="0" applyBorder="0" applyAlignment="0" applyProtection="0">
      <alignment vertical="center"/>
    </xf>
    <xf numFmtId="199" fontId="32" fillId="0" borderId="0"/>
    <xf numFmtId="199" fontId="145" fillId="0" borderId="0">
      <alignment vertical="center"/>
    </xf>
    <xf numFmtId="9" fontId="293" fillId="0" borderId="0" applyFont="0" applyFill="0" applyBorder="0" applyAlignment="0" applyProtection="0">
      <alignment vertical="center"/>
    </xf>
    <xf numFmtId="0" fontId="145" fillId="0" borderId="0"/>
    <xf numFmtId="203" fontId="145" fillId="0" borderId="0"/>
    <xf numFmtId="194" fontId="302" fillId="0" borderId="0" applyFont="0" applyFill="0" applyBorder="0" applyAlignment="0" applyProtection="0">
      <alignment vertical="center"/>
    </xf>
    <xf numFmtId="194" fontId="145" fillId="0" borderId="0" applyFont="0" applyFill="0" applyBorder="0" applyAlignment="0" applyProtection="0">
      <alignment vertical="center"/>
    </xf>
    <xf numFmtId="0" fontId="313" fillId="0" borderId="0" applyNumberFormat="0" applyFill="0" applyBorder="0" applyAlignment="0" applyProtection="0">
      <alignment vertical="center"/>
    </xf>
  </cellStyleXfs>
  <cellXfs count="396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0" fontId="71" fillId="5" borderId="43" xfId="0" applyFont="1" applyFill="1" applyBorder="1" applyAlignment="1" applyProtection="1">
      <alignment horizontal="right" vertical="center" wrapText="1"/>
    </xf>
    <xf numFmtId="0" fontId="71" fillId="5" borderId="24" xfId="0" applyFont="1" applyFill="1" applyBorder="1" applyAlignment="1" applyProtection="1">
      <alignment vertical="center" wrapText="1"/>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0" fontId="52"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4"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4"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7"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4" fontId="157" fillId="12" borderId="120" xfId="13" applyNumberFormat="1" applyFont="1" applyFill="1" applyBorder="1" applyAlignment="1" applyProtection="1">
      <alignment horizontal="left" vertical="center" wrapText="1"/>
    </xf>
    <xf numFmtId="184" fontId="157" fillId="12" borderId="127" xfId="13" applyNumberFormat="1" applyFont="1" applyFill="1" applyBorder="1" applyAlignment="1" applyProtection="1">
      <alignment horizontal="left" vertical="center" wrapText="1"/>
    </xf>
    <xf numFmtId="181" fontId="152" fillId="0" borderId="122" xfId="10" applyNumberFormat="1" applyFont="1" applyBorder="1" applyAlignment="1">
      <alignment horizontal="left" vertical="center"/>
    </xf>
    <xf numFmtId="181"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4" fontId="157" fillId="12" borderId="120" xfId="13" applyNumberFormat="1" applyFont="1" applyFill="1" applyBorder="1" applyAlignment="1">
      <alignment horizontal="left" vertical="center" wrapText="1"/>
    </xf>
    <xf numFmtId="184"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4" fontId="157" fillId="12" borderId="120" xfId="10" applyNumberFormat="1" applyFont="1" applyFill="1" applyBorder="1" applyAlignment="1">
      <alignment horizontal="left" vertical="center" wrapText="1"/>
    </xf>
    <xf numFmtId="184"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4" fontId="157" fillId="12" borderId="124" xfId="10" applyNumberFormat="1" applyFont="1" applyFill="1" applyBorder="1" applyAlignment="1">
      <alignment horizontal="left" vertical="center" wrapText="1"/>
    </xf>
    <xf numFmtId="184"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4"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7"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4" fontId="157" fillId="12" borderId="130" xfId="10" applyNumberFormat="1" applyFont="1" applyFill="1" applyBorder="1" applyAlignment="1">
      <alignment horizontal="left" vertical="center" wrapText="1"/>
    </xf>
    <xf numFmtId="184" fontId="157" fillId="12" borderId="134" xfId="10" applyNumberFormat="1" applyFont="1" applyFill="1" applyBorder="1" applyAlignment="1">
      <alignment horizontal="left" vertical="center" wrapText="1"/>
    </xf>
    <xf numFmtId="184" fontId="152" fillId="14" borderId="0" xfId="10" applyNumberFormat="1" applyFont="1" applyFill="1" applyAlignment="1">
      <alignment horizontal="left" vertical="center"/>
    </xf>
    <xf numFmtId="184"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7"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8"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8"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0" fontId="152" fillId="0" borderId="0" xfId="10" applyNumberFormat="1" applyFont="1" applyAlignment="1">
      <alignment horizontal="left" vertical="center"/>
    </xf>
    <xf numFmtId="180" fontId="152" fillId="0" borderId="122" xfId="10" applyNumberFormat="1" applyFont="1" applyBorder="1" applyAlignment="1">
      <alignment horizontal="left" vertical="center"/>
    </xf>
    <xf numFmtId="177"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0"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8"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0" fontId="158" fillId="0" borderId="0" xfId="10" applyNumberFormat="1" applyFont="1" applyAlignment="1">
      <alignment horizontal="left" vertical="center"/>
    </xf>
    <xf numFmtId="180"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1" fontId="83" fillId="17" borderId="48" xfId="0" applyNumberFormat="1" applyFont="1" applyFill="1" applyBorder="1" applyAlignment="1" applyProtection="1">
      <alignment horizontal="left" vertical="center" wrapText="1"/>
      <protection locked="0"/>
    </xf>
    <xf numFmtId="176"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1"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6"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3" fontId="275" fillId="0" borderId="2" xfId="7" applyNumberFormat="1" applyFont="1" applyFill="1" applyBorder="1" applyAlignment="1">
      <alignment horizontal="left" vertical="center"/>
    </xf>
    <xf numFmtId="190"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3"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0"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3"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79"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79"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79"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79"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79" fontId="153" fillId="13" borderId="0" xfId="0" applyNumberFormat="1" applyFont="1" applyFill="1" applyAlignment="1" applyProtection="1">
      <alignment vertical="center"/>
    </xf>
    <xf numFmtId="181"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4"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1"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7" fontId="84" fillId="13" borderId="0" xfId="0" applyNumberFormat="1" applyFont="1" applyFill="1" applyAlignment="1" applyProtection="1">
      <alignment horizontal="center" vertical="center"/>
      <protection locked="0"/>
    </xf>
    <xf numFmtId="187"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7"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7" fontId="101" fillId="5" borderId="19" xfId="0" applyNumberFormat="1" applyFont="1" applyFill="1" applyBorder="1" applyAlignment="1" applyProtection="1">
      <protection locked="0"/>
    </xf>
    <xf numFmtId="177"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7"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7"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0" fillId="8" borderId="0" xfId="0" applyFill="1">
      <alignment vertical="center"/>
    </xf>
    <xf numFmtId="0" fontId="86" fillId="20" borderId="0" xfId="16" applyFill="1"/>
    <xf numFmtId="0" fontId="0" fillId="20" borderId="0" xfId="0" applyFill="1">
      <alignment vertical="center"/>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6" fillId="0" borderId="0" xfId="16" applyBorder="1"/>
    <xf numFmtId="183" fontId="187" fillId="0" borderId="2" xfId="0" applyNumberFormat="1" applyFont="1" applyFill="1" applyBorder="1" applyAlignment="1" applyProtection="1">
      <alignment horizontal="center" vertical="center" shrinkToFit="1"/>
      <protection locked="0"/>
    </xf>
    <xf numFmtId="0" fontId="86" fillId="0" borderId="0" xfId="16"/>
    <xf numFmtId="0" fontId="86" fillId="0" borderId="0" xfId="16"/>
    <xf numFmtId="0" fontId="86" fillId="0" borderId="0" xfId="16"/>
    <xf numFmtId="0" fontId="86" fillId="0" borderId="0" xfId="16"/>
    <xf numFmtId="0" fontId="86" fillId="0" borderId="26" xfId="16" applyBorder="1"/>
    <xf numFmtId="0" fontId="86" fillId="0" borderId="28" xfId="16" applyBorder="1"/>
    <xf numFmtId="0" fontId="0" fillId="0" borderId="28" xfId="0" applyBorder="1">
      <alignment vertical="center"/>
    </xf>
    <xf numFmtId="0" fontId="86" fillId="0" borderId="31" xfId="16" applyBorder="1"/>
    <xf numFmtId="0" fontId="0" fillId="0" borderId="0" xfId="0" applyBorder="1">
      <alignment vertical="center"/>
    </xf>
    <xf numFmtId="0" fontId="86" fillId="0" borderId="54" xfId="16" applyBorder="1"/>
    <xf numFmtId="0" fontId="86" fillId="0" borderId="61" xfId="16" applyBorder="1"/>
    <xf numFmtId="0" fontId="0" fillId="0" borderId="61" xfId="0" applyBorder="1">
      <alignment vertical="center"/>
    </xf>
    <xf numFmtId="0" fontId="127" fillId="20" borderId="0" xfId="16" applyFont="1" applyFill="1"/>
    <xf numFmtId="10" fontId="76" fillId="13" borderId="0" xfId="0" applyNumberFormat="1" applyFont="1" applyFill="1" applyAlignment="1" applyProtection="1">
      <alignment vertical="center"/>
      <protection locked="0"/>
    </xf>
    <xf numFmtId="0" fontId="280" fillId="0" borderId="0" xfId="0" applyFont="1" applyFill="1" applyAlignment="1" applyProtection="1">
      <protection locked="0"/>
    </xf>
    <xf numFmtId="0" fontId="133" fillId="0" borderId="0" xfId="0" applyFont="1" applyFill="1" applyAlignment="1" applyProtection="1">
      <protection locked="0"/>
    </xf>
    <xf numFmtId="0" fontId="264" fillId="0" borderId="105" xfId="0" applyNumberFormat="1" applyFont="1" applyFill="1" applyBorder="1" applyAlignment="1" applyProtection="1">
      <alignment horizontal="center" vertical="center" wrapText="1"/>
      <protection locked="0"/>
    </xf>
    <xf numFmtId="0" fontId="82" fillId="0" borderId="0" xfId="0" applyFont="1" applyAlignment="1" applyProtection="1">
      <alignment horizontal="center" vertical="center" wrapText="1"/>
      <protection locked="0"/>
    </xf>
    <xf numFmtId="0" fontId="115" fillId="0" borderId="2" xfId="0" applyFont="1" applyFill="1" applyBorder="1" applyAlignment="1" applyProtection="1">
      <alignment horizontal="left" vertical="center"/>
      <protection locked="0"/>
    </xf>
    <xf numFmtId="0" fontId="76" fillId="0" borderId="2" xfId="0" applyFont="1" applyBorder="1" applyAlignment="1" applyProtection="1">
      <alignment horizontal="left" vertical="center"/>
      <protection locked="0"/>
    </xf>
    <xf numFmtId="0" fontId="117" fillId="0" borderId="2" xfId="0" applyFont="1" applyFill="1" applyBorder="1" applyAlignment="1" applyProtection="1">
      <alignment horizontal="right" vertical="center"/>
      <protection locked="0"/>
    </xf>
    <xf numFmtId="0" fontId="76" fillId="0" borderId="2" xfId="0" applyFont="1" applyBorder="1" applyAlignment="1" applyProtection="1">
      <alignment horizontal="right" vertical="center"/>
      <protection locked="0"/>
    </xf>
    <xf numFmtId="0" fontId="81" fillId="0" borderId="59"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144" fillId="13" borderId="0" xfId="0" applyFont="1" applyFill="1" applyAlignment="1" applyProtection="1">
      <alignment horizontal="center" vertical="center"/>
      <protection locked="0"/>
    </xf>
    <xf numFmtId="0" fontId="212" fillId="13" borderId="0" xfId="0" applyFont="1" applyFill="1" applyBorder="1" applyAlignment="1" applyProtection="1">
      <alignment vertical="center"/>
      <protection locked="0"/>
    </xf>
    <xf numFmtId="0" fontId="281" fillId="0" borderId="0" xfId="17" applyFont="1" applyAlignment="1" applyProtection="1">
      <alignment horizontal="center" vertical="center" wrapText="1"/>
      <protection locked="0"/>
    </xf>
    <xf numFmtId="196" fontId="127" fillId="22" borderId="162" xfId="20" applyNumberFormat="1" applyFont="1" applyFill="1" applyBorder="1" applyAlignment="1" applyProtection="1">
      <alignment horizontal="center" vertical="center" wrapText="1"/>
    </xf>
    <xf numFmtId="195" fontId="283" fillId="22" borderId="164" xfId="22" applyNumberFormat="1" applyFont="1" applyFill="1" applyBorder="1" applyAlignment="1" applyProtection="1">
      <alignment horizontal="left" vertical="center" wrapText="1"/>
    </xf>
    <xf numFmtId="195" fontId="283" fillId="21" borderId="164" xfId="21" applyNumberFormat="1" applyFont="1" applyFill="1" applyBorder="1" applyAlignment="1" applyProtection="1">
      <alignment horizontal="left" vertical="center"/>
      <protection locked="0"/>
    </xf>
    <xf numFmtId="195" fontId="286" fillId="21" borderId="164" xfId="21" applyNumberFormat="1" applyFont="1" applyFill="1" applyBorder="1" applyAlignment="1" applyProtection="1">
      <alignment horizontal="left" vertical="center"/>
      <protection locked="0"/>
    </xf>
    <xf numFmtId="197" fontId="283" fillId="21" borderId="164" xfId="21" applyNumberFormat="1" applyFont="1" applyFill="1" applyBorder="1" applyAlignment="1" applyProtection="1">
      <alignment horizontal="left" vertical="center"/>
      <protection locked="0"/>
    </xf>
    <xf numFmtId="195" fontId="284" fillId="21" borderId="166" xfId="21" applyNumberFormat="1" applyFont="1" applyFill="1" applyBorder="1" applyAlignment="1" applyProtection="1">
      <alignment horizontal="left" vertical="center"/>
      <protection locked="0"/>
    </xf>
    <xf numFmtId="195" fontId="283" fillId="21" borderId="2" xfId="21" applyNumberFormat="1" applyFont="1" applyFill="1" applyBorder="1" applyAlignment="1" applyProtection="1">
      <alignment horizontal="left" vertical="center"/>
      <protection locked="0"/>
    </xf>
    <xf numFmtId="195" fontId="285" fillId="22" borderId="164" xfId="22" applyNumberFormat="1" applyFont="1" applyFill="1" applyBorder="1" applyAlignment="1" applyProtection="1">
      <alignment horizontal="left" vertical="center" wrapText="1"/>
    </xf>
    <xf numFmtId="176" fontId="284" fillId="21" borderId="164" xfId="21" applyNumberFormat="1" applyFont="1" applyFill="1" applyBorder="1" applyAlignment="1" applyProtection="1">
      <alignment horizontal="center" vertical="center"/>
      <protection locked="0"/>
    </xf>
    <xf numFmtId="176" fontId="283" fillId="21" borderId="164" xfId="21" applyNumberFormat="1" applyFont="1" applyFill="1" applyBorder="1" applyAlignment="1" applyProtection="1">
      <alignment horizontal="left" vertical="center"/>
      <protection locked="0"/>
    </xf>
    <xf numFmtId="195" fontId="288" fillId="25" borderId="169" xfId="20" applyNumberFormat="1" applyFont="1" applyFill="1" applyBorder="1" applyAlignment="1" applyProtection="1">
      <alignment horizontal="left" vertical="center"/>
    </xf>
    <xf numFmtId="196" fontId="127" fillId="22" borderId="172" xfId="20" applyNumberFormat="1" applyFont="1" applyFill="1" applyBorder="1" applyAlignment="1" applyProtection="1">
      <alignment horizontal="center" vertical="center" wrapText="1"/>
    </xf>
    <xf numFmtId="195" fontId="285" fillId="22" borderId="172" xfId="20" applyNumberFormat="1" applyFont="1" applyFill="1" applyBorder="1" applyAlignment="1" applyProtection="1">
      <alignment horizontal="left" vertical="center"/>
    </xf>
    <xf numFmtId="195" fontId="285" fillId="22" borderId="166" xfId="20" applyNumberFormat="1" applyFont="1" applyFill="1" applyBorder="1" applyAlignment="1" applyProtection="1">
      <alignment horizontal="left" vertical="center"/>
    </xf>
    <xf numFmtId="195" fontId="285" fillId="22" borderId="173" xfId="20" applyNumberFormat="1" applyFont="1" applyFill="1" applyBorder="1" applyAlignment="1" applyProtection="1">
      <alignment horizontal="left" vertical="center"/>
    </xf>
    <xf numFmtId="195" fontId="288" fillId="25" borderId="175" xfId="20" applyNumberFormat="1" applyFont="1" applyFill="1" applyBorder="1" applyAlignment="1" applyProtection="1">
      <alignment horizontal="left" vertical="center"/>
    </xf>
    <xf numFmtId="0" fontId="281" fillId="0" borderId="0" xfId="17" applyFont="1" applyAlignment="1" applyProtection="1">
      <alignment horizontal="center" vertical="center"/>
      <protection locked="0"/>
    </xf>
    <xf numFmtId="196" fontId="221" fillId="22" borderId="160" xfId="20" applyNumberFormat="1" applyFont="1" applyFill="1" applyBorder="1" applyAlignment="1" applyProtection="1">
      <alignment horizontal="center" vertical="center" wrapText="1"/>
    </xf>
    <xf numFmtId="0" fontId="86" fillId="0" borderId="31" xfId="16" applyFill="1" applyBorder="1"/>
    <xf numFmtId="0" fontId="86" fillId="0" borderId="0" xfId="16" applyFill="1" applyBorder="1"/>
    <xf numFmtId="0" fontId="145" fillId="0" borderId="0" xfId="0" applyFont="1" applyFill="1" applyBorder="1">
      <alignment vertical="center"/>
    </xf>
    <xf numFmtId="0" fontId="0" fillId="0" borderId="0" xfId="0" applyFill="1" applyBorder="1">
      <alignment vertical="center"/>
    </xf>
    <xf numFmtId="0" fontId="86" fillId="0" borderId="0" xfId="16" applyFill="1"/>
    <xf numFmtId="0" fontId="0" fillId="0" borderId="0" xfId="0" applyFill="1">
      <alignment vertical="center"/>
    </xf>
    <xf numFmtId="0" fontId="144" fillId="0" borderId="5" xfId="0" applyFont="1" applyFill="1" applyBorder="1" applyAlignment="1" applyProtection="1">
      <alignment horizontal="center" vertical="center"/>
      <protection locked="0"/>
    </xf>
    <xf numFmtId="0" fontId="86" fillId="26" borderId="0" xfId="16" applyFill="1"/>
    <xf numFmtId="0" fontId="0" fillId="26" borderId="0" xfId="0" applyFill="1">
      <alignment vertical="center"/>
    </xf>
    <xf numFmtId="0" fontId="78" fillId="8" borderId="8"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86" fillId="27" borderId="0" xfId="16" applyFill="1"/>
    <xf numFmtId="0" fontId="0" fillId="27" borderId="0" xfId="0" applyFill="1">
      <alignment vertical="center"/>
    </xf>
    <xf numFmtId="0" fontId="81" fillId="0" borderId="8" xfId="0" applyNumberFormat="1" applyFont="1" applyFill="1" applyBorder="1" applyAlignment="1" applyProtection="1">
      <alignment horizontal="center" vertical="center" wrapText="1"/>
      <protection locked="0"/>
    </xf>
    <xf numFmtId="183" fontId="84" fillId="0" borderId="33" xfId="0" applyNumberFormat="1" applyFont="1" applyFill="1" applyBorder="1" applyAlignment="1" applyProtection="1">
      <alignment horizontal="center" vertical="center" wrapText="1"/>
      <protection locked="0"/>
    </xf>
    <xf numFmtId="0" fontId="86" fillId="28" borderId="0" xfId="16" applyFill="1"/>
    <xf numFmtId="0" fontId="0" fillId="28" borderId="0" xfId="0" applyFill="1">
      <alignment vertical="center"/>
    </xf>
    <xf numFmtId="0" fontId="133" fillId="8" borderId="63" xfId="0" applyFont="1" applyFill="1" applyBorder="1" applyAlignment="1" applyProtection="1">
      <alignment horizontal="left" vertical="center" wrapText="1"/>
      <protection locked="0"/>
    </xf>
    <xf numFmtId="9" fontId="84" fillId="0" borderId="2" xfId="0" applyNumberFormat="1" applyFont="1" applyFill="1" applyBorder="1" applyAlignment="1" applyProtection="1">
      <alignment horizontal="center" vertical="center" wrapText="1"/>
      <protection locked="0"/>
    </xf>
    <xf numFmtId="0" fontId="250" fillId="13" borderId="0" xfId="0" applyFont="1" applyFill="1" applyAlignment="1" applyProtection="1">
      <alignment horizontal="center" vertical="center"/>
      <protection locked="0"/>
    </xf>
    <xf numFmtId="10" fontId="84" fillId="0" borderId="11" xfId="0" applyNumberFormat="1" applyFont="1" applyFill="1" applyBorder="1" applyAlignment="1" applyProtection="1">
      <alignment horizontal="center" vertical="center" wrapText="1"/>
      <protection locked="0"/>
    </xf>
    <xf numFmtId="10" fontId="84" fillId="0" borderId="8" xfId="0" applyNumberFormat="1" applyFont="1" applyFill="1" applyBorder="1" applyAlignment="1" applyProtection="1">
      <alignment horizontal="center" vertical="center" wrapText="1"/>
      <protection locked="0"/>
    </xf>
    <xf numFmtId="0" fontId="86" fillId="0" borderId="28" xfId="16" applyFill="1" applyBorder="1"/>
    <xf numFmtId="10" fontId="84" fillId="2" borderId="25" xfId="0" applyNumberFormat="1" applyFont="1" applyFill="1" applyBorder="1" applyAlignment="1" applyProtection="1">
      <alignment horizontal="center" vertical="center"/>
      <protection locked="0"/>
    </xf>
    <xf numFmtId="10" fontId="84" fillId="0" borderId="25" xfId="0" applyNumberFormat="1" applyFont="1" applyFill="1" applyBorder="1" applyAlignment="1" applyProtection="1">
      <alignment horizontal="center" vertical="center"/>
      <protection locked="0"/>
    </xf>
    <xf numFmtId="10" fontId="84" fillId="0" borderId="46" xfId="0" applyNumberFormat="1" applyFont="1" applyFill="1" applyBorder="1" applyAlignment="1" applyProtection="1">
      <alignment horizontal="center" vertical="center"/>
      <protection locked="0"/>
    </xf>
    <xf numFmtId="10" fontId="84" fillId="0" borderId="52" xfId="0" applyNumberFormat="1" applyFont="1" applyFill="1" applyBorder="1" applyAlignment="1" applyProtection="1">
      <alignment horizontal="center" vertical="center"/>
      <protection locked="0"/>
    </xf>
    <xf numFmtId="0" fontId="82" fillId="0" borderId="0" xfId="0" applyFont="1" applyFill="1" applyAlignment="1" applyProtection="1">
      <protection locked="0"/>
    </xf>
    <xf numFmtId="1" fontId="71" fillId="0" borderId="0" xfId="0" applyNumberFormat="1" applyFont="1" applyFill="1" applyAlignment="1" applyProtection="1">
      <protection locked="0"/>
    </xf>
    <xf numFmtId="0" fontId="81" fillId="0" borderId="0" xfId="0" applyFont="1" applyFill="1" applyAlignment="1" applyProtection="1">
      <protection locked="0"/>
    </xf>
    <xf numFmtId="0" fontId="149" fillId="0" borderId="12" xfId="0" applyFont="1" applyBorder="1" applyAlignment="1" applyProtection="1">
      <alignment horizontal="center" vertical="center"/>
      <protection locked="0"/>
    </xf>
    <xf numFmtId="0" fontId="71" fillId="13" borderId="0" xfId="1" applyFont="1" applyFill="1" applyAlignment="1" applyProtection="1">
      <alignment vertical="center"/>
      <protection locked="0"/>
    </xf>
    <xf numFmtId="0" fontId="81" fillId="0" borderId="20" xfId="0" applyNumberFormat="1" applyFont="1" applyFill="1" applyBorder="1" applyAlignment="1" applyProtection="1">
      <alignment horizontal="center" vertical="center" wrapText="1"/>
      <protection locked="0"/>
    </xf>
    <xf numFmtId="0" fontId="52" fillId="0" borderId="50" xfId="0" applyNumberFormat="1" applyFont="1" applyFill="1" applyBorder="1" applyAlignment="1" applyProtection="1">
      <alignment horizontal="center" vertical="center" wrapText="1"/>
      <protection locked="0"/>
    </xf>
    <xf numFmtId="181" fontId="83" fillId="17" borderId="56" xfId="0" applyNumberFormat="1" applyFont="1" applyFill="1" applyBorder="1" applyAlignment="1" applyProtection="1">
      <alignment horizontal="left" vertical="center" wrapText="1"/>
      <protection locked="0"/>
    </xf>
    <xf numFmtId="179" fontId="71" fillId="0" borderId="67" xfId="0" applyNumberFormat="1" applyFont="1" applyFill="1" applyBorder="1" applyAlignment="1" applyProtection="1">
      <alignment horizontal="center" vertical="center" wrapText="1"/>
      <protection locked="0"/>
    </xf>
    <xf numFmtId="2" fontId="71" fillId="5" borderId="2" xfId="0" applyNumberFormat="1" applyFont="1" applyFill="1" applyBorder="1" applyAlignment="1" applyProtection="1">
      <alignment horizontal="center" vertical="center" wrapText="1"/>
    </xf>
    <xf numFmtId="2" fontId="71" fillId="0" borderId="2" xfId="0" applyNumberFormat="1" applyFont="1" applyFill="1" applyBorder="1" applyAlignment="1" applyProtection="1">
      <alignment horizontal="center" vertical="center" wrapText="1"/>
      <protection locked="0"/>
    </xf>
    <xf numFmtId="195" fontId="200" fillId="22" borderId="172" xfId="20" applyNumberFormat="1" applyFont="1" applyFill="1" applyBorder="1" applyAlignment="1" applyProtection="1">
      <alignment horizontal="center" vertical="center"/>
    </xf>
    <xf numFmtId="195" fontId="200" fillId="22" borderId="166" xfId="20" applyNumberFormat="1" applyFont="1" applyFill="1" applyBorder="1" applyAlignment="1" applyProtection="1">
      <alignment horizontal="center" vertical="center"/>
    </xf>
    <xf numFmtId="195" fontId="287" fillId="25" borderId="175" xfId="20" applyNumberFormat="1" applyFont="1" applyFill="1" applyBorder="1" applyAlignment="1" applyProtection="1">
      <alignment horizontal="center" vertical="center"/>
    </xf>
    <xf numFmtId="195" fontId="200" fillId="22" borderId="173" xfId="20" applyNumberFormat="1" applyFont="1" applyFill="1" applyBorder="1" applyAlignment="1" applyProtection="1">
      <alignment horizontal="center" vertical="center"/>
    </xf>
    <xf numFmtId="0" fontId="86" fillId="0" borderId="0" xfId="16"/>
    <xf numFmtId="0" fontId="86" fillId="29" borderId="0" xfId="16" applyFill="1"/>
    <xf numFmtId="0" fontId="0" fillId="29" borderId="0" xfId="0" applyFill="1">
      <alignment vertical="center"/>
    </xf>
    <xf numFmtId="0" fontId="294" fillId="5" borderId="0" xfId="0" applyFont="1" applyFill="1" applyProtection="1">
      <alignment vertical="center"/>
      <protection locked="0"/>
    </xf>
    <xf numFmtId="0" fontId="295" fillId="5" borderId="0" xfId="0" applyFont="1" applyFill="1" applyProtection="1">
      <alignment vertical="center"/>
      <protection locked="0"/>
    </xf>
    <xf numFmtId="0" fontId="294" fillId="5" borderId="0" xfId="0" applyFont="1" applyFill="1" applyAlignment="1" applyProtection="1">
      <alignment horizontal="right" vertical="center"/>
      <protection locked="0"/>
    </xf>
    <xf numFmtId="0" fontId="294" fillId="5" borderId="0" xfId="1" applyFont="1" applyFill="1" applyProtection="1">
      <alignment vertical="center"/>
      <protection locked="0"/>
    </xf>
    <xf numFmtId="10" fontId="294" fillId="5" borderId="0" xfId="0" applyNumberFormat="1" applyFont="1" applyFill="1" applyAlignment="1" applyProtection="1">
      <alignment horizontal="left" vertical="center"/>
      <protection locked="0"/>
    </xf>
    <xf numFmtId="0" fontId="76" fillId="5" borderId="19" xfId="0" applyFont="1" applyFill="1" applyBorder="1" applyProtection="1">
      <alignment vertical="center"/>
    </xf>
    <xf numFmtId="0" fontId="76" fillId="5" borderId="63" xfId="0" applyFont="1" applyFill="1" applyBorder="1" applyProtection="1">
      <alignment vertical="center"/>
    </xf>
    <xf numFmtId="0" fontId="294" fillId="5" borderId="26" xfId="0" applyFont="1" applyFill="1" applyBorder="1" applyProtection="1">
      <alignment vertical="center"/>
      <protection locked="0"/>
    </xf>
    <xf numFmtId="0" fontId="294" fillId="5" borderId="28" xfId="0" applyFont="1" applyFill="1" applyBorder="1" applyProtection="1">
      <alignment vertical="center"/>
      <protection locked="0"/>
    </xf>
    <xf numFmtId="0" fontId="295" fillId="5" borderId="28" xfId="0" applyFont="1" applyFill="1" applyBorder="1" applyProtection="1">
      <alignment vertical="center"/>
      <protection locked="0"/>
    </xf>
    <xf numFmtId="0" fontId="295" fillId="5" borderId="39" xfId="0" applyFont="1" applyFill="1" applyBorder="1" applyProtection="1">
      <alignment vertical="center"/>
      <protection locked="0"/>
    </xf>
    <xf numFmtId="0" fontId="295" fillId="5" borderId="0" xfId="0" applyFont="1" applyFill="1" applyBorder="1" applyProtection="1">
      <alignment vertical="center"/>
      <protection locked="0"/>
    </xf>
    <xf numFmtId="0" fontId="295" fillId="5" borderId="65" xfId="0" applyFont="1" applyFill="1" applyBorder="1" applyProtection="1">
      <alignment vertical="center"/>
      <protection locked="0"/>
    </xf>
    <xf numFmtId="0" fontId="295" fillId="5" borderId="61" xfId="0" applyFont="1" applyFill="1" applyBorder="1" applyProtection="1">
      <alignment vertical="center"/>
      <protection locked="0"/>
    </xf>
    <xf numFmtId="0" fontId="295" fillId="5" borderId="31" xfId="0" applyFont="1" applyFill="1" applyBorder="1" applyAlignment="1" applyProtection="1">
      <alignment horizontal="right" vertical="center"/>
      <protection locked="0"/>
    </xf>
    <xf numFmtId="0" fontId="295" fillId="5" borderId="54" xfId="0" applyFont="1" applyFill="1" applyBorder="1" applyAlignment="1" applyProtection="1">
      <alignment horizontal="right" vertical="center"/>
      <protection locked="0"/>
    </xf>
    <xf numFmtId="0" fontId="295" fillId="5" borderId="66" xfId="0" applyFont="1" applyFill="1" applyBorder="1" applyAlignment="1" applyProtection="1">
      <alignment horizontal="left" vertical="center"/>
      <protection locked="0"/>
    </xf>
    <xf numFmtId="0" fontId="295" fillId="5" borderId="0" xfId="0" applyFont="1" applyFill="1" applyBorder="1" applyAlignment="1" applyProtection="1">
      <alignment horizontal="center" vertical="center"/>
      <protection locked="0"/>
    </xf>
    <xf numFmtId="0" fontId="295" fillId="5" borderId="61" xfId="0" applyFont="1" applyFill="1" applyBorder="1" applyAlignment="1" applyProtection="1">
      <alignment horizontal="center" vertical="center"/>
      <protection locked="0"/>
    </xf>
    <xf numFmtId="0" fontId="295" fillId="5" borderId="61" xfId="28" applyNumberFormat="1" applyFont="1" applyFill="1" applyBorder="1" applyAlignment="1" applyProtection="1">
      <alignment horizontal="center" vertical="center"/>
      <protection locked="0"/>
    </xf>
    <xf numFmtId="0" fontId="296" fillId="0" borderId="0" xfId="17" applyFont="1" applyAlignment="1" applyProtection="1">
      <alignment horizontal="left" vertical="center" wrapText="1"/>
      <protection locked="0"/>
    </xf>
    <xf numFmtId="0" fontId="296" fillId="0" borderId="0" xfId="17" applyFont="1" applyAlignment="1" applyProtection="1">
      <alignment horizontal="center" vertical="center" wrapText="1"/>
      <protection locked="0"/>
    </xf>
    <xf numFmtId="0" fontId="297" fillId="0" borderId="0" xfId="17" applyFont="1" applyAlignment="1" applyProtection="1">
      <alignment horizontal="center" vertical="center"/>
      <protection locked="0"/>
    </xf>
    <xf numFmtId="200" fontId="296" fillId="0" borderId="0" xfId="20" applyNumberFormat="1" applyFont="1" applyAlignment="1" applyProtection="1">
      <alignment horizontal="center" vertical="center" wrapText="1"/>
      <protection locked="0"/>
    </xf>
    <xf numFmtId="10" fontId="296" fillId="0" borderId="0" xfId="18" applyNumberFormat="1" applyFont="1" applyAlignment="1" applyProtection="1">
      <alignment horizontal="center" vertical="center" wrapText="1"/>
      <protection locked="0"/>
    </xf>
    <xf numFmtId="195" fontId="296" fillId="0" borderId="0" xfId="17" applyNumberFormat="1" applyFont="1" applyAlignment="1" applyProtection="1">
      <alignment horizontal="center" vertical="center" wrapText="1"/>
      <protection locked="0"/>
    </xf>
    <xf numFmtId="0" fontId="281" fillId="0" borderId="0" xfId="17" applyFont="1" applyAlignment="1" applyProtection="1">
      <alignment horizontal="right" vertical="center" wrapText="1"/>
      <protection locked="0"/>
    </xf>
    <xf numFmtId="0" fontId="146" fillId="0" borderId="0" xfId="19" applyFont="1" applyAlignment="1" applyProtection="1">
      <alignment horizontal="left" vertical="center"/>
    </xf>
    <xf numFmtId="0" fontId="0" fillId="0" borderId="0" xfId="19" applyFont="1" applyAlignment="1" applyProtection="1">
      <alignment horizontal="left" vertical="center"/>
    </xf>
    <xf numFmtId="194" fontId="200" fillId="22" borderId="161" xfId="20" applyFont="1" applyFill="1" applyBorder="1" applyAlignment="1" applyProtection="1">
      <alignment horizontal="center" vertical="center" wrapText="1"/>
    </xf>
    <xf numFmtId="194" fontId="200" fillId="22" borderId="162" xfId="20" applyFont="1" applyFill="1" applyBorder="1" applyAlignment="1" applyProtection="1">
      <alignment horizontal="center" vertical="center" wrapText="1"/>
    </xf>
    <xf numFmtId="194" fontId="200" fillId="22" borderId="162" xfId="20" applyFont="1" applyFill="1" applyBorder="1" applyAlignment="1" applyProtection="1">
      <alignment horizontal="center" vertical="center"/>
    </xf>
    <xf numFmtId="196" fontId="283" fillId="22" borderId="162" xfId="20" applyNumberFormat="1" applyFont="1" applyFill="1" applyBorder="1" applyAlignment="1" applyProtection="1">
      <alignment horizontal="center" vertical="center" wrapText="1"/>
    </xf>
    <xf numFmtId="195" fontId="127" fillId="21" borderId="163" xfId="21" applyNumberFormat="1" applyFont="1" applyFill="1" applyBorder="1" applyAlignment="1" applyProtection="1">
      <alignment horizontal="center" vertical="center" wrapText="1"/>
      <protection locked="0"/>
    </xf>
    <xf numFmtId="195" fontId="127" fillId="21" borderId="164" xfId="21" applyNumberFormat="1" applyFont="1" applyFill="1" applyBorder="1" applyAlignment="1" applyProtection="1">
      <alignment horizontal="center" vertical="center" wrapText="1"/>
      <protection locked="0"/>
    </xf>
    <xf numFmtId="195" fontId="127" fillId="21" borderId="164" xfId="21" applyNumberFormat="1" applyFont="1" applyFill="1" applyBorder="1" applyAlignment="1" applyProtection="1">
      <alignment horizontal="left" vertical="center"/>
      <protection locked="0"/>
    </xf>
    <xf numFmtId="195" fontId="127" fillId="22" borderId="164" xfId="21" applyNumberFormat="1" applyFont="1" applyFill="1" applyBorder="1" applyAlignment="1" applyProtection="1">
      <alignment horizontal="left" vertical="center"/>
    </xf>
    <xf numFmtId="195" fontId="298" fillId="21" borderId="164" xfId="21" applyNumberFormat="1" applyFont="1" applyFill="1" applyBorder="1" applyAlignment="1" applyProtection="1">
      <alignment horizontal="center" vertical="center"/>
      <protection locked="0"/>
    </xf>
    <xf numFmtId="198" fontId="283" fillId="21" borderId="164" xfId="21" applyNumberFormat="1" applyFont="1" applyFill="1" applyBorder="1" applyAlignment="1" applyProtection="1">
      <alignment horizontal="center" vertical="center"/>
      <protection locked="0"/>
    </xf>
    <xf numFmtId="0" fontId="0" fillId="30" borderId="0" xfId="19" applyFont="1" applyFill="1" applyAlignment="1" applyProtection="1">
      <alignment horizontal="left" vertical="center"/>
    </xf>
    <xf numFmtId="195" fontId="283" fillId="21" borderId="164" xfId="21" applyNumberFormat="1" applyFont="1" applyFill="1" applyBorder="1" applyAlignment="1" applyProtection="1">
      <alignment horizontal="center" vertical="center"/>
      <protection locked="0"/>
    </xf>
    <xf numFmtId="201" fontId="283" fillId="21" borderId="164" xfId="21" applyNumberFormat="1" applyFont="1" applyFill="1" applyBorder="1" applyAlignment="1" applyProtection="1">
      <alignment horizontal="center" vertical="center"/>
      <protection locked="0"/>
    </xf>
    <xf numFmtId="201" fontId="284" fillId="21" borderId="164" xfId="21" applyNumberFormat="1" applyFont="1" applyFill="1" applyBorder="1" applyAlignment="1" applyProtection="1">
      <alignment horizontal="center" vertical="center"/>
      <protection locked="0"/>
    </xf>
    <xf numFmtId="201" fontId="283" fillId="21" borderId="164" xfId="21" applyNumberFormat="1" applyFont="1" applyFill="1" applyBorder="1" applyAlignment="1" applyProtection="1">
      <alignment horizontal="left" vertical="center"/>
      <protection locked="0"/>
    </xf>
    <xf numFmtId="0" fontId="0" fillId="31" borderId="0" xfId="19" applyFont="1" applyFill="1" applyAlignment="1" applyProtection="1">
      <alignment horizontal="left" vertical="center"/>
    </xf>
    <xf numFmtId="195" fontId="284" fillId="21" borderId="164" xfId="21" applyNumberFormat="1" applyFont="1" applyFill="1" applyBorder="1" applyAlignment="1" applyProtection="1">
      <alignment horizontal="center" vertical="center"/>
      <protection locked="0"/>
    </xf>
    <xf numFmtId="201" fontId="284" fillId="21" borderId="164" xfId="21" applyNumberFormat="1" applyFont="1" applyFill="1" applyBorder="1" applyAlignment="1" applyProtection="1">
      <alignment horizontal="left" vertical="center"/>
      <protection locked="0"/>
    </xf>
    <xf numFmtId="195" fontId="286" fillId="21" borderId="164" xfId="21" applyNumberFormat="1" applyFont="1" applyFill="1" applyBorder="1" applyAlignment="1" applyProtection="1">
      <alignment horizontal="center" vertical="center"/>
      <protection locked="0"/>
    </xf>
    <xf numFmtId="197" fontId="286" fillId="21" borderId="164" xfId="21" applyNumberFormat="1" applyFont="1" applyFill="1" applyBorder="1" applyAlignment="1" applyProtection="1">
      <alignment horizontal="center" vertical="center"/>
      <protection locked="0"/>
    </xf>
    <xf numFmtId="197" fontId="286" fillId="21" borderId="164" xfId="21" applyNumberFormat="1" applyFont="1" applyFill="1" applyBorder="1" applyAlignment="1" applyProtection="1">
      <alignment horizontal="left" vertical="center"/>
      <protection locked="0"/>
    </xf>
    <xf numFmtId="195" fontId="299" fillId="21" borderId="164" xfId="21" applyNumberFormat="1" applyFont="1" applyFill="1" applyBorder="1" applyAlignment="1" applyProtection="1">
      <alignment horizontal="left" vertical="center"/>
      <protection locked="0"/>
    </xf>
    <xf numFmtId="201" fontId="286" fillId="21" borderId="164" xfId="21" applyNumberFormat="1" applyFont="1" applyFill="1" applyBorder="1" applyAlignment="1" applyProtection="1">
      <alignment horizontal="center" vertical="center"/>
      <protection locked="0"/>
    </xf>
    <xf numFmtId="184" fontId="286" fillId="21" borderId="164" xfId="21" applyNumberFormat="1" applyFont="1" applyFill="1" applyBorder="1" applyAlignment="1" applyProtection="1">
      <alignment horizontal="center" vertical="center"/>
      <protection locked="0"/>
    </xf>
    <xf numFmtId="195" fontId="284" fillId="21" borderId="164" xfId="21" applyNumberFormat="1" applyFont="1" applyFill="1" applyBorder="1" applyAlignment="1" applyProtection="1">
      <alignment horizontal="left" vertical="center"/>
      <protection locked="0"/>
    </xf>
    <xf numFmtId="201" fontId="286" fillId="21" borderId="166" xfId="21" applyNumberFormat="1" applyFont="1" applyFill="1" applyBorder="1" applyAlignment="1" applyProtection="1">
      <alignment horizontal="center" vertical="center"/>
      <protection locked="0"/>
    </xf>
    <xf numFmtId="195" fontId="283" fillId="21" borderId="166" xfId="21" applyNumberFormat="1" applyFont="1" applyFill="1" applyBorder="1" applyAlignment="1" applyProtection="1">
      <alignment horizontal="center" vertical="center"/>
      <protection locked="0"/>
    </xf>
    <xf numFmtId="184" fontId="286" fillId="21" borderId="166" xfId="21" applyNumberFormat="1" applyFont="1" applyFill="1" applyBorder="1" applyAlignment="1" applyProtection="1">
      <alignment horizontal="center" vertical="center"/>
      <protection locked="0"/>
    </xf>
    <xf numFmtId="197" fontId="283" fillId="21" borderId="166" xfId="21" applyNumberFormat="1" applyFont="1" applyFill="1" applyBorder="1" applyAlignment="1" applyProtection="1">
      <alignment horizontal="left" vertical="center"/>
      <protection locked="0"/>
    </xf>
    <xf numFmtId="195" fontId="283" fillId="21" borderId="166" xfId="21" applyNumberFormat="1" applyFont="1" applyFill="1" applyBorder="1" applyAlignment="1" applyProtection="1">
      <alignment horizontal="left" vertical="center"/>
      <protection locked="0"/>
    </xf>
    <xf numFmtId="195" fontId="286" fillId="21" borderId="166" xfId="21" applyNumberFormat="1" applyFont="1" applyFill="1" applyBorder="1" applyAlignment="1" applyProtection="1">
      <alignment horizontal="left" vertical="center"/>
      <protection locked="0"/>
    </xf>
    <xf numFmtId="195" fontId="283" fillId="6" borderId="164" xfId="21" applyNumberFormat="1" applyFont="1" applyFill="1" applyBorder="1" applyAlignment="1" applyProtection="1">
      <alignment horizontal="left" vertical="center"/>
      <protection locked="0"/>
    </xf>
    <xf numFmtId="197" fontId="283" fillId="21" borderId="166" xfId="21" applyNumberFormat="1" applyFont="1" applyFill="1" applyBorder="1" applyAlignment="1" applyProtection="1">
      <alignment horizontal="center" vertical="center"/>
      <protection locked="0"/>
    </xf>
    <xf numFmtId="184" fontId="283" fillId="21" borderId="166" xfId="21" applyNumberFormat="1" applyFont="1" applyFill="1" applyBorder="1" applyAlignment="1" applyProtection="1">
      <alignment horizontal="center" vertical="center"/>
      <protection locked="0"/>
    </xf>
    <xf numFmtId="197" fontId="283" fillId="21" borderId="2" xfId="21" applyNumberFormat="1" applyFont="1" applyFill="1" applyBorder="1" applyAlignment="1" applyProtection="1">
      <alignment horizontal="left" vertical="center"/>
      <protection locked="0"/>
    </xf>
    <xf numFmtId="201" fontId="283" fillId="21" borderId="166" xfId="21" applyNumberFormat="1" applyFont="1" applyFill="1" applyBorder="1" applyAlignment="1" applyProtection="1">
      <alignment horizontal="center" vertical="center"/>
      <protection locked="0"/>
    </xf>
    <xf numFmtId="201" fontId="284" fillId="21" borderId="166" xfId="21" applyNumberFormat="1" applyFont="1" applyFill="1" applyBorder="1" applyAlignment="1" applyProtection="1">
      <alignment horizontal="center" vertical="center"/>
      <protection locked="0"/>
    </xf>
    <xf numFmtId="195" fontId="283" fillId="6" borderId="2" xfId="21" applyNumberFormat="1" applyFont="1" applyFill="1" applyBorder="1" applyAlignment="1" applyProtection="1">
      <alignment horizontal="left" vertical="center"/>
      <protection locked="0"/>
    </xf>
    <xf numFmtId="195" fontId="283" fillId="32" borderId="2" xfId="21" applyNumberFormat="1" applyFont="1" applyFill="1" applyBorder="1" applyAlignment="1" applyProtection="1">
      <alignment horizontal="left" vertical="center"/>
      <protection locked="0"/>
    </xf>
    <xf numFmtId="195" fontId="283" fillId="32" borderId="164" xfId="21" applyNumberFormat="1" applyFont="1" applyFill="1" applyBorder="1" applyAlignment="1" applyProtection="1">
      <alignment horizontal="left" vertical="center"/>
      <protection locked="0"/>
    </xf>
    <xf numFmtId="201" fontId="283" fillId="32" borderId="166" xfId="21" applyNumberFormat="1" applyFont="1" applyFill="1" applyBorder="1" applyAlignment="1" applyProtection="1">
      <alignment horizontal="left" vertical="center"/>
      <protection locked="0"/>
    </xf>
    <xf numFmtId="195" fontId="283" fillId="32" borderId="166" xfId="21" applyNumberFormat="1" applyFont="1" applyFill="1" applyBorder="1" applyAlignment="1" applyProtection="1">
      <alignment horizontal="left" vertical="center"/>
      <protection locked="0"/>
    </xf>
    <xf numFmtId="195" fontId="283" fillId="32" borderId="166" xfId="21" applyNumberFormat="1" applyFont="1" applyFill="1" applyBorder="1" applyAlignment="1" applyProtection="1">
      <alignment horizontal="center" vertical="center"/>
      <protection locked="0"/>
    </xf>
    <xf numFmtId="195" fontId="284" fillId="32" borderId="166" xfId="21" applyNumberFormat="1" applyFont="1" applyFill="1" applyBorder="1" applyAlignment="1" applyProtection="1">
      <alignment horizontal="left" vertical="center"/>
      <protection locked="0"/>
    </xf>
    <xf numFmtId="195" fontId="284" fillId="32" borderId="166" xfId="21" applyNumberFormat="1" applyFont="1" applyFill="1" applyBorder="1" applyAlignment="1" applyProtection="1">
      <alignment horizontal="center" vertical="center"/>
      <protection locked="0"/>
    </xf>
    <xf numFmtId="0" fontId="0" fillId="24" borderId="0" xfId="19" applyFont="1" applyFill="1" applyAlignment="1" applyProtection="1">
      <alignment horizontal="left" vertical="center"/>
    </xf>
    <xf numFmtId="195" fontId="127" fillId="24" borderId="163" xfId="21" applyNumberFormat="1" applyFont="1" applyFill="1" applyBorder="1" applyAlignment="1" applyProtection="1">
      <alignment horizontal="center" vertical="center" wrapText="1"/>
      <protection locked="0"/>
    </xf>
    <xf numFmtId="195" fontId="127" fillId="24" borderId="164" xfId="21" applyNumberFormat="1" applyFont="1" applyFill="1" applyBorder="1" applyAlignment="1" applyProtection="1">
      <alignment horizontal="center" vertical="center" wrapText="1"/>
      <protection locked="0"/>
    </xf>
    <xf numFmtId="195" fontId="127" fillId="24" borderId="164" xfId="21" applyNumberFormat="1" applyFont="1" applyFill="1" applyBorder="1" applyAlignment="1" applyProtection="1">
      <alignment horizontal="left" vertical="center"/>
      <protection locked="0"/>
    </xf>
    <xf numFmtId="195" fontId="127" fillId="24" borderId="164" xfId="21" applyNumberFormat="1" applyFont="1" applyFill="1" applyBorder="1" applyAlignment="1" applyProtection="1">
      <alignment horizontal="left" vertical="center"/>
    </xf>
    <xf numFmtId="195" fontId="283" fillId="24" borderId="164" xfId="21" applyNumberFormat="1" applyFont="1" applyFill="1" applyBorder="1" applyAlignment="1" applyProtection="1">
      <alignment horizontal="center" vertical="center"/>
      <protection locked="0"/>
    </xf>
    <xf numFmtId="201" fontId="283" fillId="33" borderId="165" xfId="21" applyNumberFormat="1" applyFont="1" applyFill="1" applyBorder="1" applyAlignment="1" applyProtection="1">
      <alignment horizontal="center" vertical="center"/>
      <protection locked="0"/>
    </xf>
    <xf numFmtId="195" fontId="283" fillId="33" borderId="165" xfId="21" applyNumberFormat="1" applyFont="1" applyFill="1" applyBorder="1" applyAlignment="1" applyProtection="1">
      <alignment horizontal="left" vertical="center"/>
      <protection locked="0"/>
    </xf>
    <xf numFmtId="195" fontId="283" fillId="24" borderId="164" xfId="22" applyNumberFormat="1" applyFont="1" applyFill="1" applyBorder="1" applyAlignment="1" applyProtection="1">
      <alignment horizontal="left" vertical="center" wrapText="1"/>
    </xf>
    <xf numFmtId="195" fontId="283" fillId="24" borderId="164" xfId="21" applyNumberFormat="1" applyFont="1" applyFill="1" applyBorder="1" applyAlignment="1" applyProtection="1">
      <alignment horizontal="left" vertical="center"/>
      <protection locked="0"/>
    </xf>
    <xf numFmtId="195" fontId="127" fillId="17" borderId="163" xfId="21" applyNumberFormat="1" applyFont="1" applyFill="1" applyBorder="1" applyAlignment="1" applyProtection="1">
      <alignment horizontal="center" vertical="center" wrapText="1"/>
      <protection locked="0"/>
    </xf>
    <xf numFmtId="195" fontId="127" fillId="17" borderId="164" xfId="21" applyNumberFormat="1" applyFont="1" applyFill="1" applyBorder="1" applyAlignment="1" applyProtection="1">
      <alignment horizontal="center" vertical="center" wrapText="1"/>
      <protection locked="0"/>
    </xf>
    <xf numFmtId="195" fontId="127" fillId="17" borderId="164" xfId="21" applyNumberFormat="1" applyFont="1" applyFill="1" applyBorder="1" applyAlignment="1" applyProtection="1">
      <alignment horizontal="left" vertical="center"/>
      <protection locked="0"/>
    </xf>
    <xf numFmtId="201" fontId="283" fillId="32" borderId="165" xfId="21" applyNumberFormat="1" applyFont="1" applyFill="1" applyBorder="1" applyAlignment="1" applyProtection="1">
      <alignment horizontal="right" vertical="center"/>
      <protection locked="0"/>
    </xf>
    <xf numFmtId="195" fontId="283" fillId="32" borderId="165" xfId="21" applyNumberFormat="1" applyFont="1" applyFill="1" applyBorder="1" applyAlignment="1" applyProtection="1">
      <alignment horizontal="left" vertical="center"/>
      <protection locked="0"/>
    </xf>
    <xf numFmtId="0" fontId="0" fillId="34" borderId="0" xfId="19" applyFont="1" applyFill="1" applyAlignment="1" applyProtection="1">
      <alignment horizontal="left" vertical="center"/>
    </xf>
    <xf numFmtId="201" fontId="283" fillId="32" borderId="165" xfId="21" applyNumberFormat="1" applyFont="1" applyFill="1" applyBorder="1" applyAlignment="1" applyProtection="1">
      <alignment horizontal="center" vertical="center"/>
      <protection locked="0"/>
    </xf>
    <xf numFmtId="0" fontId="0" fillId="35" borderId="0" xfId="19" applyFont="1" applyFill="1" applyAlignment="1" applyProtection="1">
      <alignment horizontal="left" vertical="center"/>
    </xf>
    <xf numFmtId="195" fontId="127" fillId="22" borderId="164" xfId="20" applyNumberFormat="1" applyFont="1" applyFill="1" applyBorder="1" applyAlignment="1" applyProtection="1">
      <alignment horizontal="left" vertical="center"/>
    </xf>
    <xf numFmtId="0" fontId="281" fillId="0" borderId="0" xfId="17" applyFont="1" applyAlignment="1" applyProtection="1">
      <alignment horizontal="center" vertical="center" wrapText="1"/>
    </xf>
    <xf numFmtId="0" fontId="146" fillId="0" borderId="0" xfId="19" applyFont="1" applyAlignment="1" applyProtection="1">
      <alignment horizontal="center" vertical="center" wrapText="1"/>
    </xf>
    <xf numFmtId="0" fontId="0" fillId="0" borderId="0" xfId="19" applyFont="1" applyAlignment="1" applyProtection="1">
      <alignment horizontal="center" vertical="center" wrapText="1"/>
    </xf>
    <xf numFmtId="195" fontId="283" fillId="23" borderId="165" xfId="4" applyNumberFormat="1" applyFont="1" applyFill="1" applyBorder="1" applyAlignment="1" applyProtection="1">
      <alignment horizontal="center" vertical="center"/>
      <protection locked="0"/>
    </xf>
    <xf numFmtId="184" fontId="282" fillId="23" borderId="165" xfId="4" applyNumberFormat="1" applyFont="1" applyFill="1" applyBorder="1" applyAlignment="1" applyProtection="1">
      <alignment horizontal="center" vertical="center"/>
      <protection locked="0"/>
    </xf>
    <xf numFmtId="197" fontId="283" fillId="23" borderId="165" xfId="4" applyNumberFormat="1" applyFont="1" applyFill="1" applyBorder="1" applyAlignment="1" applyProtection="1">
      <alignment horizontal="left" vertical="center"/>
      <protection locked="0"/>
    </xf>
    <xf numFmtId="195" fontId="283" fillId="23" borderId="165" xfId="4" applyNumberFormat="1" applyFont="1" applyFill="1" applyBorder="1" applyAlignment="1" applyProtection="1">
      <alignment horizontal="left" vertical="center"/>
      <protection locked="0"/>
    </xf>
    <xf numFmtId="195" fontId="283" fillId="21" borderId="165" xfId="4" applyNumberFormat="1" applyFont="1" applyFill="1" applyBorder="1" applyAlignment="1" applyProtection="1">
      <alignment horizontal="left" vertical="center"/>
      <protection locked="0"/>
    </xf>
    <xf numFmtId="195" fontId="284" fillId="21" borderId="165" xfId="4" applyNumberFormat="1" applyFont="1" applyFill="1" applyBorder="1" applyAlignment="1" applyProtection="1">
      <alignment horizontal="left" vertical="center"/>
      <protection locked="0"/>
    </xf>
    <xf numFmtId="195" fontId="284" fillId="23" borderId="165" xfId="4" applyNumberFormat="1" applyFont="1" applyFill="1" applyBorder="1" applyAlignment="1" applyProtection="1">
      <alignment horizontal="left" vertical="center"/>
      <protection locked="0"/>
    </xf>
    <xf numFmtId="197" fontId="283" fillId="21" borderId="165" xfId="4" applyNumberFormat="1" applyFont="1" applyFill="1" applyBorder="1" applyAlignment="1" applyProtection="1">
      <alignment horizontal="left" vertical="center"/>
      <protection locked="0"/>
    </xf>
    <xf numFmtId="0" fontId="281" fillId="0" borderId="0" xfId="17" applyFont="1" applyFill="1" applyAlignment="1" applyProtection="1">
      <alignment horizontal="center" vertical="center" wrapText="1"/>
      <protection locked="0"/>
    </xf>
    <xf numFmtId="0" fontId="281" fillId="0" borderId="0" xfId="17" applyFont="1" applyFill="1" applyAlignment="1" applyProtection="1">
      <alignment horizontal="center" vertical="center" wrapText="1"/>
    </xf>
    <xf numFmtId="184" fontId="283" fillId="23" borderId="165" xfId="4" applyNumberFormat="1" applyFont="1" applyFill="1" applyBorder="1" applyAlignment="1" applyProtection="1">
      <alignment horizontal="center" vertical="center"/>
      <protection locked="0"/>
    </xf>
    <xf numFmtId="184" fontId="284" fillId="21" borderId="165" xfId="4" applyNumberFormat="1" applyFont="1" applyFill="1" applyBorder="1" applyAlignment="1" applyProtection="1">
      <alignment horizontal="center" vertical="center"/>
      <protection locked="0"/>
    </xf>
    <xf numFmtId="184" fontId="283" fillId="21" borderId="165" xfId="4" applyNumberFormat="1" applyFont="1" applyFill="1" applyBorder="1" applyAlignment="1" applyProtection="1">
      <alignment horizontal="center" vertical="center"/>
      <protection locked="0"/>
    </xf>
    <xf numFmtId="197" fontId="284" fillId="21" borderId="165" xfId="4" applyNumberFormat="1" applyFont="1" applyFill="1" applyBorder="1" applyAlignment="1" applyProtection="1">
      <alignment horizontal="left" vertical="center"/>
      <protection locked="0"/>
    </xf>
    <xf numFmtId="195" fontId="127" fillId="21" borderId="165" xfId="4" applyNumberFormat="1" applyFont="1" applyFill="1" applyBorder="1" applyAlignment="1" applyProtection="1">
      <alignment horizontal="center" vertical="center" wrapText="1"/>
      <protection locked="0"/>
    </xf>
    <xf numFmtId="195" fontId="127" fillId="21" borderId="165" xfId="4" applyNumberFormat="1" applyFont="1" applyFill="1" applyBorder="1" applyAlignment="1" applyProtection="1">
      <alignment horizontal="left" vertical="center"/>
      <protection locked="0"/>
    </xf>
    <xf numFmtId="195" fontId="283" fillId="21" borderId="164" xfId="4" applyNumberFormat="1" applyFont="1" applyFill="1" applyBorder="1" applyAlignment="1" applyProtection="1">
      <alignment horizontal="left" vertical="center"/>
      <protection locked="0"/>
    </xf>
    <xf numFmtId="201" fontId="283" fillId="21" borderId="166" xfId="4" applyNumberFormat="1" applyFont="1" applyFill="1" applyBorder="1" applyAlignment="1" applyProtection="1">
      <alignment horizontal="left" vertical="center"/>
      <protection locked="0"/>
    </xf>
    <xf numFmtId="195" fontId="283" fillId="21" borderId="166" xfId="4" applyNumberFormat="1" applyFont="1" applyFill="1" applyBorder="1" applyAlignment="1" applyProtection="1">
      <alignment horizontal="left" vertical="center"/>
      <protection locked="0"/>
    </xf>
    <xf numFmtId="195" fontId="283" fillId="21" borderId="166" xfId="4" applyNumberFormat="1" applyFont="1" applyFill="1" applyBorder="1" applyAlignment="1" applyProtection="1">
      <alignment horizontal="center"/>
      <protection locked="0"/>
    </xf>
    <xf numFmtId="195" fontId="284" fillId="21" borderId="166" xfId="4" applyNumberFormat="1" applyFont="1" applyFill="1" applyBorder="1" applyAlignment="1" applyProtection="1">
      <alignment horizontal="left" vertical="center"/>
      <protection locked="0"/>
    </xf>
    <xf numFmtId="195" fontId="284" fillId="21" borderId="166" xfId="4" applyNumberFormat="1" applyFont="1" applyFill="1" applyBorder="1" applyAlignment="1" applyProtection="1">
      <alignment horizontal="center" vertical="center"/>
      <protection locked="0"/>
    </xf>
    <xf numFmtId="0" fontId="281" fillId="24" borderId="0" xfId="17" applyFont="1" applyFill="1" applyAlignment="1" applyProtection="1">
      <alignment horizontal="center" vertical="center" wrapText="1"/>
      <protection locked="0"/>
    </xf>
    <xf numFmtId="0" fontId="281" fillId="24" borderId="0" xfId="17" applyFont="1" applyFill="1" applyAlignment="1" applyProtection="1">
      <alignment horizontal="center" vertical="center" wrapText="1"/>
    </xf>
    <xf numFmtId="195" fontId="283" fillId="21" borderId="164" xfId="21" applyNumberFormat="1" applyFont="1" applyFill="1" applyBorder="1" applyAlignment="1" applyProtection="1">
      <alignment horizontal="right" vertical="center"/>
      <protection locked="0"/>
    </xf>
    <xf numFmtId="0" fontId="300" fillId="35" borderId="0" xfId="19" applyFont="1" applyFill="1" applyAlignment="1">
      <alignment horizontal="left" vertical="center"/>
    </xf>
    <xf numFmtId="195" fontId="127" fillId="6" borderId="163" xfId="21" applyNumberFormat="1" applyFont="1" applyFill="1" applyBorder="1" applyAlignment="1" applyProtection="1">
      <alignment horizontal="center" vertical="center" wrapText="1"/>
      <protection locked="0"/>
    </xf>
    <xf numFmtId="195" fontId="127" fillId="6" borderId="164" xfId="21" applyNumberFormat="1" applyFont="1" applyFill="1" applyBorder="1" applyAlignment="1" applyProtection="1">
      <alignment horizontal="center" vertical="center" wrapText="1"/>
      <protection locked="0"/>
    </xf>
    <xf numFmtId="195" fontId="127" fillId="6" borderId="164" xfId="21" applyNumberFormat="1" applyFont="1" applyFill="1" applyBorder="1" applyAlignment="1" applyProtection="1">
      <alignment horizontal="left" vertical="center"/>
      <protection locked="0"/>
    </xf>
    <xf numFmtId="0" fontId="301" fillId="0" borderId="0" xfId="17" applyFont="1" applyAlignment="1" applyProtection="1">
      <alignment horizontal="center" vertical="center" wrapText="1"/>
      <protection locked="0"/>
    </xf>
    <xf numFmtId="0" fontId="301" fillId="0" borderId="0" xfId="17" applyFont="1" applyAlignment="1">
      <alignment horizontal="center" vertical="center" wrapText="1"/>
    </xf>
    <xf numFmtId="0" fontId="147" fillId="35" borderId="0" xfId="19" applyFont="1" applyFill="1" applyAlignment="1">
      <alignment horizontal="left" vertical="center"/>
    </xf>
    <xf numFmtId="0" fontId="170" fillId="0" borderId="0" xfId="17" applyFont="1" applyAlignment="1" applyProtection="1">
      <alignment horizontal="center" vertical="center" wrapText="1"/>
      <protection locked="0"/>
    </xf>
    <xf numFmtId="0" fontId="170" fillId="0" borderId="0" xfId="17" applyFont="1" applyAlignment="1">
      <alignment horizontal="center" vertical="center" wrapText="1"/>
    </xf>
    <xf numFmtId="195" fontId="285" fillId="21" borderId="164" xfId="21" applyNumberFormat="1" applyFont="1" applyFill="1" applyBorder="1" applyAlignment="1" applyProtection="1">
      <alignment horizontal="left" vertical="center"/>
      <protection locked="0"/>
    </xf>
    <xf numFmtId="177" fontId="283" fillId="21" borderId="164" xfId="21" applyNumberFormat="1" applyFont="1" applyFill="1" applyBorder="1" applyAlignment="1" applyProtection="1">
      <alignment horizontal="center" vertical="center"/>
      <protection locked="0"/>
    </xf>
    <xf numFmtId="202" fontId="283" fillId="32" borderId="165" xfId="21" applyNumberFormat="1" applyFont="1" applyFill="1" applyBorder="1" applyAlignment="1" applyProtection="1">
      <alignment horizontal="left" vertical="center"/>
      <protection locked="0"/>
    </xf>
    <xf numFmtId="195" fontId="283" fillId="9" borderId="164" xfId="21" applyNumberFormat="1" applyFont="1" applyFill="1" applyBorder="1" applyAlignment="1" applyProtection="1">
      <alignment horizontal="center" vertical="center"/>
      <protection locked="0"/>
    </xf>
    <xf numFmtId="195" fontId="283" fillId="36" borderId="165" xfId="21" applyNumberFormat="1" applyFont="1" applyFill="1" applyBorder="1" applyAlignment="1" applyProtection="1">
      <alignment horizontal="left" vertical="center"/>
      <protection locked="0"/>
    </xf>
    <xf numFmtId="195" fontId="283" fillId="9" borderId="164" xfId="21" applyNumberFormat="1" applyFont="1" applyFill="1" applyBorder="1" applyAlignment="1" applyProtection="1">
      <alignment horizontal="left" vertical="center"/>
      <protection locked="0"/>
    </xf>
    <xf numFmtId="195" fontId="283" fillId="37" borderId="165" xfId="21" applyNumberFormat="1" applyFont="1" applyFill="1" applyBorder="1" applyAlignment="1" applyProtection="1">
      <alignment horizontal="left" vertical="center"/>
      <protection locked="0"/>
    </xf>
    <xf numFmtId="202" fontId="283" fillId="21" borderId="164" xfId="21" applyNumberFormat="1" applyFont="1" applyFill="1" applyBorder="1" applyAlignment="1" applyProtection="1">
      <alignment horizontal="center" vertical="center"/>
      <protection locked="0"/>
    </xf>
    <xf numFmtId="197" fontId="283" fillId="36" borderId="165" xfId="21" applyNumberFormat="1" applyFont="1" applyFill="1" applyBorder="1" applyAlignment="1" applyProtection="1">
      <alignment horizontal="left" vertical="center"/>
      <protection locked="0"/>
    </xf>
    <xf numFmtId="197" fontId="283" fillId="36" borderId="165" xfId="21" applyFont="1" applyFill="1" applyBorder="1" applyAlignment="1" applyProtection="1">
      <alignment horizontal="left" vertical="center"/>
      <protection locked="0"/>
    </xf>
    <xf numFmtId="176" fontId="283" fillId="32" borderId="165" xfId="21" applyNumberFormat="1" applyFont="1" applyFill="1" applyBorder="1" applyAlignment="1" applyProtection="1">
      <alignment horizontal="center" vertical="center"/>
      <protection locked="0"/>
    </xf>
    <xf numFmtId="184" fontId="283" fillId="32" borderId="165" xfId="21" applyNumberFormat="1" applyFont="1" applyFill="1" applyBorder="1" applyAlignment="1" applyProtection="1">
      <alignment horizontal="center" vertical="center"/>
      <protection locked="0"/>
    </xf>
    <xf numFmtId="176" fontId="284" fillId="32" borderId="165" xfId="21" applyNumberFormat="1" applyFont="1" applyFill="1" applyBorder="1" applyAlignment="1" applyProtection="1">
      <alignment horizontal="center" vertical="center"/>
      <protection locked="0"/>
    </xf>
    <xf numFmtId="176" fontId="284" fillId="21" borderId="164" xfId="21" applyNumberFormat="1" applyFont="1" applyFill="1" applyBorder="1" applyAlignment="1" applyProtection="1">
      <alignment horizontal="left" vertical="center"/>
      <protection locked="0"/>
    </xf>
    <xf numFmtId="176" fontId="283" fillId="22" borderId="164" xfId="22" applyNumberFormat="1" applyFont="1" applyFill="1" applyBorder="1" applyAlignment="1" applyProtection="1">
      <alignment horizontal="left" vertical="center" wrapText="1"/>
    </xf>
    <xf numFmtId="176" fontId="283" fillId="32" borderId="165" xfId="21" applyNumberFormat="1" applyFont="1" applyFill="1" applyBorder="1" applyAlignment="1" applyProtection="1">
      <alignment horizontal="left" vertical="center"/>
      <protection locked="0"/>
    </xf>
    <xf numFmtId="49" fontId="283" fillId="21" borderId="164" xfId="21" applyNumberFormat="1" applyFont="1" applyFill="1" applyBorder="1" applyAlignment="1" applyProtection="1">
      <alignment horizontal="center" vertical="center"/>
      <protection locked="0"/>
    </xf>
    <xf numFmtId="176" fontId="283" fillId="21" borderId="164" xfId="21" applyNumberFormat="1" applyFont="1" applyFill="1" applyBorder="1" applyAlignment="1" applyProtection="1">
      <alignment horizontal="center" vertical="center"/>
      <protection locked="0"/>
    </xf>
    <xf numFmtId="184" fontId="283" fillId="21" borderId="164" xfId="21" applyNumberFormat="1" applyFont="1" applyFill="1" applyBorder="1" applyAlignment="1" applyProtection="1">
      <alignment horizontal="center" vertical="center"/>
      <protection locked="0"/>
    </xf>
    <xf numFmtId="176" fontId="283" fillId="32" borderId="0" xfId="21" applyNumberFormat="1" applyFont="1" applyFill="1" applyBorder="1" applyAlignment="1" applyProtection="1">
      <alignment horizontal="left" vertical="center"/>
      <protection locked="0"/>
    </xf>
    <xf numFmtId="0" fontId="0" fillId="0" borderId="0" xfId="19" applyFont="1" applyAlignment="1" applyProtection="1">
      <alignment horizontal="left" vertical="center"/>
      <protection locked="0"/>
    </xf>
    <xf numFmtId="194" fontId="288" fillId="25" borderId="169" xfId="20" applyFont="1" applyFill="1" applyBorder="1" applyAlignment="1" applyProtection="1">
      <alignment horizontal="left" vertical="center"/>
    </xf>
    <xf numFmtId="195" fontId="288" fillId="25" borderId="169" xfId="20" applyNumberFormat="1" applyFont="1" applyFill="1" applyBorder="1" applyAlignment="1" applyProtection="1">
      <alignment horizontal="center" vertical="center"/>
    </xf>
    <xf numFmtId="0" fontId="289" fillId="0" borderId="0" xfId="17" applyFont="1" applyFill="1" applyAlignment="1" applyProtection="1">
      <alignment horizontal="center" vertical="center" wrapText="1"/>
    </xf>
    <xf numFmtId="194" fontId="287" fillId="8" borderId="170" xfId="20" applyFont="1" applyFill="1" applyBorder="1" applyAlignment="1" applyProtection="1">
      <alignment vertical="center"/>
    </xf>
    <xf numFmtId="194" fontId="292" fillId="8" borderId="170" xfId="20" applyFont="1" applyFill="1" applyBorder="1" applyAlignment="1" applyProtection="1">
      <alignment vertical="center"/>
    </xf>
    <xf numFmtId="0" fontId="289" fillId="8" borderId="0" xfId="17" applyFont="1" applyFill="1" applyAlignment="1" applyProtection="1">
      <alignment horizontal="center" vertical="center" wrapText="1"/>
    </xf>
    <xf numFmtId="0" fontId="281" fillId="0" borderId="0" xfId="17" applyFont="1" applyAlignment="1" applyProtection="1">
      <alignment horizontal="left" vertical="center" wrapText="1"/>
      <protection locked="0"/>
    </xf>
    <xf numFmtId="194" fontId="281" fillId="0" borderId="0" xfId="25" applyFont="1" applyAlignment="1" applyProtection="1">
      <alignment horizontal="center" vertical="center" wrapText="1"/>
      <protection locked="0"/>
    </xf>
    <xf numFmtId="194" fontId="200" fillId="22" borderId="171" xfId="20" applyFont="1" applyFill="1" applyBorder="1" applyAlignment="1" applyProtection="1">
      <alignment horizontal="center" vertical="center" wrapText="1"/>
    </xf>
    <xf numFmtId="194" fontId="200" fillId="22" borderId="172" xfId="20" applyFont="1" applyFill="1" applyBorder="1" applyAlignment="1" applyProtection="1">
      <alignment horizontal="center" vertical="center" wrapText="1"/>
    </xf>
    <xf numFmtId="194" fontId="200" fillId="22" borderId="172" xfId="20" applyFont="1" applyFill="1" applyBorder="1" applyAlignment="1" applyProtection="1">
      <alignment horizontal="center" vertical="center"/>
    </xf>
    <xf numFmtId="196" fontId="283" fillId="22" borderId="172" xfId="20" applyNumberFormat="1" applyFont="1" applyFill="1" applyBorder="1" applyAlignment="1" applyProtection="1">
      <alignment horizontal="center" vertical="center" wrapText="1"/>
    </xf>
    <xf numFmtId="0" fontId="281" fillId="0" borderId="0" xfId="17" applyFont="1" applyAlignment="1" applyProtection="1">
      <alignment horizontal="left" vertical="center" wrapText="1"/>
    </xf>
    <xf numFmtId="194" fontId="200" fillId="22" borderId="171" xfId="20" applyFont="1" applyFill="1" applyBorder="1" applyAlignment="1" applyProtection="1">
      <alignment horizontal="center" vertical="center"/>
    </xf>
    <xf numFmtId="194" fontId="200" fillId="22" borderId="163" xfId="20" applyFont="1" applyFill="1" applyBorder="1" applyAlignment="1" applyProtection="1">
      <alignment horizontal="center" vertical="center"/>
    </xf>
    <xf numFmtId="194" fontId="200" fillId="22" borderId="177" xfId="20" applyFont="1" applyFill="1" applyBorder="1" applyAlignment="1" applyProtection="1">
      <alignment horizontal="center" vertical="center"/>
    </xf>
    <xf numFmtId="0" fontId="289" fillId="0" borderId="0" xfId="17" applyFont="1" applyAlignment="1" applyProtection="1">
      <alignment horizontal="center" vertical="center" wrapText="1"/>
    </xf>
    <xf numFmtId="194" fontId="290" fillId="25" borderId="174" xfId="20" applyFont="1" applyFill="1" applyBorder="1" applyAlignment="1" applyProtection="1">
      <alignment horizontal="center" vertical="center"/>
    </xf>
    <xf numFmtId="195" fontId="200" fillId="22" borderId="178" xfId="20" applyNumberFormat="1" applyFont="1" applyFill="1" applyBorder="1" applyAlignment="1" applyProtection="1">
      <alignment horizontal="center" vertical="center"/>
    </xf>
    <xf numFmtId="0" fontId="281" fillId="0" borderId="0" xfId="17" applyFont="1" applyAlignment="1" applyProtection="1">
      <alignment horizontal="center" vertical="center"/>
    </xf>
    <xf numFmtId="0" fontId="281" fillId="0" borderId="0" xfId="17" applyFont="1" applyAlignment="1" applyProtection="1">
      <alignment horizontal="left" vertical="center"/>
    </xf>
    <xf numFmtId="194" fontId="281" fillId="0" borderId="0" xfId="25" applyFont="1" applyAlignment="1" applyProtection="1">
      <alignment horizontal="center" vertical="center"/>
    </xf>
    <xf numFmtId="194" fontId="281" fillId="0" borderId="0" xfId="25" applyFont="1" applyAlignment="1" applyProtection="1">
      <alignment horizontal="center" vertical="center" wrapText="1"/>
    </xf>
    <xf numFmtId="0" fontId="145" fillId="0" borderId="0" xfId="4"/>
    <xf numFmtId="0" fontId="303" fillId="0" borderId="0" xfId="19" applyFont="1" applyAlignment="1" applyProtection="1">
      <alignment horizontal="center" vertical="center" wrapText="1"/>
    </xf>
    <xf numFmtId="0" fontId="304" fillId="0" borderId="0" xfId="19" applyFont="1" applyAlignment="1" applyProtection="1">
      <alignment horizontal="center" vertical="center" wrapText="1"/>
    </xf>
    <xf numFmtId="0" fontId="281" fillId="8" borderId="0" xfId="17" applyFont="1" applyFill="1" applyAlignment="1" applyProtection="1">
      <alignment horizontal="center" vertical="center" wrapText="1"/>
    </xf>
    <xf numFmtId="195" fontId="281" fillId="0" borderId="0" xfId="17" applyNumberFormat="1" applyFont="1" applyAlignment="1" applyProtection="1">
      <alignment horizontal="center" vertical="center" wrapText="1"/>
    </xf>
    <xf numFmtId="0" fontId="305" fillId="0" borderId="0" xfId="17" applyFont="1" applyAlignment="1" applyProtection="1">
      <alignment horizontal="center" vertical="center" wrapText="1"/>
    </xf>
    <xf numFmtId="195" fontId="305" fillId="0" borderId="0" xfId="17" applyNumberFormat="1" applyFont="1" applyAlignment="1" applyProtection="1">
      <alignment horizontal="center" vertical="center" wrapText="1"/>
    </xf>
    <xf numFmtId="0" fontId="0" fillId="38" borderId="0" xfId="0" applyFill="1">
      <alignment vertical="center"/>
    </xf>
    <xf numFmtId="0" fontId="86" fillId="38" borderId="0" xfId="16" applyFill="1"/>
    <xf numFmtId="0" fontId="81" fillId="13" borderId="0" xfId="0" applyFont="1" applyFill="1" applyAlignment="1" applyProtection="1">
      <alignment vertical="center"/>
      <protection locked="0"/>
    </xf>
    <xf numFmtId="176" fontId="281" fillId="0" borderId="0" xfId="17" applyNumberFormat="1" applyFont="1" applyAlignment="1" applyProtection="1">
      <alignment horizontal="center" vertical="center" wrapText="1"/>
    </xf>
    <xf numFmtId="0" fontId="145" fillId="38" borderId="0" xfId="0" applyFont="1" applyFill="1" applyAlignment="1">
      <alignment vertical="center"/>
    </xf>
    <xf numFmtId="177" fontId="76" fillId="0" borderId="2" xfId="2"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0" fontId="306" fillId="39" borderId="0" xfId="14" applyNumberFormat="1" applyFont="1" applyFill="1" applyAlignment="1">
      <alignment vertical="top"/>
    </xf>
    <xf numFmtId="0" fontId="168" fillId="39" borderId="0" xfId="14" applyNumberFormat="1" applyFont="1" applyFill="1" applyAlignment="1">
      <alignment vertical="top"/>
    </xf>
    <xf numFmtId="0" fontId="256" fillId="0" borderId="0" xfId="14" applyNumberFormat="1" applyAlignment="1">
      <alignment vertical="top"/>
    </xf>
    <xf numFmtId="204" fontId="256" fillId="0" borderId="0" xfId="14" applyNumberFormat="1" applyAlignment="1">
      <alignment vertical="top"/>
    </xf>
    <xf numFmtId="4" fontId="256" fillId="0" borderId="0" xfId="14" applyNumberFormat="1" applyAlignment="1">
      <alignment vertical="top"/>
    </xf>
    <xf numFmtId="14" fontId="256" fillId="0" borderId="0" xfId="14" applyNumberFormat="1" applyAlignment="1">
      <alignment vertical="top"/>
    </xf>
    <xf numFmtId="0" fontId="146" fillId="0" borderId="0" xfId="14" applyNumberFormat="1" applyFont="1" applyAlignment="1">
      <alignment vertical="top"/>
    </xf>
    <xf numFmtId="0" fontId="307" fillId="38" borderId="0" xfId="14" applyNumberFormat="1" applyFont="1" applyFill="1" applyAlignment="1">
      <alignment vertical="top"/>
    </xf>
    <xf numFmtId="0" fontId="145" fillId="0" borderId="0" xfId="14" applyNumberFormat="1" applyFont="1" applyAlignment="1">
      <alignment vertical="top"/>
    </xf>
    <xf numFmtId="184" fontId="145" fillId="0" borderId="0" xfId="14" applyNumberFormat="1" applyFont="1" applyAlignment="1">
      <alignment vertical="top"/>
    </xf>
    <xf numFmtId="1" fontId="81" fillId="0" borderId="0" xfId="0" applyNumberFormat="1" applyFont="1" applyFill="1" applyAlignment="1" applyProtection="1">
      <protection locked="0"/>
    </xf>
    <xf numFmtId="0" fontId="308" fillId="0" borderId="0" xfId="0" applyFont="1">
      <alignment vertical="center"/>
    </xf>
    <xf numFmtId="0" fontId="308" fillId="0" borderId="0" xfId="0" applyFont="1" applyAlignment="1">
      <alignment vertical="center"/>
    </xf>
    <xf numFmtId="10" fontId="308" fillId="0" borderId="0" xfId="0" applyNumberFormat="1" applyFont="1">
      <alignment vertical="center"/>
    </xf>
    <xf numFmtId="0" fontId="308" fillId="0" borderId="0" xfId="0" applyNumberFormat="1" applyFont="1">
      <alignment vertical="center"/>
    </xf>
    <xf numFmtId="0" fontId="308" fillId="38" borderId="0" xfId="0" applyFont="1" applyFill="1">
      <alignment vertical="center"/>
    </xf>
    <xf numFmtId="0" fontId="308" fillId="38" borderId="0" xfId="0" applyFont="1" applyFill="1" applyAlignment="1">
      <alignment vertical="center"/>
    </xf>
    <xf numFmtId="10" fontId="308" fillId="38" borderId="0" xfId="0" applyNumberFormat="1" applyFont="1" applyFill="1">
      <alignment vertical="center"/>
    </xf>
    <xf numFmtId="0" fontId="308" fillId="38" borderId="0" xfId="0" applyNumberFormat="1" applyFont="1" applyFill="1">
      <alignment vertical="center"/>
    </xf>
    <xf numFmtId="0" fontId="308" fillId="0" borderId="0" xfId="0" applyNumberFormat="1" applyFont="1" applyAlignment="1">
      <alignment vertical="center"/>
    </xf>
    <xf numFmtId="0" fontId="281" fillId="0" borderId="0" xfId="17" applyFont="1" applyFill="1" applyAlignment="1" applyProtection="1">
      <alignment horizontal="left" vertical="center"/>
      <protection locked="0"/>
    </xf>
    <xf numFmtId="195" fontId="281" fillId="0" borderId="0" xfId="17" applyNumberFormat="1" applyFont="1" applyFill="1" applyAlignment="1" applyProtection="1">
      <alignment horizontal="center" vertical="center" wrapText="1"/>
      <protection locked="0"/>
    </xf>
    <xf numFmtId="0" fontId="81" fillId="13" borderId="0" xfId="0" applyFont="1" applyFill="1" applyAlignment="1" applyProtection="1">
      <alignment horizontal="center" vertical="center"/>
      <protection locked="0"/>
    </xf>
    <xf numFmtId="0" fontId="71" fillId="24" borderId="0" xfId="0" applyFont="1" applyFill="1" applyAlignment="1" applyProtection="1">
      <alignment horizontal="center" vertical="center"/>
      <protection locked="0"/>
    </xf>
    <xf numFmtId="9" fontId="76" fillId="24" borderId="0" xfId="0" applyNumberFormat="1" applyFont="1" applyFill="1" applyAlignment="1" applyProtection="1">
      <alignment horizontal="center" vertical="center"/>
      <protection locked="0"/>
    </xf>
    <xf numFmtId="10" fontId="71" fillId="24" borderId="0" xfId="0" applyNumberFormat="1" applyFont="1" applyFill="1" applyAlignment="1" applyProtection="1">
      <alignment horizontal="center" vertical="center"/>
      <protection locked="0"/>
    </xf>
    <xf numFmtId="181" fontId="76" fillId="0" borderId="51" xfId="0" applyNumberFormat="1" applyFont="1" applyFill="1" applyBorder="1" applyAlignment="1" applyProtection="1">
      <alignment horizontal="center" vertical="center"/>
      <protection locked="0"/>
    </xf>
    <xf numFmtId="0" fontId="86" fillId="0" borderId="7" xfId="2" applyNumberFormat="1" applyFont="1" applyFill="1" applyBorder="1" applyAlignment="1" applyProtection="1">
      <alignment horizontal="center" vertical="center"/>
      <protection locked="0"/>
    </xf>
    <xf numFmtId="0" fontId="308" fillId="24" borderId="0" xfId="0" applyFont="1" applyFill="1">
      <alignment vertical="center"/>
    </xf>
    <xf numFmtId="0" fontId="309" fillId="9" borderId="61" xfId="0" applyFont="1" applyFill="1" applyBorder="1">
      <alignment vertical="center"/>
    </xf>
    <xf numFmtId="0" fontId="309" fillId="9" borderId="61" xfId="0" applyFont="1" applyFill="1" applyBorder="1" applyAlignment="1">
      <alignment vertical="center"/>
    </xf>
    <xf numFmtId="10" fontId="309" fillId="9" borderId="61" xfId="0" applyNumberFormat="1" applyFont="1" applyFill="1" applyBorder="1">
      <alignment vertical="center"/>
    </xf>
    <xf numFmtId="0" fontId="309" fillId="9" borderId="61" xfId="0" applyNumberFormat="1" applyFont="1" applyFill="1" applyBorder="1">
      <alignment vertical="center"/>
    </xf>
    <xf numFmtId="0" fontId="309" fillId="0" borderId="56" xfId="0" applyFont="1" applyBorder="1">
      <alignment vertical="center"/>
    </xf>
    <xf numFmtId="0" fontId="309" fillId="0" borderId="56" xfId="0" applyFont="1" applyBorder="1" applyAlignment="1">
      <alignment vertical="center"/>
    </xf>
    <xf numFmtId="10" fontId="309" fillId="0" borderId="56" xfId="0" applyNumberFormat="1" applyFont="1" applyBorder="1">
      <alignment vertical="center"/>
    </xf>
    <xf numFmtId="0" fontId="309" fillId="0" borderId="56" xfId="0" applyNumberFormat="1" applyFont="1" applyBorder="1">
      <alignment vertical="center"/>
    </xf>
    <xf numFmtId="0" fontId="308" fillId="38" borderId="0" xfId="0" applyNumberFormat="1" applyFont="1" applyFill="1" applyAlignment="1">
      <alignment vertical="center"/>
    </xf>
    <xf numFmtId="0" fontId="0" fillId="40" borderId="0" xfId="0" applyFill="1" applyAlignment="1">
      <alignment horizontal="left" vertical="center"/>
    </xf>
    <xf numFmtId="0" fontId="0" fillId="40" borderId="0" xfId="0" applyFill="1" applyAlignment="1">
      <alignment horizontal="right" vertical="center"/>
    </xf>
    <xf numFmtId="0" fontId="133" fillId="0" borderId="2" xfId="0" applyFont="1" applyFill="1" applyBorder="1" applyAlignment="1" applyProtection="1">
      <alignment horizontal="center" vertical="top" wrapText="1"/>
      <protection locked="0"/>
    </xf>
    <xf numFmtId="0" fontId="145" fillId="0" borderId="2" xfId="0" applyFont="1" applyBorder="1" applyAlignment="1" applyProtection="1">
      <alignment horizontal="center" vertical="center" wrapText="1"/>
      <protection locked="0"/>
    </xf>
    <xf numFmtId="0" fontId="76" fillId="41" borderId="0" xfId="0" applyFont="1" applyFill="1" applyAlignment="1" applyProtection="1">
      <alignment horizontal="right" vertical="center"/>
      <protection locked="0"/>
    </xf>
    <xf numFmtId="184" fontId="76" fillId="41" borderId="0" xfId="0" applyNumberFormat="1" applyFont="1" applyFill="1" applyAlignment="1" applyProtection="1">
      <alignment horizontal="right" vertical="center"/>
      <protection locked="0"/>
    </xf>
    <xf numFmtId="177" fontId="76" fillId="41" borderId="0" xfId="0" applyNumberFormat="1" applyFont="1" applyFill="1" applyAlignment="1" applyProtection="1">
      <alignment horizontal="right" vertical="center"/>
      <protection locked="0"/>
    </xf>
    <xf numFmtId="0" fontId="82" fillId="41" borderId="0" xfId="0" applyFont="1" applyFill="1" applyAlignment="1" applyProtection="1">
      <alignment horizontal="left" vertical="center"/>
      <protection locked="0"/>
    </xf>
    <xf numFmtId="0" fontId="76" fillId="41" borderId="0" xfId="0" applyFont="1" applyFill="1" applyAlignment="1" applyProtection="1">
      <alignment horizontal="left" vertical="center"/>
      <protection locked="0"/>
    </xf>
    <xf numFmtId="0" fontId="134" fillId="41" borderId="0" xfId="0" applyFont="1" applyFill="1" applyAlignment="1" applyProtection="1">
      <alignment horizontal="left" vertical="center"/>
      <protection locked="0"/>
    </xf>
    <xf numFmtId="0" fontId="134" fillId="41" borderId="0" xfId="0" applyFont="1" applyFill="1" applyAlignment="1" applyProtection="1">
      <alignment horizontal="right" vertical="center"/>
      <protection locked="0"/>
    </xf>
    <xf numFmtId="0" fontId="85" fillId="41" borderId="0" xfId="0" applyFont="1" applyFill="1" applyAlignment="1" applyProtection="1">
      <alignment vertical="center"/>
      <protection locked="0"/>
    </xf>
    <xf numFmtId="205" fontId="311" fillId="8" borderId="179" xfId="20" applyNumberFormat="1" applyFont="1" applyFill="1" applyBorder="1" applyAlignment="1"/>
    <xf numFmtId="0" fontId="310" fillId="27" borderId="179" xfId="29" applyFont="1" applyFill="1" applyBorder="1" applyAlignment="1">
      <alignment horizontal="center" vertical="center" wrapText="1"/>
    </xf>
    <xf numFmtId="205" fontId="310" fillId="27" borderId="179" xfId="20" applyNumberFormat="1" applyFont="1" applyFill="1" applyBorder="1" applyAlignment="1">
      <alignment horizontal="center" vertical="center" wrapText="1"/>
    </xf>
    <xf numFmtId="205" fontId="310" fillId="27" borderId="180" xfId="29" applyNumberFormat="1" applyFont="1" applyFill="1" applyBorder="1" applyAlignment="1">
      <alignment horizontal="center" vertical="center" wrapText="1"/>
    </xf>
    <xf numFmtId="205" fontId="310" fillId="27" borderId="179" xfId="29" applyNumberFormat="1" applyFont="1" applyFill="1" applyBorder="1" applyAlignment="1">
      <alignment horizontal="center" vertical="center" wrapText="1"/>
    </xf>
    <xf numFmtId="194" fontId="311" fillId="8" borderId="179" xfId="20" applyFont="1" applyFill="1" applyBorder="1" applyAlignment="1">
      <alignment horizontal="center"/>
    </xf>
    <xf numFmtId="205" fontId="311" fillId="8" borderId="181" xfId="20" applyNumberFormat="1" applyFont="1" applyFill="1" applyBorder="1" applyAlignment="1"/>
    <xf numFmtId="205" fontId="311" fillId="8" borderId="180" xfId="20" applyNumberFormat="1" applyFont="1" applyFill="1" applyBorder="1" applyAlignment="1"/>
    <xf numFmtId="184" fontId="281" fillId="0" borderId="0" xfId="17" applyNumberFormat="1" applyFont="1" applyAlignment="1" applyProtection="1">
      <alignment horizontal="center" vertical="center" wrapText="1"/>
    </xf>
    <xf numFmtId="0" fontId="86" fillId="0" borderId="26" xfId="16" applyFill="1" applyBorder="1"/>
    <xf numFmtId="0" fontId="0" fillId="0" borderId="28" xfId="0" applyFill="1" applyBorder="1">
      <alignment vertical="center"/>
    </xf>
    <xf numFmtId="0" fontId="86" fillId="0" borderId="54" xfId="16" applyFill="1" applyBorder="1"/>
    <xf numFmtId="0" fontId="86" fillId="0" borderId="61" xfId="16" applyFill="1" applyBorder="1"/>
    <xf numFmtId="0" fontId="0" fillId="0" borderId="61" xfId="0" applyFill="1" applyBorder="1">
      <alignment vertical="center"/>
    </xf>
    <xf numFmtId="0" fontId="86" fillId="0" borderId="91" xfId="16" applyBorder="1"/>
    <xf numFmtId="0" fontId="0" fillId="0" borderId="91" xfId="0" applyBorder="1">
      <alignment vertical="center"/>
    </xf>
    <xf numFmtId="0" fontId="313" fillId="0" borderId="0" xfId="33" applyFill="1" applyAlignment="1"/>
    <xf numFmtId="0" fontId="144" fillId="0" borderId="20" xfId="0" applyNumberFormat="1" applyFont="1" applyFill="1" applyBorder="1" applyAlignment="1" applyProtection="1">
      <alignment horizontal="center" vertical="center" wrapText="1"/>
      <protection locked="0"/>
    </xf>
    <xf numFmtId="0" fontId="145" fillId="0" borderId="0" xfId="0" applyFont="1" applyFill="1" applyAlignment="1">
      <alignment vertical="center"/>
    </xf>
    <xf numFmtId="0" fontId="127" fillId="26" borderId="0" xfId="16" applyFont="1" applyFill="1"/>
    <xf numFmtId="0" fontId="82" fillId="13" borderId="0" xfId="0" applyFont="1" applyFill="1" applyAlignment="1" applyProtection="1">
      <alignment vertical="center"/>
      <protection locked="0"/>
    </xf>
    <xf numFmtId="184" fontId="76" fillId="13" borderId="0" xfId="0" applyNumberFormat="1" applyFont="1" applyFill="1" applyAlignment="1" applyProtection="1">
      <alignment vertical="center"/>
      <protection locked="0"/>
    </xf>
    <xf numFmtId="0" fontId="158" fillId="41" borderId="0" xfId="0" applyFont="1" applyFill="1" applyAlignment="1" applyProtection="1">
      <alignment horizontal="right" vertical="center"/>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194" fontId="287" fillId="25" borderId="175" xfId="20" applyFont="1" applyFill="1" applyBorder="1" applyAlignment="1" applyProtection="1">
      <alignment horizontal="center" vertical="center"/>
    </xf>
    <xf numFmtId="194" fontId="200" fillId="22" borderId="166" xfId="20" applyFont="1" applyFill="1" applyBorder="1" applyAlignment="1" applyProtection="1">
      <alignment horizontal="center" vertical="center"/>
    </xf>
    <xf numFmtId="194" fontId="200" fillId="22" borderId="172" xfId="20" applyFont="1" applyFill="1" applyBorder="1" applyAlignment="1" applyProtection="1">
      <alignment horizontal="center" vertical="center"/>
    </xf>
    <xf numFmtId="196" fontId="282" fillId="22" borderId="160" xfId="20" applyNumberFormat="1" applyFont="1" applyFill="1" applyBorder="1" applyAlignment="1" applyProtection="1">
      <alignment horizontal="center" vertical="center" wrapText="1"/>
    </xf>
    <xf numFmtId="196" fontId="282" fillId="22" borderId="158" xfId="20" applyNumberFormat="1" applyFont="1" applyFill="1" applyBorder="1" applyAlignment="1" applyProtection="1">
      <alignment horizontal="center" vertical="center" wrapText="1"/>
    </xf>
    <xf numFmtId="196" fontId="282" fillId="22" borderId="159" xfId="20" applyNumberFormat="1" applyFont="1" applyFill="1" applyBorder="1" applyAlignment="1" applyProtection="1">
      <alignment horizontal="center" vertical="center" wrapText="1"/>
    </xf>
    <xf numFmtId="194" fontId="287" fillId="25" borderId="167" xfId="20" applyFont="1" applyFill="1" applyBorder="1" applyAlignment="1" applyProtection="1">
      <alignment horizontal="center" vertical="center" wrapText="1"/>
    </xf>
    <xf numFmtId="194" fontId="287" fillId="25" borderId="168" xfId="20" applyFont="1" applyFill="1" applyBorder="1" applyAlignment="1" applyProtection="1">
      <alignment horizontal="center" vertical="center" wrapText="1"/>
    </xf>
    <xf numFmtId="194" fontId="287" fillId="25" borderId="176" xfId="20" applyFont="1" applyFill="1" applyBorder="1" applyAlignment="1" applyProtection="1">
      <alignment horizontal="center" vertical="center" wrapText="1"/>
    </xf>
    <xf numFmtId="194" fontId="230" fillId="22" borderId="157" xfId="20" applyFont="1" applyFill="1" applyBorder="1" applyAlignment="1" applyProtection="1">
      <alignment horizontal="center" vertical="center" wrapText="1"/>
    </xf>
    <xf numFmtId="194" fontId="230" fillId="22" borderId="158" xfId="20" applyFont="1" applyFill="1" applyBorder="1" applyAlignment="1" applyProtection="1">
      <alignment horizontal="center" vertical="center" wrapText="1"/>
    </xf>
    <xf numFmtId="194" fontId="230" fillId="22" borderId="159" xfId="20" applyFont="1" applyFill="1" applyBorder="1" applyAlignment="1" applyProtection="1">
      <alignment horizontal="center" vertical="center" wrapText="1"/>
    </xf>
    <xf numFmtId="194" fontId="230" fillId="22" borderId="160" xfId="20" applyFont="1" applyFill="1" applyBorder="1" applyAlignment="1" applyProtection="1">
      <alignment horizontal="center" vertical="center" wrapText="1"/>
    </xf>
    <xf numFmtId="194" fontId="287" fillId="8" borderId="5" xfId="20" applyFont="1" applyFill="1" applyBorder="1" applyAlignment="1" applyProtection="1">
      <alignment horizontal="center" vertical="center"/>
    </xf>
    <xf numFmtId="194" fontId="287" fillId="8" borderId="8" xfId="20" applyFont="1" applyFill="1" applyBorder="1" applyAlignment="1" applyProtection="1">
      <alignment horizontal="center" vertical="center"/>
    </xf>
    <xf numFmtId="194" fontId="200" fillId="22" borderId="173" xfId="20" applyFont="1" applyFill="1" applyBorder="1" applyAlignment="1" applyProtection="1">
      <alignment horizontal="center" vertical="center"/>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3" fillId="0" borderId="10" xfId="0" applyFont="1" applyFill="1" applyBorder="1" applyAlignment="1" applyProtection="1">
      <alignment horizontal="center" vertical="center" wrapText="1"/>
      <protection locked="0"/>
    </xf>
    <xf numFmtId="0" fontId="133" fillId="0" borderId="21" xfId="0" applyFont="1" applyFill="1" applyBorder="1" applyAlignment="1" applyProtection="1">
      <alignment horizontal="center" vertical="center" wrapText="1"/>
      <protection locked="0"/>
    </xf>
    <xf numFmtId="0" fontId="133" fillId="0" borderId="5" xfId="0" applyFont="1" applyFill="1" applyBorder="1" applyAlignment="1" applyProtection="1">
      <alignment horizontal="center" vertical="top" wrapText="1"/>
      <protection locked="0"/>
    </xf>
    <xf numFmtId="0" fontId="133" fillId="0" borderId="8" xfId="0" applyFont="1" applyFill="1" applyBorder="1" applyAlignment="1" applyProtection="1">
      <alignment horizontal="center" vertical="top" wrapText="1"/>
      <protection locked="0"/>
    </xf>
    <xf numFmtId="0" fontId="133" fillId="0" borderId="9" xfId="0" applyFont="1" applyFill="1" applyBorder="1" applyAlignment="1" applyProtection="1">
      <alignment horizontal="center" vertical="top" wrapText="1"/>
      <protection locked="0"/>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17"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0" fillId="40" borderId="0" xfId="0" applyFill="1" applyAlignment="1">
      <alignment horizontal="left" vertical="center"/>
    </xf>
    <xf numFmtId="0" fontId="145" fillId="40" borderId="0" xfId="0" applyFont="1" applyFill="1" applyAlignment="1">
      <alignment horizontal="left"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4"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261" fillId="0" borderId="22" xfId="0" applyFont="1" applyFill="1" applyBorder="1" applyAlignment="1" applyProtection="1">
      <alignment horizontal="center" vertical="center" wrapText="1"/>
      <protection locked="0"/>
    </xf>
    <xf numFmtId="0" fontId="312" fillId="0" borderId="22" xfId="0" applyFont="1" applyFill="1" applyBorder="1" applyAlignment="1" applyProtection="1">
      <alignment horizontal="center" vertical="center" wrapText="1"/>
      <protection locked="0"/>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cellXfs>
  <cellStyles count="34">
    <cellStyle name="百分比" xfId="28" builtinId="5"/>
    <cellStyle name="百分比 10" xfId="18"/>
    <cellStyle name="百分比 2" xfId="11"/>
    <cellStyle name="常规" xfId="0" builtinId="0"/>
    <cellStyle name="常规 10" xfId="16"/>
    <cellStyle name="常规 13" xfId="29"/>
    <cellStyle name="常规 16" xfId="1"/>
    <cellStyle name="常规 2" xfId="2"/>
    <cellStyle name="常规 2 2" xfId="3"/>
    <cellStyle name="常规 2 2 10 2" xfId="30"/>
    <cellStyle name="常规 2 2 2 2 3" xfId="12"/>
    <cellStyle name="常规 3" xfId="4"/>
    <cellStyle name="常规 3 2" xfId="5"/>
    <cellStyle name="常规 4" xfId="6"/>
    <cellStyle name="常规 5" xfId="7"/>
    <cellStyle name="常规 50" xfId="19"/>
    <cellStyle name="常规 50 2" xfId="27"/>
    <cellStyle name="常规 6" xfId="8"/>
    <cellStyle name="常规 6 10" xfId="17"/>
    <cellStyle name="常规 6 10 2" xfId="26"/>
    <cellStyle name="常规 6 2" xfId="10"/>
    <cellStyle name="常规 6 2 2" xfId="13"/>
    <cellStyle name="常规 7" xfId="9"/>
    <cellStyle name="常规 8" xfId="15"/>
    <cellStyle name="常规 9" xfId="14"/>
    <cellStyle name="超链接" xfId="33" builtinId="8"/>
    <cellStyle name="千位分隔 10" xfId="31"/>
    <cellStyle name="千位分隔 12 5 2" xfId="20"/>
    <cellStyle name="千位分隔 12 5 2 2" xfId="23"/>
    <cellStyle name="千位分隔 12 5 2 5" xfId="21"/>
    <cellStyle name="千位分隔 18" xfId="22"/>
    <cellStyle name="千位分隔 18 14 2" xfId="24"/>
    <cellStyle name="千位分隔 2 74 2" xfId="32"/>
    <cellStyle name="千位分隔 9 2" xfId="25"/>
  </cellStyles>
  <dxfs count="254">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i val="0"/>
        <color theme="0" tint="-0.24994659260841701"/>
      </font>
    </dxf>
    <dxf>
      <font>
        <b val="0"/>
        <i val="0"/>
        <color theme="0" tint="-0.24994659260841701"/>
      </font>
    </dxf>
    <dxf>
      <font>
        <b val="0"/>
        <i val="0"/>
        <color theme="0" tint="-0.24994659260841701"/>
      </font>
    </dxf>
    <dxf>
      <font>
        <b val="0"/>
        <i val="0"/>
        <color theme="0" tint="-0.24994659260841701"/>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3</xdr:col>
      <xdr:colOff>400050</xdr:colOff>
      <xdr:row>34</xdr:row>
      <xdr:rowOff>28575</xdr:rowOff>
    </xdr:from>
    <xdr:to>
      <xdr:col>9</xdr:col>
      <xdr:colOff>56450</xdr:colOff>
      <xdr:row>48</xdr:row>
      <xdr:rowOff>123413</xdr:rowOff>
    </xdr:to>
    <xdr:pic>
      <xdr:nvPicPr>
        <xdr:cNvPr id="2" name="图片 1"/>
        <xdr:cNvPicPr>
          <a:picLocks noChangeAspect="1"/>
        </xdr:cNvPicPr>
      </xdr:nvPicPr>
      <xdr:blipFill>
        <a:blip xmlns:r="http://schemas.openxmlformats.org/officeDocument/2006/relationships" r:embed="rId1"/>
        <a:stretch>
          <a:fillRect/>
        </a:stretch>
      </xdr:blipFill>
      <xdr:spPr>
        <a:xfrm>
          <a:off x="2619375" y="7800975"/>
          <a:ext cx="5600000" cy="3295238"/>
        </a:xfrm>
        <a:prstGeom prst="rect">
          <a:avLst/>
        </a:prstGeom>
      </xdr:spPr>
    </xdr:pic>
    <xdr:clientData/>
  </xdr:twoCellAnchor>
  <xdr:twoCellAnchor>
    <xdr:from>
      <xdr:col>5</xdr:col>
      <xdr:colOff>638175</xdr:colOff>
      <xdr:row>35</xdr:row>
      <xdr:rowOff>57150</xdr:rowOff>
    </xdr:from>
    <xdr:to>
      <xdr:col>6</xdr:col>
      <xdr:colOff>771525</xdr:colOff>
      <xdr:row>38</xdr:row>
      <xdr:rowOff>171450</xdr:rowOff>
    </xdr:to>
    <xdr:sp macro="" textlink="">
      <xdr:nvSpPr>
        <xdr:cNvPr id="3" name="椭圆 2"/>
        <xdr:cNvSpPr/>
      </xdr:nvSpPr>
      <xdr:spPr>
        <a:xfrm>
          <a:off x="4352925" y="8058150"/>
          <a:ext cx="1571625" cy="800100"/>
        </a:xfrm>
        <a:prstGeom prst="ellipse">
          <a:avLst/>
        </a:prstGeom>
        <a:noFill/>
        <a:ln w="38100">
          <a:solidFill>
            <a:srgbClr val="FF0000"/>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45</xdr:col>
      <xdr:colOff>209550</xdr:colOff>
      <xdr:row>18</xdr:row>
      <xdr:rowOff>104775</xdr:rowOff>
    </xdr:from>
    <xdr:to>
      <xdr:col>56</xdr:col>
      <xdr:colOff>275274</xdr:colOff>
      <xdr:row>84</xdr:row>
      <xdr:rowOff>76200</xdr:rowOff>
    </xdr:to>
    <xdr:pic>
      <xdr:nvPicPr>
        <xdr:cNvPr id="2" name="图片 1"/>
        <xdr:cNvPicPr>
          <a:picLocks noChangeAspect="1"/>
        </xdr:cNvPicPr>
      </xdr:nvPicPr>
      <xdr:blipFill>
        <a:blip xmlns:r="http://schemas.openxmlformats.org/officeDocument/2006/relationships" r:embed="rId1"/>
        <a:stretch>
          <a:fillRect/>
        </a:stretch>
      </xdr:blipFill>
      <xdr:spPr>
        <a:xfrm>
          <a:off x="18392775" y="1828800"/>
          <a:ext cx="7609524" cy="73723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497396</xdr:colOff>
      <xdr:row>40</xdr:row>
      <xdr:rowOff>27771</xdr:rowOff>
    </xdr:from>
    <xdr:to>
      <xdr:col>23</xdr:col>
      <xdr:colOff>180329</xdr:colOff>
      <xdr:row>98</xdr:row>
      <xdr:rowOff>115980</xdr:rowOff>
    </xdr:to>
    <xdr:pic>
      <xdr:nvPicPr>
        <xdr:cNvPr id="2" name="图片 1"/>
        <xdr:cNvPicPr>
          <a:picLocks noChangeAspect="1"/>
        </xdr:cNvPicPr>
      </xdr:nvPicPr>
      <xdr:blipFill>
        <a:blip xmlns:r="http://schemas.openxmlformats.org/officeDocument/2006/relationships" r:embed="rId1"/>
        <a:stretch>
          <a:fillRect/>
        </a:stretch>
      </xdr:blipFill>
      <xdr:spPr>
        <a:xfrm>
          <a:off x="4598749" y="6751300"/>
          <a:ext cx="11303433" cy="9837327"/>
        </a:xfrm>
        <a:prstGeom prst="rect">
          <a:avLst/>
        </a:prstGeom>
      </xdr:spPr>
    </xdr:pic>
    <xdr:clientData/>
  </xdr:twoCellAnchor>
  <xdr:twoCellAnchor>
    <xdr:from>
      <xdr:col>15</xdr:col>
      <xdr:colOff>185631</xdr:colOff>
      <xdr:row>88</xdr:row>
      <xdr:rowOff>43896</xdr:rowOff>
    </xdr:from>
    <xdr:to>
      <xdr:col>22</xdr:col>
      <xdr:colOff>96565</xdr:colOff>
      <xdr:row>103</xdr:row>
      <xdr:rowOff>100218</xdr:rowOff>
    </xdr:to>
    <xdr:grpSp>
      <xdr:nvGrpSpPr>
        <xdr:cNvPr id="23" name="组合 22"/>
        <xdr:cNvGrpSpPr/>
      </xdr:nvGrpSpPr>
      <xdr:grpSpPr>
        <a:xfrm>
          <a:off x="10439013" y="14835661"/>
          <a:ext cx="4695846" cy="2577645"/>
          <a:chOff x="8773258" y="10643541"/>
          <a:chExt cx="4711535" cy="2628072"/>
        </a:xfrm>
      </xdr:grpSpPr>
      <xdr:sp macro="" textlink="">
        <xdr:nvSpPr>
          <xdr:cNvPr id="3" name="线形标注 2 2"/>
          <xdr:cNvSpPr/>
        </xdr:nvSpPr>
        <xdr:spPr>
          <a:xfrm>
            <a:off x="8773258" y="10643541"/>
            <a:ext cx="4710319" cy="2628072"/>
          </a:xfrm>
          <a:prstGeom prst="borderCallout2">
            <a:avLst>
              <a:gd name="adj1" fmla="val 5203"/>
              <a:gd name="adj2" fmla="val -2199"/>
              <a:gd name="adj3" fmla="val 9088"/>
              <a:gd name="adj4" fmla="val -3873"/>
              <a:gd name="adj5" fmla="val 17039"/>
              <a:gd name="adj6" fmla="val -17045"/>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2019</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a:solidFill>
                  <a:schemeClr val="accent2">
                    <a:lumMod val="75000"/>
                  </a:schemeClr>
                </a:solidFill>
                <a:effectLst/>
                <a:latin typeface="黑体" pitchFamily="2" charset="-122"/>
                <a:ea typeface="黑体" pitchFamily="2" charset="-122"/>
                <a:cs typeface="+mn-cs"/>
              </a:rPr>
              <a:t>2019(TR)-57</a:t>
            </a:r>
            <a:r>
              <a:rPr lang="zh-CN" altLang="en-US" sz="850" b="0">
                <a:solidFill>
                  <a:schemeClr val="accent2">
                    <a:lumMod val="75000"/>
                  </a:schemeClr>
                </a:solidFill>
                <a:effectLst/>
                <a:latin typeface="黑体" pitchFamily="2" charset="-122"/>
                <a:ea typeface="黑体" pitchFamily="2" charset="-122"/>
                <a:cs typeface="+mn-cs"/>
              </a:rPr>
              <a:t>、</a:t>
            </a:r>
            <a:r>
              <a:rPr lang="en-US" altLang="zh-CN" sz="850" b="0">
                <a:solidFill>
                  <a:schemeClr val="accent2">
                    <a:lumMod val="75000"/>
                  </a:schemeClr>
                </a:solidFill>
                <a:effectLst/>
                <a:latin typeface="黑体" pitchFamily="2" charset="-122"/>
                <a:ea typeface="黑体" pitchFamily="2" charset="-122"/>
                <a:cs typeface="+mn-cs"/>
              </a:rPr>
              <a:t>58</a:t>
            </a:r>
            <a:r>
              <a:rPr lang="zh-CN" altLang="en-US" sz="850" b="0">
                <a:solidFill>
                  <a:schemeClr val="accent2">
                    <a:lumMod val="75000"/>
                  </a:schemeClr>
                </a:solidFill>
                <a:effectLst/>
                <a:latin typeface="黑体" pitchFamily="2" charset="-122"/>
                <a:ea typeface="黑体" pitchFamily="2" charset="-122"/>
                <a:cs typeface="+mn-cs"/>
              </a:rPr>
              <a:t>、</a:t>
            </a:r>
            <a:r>
              <a:rPr lang="en-US" altLang="zh-CN" sz="850" b="0">
                <a:solidFill>
                  <a:schemeClr val="accent2">
                    <a:lumMod val="75000"/>
                  </a:schemeClr>
                </a:solidFill>
                <a:effectLst/>
                <a:latin typeface="黑体" pitchFamily="2" charset="-122"/>
                <a:ea typeface="黑体" pitchFamily="2" charset="-122"/>
                <a:cs typeface="+mn-cs"/>
              </a:rPr>
              <a:t>60</a:t>
            </a:r>
          </a:p>
          <a:p>
            <a:r>
              <a:rPr lang="en-US" altLang="zh-CN" sz="850" b="1">
                <a:solidFill>
                  <a:schemeClr val="accent2">
                    <a:lumMod val="75000"/>
                  </a:schemeClr>
                </a:solidFill>
                <a:effectLst/>
                <a:latin typeface="黑体" pitchFamily="2" charset="-122"/>
                <a:ea typeface="黑体" pitchFamily="2" charset="-122"/>
                <a:cs typeface="+mn-cs"/>
              </a:rPr>
              <a:t>R1.0   163</a:t>
            </a:r>
            <a:r>
              <a:rPr lang="zh-CN" altLang="en-US" sz="850" b="1">
                <a:solidFill>
                  <a:schemeClr val="accent2">
                    <a:lumMod val="75000"/>
                  </a:schemeClr>
                </a:solidFill>
                <a:effectLst/>
                <a:latin typeface="黑体" pitchFamily="2" charset="-122"/>
                <a:ea typeface="黑体" pitchFamily="2" charset="-122"/>
                <a:cs typeface="+mn-cs"/>
              </a:rPr>
              <a:t>万</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亩   </a:t>
            </a:r>
            <a:r>
              <a:rPr lang="en-US" altLang="zh-CN" sz="850" b="1">
                <a:solidFill>
                  <a:schemeClr val="accent2">
                    <a:lumMod val="75000"/>
                  </a:schemeClr>
                </a:solidFill>
                <a:effectLst/>
                <a:latin typeface="黑体" pitchFamily="2" charset="-122"/>
                <a:ea typeface="黑体" pitchFamily="2" charset="-122"/>
                <a:cs typeface="+mn-cs"/>
              </a:rPr>
              <a:t>2450</a:t>
            </a:r>
            <a:r>
              <a:rPr lang="zh-CN" altLang="en-US" sz="850" b="1">
                <a:solidFill>
                  <a:schemeClr val="accent2">
                    <a:lumMod val="75000"/>
                  </a:schemeClr>
                </a:solidFill>
                <a:effectLst/>
                <a:latin typeface="黑体" pitchFamily="2" charset="-122"/>
                <a:ea typeface="黑体" pitchFamily="2" charset="-122"/>
                <a:cs typeface="+mn-cs"/>
              </a:rPr>
              <a:t>元</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平方米   溢价率</a:t>
            </a:r>
            <a:r>
              <a:rPr lang="en-US" altLang="zh-CN" sz="850" b="1">
                <a:solidFill>
                  <a:schemeClr val="accent2">
                    <a:lumMod val="75000"/>
                  </a:schemeClr>
                </a:solidFill>
                <a:effectLst/>
                <a:latin typeface="黑体" pitchFamily="2" charset="-122"/>
                <a:ea typeface="黑体" pitchFamily="2" charset="-122"/>
                <a:cs typeface="+mn-cs"/>
              </a:rPr>
              <a:t>0%</a:t>
            </a:r>
          </a:p>
          <a:p>
            <a:r>
              <a:rPr lang="en-US" altLang="zh-CN" sz="850" b="1">
                <a:solidFill>
                  <a:schemeClr val="accent2">
                    <a:lumMod val="75000"/>
                  </a:schemeClr>
                </a:solidFill>
                <a:effectLst/>
                <a:latin typeface="黑体" pitchFamily="2" charset="-122"/>
                <a:ea typeface="黑体" pitchFamily="2" charset="-122"/>
                <a:cs typeface="+mn-cs"/>
              </a:rPr>
              <a:t>R1.1   179</a:t>
            </a:r>
            <a:r>
              <a:rPr lang="zh-CN" altLang="en-US" sz="850" b="1">
                <a:solidFill>
                  <a:schemeClr val="accent2">
                    <a:lumMod val="75000"/>
                  </a:schemeClr>
                </a:solidFill>
                <a:effectLst/>
                <a:latin typeface="黑体" pitchFamily="2" charset="-122"/>
                <a:ea typeface="黑体" pitchFamily="2" charset="-122"/>
                <a:cs typeface="+mn-cs"/>
              </a:rPr>
              <a:t>万</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亩   </a:t>
            </a:r>
            <a:r>
              <a:rPr lang="en-US" altLang="zh-CN" sz="850" b="1">
                <a:solidFill>
                  <a:schemeClr val="accent2">
                    <a:lumMod val="75000"/>
                  </a:schemeClr>
                </a:solidFill>
                <a:effectLst/>
                <a:latin typeface="黑体" pitchFamily="2" charset="-122"/>
                <a:ea typeface="黑体" pitchFamily="2" charset="-122"/>
                <a:cs typeface="+mn-cs"/>
              </a:rPr>
              <a:t>2450</a:t>
            </a:r>
            <a:r>
              <a:rPr lang="zh-CN" altLang="en-US" sz="850" b="1">
                <a:solidFill>
                  <a:schemeClr val="accent2">
                    <a:lumMod val="75000"/>
                  </a:schemeClr>
                </a:solidFill>
                <a:effectLst/>
                <a:latin typeface="黑体" pitchFamily="2" charset="-122"/>
                <a:ea typeface="黑体" pitchFamily="2" charset="-122"/>
                <a:cs typeface="+mn-cs"/>
              </a:rPr>
              <a:t>元</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平方米   溢价率</a:t>
            </a:r>
            <a:r>
              <a:rPr lang="en-US" altLang="zh-CN" sz="850" b="1">
                <a:solidFill>
                  <a:schemeClr val="accent2">
                    <a:lumMod val="75000"/>
                  </a:schemeClr>
                </a:solidFill>
                <a:effectLst/>
                <a:latin typeface="黑体" pitchFamily="2" charset="-122"/>
                <a:ea typeface="黑体" pitchFamily="2" charset="-122"/>
                <a:cs typeface="+mn-cs"/>
              </a:rPr>
              <a:t>0%</a:t>
            </a:r>
          </a:p>
          <a:p>
            <a:r>
              <a:rPr lang="en-US" altLang="zh-CN" sz="850" b="1">
                <a:solidFill>
                  <a:schemeClr val="accent2">
                    <a:lumMod val="75000"/>
                  </a:schemeClr>
                </a:solidFill>
                <a:effectLst/>
                <a:latin typeface="黑体" pitchFamily="2" charset="-122"/>
                <a:ea typeface="黑体" pitchFamily="2" charset="-122"/>
                <a:cs typeface="+mn-cs"/>
              </a:rPr>
              <a:t>R1.2   196</a:t>
            </a:r>
            <a:r>
              <a:rPr lang="zh-CN" altLang="en-US" sz="850" b="1">
                <a:solidFill>
                  <a:schemeClr val="accent2">
                    <a:lumMod val="75000"/>
                  </a:schemeClr>
                </a:solidFill>
                <a:effectLst/>
                <a:latin typeface="黑体" pitchFamily="2" charset="-122"/>
                <a:ea typeface="黑体" pitchFamily="2" charset="-122"/>
                <a:cs typeface="+mn-cs"/>
              </a:rPr>
              <a:t>万</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亩   </a:t>
            </a:r>
            <a:r>
              <a:rPr lang="en-US" altLang="zh-CN" sz="850" b="1">
                <a:solidFill>
                  <a:schemeClr val="accent2">
                    <a:lumMod val="75000"/>
                  </a:schemeClr>
                </a:solidFill>
                <a:effectLst/>
                <a:latin typeface="黑体" pitchFamily="2" charset="-122"/>
                <a:ea typeface="黑体" pitchFamily="2" charset="-122"/>
                <a:cs typeface="+mn-cs"/>
              </a:rPr>
              <a:t>2450</a:t>
            </a:r>
            <a:r>
              <a:rPr lang="zh-CN" altLang="en-US" sz="850" b="1">
                <a:solidFill>
                  <a:schemeClr val="accent2">
                    <a:lumMod val="75000"/>
                  </a:schemeClr>
                </a:solidFill>
                <a:effectLst/>
                <a:latin typeface="黑体" pitchFamily="2" charset="-122"/>
                <a:ea typeface="黑体" pitchFamily="2" charset="-122"/>
                <a:cs typeface="+mn-cs"/>
              </a:rPr>
              <a:t>元</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平方米   溢价率</a:t>
            </a:r>
            <a:r>
              <a:rPr lang="en-US" altLang="zh-CN" sz="850" b="1">
                <a:solidFill>
                  <a:schemeClr val="accent2">
                    <a:lumMod val="75000"/>
                  </a:schemeClr>
                </a:solidFill>
                <a:effectLst/>
                <a:latin typeface="黑体" pitchFamily="2" charset="-122"/>
                <a:ea typeface="黑体" pitchFamily="2" charset="-122"/>
                <a:cs typeface="+mn-cs"/>
              </a:rPr>
              <a:t>0%</a:t>
            </a:r>
          </a:p>
          <a:p>
            <a:r>
              <a:rPr lang="en-US" altLang="zh-CN" sz="850" b="1">
                <a:solidFill>
                  <a:schemeClr val="accent2">
                    <a:lumMod val="75000"/>
                  </a:schemeClr>
                </a:solidFill>
                <a:effectLst/>
                <a:latin typeface="黑体" pitchFamily="2" charset="-122"/>
                <a:ea typeface="黑体" pitchFamily="2" charset="-122"/>
                <a:cs typeface="+mn-cs"/>
              </a:rPr>
              <a:t>R1.3   153</a:t>
            </a:r>
            <a:r>
              <a:rPr lang="zh-CN" altLang="en-US" sz="850" b="1">
                <a:solidFill>
                  <a:schemeClr val="accent2">
                    <a:lumMod val="75000"/>
                  </a:schemeClr>
                </a:solidFill>
                <a:effectLst/>
                <a:latin typeface="黑体" pitchFamily="2" charset="-122"/>
                <a:ea typeface="黑体" pitchFamily="2" charset="-122"/>
                <a:cs typeface="+mn-cs"/>
              </a:rPr>
              <a:t>万</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亩   </a:t>
            </a:r>
            <a:r>
              <a:rPr lang="en-US" altLang="zh-CN" sz="850" b="1">
                <a:solidFill>
                  <a:schemeClr val="accent2">
                    <a:lumMod val="75000"/>
                  </a:schemeClr>
                </a:solidFill>
                <a:effectLst/>
                <a:latin typeface="黑体" pitchFamily="2" charset="-122"/>
                <a:ea typeface="黑体" pitchFamily="2" charset="-122"/>
                <a:cs typeface="+mn-cs"/>
              </a:rPr>
              <a:t>1775</a:t>
            </a:r>
            <a:r>
              <a:rPr lang="zh-CN" altLang="en-US" sz="850" b="1">
                <a:solidFill>
                  <a:schemeClr val="accent2">
                    <a:lumMod val="75000"/>
                  </a:schemeClr>
                </a:solidFill>
                <a:effectLst/>
                <a:latin typeface="黑体" pitchFamily="2" charset="-122"/>
                <a:ea typeface="黑体" pitchFamily="2" charset="-122"/>
                <a:cs typeface="+mn-cs"/>
              </a:rPr>
              <a:t>元</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平方米   溢价率</a:t>
            </a:r>
            <a:r>
              <a:rPr lang="en-US" altLang="zh-CN" sz="850" b="1">
                <a:solidFill>
                  <a:schemeClr val="accent2">
                    <a:lumMod val="75000"/>
                  </a:schemeClr>
                </a:solidFill>
                <a:effectLst/>
                <a:latin typeface="黑体" pitchFamily="2" charset="-122"/>
                <a:ea typeface="黑体" pitchFamily="2" charset="-122"/>
                <a:cs typeface="+mn-cs"/>
              </a:rPr>
              <a:t>0%</a:t>
            </a:r>
          </a:p>
          <a:p>
            <a:r>
              <a:rPr lang="en-US" altLang="zh-CN" sz="850" b="1">
                <a:solidFill>
                  <a:schemeClr val="accent2">
                    <a:lumMod val="75000"/>
                  </a:schemeClr>
                </a:solidFill>
                <a:effectLst/>
                <a:latin typeface="黑体" pitchFamily="2" charset="-122"/>
                <a:ea typeface="黑体" pitchFamily="2" charset="-122"/>
                <a:cs typeface="+mn-cs"/>
              </a:rPr>
              <a:t>R1.4   228</a:t>
            </a:r>
            <a:r>
              <a:rPr lang="zh-CN" altLang="en-US" sz="850" b="1">
                <a:solidFill>
                  <a:schemeClr val="accent2">
                    <a:lumMod val="75000"/>
                  </a:schemeClr>
                </a:solidFill>
                <a:effectLst/>
                <a:latin typeface="黑体" pitchFamily="2" charset="-122"/>
                <a:ea typeface="黑体" pitchFamily="2" charset="-122"/>
                <a:cs typeface="+mn-cs"/>
              </a:rPr>
              <a:t>万</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亩   </a:t>
            </a:r>
            <a:r>
              <a:rPr lang="en-US" altLang="zh-CN" sz="850" b="1">
                <a:solidFill>
                  <a:schemeClr val="accent2">
                    <a:lumMod val="75000"/>
                  </a:schemeClr>
                </a:solidFill>
                <a:effectLst/>
                <a:latin typeface="黑体" pitchFamily="2" charset="-122"/>
                <a:ea typeface="黑体" pitchFamily="2" charset="-122"/>
                <a:cs typeface="+mn-cs"/>
              </a:rPr>
              <a:t>2450</a:t>
            </a:r>
            <a:r>
              <a:rPr lang="zh-CN" altLang="en-US" sz="850" b="1">
                <a:solidFill>
                  <a:schemeClr val="accent2">
                    <a:lumMod val="75000"/>
                  </a:schemeClr>
                </a:solidFill>
                <a:effectLst/>
                <a:latin typeface="黑体" pitchFamily="2" charset="-122"/>
                <a:ea typeface="黑体" pitchFamily="2" charset="-122"/>
                <a:cs typeface="+mn-cs"/>
              </a:rPr>
              <a:t>元</a:t>
            </a:r>
            <a:r>
              <a:rPr lang="en-US" altLang="zh-CN" sz="850" b="1">
                <a:solidFill>
                  <a:schemeClr val="accent2">
                    <a:lumMod val="75000"/>
                  </a:schemeClr>
                </a:solidFill>
                <a:effectLst/>
                <a:latin typeface="黑体" pitchFamily="2" charset="-122"/>
                <a:ea typeface="黑体" pitchFamily="2" charset="-122"/>
                <a:cs typeface="+mn-cs"/>
              </a:rPr>
              <a:t>/</a:t>
            </a:r>
            <a:r>
              <a:rPr lang="zh-CN" altLang="en-US" sz="850" b="1">
                <a:solidFill>
                  <a:schemeClr val="accent2">
                    <a:lumMod val="75000"/>
                  </a:schemeClr>
                </a:solidFill>
                <a:effectLst/>
                <a:latin typeface="黑体" pitchFamily="2" charset="-122"/>
                <a:ea typeface="黑体" pitchFamily="2" charset="-122"/>
                <a:cs typeface="+mn-cs"/>
              </a:rPr>
              <a:t>平方米   溢价率</a:t>
            </a:r>
            <a:r>
              <a:rPr lang="en-US" altLang="zh-CN" sz="850" b="1">
                <a:solidFill>
                  <a:schemeClr val="accent2">
                    <a:lumMod val="75000"/>
                  </a:schemeClr>
                </a:solidFill>
                <a:effectLst/>
                <a:latin typeface="黑体" pitchFamily="2" charset="-122"/>
                <a:ea typeface="黑体" pitchFamily="2" charset="-122"/>
                <a:cs typeface="+mn-cs"/>
              </a:rPr>
              <a:t>0%</a:t>
            </a:r>
          </a:p>
          <a:p>
            <a:r>
              <a:rPr lang="zh-CN" altLang="en-US" sz="850" b="0">
                <a:solidFill>
                  <a:schemeClr val="accent2">
                    <a:lumMod val="75000"/>
                  </a:schemeClr>
                </a:solidFill>
                <a:effectLst/>
                <a:latin typeface="黑体" pitchFamily="2" charset="-122"/>
                <a:ea typeface="黑体" pitchFamily="2" charset="-122"/>
                <a:cs typeface="+mn-cs"/>
              </a:rPr>
              <a:t>要求：</a:t>
            </a:r>
          </a:p>
          <a:p>
            <a:r>
              <a:rPr lang="en-US" altLang="zh-CN" sz="850" b="0">
                <a:solidFill>
                  <a:schemeClr val="accent2">
                    <a:lumMod val="75000"/>
                  </a:schemeClr>
                </a:solidFill>
                <a:effectLst/>
                <a:latin typeface="黑体" pitchFamily="2" charset="-122"/>
                <a:ea typeface="黑体" pitchFamily="2" charset="-122"/>
                <a:cs typeface="+mn-cs"/>
              </a:rPr>
              <a:t>1.</a:t>
            </a:r>
            <a:r>
              <a:rPr lang="zh-CN" altLang="en-US" sz="850" b="0">
                <a:solidFill>
                  <a:schemeClr val="accent2">
                    <a:lumMod val="75000"/>
                  </a:schemeClr>
                </a:solidFill>
                <a:effectLst/>
                <a:latin typeface="黑体" pitchFamily="2" charset="-122"/>
                <a:ea typeface="黑体" pitchFamily="2" charset="-122"/>
                <a:cs typeface="+mn-cs"/>
              </a:rPr>
              <a:t>竞买方要求。</a:t>
            </a:r>
          </a:p>
          <a:p>
            <a:r>
              <a:rPr lang="en-US" altLang="zh-CN" sz="850" b="0">
                <a:solidFill>
                  <a:schemeClr val="accent2">
                    <a:lumMod val="75000"/>
                  </a:schemeClr>
                </a:solidFill>
                <a:effectLst/>
                <a:latin typeface="黑体" pitchFamily="2" charset="-122"/>
                <a:ea typeface="黑体" pitchFamily="2" charset="-122"/>
                <a:cs typeface="+mn-cs"/>
              </a:rPr>
              <a:t>2.</a:t>
            </a:r>
            <a:r>
              <a:rPr lang="zh-CN" altLang="en-US" sz="850" b="0">
                <a:solidFill>
                  <a:schemeClr val="accent2">
                    <a:lumMod val="75000"/>
                  </a:schemeClr>
                </a:solidFill>
                <a:effectLst/>
                <a:latin typeface="黑体" pitchFamily="2" charset="-122"/>
                <a:ea typeface="黑体" pitchFamily="2" charset="-122"/>
                <a:cs typeface="+mn-cs"/>
              </a:rPr>
              <a:t>竞买方按</a:t>
            </a:r>
            <a:r>
              <a:rPr lang="en-US" altLang="zh-CN" sz="850" b="0">
                <a:solidFill>
                  <a:schemeClr val="accent2">
                    <a:lumMod val="75000"/>
                  </a:schemeClr>
                </a:solidFill>
                <a:effectLst/>
                <a:latin typeface="黑体" pitchFamily="2" charset="-122"/>
                <a:ea typeface="黑体" pitchFamily="2" charset="-122"/>
                <a:cs typeface="+mn-cs"/>
              </a:rPr>
              <a:t>11.5</a:t>
            </a:r>
            <a:r>
              <a:rPr lang="zh-CN" altLang="en-US" sz="850" b="0">
                <a:solidFill>
                  <a:schemeClr val="accent2">
                    <a:lumMod val="75000"/>
                  </a:schemeClr>
                </a:solidFill>
                <a:effectLst/>
                <a:latin typeface="黑体" pitchFamily="2" charset="-122"/>
                <a:ea typeface="黑体" pitchFamily="2" charset="-122"/>
                <a:cs typeface="+mn-cs"/>
              </a:rPr>
              <a:t>万元</a:t>
            </a:r>
            <a:r>
              <a:rPr lang="en-US" altLang="zh-CN" sz="850" b="0">
                <a:solidFill>
                  <a:schemeClr val="accent2">
                    <a:lumMod val="75000"/>
                  </a:schemeClr>
                </a:solidFill>
                <a:effectLst/>
                <a:latin typeface="黑体" pitchFamily="2" charset="-122"/>
                <a:ea typeface="黑体" pitchFamily="2" charset="-122"/>
                <a:cs typeface="+mn-cs"/>
              </a:rPr>
              <a:t>/</a:t>
            </a:r>
            <a:r>
              <a:rPr lang="zh-CN" altLang="en-US" sz="850" b="0">
                <a:solidFill>
                  <a:schemeClr val="accent2">
                    <a:lumMod val="75000"/>
                  </a:schemeClr>
                </a:solidFill>
                <a:effectLst/>
                <a:latin typeface="黑体" pitchFamily="2" charset="-122"/>
                <a:ea typeface="黑体" pitchFamily="2" charset="-122"/>
                <a:cs typeface="+mn-cs"/>
              </a:rPr>
              <a:t>亩缴纳宗地东侧紧密关联的</a:t>
            </a:r>
            <a:r>
              <a:rPr lang="en-US" altLang="zh-CN" sz="850" b="0">
                <a:solidFill>
                  <a:schemeClr val="accent2">
                    <a:lumMod val="75000"/>
                  </a:schemeClr>
                </a:solidFill>
                <a:effectLst/>
                <a:latin typeface="黑体" pitchFamily="2" charset="-122"/>
                <a:ea typeface="黑体" pitchFamily="2" charset="-122"/>
                <a:cs typeface="+mn-cs"/>
              </a:rPr>
              <a:t>42468</a:t>
            </a:r>
            <a:r>
              <a:rPr lang="zh-CN" altLang="en-US" sz="850" b="0">
                <a:solidFill>
                  <a:schemeClr val="accent2">
                    <a:lumMod val="75000"/>
                  </a:schemeClr>
                </a:solidFill>
                <a:effectLst/>
                <a:latin typeface="黑体" pitchFamily="2" charset="-122"/>
                <a:ea typeface="黑体" pitchFamily="2" charset="-122"/>
                <a:cs typeface="+mn-cs"/>
              </a:rPr>
              <a:t>平方米（合约</a:t>
            </a:r>
            <a:r>
              <a:rPr lang="en-US" altLang="zh-CN" sz="850" b="0">
                <a:solidFill>
                  <a:schemeClr val="accent2">
                    <a:lumMod val="75000"/>
                  </a:schemeClr>
                </a:solidFill>
                <a:effectLst/>
                <a:latin typeface="黑体" pitchFamily="2" charset="-122"/>
                <a:ea typeface="黑体" pitchFamily="2" charset="-122"/>
                <a:cs typeface="+mn-cs"/>
              </a:rPr>
              <a:t>63.7</a:t>
            </a:r>
            <a:r>
              <a:rPr lang="zh-CN" altLang="en-US" sz="850" b="0">
                <a:solidFill>
                  <a:schemeClr val="accent2">
                    <a:lumMod val="75000"/>
                  </a:schemeClr>
                </a:solidFill>
                <a:effectLst/>
                <a:latin typeface="黑体" pitchFamily="2" charset="-122"/>
                <a:ea typeface="黑体" pitchFamily="2" charset="-122"/>
                <a:cs typeface="+mn-cs"/>
              </a:rPr>
              <a:t>亩）土地流转保证金，且后续须投资金额不低于</a:t>
            </a:r>
            <a:r>
              <a:rPr lang="en-US" altLang="zh-CN" sz="850" b="0">
                <a:solidFill>
                  <a:schemeClr val="accent2">
                    <a:lumMod val="75000"/>
                  </a:schemeClr>
                </a:solidFill>
                <a:effectLst/>
                <a:latin typeface="黑体" pitchFamily="2" charset="-122"/>
                <a:ea typeface="黑体" pitchFamily="2" charset="-122"/>
                <a:cs typeface="+mn-cs"/>
              </a:rPr>
              <a:t>1050</a:t>
            </a:r>
            <a:r>
              <a:rPr lang="zh-CN" altLang="en-US" sz="850" b="0">
                <a:solidFill>
                  <a:schemeClr val="accent2">
                    <a:lumMod val="75000"/>
                  </a:schemeClr>
                </a:solidFill>
                <a:effectLst/>
                <a:latin typeface="黑体" pitchFamily="2" charset="-122"/>
                <a:ea typeface="黑体" pitchFamily="2" charset="-122"/>
                <a:cs typeface="+mn-cs"/>
              </a:rPr>
              <a:t>万元用于生态农业建设。</a:t>
            </a:r>
            <a:endParaRPr lang="en-US" altLang="zh-CN" sz="850" b="0">
              <a:solidFill>
                <a:schemeClr val="accent2">
                  <a:lumMod val="75000"/>
                </a:schemeClr>
              </a:solidFill>
              <a:effectLst/>
              <a:latin typeface="黑体" pitchFamily="2" charset="-122"/>
              <a:ea typeface="黑体" pitchFamily="2" charset="-122"/>
              <a:cs typeface="+mn-cs"/>
            </a:endParaRPr>
          </a:p>
          <a:p>
            <a:r>
              <a:rPr lang="en-US" altLang="zh-CN" sz="850" b="0">
                <a:solidFill>
                  <a:schemeClr val="accent2">
                    <a:lumMod val="75000"/>
                  </a:schemeClr>
                </a:solidFill>
                <a:effectLst/>
                <a:latin typeface="黑体" pitchFamily="2" charset="-122"/>
                <a:ea typeface="黑体" pitchFamily="2" charset="-122"/>
                <a:cs typeface="+mn-cs"/>
              </a:rPr>
              <a:t>3.</a:t>
            </a:r>
            <a:r>
              <a:rPr lang="zh-CN" altLang="en-US" sz="850" b="0">
                <a:solidFill>
                  <a:schemeClr val="accent2">
                    <a:lumMod val="75000"/>
                  </a:schemeClr>
                </a:solidFill>
                <a:effectLst/>
                <a:latin typeface="黑体" pitchFamily="2" charset="-122"/>
                <a:ea typeface="黑体" pitchFamily="2" charset="-122"/>
                <a:cs typeface="+mn-cs"/>
              </a:rPr>
              <a:t>配建市政规划道路、公共配套设施，有总投资费用限制，建成后无偿移交。</a:t>
            </a:r>
          </a:p>
          <a:p>
            <a:r>
              <a:rPr lang="zh-CN" altLang="en-US" sz="850" b="1">
                <a:solidFill>
                  <a:sysClr val="windowText" lastClr="000000"/>
                </a:solidFill>
                <a:effectLst/>
                <a:latin typeface="黑体" pitchFamily="2" charset="-122"/>
                <a:ea typeface="黑体" pitchFamily="2" charset="-122"/>
                <a:cs typeface="+mn-cs"/>
              </a:rPr>
              <a:t> </a:t>
            </a:r>
          </a:p>
          <a:p>
            <a:r>
              <a:rPr lang="en-US" altLang="zh-CN" sz="850" b="1">
                <a:solidFill>
                  <a:schemeClr val="accent3">
                    <a:lumMod val="75000"/>
                  </a:schemeClr>
                </a:solidFill>
                <a:effectLst/>
                <a:latin typeface="黑体" pitchFamily="2" charset="-122"/>
                <a:ea typeface="黑体" pitchFamily="2" charset="-122"/>
                <a:cs typeface="+mn-cs"/>
              </a:rPr>
              <a:t>R1.3   150</a:t>
            </a:r>
            <a:r>
              <a:rPr lang="zh-CN" altLang="en-US" sz="850" b="1">
                <a:solidFill>
                  <a:schemeClr val="accent3">
                    <a:lumMod val="75000"/>
                  </a:schemeClr>
                </a:solidFill>
                <a:effectLst/>
                <a:latin typeface="黑体" pitchFamily="2" charset="-122"/>
                <a:ea typeface="黑体" pitchFamily="2" charset="-122"/>
                <a:cs typeface="+mn-cs"/>
              </a:rPr>
              <a:t>万</a:t>
            </a:r>
            <a:r>
              <a:rPr lang="en-US" altLang="zh-CN" sz="850" b="1">
                <a:solidFill>
                  <a:schemeClr val="accent3">
                    <a:lumMod val="75000"/>
                  </a:schemeClr>
                </a:solidFill>
                <a:effectLst/>
                <a:latin typeface="黑体" pitchFamily="2" charset="-122"/>
                <a:ea typeface="黑体" pitchFamily="2" charset="-122"/>
                <a:cs typeface="+mn-cs"/>
              </a:rPr>
              <a:t>/</a:t>
            </a:r>
            <a:r>
              <a:rPr lang="zh-CN" altLang="en-US" sz="850" b="1">
                <a:solidFill>
                  <a:schemeClr val="accent3">
                    <a:lumMod val="75000"/>
                  </a:schemeClr>
                </a:solidFill>
                <a:effectLst/>
                <a:latin typeface="黑体" pitchFamily="2" charset="-122"/>
                <a:ea typeface="黑体" pitchFamily="2" charset="-122"/>
                <a:cs typeface="+mn-cs"/>
              </a:rPr>
              <a:t>亩   </a:t>
            </a:r>
            <a:r>
              <a:rPr lang="en-US" altLang="zh-CN" sz="850" b="1">
                <a:solidFill>
                  <a:schemeClr val="accent3">
                    <a:lumMod val="75000"/>
                  </a:schemeClr>
                </a:solidFill>
                <a:effectLst/>
                <a:latin typeface="黑体" pitchFamily="2" charset="-122"/>
                <a:ea typeface="黑体" pitchFamily="2" charset="-122"/>
                <a:cs typeface="+mn-cs"/>
              </a:rPr>
              <a:t>1770</a:t>
            </a:r>
            <a:r>
              <a:rPr lang="zh-CN" altLang="en-US" sz="850" b="1">
                <a:solidFill>
                  <a:schemeClr val="accent3">
                    <a:lumMod val="75000"/>
                  </a:schemeClr>
                </a:solidFill>
                <a:effectLst/>
                <a:latin typeface="黑体" pitchFamily="2" charset="-122"/>
                <a:ea typeface="黑体" pitchFamily="2" charset="-122"/>
                <a:cs typeface="+mn-cs"/>
              </a:rPr>
              <a:t>元</a:t>
            </a:r>
            <a:r>
              <a:rPr lang="en-US" altLang="zh-CN" sz="850" b="1">
                <a:solidFill>
                  <a:schemeClr val="accent3">
                    <a:lumMod val="75000"/>
                  </a:schemeClr>
                </a:solidFill>
                <a:effectLst/>
                <a:latin typeface="黑体" pitchFamily="2" charset="-122"/>
                <a:ea typeface="黑体" pitchFamily="2" charset="-122"/>
                <a:cs typeface="+mn-cs"/>
              </a:rPr>
              <a:t>/</a:t>
            </a:r>
            <a:r>
              <a:rPr lang="zh-CN" altLang="en-US" sz="850" b="1">
                <a:solidFill>
                  <a:schemeClr val="accent3">
                    <a:lumMod val="75000"/>
                  </a:schemeClr>
                </a:solidFill>
                <a:effectLst/>
                <a:latin typeface="黑体" pitchFamily="2" charset="-122"/>
                <a:ea typeface="黑体" pitchFamily="2" charset="-122"/>
                <a:cs typeface="+mn-cs"/>
              </a:rPr>
              <a:t>平方米   溢价率</a:t>
            </a:r>
            <a:r>
              <a:rPr lang="en-US" altLang="zh-CN" sz="850" b="1">
                <a:solidFill>
                  <a:schemeClr val="accent3">
                    <a:lumMod val="75000"/>
                  </a:schemeClr>
                </a:solidFill>
                <a:effectLst/>
                <a:latin typeface="黑体" pitchFamily="2" charset="-122"/>
                <a:ea typeface="黑体" pitchFamily="2" charset="-122"/>
                <a:cs typeface="+mn-cs"/>
              </a:rPr>
              <a:t>0%</a:t>
            </a:r>
          </a:p>
          <a:p>
            <a:r>
              <a:rPr lang="zh-CN" altLang="en-US" sz="850" b="0">
                <a:solidFill>
                  <a:schemeClr val="accent3">
                    <a:lumMod val="75000"/>
                  </a:schemeClr>
                </a:solidFill>
                <a:effectLst/>
                <a:latin typeface="黑体" pitchFamily="2" charset="-122"/>
                <a:ea typeface="黑体" pitchFamily="2" charset="-122"/>
                <a:cs typeface="+mn-cs"/>
              </a:rPr>
              <a:t>要求：</a:t>
            </a:r>
          </a:p>
          <a:p>
            <a:r>
              <a:rPr lang="en-US" altLang="zh-CN" sz="850" b="0">
                <a:solidFill>
                  <a:schemeClr val="accent3">
                    <a:lumMod val="75000"/>
                  </a:schemeClr>
                </a:solidFill>
                <a:effectLst/>
                <a:latin typeface="黑体" pitchFamily="2" charset="-122"/>
                <a:ea typeface="黑体" pitchFamily="2" charset="-122"/>
                <a:cs typeface="+mn-cs"/>
              </a:rPr>
              <a:t>1.</a:t>
            </a:r>
            <a:r>
              <a:rPr lang="zh-CN" altLang="en-US" sz="850" b="0">
                <a:solidFill>
                  <a:schemeClr val="accent3">
                    <a:lumMod val="75000"/>
                  </a:schemeClr>
                </a:solidFill>
                <a:effectLst/>
                <a:latin typeface="黑体" pitchFamily="2" charset="-122"/>
                <a:ea typeface="黑体" pitchFamily="2" charset="-122"/>
                <a:cs typeface="+mn-cs"/>
              </a:rPr>
              <a:t>住宅占比</a:t>
            </a:r>
            <a:r>
              <a:rPr lang="en-US" altLang="zh-CN" sz="850" b="0">
                <a:solidFill>
                  <a:schemeClr val="accent3">
                    <a:lumMod val="75000"/>
                  </a:schemeClr>
                </a:solidFill>
                <a:effectLst/>
                <a:latin typeface="黑体" pitchFamily="2" charset="-122"/>
                <a:ea typeface="黑体" pitchFamily="2" charset="-122"/>
                <a:cs typeface="+mn-cs"/>
              </a:rPr>
              <a:t>40-50%</a:t>
            </a:r>
          </a:p>
          <a:p>
            <a:r>
              <a:rPr lang="en-US" altLang="zh-CN" sz="850" b="0">
                <a:solidFill>
                  <a:schemeClr val="accent3">
                    <a:lumMod val="75000"/>
                  </a:schemeClr>
                </a:solidFill>
                <a:effectLst/>
                <a:latin typeface="黑体" pitchFamily="2" charset="-122"/>
                <a:ea typeface="黑体" pitchFamily="2" charset="-122"/>
                <a:cs typeface="+mn-cs"/>
              </a:rPr>
              <a:t>2.</a:t>
            </a:r>
            <a:r>
              <a:rPr lang="zh-CN" altLang="en-US" sz="850" b="0">
                <a:solidFill>
                  <a:schemeClr val="accent3">
                    <a:lumMod val="75000"/>
                  </a:schemeClr>
                </a:solidFill>
                <a:effectLst/>
                <a:latin typeface="黑体" pitchFamily="2" charset="-122"/>
                <a:ea typeface="黑体" pitchFamily="2" charset="-122"/>
                <a:cs typeface="+mn-cs"/>
              </a:rPr>
              <a:t>竞买方要求，建设内容要求，局部自持。</a:t>
            </a:r>
          </a:p>
          <a:p>
            <a:r>
              <a:rPr lang="en-US" altLang="zh-CN" sz="850" b="0">
                <a:solidFill>
                  <a:schemeClr val="accent3">
                    <a:lumMod val="75000"/>
                  </a:schemeClr>
                </a:solidFill>
                <a:effectLst/>
                <a:latin typeface="黑体" pitchFamily="2" charset="-122"/>
                <a:ea typeface="黑体" pitchFamily="2" charset="-122"/>
                <a:cs typeface="+mn-cs"/>
              </a:rPr>
              <a:t>3.</a:t>
            </a:r>
            <a:r>
              <a:rPr lang="zh-CN" altLang="en-US" sz="850" b="0">
                <a:solidFill>
                  <a:schemeClr val="accent3">
                    <a:lumMod val="75000"/>
                  </a:schemeClr>
                </a:solidFill>
                <a:effectLst/>
                <a:latin typeface="黑体" pitchFamily="2" charset="-122"/>
                <a:ea typeface="黑体" pitchFamily="2" charset="-122"/>
                <a:cs typeface="+mn-cs"/>
              </a:rPr>
              <a:t>配建市政规划道路，有总投资费用限制，建成后无偿移交。</a:t>
            </a:r>
          </a:p>
        </xdr:txBody>
      </xdr:sp>
      <xdr:sp macro="" textlink="">
        <xdr:nvSpPr>
          <xdr:cNvPr id="8" name="矩形 7"/>
          <xdr:cNvSpPr/>
        </xdr:nvSpPr>
        <xdr:spPr>
          <a:xfrm>
            <a:off x="12042035" y="10643541"/>
            <a:ext cx="1442758" cy="673157"/>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小高层</a:t>
            </a:r>
            <a:r>
              <a:rPr lang="en-US" altLang="zh-CN" sz="1050" b="1">
                <a:solidFill>
                  <a:sysClr val="windowText" lastClr="000000"/>
                </a:solidFill>
                <a:latin typeface="黑体" pitchFamily="2" charset="-122"/>
                <a:ea typeface="黑体" pitchFamily="2" charset="-122"/>
              </a:rPr>
              <a:t>10800</a:t>
            </a:r>
            <a:r>
              <a:rPr lang="zh-CN" altLang="en-US" sz="1050" b="1">
                <a:solidFill>
                  <a:sysClr val="windowText" lastClr="000000"/>
                </a:solidFill>
                <a:latin typeface="黑体" pitchFamily="2" charset="-122"/>
                <a:ea typeface="黑体" pitchFamily="2" charset="-122"/>
              </a:rPr>
              <a:t>（精装）</a:t>
            </a:r>
            <a:endParaRPr lang="en-US" altLang="zh-CN" sz="1050" b="1">
              <a:solidFill>
                <a:sysClr val="windowText" lastClr="000000"/>
              </a:solidFill>
              <a:latin typeface="黑体" pitchFamily="2" charset="-122"/>
              <a:ea typeface="黑体" pitchFamily="2" charset="-122"/>
            </a:endParaRPr>
          </a:p>
          <a:p>
            <a:pPr algn="l"/>
            <a:r>
              <a:rPr lang="zh-CN" altLang="en-US" sz="1050" b="1">
                <a:solidFill>
                  <a:sysClr val="windowText" lastClr="000000"/>
                </a:solidFill>
                <a:latin typeface="黑体" pitchFamily="2" charset="-122"/>
                <a:ea typeface="黑体" pitchFamily="2" charset="-122"/>
              </a:rPr>
              <a:t>洋房</a:t>
            </a:r>
            <a:r>
              <a:rPr lang="en-US" altLang="zh-CN" sz="1050" b="1">
                <a:solidFill>
                  <a:sysClr val="windowText" lastClr="000000"/>
                </a:solidFill>
                <a:latin typeface="黑体" pitchFamily="2" charset="-122"/>
                <a:ea typeface="黑体" pitchFamily="2" charset="-122"/>
              </a:rPr>
              <a:t>12250</a:t>
            </a:r>
            <a:r>
              <a:rPr lang="zh-CN" altLang="en-US" sz="1050" b="1">
                <a:solidFill>
                  <a:sysClr val="windowText" lastClr="000000"/>
                </a:solidFill>
                <a:latin typeface="黑体" pitchFamily="2" charset="-122"/>
                <a:ea typeface="黑体" pitchFamily="2" charset="-122"/>
              </a:rPr>
              <a:t>（精装）</a:t>
            </a:r>
            <a:endParaRPr lang="en-US" altLang="zh-CN" sz="1050" b="1">
              <a:solidFill>
                <a:sysClr val="windowText" lastClr="000000"/>
              </a:solidFill>
              <a:latin typeface="黑体" pitchFamily="2" charset="-122"/>
              <a:ea typeface="黑体" pitchFamily="2" charset="-122"/>
            </a:endParaRPr>
          </a:p>
          <a:p>
            <a:pPr algn="l"/>
            <a:r>
              <a:rPr lang="zh-CN" altLang="en-US" sz="1050" b="1">
                <a:solidFill>
                  <a:sysClr val="windowText" lastClr="000000"/>
                </a:solidFill>
                <a:latin typeface="黑体" pitchFamily="2" charset="-122"/>
                <a:ea typeface="黑体" pitchFamily="2" charset="-122"/>
              </a:rPr>
              <a:t>叠拼</a:t>
            </a:r>
            <a:r>
              <a:rPr lang="en-US" altLang="zh-CN" sz="1050" b="1">
                <a:solidFill>
                  <a:sysClr val="windowText" lastClr="000000"/>
                </a:solidFill>
                <a:latin typeface="黑体" pitchFamily="2" charset="-122"/>
                <a:ea typeface="黑体" pitchFamily="2" charset="-122"/>
              </a:rPr>
              <a:t>13800</a:t>
            </a:r>
            <a:r>
              <a:rPr lang="zh-CN" altLang="en-US" sz="1050" b="1">
                <a:solidFill>
                  <a:sysClr val="windowText" lastClr="000000"/>
                </a:solidFill>
                <a:latin typeface="黑体" pitchFamily="2" charset="-122"/>
                <a:ea typeface="黑体" pitchFamily="2" charset="-122"/>
              </a:rPr>
              <a:t>（毛坯）</a:t>
            </a:r>
          </a:p>
        </xdr:txBody>
      </xdr:sp>
    </xdr:grpSp>
    <xdr:clientData/>
  </xdr:twoCellAnchor>
  <xdr:twoCellAnchor>
    <xdr:from>
      <xdr:col>15</xdr:col>
      <xdr:colOff>45411</xdr:colOff>
      <xdr:row>77</xdr:row>
      <xdr:rowOff>163140</xdr:rowOff>
    </xdr:from>
    <xdr:to>
      <xdr:col>18</xdr:col>
      <xdr:colOff>645182</xdr:colOff>
      <xdr:row>85</xdr:row>
      <xdr:rowOff>115931</xdr:rowOff>
    </xdr:to>
    <xdr:grpSp>
      <xdr:nvGrpSpPr>
        <xdr:cNvPr id="24" name="组合 23"/>
        <xdr:cNvGrpSpPr/>
      </xdr:nvGrpSpPr>
      <xdr:grpSpPr>
        <a:xfrm>
          <a:off x="10298793" y="13105934"/>
          <a:ext cx="2650448" cy="1297497"/>
          <a:chOff x="8690188" y="8857785"/>
          <a:chExt cx="2659413" cy="1324391"/>
        </a:xfrm>
      </xdr:grpSpPr>
      <xdr:sp macro="" textlink="">
        <xdr:nvSpPr>
          <xdr:cNvPr id="4" name="线形标注 2 3"/>
          <xdr:cNvSpPr/>
        </xdr:nvSpPr>
        <xdr:spPr>
          <a:xfrm>
            <a:off x="8691041" y="8857785"/>
            <a:ext cx="2658560" cy="684797"/>
          </a:xfrm>
          <a:prstGeom prst="borderCallout2">
            <a:avLst>
              <a:gd name="adj1" fmla="val -14615"/>
              <a:gd name="adj2" fmla="val 14883"/>
              <a:gd name="adj3" fmla="val -39028"/>
              <a:gd name="adj4" fmla="val 7812"/>
              <a:gd name="adj5" fmla="val -109422"/>
              <a:gd name="adj6" fmla="val 779"/>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2018-01-24</a:t>
            </a:r>
            <a:r>
              <a:rPr lang="zh-CN" altLang="en-US" sz="850" b="1" u="sng">
                <a:solidFill>
                  <a:sysClr val="windowText" lastClr="000000"/>
                </a:solidFill>
                <a:effectLst/>
                <a:latin typeface="黑体" pitchFamily="2" charset="-122"/>
                <a:ea typeface="黑体" pitchFamily="2" charset="-122"/>
                <a:cs typeface="+mn-cs"/>
              </a:rPr>
              <a:t>、</a:t>
            </a:r>
            <a:r>
              <a:rPr lang="en-US" altLang="zh-CN" sz="850" b="1" u="sng">
                <a:solidFill>
                  <a:sysClr val="windowText" lastClr="000000"/>
                </a:solidFill>
                <a:effectLst/>
                <a:latin typeface="黑体" pitchFamily="2" charset="-122"/>
                <a:ea typeface="黑体" pitchFamily="2" charset="-122"/>
                <a:cs typeface="+mn-cs"/>
              </a:rPr>
              <a:t>2018-03-30</a:t>
            </a:r>
            <a:r>
              <a:rPr lang="zh-CN" altLang="en-US" sz="850" b="1" u="sng">
                <a:solidFill>
                  <a:sysClr val="windowText" lastClr="000000"/>
                </a:solidFill>
                <a:effectLst/>
                <a:latin typeface="黑体" pitchFamily="2" charset="-122"/>
                <a:ea typeface="黑体" pitchFamily="2" charset="-122"/>
                <a:cs typeface="+mn-cs"/>
              </a:rPr>
              <a:t>（住宅）</a:t>
            </a:r>
          </a:p>
          <a:p>
            <a:r>
              <a:rPr lang="en-US" altLang="zh-CN" sz="850" b="0" u="none">
                <a:solidFill>
                  <a:schemeClr val="accent2">
                    <a:lumMod val="75000"/>
                  </a:schemeClr>
                </a:solidFill>
                <a:effectLst/>
                <a:latin typeface="黑体" pitchFamily="2" charset="-122"/>
                <a:ea typeface="黑体" pitchFamily="2" charset="-122"/>
                <a:cs typeface="+mn-cs"/>
              </a:rPr>
              <a:t>2017-100</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101</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2018-15</a:t>
            </a:r>
          </a:p>
          <a:p>
            <a:r>
              <a:rPr lang="en-US" altLang="zh-CN" sz="850" b="1" u="none">
                <a:solidFill>
                  <a:schemeClr val="accent2">
                    <a:lumMod val="75000"/>
                  </a:schemeClr>
                </a:solidFill>
                <a:effectLst/>
                <a:latin typeface="黑体" pitchFamily="2" charset="-122"/>
                <a:ea typeface="黑体" pitchFamily="2" charset="-122"/>
                <a:cs typeface="+mn-cs"/>
              </a:rPr>
              <a:t>R2.2   130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880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en-US" altLang="zh-CN" sz="850" b="1" u="none">
                <a:solidFill>
                  <a:schemeClr val="accent2">
                    <a:lumMod val="75000"/>
                  </a:schemeClr>
                </a:solidFill>
                <a:effectLst/>
                <a:latin typeface="黑体" pitchFamily="2" charset="-122"/>
                <a:ea typeface="黑体" pitchFamily="2" charset="-122"/>
                <a:cs typeface="+mn-cs"/>
              </a:rPr>
              <a:t>R2.5   130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780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xdr:txBody>
      </xdr:sp>
      <xdr:sp macro="" textlink="">
        <xdr:nvSpPr>
          <xdr:cNvPr id="9" name="矩形 8"/>
          <xdr:cNvSpPr/>
        </xdr:nvSpPr>
        <xdr:spPr>
          <a:xfrm>
            <a:off x="8690188" y="9511504"/>
            <a:ext cx="1442757" cy="670672"/>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高层</a:t>
            </a:r>
            <a:r>
              <a:rPr lang="en-US" altLang="zh-CN" sz="1050" b="1">
                <a:solidFill>
                  <a:sysClr val="windowText" lastClr="000000"/>
                </a:solidFill>
                <a:latin typeface="黑体" pitchFamily="2" charset="-122"/>
                <a:ea typeface="黑体" pitchFamily="2" charset="-122"/>
              </a:rPr>
              <a:t>10800</a:t>
            </a:r>
            <a:r>
              <a:rPr lang="zh-CN" altLang="en-US" sz="1050" b="1">
                <a:solidFill>
                  <a:sysClr val="windowText" lastClr="000000"/>
                </a:solidFill>
                <a:latin typeface="黑体" pitchFamily="2" charset="-122"/>
                <a:ea typeface="黑体" pitchFamily="2" charset="-122"/>
              </a:rPr>
              <a:t>（毛坯）</a:t>
            </a:r>
            <a:endParaRPr lang="en-US" altLang="zh-CN" sz="1050" b="1">
              <a:solidFill>
                <a:sysClr val="windowText" lastClr="000000"/>
              </a:solidFill>
              <a:latin typeface="黑体" pitchFamily="2" charset="-122"/>
              <a:ea typeface="黑体" pitchFamily="2" charset="-122"/>
            </a:endParaRPr>
          </a:p>
          <a:p>
            <a:pPr algn="l"/>
            <a:r>
              <a:rPr lang="zh-CN" altLang="en-US" sz="1050" b="1">
                <a:solidFill>
                  <a:sysClr val="windowText" lastClr="000000"/>
                </a:solidFill>
                <a:latin typeface="黑体" pitchFamily="2" charset="-122"/>
                <a:ea typeface="黑体" pitchFamily="2" charset="-122"/>
              </a:rPr>
              <a:t>小高层</a:t>
            </a:r>
            <a:r>
              <a:rPr lang="en-US" altLang="zh-CN" sz="1050" b="1">
                <a:solidFill>
                  <a:sysClr val="windowText" lastClr="000000"/>
                </a:solidFill>
                <a:latin typeface="黑体" pitchFamily="2" charset="-122"/>
                <a:ea typeface="黑体" pitchFamily="2" charset="-122"/>
              </a:rPr>
              <a:t>12000</a:t>
            </a:r>
            <a:r>
              <a:rPr lang="zh-CN" altLang="en-US" sz="1050" b="1">
                <a:solidFill>
                  <a:sysClr val="windowText" lastClr="000000"/>
                </a:solidFill>
                <a:latin typeface="黑体" pitchFamily="2" charset="-122"/>
                <a:ea typeface="黑体" pitchFamily="2" charset="-122"/>
              </a:rPr>
              <a:t>（毛坯）</a:t>
            </a:r>
            <a:endParaRPr lang="en-US" altLang="zh-CN" sz="1050" b="1">
              <a:solidFill>
                <a:sysClr val="windowText" lastClr="000000"/>
              </a:solidFill>
              <a:latin typeface="黑体" pitchFamily="2" charset="-122"/>
              <a:ea typeface="黑体" pitchFamily="2" charset="-122"/>
            </a:endParaRPr>
          </a:p>
          <a:p>
            <a:pPr algn="l"/>
            <a:r>
              <a:rPr lang="zh-CN" altLang="en-US" sz="1050" b="1">
                <a:solidFill>
                  <a:sysClr val="windowText" lastClr="000000"/>
                </a:solidFill>
                <a:latin typeface="黑体" pitchFamily="2" charset="-122"/>
                <a:ea typeface="黑体" pitchFamily="2" charset="-122"/>
              </a:rPr>
              <a:t>叠拼</a:t>
            </a:r>
            <a:r>
              <a:rPr lang="en-US" altLang="zh-CN" sz="1050" b="1">
                <a:solidFill>
                  <a:sysClr val="windowText" lastClr="000000"/>
                </a:solidFill>
                <a:latin typeface="黑体" pitchFamily="2" charset="-122"/>
                <a:ea typeface="黑体" pitchFamily="2" charset="-122"/>
              </a:rPr>
              <a:t>20000</a:t>
            </a:r>
            <a:r>
              <a:rPr lang="zh-CN" altLang="en-US" sz="1050" b="1">
                <a:solidFill>
                  <a:sysClr val="windowText" lastClr="000000"/>
                </a:solidFill>
                <a:latin typeface="黑体" pitchFamily="2" charset="-122"/>
                <a:ea typeface="黑体" pitchFamily="2" charset="-122"/>
              </a:rPr>
              <a:t>（毛坯）</a:t>
            </a:r>
          </a:p>
        </xdr:txBody>
      </xdr:sp>
    </xdr:grpSp>
    <xdr:clientData/>
  </xdr:twoCellAnchor>
  <xdr:twoCellAnchor>
    <xdr:from>
      <xdr:col>6</xdr:col>
      <xdr:colOff>672186</xdr:colOff>
      <xdr:row>70</xdr:row>
      <xdr:rowOff>74249</xdr:rowOff>
    </xdr:from>
    <xdr:to>
      <xdr:col>11</xdr:col>
      <xdr:colOff>1609</xdr:colOff>
      <xdr:row>85</xdr:row>
      <xdr:rowOff>72960</xdr:rowOff>
    </xdr:to>
    <xdr:grpSp>
      <xdr:nvGrpSpPr>
        <xdr:cNvPr id="7" name="组合 6"/>
        <xdr:cNvGrpSpPr/>
      </xdr:nvGrpSpPr>
      <xdr:grpSpPr>
        <a:xfrm>
          <a:off x="4773539" y="11840425"/>
          <a:ext cx="2747217" cy="2520035"/>
          <a:chOff x="3528005" y="9216569"/>
          <a:chExt cx="2758423" cy="2570461"/>
        </a:xfrm>
      </xdr:grpSpPr>
      <xdr:sp macro="" textlink="">
        <xdr:nvSpPr>
          <xdr:cNvPr id="5" name="线形标注 2 4"/>
          <xdr:cNvSpPr/>
        </xdr:nvSpPr>
        <xdr:spPr>
          <a:xfrm>
            <a:off x="3528005" y="9216569"/>
            <a:ext cx="2758423" cy="2570461"/>
          </a:xfrm>
          <a:prstGeom prst="borderCallout2">
            <a:avLst>
              <a:gd name="adj1" fmla="val 7006"/>
              <a:gd name="adj2" fmla="val 104367"/>
              <a:gd name="adj3" fmla="val 2937"/>
              <a:gd name="adj4" fmla="val 185313"/>
              <a:gd name="adj5" fmla="val -21881"/>
              <a:gd name="adj6" fmla="val 189655"/>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2020</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2">
                    <a:lumMod val="75000"/>
                  </a:schemeClr>
                </a:solidFill>
                <a:effectLst/>
                <a:latin typeface="黑体" pitchFamily="2" charset="-122"/>
                <a:ea typeface="黑体" pitchFamily="2" charset="-122"/>
                <a:cs typeface="+mn-cs"/>
              </a:rPr>
              <a:t>2019(TR)-95</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96</a:t>
            </a:r>
          </a:p>
          <a:p>
            <a:r>
              <a:rPr lang="en-US" altLang="zh-CN" sz="850" b="1" u="none">
                <a:solidFill>
                  <a:schemeClr val="accent2">
                    <a:lumMod val="75000"/>
                  </a:schemeClr>
                </a:solidFill>
                <a:effectLst/>
                <a:latin typeface="黑体" pitchFamily="2" charset="-122"/>
                <a:ea typeface="黑体" pitchFamily="2" charset="-122"/>
                <a:cs typeface="+mn-cs"/>
              </a:rPr>
              <a:t>R2.7   221</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1228</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要求：税收要求；对外集中绿地，建成后无偿移交。</a:t>
            </a: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2019(TR)-66</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67</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77</a:t>
            </a:r>
          </a:p>
          <a:p>
            <a:r>
              <a:rPr lang="en-US" altLang="zh-CN" sz="850" b="1" u="none">
                <a:solidFill>
                  <a:schemeClr val="accent2">
                    <a:lumMod val="75000"/>
                  </a:schemeClr>
                </a:solidFill>
                <a:effectLst/>
                <a:latin typeface="黑体" pitchFamily="2" charset="-122"/>
                <a:ea typeface="黑体" pitchFamily="2" charset="-122"/>
                <a:cs typeface="+mn-cs"/>
              </a:rPr>
              <a:t>R2.0   221</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1657</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en-US" altLang="zh-CN" sz="850" b="1" u="none">
                <a:solidFill>
                  <a:schemeClr val="accent2">
                    <a:lumMod val="75000"/>
                  </a:schemeClr>
                </a:solidFill>
                <a:effectLst/>
                <a:latin typeface="黑体" pitchFamily="2" charset="-122"/>
                <a:ea typeface="黑体" pitchFamily="2" charset="-122"/>
                <a:cs typeface="+mn-cs"/>
              </a:rPr>
              <a:t>R2.7   221</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1228</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要求：税收要求。商业占比较大</a:t>
            </a:r>
            <a:endParaRPr lang="en-US" altLang="zh-CN" sz="850" b="0" u="none">
              <a:solidFill>
                <a:schemeClr val="accent2">
                  <a:lumMod val="75000"/>
                </a:schemeClr>
              </a:solidFill>
              <a:effectLst/>
              <a:latin typeface="黑体" pitchFamily="2" charset="-122"/>
              <a:ea typeface="黑体" pitchFamily="2" charset="-122"/>
              <a:cs typeface="+mn-cs"/>
            </a:endParaRPr>
          </a:p>
          <a:p>
            <a:endParaRPr lang="zh-CN" altLang="en-US" sz="850" b="0" u="none">
              <a:solidFill>
                <a:schemeClr val="accent2">
                  <a:lumMod val="75000"/>
                </a:schemeClr>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2019(TR)-65</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68</a:t>
            </a:r>
          </a:p>
          <a:p>
            <a:r>
              <a:rPr lang="en-US" altLang="zh-CN" sz="850" b="1" u="none">
                <a:solidFill>
                  <a:schemeClr val="accent3">
                    <a:lumMod val="75000"/>
                  </a:schemeClr>
                </a:solidFill>
                <a:effectLst/>
                <a:latin typeface="黑体" pitchFamily="2" charset="-122"/>
                <a:ea typeface="黑体" pitchFamily="2" charset="-122"/>
                <a:cs typeface="+mn-cs"/>
              </a:rPr>
              <a:t>R3.8   151</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596</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en-US" altLang="zh-CN" sz="850" b="1" u="none">
                <a:solidFill>
                  <a:schemeClr val="accent3">
                    <a:lumMod val="75000"/>
                  </a:schemeClr>
                </a:solidFill>
                <a:effectLst/>
                <a:latin typeface="黑体" pitchFamily="2" charset="-122"/>
                <a:ea typeface="黑体" pitchFamily="2" charset="-122"/>
                <a:cs typeface="+mn-cs"/>
              </a:rPr>
              <a:t>R4.2   151</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539</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要求：税收要求，建设内容要求，局部商业自持。</a:t>
            </a:r>
          </a:p>
        </xdr:txBody>
      </xdr:sp>
      <xdr:sp macro="" textlink="">
        <xdr:nvSpPr>
          <xdr:cNvPr id="10" name="矩形 9"/>
          <xdr:cNvSpPr/>
        </xdr:nvSpPr>
        <xdr:spPr>
          <a:xfrm>
            <a:off x="4835876" y="11456456"/>
            <a:ext cx="1450552" cy="330574"/>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高层</a:t>
            </a:r>
            <a:r>
              <a:rPr lang="en-US" altLang="zh-CN" sz="1050" b="1">
                <a:solidFill>
                  <a:sysClr val="windowText" lastClr="000000"/>
                </a:solidFill>
                <a:latin typeface="黑体" pitchFamily="2" charset="-122"/>
                <a:ea typeface="黑体" pitchFamily="2" charset="-122"/>
              </a:rPr>
              <a:t>12000</a:t>
            </a:r>
            <a:r>
              <a:rPr lang="zh-CN" altLang="en-US" sz="1050" b="1">
                <a:solidFill>
                  <a:sysClr val="windowText" lastClr="000000"/>
                </a:solidFill>
                <a:latin typeface="黑体" pitchFamily="2" charset="-122"/>
                <a:ea typeface="黑体" pitchFamily="2" charset="-122"/>
              </a:rPr>
              <a:t>（毛坯）</a:t>
            </a:r>
          </a:p>
        </xdr:txBody>
      </xdr:sp>
    </xdr:grpSp>
    <xdr:clientData/>
  </xdr:twoCellAnchor>
  <xdr:twoCellAnchor>
    <xdr:from>
      <xdr:col>17</xdr:col>
      <xdr:colOff>557180</xdr:colOff>
      <xdr:row>66</xdr:row>
      <xdr:rowOff>12393</xdr:rowOff>
    </xdr:from>
    <xdr:to>
      <xdr:col>22</xdr:col>
      <xdr:colOff>420000</xdr:colOff>
      <xdr:row>76</xdr:row>
      <xdr:rowOff>42873</xdr:rowOff>
    </xdr:to>
    <xdr:grpSp>
      <xdr:nvGrpSpPr>
        <xdr:cNvPr id="25" name="组合 24"/>
        <xdr:cNvGrpSpPr/>
      </xdr:nvGrpSpPr>
      <xdr:grpSpPr>
        <a:xfrm>
          <a:off x="12177680" y="11106217"/>
          <a:ext cx="3280614" cy="1711362"/>
          <a:chOff x="9747124" y="7364013"/>
          <a:chExt cx="3291820" cy="1744980"/>
        </a:xfrm>
      </xdr:grpSpPr>
      <xdr:sp macro="" textlink="">
        <xdr:nvSpPr>
          <xdr:cNvPr id="6" name="线形标注 2 5"/>
          <xdr:cNvSpPr/>
        </xdr:nvSpPr>
        <xdr:spPr>
          <a:xfrm>
            <a:off x="9747124" y="7365038"/>
            <a:ext cx="3291820" cy="1743955"/>
          </a:xfrm>
          <a:prstGeom prst="borderCallout2">
            <a:avLst>
              <a:gd name="adj1" fmla="val -6052"/>
              <a:gd name="adj2" fmla="val 3503"/>
              <a:gd name="adj3" fmla="val -27845"/>
              <a:gd name="adj4" fmla="val -12029"/>
              <a:gd name="adj5" fmla="val -65326"/>
              <a:gd name="adj6" fmla="val -21312"/>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2020</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2">
                    <a:lumMod val="75000"/>
                  </a:schemeClr>
                </a:solidFill>
                <a:effectLst/>
                <a:latin typeface="黑体" pitchFamily="2" charset="-122"/>
                <a:ea typeface="黑体" pitchFamily="2" charset="-122"/>
                <a:cs typeface="+mn-cs"/>
              </a:rPr>
              <a:t>2019(TR)-35</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36</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55</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56</a:t>
            </a:r>
          </a:p>
          <a:p>
            <a:r>
              <a:rPr lang="en-US" altLang="zh-CN" sz="850" b="1" u="sng">
                <a:solidFill>
                  <a:schemeClr val="accent2">
                    <a:lumMod val="75000"/>
                  </a:schemeClr>
                </a:solidFill>
                <a:effectLst/>
                <a:latin typeface="黑体" pitchFamily="2" charset="-122"/>
                <a:ea typeface="黑体" pitchFamily="2" charset="-122"/>
                <a:cs typeface="+mn-cs"/>
              </a:rPr>
              <a:t>R1.8   226</a:t>
            </a:r>
            <a:r>
              <a:rPr lang="zh-CN" altLang="en-US" sz="850" b="1" u="sng">
                <a:solidFill>
                  <a:schemeClr val="accent2">
                    <a:lumMod val="75000"/>
                  </a:schemeClr>
                </a:solidFill>
                <a:effectLst/>
                <a:latin typeface="黑体" pitchFamily="2" charset="-122"/>
                <a:ea typeface="黑体" pitchFamily="2" charset="-122"/>
                <a:cs typeface="+mn-cs"/>
              </a:rPr>
              <a:t>万</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亩   </a:t>
            </a:r>
            <a:r>
              <a:rPr lang="en-US" altLang="zh-CN" sz="850" b="1" u="sng">
                <a:solidFill>
                  <a:schemeClr val="accent2">
                    <a:lumMod val="75000"/>
                  </a:schemeClr>
                </a:solidFill>
                <a:effectLst/>
                <a:latin typeface="黑体" pitchFamily="2" charset="-122"/>
                <a:ea typeface="黑体" pitchFamily="2" charset="-122"/>
                <a:cs typeface="+mn-cs"/>
              </a:rPr>
              <a:t>1870</a:t>
            </a:r>
            <a:r>
              <a:rPr lang="zh-CN" altLang="en-US" sz="850" b="1" u="sng">
                <a:solidFill>
                  <a:schemeClr val="accent2">
                    <a:lumMod val="75000"/>
                  </a:schemeClr>
                </a:solidFill>
                <a:effectLst/>
                <a:latin typeface="黑体" pitchFamily="2" charset="-122"/>
                <a:ea typeface="黑体" pitchFamily="2" charset="-122"/>
                <a:cs typeface="+mn-cs"/>
              </a:rPr>
              <a:t>元</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平方米   溢价率</a:t>
            </a:r>
            <a:r>
              <a:rPr lang="en-US" altLang="zh-CN" sz="850" b="1" u="sng">
                <a:solidFill>
                  <a:schemeClr val="accent2">
                    <a:lumMod val="75000"/>
                  </a:schemeClr>
                </a:solidFill>
                <a:effectLst/>
                <a:latin typeface="黑体" pitchFamily="2" charset="-122"/>
                <a:ea typeface="黑体" pitchFamily="2" charset="-122"/>
                <a:cs typeface="+mn-cs"/>
              </a:rPr>
              <a:t>0%</a:t>
            </a:r>
          </a:p>
          <a:p>
            <a:r>
              <a:rPr lang="en-US" altLang="zh-CN" sz="850" b="1" u="none">
                <a:solidFill>
                  <a:schemeClr val="accent2">
                    <a:lumMod val="75000"/>
                  </a:schemeClr>
                </a:solidFill>
                <a:effectLst/>
                <a:latin typeface="黑体" pitchFamily="2" charset="-122"/>
                <a:ea typeface="黑体" pitchFamily="2" charset="-122"/>
                <a:cs typeface="+mn-cs"/>
              </a:rPr>
              <a:t>R3.1   220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1049</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要求：容积率</a:t>
            </a:r>
            <a:r>
              <a:rPr lang="en-US" altLang="zh-CN" sz="850" b="0" u="none">
                <a:solidFill>
                  <a:schemeClr val="accent2">
                    <a:lumMod val="75000"/>
                  </a:schemeClr>
                </a:solidFill>
                <a:effectLst/>
                <a:latin typeface="黑体" pitchFamily="2" charset="-122"/>
                <a:ea typeface="黑体" pitchFamily="2" charset="-122"/>
                <a:cs typeface="+mn-cs"/>
              </a:rPr>
              <a:t>3.1</a:t>
            </a:r>
            <a:r>
              <a:rPr lang="zh-CN" altLang="en-US" sz="850" b="0" u="none">
                <a:solidFill>
                  <a:schemeClr val="accent2">
                    <a:lumMod val="75000"/>
                  </a:schemeClr>
                </a:solidFill>
                <a:effectLst/>
                <a:latin typeface="黑体" pitchFamily="2" charset="-122"/>
                <a:ea typeface="黑体" pitchFamily="2" charset="-122"/>
                <a:cs typeface="+mn-cs"/>
              </a:rPr>
              <a:t>地块商业占比</a:t>
            </a:r>
            <a:r>
              <a:rPr lang="en-US" altLang="zh-CN" sz="850" b="0" u="none">
                <a:solidFill>
                  <a:schemeClr val="accent2">
                    <a:lumMod val="75000"/>
                  </a:schemeClr>
                </a:solidFill>
                <a:effectLst/>
                <a:latin typeface="黑体" pitchFamily="2" charset="-122"/>
                <a:ea typeface="黑体" pitchFamily="2" charset="-122"/>
                <a:cs typeface="+mn-cs"/>
              </a:rPr>
              <a:t>50%</a:t>
            </a:r>
          </a:p>
          <a:p>
            <a:r>
              <a:rPr lang="en-US" altLang="zh-CN" sz="850" b="0" u="none">
                <a:solidFill>
                  <a:schemeClr val="accent2">
                    <a:lumMod val="75000"/>
                  </a:schemeClr>
                </a:solidFill>
                <a:effectLst/>
                <a:latin typeface="黑体" pitchFamily="2" charset="-122"/>
                <a:ea typeface="黑体" pitchFamily="2" charset="-122"/>
                <a:cs typeface="+mn-cs"/>
              </a:rPr>
              <a:t> </a:t>
            </a:r>
          </a:p>
          <a:p>
            <a:r>
              <a:rPr lang="en-US" altLang="zh-CN" sz="850" b="0" u="none">
                <a:solidFill>
                  <a:schemeClr val="accent3">
                    <a:lumMod val="75000"/>
                  </a:schemeClr>
                </a:solidFill>
                <a:effectLst/>
                <a:latin typeface="黑体" pitchFamily="2" charset="-122"/>
                <a:ea typeface="黑体" pitchFamily="2" charset="-122"/>
                <a:cs typeface="+mn-cs"/>
              </a:rPr>
              <a:t>2019(TR)-37</a:t>
            </a:r>
          </a:p>
          <a:p>
            <a:r>
              <a:rPr lang="en-US" altLang="zh-CN" sz="850" b="1" u="none">
                <a:solidFill>
                  <a:schemeClr val="accent3">
                    <a:lumMod val="75000"/>
                  </a:schemeClr>
                </a:solidFill>
                <a:effectLst/>
                <a:latin typeface="黑体" pitchFamily="2" charset="-122"/>
                <a:ea typeface="黑体" pitchFamily="2" charset="-122"/>
                <a:cs typeface="+mn-cs"/>
              </a:rPr>
              <a:t>R3.2   150</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692</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建设内容要求（</a:t>
            </a:r>
            <a:r>
              <a:rPr lang="en-US" altLang="zh-CN" sz="850" b="0" u="none">
                <a:solidFill>
                  <a:schemeClr val="accent3">
                    <a:lumMod val="75000"/>
                  </a:schemeClr>
                </a:solidFill>
                <a:effectLst/>
                <a:latin typeface="黑体" pitchFamily="2" charset="-122"/>
                <a:ea typeface="黑体" pitchFamily="2" charset="-122"/>
                <a:cs typeface="+mn-cs"/>
              </a:rPr>
              <a:t>180</a:t>
            </a:r>
            <a:r>
              <a:rPr lang="zh-CN" altLang="en-US" sz="850" b="0" u="none">
                <a:solidFill>
                  <a:schemeClr val="accent3">
                    <a:lumMod val="75000"/>
                  </a:schemeClr>
                </a:solidFill>
                <a:effectLst/>
                <a:latin typeface="黑体" pitchFamily="2" charset="-122"/>
                <a:ea typeface="黑体" pitchFamily="2" charset="-122"/>
                <a:cs typeface="+mn-cs"/>
              </a:rPr>
              <a:t>米的标志性建筑，综合性国际医院），总投资不得低于</a:t>
            </a:r>
            <a:r>
              <a:rPr lang="en-US" altLang="zh-CN" sz="850" b="0" u="none">
                <a:solidFill>
                  <a:schemeClr val="accent3">
                    <a:lumMod val="75000"/>
                  </a:schemeClr>
                </a:solidFill>
                <a:effectLst/>
                <a:latin typeface="黑体" pitchFamily="2" charset="-122"/>
                <a:ea typeface="黑体" pitchFamily="2" charset="-122"/>
                <a:cs typeface="+mn-cs"/>
              </a:rPr>
              <a:t>20</a:t>
            </a:r>
            <a:r>
              <a:rPr lang="zh-CN" altLang="en-US" sz="850" b="0" u="none">
                <a:solidFill>
                  <a:schemeClr val="accent3">
                    <a:lumMod val="75000"/>
                  </a:schemeClr>
                </a:solidFill>
                <a:effectLst/>
                <a:latin typeface="黑体" pitchFamily="2" charset="-122"/>
                <a:ea typeface="黑体" pitchFamily="2" charset="-122"/>
                <a:cs typeface="+mn-cs"/>
              </a:rPr>
              <a:t>亿元，由竞得人长期自持。</a:t>
            </a:r>
          </a:p>
        </xdr:txBody>
      </xdr:sp>
      <xdr:sp macro="" textlink="">
        <xdr:nvSpPr>
          <xdr:cNvPr id="11" name="矩形 10"/>
          <xdr:cNvSpPr/>
        </xdr:nvSpPr>
        <xdr:spPr>
          <a:xfrm>
            <a:off x="11714294" y="7364013"/>
            <a:ext cx="1322118" cy="327211"/>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高层</a:t>
            </a:r>
            <a:r>
              <a:rPr lang="en-US" altLang="zh-CN" sz="1050" b="1">
                <a:solidFill>
                  <a:sysClr val="windowText" lastClr="000000"/>
                </a:solidFill>
                <a:latin typeface="黑体" pitchFamily="2" charset="-122"/>
                <a:ea typeface="黑体" pitchFamily="2" charset="-122"/>
              </a:rPr>
              <a:t>10600</a:t>
            </a:r>
            <a:r>
              <a:rPr lang="zh-CN" altLang="en-US" sz="1050" b="1">
                <a:solidFill>
                  <a:sysClr val="windowText" lastClr="000000"/>
                </a:solidFill>
                <a:latin typeface="黑体" pitchFamily="2" charset="-122"/>
                <a:ea typeface="黑体" pitchFamily="2" charset="-122"/>
              </a:rPr>
              <a:t>（毛坯）</a:t>
            </a:r>
          </a:p>
        </xdr:txBody>
      </xdr:sp>
    </xdr:grpSp>
    <xdr:clientData/>
  </xdr:twoCellAnchor>
  <xdr:twoCellAnchor>
    <xdr:from>
      <xdr:col>18</xdr:col>
      <xdr:colOff>122045</xdr:colOff>
      <xdr:row>55</xdr:row>
      <xdr:rowOff>160122</xdr:rowOff>
    </xdr:from>
    <xdr:to>
      <xdr:col>22</xdr:col>
      <xdr:colOff>138610</xdr:colOff>
      <xdr:row>65</xdr:row>
      <xdr:rowOff>85725</xdr:rowOff>
    </xdr:to>
    <xdr:grpSp>
      <xdr:nvGrpSpPr>
        <xdr:cNvPr id="26" name="组合 25"/>
        <xdr:cNvGrpSpPr/>
      </xdr:nvGrpSpPr>
      <xdr:grpSpPr>
        <a:xfrm>
          <a:off x="12426104" y="9404975"/>
          <a:ext cx="2750800" cy="1606485"/>
          <a:chOff x="11843398" y="6378267"/>
          <a:chExt cx="2759765" cy="1433305"/>
        </a:xfrm>
      </xdr:grpSpPr>
      <xdr:sp macro="" textlink="">
        <xdr:nvSpPr>
          <xdr:cNvPr id="28" name="线形标注 2 27"/>
          <xdr:cNvSpPr/>
        </xdr:nvSpPr>
        <xdr:spPr>
          <a:xfrm>
            <a:off x="11843398" y="6378267"/>
            <a:ext cx="2759765" cy="1433305"/>
          </a:xfrm>
          <a:prstGeom prst="borderCallout2">
            <a:avLst>
              <a:gd name="adj1" fmla="val 20365"/>
              <a:gd name="adj2" fmla="val -4090"/>
              <a:gd name="adj3" fmla="val 18745"/>
              <a:gd name="adj4" fmla="val -16467"/>
              <a:gd name="adj5" fmla="val -20190"/>
              <a:gd name="adj6" fmla="val -51434"/>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2019(TR</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-7</a:t>
            </a:r>
          </a:p>
          <a:p>
            <a:r>
              <a:rPr lang="en-US" altLang="zh-CN" sz="850" b="1" u="none">
                <a:solidFill>
                  <a:schemeClr val="accent2">
                    <a:lumMod val="75000"/>
                  </a:schemeClr>
                </a:solidFill>
                <a:effectLst/>
                <a:latin typeface="黑体" pitchFamily="2" charset="-122"/>
                <a:ea typeface="黑体" pitchFamily="2" charset="-122"/>
                <a:cs typeface="+mn-cs"/>
              </a:rPr>
              <a:t>R2.2    221.09</a:t>
            </a:r>
            <a:r>
              <a:rPr lang="zh-CN" altLang="en-US" sz="850" b="1" u="none">
                <a:solidFill>
                  <a:schemeClr val="accent2">
                    <a:lumMod val="75000"/>
                  </a:schemeClr>
                </a:solidFill>
                <a:effectLst/>
                <a:latin typeface="黑体" pitchFamily="2" charset="-122"/>
                <a:ea typeface="黑体" pitchFamily="2" charset="-122"/>
                <a:cs typeface="+mn-cs"/>
              </a:rPr>
              <a:t>万元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1460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平米</a:t>
            </a:r>
          </a:p>
          <a:p>
            <a:r>
              <a:rPr lang="zh-CN" altLang="en-US" sz="850" b="0" u="none">
                <a:solidFill>
                  <a:schemeClr val="accent2">
                    <a:lumMod val="75000"/>
                  </a:schemeClr>
                </a:solidFill>
                <a:effectLst/>
                <a:latin typeface="黑体" pitchFamily="2" charset="-122"/>
                <a:ea typeface="黑体" pitchFamily="2" charset="-122"/>
                <a:cs typeface="+mn-cs"/>
              </a:rPr>
              <a:t>要求：</a:t>
            </a:r>
            <a:r>
              <a:rPr lang="en-US" altLang="zh-CN" sz="850" b="0" u="none">
                <a:solidFill>
                  <a:schemeClr val="accent2">
                    <a:lumMod val="75000"/>
                  </a:schemeClr>
                </a:solidFill>
                <a:effectLst/>
                <a:latin typeface="黑体" pitchFamily="2" charset="-122"/>
                <a:ea typeface="黑体" pitchFamily="2" charset="-122"/>
                <a:cs typeface="+mn-cs"/>
              </a:rPr>
              <a:t>2019(TR</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-7</a:t>
            </a:r>
            <a:r>
              <a:rPr lang="zh-CN" altLang="en-US" sz="850" b="0" u="none">
                <a:solidFill>
                  <a:schemeClr val="accent2">
                    <a:lumMod val="75000"/>
                  </a:schemeClr>
                </a:solidFill>
                <a:effectLst/>
                <a:latin typeface="黑体" pitchFamily="2" charset="-122"/>
                <a:ea typeface="黑体" pitchFamily="2" charset="-122"/>
                <a:cs typeface="+mn-cs"/>
              </a:rPr>
              <a:t>：商业用地占地面积占总用地面积不低于</a:t>
            </a:r>
            <a:r>
              <a:rPr lang="en-US" altLang="zh-CN" sz="850" b="0" u="none">
                <a:solidFill>
                  <a:schemeClr val="accent2">
                    <a:lumMod val="75000"/>
                  </a:schemeClr>
                </a:solidFill>
                <a:effectLst/>
                <a:latin typeface="黑体" pitchFamily="2" charset="-122"/>
                <a:ea typeface="黑体" pitchFamily="2" charset="-122"/>
                <a:cs typeface="+mn-cs"/>
              </a:rPr>
              <a:t>30%</a:t>
            </a:r>
            <a:r>
              <a:rPr lang="zh-CN" altLang="en-US" sz="850" b="0" u="none">
                <a:solidFill>
                  <a:schemeClr val="accent2">
                    <a:lumMod val="75000"/>
                  </a:schemeClr>
                </a:solidFill>
                <a:effectLst/>
                <a:latin typeface="黑体" pitchFamily="2" charset="-122"/>
                <a:ea typeface="黑体" pitchFamily="2" charset="-122"/>
                <a:cs typeface="+mn-cs"/>
              </a:rPr>
              <a:t>，住宅建筑计容建筑面积小于</a:t>
            </a:r>
            <a:r>
              <a:rPr lang="en-US" altLang="zh-CN" sz="850" b="0" u="none">
                <a:solidFill>
                  <a:schemeClr val="accent2">
                    <a:lumMod val="75000"/>
                  </a:schemeClr>
                </a:solidFill>
                <a:effectLst/>
                <a:latin typeface="黑体" pitchFamily="2" charset="-122"/>
                <a:ea typeface="黑体" pitchFamily="2" charset="-122"/>
                <a:cs typeface="+mn-cs"/>
              </a:rPr>
              <a:t>99920</a:t>
            </a:r>
            <a:r>
              <a:rPr lang="zh-CN" altLang="en-US" sz="850" b="0" u="none">
                <a:solidFill>
                  <a:schemeClr val="accent2">
                    <a:lumMod val="75000"/>
                  </a:schemeClr>
                </a:solidFill>
                <a:effectLst/>
                <a:latin typeface="黑体" pitchFamily="2" charset="-122"/>
                <a:ea typeface="黑体" pitchFamily="2" charset="-122"/>
                <a:cs typeface="+mn-cs"/>
              </a:rPr>
              <a:t>平方米</a:t>
            </a:r>
            <a:endParaRPr lang="en-US" altLang="zh-CN" sz="850" b="0" u="none">
              <a:solidFill>
                <a:schemeClr val="accent2">
                  <a:lumMod val="75000"/>
                </a:schemeClr>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2019(TR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-8</a:t>
            </a:r>
          </a:p>
          <a:p>
            <a:r>
              <a:rPr lang="en-US" altLang="zh-CN" sz="850" b="1" u="sng">
                <a:solidFill>
                  <a:schemeClr val="accent3">
                    <a:lumMod val="75000"/>
                  </a:schemeClr>
                </a:solidFill>
                <a:effectLst/>
                <a:latin typeface="黑体" pitchFamily="2" charset="-122"/>
                <a:ea typeface="黑体" pitchFamily="2" charset="-122"/>
                <a:cs typeface="+mn-cs"/>
              </a:rPr>
              <a:t>R3.5    151.06</a:t>
            </a:r>
            <a:r>
              <a:rPr lang="zh-CN" altLang="en-US" sz="850" b="1" u="sng">
                <a:solidFill>
                  <a:schemeClr val="accent3">
                    <a:lumMod val="75000"/>
                  </a:schemeClr>
                </a:solidFill>
                <a:effectLst/>
                <a:latin typeface="黑体" pitchFamily="2" charset="-122"/>
                <a:ea typeface="黑体" pitchFamily="2" charset="-122"/>
                <a:cs typeface="+mn-cs"/>
              </a:rPr>
              <a:t>万元</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亩   </a:t>
            </a:r>
            <a:r>
              <a:rPr lang="en-US" altLang="zh-CN" sz="850" b="1" u="sng">
                <a:solidFill>
                  <a:schemeClr val="accent3">
                    <a:lumMod val="75000"/>
                  </a:schemeClr>
                </a:solidFill>
                <a:effectLst/>
                <a:latin typeface="黑体" pitchFamily="2" charset="-122"/>
                <a:ea typeface="黑体" pitchFamily="2" charset="-122"/>
                <a:cs typeface="+mn-cs"/>
              </a:rPr>
              <a:t>647.41</a:t>
            </a:r>
            <a:r>
              <a:rPr lang="zh-CN" altLang="en-US" sz="850" b="1" u="sng">
                <a:solidFill>
                  <a:schemeClr val="accent3">
                    <a:lumMod val="75000"/>
                  </a:schemeClr>
                </a:solidFill>
                <a:effectLst/>
                <a:latin typeface="黑体" pitchFamily="2" charset="-122"/>
                <a:ea typeface="黑体" pitchFamily="2" charset="-122"/>
                <a:cs typeface="+mn-cs"/>
              </a:rPr>
              <a:t>元</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平米</a:t>
            </a:r>
            <a:endParaRPr lang="en-US" altLang="zh-CN" sz="850" b="1" u="sng">
              <a:solidFill>
                <a:schemeClr val="accent3">
                  <a:lumMod val="75000"/>
                </a:schemeClr>
              </a:solidFill>
              <a:effectLst/>
              <a:latin typeface="黑体" pitchFamily="2" charset="-122"/>
              <a:ea typeface="黑体" pitchFamily="2" charset="-122"/>
              <a:cs typeface="+mn-cs"/>
            </a:endParaRPr>
          </a:p>
          <a:p>
            <a:r>
              <a:rPr lang="zh-CN" altLang="en-US" sz="850" b="0" u="none">
                <a:solidFill>
                  <a:schemeClr val="accent3">
                    <a:lumMod val="75000"/>
                  </a:schemeClr>
                </a:solidFill>
                <a:effectLst/>
                <a:latin typeface="黑体" pitchFamily="2" charset="-122"/>
                <a:ea typeface="黑体" pitchFamily="2" charset="-122"/>
                <a:cs typeface="+mn-cs"/>
              </a:rPr>
              <a:t>要求：税收要求、建设内容、自持比例</a:t>
            </a:r>
            <a:r>
              <a:rPr lang="en-US" altLang="zh-CN" sz="850" b="0" u="none">
                <a:solidFill>
                  <a:schemeClr val="accent3">
                    <a:lumMod val="75000"/>
                  </a:schemeClr>
                </a:solidFill>
                <a:effectLst/>
                <a:latin typeface="黑体" pitchFamily="2" charset="-122"/>
                <a:ea typeface="黑体" pitchFamily="2" charset="-122"/>
                <a:cs typeface="+mn-cs"/>
              </a:rPr>
              <a:t>20%</a:t>
            </a:r>
            <a:endParaRPr lang="zh-CN" altLang="en-US" sz="850" b="0" u="none">
              <a:solidFill>
                <a:schemeClr val="accent3">
                  <a:lumMod val="75000"/>
                </a:schemeClr>
              </a:solidFill>
              <a:effectLst/>
              <a:latin typeface="黑体" pitchFamily="2" charset="-122"/>
              <a:ea typeface="黑体" pitchFamily="2" charset="-122"/>
              <a:cs typeface="+mn-cs"/>
            </a:endParaRPr>
          </a:p>
          <a:p>
            <a:endParaRPr lang="zh-CN" altLang="en-US" sz="850" b="1" u="sng">
              <a:solidFill>
                <a:sysClr val="windowText" lastClr="000000"/>
              </a:solidFill>
              <a:effectLst/>
              <a:latin typeface="黑体" pitchFamily="2" charset="-122"/>
              <a:ea typeface="黑体" pitchFamily="2" charset="-122"/>
              <a:cs typeface="+mn-cs"/>
            </a:endParaRPr>
          </a:p>
        </xdr:txBody>
      </xdr:sp>
      <xdr:sp macro="" textlink="">
        <xdr:nvSpPr>
          <xdr:cNvPr id="12" name="矩形 11"/>
          <xdr:cNvSpPr/>
        </xdr:nvSpPr>
        <xdr:spPr>
          <a:xfrm>
            <a:off x="13162063" y="7480999"/>
            <a:ext cx="1441100" cy="330573"/>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高层</a:t>
            </a:r>
            <a:r>
              <a:rPr lang="en-US" altLang="zh-CN" sz="1050" b="1">
                <a:solidFill>
                  <a:sysClr val="windowText" lastClr="000000"/>
                </a:solidFill>
                <a:latin typeface="黑体" pitchFamily="2" charset="-122"/>
                <a:ea typeface="黑体" pitchFamily="2" charset="-122"/>
              </a:rPr>
              <a:t>11500</a:t>
            </a:r>
            <a:r>
              <a:rPr lang="zh-CN" altLang="en-US" sz="1050" b="1">
                <a:solidFill>
                  <a:sysClr val="windowText" lastClr="000000"/>
                </a:solidFill>
                <a:latin typeface="黑体" pitchFamily="2" charset="-122"/>
                <a:ea typeface="黑体" pitchFamily="2" charset="-122"/>
              </a:rPr>
              <a:t>（毛坯）</a:t>
            </a:r>
          </a:p>
        </xdr:txBody>
      </xdr:sp>
    </xdr:grpSp>
    <xdr:clientData/>
  </xdr:twoCellAnchor>
  <xdr:twoCellAnchor>
    <xdr:from>
      <xdr:col>9</xdr:col>
      <xdr:colOff>503730</xdr:colOff>
      <xdr:row>59</xdr:row>
      <xdr:rowOff>73447</xdr:rowOff>
    </xdr:from>
    <xdr:to>
      <xdr:col>11</xdr:col>
      <xdr:colOff>574887</xdr:colOff>
      <xdr:row>62</xdr:row>
      <xdr:rowOff>75882</xdr:rowOff>
    </xdr:to>
    <xdr:sp macro="" textlink="">
      <xdr:nvSpPr>
        <xdr:cNvPr id="13" name="矩形 12"/>
        <xdr:cNvSpPr/>
      </xdr:nvSpPr>
      <xdr:spPr>
        <a:xfrm>
          <a:off x="6675930" y="10188997"/>
          <a:ext cx="1442757" cy="516785"/>
        </a:xfrm>
        <a:prstGeom prst="rect">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050" b="1">
              <a:solidFill>
                <a:sysClr val="windowText" lastClr="000000"/>
              </a:solidFill>
              <a:latin typeface="黑体" pitchFamily="2" charset="-122"/>
              <a:ea typeface="黑体" pitchFamily="2" charset="-122"/>
            </a:rPr>
            <a:t>环天时代中心：</a:t>
          </a:r>
          <a:endParaRPr lang="en-US" altLang="zh-CN" sz="1050" b="1">
            <a:solidFill>
              <a:sysClr val="windowText" lastClr="000000"/>
            </a:solidFill>
            <a:latin typeface="黑体" pitchFamily="2" charset="-122"/>
            <a:ea typeface="黑体" pitchFamily="2" charset="-122"/>
          </a:endParaRPr>
        </a:p>
        <a:p>
          <a:pPr algn="l"/>
          <a:r>
            <a:rPr lang="zh-CN" altLang="en-US" sz="1050" b="1">
              <a:solidFill>
                <a:sysClr val="windowText" lastClr="000000"/>
              </a:solidFill>
              <a:latin typeface="黑体" pitchFamily="2" charset="-122"/>
              <a:ea typeface="黑体" pitchFamily="2" charset="-122"/>
            </a:rPr>
            <a:t>小高层</a:t>
          </a:r>
          <a:r>
            <a:rPr lang="en-US" altLang="zh-CN" sz="1050" b="1">
              <a:solidFill>
                <a:sysClr val="windowText" lastClr="000000"/>
              </a:solidFill>
              <a:latin typeface="黑体" pitchFamily="2" charset="-122"/>
              <a:ea typeface="黑体" pitchFamily="2" charset="-122"/>
            </a:rPr>
            <a:t>10500</a:t>
          </a:r>
          <a:r>
            <a:rPr lang="zh-CN" altLang="en-US" sz="1050" b="1">
              <a:solidFill>
                <a:sysClr val="windowText" lastClr="000000"/>
              </a:solidFill>
              <a:latin typeface="黑体" pitchFamily="2" charset="-122"/>
              <a:ea typeface="黑体" pitchFamily="2" charset="-122"/>
            </a:rPr>
            <a:t>（毛坯）</a:t>
          </a:r>
        </a:p>
      </xdr:txBody>
    </xdr:sp>
    <xdr:clientData/>
  </xdr:twoCellAnchor>
  <xdr:twoCellAnchor>
    <xdr:from>
      <xdr:col>11</xdr:col>
      <xdr:colOff>491426</xdr:colOff>
      <xdr:row>58</xdr:row>
      <xdr:rowOff>122777</xdr:rowOff>
    </xdr:from>
    <xdr:to>
      <xdr:col>11</xdr:col>
      <xdr:colOff>613035</xdr:colOff>
      <xdr:row>59</xdr:row>
      <xdr:rowOff>74592</xdr:rowOff>
    </xdr:to>
    <xdr:sp macro="" textlink="">
      <xdr:nvSpPr>
        <xdr:cNvPr id="14" name="椭圆 13"/>
        <xdr:cNvSpPr/>
      </xdr:nvSpPr>
      <xdr:spPr>
        <a:xfrm>
          <a:off x="8035226" y="10066877"/>
          <a:ext cx="121609" cy="123265"/>
        </a:xfrm>
        <a:prstGeom prst="ellips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9</xdr:col>
      <xdr:colOff>127846</xdr:colOff>
      <xdr:row>7</xdr:row>
      <xdr:rowOff>73269</xdr:rowOff>
    </xdr:from>
    <xdr:to>
      <xdr:col>13</xdr:col>
      <xdr:colOff>45017</xdr:colOff>
      <xdr:row>43</xdr:row>
      <xdr:rowOff>123825</xdr:rowOff>
    </xdr:to>
    <xdr:sp macro="" textlink="">
      <xdr:nvSpPr>
        <xdr:cNvPr id="15" name="线形标注 2 14"/>
        <xdr:cNvSpPr/>
      </xdr:nvSpPr>
      <xdr:spPr>
        <a:xfrm>
          <a:off x="6300046" y="1273419"/>
          <a:ext cx="2660371" cy="6222756"/>
        </a:xfrm>
        <a:prstGeom prst="borderCallout2">
          <a:avLst>
            <a:gd name="adj1" fmla="val 95511"/>
            <a:gd name="adj2" fmla="val 104171"/>
            <a:gd name="adj3" fmla="val 97445"/>
            <a:gd name="adj4" fmla="val 117288"/>
            <a:gd name="adj5" fmla="val 101150"/>
            <a:gd name="adj6" fmla="val 143777"/>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2020</a:t>
          </a:r>
        </a:p>
        <a:p>
          <a:r>
            <a:rPr lang="en-US" altLang="zh-CN" sz="850" b="0" u="none">
              <a:solidFill>
                <a:schemeClr val="accent2">
                  <a:lumMod val="75000"/>
                </a:schemeClr>
              </a:solidFill>
              <a:effectLst/>
              <a:latin typeface="黑体" pitchFamily="2" charset="-122"/>
              <a:ea typeface="黑体" pitchFamily="2" charset="-122"/>
              <a:cs typeface="+mn-cs"/>
            </a:rPr>
            <a:t>2020(TR)-11</a:t>
          </a:r>
          <a:r>
            <a:rPr lang="zh-CN" altLang="en-US" sz="850" b="0" u="none">
              <a:solidFill>
                <a:schemeClr val="accent2">
                  <a:lumMod val="75000"/>
                </a:schemeClr>
              </a:solidFill>
              <a:effectLst/>
              <a:latin typeface="黑体" pitchFamily="2" charset="-122"/>
              <a:ea typeface="黑体" pitchFamily="2" charset="-122"/>
              <a:cs typeface="+mn-cs"/>
            </a:rPr>
            <a:t>号</a:t>
          </a:r>
          <a:r>
            <a:rPr lang="en-US" altLang="zh-CN" sz="850" b="0" u="none">
              <a:solidFill>
                <a:schemeClr val="accent2">
                  <a:lumMod val="75000"/>
                </a:schemeClr>
              </a:solidFill>
              <a:effectLst/>
              <a:latin typeface="黑体" pitchFamily="2" charset="-122"/>
              <a:ea typeface="黑体" pitchFamily="2" charset="-122"/>
              <a:cs typeface="+mn-cs"/>
            </a:rPr>
            <a:t>-18</a:t>
          </a:r>
          <a:r>
            <a:rPr lang="zh-CN" altLang="en-US" sz="850" b="0" u="none">
              <a:solidFill>
                <a:schemeClr val="accent2">
                  <a:lumMod val="75000"/>
                </a:schemeClr>
              </a:solidFill>
              <a:effectLst/>
              <a:latin typeface="黑体" pitchFamily="2" charset="-122"/>
              <a:ea typeface="黑体" pitchFamily="2" charset="-122"/>
              <a:cs typeface="+mn-cs"/>
            </a:rPr>
            <a:t>号</a:t>
          </a:r>
        </a:p>
        <a:p>
          <a:r>
            <a:rPr lang="en-US" altLang="zh-CN" sz="850" b="1" u="none">
              <a:solidFill>
                <a:schemeClr val="accent2">
                  <a:lumMod val="75000"/>
                </a:schemeClr>
              </a:solidFill>
              <a:effectLst/>
              <a:latin typeface="黑体" pitchFamily="2" charset="-122"/>
              <a:ea typeface="黑体" pitchFamily="2" charset="-122"/>
              <a:cs typeface="+mn-cs"/>
            </a:rPr>
            <a:t>R2.2   183</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1252</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en-US" altLang="zh-CN" sz="850" b="1" u="sng">
              <a:solidFill>
                <a:schemeClr val="accent2">
                  <a:lumMod val="75000"/>
                </a:schemeClr>
              </a:solidFill>
              <a:effectLst/>
              <a:latin typeface="黑体" pitchFamily="2" charset="-122"/>
              <a:ea typeface="黑体" pitchFamily="2" charset="-122"/>
              <a:cs typeface="+mn-cs"/>
            </a:rPr>
            <a:t>R2.2   251</a:t>
          </a:r>
          <a:r>
            <a:rPr lang="zh-CN" altLang="en-US" sz="850" b="1" u="sng">
              <a:solidFill>
                <a:schemeClr val="accent2">
                  <a:lumMod val="75000"/>
                </a:schemeClr>
              </a:solidFill>
              <a:effectLst/>
              <a:latin typeface="黑体" pitchFamily="2" charset="-122"/>
              <a:ea typeface="黑体" pitchFamily="2" charset="-122"/>
              <a:cs typeface="+mn-cs"/>
            </a:rPr>
            <a:t>万</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亩   </a:t>
          </a:r>
          <a:r>
            <a:rPr lang="en-US" altLang="zh-CN" sz="850" b="1" u="sng">
              <a:solidFill>
                <a:schemeClr val="accent2">
                  <a:lumMod val="75000"/>
                </a:schemeClr>
              </a:solidFill>
              <a:effectLst/>
              <a:latin typeface="黑体" pitchFamily="2" charset="-122"/>
              <a:ea typeface="黑体" pitchFamily="2" charset="-122"/>
              <a:cs typeface="+mn-cs"/>
            </a:rPr>
            <a:t>1715</a:t>
          </a:r>
          <a:r>
            <a:rPr lang="zh-CN" altLang="en-US" sz="850" b="1" u="sng">
              <a:solidFill>
                <a:schemeClr val="accent2">
                  <a:lumMod val="75000"/>
                </a:schemeClr>
              </a:solidFill>
              <a:effectLst/>
              <a:latin typeface="黑体" pitchFamily="2" charset="-122"/>
              <a:ea typeface="黑体" pitchFamily="2" charset="-122"/>
              <a:cs typeface="+mn-cs"/>
            </a:rPr>
            <a:t>元</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平方米   溢价率</a:t>
          </a:r>
          <a:r>
            <a:rPr lang="en-US" altLang="zh-CN" sz="850" b="1" u="sng">
              <a:solidFill>
                <a:schemeClr val="accent2">
                  <a:lumMod val="75000"/>
                </a:schemeClr>
              </a:solidFill>
              <a:effectLst/>
              <a:latin typeface="黑体" pitchFamily="2" charset="-122"/>
              <a:ea typeface="黑体" pitchFamily="2" charset="-122"/>
              <a:cs typeface="+mn-cs"/>
            </a:rPr>
            <a:t>0%</a:t>
          </a:r>
        </a:p>
        <a:p>
          <a:r>
            <a:rPr lang="en-US" altLang="zh-CN" sz="850" b="0" u="none">
              <a:solidFill>
                <a:schemeClr val="accent2">
                  <a:lumMod val="75000"/>
                </a:schemeClr>
              </a:solidFill>
              <a:effectLst/>
              <a:latin typeface="黑体" pitchFamily="2" charset="-122"/>
              <a:ea typeface="黑体" pitchFamily="2" charset="-122"/>
              <a:cs typeface="+mn-cs"/>
            </a:rPr>
            <a:t>2019(TR)-117</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118</a:t>
          </a:r>
          <a:r>
            <a:rPr lang="zh-CN" altLang="en-US" sz="850" b="0" u="none">
              <a:solidFill>
                <a:schemeClr val="accent2">
                  <a:lumMod val="75000"/>
                </a:schemeClr>
              </a:solidFill>
              <a:effectLst/>
              <a:latin typeface="黑体" pitchFamily="2" charset="-122"/>
              <a:ea typeface="黑体" pitchFamily="2" charset="-122"/>
              <a:cs typeface="+mn-cs"/>
            </a:rPr>
            <a:t>号地块</a:t>
          </a:r>
        </a:p>
        <a:p>
          <a:r>
            <a:rPr lang="en-US" altLang="zh-CN" sz="850" b="1" u="none">
              <a:solidFill>
                <a:schemeClr val="accent2">
                  <a:lumMod val="75000"/>
                </a:schemeClr>
              </a:solidFill>
              <a:effectLst/>
              <a:latin typeface="黑体" pitchFamily="2" charset="-122"/>
              <a:ea typeface="黑体" pitchFamily="2" charset="-122"/>
              <a:cs typeface="+mn-cs"/>
            </a:rPr>
            <a:t>R1.8   251</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2090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a:t>
          </a:r>
        </a:p>
        <a:p>
          <a:r>
            <a:rPr lang="en-US" altLang="zh-CN" sz="850" b="0" u="none">
              <a:solidFill>
                <a:schemeClr val="accent2">
                  <a:lumMod val="75000"/>
                </a:schemeClr>
              </a:solidFill>
              <a:effectLst/>
              <a:latin typeface="黑体" pitchFamily="2" charset="-122"/>
              <a:ea typeface="黑体" pitchFamily="2" charset="-122"/>
              <a:cs typeface="+mn-cs"/>
            </a:rPr>
            <a:t>1.</a:t>
          </a:r>
          <a:r>
            <a:rPr lang="zh-CN" altLang="en-US" sz="850" b="0" u="none">
              <a:solidFill>
                <a:schemeClr val="accent2">
                  <a:lumMod val="75000"/>
                </a:schemeClr>
              </a:solidFill>
              <a:effectLst/>
              <a:latin typeface="黑体" pitchFamily="2" charset="-122"/>
              <a:ea typeface="黑体" pitchFamily="2" charset="-122"/>
              <a:cs typeface="+mn-cs"/>
            </a:rPr>
            <a:t>税收要求；</a:t>
          </a:r>
        </a:p>
        <a:p>
          <a:r>
            <a:rPr lang="en-US" altLang="zh-CN" sz="850" b="0" u="none">
              <a:solidFill>
                <a:schemeClr val="accent2">
                  <a:lumMod val="75000"/>
                </a:schemeClr>
              </a:solidFill>
              <a:effectLst/>
              <a:latin typeface="黑体" pitchFamily="2" charset="-122"/>
              <a:ea typeface="黑体" pitchFamily="2" charset="-122"/>
              <a:cs typeface="+mn-cs"/>
            </a:rPr>
            <a:t>2.</a:t>
          </a:r>
          <a:r>
            <a:rPr lang="zh-CN" altLang="en-US" sz="850" b="0" u="none">
              <a:solidFill>
                <a:schemeClr val="accent2">
                  <a:lumMod val="75000"/>
                </a:schemeClr>
              </a:solidFill>
              <a:effectLst/>
              <a:latin typeface="黑体" pitchFamily="2" charset="-122"/>
              <a:ea typeface="黑体" pitchFamily="2" charset="-122"/>
              <a:cs typeface="+mn-cs"/>
            </a:rPr>
            <a:t>配建周边市政道路及绿地，无偿移交。</a:t>
          </a:r>
          <a:endParaRPr lang="en-US" altLang="zh-CN" sz="850" b="0" u="none">
            <a:solidFill>
              <a:schemeClr val="accent2">
                <a:lumMod val="75000"/>
              </a:schemeClr>
            </a:solidFill>
            <a:effectLst/>
            <a:latin typeface="黑体" pitchFamily="2" charset="-122"/>
            <a:ea typeface="黑体" pitchFamily="2" charset="-122"/>
            <a:cs typeface="+mn-cs"/>
          </a:endParaRP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2020</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-19</a:t>
          </a:r>
          <a:r>
            <a:rPr lang="zh-CN" altLang="en-US" sz="850" b="0" u="none">
              <a:solidFill>
                <a:schemeClr val="accent3">
                  <a:lumMod val="75000"/>
                </a:schemeClr>
              </a:solidFill>
              <a:effectLst/>
              <a:latin typeface="黑体" pitchFamily="2" charset="-122"/>
              <a:ea typeface="黑体" pitchFamily="2" charset="-122"/>
              <a:cs typeface="+mn-cs"/>
            </a:rPr>
            <a:t>号</a:t>
          </a:r>
          <a:r>
            <a:rPr lang="en-US" altLang="zh-CN" sz="850" b="0" u="none">
              <a:solidFill>
                <a:schemeClr val="accent3">
                  <a:lumMod val="75000"/>
                </a:schemeClr>
              </a:solidFill>
              <a:effectLst/>
              <a:latin typeface="黑体" pitchFamily="2" charset="-122"/>
              <a:ea typeface="黑体" pitchFamily="2" charset="-122"/>
              <a:cs typeface="+mn-cs"/>
            </a:rPr>
            <a:t>-21</a:t>
          </a:r>
          <a:r>
            <a:rPr lang="zh-CN" altLang="en-US" sz="850" b="0" u="none">
              <a:solidFill>
                <a:schemeClr val="accent3">
                  <a:lumMod val="75000"/>
                </a:schemeClr>
              </a:solidFill>
              <a:effectLst/>
              <a:latin typeface="黑体" pitchFamily="2" charset="-122"/>
              <a:ea typeface="黑体" pitchFamily="2" charset="-122"/>
              <a:cs typeface="+mn-cs"/>
            </a:rPr>
            <a:t>号</a:t>
          </a:r>
        </a:p>
        <a:p>
          <a:r>
            <a:rPr lang="en-US" altLang="zh-CN" sz="850" b="1" u="none">
              <a:solidFill>
                <a:schemeClr val="accent3">
                  <a:lumMod val="75000"/>
                </a:schemeClr>
              </a:solidFill>
              <a:effectLst/>
              <a:latin typeface="黑体" pitchFamily="2" charset="-122"/>
              <a:ea typeface="黑体" pitchFamily="2" charset="-122"/>
              <a:cs typeface="+mn-cs"/>
            </a:rPr>
            <a:t>R1.5   111</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1111</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en-US" altLang="zh-CN" sz="850" b="1" u="sng">
              <a:solidFill>
                <a:schemeClr val="accent3">
                  <a:lumMod val="75000"/>
                </a:schemeClr>
              </a:solidFill>
              <a:effectLst/>
              <a:latin typeface="黑体" pitchFamily="2" charset="-122"/>
              <a:ea typeface="黑体" pitchFamily="2" charset="-122"/>
              <a:cs typeface="+mn-cs"/>
            </a:rPr>
            <a:t>R2.0   111</a:t>
          </a:r>
          <a:r>
            <a:rPr lang="zh-CN" altLang="en-US" sz="850" b="1" u="sng">
              <a:solidFill>
                <a:schemeClr val="accent3">
                  <a:lumMod val="75000"/>
                </a:schemeClr>
              </a:solidFill>
              <a:effectLst/>
              <a:latin typeface="黑体" pitchFamily="2" charset="-122"/>
              <a:ea typeface="黑体" pitchFamily="2" charset="-122"/>
              <a:cs typeface="+mn-cs"/>
            </a:rPr>
            <a:t>万</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亩    </a:t>
          </a:r>
          <a:r>
            <a:rPr lang="en-US" altLang="zh-CN" sz="850" b="1" u="sng">
              <a:solidFill>
                <a:schemeClr val="accent3">
                  <a:lumMod val="75000"/>
                </a:schemeClr>
              </a:solidFill>
              <a:effectLst/>
              <a:latin typeface="黑体" pitchFamily="2" charset="-122"/>
              <a:ea typeface="黑体" pitchFamily="2" charset="-122"/>
              <a:cs typeface="+mn-cs"/>
            </a:rPr>
            <a:t>833</a:t>
          </a:r>
          <a:r>
            <a:rPr lang="zh-CN" altLang="en-US" sz="850" b="1" u="sng">
              <a:solidFill>
                <a:schemeClr val="accent3">
                  <a:lumMod val="75000"/>
                </a:schemeClr>
              </a:solidFill>
              <a:effectLst/>
              <a:latin typeface="黑体" pitchFamily="2" charset="-122"/>
              <a:ea typeface="黑体" pitchFamily="2" charset="-122"/>
              <a:cs typeface="+mn-cs"/>
            </a:rPr>
            <a:t>元</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平方米   溢价率</a:t>
          </a:r>
          <a:r>
            <a:rPr lang="en-US" altLang="zh-CN" sz="850" b="1" u="sng">
              <a:solidFill>
                <a:schemeClr val="accent3">
                  <a:lumMod val="75000"/>
                </a:schemeClr>
              </a:solidFill>
              <a:effectLst/>
              <a:latin typeface="黑体" pitchFamily="2" charset="-122"/>
              <a:ea typeface="黑体" pitchFamily="2" charset="-122"/>
              <a:cs typeface="+mn-cs"/>
            </a:rPr>
            <a:t>0%</a:t>
          </a:r>
        </a:p>
        <a:p>
          <a:r>
            <a:rPr lang="en-US" altLang="zh-CN" sz="850" b="0" u="none">
              <a:solidFill>
                <a:schemeClr val="accent3">
                  <a:lumMod val="75000"/>
                </a:schemeClr>
              </a:solidFill>
              <a:effectLst/>
              <a:latin typeface="黑体" pitchFamily="2" charset="-122"/>
              <a:ea typeface="黑体" pitchFamily="2" charset="-122"/>
              <a:cs typeface="+mn-cs"/>
            </a:rPr>
            <a:t>2020</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-22</a:t>
          </a:r>
          <a:r>
            <a:rPr lang="zh-CN" altLang="en-US" sz="850" b="0" u="none">
              <a:solidFill>
                <a:schemeClr val="accent3">
                  <a:lumMod val="75000"/>
                </a:schemeClr>
              </a:solidFill>
              <a:effectLst/>
              <a:latin typeface="黑体" pitchFamily="2" charset="-122"/>
              <a:ea typeface="黑体" pitchFamily="2" charset="-122"/>
              <a:cs typeface="+mn-cs"/>
            </a:rPr>
            <a:t>号</a:t>
          </a:r>
          <a:r>
            <a:rPr lang="en-US" altLang="zh-CN" sz="850" b="0" u="none">
              <a:solidFill>
                <a:schemeClr val="accent3">
                  <a:lumMod val="75000"/>
                </a:schemeClr>
              </a:solidFill>
              <a:effectLst/>
              <a:latin typeface="黑体" pitchFamily="2" charset="-122"/>
              <a:ea typeface="黑体" pitchFamily="2" charset="-122"/>
              <a:cs typeface="+mn-cs"/>
            </a:rPr>
            <a:t>-23</a:t>
          </a:r>
          <a:r>
            <a:rPr lang="zh-CN" altLang="en-US" sz="850" b="0" u="none">
              <a:solidFill>
                <a:schemeClr val="accent3">
                  <a:lumMod val="75000"/>
                </a:schemeClr>
              </a:solidFill>
              <a:effectLst/>
              <a:latin typeface="黑体" pitchFamily="2" charset="-122"/>
              <a:ea typeface="黑体" pitchFamily="2" charset="-122"/>
              <a:cs typeface="+mn-cs"/>
            </a:rPr>
            <a:t>号</a:t>
          </a:r>
        </a:p>
        <a:p>
          <a:r>
            <a:rPr lang="en-US" altLang="zh-CN" sz="850" b="1" u="none">
              <a:solidFill>
                <a:schemeClr val="accent3">
                  <a:lumMod val="75000"/>
                </a:schemeClr>
              </a:solidFill>
              <a:effectLst/>
              <a:latin typeface="黑体" pitchFamily="2" charset="-122"/>
              <a:ea typeface="黑体" pitchFamily="2" charset="-122"/>
              <a:cs typeface="+mn-cs"/>
            </a:rPr>
            <a:t>R1.8   81</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675</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建设内容要求，税收要求；</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配建周边市政道路，无偿移交。</a:t>
          </a: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2019(TR)-42</a:t>
          </a:r>
          <a:r>
            <a:rPr lang="zh-CN" altLang="en-US" sz="850" b="0" u="none">
              <a:solidFill>
                <a:schemeClr val="accent2">
                  <a:lumMod val="75000"/>
                </a:schemeClr>
              </a:solidFill>
              <a:effectLst/>
              <a:latin typeface="黑体" pitchFamily="2" charset="-122"/>
              <a:ea typeface="黑体" pitchFamily="2" charset="-122"/>
              <a:cs typeface="+mn-cs"/>
            </a:rPr>
            <a:t>号地块</a:t>
          </a:r>
        </a:p>
        <a:p>
          <a:r>
            <a:rPr lang="en-US" altLang="zh-CN" sz="850" b="1" u="none">
              <a:solidFill>
                <a:schemeClr val="accent2">
                  <a:lumMod val="75000"/>
                </a:schemeClr>
              </a:solidFill>
              <a:effectLst/>
              <a:latin typeface="黑体" pitchFamily="2" charset="-122"/>
              <a:ea typeface="黑体" pitchFamily="2" charset="-122"/>
              <a:cs typeface="+mn-cs"/>
            </a:rPr>
            <a:t>R2.0   180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1347</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en-US" altLang="zh-CN" sz="850" b="0" u="none">
              <a:solidFill>
                <a:schemeClr val="accent2">
                  <a:lumMod val="75000"/>
                </a:schemeClr>
              </a:solidFill>
              <a:effectLst/>
              <a:latin typeface="黑体" pitchFamily="2" charset="-122"/>
              <a:ea typeface="黑体" pitchFamily="2" charset="-122"/>
              <a:cs typeface="+mn-cs"/>
            </a:rPr>
            <a:t>2019(TR)-45</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46</a:t>
          </a:r>
          <a:r>
            <a:rPr lang="zh-CN" altLang="en-US" sz="850" b="0" u="none">
              <a:solidFill>
                <a:schemeClr val="accent2">
                  <a:lumMod val="75000"/>
                </a:schemeClr>
              </a:solidFill>
              <a:effectLst/>
              <a:latin typeface="黑体" pitchFamily="2" charset="-122"/>
              <a:ea typeface="黑体" pitchFamily="2" charset="-122"/>
              <a:cs typeface="+mn-cs"/>
            </a:rPr>
            <a:t>号地块</a:t>
          </a:r>
        </a:p>
        <a:p>
          <a:r>
            <a:rPr lang="en-US" altLang="zh-CN" sz="850" b="1" u="none">
              <a:solidFill>
                <a:schemeClr val="accent2">
                  <a:lumMod val="75000"/>
                </a:schemeClr>
              </a:solidFill>
              <a:effectLst/>
              <a:latin typeface="黑体" pitchFamily="2" charset="-122"/>
              <a:ea typeface="黑体" pitchFamily="2" charset="-122"/>
              <a:cs typeface="+mn-cs"/>
            </a:rPr>
            <a:t>R1.8   210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1760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a:t>
          </a:r>
        </a:p>
        <a:p>
          <a:r>
            <a:rPr lang="en-US" altLang="zh-CN" sz="850" b="0" u="none">
              <a:solidFill>
                <a:schemeClr val="accent2">
                  <a:lumMod val="75000"/>
                </a:schemeClr>
              </a:solidFill>
              <a:effectLst/>
              <a:latin typeface="黑体" pitchFamily="2" charset="-122"/>
              <a:ea typeface="黑体" pitchFamily="2" charset="-122"/>
              <a:cs typeface="+mn-cs"/>
            </a:rPr>
            <a:t>1.</a:t>
          </a:r>
          <a:r>
            <a:rPr lang="zh-CN" altLang="en-US" sz="850" b="0" u="none">
              <a:solidFill>
                <a:schemeClr val="accent2">
                  <a:lumMod val="75000"/>
                </a:schemeClr>
              </a:solidFill>
              <a:effectLst/>
              <a:latin typeface="黑体" pitchFamily="2" charset="-122"/>
              <a:ea typeface="黑体" pitchFamily="2" charset="-122"/>
              <a:cs typeface="+mn-cs"/>
            </a:rPr>
            <a:t>商业占比</a:t>
          </a:r>
          <a:r>
            <a:rPr lang="en-US" altLang="zh-CN" sz="850" b="0" u="none">
              <a:solidFill>
                <a:schemeClr val="accent2">
                  <a:lumMod val="75000"/>
                </a:schemeClr>
              </a:solidFill>
              <a:effectLst/>
              <a:latin typeface="黑体" pitchFamily="2" charset="-122"/>
              <a:ea typeface="黑体" pitchFamily="2" charset="-122"/>
              <a:cs typeface="+mn-cs"/>
            </a:rPr>
            <a:t>50%</a:t>
          </a:r>
        </a:p>
        <a:p>
          <a:r>
            <a:rPr lang="en-US" altLang="zh-CN" sz="850" b="0" u="none">
              <a:solidFill>
                <a:schemeClr val="accent2">
                  <a:lumMod val="75000"/>
                </a:schemeClr>
              </a:solidFill>
              <a:effectLst/>
              <a:latin typeface="黑体" pitchFamily="2" charset="-122"/>
              <a:ea typeface="黑体" pitchFamily="2" charset="-122"/>
              <a:cs typeface="+mn-cs"/>
            </a:rPr>
            <a:t>2.</a:t>
          </a:r>
          <a:r>
            <a:rPr lang="zh-CN" altLang="en-US" sz="850" b="0" u="none">
              <a:solidFill>
                <a:schemeClr val="accent2">
                  <a:lumMod val="75000"/>
                </a:schemeClr>
              </a:solidFill>
              <a:effectLst/>
              <a:latin typeface="黑体" pitchFamily="2" charset="-122"/>
              <a:ea typeface="黑体" pitchFamily="2" charset="-122"/>
              <a:cs typeface="+mn-cs"/>
            </a:rPr>
            <a:t>规划方案要求，竞买人要求，建设内容要求。</a:t>
          </a:r>
        </a:p>
        <a:p>
          <a:r>
            <a:rPr lang="en-US" altLang="zh-CN" sz="850" b="0" u="none">
              <a:solidFill>
                <a:schemeClr val="accent2">
                  <a:lumMod val="75000"/>
                </a:schemeClr>
              </a:solidFill>
              <a:effectLst/>
              <a:latin typeface="黑体" pitchFamily="2" charset="-122"/>
              <a:ea typeface="黑体" pitchFamily="2" charset="-122"/>
              <a:cs typeface="+mn-cs"/>
            </a:rPr>
            <a:t>3.</a:t>
          </a:r>
          <a:r>
            <a:rPr lang="zh-CN" altLang="en-US" sz="850" b="0" u="none">
              <a:solidFill>
                <a:schemeClr val="accent2">
                  <a:lumMod val="75000"/>
                </a:schemeClr>
              </a:solidFill>
              <a:effectLst/>
              <a:latin typeface="黑体" pitchFamily="2" charset="-122"/>
              <a:ea typeface="黑体" pitchFamily="2" charset="-122"/>
              <a:cs typeface="+mn-cs"/>
            </a:rPr>
            <a:t>配建绿化带、道路，无偿移交。</a:t>
          </a:r>
        </a:p>
        <a:p>
          <a:r>
            <a:rPr lang="en-US" altLang="zh-CN" sz="850" b="0" u="none">
              <a:solidFill>
                <a:schemeClr val="accent2">
                  <a:lumMod val="75000"/>
                </a:schemeClr>
              </a:solidFill>
              <a:effectLst/>
              <a:latin typeface="黑体" pitchFamily="2" charset="-122"/>
              <a:ea typeface="黑体" pitchFamily="2" charset="-122"/>
              <a:cs typeface="+mn-cs"/>
            </a:rPr>
            <a:t>4.</a:t>
          </a:r>
          <a:r>
            <a:rPr lang="zh-CN" altLang="en-US" sz="850" b="0" u="none">
              <a:solidFill>
                <a:schemeClr val="accent2">
                  <a:lumMod val="75000"/>
                </a:schemeClr>
              </a:solidFill>
              <a:effectLst/>
              <a:latin typeface="黑体" pitchFamily="2" charset="-122"/>
              <a:ea typeface="黑体" pitchFamily="2" charset="-122"/>
              <a:cs typeface="+mn-cs"/>
            </a:rPr>
            <a:t>该地块需竞得人解决问题说明：</a:t>
          </a:r>
        </a:p>
        <a:p>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1</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a:t>
          </a:r>
          <a:r>
            <a:rPr lang="zh-CN" altLang="en-US" sz="850" b="0" u="none">
              <a:solidFill>
                <a:schemeClr val="accent2">
                  <a:lumMod val="75000"/>
                </a:schemeClr>
              </a:solidFill>
              <a:effectLst/>
              <a:latin typeface="黑体" pitchFamily="2" charset="-122"/>
              <a:ea typeface="黑体" pitchFamily="2" charset="-122"/>
              <a:cs typeface="+mn-cs"/>
            </a:rPr>
            <a:t>宗地由竞得人负责自行打围，并承担所有费用。</a:t>
          </a:r>
        </a:p>
        <a:p>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2</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a:t>
          </a:r>
          <a:r>
            <a:rPr lang="zh-CN" altLang="en-US" sz="850" b="0" u="none">
              <a:solidFill>
                <a:schemeClr val="accent2">
                  <a:lumMod val="75000"/>
                </a:schemeClr>
              </a:solidFill>
              <a:effectLst/>
              <a:latin typeface="黑体" pitchFamily="2" charset="-122"/>
              <a:ea typeface="黑体" pitchFamily="2" charset="-122"/>
              <a:cs typeface="+mn-cs"/>
            </a:rPr>
            <a:t>宗地内的杂树、沟渠、弃土等，由竞得人负责自行清除，并承担费用。</a:t>
          </a: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2019</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-44</a:t>
          </a:r>
          <a:r>
            <a:rPr lang="zh-CN" altLang="en-US" sz="850" b="0" u="none">
              <a:solidFill>
                <a:schemeClr val="accent3">
                  <a:lumMod val="75000"/>
                </a:schemeClr>
              </a:solidFill>
              <a:effectLst/>
              <a:latin typeface="黑体" pitchFamily="2" charset="-122"/>
              <a:ea typeface="黑体" pitchFamily="2" charset="-122"/>
              <a:cs typeface="+mn-cs"/>
            </a:rPr>
            <a:t>号地块</a:t>
          </a:r>
        </a:p>
        <a:p>
          <a:r>
            <a:rPr lang="en-US" altLang="zh-CN" sz="850" b="1" u="none">
              <a:solidFill>
                <a:schemeClr val="accent3">
                  <a:lumMod val="75000"/>
                </a:schemeClr>
              </a:solidFill>
              <a:effectLst/>
              <a:latin typeface="黑体" pitchFamily="2" charset="-122"/>
              <a:ea typeface="黑体" pitchFamily="2" charset="-122"/>
              <a:cs typeface="+mn-cs"/>
            </a:rPr>
            <a:t>R2.0    81</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607</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设计方案要求，配建绿化带无偿移交</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该地块需竞得人解决问题说明：</a:t>
          </a:r>
        </a:p>
        <a:p>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a:t>
          </a:r>
          <a:r>
            <a:rPr lang="zh-CN" altLang="en-US" sz="850" b="0" u="none">
              <a:solidFill>
                <a:schemeClr val="accent3">
                  <a:lumMod val="75000"/>
                </a:schemeClr>
              </a:solidFill>
              <a:effectLst/>
              <a:latin typeface="黑体" pitchFamily="2" charset="-122"/>
              <a:ea typeface="黑体" pitchFamily="2" charset="-122"/>
              <a:cs typeface="+mn-cs"/>
            </a:rPr>
            <a:t>宗地由竞得人负责自行打围，并承担所有费用。</a:t>
          </a:r>
        </a:p>
        <a:p>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a:t>
          </a:r>
          <a:r>
            <a:rPr lang="zh-CN" altLang="en-US" sz="850" b="0" u="none">
              <a:solidFill>
                <a:schemeClr val="accent3">
                  <a:lumMod val="75000"/>
                </a:schemeClr>
              </a:solidFill>
              <a:effectLst/>
              <a:latin typeface="黑体" pitchFamily="2" charset="-122"/>
              <a:ea typeface="黑体" pitchFamily="2" charset="-122"/>
              <a:cs typeface="+mn-cs"/>
            </a:rPr>
            <a:t>宗地内的杂树、沟渠、弃土等，由竞得人负责自行清除，并承担费用。</a:t>
          </a:r>
        </a:p>
      </xdr:txBody>
    </xdr:sp>
    <xdr:clientData/>
  </xdr:twoCellAnchor>
  <xdr:twoCellAnchor editAs="oneCell">
    <xdr:from>
      <xdr:col>5</xdr:col>
      <xdr:colOff>281388</xdr:colOff>
      <xdr:row>111</xdr:row>
      <xdr:rowOff>22732</xdr:rowOff>
    </xdr:from>
    <xdr:to>
      <xdr:col>20</xdr:col>
      <xdr:colOff>312710</xdr:colOff>
      <xdr:row>138</xdr:row>
      <xdr:rowOff>4626</xdr:rowOff>
    </xdr:to>
    <xdr:pic>
      <xdr:nvPicPr>
        <xdr:cNvPr id="16" name="图片 15"/>
        <xdr:cNvPicPr>
          <a:picLocks noChangeAspect="1"/>
        </xdr:cNvPicPr>
      </xdr:nvPicPr>
      <xdr:blipFill>
        <a:blip xmlns:r="http://schemas.openxmlformats.org/officeDocument/2006/relationships" r:embed="rId2"/>
        <a:stretch>
          <a:fillRect/>
        </a:stretch>
      </xdr:blipFill>
      <xdr:spPr>
        <a:xfrm>
          <a:off x="3699182" y="18680526"/>
          <a:ext cx="10284704" cy="4520276"/>
        </a:xfrm>
        <a:prstGeom prst="rect">
          <a:avLst/>
        </a:prstGeom>
      </xdr:spPr>
    </xdr:pic>
    <xdr:clientData/>
  </xdr:twoCellAnchor>
  <xdr:twoCellAnchor editAs="oneCell">
    <xdr:from>
      <xdr:col>5</xdr:col>
      <xdr:colOff>455981</xdr:colOff>
      <xdr:row>137</xdr:row>
      <xdr:rowOff>91132</xdr:rowOff>
    </xdr:from>
    <xdr:to>
      <xdr:col>17</xdr:col>
      <xdr:colOff>211401</xdr:colOff>
      <xdr:row>163</xdr:row>
      <xdr:rowOff>55103</xdr:rowOff>
    </xdr:to>
    <xdr:pic>
      <xdr:nvPicPr>
        <xdr:cNvPr id="17" name="图片 1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73775" y="23119220"/>
          <a:ext cx="7958126" cy="4334265"/>
        </a:xfrm>
        <a:prstGeom prst="rect">
          <a:avLst/>
        </a:prstGeom>
      </xdr:spPr>
    </xdr:pic>
    <xdr:clientData/>
  </xdr:twoCellAnchor>
  <xdr:twoCellAnchor>
    <xdr:from>
      <xdr:col>13</xdr:col>
      <xdr:colOff>514788</xdr:colOff>
      <xdr:row>18</xdr:row>
      <xdr:rowOff>132544</xdr:rowOff>
    </xdr:from>
    <xdr:to>
      <xdr:col>17</xdr:col>
      <xdr:colOff>531353</xdr:colOff>
      <xdr:row>40</xdr:row>
      <xdr:rowOff>55517</xdr:rowOff>
    </xdr:to>
    <xdr:sp macro="" textlink="">
      <xdr:nvSpPr>
        <xdr:cNvPr id="20" name="线形标注 2 19"/>
        <xdr:cNvSpPr/>
      </xdr:nvSpPr>
      <xdr:spPr>
        <a:xfrm>
          <a:off x="9401053" y="3158132"/>
          <a:ext cx="2750800" cy="3620914"/>
        </a:xfrm>
        <a:prstGeom prst="borderCallout2">
          <a:avLst>
            <a:gd name="adj1" fmla="val 102058"/>
            <a:gd name="adj2" fmla="val 38562"/>
            <a:gd name="adj3" fmla="val 107776"/>
            <a:gd name="adj4" fmla="val 42951"/>
            <a:gd name="adj5" fmla="val 128439"/>
            <a:gd name="adj6" fmla="val 24477"/>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2020</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2">
                  <a:lumMod val="75000"/>
                </a:schemeClr>
              </a:solidFill>
              <a:effectLst/>
              <a:latin typeface="黑体" pitchFamily="2" charset="-122"/>
              <a:ea typeface="黑体" pitchFamily="2" charset="-122"/>
              <a:cs typeface="+mn-cs"/>
            </a:rPr>
            <a:t>2019(TR)-74</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75</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78</a:t>
          </a:r>
        </a:p>
        <a:p>
          <a:r>
            <a:rPr lang="en-US" altLang="zh-CN" sz="850" b="1" u="none">
              <a:solidFill>
                <a:schemeClr val="accent2">
                  <a:lumMod val="75000"/>
                </a:schemeClr>
              </a:solidFill>
              <a:effectLst/>
              <a:latin typeface="黑体" pitchFamily="2" charset="-122"/>
              <a:ea typeface="黑体" pitchFamily="2" charset="-122"/>
              <a:cs typeface="+mn-cs"/>
            </a:rPr>
            <a:t>R2.0   247</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1855</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en-US" altLang="zh-CN" sz="850" b="1" u="sng">
              <a:solidFill>
                <a:schemeClr val="accent2">
                  <a:lumMod val="75000"/>
                </a:schemeClr>
              </a:solidFill>
              <a:effectLst/>
              <a:latin typeface="黑体" pitchFamily="2" charset="-122"/>
              <a:ea typeface="黑体" pitchFamily="2" charset="-122"/>
              <a:cs typeface="+mn-cs"/>
            </a:rPr>
            <a:t>R2.5   256</a:t>
          </a:r>
          <a:r>
            <a:rPr lang="zh-CN" altLang="en-US" sz="850" b="1" u="sng">
              <a:solidFill>
                <a:schemeClr val="accent2">
                  <a:lumMod val="75000"/>
                </a:schemeClr>
              </a:solidFill>
              <a:effectLst/>
              <a:latin typeface="黑体" pitchFamily="2" charset="-122"/>
              <a:ea typeface="黑体" pitchFamily="2" charset="-122"/>
              <a:cs typeface="+mn-cs"/>
            </a:rPr>
            <a:t>万</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亩   </a:t>
          </a:r>
          <a:r>
            <a:rPr lang="en-US" altLang="zh-CN" sz="850" b="1" u="sng">
              <a:solidFill>
                <a:schemeClr val="accent2">
                  <a:lumMod val="75000"/>
                </a:schemeClr>
              </a:solidFill>
              <a:effectLst/>
              <a:latin typeface="黑体" pitchFamily="2" charset="-122"/>
              <a:ea typeface="黑体" pitchFamily="2" charset="-122"/>
              <a:cs typeface="+mn-cs"/>
            </a:rPr>
            <a:t>1539</a:t>
          </a:r>
          <a:r>
            <a:rPr lang="zh-CN" altLang="en-US" sz="850" b="1" u="sng">
              <a:solidFill>
                <a:schemeClr val="accent2">
                  <a:lumMod val="75000"/>
                </a:schemeClr>
              </a:solidFill>
              <a:effectLst/>
              <a:latin typeface="黑体" pitchFamily="2" charset="-122"/>
              <a:ea typeface="黑体" pitchFamily="2" charset="-122"/>
              <a:cs typeface="+mn-cs"/>
            </a:rPr>
            <a:t>元</a:t>
          </a:r>
          <a:r>
            <a:rPr lang="en-US" altLang="zh-CN" sz="850" b="1" u="sng">
              <a:solidFill>
                <a:schemeClr val="accent2">
                  <a:lumMod val="75000"/>
                </a:schemeClr>
              </a:solidFill>
              <a:effectLst/>
              <a:latin typeface="黑体" pitchFamily="2" charset="-122"/>
              <a:ea typeface="黑体" pitchFamily="2" charset="-122"/>
              <a:cs typeface="+mn-cs"/>
            </a:rPr>
            <a:t>/</a:t>
          </a:r>
          <a:r>
            <a:rPr lang="zh-CN" altLang="en-US" sz="850" b="1" u="sng">
              <a:solidFill>
                <a:schemeClr val="accent2">
                  <a:lumMod val="75000"/>
                </a:schemeClr>
              </a:solidFill>
              <a:effectLst/>
              <a:latin typeface="黑体" pitchFamily="2" charset="-122"/>
              <a:ea typeface="黑体" pitchFamily="2" charset="-122"/>
              <a:cs typeface="+mn-cs"/>
            </a:rPr>
            <a:t>平方米   溢价率</a:t>
          </a:r>
          <a:r>
            <a:rPr lang="en-US" altLang="zh-CN" sz="850" b="1" u="sng">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a:t>
          </a:r>
        </a:p>
        <a:p>
          <a:r>
            <a:rPr lang="en-US" altLang="zh-CN" sz="850" b="0" u="none">
              <a:solidFill>
                <a:schemeClr val="accent2">
                  <a:lumMod val="75000"/>
                </a:schemeClr>
              </a:solidFill>
              <a:effectLst/>
              <a:latin typeface="黑体" pitchFamily="2" charset="-122"/>
              <a:ea typeface="黑体" pitchFamily="2" charset="-122"/>
              <a:cs typeface="+mn-cs"/>
            </a:rPr>
            <a:t>1.</a:t>
          </a:r>
          <a:r>
            <a:rPr lang="zh-CN" altLang="en-US" sz="850" b="0" u="none">
              <a:solidFill>
                <a:schemeClr val="accent2">
                  <a:lumMod val="75000"/>
                </a:schemeClr>
              </a:solidFill>
              <a:effectLst/>
              <a:latin typeface="黑体" pitchFamily="2" charset="-122"/>
              <a:ea typeface="黑体" pitchFamily="2" charset="-122"/>
              <a:cs typeface="+mn-cs"/>
            </a:rPr>
            <a:t>竞买人要求，建设内容要求，投资要求，税收要求。</a:t>
          </a:r>
        </a:p>
        <a:p>
          <a:r>
            <a:rPr lang="en-US" altLang="zh-CN" sz="850" b="0" u="none">
              <a:solidFill>
                <a:schemeClr val="accent2">
                  <a:lumMod val="75000"/>
                </a:schemeClr>
              </a:solidFill>
              <a:effectLst/>
              <a:latin typeface="黑体" pitchFamily="2" charset="-122"/>
              <a:ea typeface="黑体" pitchFamily="2" charset="-122"/>
              <a:cs typeface="+mn-cs"/>
            </a:rPr>
            <a:t>2.</a:t>
          </a:r>
          <a:r>
            <a:rPr lang="zh-CN" altLang="en-US" sz="850" b="0" u="none">
              <a:solidFill>
                <a:schemeClr val="accent2">
                  <a:lumMod val="75000"/>
                </a:schemeClr>
              </a:solidFill>
              <a:effectLst/>
              <a:latin typeface="黑体" pitchFamily="2" charset="-122"/>
              <a:ea typeface="黑体" pitchFamily="2" charset="-122"/>
              <a:cs typeface="+mn-cs"/>
            </a:rPr>
            <a:t>商业占比</a:t>
          </a:r>
          <a:r>
            <a:rPr lang="en-US" altLang="zh-CN" sz="850" b="0" u="none">
              <a:solidFill>
                <a:schemeClr val="accent2">
                  <a:lumMod val="75000"/>
                </a:schemeClr>
              </a:solidFill>
              <a:effectLst/>
              <a:latin typeface="黑体" pitchFamily="2" charset="-122"/>
              <a:ea typeface="黑体" pitchFamily="2" charset="-122"/>
              <a:cs typeface="+mn-cs"/>
            </a:rPr>
            <a:t>25%</a:t>
          </a:r>
          <a:r>
            <a:rPr lang="zh-CN" altLang="en-US" sz="850" b="0" u="none">
              <a:solidFill>
                <a:schemeClr val="accent2">
                  <a:lumMod val="75000"/>
                </a:schemeClr>
              </a:solidFill>
              <a:effectLst/>
              <a:latin typeface="黑体" pitchFamily="2" charset="-122"/>
              <a:ea typeface="黑体" pitchFamily="2" charset="-122"/>
              <a:cs typeface="+mn-cs"/>
            </a:rPr>
            <a:t>，局部自持</a:t>
          </a:r>
          <a:endParaRPr lang="en-US" altLang="zh-CN" sz="850" b="0" u="none">
            <a:solidFill>
              <a:schemeClr val="accent2">
                <a:lumMod val="75000"/>
              </a:schemeClr>
            </a:solidFill>
            <a:effectLst/>
            <a:latin typeface="黑体" pitchFamily="2" charset="-122"/>
            <a:ea typeface="黑体" pitchFamily="2" charset="-122"/>
            <a:cs typeface="+mn-cs"/>
          </a:endParaRP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2019</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-73</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76</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79 </a:t>
          </a:r>
        </a:p>
        <a:p>
          <a:r>
            <a:rPr lang="en-US" altLang="zh-CN" sz="850" b="1" u="sng">
              <a:solidFill>
                <a:schemeClr val="accent3">
                  <a:lumMod val="75000"/>
                </a:schemeClr>
              </a:solidFill>
              <a:effectLst/>
              <a:latin typeface="黑体" pitchFamily="2" charset="-122"/>
              <a:ea typeface="黑体" pitchFamily="2" charset="-122"/>
              <a:cs typeface="+mn-cs"/>
            </a:rPr>
            <a:t>R2.0   103</a:t>
          </a:r>
          <a:r>
            <a:rPr lang="zh-CN" altLang="en-US" sz="850" b="1" u="sng">
              <a:solidFill>
                <a:schemeClr val="accent3">
                  <a:lumMod val="75000"/>
                </a:schemeClr>
              </a:solidFill>
              <a:effectLst/>
              <a:latin typeface="黑体" pitchFamily="2" charset="-122"/>
              <a:ea typeface="黑体" pitchFamily="2" charset="-122"/>
              <a:cs typeface="+mn-cs"/>
            </a:rPr>
            <a:t>万</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亩   </a:t>
          </a:r>
          <a:r>
            <a:rPr lang="en-US" altLang="zh-CN" sz="850" b="1" u="sng">
              <a:solidFill>
                <a:schemeClr val="accent3">
                  <a:lumMod val="75000"/>
                </a:schemeClr>
              </a:solidFill>
              <a:effectLst/>
              <a:latin typeface="黑体" pitchFamily="2" charset="-122"/>
              <a:ea typeface="黑体" pitchFamily="2" charset="-122"/>
              <a:cs typeface="+mn-cs"/>
            </a:rPr>
            <a:t>770</a:t>
          </a:r>
          <a:r>
            <a:rPr lang="zh-CN" altLang="en-US" sz="850" b="1" u="sng">
              <a:solidFill>
                <a:schemeClr val="accent3">
                  <a:lumMod val="75000"/>
                </a:schemeClr>
              </a:solidFill>
              <a:effectLst/>
              <a:latin typeface="黑体" pitchFamily="2" charset="-122"/>
              <a:ea typeface="黑体" pitchFamily="2" charset="-122"/>
              <a:cs typeface="+mn-cs"/>
            </a:rPr>
            <a:t>元</a:t>
          </a:r>
          <a:r>
            <a:rPr lang="en-US" altLang="zh-CN" sz="850" b="1" u="sng">
              <a:solidFill>
                <a:schemeClr val="accent3">
                  <a:lumMod val="75000"/>
                </a:schemeClr>
              </a:solidFill>
              <a:effectLst/>
              <a:latin typeface="黑体" pitchFamily="2" charset="-122"/>
              <a:ea typeface="黑体" pitchFamily="2" charset="-122"/>
              <a:cs typeface="+mn-cs"/>
            </a:rPr>
            <a:t>/</a:t>
          </a:r>
          <a:r>
            <a:rPr lang="zh-CN" altLang="en-US" sz="850" b="1" u="sng">
              <a:solidFill>
                <a:schemeClr val="accent3">
                  <a:lumMod val="75000"/>
                </a:schemeClr>
              </a:solidFill>
              <a:effectLst/>
              <a:latin typeface="黑体" pitchFamily="2" charset="-122"/>
              <a:ea typeface="黑体" pitchFamily="2" charset="-122"/>
              <a:cs typeface="+mn-cs"/>
            </a:rPr>
            <a:t>平方米   溢价率</a:t>
          </a:r>
          <a:r>
            <a:rPr lang="en-US" altLang="zh-CN" sz="850" b="1" u="sng">
              <a:solidFill>
                <a:schemeClr val="accent3">
                  <a:lumMod val="75000"/>
                </a:schemeClr>
              </a:solidFill>
              <a:effectLst/>
              <a:latin typeface="黑体" pitchFamily="2" charset="-122"/>
              <a:ea typeface="黑体" pitchFamily="2" charset="-122"/>
              <a:cs typeface="+mn-cs"/>
            </a:rPr>
            <a:t>0%</a:t>
          </a:r>
        </a:p>
        <a:p>
          <a:r>
            <a:rPr lang="en-US" altLang="zh-CN" sz="850" b="1" u="none">
              <a:solidFill>
                <a:schemeClr val="accent3">
                  <a:lumMod val="75000"/>
                </a:schemeClr>
              </a:solidFill>
              <a:effectLst/>
              <a:latin typeface="黑体" pitchFamily="2" charset="-122"/>
              <a:ea typeface="黑体" pitchFamily="2" charset="-122"/>
              <a:cs typeface="+mn-cs"/>
            </a:rPr>
            <a:t>R3.5   135</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578</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竞买人，建设内容，投资，税收。</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商业局部自持。</a:t>
          </a:r>
        </a:p>
        <a:p>
          <a:r>
            <a:rPr lang="zh-CN" altLang="en-US" sz="850" b="0" u="none">
              <a:solidFill>
                <a:schemeClr val="accent3">
                  <a:lumMod val="75000"/>
                </a:schemeClr>
              </a:solidFill>
              <a:effectLst/>
              <a:latin typeface="黑体" pitchFamily="2" charset="-122"/>
              <a:ea typeface="黑体" pitchFamily="2" charset="-122"/>
              <a:cs typeface="+mn-cs"/>
            </a:rPr>
            <a:t> </a:t>
          </a:r>
        </a:p>
        <a:p>
          <a:r>
            <a:rPr lang="en-US" altLang="zh-CN" sz="850" b="1" u="sng">
              <a:solidFill>
                <a:sysClr val="windowText" lastClr="000000"/>
              </a:solidFill>
              <a:effectLst/>
              <a:latin typeface="黑体" pitchFamily="2" charset="-122"/>
              <a:ea typeface="黑体" pitchFamily="2" charset="-122"/>
              <a:cs typeface="+mn-cs"/>
            </a:rPr>
            <a:t>2019</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2018-66</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2019(TR)-57</a:t>
          </a:r>
        </a:p>
        <a:p>
          <a:r>
            <a:rPr lang="en-US" altLang="zh-CN" sz="850" b="1" u="none">
              <a:solidFill>
                <a:schemeClr val="accent3">
                  <a:lumMod val="75000"/>
                </a:schemeClr>
              </a:solidFill>
              <a:effectLst/>
              <a:latin typeface="黑体" pitchFamily="2" charset="-122"/>
              <a:ea typeface="黑体" pitchFamily="2" charset="-122"/>
              <a:cs typeface="+mn-cs"/>
            </a:rPr>
            <a:t>R2.5   200</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1200</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竞买人，建设内容，投资，税收。</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商业局部自持。</a:t>
          </a:r>
        </a:p>
        <a:p>
          <a:endParaRPr lang="zh-CN" altLang="en-US" sz="850" b="1" u="sng">
            <a:solidFill>
              <a:sysClr val="windowText" lastClr="000000"/>
            </a:solidFill>
            <a:effectLst/>
            <a:latin typeface="黑体" pitchFamily="2" charset="-122"/>
            <a:ea typeface="黑体" pitchFamily="2" charset="-122"/>
            <a:cs typeface="+mn-cs"/>
          </a:endParaRPr>
        </a:p>
        <a:p>
          <a:r>
            <a:rPr lang="en-US" altLang="zh-CN" sz="850" b="1" u="sng">
              <a:solidFill>
                <a:sysClr val="windowText" lastClr="000000"/>
              </a:solidFill>
              <a:effectLst/>
              <a:latin typeface="黑体" pitchFamily="2" charset="-122"/>
              <a:ea typeface="黑体" pitchFamily="2" charset="-122"/>
              <a:cs typeface="+mn-cs"/>
            </a:rPr>
            <a:t>2018</a:t>
          </a:r>
          <a:endParaRPr lang="zh-CN" altLang="en-US"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2">
                  <a:lumMod val="75000"/>
                </a:schemeClr>
              </a:solidFill>
              <a:effectLst/>
              <a:latin typeface="黑体" pitchFamily="2" charset="-122"/>
              <a:ea typeface="黑体" pitchFamily="2" charset="-122"/>
              <a:cs typeface="+mn-cs"/>
            </a:rPr>
            <a:t>2018-67</a:t>
          </a:r>
        </a:p>
        <a:p>
          <a:r>
            <a:rPr lang="en-US" altLang="zh-CN" sz="850" b="1" u="none">
              <a:solidFill>
                <a:schemeClr val="accent2">
                  <a:lumMod val="75000"/>
                </a:schemeClr>
              </a:solidFill>
              <a:effectLst/>
              <a:latin typeface="黑体" pitchFamily="2" charset="-122"/>
              <a:ea typeface="黑体" pitchFamily="2" charset="-122"/>
              <a:cs typeface="+mn-cs"/>
            </a:rPr>
            <a:t>R2.5   200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1200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xdr:txBody>
    </xdr:sp>
    <xdr:clientData/>
  </xdr:twoCellAnchor>
  <xdr:twoCellAnchor>
    <xdr:from>
      <xdr:col>13</xdr:col>
      <xdr:colOff>278489</xdr:colOff>
      <xdr:row>44</xdr:row>
      <xdr:rowOff>118880</xdr:rowOff>
    </xdr:from>
    <xdr:to>
      <xdr:col>22</xdr:col>
      <xdr:colOff>99173</xdr:colOff>
      <xdr:row>55</xdr:row>
      <xdr:rowOff>46186</xdr:rowOff>
    </xdr:to>
    <xdr:grpSp>
      <xdr:nvGrpSpPr>
        <xdr:cNvPr id="27" name="组合 26"/>
        <xdr:cNvGrpSpPr/>
      </xdr:nvGrpSpPr>
      <xdr:grpSpPr>
        <a:xfrm>
          <a:off x="9164754" y="7514762"/>
          <a:ext cx="5972713" cy="1776277"/>
          <a:chOff x="7618342" y="4451074"/>
          <a:chExt cx="5992884" cy="1813257"/>
        </a:xfrm>
      </xdr:grpSpPr>
      <xdr:sp macro="" textlink="">
        <xdr:nvSpPr>
          <xdr:cNvPr id="18" name="线形标注 2 17"/>
          <xdr:cNvSpPr/>
        </xdr:nvSpPr>
        <xdr:spPr>
          <a:xfrm>
            <a:off x="10961768" y="4451074"/>
            <a:ext cx="2649458" cy="1813257"/>
          </a:xfrm>
          <a:prstGeom prst="borderCallout2">
            <a:avLst>
              <a:gd name="adj1" fmla="val 85491"/>
              <a:gd name="adj2" fmla="val -3055"/>
              <a:gd name="adj3" fmla="val 73016"/>
              <a:gd name="adj4" fmla="val -21242"/>
              <a:gd name="adj5" fmla="val 61950"/>
              <a:gd name="adj6" fmla="val -90211"/>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TR</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-3</a:t>
            </a:r>
            <a:r>
              <a:rPr lang="zh-CN" altLang="en-US" sz="850" b="0" u="none">
                <a:solidFill>
                  <a:schemeClr val="accent2">
                    <a:lumMod val="75000"/>
                  </a:schemeClr>
                </a:solidFill>
                <a:effectLst/>
                <a:latin typeface="黑体" pitchFamily="2" charset="-122"/>
                <a:ea typeface="黑体" pitchFamily="2" charset="-122"/>
                <a:cs typeface="+mn-cs"/>
              </a:rPr>
              <a:t>号地块</a:t>
            </a:r>
          </a:p>
          <a:p>
            <a:r>
              <a:rPr lang="en-US" altLang="zh-CN" sz="850" b="1" u="none">
                <a:solidFill>
                  <a:schemeClr val="accent2">
                    <a:lumMod val="75000"/>
                  </a:schemeClr>
                </a:solidFill>
                <a:effectLst/>
                <a:latin typeface="黑体" pitchFamily="2" charset="-122"/>
                <a:ea typeface="黑体" pitchFamily="2" charset="-122"/>
                <a:cs typeface="+mn-cs"/>
              </a:rPr>
              <a:t>R2.6   200</a:t>
            </a:r>
            <a:r>
              <a:rPr lang="zh-CN" altLang="en-US" sz="850" b="1" u="none">
                <a:solidFill>
                  <a:schemeClr val="accent2">
                    <a:lumMod val="75000"/>
                  </a:schemeClr>
                </a:solidFill>
                <a:effectLst/>
                <a:latin typeface="黑体" pitchFamily="2" charset="-122"/>
                <a:ea typeface="黑体" pitchFamily="2" charset="-122"/>
                <a:cs typeface="+mn-cs"/>
              </a:rPr>
              <a:t>万</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1010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平方米   溢价率</a:t>
            </a:r>
            <a:r>
              <a:rPr lang="en-US" altLang="zh-CN" sz="850" b="1" u="none">
                <a:solidFill>
                  <a:schemeClr val="accent2">
                    <a:lumMod val="75000"/>
                  </a:schemeClr>
                </a:solidFill>
                <a:effectLst/>
                <a:latin typeface="黑体" pitchFamily="2" charset="-122"/>
                <a:ea typeface="黑体" pitchFamily="2" charset="-122"/>
                <a:cs typeface="+mn-cs"/>
              </a:rPr>
              <a:t>0%</a:t>
            </a:r>
          </a:p>
          <a:p>
            <a:r>
              <a:rPr lang="zh-CN" altLang="en-US" sz="850" b="0" u="none">
                <a:solidFill>
                  <a:schemeClr val="accent2">
                    <a:lumMod val="75000"/>
                  </a:schemeClr>
                </a:solidFill>
                <a:effectLst/>
                <a:latin typeface="黑体" pitchFamily="2" charset="-122"/>
                <a:ea typeface="黑体" pitchFamily="2" charset="-122"/>
                <a:cs typeface="+mn-cs"/>
              </a:rPr>
              <a:t>要求：</a:t>
            </a:r>
          </a:p>
          <a:p>
            <a:r>
              <a:rPr lang="en-US" altLang="zh-CN" sz="850" b="0" u="none">
                <a:solidFill>
                  <a:schemeClr val="accent2">
                    <a:lumMod val="75000"/>
                  </a:schemeClr>
                </a:solidFill>
                <a:effectLst/>
                <a:latin typeface="黑体" pitchFamily="2" charset="-122"/>
                <a:ea typeface="黑体" pitchFamily="2" charset="-122"/>
                <a:cs typeface="+mn-cs"/>
              </a:rPr>
              <a:t>1.</a:t>
            </a:r>
            <a:r>
              <a:rPr lang="zh-CN" altLang="en-US" sz="850" b="0" u="none">
                <a:solidFill>
                  <a:schemeClr val="accent2">
                    <a:lumMod val="75000"/>
                  </a:schemeClr>
                </a:solidFill>
                <a:effectLst/>
                <a:latin typeface="黑体" pitchFamily="2" charset="-122"/>
                <a:ea typeface="黑体" pitchFamily="2" charset="-122"/>
                <a:cs typeface="+mn-cs"/>
              </a:rPr>
              <a:t>商业占比</a:t>
            </a:r>
            <a:r>
              <a:rPr lang="en-US" altLang="zh-CN" sz="850" b="0" u="none">
                <a:solidFill>
                  <a:schemeClr val="accent2">
                    <a:lumMod val="75000"/>
                  </a:schemeClr>
                </a:solidFill>
                <a:effectLst/>
                <a:latin typeface="黑体" pitchFamily="2" charset="-122"/>
                <a:ea typeface="黑体" pitchFamily="2" charset="-122"/>
                <a:cs typeface="+mn-cs"/>
              </a:rPr>
              <a:t>40%</a:t>
            </a:r>
          </a:p>
          <a:p>
            <a:r>
              <a:rPr lang="en-US" altLang="zh-CN" sz="850" b="0" u="none">
                <a:solidFill>
                  <a:schemeClr val="accent2">
                    <a:lumMod val="75000"/>
                  </a:schemeClr>
                </a:solidFill>
                <a:effectLst/>
                <a:latin typeface="黑体" pitchFamily="2" charset="-122"/>
                <a:ea typeface="黑体" pitchFamily="2" charset="-122"/>
                <a:cs typeface="+mn-cs"/>
              </a:rPr>
              <a:t>2.</a:t>
            </a:r>
            <a:r>
              <a:rPr lang="zh-CN" altLang="en-US" sz="850" b="0" u="none">
                <a:solidFill>
                  <a:schemeClr val="accent2">
                    <a:lumMod val="75000"/>
                  </a:schemeClr>
                </a:solidFill>
                <a:effectLst/>
                <a:latin typeface="黑体" pitchFamily="2" charset="-122"/>
                <a:ea typeface="黑体" pitchFamily="2" charset="-122"/>
                <a:cs typeface="+mn-cs"/>
              </a:rPr>
              <a:t>产业要求、税收要求、商业局部自持</a:t>
            </a:r>
          </a:p>
          <a:p>
            <a:endParaRPr lang="en-US" altLang="zh-CN" sz="850" b="1" u="sng">
              <a:solidFill>
                <a:sysClr val="windowText" lastClr="000000"/>
              </a:solidFill>
              <a:effectLst/>
              <a:latin typeface="黑体" pitchFamily="2" charset="-122"/>
              <a:ea typeface="黑体" pitchFamily="2" charset="-122"/>
              <a:cs typeface="+mn-cs"/>
            </a:endParaRPr>
          </a:p>
          <a:p>
            <a:r>
              <a:rPr lang="en-US" altLang="zh-CN" sz="850" b="0" u="none">
                <a:solidFill>
                  <a:schemeClr val="accent3">
                    <a:lumMod val="75000"/>
                  </a:schemeClr>
                </a:solidFill>
                <a:effectLst/>
                <a:latin typeface="黑体" pitchFamily="2" charset="-122"/>
                <a:ea typeface="黑体" pitchFamily="2" charset="-122"/>
                <a:cs typeface="+mn-cs"/>
              </a:rPr>
              <a:t>2019</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TR</a:t>
            </a:r>
            <a:r>
              <a:rPr lang="zh-CN" altLang="en-US" sz="850" b="0" u="none">
                <a:solidFill>
                  <a:schemeClr val="accent3">
                    <a:lumMod val="75000"/>
                  </a:schemeClr>
                </a:solidFill>
                <a:effectLst/>
                <a:latin typeface="黑体" pitchFamily="2" charset="-122"/>
                <a:ea typeface="黑体" pitchFamily="2" charset="-122"/>
                <a:cs typeface="+mn-cs"/>
              </a:rPr>
              <a:t>）</a:t>
            </a:r>
            <a:r>
              <a:rPr lang="en-US" altLang="zh-CN" sz="850" b="0" u="none">
                <a:solidFill>
                  <a:schemeClr val="accent3">
                    <a:lumMod val="75000"/>
                  </a:schemeClr>
                </a:solidFill>
                <a:effectLst/>
                <a:latin typeface="黑体" pitchFamily="2" charset="-122"/>
                <a:ea typeface="黑体" pitchFamily="2" charset="-122"/>
                <a:cs typeface="+mn-cs"/>
              </a:rPr>
              <a:t>-4</a:t>
            </a:r>
            <a:r>
              <a:rPr lang="zh-CN" altLang="en-US" sz="850" b="0" u="none">
                <a:solidFill>
                  <a:schemeClr val="accent3">
                    <a:lumMod val="75000"/>
                  </a:schemeClr>
                </a:solidFill>
                <a:effectLst/>
                <a:latin typeface="黑体" pitchFamily="2" charset="-122"/>
                <a:ea typeface="黑体" pitchFamily="2" charset="-122"/>
                <a:cs typeface="+mn-cs"/>
              </a:rPr>
              <a:t>号地块</a:t>
            </a:r>
          </a:p>
          <a:p>
            <a:r>
              <a:rPr lang="en-US" altLang="zh-CN" sz="850" b="1" u="none">
                <a:solidFill>
                  <a:schemeClr val="accent3">
                    <a:lumMod val="75000"/>
                  </a:schemeClr>
                </a:solidFill>
                <a:effectLst/>
                <a:latin typeface="黑体" pitchFamily="2" charset="-122"/>
                <a:ea typeface="黑体" pitchFamily="2" charset="-122"/>
                <a:cs typeface="+mn-cs"/>
              </a:rPr>
              <a:t>R3.0   200</a:t>
            </a:r>
            <a:r>
              <a:rPr lang="zh-CN" altLang="en-US" sz="850" b="1" u="none">
                <a:solidFill>
                  <a:schemeClr val="accent3">
                    <a:lumMod val="75000"/>
                  </a:schemeClr>
                </a:solidFill>
                <a:effectLst/>
                <a:latin typeface="黑体" pitchFamily="2" charset="-122"/>
                <a:ea typeface="黑体" pitchFamily="2" charset="-122"/>
                <a:cs typeface="+mn-cs"/>
              </a:rPr>
              <a:t>万</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亩   </a:t>
            </a:r>
            <a:r>
              <a:rPr lang="en-US" altLang="zh-CN" sz="850" b="1" u="none">
                <a:solidFill>
                  <a:schemeClr val="accent3">
                    <a:lumMod val="75000"/>
                  </a:schemeClr>
                </a:solidFill>
                <a:effectLst/>
                <a:latin typeface="黑体" pitchFamily="2" charset="-122"/>
                <a:ea typeface="黑体" pitchFamily="2" charset="-122"/>
                <a:cs typeface="+mn-cs"/>
              </a:rPr>
              <a:t>1150</a:t>
            </a:r>
            <a:r>
              <a:rPr lang="zh-CN" altLang="en-US" sz="850" b="1" u="none">
                <a:solidFill>
                  <a:schemeClr val="accent3">
                    <a:lumMod val="75000"/>
                  </a:schemeClr>
                </a:solidFill>
                <a:effectLst/>
                <a:latin typeface="黑体" pitchFamily="2" charset="-122"/>
                <a:ea typeface="黑体" pitchFamily="2" charset="-122"/>
                <a:cs typeface="+mn-cs"/>
              </a:rPr>
              <a:t>元</a:t>
            </a:r>
            <a:r>
              <a:rPr lang="en-US" altLang="zh-CN" sz="850" b="1" u="none">
                <a:solidFill>
                  <a:schemeClr val="accent3">
                    <a:lumMod val="75000"/>
                  </a:schemeClr>
                </a:solidFill>
                <a:effectLst/>
                <a:latin typeface="黑体" pitchFamily="2" charset="-122"/>
                <a:ea typeface="黑体" pitchFamily="2" charset="-122"/>
                <a:cs typeface="+mn-cs"/>
              </a:rPr>
              <a:t>/</a:t>
            </a:r>
            <a:r>
              <a:rPr lang="zh-CN" altLang="en-US" sz="850" b="1" u="none">
                <a:solidFill>
                  <a:schemeClr val="accent3">
                    <a:lumMod val="75000"/>
                  </a:schemeClr>
                </a:solidFill>
                <a:effectLst/>
                <a:latin typeface="黑体" pitchFamily="2" charset="-122"/>
                <a:ea typeface="黑体" pitchFamily="2" charset="-122"/>
                <a:cs typeface="+mn-cs"/>
              </a:rPr>
              <a:t>平方米   溢价率</a:t>
            </a:r>
            <a:r>
              <a:rPr lang="en-US" altLang="zh-CN" sz="850" b="1" u="none">
                <a:solidFill>
                  <a:schemeClr val="accent3">
                    <a:lumMod val="75000"/>
                  </a:schemeClr>
                </a:solidFill>
                <a:effectLst/>
                <a:latin typeface="黑体" pitchFamily="2" charset="-122"/>
                <a:ea typeface="黑体" pitchFamily="2" charset="-122"/>
                <a:cs typeface="+mn-cs"/>
              </a:rPr>
              <a:t>0%</a:t>
            </a:r>
          </a:p>
          <a:p>
            <a:r>
              <a:rPr lang="zh-CN" altLang="en-US" sz="850" b="0" u="none">
                <a:solidFill>
                  <a:schemeClr val="accent3">
                    <a:lumMod val="75000"/>
                  </a:schemeClr>
                </a:solidFill>
                <a:effectLst/>
                <a:latin typeface="黑体" pitchFamily="2" charset="-122"/>
                <a:ea typeface="黑体" pitchFamily="2" charset="-122"/>
                <a:cs typeface="+mn-cs"/>
              </a:rPr>
              <a:t>要求：</a:t>
            </a:r>
          </a:p>
          <a:p>
            <a:r>
              <a:rPr lang="en-US" altLang="zh-CN" sz="850" b="0" u="none">
                <a:solidFill>
                  <a:schemeClr val="accent3">
                    <a:lumMod val="75000"/>
                  </a:schemeClr>
                </a:solidFill>
                <a:effectLst/>
                <a:latin typeface="黑体" pitchFamily="2" charset="-122"/>
                <a:ea typeface="黑体" pitchFamily="2" charset="-122"/>
                <a:cs typeface="+mn-cs"/>
              </a:rPr>
              <a:t>1.</a:t>
            </a:r>
            <a:r>
              <a:rPr lang="zh-CN" altLang="en-US" sz="850" b="0" u="none">
                <a:solidFill>
                  <a:schemeClr val="accent3">
                    <a:lumMod val="75000"/>
                  </a:schemeClr>
                </a:solidFill>
                <a:effectLst/>
                <a:latin typeface="黑体" pitchFamily="2" charset="-122"/>
                <a:ea typeface="黑体" pitchFamily="2" charset="-122"/>
                <a:cs typeface="+mn-cs"/>
              </a:rPr>
              <a:t>住宅占比</a:t>
            </a:r>
            <a:r>
              <a:rPr lang="en-US" altLang="zh-CN" sz="850" b="0" u="none">
                <a:solidFill>
                  <a:schemeClr val="accent3">
                    <a:lumMod val="75000"/>
                  </a:schemeClr>
                </a:solidFill>
                <a:effectLst/>
                <a:latin typeface="黑体" pitchFamily="2" charset="-122"/>
                <a:ea typeface="黑体" pitchFamily="2" charset="-122"/>
                <a:cs typeface="+mn-cs"/>
              </a:rPr>
              <a:t>35%</a:t>
            </a:r>
          </a:p>
          <a:p>
            <a:r>
              <a:rPr lang="en-US" altLang="zh-CN" sz="850" b="0" u="none">
                <a:solidFill>
                  <a:schemeClr val="accent3">
                    <a:lumMod val="75000"/>
                  </a:schemeClr>
                </a:solidFill>
                <a:effectLst/>
                <a:latin typeface="黑体" pitchFamily="2" charset="-122"/>
                <a:ea typeface="黑体" pitchFamily="2" charset="-122"/>
                <a:cs typeface="+mn-cs"/>
              </a:rPr>
              <a:t>2.</a:t>
            </a:r>
            <a:r>
              <a:rPr lang="zh-CN" altLang="en-US" sz="850" b="0" u="none">
                <a:solidFill>
                  <a:schemeClr val="accent3">
                    <a:lumMod val="75000"/>
                  </a:schemeClr>
                </a:solidFill>
                <a:effectLst/>
                <a:latin typeface="黑体" pitchFamily="2" charset="-122"/>
                <a:ea typeface="黑体" pitchFamily="2" charset="-122"/>
                <a:cs typeface="+mn-cs"/>
              </a:rPr>
              <a:t>产业要求、税收要求、商业局部自持</a:t>
            </a:r>
          </a:p>
        </xdr:txBody>
      </xdr:sp>
      <xdr:sp macro="" textlink="">
        <xdr:nvSpPr>
          <xdr:cNvPr id="19" name="椭圆 18"/>
          <xdr:cNvSpPr/>
        </xdr:nvSpPr>
        <xdr:spPr>
          <a:xfrm>
            <a:off x="8459564" y="5508812"/>
            <a:ext cx="123265" cy="129111"/>
          </a:xfrm>
          <a:prstGeom prst="ellips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sp macro="" textlink="">
        <xdr:nvSpPr>
          <xdr:cNvPr id="21" name="TextBox 20"/>
          <xdr:cNvSpPr txBox="1"/>
        </xdr:nvSpPr>
        <xdr:spPr>
          <a:xfrm>
            <a:off x="7618342" y="5627205"/>
            <a:ext cx="1166191" cy="2932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900" b="1"/>
              <a:t>袍商朗诗天府绿郡</a:t>
            </a:r>
          </a:p>
        </xdr:txBody>
      </xdr:sp>
    </xdr:grpSp>
    <xdr:clientData/>
  </xdr:twoCellAnchor>
  <xdr:twoCellAnchor>
    <xdr:from>
      <xdr:col>10</xdr:col>
      <xdr:colOff>237177</xdr:colOff>
      <xdr:row>64</xdr:row>
      <xdr:rowOff>122556</xdr:rowOff>
    </xdr:from>
    <xdr:to>
      <xdr:col>14</xdr:col>
      <xdr:colOff>150296</xdr:colOff>
      <xdr:row>68</xdr:row>
      <xdr:rowOff>160341</xdr:rowOff>
    </xdr:to>
    <xdr:sp macro="" textlink="">
      <xdr:nvSpPr>
        <xdr:cNvPr id="22" name="线形标注 2 21"/>
        <xdr:cNvSpPr/>
      </xdr:nvSpPr>
      <xdr:spPr>
        <a:xfrm>
          <a:off x="7095177" y="11095356"/>
          <a:ext cx="2656319" cy="723585"/>
        </a:xfrm>
        <a:prstGeom prst="borderCallout2">
          <a:avLst>
            <a:gd name="adj1" fmla="val -11168"/>
            <a:gd name="adj2" fmla="val 78995"/>
            <a:gd name="adj3" fmla="val -38312"/>
            <a:gd name="adj4" fmla="val 73700"/>
            <a:gd name="adj5" fmla="val -60539"/>
            <a:gd name="adj6" fmla="val 71888"/>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2019(TR</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-34</a:t>
          </a:r>
        </a:p>
        <a:p>
          <a:r>
            <a:rPr lang="en-US" altLang="zh-CN" sz="850" b="1" u="none">
              <a:solidFill>
                <a:schemeClr val="accent2">
                  <a:lumMod val="75000"/>
                </a:schemeClr>
              </a:solidFill>
              <a:effectLst/>
              <a:latin typeface="黑体" pitchFamily="2" charset="-122"/>
              <a:ea typeface="黑体" pitchFamily="2" charset="-122"/>
              <a:cs typeface="+mn-cs"/>
            </a:rPr>
            <a:t>R1.5    490</a:t>
          </a:r>
          <a:r>
            <a:rPr lang="zh-CN" altLang="en-US" sz="850" b="1" u="none">
              <a:solidFill>
                <a:schemeClr val="accent2">
                  <a:lumMod val="75000"/>
                </a:schemeClr>
              </a:solidFill>
              <a:effectLst/>
              <a:latin typeface="黑体" pitchFamily="2" charset="-122"/>
              <a:ea typeface="黑体" pitchFamily="2" charset="-122"/>
              <a:cs typeface="+mn-cs"/>
            </a:rPr>
            <a:t>万元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4900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   </a:t>
          </a:r>
          <a:r>
            <a:rPr lang="zh-CN" altLang="en-US" sz="850" b="1" u="none">
              <a:solidFill>
                <a:schemeClr val="accent2">
                  <a:lumMod val="75000"/>
                </a:schemeClr>
              </a:solidFill>
              <a:effectLst/>
              <a:latin typeface="黑体" pitchFamily="2" charset="-122"/>
              <a:ea typeface="黑体" pitchFamily="2" charset="-122"/>
              <a:cs typeface="+mn-cs"/>
            </a:rPr>
            <a:t>溢价率 </a:t>
          </a:r>
          <a:r>
            <a:rPr lang="en-US" altLang="zh-CN" sz="850" b="1" u="none">
              <a:solidFill>
                <a:schemeClr val="accent2">
                  <a:lumMod val="75000"/>
                </a:schemeClr>
              </a:solidFill>
              <a:effectLst/>
              <a:latin typeface="黑体" pitchFamily="2" charset="-122"/>
              <a:ea typeface="黑体" pitchFamily="2" charset="-122"/>
              <a:cs typeface="+mn-cs"/>
            </a:rPr>
            <a:t>22%</a:t>
          </a:r>
        </a:p>
        <a:p>
          <a:r>
            <a:rPr lang="zh-CN" altLang="en-US" sz="850" b="0" u="none">
              <a:solidFill>
                <a:schemeClr val="accent2">
                  <a:lumMod val="75000"/>
                </a:schemeClr>
              </a:solidFill>
              <a:effectLst/>
              <a:latin typeface="黑体" pitchFamily="2" charset="-122"/>
              <a:ea typeface="黑体" pitchFamily="2" charset="-122"/>
              <a:cs typeface="+mn-cs"/>
            </a:rPr>
            <a:t>要求：无</a:t>
          </a:r>
        </a:p>
      </xdr:txBody>
    </xdr:sp>
    <xdr:clientData/>
  </xdr:twoCellAnchor>
  <xdr:twoCellAnchor>
    <xdr:from>
      <xdr:col>9</xdr:col>
      <xdr:colOff>620806</xdr:colOff>
      <xdr:row>53</xdr:row>
      <xdr:rowOff>84457</xdr:rowOff>
    </xdr:from>
    <xdr:to>
      <xdr:col>12</xdr:col>
      <xdr:colOff>683695</xdr:colOff>
      <xdr:row>57</xdr:row>
      <xdr:rowOff>118880</xdr:rowOff>
    </xdr:to>
    <xdr:sp macro="" textlink="">
      <xdr:nvSpPr>
        <xdr:cNvPr id="29" name="线形标注 2 28"/>
        <xdr:cNvSpPr/>
      </xdr:nvSpPr>
      <xdr:spPr>
        <a:xfrm>
          <a:off x="6793006" y="9171307"/>
          <a:ext cx="2120289" cy="720223"/>
        </a:xfrm>
        <a:prstGeom prst="borderCallout2">
          <a:avLst>
            <a:gd name="adj1" fmla="val 89342"/>
            <a:gd name="adj2" fmla="val 104791"/>
            <a:gd name="adj3" fmla="val 91233"/>
            <a:gd name="adj4" fmla="val 108457"/>
            <a:gd name="adj5" fmla="val 95388"/>
            <a:gd name="adj6" fmla="val 111658"/>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850" b="1" u="sng">
              <a:solidFill>
                <a:sysClr val="windowText" lastClr="000000"/>
              </a:solidFill>
              <a:effectLst/>
              <a:latin typeface="黑体" pitchFamily="2" charset="-122"/>
              <a:ea typeface="黑体" pitchFamily="2" charset="-122"/>
              <a:cs typeface="+mn-cs"/>
            </a:rPr>
            <a:t>2018</a:t>
          </a:r>
        </a:p>
        <a:p>
          <a:r>
            <a:rPr lang="en-US" altLang="zh-CN" sz="850" b="0" u="none">
              <a:solidFill>
                <a:schemeClr val="accent2">
                  <a:lumMod val="75000"/>
                </a:schemeClr>
              </a:solidFill>
              <a:effectLst/>
              <a:latin typeface="黑体" pitchFamily="2" charset="-122"/>
              <a:ea typeface="黑体" pitchFamily="2" charset="-122"/>
              <a:cs typeface="+mn-cs"/>
            </a:rPr>
            <a:t>2018-56</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57</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58</a:t>
          </a:r>
        </a:p>
        <a:p>
          <a:r>
            <a:rPr lang="en-US" altLang="zh-CN" sz="850" b="1" u="none">
              <a:solidFill>
                <a:schemeClr val="accent2">
                  <a:lumMod val="75000"/>
                </a:schemeClr>
              </a:solidFill>
              <a:effectLst/>
              <a:latin typeface="黑体" pitchFamily="2" charset="-122"/>
              <a:ea typeface="黑体" pitchFamily="2" charset="-122"/>
              <a:cs typeface="+mn-cs"/>
            </a:rPr>
            <a:t>R1.5    450.55</a:t>
          </a:r>
          <a:r>
            <a:rPr lang="zh-CN" altLang="en-US" sz="850" b="1" u="none">
              <a:solidFill>
                <a:schemeClr val="accent2">
                  <a:lumMod val="75000"/>
                </a:schemeClr>
              </a:solidFill>
              <a:effectLst/>
              <a:latin typeface="黑体" pitchFamily="2" charset="-122"/>
              <a:ea typeface="黑体" pitchFamily="2" charset="-122"/>
              <a:cs typeface="+mn-cs"/>
            </a:rPr>
            <a:t>万元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4500</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 </a:t>
          </a:r>
        </a:p>
        <a:p>
          <a:r>
            <a:rPr lang="zh-CN" altLang="en-US" sz="850" b="0" u="none">
              <a:solidFill>
                <a:schemeClr val="accent2">
                  <a:lumMod val="75000"/>
                </a:schemeClr>
              </a:solidFill>
              <a:effectLst/>
              <a:latin typeface="黑体" pitchFamily="2" charset="-122"/>
              <a:ea typeface="黑体" pitchFamily="2" charset="-122"/>
              <a:cs typeface="+mn-cs"/>
            </a:rPr>
            <a:t>要求：无</a:t>
          </a:r>
        </a:p>
      </xdr:txBody>
    </xdr:sp>
    <xdr:clientData/>
  </xdr:twoCellAnchor>
  <xdr:twoCellAnchor>
    <xdr:from>
      <xdr:col>17</xdr:col>
      <xdr:colOff>667187</xdr:colOff>
      <xdr:row>37</xdr:row>
      <xdr:rowOff>36053</xdr:rowOff>
    </xdr:from>
    <xdr:to>
      <xdr:col>22</xdr:col>
      <xdr:colOff>193</xdr:colOff>
      <xdr:row>43</xdr:row>
      <xdr:rowOff>17416</xdr:rowOff>
    </xdr:to>
    <xdr:sp macro="" textlink="">
      <xdr:nvSpPr>
        <xdr:cNvPr id="30" name="线形标注 2 29"/>
        <xdr:cNvSpPr/>
      </xdr:nvSpPr>
      <xdr:spPr>
        <a:xfrm>
          <a:off x="12287687" y="6255318"/>
          <a:ext cx="2750800" cy="989892"/>
        </a:xfrm>
        <a:prstGeom prst="borderCallout2">
          <a:avLst>
            <a:gd name="adj1" fmla="val 102058"/>
            <a:gd name="adj2" fmla="val 38562"/>
            <a:gd name="adj3" fmla="val 112415"/>
            <a:gd name="adj4" fmla="val 12712"/>
            <a:gd name="adj5" fmla="val 141056"/>
            <a:gd name="adj6" fmla="val -60553"/>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en-US" sz="850" b="1" u="sng">
              <a:solidFill>
                <a:sysClr val="windowText" lastClr="000000"/>
              </a:solidFill>
              <a:effectLst/>
              <a:latin typeface="黑体" pitchFamily="2" charset="-122"/>
              <a:ea typeface="黑体" pitchFamily="2" charset="-122"/>
              <a:cs typeface="+mn-cs"/>
            </a:rPr>
            <a:t>聚亿</a:t>
          </a:r>
          <a:r>
            <a:rPr lang="en-US" altLang="zh-CN" sz="850" b="1" u="sng">
              <a:solidFill>
                <a:sysClr val="windowText" lastClr="000000"/>
              </a:solidFill>
              <a:effectLst/>
              <a:latin typeface="黑体" pitchFamily="2" charset="-122"/>
              <a:ea typeface="黑体" pitchFamily="2" charset="-122"/>
              <a:cs typeface="+mn-cs"/>
            </a:rPr>
            <a:t>·</a:t>
          </a:r>
          <a:r>
            <a:rPr lang="zh-CN" altLang="en-US" sz="850" b="1" u="sng">
              <a:solidFill>
                <a:sysClr val="windowText" lastClr="000000"/>
              </a:solidFill>
              <a:effectLst/>
              <a:latin typeface="黑体" pitchFamily="2" charset="-122"/>
              <a:ea typeface="黑体" pitchFamily="2" charset="-122"/>
              <a:cs typeface="+mn-cs"/>
            </a:rPr>
            <a:t>天府锦城</a:t>
          </a:r>
        </a:p>
        <a:p>
          <a:r>
            <a:rPr lang="en-US" altLang="zh-CN" sz="850" b="1" u="sng">
              <a:solidFill>
                <a:sysClr val="windowText" lastClr="000000"/>
              </a:solidFill>
              <a:effectLst/>
              <a:latin typeface="黑体" pitchFamily="2" charset="-122"/>
              <a:ea typeface="黑体" pitchFamily="2" charset="-122"/>
              <a:cs typeface="+mn-cs"/>
            </a:rPr>
            <a:t>2020</a:t>
          </a:r>
        </a:p>
        <a:p>
          <a:r>
            <a:rPr lang="en-US" altLang="zh-CN" sz="850" b="0" u="none">
              <a:solidFill>
                <a:schemeClr val="accent2">
                  <a:lumMod val="75000"/>
                </a:schemeClr>
              </a:solidFill>
              <a:effectLst/>
              <a:latin typeface="黑体" pitchFamily="2" charset="-122"/>
              <a:ea typeface="黑体" pitchFamily="2" charset="-122"/>
              <a:cs typeface="+mn-cs"/>
            </a:rPr>
            <a:t>2019(TR)-99</a:t>
          </a:r>
        </a:p>
        <a:p>
          <a:r>
            <a:rPr lang="en-US" altLang="zh-CN" sz="850" b="0" u="none">
              <a:solidFill>
                <a:schemeClr val="accent2">
                  <a:lumMod val="75000"/>
                </a:schemeClr>
              </a:solidFill>
              <a:effectLst/>
              <a:latin typeface="黑体" pitchFamily="2" charset="-122"/>
              <a:ea typeface="黑体" pitchFamily="2" charset="-122"/>
              <a:cs typeface="+mn-cs"/>
            </a:rPr>
            <a:t>R2.5  492.37</a:t>
          </a:r>
          <a:r>
            <a:rPr lang="zh-CN" altLang="en-US" sz="850" b="0" u="none">
              <a:solidFill>
                <a:schemeClr val="accent2">
                  <a:lumMod val="75000"/>
                </a:schemeClr>
              </a:solidFill>
              <a:effectLst/>
              <a:latin typeface="黑体" pitchFamily="2" charset="-122"/>
              <a:ea typeface="黑体" pitchFamily="2" charset="-122"/>
              <a:cs typeface="+mn-cs"/>
            </a:rPr>
            <a:t>万元</a:t>
          </a:r>
          <a:r>
            <a:rPr lang="en-US" altLang="zh-CN" sz="850" b="0" u="none">
              <a:solidFill>
                <a:schemeClr val="accent2">
                  <a:lumMod val="75000"/>
                </a:schemeClr>
              </a:solidFill>
              <a:effectLst/>
              <a:latin typeface="黑体" pitchFamily="2" charset="-122"/>
              <a:ea typeface="黑体" pitchFamily="2" charset="-122"/>
              <a:cs typeface="+mn-cs"/>
            </a:rPr>
            <a:t>/</a:t>
          </a:r>
          <a:r>
            <a:rPr lang="zh-CN" altLang="en-US" sz="850" b="0" u="none">
              <a:solidFill>
                <a:schemeClr val="accent2">
                  <a:lumMod val="75000"/>
                </a:schemeClr>
              </a:solidFill>
              <a:effectLst/>
              <a:latin typeface="黑体" pitchFamily="2" charset="-122"/>
              <a:ea typeface="黑体" pitchFamily="2" charset="-122"/>
              <a:cs typeface="+mn-cs"/>
            </a:rPr>
            <a:t>亩  </a:t>
          </a:r>
          <a:r>
            <a:rPr lang="en-US" altLang="zh-CN" sz="850" b="0" u="none">
              <a:solidFill>
                <a:schemeClr val="accent2">
                  <a:lumMod val="75000"/>
                </a:schemeClr>
              </a:solidFill>
              <a:effectLst/>
              <a:latin typeface="黑体" pitchFamily="2" charset="-122"/>
              <a:ea typeface="黑体" pitchFamily="2" charset="-122"/>
              <a:cs typeface="+mn-cs"/>
            </a:rPr>
            <a:t>2954.22</a:t>
          </a:r>
          <a:r>
            <a:rPr lang="zh-CN" altLang="en-US" sz="850" b="0" u="none">
              <a:solidFill>
                <a:schemeClr val="accent2">
                  <a:lumMod val="75000"/>
                </a:schemeClr>
              </a:solidFill>
              <a:effectLst/>
              <a:latin typeface="黑体" pitchFamily="2" charset="-122"/>
              <a:ea typeface="黑体" pitchFamily="2" charset="-122"/>
              <a:cs typeface="+mn-cs"/>
            </a:rPr>
            <a:t>元</a:t>
          </a:r>
          <a:r>
            <a:rPr lang="en-US" altLang="zh-CN" sz="850" b="0" u="none">
              <a:solidFill>
                <a:schemeClr val="accent2">
                  <a:lumMod val="75000"/>
                </a:schemeClr>
              </a:solidFill>
              <a:effectLst/>
              <a:latin typeface="黑体" pitchFamily="2" charset="-122"/>
              <a:ea typeface="黑体" pitchFamily="2" charset="-122"/>
              <a:cs typeface="+mn-cs"/>
            </a:rPr>
            <a:t>/㎡      </a:t>
          </a:r>
        </a:p>
        <a:p>
          <a:r>
            <a:rPr lang="zh-CN" altLang="en-US" sz="850" b="0" u="none">
              <a:solidFill>
                <a:schemeClr val="accent2">
                  <a:lumMod val="75000"/>
                </a:schemeClr>
              </a:solidFill>
              <a:effectLst/>
              <a:latin typeface="黑体" pitchFamily="2" charset="-122"/>
              <a:ea typeface="黑体" pitchFamily="2" charset="-122"/>
              <a:cs typeface="+mn-cs"/>
            </a:rPr>
            <a:t>要求：配建幼儿园、邻里中心，安置房占住宅</a:t>
          </a:r>
          <a:r>
            <a:rPr lang="en-US" altLang="zh-CN" sz="850" b="0" u="none">
              <a:solidFill>
                <a:schemeClr val="accent2">
                  <a:lumMod val="75000"/>
                </a:schemeClr>
              </a:solidFill>
              <a:effectLst/>
              <a:latin typeface="黑体" pitchFamily="2" charset="-122"/>
              <a:ea typeface="黑体" pitchFamily="2" charset="-122"/>
              <a:cs typeface="+mn-cs"/>
            </a:rPr>
            <a:t>40%</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4000</a:t>
          </a:r>
          <a:r>
            <a:rPr lang="zh-CN" altLang="en-US" sz="850" b="0" u="none">
              <a:solidFill>
                <a:schemeClr val="accent2">
                  <a:lumMod val="75000"/>
                </a:schemeClr>
              </a:solidFill>
              <a:effectLst/>
              <a:latin typeface="黑体" pitchFamily="2" charset="-122"/>
              <a:ea typeface="黑体" pitchFamily="2" charset="-122"/>
              <a:cs typeface="+mn-cs"/>
            </a:rPr>
            <a:t>元回购，捐建道路</a:t>
          </a:r>
          <a:r>
            <a:rPr lang="en-US" altLang="zh-CN" sz="850" b="0" u="none">
              <a:solidFill>
                <a:schemeClr val="accent2">
                  <a:lumMod val="75000"/>
                </a:schemeClr>
              </a:solidFill>
              <a:effectLst/>
              <a:latin typeface="黑体" pitchFamily="2" charset="-122"/>
              <a:ea typeface="黑体" pitchFamily="2" charset="-122"/>
              <a:cs typeface="+mn-cs"/>
            </a:rPr>
            <a:t>23132</a:t>
          </a:r>
          <a:r>
            <a:rPr lang="zh-CN" altLang="en-US" sz="850" b="0" u="none">
              <a:solidFill>
                <a:schemeClr val="accent2">
                  <a:lumMod val="75000"/>
                </a:schemeClr>
              </a:solidFill>
              <a:effectLst/>
              <a:latin typeface="黑体" pitchFamily="2" charset="-122"/>
              <a:ea typeface="黑体" pitchFamily="2" charset="-122"/>
              <a:cs typeface="+mn-cs"/>
            </a:rPr>
            <a:t>平方</a:t>
          </a:r>
        </a:p>
      </xdr:txBody>
    </xdr:sp>
    <xdr:clientData/>
  </xdr:twoCellAnchor>
  <xdr:twoCellAnchor>
    <xdr:from>
      <xdr:col>9</xdr:col>
      <xdr:colOff>161193</xdr:colOff>
      <xdr:row>47</xdr:row>
      <xdr:rowOff>10991</xdr:rowOff>
    </xdr:from>
    <xdr:to>
      <xdr:col>13</xdr:col>
      <xdr:colOff>177758</xdr:colOff>
      <xdr:row>52</xdr:row>
      <xdr:rowOff>0</xdr:rowOff>
    </xdr:to>
    <xdr:sp macro="" textlink="">
      <xdr:nvSpPr>
        <xdr:cNvPr id="31" name="线形标注 2 30"/>
        <xdr:cNvSpPr/>
      </xdr:nvSpPr>
      <xdr:spPr>
        <a:xfrm>
          <a:off x="6333393" y="8069141"/>
          <a:ext cx="2759765" cy="846259"/>
        </a:xfrm>
        <a:prstGeom prst="borderCallout2">
          <a:avLst>
            <a:gd name="adj1" fmla="val -8222"/>
            <a:gd name="adj2" fmla="val 54021"/>
            <a:gd name="adj3" fmla="val -26800"/>
            <a:gd name="adj4" fmla="val 53373"/>
            <a:gd name="adj5" fmla="val -45258"/>
            <a:gd name="adj6" fmla="val 55821"/>
          </a:avLst>
        </a:prstGeom>
        <a:solidFill>
          <a:schemeClr val="bg1"/>
        </a:solidFill>
        <a:ln>
          <a:solidFill>
            <a:schemeClr val="tx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zh-CN" altLang="en-US" sz="850" b="1" u="sng">
              <a:solidFill>
                <a:sysClr val="windowText" lastClr="000000"/>
              </a:solidFill>
              <a:effectLst/>
              <a:latin typeface="黑体" pitchFamily="2" charset="-122"/>
              <a:ea typeface="黑体" pitchFamily="2" charset="-122"/>
              <a:cs typeface="+mn-cs"/>
            </a:rPr>
            <a:t>恒邦天府未来城</a:t>
          </a:r>
        </a:p>
        <a:p>
          <a:r>
            <a:rPr lang="en-US" altLang="zh-CN" sz="850" b="1" u="sng">
              <a:solidFill>
                <a:sysClr val="windowText" lastClr="000000"/>
              </a:solidFill>
              <a:effectLst/>
              <a:latin typeface="黑体" pitchFamily="2" charset="-122"/>
              <a:ea typeface="黑体" pitchFamily="2" charset="-122"/>
              <a:cs typeface="+mn-cs"/>
            </a:rPr>
            <a:t>2019</a:t>
          </a:r>
        </a:p>
        <a:p>
          <a:r>
            <a:rPr lang="en-US" altLang="zh-CN" sz="850" b="0" u="none">
              <a:solidFill>
                <a:schemeClr val="accent2">
                  <a:lumMod val="75000"/>
                </a:schemeClr>
              </a:solidFill>
              <a:effectLst/>
              <a:latin typeface="黑体" pitchFamily="2" charset="-122"/>
              <a:ea typeface="黑体" pitchFamily="2" charset="-122"/>
              <a:cs typeface="+mn-cs"/>
            </a:rPr>
            <a:t>2019(TR)-81</a:t>
          </a:r>
          <a:r>
            <a:rPr lang="zh-CN" altLang="en-US" sz="850" b="0" u="none">
              <a:solidFill>
                <a:schemeClr val="accent2">
                  <a:lumMod val="75000"/>
                </a:schemeClr>
              </a:solidFill>
              <a:effectLst/>
              <a:latin typeface="黑体" pitchFamily="2" charset="-122"/>
              <a:ea typeface="黑体" pitchFamily="2" charset="-122"/>
              <a:cs typeface="+mn-cs"/>
            </a:rPr>
            <a:t>、</a:t>
          </a:r>
          <a:r>
            <a:rPr lang="en-US" altLang="zh-CN" sz="850" b="0" u="none">
              <a:solidFill>
                <a:schemeClr val="accent2">
                  <a:lumMod val="75000"/>
                </a:schemeClr>
              </a:solidFill>
              <a:effectLst/>
              <a:latin typeface="黑体" pitchFamily="2" charset="-122"/>
              <a:ea typeface="黑体" pitchFamily="2" charset="-122"/>
              <a:cs typeface="+mn-cs"/>
            </a:rPr>
            <a:t>82</a:t>
          </a:r>
        </a:p>
        <a:p>
          <a:r>
            <a:rPr lang="en-US" altLang="zh-CN" sz="850" b="1" u="none">
              <a:solidFill>
                <a:schemeClr val="accent2">
                  <a:lumMod val="75000"/>
                </a:schemeClr>
              </a:solidFill>
              <a:effectLst/>
              <a:latin typeface="黑体" pitchFamily="2" charset="-122"/>
              <a:ea typeface="黑体" pitchFamily="2" charset="-122"/>
              <a:cs typeface="+mn-cs"/>
            </a:rPr>
            <a:t>R2.2 304.08</a:t>
          </a:r>
          <a:r>
            <a:rPr lang="zh-CN" altLang="en-US" sz="850" b="1" u="none">
              <a:solidFill>
                <a:schemeClr val="accent2">
                  <a:lumMod val="75000"/>
                </a:schemeClr>
              </a:solidFill>
              <a:effectLst/>
              <a:latin typeface="黑体" pitchFamily="2" charset="-122"/>
              <a:ea typeface="黑体" pitchFamily="2" charset="-122"/>
              <a:cs typeface="+mn-cs"/>
            </a:rPr>
            <a:t>万元</a:t>
          </a:r>
          <a:r>
            <a:rPr lang="en-US" altLang="zh-CN" sz="850" b="1" u="none">
              <a:solidFill>
                <a:schemeClr val="accent2">
                  <a:lumMod val="75000"/>
                </a:schemeClr>
              </a:solidFill>
              <a:effectLst/>
              <a:latin typeface="黑体" pitchFamily="2" charset="-122"/>
              <a:ea typeface="黑体" pitchFamily="2" charset="-122"/>
              <a:cs typeface="+mn-cs"/>
            </a:rPr>
            <a:t>/</a:t>
          </a:r>
          <a:r>
            <a:rPr lang="zh-CN" altLang="en-US" sz="850" b="1" u="none">
              <a:solidFill>
                <a:schemeClr val="accent2">
                  <a:lumMod val="75000"/>
                </a:schemeClr>
              </a:solidFill>
              <a:effectLst/>
              <a:latin typeface="黑体" pitchFamily="2" charset="-122"/>
              <a:ea typeface="黑体" pitchFamily="2" charset="-122"/>
              <a:cs typeface="+mn-cs"/>
            </a:rPr>
            <a:t>亩 </a:t>
          </a:r>
          <a:r>
            <a:rPr lang="en-US" altLang="zh-CN" sz="850" b="1" u="none">
              <a:solidFill>
                <a:schemeClr val="accent2">
                  <a:lumMod val="75000"/>
                </a:schemeClr>
              </a:solidFill>
              <a:effectLst/>
              <a:latin typeface="黑体" pitchFamily="2" charset="-122"/>
              <a:ea typeface="黑体" pitchFamily="2" charset="-122"/>
              <a:cs typeface="+mn-cs"/>
            </a:rPr>
            <a:t>2073.27</a:t>
          </a:r>
          <a:r>
            <a:rPr lang="zh-CN" altLang="en-US" sz="850" b="1" u="none">
              <a:solidFill>
                <a:schemeClr val="accent2">
                  <a:lumMod val="75000"/>
                </a:schemeClr>
              </a:solidFill>
              <a:effectLst/>
              <a:latin typeface="黑体" pitchFamily="2" charset="-122"/>
              <a:ea typeface="黑体" pitchFamily="2" charset="-122"/>
              <a:cs typeface="+mn-cs"/>
            </a:rPr>
            <a:t>元</a:t>
          </a:r>
          <a:r>
            <a:rPr lang="en-US" altLang="zh-CN" sz="850" b="1" u="none">
              <a:solidFill>
                <a:schemeClr val="accent2">
                  <a:lumMod val="75000"/>
                </a:schemeClr>
              </a:solidFill>
              <a:effectLst/>
              <a:latin typeface="黑体" pitchFamily="2" charset="-122"/>
              <a:ea typeface="黑体" pitchFamily="2" charset="-122"/>
              <a:cs typeface="+mn-cs"/>
            </a:rPr>
            <a:t>/㎡ </a:t>
          </a:r>
        </a:p>
        <a:p>
          <a:r>
            <a:rPr lang="zh-CN" altLang="en-US" sz="850" b="0" u="none">
              <a:solidFill>
                <a:schemeClr val="accent2">
                  <a:lumMod val="75000"/>
                </a:schemeClr>
              </a:solidFill>
              <a:effectLst/>
              <a:latin typeface="黑体" pitchFamily="2" charset="-122"/>
              <a:ea typeface="黑体" pitchFamily="2" charset="-122"/>
              <a:cs typeface="+mn-cs"/>
            </a:rPr>
            <a:t>要求：无</a:t>
          </a: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38379;&#24503;&#24544;\&#22823;&#36830;&#21644;&#24179;&#24191;&#22330;\WFW311\TEMP\Spares\FILES\SMCTS2\SMCTSSP2.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qpmad2"/>
      <sheetName val="会计利润"/>
      <sheetName val="Mp-team 1"/>
      <sheetName val="Sheet1"/>
      <sheetName val="基本设置"/>
      <sheetName val="SW-TEO"/>
      <sheetName val="1-6月客戶數"/>
      <sheetName val="預算目標"/>
      <sheetName val="Financ. Overview"/>
      <sheetName val="Toolbox"/>
      <sheetName val="清单1"/>
      <sheetName val="Sheet9"/>
      <sheetName val="Open"/>
      <sheetName val="方案1"/>
      <sheetName val="Sheet2"/>
      <sheetName val="系数516"/>
      <sheetName val="XL4Poppy"/>
      <sheetName val="99CCTV"/>
      <sheetName val="开发节凑"/>
      <sheetName val="纳税调整"/>
      <sheetName val="POWER ASSUMPTIONS"/>
      <sheetName val="项目指标"/>
      <sheetName val="合同台账"/>
      <sheetName val="动态成本"/>
      <sheetName val="付款台账"/>
      <sheetName val="附表1"/>
      <sheetName val="Parameters"/>
      <sheetName val="建造目标成本审批表"/>
      <sheetName val="一期住宅成本明细表"/>
      <sheetName val="一期车库成本明细表"/>
      <sheetName val="一期商业建安费 "/>
      <sheetName val="基础资料（B）"/>
      <sheetName val="G2TempSheet"/>
      <sheetName val="原材料单价分析"/>
      <sheetName val="总成本、总收入、租赁收入、资产估值"/>
      <sheetName val="简表"/>
      <sheetName val="科目余额表"/>
      <sheetName val="指标汇总表"/>
      <sheetName val="项目信息"/>
      <sheetName val="销售计划"/>
      <sheetName val="数据库目录及材料价格表"/>
      <sheetName val="2.1设计部"/>
      <sheetName val="UFPrn20020708110604"/>
      <sheetName val="管比表（2）"/>
      <sheetName val="科余"/>
      <sheetName val="制比表（2）"/>
      <sheetName val="损表"/>
      <sheetName val="固折（2）"/>
      <sheetName val="预提表"/>
      <sheetName val="资负表"/>
      <sheetName val="毛利表"/>
      <sheetName val="应税表"/>
      <sheetName val="管比表"/>
      <sheetName val="预算底稿"/>
      <sheetName val="管理费用预算"/>
      <sheetName val="固定生产成本预算"/>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汇总表"/>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说明"/>
      <sheetName val="销量"/>
      <sheetName val="共享"/>
      <sheetName val="促销活动"/>
      <sheetName val="活动"/>
      <sheetName val="总表"/>
      <sheetName val="¹Ü±È±í£¨2£©"/>
      <sheetName val="¿ÆÓà"/>
      <sheetName val="ÖÆ±È±í£¨2£©"/>
      <sheetName val="Ëð±í"/>
      <sheetName val="¹ÌÕÛ£¨2£©"/>
      <sheetName val="Ô¤Ìá±í"/>
      <sheetName val="×Ê¸º±í"/>
      <sheetName val="Ã«Àû±í"/>
      <sheetName val="Ó¦Ë°±í"/>
      <sheetName val="¹Ü±È±í"/>
      <sheetName val="Ô¤Ëãµ×¸å"/>
      <sheetName val="¹ÜÀí·ÑÓÃÔ¤Ëã"/>
      <sheetName val="¹Ì¶¨Éú²ú³É±¾Ô¤Ëã"/>
      <sheetName val="±¾ÆÚ·¢Éú"/>
      <sheetName val="11¶È»ªµ¤"/>
      <sheetName val="13¶È¸ßÅ¨"/>
      <sheetName val="13¶È·ÖÅä±í"/>
      <sheetName val="13.65¶ÈÑ©»¨"/>
      <sheetName val="13.6Ñ©»¨·ÖÅä±í"/>
      <sheetName val="13.65¶ÈÉòÑô"/>
      <sheetName val="13.65ÉòÑô·ÖÅä±í"/>
      <sheetName val="11¶È¸ÉÆ¡"/>
      <sheetName val="½ÍÔì¹ýÂË·ÖÅä"/>
      <sheetName val="ÐÂË®·ÖÅä±í"/>
      <sheetName val="ÄðÔìÃºË®µç"/>
      <sheetName val="ÄðÔìÂóÑ¿"/>
      <sheetName val="»ã×Ü±í"/>
      <sheetName val="ÃºË®µç±¸·Ý "/>
      <sheetName val="10.5¶È³É±¾±í"/>
      <sheetName val="11¶ÈÑ©³É±¾±í"/>
      <sheetName val="11¶ÈÑÇÌØ³É±¾±í"/>
      <sheetName val="Ñ©»¨¸É³É±¾±í"/>
      <sheetName val="»ªµ¤³É±¾±í"/>
      <sheetName val="11¶ÈÉòÑôÏÊ³É±¾±í"/>
      <sheetName val="ÖÆÆ·¸¨ÁÏ"/>
      <sheetName val="ÖÆÆ·ÃºË®µç"/>
      <sheetName val="ÖÆÆ·Æ¿¸ÇÉÌ±ê"/>
      <sheetName val="Ñ©»¨·ÖÅä±í"/>
      <sheetName val="Ñ©»¨¸É·ÖÅä±í"/>
      <sheetName val="ÉòÑôÏÊ·ÖÅä±í"/>
      <sheetName val="»ªµ¤·ÖÅä"/>
      <sheetName val="Í°¾Æ15L"/>
      <sheetName val="Í°¾Æ20L"/>
      <sheetName val="Í°¾Æ30L"/>
      <sheetName val="Í°¾Æ10L"/>
      <sheetName val="Í°¾Æ5L"/>
      <sheetName val="Í°¾Æ20L (Ñ©) "/>
      <sheetName val="Í°¾Æ30L (Ñ©)  "/>
      <sheetName val="Í°¾Æ15L(»ª£©"/>
      <sheetName val="Í°¾Æ20L£¨»ª£©"/>
      <sheetName val="Í°¾Æ30L£¨»ª£©"/>
      <sheetName val="Í°¾Æ20L(Ñ©»¨¸É£©"/>
      <sheetName val="ËµÃ÷"/>
      <sheetName val="ÏúÁ¿"/>
      <sheetName val="¹²Ïí"/>
      <sheetName val="´ÙÏú»î¶¯"/>
      <sheetName val="»î¶¯"/>
      <sheetName val="×Ü±í"/>
      <sheetName val="B"/>
      <sheetName val="趋势图"/>
      <sheetName val="折旧测试"/>
      <sheetName val="应收账款及预收账款明细表"/>
      <sheetName val="81180截止测试"/>
      <sheetName val="营业收入"/>
      <sheetName val="81130主营月份"/>
      <sheetName val="存货明细表 "/>
      <sheetName val="54131"/>
      <sheetName val="存货成本重算"/>
      <sheetName val="投资性房地产"/>
      <sheetName val="占地面积统计表"/>
      <sheetName val="企业表一"/>
      <sheetName val="M-5C"/>
      <sheetName val="M-5A"/>
      <sheetName val="应收账款明细表"/>
      <sheetName val="应付－武汉运盛钢铁贸易有限公司"/>
      <sheetName val="襄樊鼎益机电有限公司"/>
      <sheetName val="会计科目"/>
      <sheetName val="盈余公积 （合并)"/>
      <sheetName val="包增减变动"/>
      <sheetName val="#REF!"/>
      <sheetName val="CF"/>
      <sheetName val="长期股权投资"/>
      <sheetName val="封面"/>
      <sheetName val="总分类账"/>
      <sheetName val="固定资产明细表"/>
      <sheetName val="固及累及减值"/>
      <sheetName val="56261盘点"/>
      <sheetName val="货币资金"/>
      <sheetName val="其他应收明细表"/>
      <sheetName val="在建工程审计说明"/>
      <sheetName val="124301 查询"/>
      <sheetName val="经贸库存商品"/>
      <sheetName val="户名"/>
      <sheetName val="inf"/>
      <sheetName val="Third party"/>
      <sheetName val="82130其他"/>
      <sheetName val="表4-12"/>
      <sheetName val="核算项目余额表"/>
      <sheetName val="G.1R-Shou COP Gf"/>
      <sheetName val="21"/>
      <sheetName val="1#量统计"/>
      <sheetName val="报价明细表"/>
      <sheetName val="工程量"/>
      <sheetName val="单价表"/>
      <sheetName val="材料调价表"/>
      <sheetName val="清单"/>
      <sheetName val="ANL"/>
      <sheetName val="8"/>
      <sheetName val="主材价格"/>
      <sheetName val="3"/>
      <sheetName val="计算稿"/>
      <sheetName val="费用表"/>
      <sheetName val="单位库"/>
      <sheetName val="Main"/>
      <sheetName val="损耗"/>
      <sheetName val="XLR_NoRangeSheet"/>
      <sheetName val="材料单价表"/>
      <sheetName val="工程量计算"/>
      <sheetName val="rebrand"/>
      <sheetName val="主结构量"/>
      <sheetName val="Data"/>
      <sheetName val="2_1 Termine"/>
      <sheetName val="2_2 Termine"/>
      <sheetName val="4_1 Orga_"/>
      <sheetName val="3_3 Fabrikate_Küche"/>
      <sheetName val="4_2_1 Pers"/>
      <sheetName val="4_2_2 Pers"/>
      <sheetName val="5 Subs"/>
      <sheetName val="7 BE"/>
      <sheetName val="8 Ref_"/>
      <sheetName val="8 Bietererklärung"/>
      <sheetName val="1_4 Optionen"/>
      <sheetName val="1_5 EPs"/>
      <sheetName val="3_1 Fabrikate_Bau"/>
      <sheetName val="楼宇价目表A10"/>
      <sheetName val="楼宇价目表A9"/>
      <sheetName val="楼宇价目表B1"/>
      <sheetName val="楼宇价目表B2"/>
      <sheetName val="10月发生（手工）"/>
      <sheetName val="目录"/>
      <sheetName val="23"/>
      <sheetName val="5201.2004"/>
      <sheetName val="成本测算"/>
      <sheetName val="7完全成本汇总表"/>
      <sheetName val="方案4"/>
      <sheetName val="Estimate Details"/>
      <sheetName val="E系列"/>
      <sheetName val="报价单"/>
      <sheetName val="预算200326"/>
      <sheetName val="99PA"/>
      <sheetName val="BA "/>
      <sheetName val="工程量汇总及含量分析"/>
      <sheetName val="点表"/>
      <sheetName val="Headings"/>
      <sheetName val="网络合计"/>
      <sheetName val="BA-Pl"/>
      <sheetName val="机房工程B"/>
      <sheetName val="_x0000__x0000__x0000__x0000__x0000__x0000__x0000__x0000_"/>
      <sheetName val="Aging Datasheet"/>
      <sheetName val="ECCS_1 DataSheet"/>
      <sheetName val="KPI Datasheet"/>
      <sheetName val="RMB"/>
      <sheetName val="Helpsheets"/>
      <sheetName val="XXXXX"/>
      <sheetName val="5期B栋会所装饰精装修"/>
      <sheetName val="汇总"/>
      <sheetName val="安装综合单价分析表"/>
      <sheetName val="_x005f_x0000__x005f_x0000__x005f_x0000__x005f_x0000__x0"/>
      <sheetName val="_x0000__x0000__x0000__x0000__x0"/>
      <sheetName val="7"/>
      <sheetName val="投标材料清单 "/>
      <sheetName val="_x005f_x005f_x005f_x0000__x005f_x005f_x005f_x0000__x005"/>
      <sheetName val="参数表"/>
      <sheetName val="数据采集"/>
      <sheetName val="2.1辅助"/>
      <sheetName val="General"/>
      <sheetName val="1地块1,10#"/>
      <sheetName val="_x005f_x005f_x005f_x005f_x005f_x005f_x005f_x0000__x005f"/>
      <sheetName val="内围地梁钢筋说明"/>
      <sheetName val="_x005f_x0000__x005f_x0000__x005"/>
      <sheetName val="_x005f_x005f_x005f_x0000__x005f"/>
      <sheetName val="_x0000__x0000__x005"/>
      <sheetName val="_x005f_x0000__x005f"/>
      <sheetName val="_x005f_x005f_"/>
      <sheetName val="单价分析过程"/>
      <sheetName val="主要材料价格表 (2)"/>
      <sheetName val="_x005f_x005f_x005f_x005f_"/>
      <sheetName val="材料清单"/>
      <sheetName val="地面过水泥砂"/>
      <sheetName val="楼板镂空及加楼板（部分项目有争议）"/>
      <sheetName val="园建计算表1梁工"/>
      <sheetName val="敏感参数"/>
      <sheetName val="材料"/>
      <sheetName val="_x0000__x005f"/>
      <sheetName val="_x005f_x005f_x005f_x005f_x005f_x005f_x005f_x005f_x005f_x005f_"/>
      <sheetName val="_x005f_x005f_x005f_x005f_x005f_x005f_x005f_x005f_"/>
      <sheetName val="Sheet8"/>
      <sheetName val="面积指标"/>
      <sheetName val="敏感详细分析"/>
      <sheetName val="Control"/>
      <sheetName val="Bank Debt"/>
      <sheetName val="GFA"/>
      <sheetName val="表2.3建安成本分析表"/>
      <sheetName val="模型目录&amp;参数设置"/>
      <sheetName val="投资分析及评价【收并购】"/>
      <sheetName val="投资分析及评价【招拍挂】"/>
      <sheetName val="敏感分析"/>
      <sheetName val="校验表"/>
      <sheetName val="融资利息"/>
      <sheetName val="节奏成本"/>
      <sheetName val="附表.付款计划明细"/>
      <sheetName val="现金流量"/>
      <sheetName val="付款计划"/>
      <sheetName val="计奖毛利"/>
      <sheetName val="管理利润"/>
      <sheetName val="会计毛利"/>
      <sheetName val="关键节点"/>
      <sheetName val="税金计算"/>
      <sheetName val="销售计划-入住"/>
      <sheetName val="销售分布调整"/>
      <sheetName val="产品指标"/>
      <sheetName val="附表.销售周期"/>
      <sheetName val="附表.售价简表"/>
      <sheetName val="完全成本汇总表（一期）"/>
      <sheetName val="完全成本汇总表（二期）"/>
      <sheetName val="完全成本汇总表（三期）"/>
      <sheetName val="完全成本汇总表（四期)"/>
      <sheetName val="完全成本汇总表（五期)"/>
      <sheetName val="附表.土地成本"/>
      <sheetName val="附表.土地资料"/>
      <sheetName val="公司清单（自行贴入）"/>
      <sheetName val="results"/>
      <sheetName val="勾稽检查表"/>
      <sheetName val="考核利润"/>
      <sheetName val="土评增计算"/>
      <sheetName val="考核毛利"/>
      <sheetName val="税款计算"/>
      <sheetName val="土增测算【集团口径】"/>
      <sheetName val="土增测算底稿【四川公司】"/>
      <sheetName val="土增测算【四川公司】"/>
      <sheetName val="重要指标"/>
      <sheetName val="开发间接费"/>
      <sheetName val="资本化测算"/>
      <sheetName val="融资计划"/>
      <sheetName val="付款计划底稿"/>
      <sheetName val="其他收支"/>
      <sheetName val="管理费用"/>
      <sheetName val="销售费用"/>
      <sheetName val="销售周期表"/>
      <sheetName val="售价简表"/>
      <sheetName val="全期经营指标汇总"/>
      <sheetName val="全期经营指标（与上版对比）"/>
      <sheetName val="成本售价对比表（土地）"/>
      <sheetName val="成本售价对比表（无土地）"/>
      <sheetName val="项目各产品溢价率对比表"/>
      <sheetName val="_"/>
      <sheetName val="情况汇总"/>
      <sheetName val="05 参数表"/>
      <sheetName val="06 参数表"/>
      <sheetName val="C标配置表"/>
      <sheetName val="409 参数表"/>
      <sheetName val="10 参数表"/>
      <sheetName val="07 参数表"/>
      <sheetName val="施工单位上报(需盖章)"/>
      <sheetName val="Summary"/>
      <sheetName val="21 fixed assets"/>
      <sheetName val="PRC GAAP"/>
      <sheetName val="下拉菜单-整体"/>
      <sheetName val="财务费用"/>
      <sheetName val="收入与成本"/>
      <sheetName val="销售比率"/>
      <sheetName val="土建单价分析对比表"/>
      <sheetName val="表m-2-4 四期销售计划 "/>
      <sheetName val="表m-2-7 七期销售计划"/>
      <sheetName val="BS"/>
      <sheetName val="#REF"/>
      <sheetName val="6、实时预警（定案及时性） "/>
      <sheetName val="5、实时预警（上报及时性）"/>
      <sheetName val="0、说明"/>
      <sheetName val="1、审减问题明细"/>
      <sheetName val="2、审减额问题类别汇总表"/>
      <sheetName val="3、已完项目审减表-专业划分"/>
      <sheetName val="4、审减问题数量统计表"/>
      <sheetName val="01工程量计算错误"/>
      <sheetName val="02工程量重复计算"/>
      <sheetName val="03软件设置错误"/>
      <sheetName val="04计算规则理解错误"/>
      <sheetName val="05定额套用错误"/>
      <sheetName val="06变更签证价格套用错误"/>
      <sheetName val="07人工材料价格错误"/>
      <sheetName val="08未按合同约定执行"/>
      <sheetName val="09未按图施工"/>
      <sheetName val="10承包范围与预算不符"/>
      <sheetName val="11界面划分与预算不符"/>
      <sheetName val="12计价原则与预算不符"/>
      <sheetName val="13编制说明与预算不符"/>
      <sheetName val="14施工与预算不符"/>
      <sheetName val="15其他问题"/>
      <sheetName val="16审核问题"/>
      <sheetName val="计算底稿-裙楼"/>
      <sheetName val="S1单价表"/>
      <sheetName val="收入分解"/>
      <sheetName val="隐含参数表"/>
      <sheetName val="Shows"/>
      <sheetName val="资金占用"/>
      <sheetName val="财务假设"/>
      <sheetName val="工程量计算表"/>
      <sheetName val="Data Validation"/>
      <sheetName val="编码"/>
      <sheetName val="付款进度表"/>
      <sheetName val="科目列表"/>
      <sheetName val="   合同台账  "/>
      <sheetName val="无合同工程及销费"/>
      <sheetName val="08.8"/>
      <sheetName val="5.基础档案"/>
      <sheetName val="融创成本科目明细"/>
      <sheetName val="后台"/>
      <sheetName val="安装-工程量计算稿"/>
      <sheetName val="临建土建-工程量计算表"/>
      <sheetName val="单位"/>
      <sheetName val="2产品指标表"/>
      <sheetName val="铺装—住宅"/>
      <sheetName val="工程量计算书"/>
      <sheetName val="工程量计算式"/>
      <sheetName val="表3"/>
      <sheetName val="before"/>
      <sheetName val="LTM销售"/>
      <sheetName val="HTM销售"/>
      <sheetName val="生鲜销售"/>
      <sheetName val="土地"/>
      <sheetName val="2、房源信息台账"/>
      <sheetName val="W"/>
      <sheetName val="公式辅助表"/>
      <sheetName val="表9.ppt2020年分类支付及压缩情况汇总情况"/>
      <sheetName val="基础项目"/>
      <sheetName val="生人台帳"/>
      <sheetName val="资料库"/>
      <sheetName val="CD"/>
      <sheetName val="常用项目"/>
      <sheetName val="门窗表"/>
      <sheetName val="防水工程"/>
      <sheetName val="现金流量内部报表"/>
      <sheetName val="附注"/>
      <sheetName val="13 BU"/>
      <sheetName val="12 BU"/>
      <sheetName val="5 BU"/>
      <sheetName val="23 BU"/>
      <sheetName val="1 BU"/>
      <sheetName val="38 BU"/>
      <sheetName val="backup"/>
      <sheetName val="分部门汇总表"/>
      <sheetName val="指标分摊"/>
      <sheetName val="全年分类支付汇总情况 (全年)"/>
      <sheetName val="装饰主材核价表"/>
      <sheetName val="装饰"/>
      <sheetName val="投标总结"/>
      <sheetName val="计算"/>
      <sheetName val="勿删"/>
      <sheetName val="DDETABLE "/>
      <sheetName val="19#楼(作废)"/>
      <sheetName val="清单汇总"/>
      <sheetName val="营业费用测试"/>
      <sheetName val="地梁"/>
      <sheetName val="C1户型"/>
      <sheetName val="内部往来"/>
      <sheetName val="YS02-0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sheetData sheetId="46"/>
      <sheetData sheetId="47"/>
      <sheetData sheetId="48"/>
      <sheetData sheetId="49"/>
      <sheetData sheetId="50"/>
      <sheetData sheetId="51"/>
      <sheetData sheetId="52"/>
      <sheetData sheetId="53"/>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refreshError="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2.vml"/></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kuaibao.qq.com/s/20201118A0I7VT00?refer=spider_map" TargetMode="Externa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89" customWidth="1"/>
    <col min="2" max="2" width="78.25" style="2590" customWidth="1"/>
    <col min="3" max="18" width="9" style="2584"/>
    <col min="19" max="19" width="17.875" style="2584" customWidth="1"/>
    <col min="20" max="51" width="9" style="2584"/>
    <col min="52" max="52" width="13.25" style="2584" customWidth="1"/>
    <col min="53" max="53" width="13.5" style="2584" bestFit="1" customWidth="1"/>
    <col min="54" max="54" width="11.625" style="2584" bestFit="1" customWidth="1"/>
    <col min="55" max="55" width="13.5" style="2584" bestFit="1" customWidth="1"/>
    <col min="56" max="16384" width="9" style="2584"/>
  </cols>
  <sheetData>
    <row r="1" spans="1:55" s="2595" customFormat="1" ht="16.5" thickBot="1">
      <c r="A1" s="2593" t="s">
        <v>2630</v>
      </c>
      <c r="B1" s="2594" t="s">
        <v>2727</v>
      </c>
    </row>
    <row r="2" spans="1:55" s="2598" customFormat="1" ht="15" thickTop="1">
      <c r="A2" s="2596" t="s">
        <v>2634</v>
      </c>
      <c r="B2" s="2597" t="str">
        <f>'预评函-封皮'!B37</f>
        <v>四川省眉山市视高街道新明村、南桥社区出让国有建设用地使用权市场价格预评估</v>
      </c>
      <c r="AX2" s="2599"/>
      <c r="AZ2" s="2599"/>
      <c r="BA2" s="2600"/>
      <c r="BC2" s="2600"/>
    </row>
    <row r="3" spans="1:55" s="2601" customFormat="1">
      <c r="A3" s="2580" t="s">
        <v>2635</v>
      </c>
      <c r="B3" s="2583" t="str">
        <f>'预评函-封皮'!B40</f>
        <v>五矿国际信托有限公司</v>
      </c>
    </row>
    <row r="4" spans="1:55" s="2582" customFormat="1">
      <c r="A4" s="2580" t="s">
        <v>2636</v>
      </c>
      <c r="B4" s="2581" t="str">
        <f>'预评函-封皮'!B46</f>
        <v>王鹏、郑燚</v>
      </c>
      <c r="N4" s="2582" t="str">
        <f>'预评函-1'!A28</f>
        <v>——</v>
      </c>
    </row>
    <row r="5" spans="1:55" s="2595" customFormat="1" ht="15" thickBot="1">
      <c r="A5" s="2602" t="s">
        <v>2637</v>
      </c>
      <c r="B5" s="2603" t="str">
        <f>'预评函-封皮'!B49</f>
        <v>康正预评字号</v>
      </c>
    </row>
    <row r="6" spans="1:55" s="2604" customFormat="1" ht="15" thickTop="1">
      <c r="A6" s="2596" t="s">
        <v>2679</v>
      </c>
      <c r="B6" s="2597" t="str">
        <f>'预评函-1'!A4</f>
        <v>受贵公司委托，我公司对四川省眉山市视高街道新明村、南桥社区出让国有建设用地使用权市场价格进行了预评估。</v>
      </c>
      <c r="AM6" s="2605"/>
    </row>
    <row r="7" spans="1:55" s="2579" customFormat="1">
      <c r="A7" s="2580" t="s">
        <v>2631</v>
      </c>
      <c r="B7" s="2581" t="str">
        <f>'预评函-1'!A6</f>
        <v>估价对象为环球中军文化旅游开发有限公司、四川省环融中军文化旅游开发有限公司
使用的、位于四川省眉山市视高街道新明村、南桥社区出让国有建设用地使用权。根据《国有土地使用证》[]，估价对象（分摊）出让国有建设用地使用权面积为214384.13平方米。根据《建设工程规划许可证》[]、《出让合同》[]，估价对象规划建筑面积为461591.09平方米。</v>
      </c>
    </row>
    <row r="8" spans="1:55" s="2579" customFormat="1">
      <c r="A8" s="2580" t="s">
        <v>2632</v>
      </c>
      <c r="B8" s="2581" t="str">
        <f>'预评函-1'!A7</f>
        <v xml:space="preserve">简述项目推广名，项目类型（用途），估价对象分布，各用途面积明细情况：XX用途建筑面积XX平方米，XX用途建筑面积XX平方米，……。复杂面积清单需设‘附表’列示：抵押物清单详见附表。        </v>
      </c>
    </row>
    <row r="9" spans="1:55" s="2579" customFormat="1">
      <c r="A9" s="2580" t="s">
        <v>2682</v>
      </c>
      <c r="B9" s="2581" t="str">
        <f>'预评函-1'!A9</f>
        <v>环球中军文化旅游开发有限公司、四川省环融中军文化旅游开发有限公司
拟使用四川省眉山市视高街道新明村、南桥社区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55" s="2579" customFormat="1">
      <c r="A10" s="2580" t="s">
        <v>2633</v>
      </c>
      <c r="B10" s="2581" t="str">
        <f>'预评函-1'!A11</f>
        <v>2020年12月26日（评估专业人员勘察现场之日）</v>
      </c>
    </row>
    <row r="11" spans="1:55" s="2579" customFormat="1">
      <c r="A11" s="2580" t="s">
        <v>2639</v>
      </c>
      <c r="B11" s="2581" t="str">
        <f>'预评函-1'!A14</f>
        <v>根据拍卖公告，本次评估估价对象证载（地类）用途为城镇住宅用地。</v>
      </c>
    </row>
    <row r="12" spans="1:55" s="2579" customFormat="1">
      <c r="A12" s="2580" t="s">
        <v>2640</v>
      </c>
      <c r="B12" s="2581" t="str">
        <f>'预评函-1'!A15</f>
        <v>本次评估设定用途即为证载用途住宅、商业及地下车库。</v>
      </c>
    </row>
    <row r="13" spans="1:55" s="2579" customFormat="1">
      <c r="A13" s="2580" t="s">
        <v>2641</v>
      </c>
      <c r="B13" s="2581" t="str">
        <f>'预评函-1'!A17</f>
        <v>根据委托估价方介绍及评估专业人员现场勘查，本次评估估价对象实际土地开发程度为红线外市政基础设施达“三通”（即通路、通电、通讯）、宗地红线内场地平整。</v>
      </c>
    </row>
    <row r="14" spans="1:55" s="2579" customFormat="1">
      <c r="A14" s="2580" t="s">
        <v>2642</v>
      </c>
      <c r="B14" s="2581" t="str">
        <f>'预评函-1'!A18</f>
        <v>本次评估设定土地开发程度为红线外市政基础设施达“三通”、宗地红线内场地平整。</v>
      </c>
    </row>
    <row r="15" spans="1:55" s="2579" customFormat="1">
      <c r="A15" s="2580" t="s">
        <v>2638</v>
      </c>
      <c r="B15" s="2581" t="str">
        <f>'预评函-1'!A20</f>
        <v>根据《国有土地使用证》[]，估价对象（分摊）出让国有建设用地使用权面积为214384.13平方米。根据《建设工程规划许可证》[]、《出让合同》[]，估价对象规划建筑面积为461591.09平方米。</v>
      </c>
    </row>
    <row r="16" spans="1:55" s="2579" customFormat="1">
      <c r="A16" s="2580" t="s">
        <v>2643</v>
      </c>
      <c r="B16" s="2581" t="str">
        <f>'预评函-1'!A22</f>
        <v>本次估价对象为出让国有建设用地使用权，拍卖公告证载土地终止日期为住宅2090年12月25日、商业2060年12月25日地下车库2060年12月25日。截至估价期日，出让国有建设用地使用权剩余土地使用年限为。</v>
      </c>
    </row>
    <row r="17" spans="1:48" s="2579" customFormat="1">
      <c r="A17" s="2580" t="s">
        <v>2644</v>
      </c>
      <c r="B17" s="2581" t="str">
        <f>'预评函-1'!A23</f>
        <v>本次评估设定估价对象剩余土地使用年限为。</v>
      </c>
    </row>
    <row r="18" spans="1:48" s="2579" customFormat="1">
      <c r="A18" s="2580" t="s">
        <v>2645</v>
      </c>
      <c r="B18" s="2581" t="str">
        <f>'预评函-1'!A25</f>
        <v>本次估价的“出让国有建设用地使用权价格”是指在估价对象土地所有权为国家所有，使用权性质为出让，在公开市场条件下、于估价期日2020年12月26日，在规划利用条件下、设定土地开发程度为红线外“三通”、宗地内场地平整，设定用途为住宅、商业及地下车库，剩余土地使用年限为的出让国有建设用地使用权价格。</v>
      </c>
    </row>
    <row r="19" spans="1:48" s="2579" customFormat="1">
      <c r="A19" s="2580" t="s">
        <v>2646</v>
      </c>
      <c r="B19" s="2581" t="str">
        <f>'预评函-1'!A26</f>
        <v>——</v>
      </c>
    </row>
    <row r="20" spans="1:48" s="2579" customFormat="1">
      <c r="A20" s="2580" t="s">
        <v>2647</v>
      </c>
      <c r="B20" s="2581" t="str">
        <f>'预评函-1'!A27</f>
        <v>——</v>
      </c>
    </row>
    <row r="21" spans="1:48" s="2595" customFormat="1" ht="15" thickBot="1">
      <c r="A21" s="2602" t="s">
        <v>2648</v>
      </c>
      <c r="B21" s="2603" t="str">
        <f>'预评函-1'!A28</f>
        <v>——</v>
      </c>
    </row>
    <row r="22" spans="1:48" ht="15" thickTop="1">
      <c r="A22" s="2591" t="s">
        <v>2649</v>
      </c>
      <c r="B22" s="2592"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580" t="s">
        <v>2650</v>
      </c>
      <c r="B23" s="2581" t="str">
        <f>'预评函-2'!K2</f>
        <v>估价期日：2020年12月26日</v>
      </c>
    </row>
    <row r="24" spans="1:48">
      <c r="A24" s="2580" t="s">
        <v>2651</v>
      </c>
      <c r="B24" s="2581" t="str">
        <f>'预评函-2'!R2</f>
        <v>估价期日的国有建设用地使用权性质：出让</v>
      </c>
    </row>
    <row r="25" spans="1:48">
      <c r="A25" s="2580" t="s">
        <v>2707</v>
      </c>
      <c r="B25" s="2581" t="str">
        <f>'预评函-2'!A3</f>
        <v>估价期日土地使用者</v>
      </c>
    </row>
    <row r="26" spans="1:48">
      <c r="A26" s="2580" t="s">
        <v>2683</v>
      </c>
      <c r="B26" s="2581" t="str">
        <f>'预评函-2'!A5</f>
        <v>中信开发</v>
      </c>
    </row>
    <row r="27" spans="1:48">
      <c r="A27" s="2580" t="s">
        <v>2708</v>
      </c>
      <c r="B27" s="2581" t="str">
        <f>'预评函-2'!B3</f>
        <v>宗地编号/不动产单元号</v>
      </c>
    </row>
    <row r="28" spans="1:48">
      <c r="A28" s="2580" t="s">
        <v>2684</v>
      </c>
      <c r="B28" s="2581" t="str">
        <f>'预评函-2'!B5</f>
        <v>11111111111</v>
      </c>
    </row>
    <row r="29" spans="1:48">
      <c r="A29" s="2580" t="s">
        <v>2710</v>
      </c>
      <c r="B29" s="2581">
        <f>'预评函-2'!C5</f>
        <v>22</v>
      </c>
    </row>
    <row r="30" spans="1:48">
      <c r="A30" s="2580" t="s">
        <v>2711</v>
      </c>
      <c r="B30" s="2581" t="str">
        <f>'预评函-2'!D3</f>
        <v>土地使用证编号/不动产权证书编号</v>
      </c>
    </row>
    <row r="31" spans="1:48">
      <c r="A31" s="2580" t="s">
        <v>2685</v>
      </c>
      <c r="B31" s="2581" t="str">
        <f>'预评函-2'!D5</f>
        <v>京国土字第111号</v>
      </c>
    </row>
    <row r="32" spans="1:48">
      <c r="A32" s="2580" t="s">
        <v>2686</v>
      </c>
      <c r="B32" s="2581" t="str">
        <f>'预评函-2'!E5</f>
        <v>城镇住宅用地</v>
      </c>
      <c r="AV32" s="2585"/>
    </row>
    <row r="33" spans="1:2">
      <c r="A33" s="2580" t="s">
        <v>2687</v>
      </c>
      <c r="B33" s="2581">
        <f>'预评函-2'!F5</f>
        <v>258</v>
      </c>
    </row>
    <row r="34" spans="1:2">
      <c r="A34" s="2580" t="s">
        <v>2688</v>
      </c>
      <c r="B34" s="2581" t="str">
        <f>'预评函-2'!G5</f>
        <v>住宅、商业及地下车库</v>
      </c>
    </row>
    <row r="35" spans="1:2">
      <c r="A35" s="2580" t="s">
        <v>2689</v>
      </c>
      <c r="B35" s="2581">
        <f>'预评函-2'!H5</f>
        <v>1.5</v>
      </c>
    </row>
    <row r="36" spans="1:2">
      <c r="A36" s="2580" t="s">
        <v>2690</v>
      </c>
      <c r="B36" s="2581">
        <f>'预评函-2'!I5</f>
        <v>1.5</v>
      </c>
    </row>
    <row r="37" spans="1:2">
      <c r="A37" s="2580" t="s">
        <v>2691</v>
      </c>
      <c r="B37" s="2581">
        <f>'预评函-2'!J5</f>
        <v>1.5</v>
      </c>
    </row>
    <row r="38" spans="1:2">
      <c r="A38" s="2580" t="s">
        <v>2692</v>
      </c>
      <c r="B38" s="2581" t="str">
        <f>'预评函-2'!K5</f>
        <v>红线外三通、宗地红线内场地平整</v>
      </c>
    </row>
    <row r="39" spans="1:2">
      <c r="A39" s="2580" t="s">
        <v>2693</v>
      </c>
      <c r="B39" s="2581" t="str">
        <f>'预评函-2'!L5</f>
        <v>红线外三通、宗地红线内场地平整</v>
      </c>
    </row>
    <row r="40" spans="1:2">
      <c r="A40" s="2580" t="s">
        <v>2712</v>
      </c>
      <c r="B40" s="2581" t="str">
        <f>'预评函-2'!M3</f>
        <v>（剩余）土地使用年限/年</v>
      </c>
    </row>
    <row r="41" spans="1:2">
      <c r="A41" s="2580" t="s">
        <v>2694</v>
      </c>
      <c r="B41" s="2581">
        <f>'预评函-2'!M5</f>
        <v>0</v>
      </c>
    </row>
    <row r="42" spans="1:2">
      <c r="A42" s="2580" t="s">
        <v>2713</v>
      </c>
      <c r="B42" s="2581" t="str">
        <f>'预评函-2'!N3</f>
        <v>（分摊）出让国有建设用地使用权面积/㎡</v>
      </c>
    </row>
    <row r="43" spans="1:2">
      <c r="A43" s="2580" t="s">
        <v>2695</v>
      </c>
      <c r="B43" s="2581">
        <f>'预评函-2'!N5</f>
        <v>214384.13</v>
      </c>
    </row>
    <row r="44" spans="1:2">
      <c r="A44" s="2580" t="s">
        <v>2714</v>
      </c>
      <c r="B44" s="2581" t="str">
        <f>'预评函-2'!O3</f>
        <v>规划建筑面积/㎡</v>
      </c>
    </row>
    <row r="45" spans="1:2">
      <c r="A45" s="2580" t="s">
        <v>2696</v>
      </c>
      <c r="B45" s="2581">
        <f>'预评函-2'!O5</f>
        <v>461591.08999999997</v>
      </c>
    </row>
    <row r="46" spans="1:2">
      <c r="A46" s="2580" t="s">
        <v>2697</v>
      </c>
      <c r="B46" s="2581">
        <f ca="1">'预评函-2'!P5</f>
        <v>4730</v>
      </c>
    </row>
    <row r="47" spans="1:2">
      <c r="A47" s="2580" t="s">
        <v>2698</v>
      </c>
      <c r="B47" s="2581">
        <f ca="1">'预评函-2'!Q5</f>
        <v>2197</v>
      </c>
    </row>
    <row r="48" spans="1:2">
      <c r="A48" s="2580" t="s">
        <v>2699</v>
      </c>
      <c r="B48" s="2581">
        <f ca="1">'预评函-2'!R5</f>
        <v>101401</v>
      </c>
    </row>
    <row r="49" spans="1:2">
      <c r="A49" s="2580" t="s">
        <v>2715</v>
      </c>
      <c r="B49" s="2581" t="str">
        <f>'预评函-2'!A6</f>
        <v>——</v>
      </c>
    </row>
    <row r="50" spans="1:2">
      <c r="A50" s="2580" t="s">
        <v>2700</v>
      </c>
      <c r="B50" s="2581" t="str">
        <f>'预评函-2'!R6</f>
        <v>——</v>
      </c>
    </row>
    <row r="51" spans="1:2">
      <c r="A51" s="2580" t="s">
        <v>2716</v>
      </c>
      <c r="B51" s="2581" t="str">
        <f>'预评函-2'!A7</f>
        <v>——</v>
      </c>
    </row>
    <row r="52" spans="1:2">
      <c r="A52" s="2580" t="s">
        <v>2701</v>
      </c>
      <c r="B52" s="2581">
        <f ca="1">'预评函-2'!R7</f>
        <v>101401</v>
      </c>
    </row>
    <row r="53" spans="1:2">
      <c r="A53" s="2580" t="s">
        <v>2717</v>
      </c>
      <c r="B53" s="2581" t="str">
        <f>'预评函-2'!A8</f>
        <v>——</v>
      </c>
    </row>
    <row r="54" spans="1:2" s="2595" customFormat="1" ht="15" thickBot="1">
      <c r="A54" s="2602" t="s">
        <v>2702</v>
      </c>
      <c r="B54" s="2603" t="str">
        <f>'预评函-2'!R8</f>
        <v>——</v>
      </c>
    </row>
    <row r="55" spans="1:2" ht="15" thickTop="1">
      <c r="A55" s="2591" t="s">
        <v>2652</v>
      </c>
      <c r="B55" s="2592" t="str">
        <f>'预评函-3'!A2</f>
        <v>1.权利限制：根据估价对象————，截至估价期日，估价对象抵押权未见登记。未设定租赁等其他他项权利。</v>
      </c>
    </row>
    <row r="56" spans="1:2">
      <c r="A56" s="2580" t="s">
        <v>2653</v>
      </c>
      <c r="B56" s="2581" t="str">
        <f>'预评函-3'!A3</f>
        <v>2.基础设施条件：估价对象实际开发程度为红线外三通、宗地红线内场地平整；本次评估设定开发程度为红线外三通、宗地红线内场地平整。</v>
      </c>
    </row>
    <row r="57" spans="1:2">
      <c r="A57" s="2580" t="s">
        <v>2654</v>
      </c>
      <c r="B57" s="2581" t="str">
        <f>'预评函-3'!A4</f>
        <v>3.估价规划限制条件：详见《建设工程规划许可证》[]、《出让合同》[]。</v>
      </c>
    </row>
    <row r="58" spans="1:2" s="2595" customFormat="1" ht="15" thickBot="1">
      <c r="A58" s="2602" t="s">
        <v>2703</v>
      </c>
      <c r="B58" s="2603" t="str">
        <f>'预评函-3'!A5</f>
        <v>4.影响价格的其他限定条件：无。</v>
      </c>
    </row>
    <row r="59" spans="1:2" ht="15" thickTop="1">
      <c r="A59" s="2591" t="s">
        <v>2655</v>
      </c>
      <c r="B59" s="2592" t="str">
        <f>'预评函-3'!A8</f>
        <v>2.本《评估意见函》仅供金融机构进行内部审核使用，不做其他目的之用。</v>
      </c>
    </row>
    <row r="60" spans="1:2">
      <c r="A60" s="2580" t="s">
        <v>2656</v>
      </c>
      <c r="B60" s="2581" t="str">
        <f>'预评函-3'!A9</f>
        <v>3.抵押双方在办理抵押登记手续时，应使用本公司出具的正式《土地估价报告》，特提请报告使用者注意。</v>
      </c>
    </row>
    <row r="61" spans="1:2">
      <c r="A61" s="2580" t="s">
        <v>2658</v>
      </c>
      <c r="B61" s="2581" t="str">
        <f>'预评函-3'!A10</f>
        <v>4.估价师所知悉的法定优先受偿款情况为：</v>
      </c>
    </row>
    <row r="62" spans="1:2">
      <c r="A62" s="2580" t="s">
        <v>2657</v>
      </c>
      <c r="B62" s="2581" t="str">
        <f>'预评函-3'!A11</f>
        <v>（1）根据估价对象————，截至估价期日，估价对象抵押权未见登记。</v>
      </c>
    </row>
    <row r="63" spans="1:2">
      <c r="A63" s="2580" t="s">
        <v>2659</v>
      </c>
      <c r="B63" s="258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80" t="s">
        <v>2660</v>
      </c>
      <c r="B64" s="2586" t="str">
        <f>'预评函-3'!A13</f>
        <v>（3）。</v>
      </c>
    </row>
    <row r="65" spans="1:2">
      <c r="A65" s="2580" t="s">
        <v>2661</v>
      </c>
      <c r="B65" s="2587" t="str">
        <f>'预评函-3'!A14</f>
        <v>综上，本次评估不存在估价师知悉的法定优先受偿款</v>
      </c>
    </row>
    <row r="66" spans="1:2">
      <c r="A66" s="2580" t="s">
        <v>2662</v>
      </c>
      <c r="B66" s="2587"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80" t="s">
        <v>2663</v>
      </c>
      <c r="B67" s="2587"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595" customFormat="1" ht="15" thickBot="1">
      <c r="A68" s="2602" t="s">
        <v>2666</v>
      </c>
      <c r="B68" s="2606">
        <f>'预评函-3'!D30</f>
        <v>42558</v>
      </c>
    </row>
    <row r="69" spans="1:2" ht="15" thickTop="1">
      <c r="A69" s="2591" t="s">
        <v>2664</v>
      </c>
      <c r="B69" s="2592" t="str">
        <f>'预评函-3'!A20</f>
        <v>王鹏</v>
      </c>
    </row>
    <row r="70" spans="1:2">
      <c r="A70" s="2580" t="s">
        <v>2664</v>
      </c>
      <c r="B70" s="2587">
        <f ca="1">'预评函-3'!B20</f>
        <v>2002110030</v>
      </c>
    </row>
    <row r="71" spans="1:2">
      <c r="A71" s="2580" t="s">
        <v>2665</v>
      </c>
      <c r="B71" s="2581" t="str">
        <f>'预评函-3'!A21</f>
        <v>郑燚</v>
      </c>
    </row>
    <row r="72" spans="1:2" s="2595" customFormat="1" ht="15" thickBot="1">
      <c r="A72" s="2602" t="s">
        <v>2665</v>
      </c>
      <c r="B72" s="2608">
        <f ca="1">'预评函-3'!B21</f>
        <v>2014110011</v>
      </c>
    </row>
    <row r="73" spans="1:2" ht="15" thickTop="1">
      <c r="A73" s="2591" t="s">
        <v>2724</v>
      </c>
      <c r="B73" s="260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80" t="s">
        <v>2725</v>
      </c>
      <c r="B74" s="2588" t="str">
        <f>'预评函-1 (储备)'!A18</f>
        <v>由于本次评估估价目的是评估储备国有建设用地使用权的“抵押价格”，因此本次评估设定土地开发程度为红线外市政基础设施达“三通”、宗地红线内场地平整。</v>
      </c>
    </row>
    <row r="75" spans="1:2" s="2595" customFormat="1" ht="15" thickBot="1">
      <c r="A75" s="2602" t="s">
        <v>2726</v>
      </c>
      <c r="B75" s="260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89" t="s">
        <v>2760</v>
      </c>
      <c r="B76" s="2590"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71" customWidth="1"/>
    <col min="2" max="2" width="10.75" style="1571" customWidth="1"/>
    <col min="3" max="4" width="11.625" style="1571" customWidth="1"/>
    <col min="5" max="5" width="6.625" style="1571" customWidth="1"/>
    <col min="6" max="16384" width="9" style="1571"/>
  </cols>
  <sheetData>
    <row r="36" spans="1:9">
      <c r="A36" s="1570" t="s">
        <v>1891</v>
      </c>
      <c r="B36" s="1570" t="s">
        <v>1892</v>
      </c>
    </row>
    <row r="37" spans="1:9" ht="28.5" customHeight="1">
      <c r="A37" s="1570"/>
      <c r="B37" s="3634" t="str">
        <f>项目基本情况!B1</f>
        <v>四川省眉山市视高街道新明村、南桥社区出让国有建设用地使用权市场价格预评估</v>
      </c>
      <c r="C37" s="3634"/>
      <c r="D37" s="3634"/>
      <c r="E37" s="3634"/>
      <c r="F37" s="3634"/>
      <c r="G37" s="3634"/>
      <c r="H37" s="3634"/>
      <c r="I37" s="3634"/>
    </row>
    <row r="38" spans="1:9">
      <c r="A38" s="1572"/>
      <c r="B38" s="1572"/>
    </row>
    <row r="39" spans="1:9">
      <c r="A39" s="1570" t="s">
        <v>1891</v>
      </c>
      <c r="B39" s="1570" t="s">
        <v>2032</v>
      </c>
    </row>
    <row r="40" spans="1:9">
      <c r="A40" s="1570"/>
      <c r="B40" s="1570" t="str">
        <f>项目基本情况!B5</f>
        <v>五矿国际信托有限公司</v>
      </c>
    </row>
    <row r="41" spans="1:9">
      <c r="A41" s="1570"/>
      <c r="B41" s="1570"/>
    </row>
    <row r="42" spans="1:9">
      <c r="A42" s="1570" t="s">
        <v>1891</v>
      </c>
      <c r="B42" s="1570" t="s">
        <v>2033</v>
      </c>
    </row>
    <row r="43" spans="1:9">
      <c r="A43" s="1570"/>
      <c r="B43" s="1570" t="s">
        <v>1893</v>
      </c>
    </row>
    <row r="44" spans="1:9">
      <c r="A44" s="1570"/>
      <c r="B44" s="1570"/>
    </row>
    <row r="45" spans="1:9">
      <c r="A45" s="1570" t="s">
        <v>1891</v>
      </c>
      <c r="B45" s="1570" t="s">
        <v>2031</v>
      </c>
    </row>
    <row r="46" spans="1:9" s="1570" customFormat="1" ht="12.75">
      <c r="B46" s="1570" t="str">
        <f>项目基本情况!K4</f>
        <v>王鹏、郑燚</v>
      </c>
    </row>
    <row r="47" spans="1:9">
      <c r="A47" s="1570"/>
      <c r="B47" s="1570"/>
    </row>
    <row r="48" spans="1:9">
      <c r="A48" s="1570" t="s">
        <v>1891</v>
      </c>
      <c r="B48" s="1570" t="s">
        <v>2034</v>
      </c>
    </row>
    <row r="49" spans="2:2">
      <c r="B49" s="157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79" customWidth="1"/>
    <col min="2" max="2" width="9" style="1679"/>
    <col min="3" max="4" width="9.625" style="1679" customWidth="1"/>
    <col min="5" max="16384" width="9" style="1679"/>
  </cols>
  <sheetData>
    <row r="1" spans="1:4" ht="22.5">
      <c r="A1" s="1678" t="s">
        <v>1894</v>
      </c>
    </row>
    <row r="2" spans="1:4">
      <c r="A2" s="1680"/>
    </row>
    <row r="3" spans="1:4" ht="18.75">
      <c r="A3" s="1698" t="str">
        <f>项目基本情况!B5&amp;"："</f>
        <v>五矿国际信托有限公司：</v>
      </c>
    </row>
    <row r="4" spans="1:4" ht="37.5">
      <c r="A4" s="1692" t="str">
        <f>"受贵公司委托，我公司对"&amp;项目基本情况!K2&amp;项目基本情况!B9&amp;"进行了预评估。"</f>
        <v>受贵公司委托，我公司对四川省眉山市视高街道新明村、南桥社区出让国有建设用地使用权市场价格进行了预评估。</v>
      </c>
    </row>
    <row r="5" spans="1:4" ht="18.75">
      <c r="A5" s="1695" t="s">
        <v>1895</v>
      </c>
    </row>
    <row r="6" spans="1:4" ht="112.5">
      <c r="A6" s="169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估价对象为环球中军文化旅游开发有限公司、四川省环融中军文化旅游开发有限公司
使用的、位于四川省眉山市视高街道新明村、南桥社区出让国有建设用地使用权。根据《国有土地使用证》[]，估价对象（分摊）出让国有建设用地使用权面积为214384.13平方米。根据《建设工程规划许可证》[]、《出让合同》[]，估价对象规划建筑面积为461591.09平方米。</v>
      </c>
    </row>
    <row r="7" spans="1:4" ht="56.25">
      <c r="A7" s="1696" t="s">
        <v>2721</v>
      </c>
    </row>
    <row r="8" spans="1:4" ht="18.75">
      <c r="A8" s="1695" t="s">
        <v>1896</v>
      </c>
    </row>
    <row r="9" spans="1:4" ht="112.5">
      <c r="A9" s="1697" t="str">
        <f>IF(项目基本情况!B8="抵押",IF(项目基本情况!B5=项目基本情况!B6,定义!C51,定义!B51),定义!D51)</f>
        <v>环球中军文化旅游开发有限公司、四川省环融中军文化旅游开发有限公司
拟使用四川省眉山市视高街道新明村、南桥社区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698" t="s">
        <v>2012</v>
      </c>
    </row>
    <row r="11" spans="1:4" ht="18.75">
      <c r="A11" s="1681" t="str">
        <f>TEXT(项目基本情况!D3,"yyyy年m月d日;;")&amp;IF(项目基本情况!B3=项目基本情况!D3,"（评估专业人员勘察现场之日）","")</f>
        <v>2020年12月26日（评估专业人员勘察现场之日）</v>
      </c>
    </row>
    <row r="12" spans="1:4" ht="18.75">
      <c r="A12" s="1698" t="s">
        <v>2011</v>
      </c>
    </row>
    <row r="13" spans="1:4" ht="18.75">
      <c r="A13" s="1692" t="s">
        <v>2899</v>
      </c>
    </row>
    <row r="14" spans="1:4" ht="18.75">
      <c r="A14" s="1692" t="str">
        <f>"根据"&amp;项目基本情况!F12&amp;"，本次评估估价对象证载（地类）用途为"&amp;项目基本情况!B12&amp;"。"</f>
        <v>根据拍卖公告，本次评估估价对象证载（地类）用途为城镇住宅用地。</v>
      </c>
      <c r="C14" s="1682"/>
      <c r="D14" s="1683"/>
    </row>
    <row r="15" spans="1:4" ht="18.75">
      <c r="A15" s="169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本次评估设定用途即为证载用途住宅、商业及地下车库。</v>
      </c>
      <c r="C15" s="1682"/>
      <c r="D15" s="1683"/>
    </row>
    <row r="16" spans="1:4" ht="18.75">
      <c r="A16" s="1692" t="s">
        <v>2058</v>
      </c>
    </row>
    <row r="17" spans="1:1" ht="56.25">
      <c r="A17" s="169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根据委托估价方介绍及评估专业人员现场勘查，本次评估估价对象实际土地开发程度为红线外市政基础设施达“三通”（即通路、通电、通讯）、宗地红线内场地平整。</v>
      </c>
    </row>
    <row r="18" spans="1:1" ht="37.5">
      <c r="A18" s="169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本次评估设定土地开发程度为红线外市政基础设施达“三通”、宗地红线内场地平整。</v>
      </c>
    </row>
    <row r="19" spans="1:1" ht="18.75">
      <c r="A19" s="1692" t="s">
        <v>2059</v>
      </c>
    </row>
    <row r="20" spans="1:1" ht="56.25">
      <c r="A20" s="239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根据《国有土地使用证》[]，估价对象（分摊）出让国有建设用地使用权面积为214384.13平方米。根据《建设工程规划许可证》[]、《出让合同》[]，估价对象规划建筑面积为461591.09平方米。</v>
      </c>
    </row>
    <row r="21" spans="1:1" ht="18.75">
      <c r="A21" s="1692" t="s">
        <v>2060</v>
      </c>
    </row>
    <row r="22" spans="1:1" ht="56.25">
      <c r="A22" s="169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本次估价对象为出让国有建设用地使用权，拍卖公告证载土地终止日期为住宅2090年12月25日、商业2060年12月25日地下车库2060年12月25日。截至估价期日，出让国有建设用地使用权剩余土地使用年限为。</v>
      </c>
    </row>
    <row r="23" spans="1:1" ht="18.75">
      <c r="A23" s="1692" t="str">
        <f>IF(项目基本情况!B16="出让","本次评估设定估价对象剩余土地使用年限为"&amp;项目基本情况!D20&amp;"。","")</f>
        <v>本次评估设定估价对象剩余土地使用年限为。</v>
      </c>
    </row>
    <row r="24" spans="1:1" ht="18.75">
      <c r="A24" s="1692" t="s">
        <v>2061</v>
      </c>
    </row>
    <row r="25" spans="1:1" ht="93.75">
      <c r="A25" s="1692" t="str">
        <f>定义!C53</f>
        <v>本次估价的“出让国有建设用地使用权价格”是指在估价对象土地所有权为国家所有，使用权性质为出让，在公开市场条件下、于估价期日2020年12月26日，在规划利用条件下、设定土地开发程度为红线外“三通”、宗地内场地平整，设定用途为住宅、商业及地下车库，剩余土地使用年限为的出让国有建设用地使用权价格。</v>
      </c>
    </row>
    <row r="26" spans="1:1" ht="18.75">
      <c r="A26" s="1692" t="str">
        <f>IF(项目基本情况!B9="市场价格","——",IF(项目基本情况!E8="抵押价格",定义!C54,IF(项目基本情况!E8="已注销",定义!C55,定义!C56)))</f>
        <v>——</v>
      </c>
    </row>
    <row r="27" spans="1:1" ht="18.75">
      <c r="A27" s="169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692" t="str">
        <f>IF(项目基本情况!B9="市场价格","——",IF(项目基本情况!E9="——","",定义!C57))</f>
        <v>——</v>
      </c>
    </row>
    <row r="29" spans="1:1" ht="18.75">
      <c r="A29" s="1698" t="s">
        <v>2013</v>
      </c>
    </row>
    <row r="30" spans="1:1" ht="75">
      <c r="A30" s="169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99"/>
    </row>
    <row r="32" spans="1:1" ht="18.75">
      <c r="A32" s="1700" t="s">
        <v>2014</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79" customWidth="1"/>
    <col min="2" max="2" width="9" style="1679"/>
    <col min="3" max="4" width="9.625" style="1679" customWidth="1"/>
    <col min="5" max="16384" width="9" style="1679"/>
  </cols>
  <sheetData>
    <row r="1" spans="1:4" ht="22.5">
      <c r="A1" s="1678" t="s">
        <v>1894</v>
      </c>
    </row>
    <row r="2" spans="1:4">
      <c r="A2" s="1680"/>
    </row>
    <row r="3" spans="1:4" ht="18.75">
      <c r="A3" s="1698" t="str">
        <f>项目基本情况!B5&amp;"："</f>
        <v>五矿国际信托有限公司：</v>
      </c>
    </row>
    <row r="4" spans="1:4" ht="37.5">
      <c r="A4" s="1692" t="str">
        <f>"受贵公司委托，我公司对"&amp;项目基本情况!K2&amp;项目基本情况!B9&amp;"进行了预评估。"</f>
        <v>受贵公司委托，我公司对四川省眉山市视高街道新明村、南桥社区出让国有建设用地使用权市场价格进行了预评估。</v>
      </c>
    </row>
    <row r="5" spans="1:4" ht="18.75">
      <c r="A5" s="1695" t="s">
        <v>1895</v>
      </c>
    </row>
    <row r="6" spans="1:4" ht="112.5">
      <c r="A6" s="169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估价对象为环球中军文化旅游开发有限公司、四川省环融中军文化旅游开发有限公司
使用的、位于四川省眉山市视高街道新明村、南桥社区出让国有建设用地使用权。根据《国有土地使用证》[]，估价对象（分摊）出让国有建设用地使用权面积为214384.13平方米。根据《建设工程规划许可证》[]、《出让合同》[]，估价对象规划建筑面积为461591.09平方米。</v>
      </c>
    </row>
    <row r="7" spans="1:4" ht="93.75">
      <c r="A7" s="2576" t="s">
        <v>2722</v>
      </c>
    </row>
    <row r="8" spans="1:4" ht="18.75">
      <c r="A8" s="1695" t="s">
        <v>1896</v>
      </c>
    </row>
    <row r="9" spans="1:4" ht="112.5">
      <c r="A9" s="1697" t="str">
        <f>IF(项目基本情况!B8="抵押",IF(项目基本情况!B5=项目基本情况!B6,定义!C51,定义!B51),定义!D51)</f>
        <v>环球中军文化旅游开发有限公司、四川省环融中军文化旅游开发有限公司
拟使用四川省眉山市视高街道新明村、南桥社区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698" t="s">
        <v>2012</v>
      </c>
    </row>
    <row r="11" spans="1:4" ht="18.75">
      <c r="A11" s="1681" t="str">
        <f>TEXT(项目基本情况!D3,"yyyy年m月d日;;")&amp;IF(项目基本情况!B3=项目基本情况!D3,"（评估专业人员勘察现场之日）","")</f>
        <v>2020年12月26日（评估专业人员勘察现场之日）</v>
      </c>
    </row>
    <row r="12" spans="1:4" ht="18.75">
      <c r="A12" s="1698" t="s">
        <v>2011</v>
      </c>
    </row>
    <row r="13" spans="1:4" ht="18.75">
      <c r="A13" s="1692" t="s">
        <v>2057</v>
      </c>
    </row>
    <row r="14" spans="1:4" ht="18.75">
      <c r="A14" s="1692" t="str">
        <f>"根据"&amp;项目基本情况!F12&amp;"，本次评估估价对象证载（地类）用途为"&amp;项目基本情况!B12&amp;"。"</f>
        <v>根据拍卖公告，本次评估估价对象证载（地类）用途为城镇住宅用地。</v>
      </c>
      <c r="C14" s="1682"/>
      <c r="D14" s="1683"/>
    </row>
    <row r="15" spans="1:4" ht="18.75">
      <c r="A15" s="169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本次评估设定用途即为证载用途住宅、商业及地下车库。</v>
      </c>
      <c r="C15" s="1682"/>
      <c r="D15" s="1683"/>
    </row>
    <row r="16" spans="1:4" ht="18.75">
      <c r="A16" s="1692" t="s">
        <v>2058</v>
      </c>
    </row>
    <row r="17" spans="1:1" ht="56.25">
      <c r="A17" s="169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根据委托估价方介绍及评估专业人员现场勘查，本次评估估价对象实际土地开发程度为红线外市政基础设施达“三通”（即通路、通电、通讯）、宗地红线内场地平整。</v>
      </c>
    </row>
    <row r="18" spans="1:1" ht="56.25">
      <c r="A18" s="169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由于本次评估估价目的是评估储备国有建设用地使用权的“抵押价格”，因此本次评估设定土地开发程度为红线外市政基础设施达“三通”、宗地红线内场地平整。</v>
      </c>
    </row>
    <row r="19" spans="1:1" ht="18.75">
      <c r="A19" s="1692" t="s">
        <v>2059</v>
      </c>
    </row>
    <row r="20" spans="1:1" ht="56.25">
      <c r="A20" s="239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根据《国有土地使用证》[]，估价对象（分摊）出让国有建设用地使用权面积为214384.13平方米。根据《建设工程规划许可证》[]、《出让合同》[]，估价对象规划建筑面积为461591.09平方米。</v>
      </c>
    </row>
    <row r="21" spans="1:1" ht="93.75">
      <c r="A21" s="257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692" t="s">
        <v>2060</v>
      </c>
    </row>
    <row r="23" spans="1:1" ht="18.75">
      <c r="A23" s="2578" t="s">
        <v>2723</v>
      </c>
    </row>
    <row r="24" spans="1:1" ht="18.75">
      <c r="A24" s="1692" t="s">
        <v>2061</v>
      </c>
    </row>
    <row r="25" spans="1:1" ht="93.75">
      <c r="A25" s="1692" t="str">
        <f>定义!C53</f>
        <v>本次估价的“出让国有建设用地使用权价格”是指在估价对象土地所有权为国家所有，使用权性质为出让，在公开市场条件下、于估价期日2020年12月26日，在规划利用条件下、设定土地开发程度为红线外“三通”、宗地内场地平整，设定用途为住宅、商业及地下车库，剩余土地使用年限为的出让国有建设用地使用权价格。</v>
      </c>
    </row>
    <row r="26" spans="1:1" ht="56.25">
      <c r="A26" s="1692" t="str">
        <f>IF(项目基本情况!E8="抵押价格",定义!C54,IF(项目基本情况!E8="已注销",定义!C55,定义!C56))</f>
        <v>本次估价的“抵押担保权已注销时的抵押价格”是指估价对象在估价期日的“出让国有建设用地使用权价格”扣减估价师于估价期日所知悉的除抵押担保权以外的其他法定优先受偿款后的余额。</v>
      </c>
    </row>
    <row r="27" spans="1:1" ht="56.25">
      <c r="A27" s="169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692" t="str">
        <f>IF(项目基本情况!E9="——","",定义!C57)</f>
        <v/>
      </c>
    </row>
    <row r="29" spans="1:1" ht="18.75">
      <c r="A29" s="1698" t="s">
        <v>2013</v>
      </c>
    </row>
    <row r="30" spans="1:1" ht="75">
      <c r="A30" s="169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99"/>
    </row>
    <row r="32" spans="1:1" ht="18.75">
      <c r="A32" s="1700" t="s">
        <v>2014</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635" t="s">
        <v>2024</v>
      </c>
      <c r="B1" s="3635"/>
      <c r="C1" s="3635"/>
      <c r="D1" s="3635"/>
      <c r="E1" s="3635"/>
      <c r="F1" s="3635"/>
      <c r="G1" s="3635"/>
      <c r="H1" s="3635"/>
      <c r="I1" s="3635"/>
      <c r="J1" s="3635"/>
      <c r="K1" s="3635"/>
      <c r="L1" s="3635"/>
      <c r="M1" s="3635"/>
      <c r="N1" s="3635"/>
      <c r="O1" s="3635"/>
      <c r="P1" s="3635"/>
      <c r="Q1" s="3635"/>
      <c r="R1" s="3635"/>
    </row>
    <row r="2" spans="1:18">
      <c r="A2" s="1708" t="s">
        <v>2026</v>
      </c>
      <c r="B2" s="1708"/>
      <c r="C2" s="1708"/>
      <c r="D2" s="1708"/>
      <c r="E2" s="1708"/>
      <c r="F2" s="1708"/>
      <c r="G2" s="1708"/>
      <c r="H2" s="1708"/>
      <c r="I2" s="1709"/>
      <c r="J2" s="1709"/>
      <c r="K2" s="1710" t="str">
        <f>"估价期日："&amp;TEXT(项目基本情况!D3,"yyyy年m月d日;;")</f>
        <v>估价期日：2020年12月26日</v>
      </c>
      <c r="L2" s="1708"/>
      <c r="M2" s="1708"/>
      <c r="N2" s="1708"/>
      <c r="O2" s="1708"/>
      <c r="P2" s="1708"/>
      <c r="Q2" s="1708"/>
      <c r="R2" s="1710" t="str">
        <f>"估价期日的国有建设用地使用权性质："&amp;项目基本情况!B16</f>
        <v>估价期日的国有建设用地使用权性质：出让</v>
      </c>
    </row>
    <row r="3" spans="1:18" ht="23.25" customHeight="1">
      <c r="A3" s="3636" t="s">
        <v>2015</v>
      </c>
      <c r="B3" s="3636" t="s">
        <v>2705</v>
      </c>
      <c r="C3" s="3637" t="s">
        <v>2016</v>
      </c>
      <c r="D3" s="3636" t="s">
        <v>2709</v>
      </c>
      <c r="E3" s="3639" t="s">
        <v>2017</v>
      </c>
      <c r="F3" s="3639"/>
      <c r="G3" s="3639"/>
      <c r="H3" s="3639" t="s">
        <v>2018</v>
      </c>
      <c r="I3" s="3639"/>
      <c r="J3" s="3639"/>
      <c r="K3" s="3637" t="s">
        <v>2019</v>
      </c>
      <c r="L3" s="3637" t="s">
        <v>2020</v>
      </c>
      <c r="M3" s="3636" t="s">
        <v>2706</v>
      </c>
      <c r="N3" s="3638" t="str">
        <f>"（分摊）"&amp;项目基本情况!B16&amp;"国有建设用地使用权面积/㎡"</f>
        <v>（分摊）出让国有建设用地使用权面积/㎡</v>
      </c>
      <c r="O3" s="3636" t="s">
        <v>2049</v>
      </c>
      <c r="P3" s="3637" t="s">
        <v>2029</v>
      </c>
      <c r="Q3" s="3637" t="s">
        <v>2050</v>
      </c>
      <c r="R3" s="3637" t="s">
        <v>2021</v>
      </c>
    </row>
    <row r="4" spans="1:18" ht="36.75" customHeight="1">
      <c r="A4" s="3636"/>
      <c r="B4" s="3636"/>
      <c r="C4" s="3637"/>
      <c r="D4" s="3636"/>
      <c r="E4" s="2477" t="s">
        <v>2028</v>
      </c>
      <c r="F4" s="2477" t="s">
        <v>2718</v>
      </c>
      <c r="G4" s="2477" t="s">
        <v>2022</v>
      </c>
      <c r="H4" s="2477" t="s">
        <v>2023</v>
      </c>
      <c r="I4" s="2477" t="s">
        <v>2719</v>
      </c>
      <c r="J4" s="2477" t="s">
        <v>2022</v>
      </c>
      <c r="K4" s="3637"/>
      <c r="L4" s="3637"/>
      <c r="M4" s="3636"/>
      <c r="N4" s="3638"/>
      <c r="O4" s="3636"/>
      <c r="P4" s="3637"/>
      <c r="Q4" s="3637"/>
      <c r="R4" s="3637"/>
    </row>
    <row r="5" spans="1:18" ht="135" customHeight="1">
      <c r="A5" s="1843" t="s">
        <v>2629</v>
      </c>
      <c r="B5" s="2570" t="s">
        <v>2627</v>
      </c>
      <c r="C5" s="2476">
        <v>22</v>
      </c>
      <c r="D5" s="2475" t="s">
        <v>2628</v>
      </c>
      <c r="E5" s="1711" t="str">
        <f>项目基本情况!B12</f>
        <v>城镇住宅用地</v>
      </c>
      <c r="F5" s="2475">
        <v>258</v>
      </c>
      <c r="G5" s="1711" t="str">
        <f>项目基本情况!B13</f>
        <v>住宅、商业及地下车库</v>
      </c>
      <c r="H5" s="2475">
        <v>1.5</v>
      </c>
      <c r="I5" s="2475">
        <v>1.5</v>
      </c>
      <c r="J5" s="2475">
        <v>1.5</v>
      </c>
      <c r="K5" s="1711" t="str">
        <f>"红线外"&amp;项目基本情况!T40&amp;"、宗地红线内"&amp;项目基本情况!B35</f>
        <v>红线外三通、宗地红线内场地平整</v>
      </c>
      <c r="L5" s="1711" t="str">
        <f>"红线外"&amp;项目基本情况!T40&amp;"、宗地红线内场地"&amp;项目基本情况!D36</f>
        <v>红线外三通、宗地红线内场地平整</v>
      </c>
      <c r="M5" s="1711">
        <f>IF(项目基本情况!B16="出让",项目基本情况!D20,"——")</f>
        <v>0</v>
      </c>
      <c r="N5" s="1711">
        <f>项目基本情况!C22</f>
        <v>214384.13</v>
      </c>
      <c r="O5" s="1711">
        <f>项目基本情况!C21</f>
        <v>461591.08999999997</v>
      </c>
      <c r="P5" s="1711">
        <f ca="1">结果表!E42</f>
        <v>4730</v>
      </c>
      <c r="Q5" s="1711">
        <f ca="1">结果表!D42</f>
        <v>2197</v>
      </c>
      <c r="R5" s="1712">
        <f ca="1">结果表!C42</f>
        <v>101401</v>
      </c>
    </row>
    <row r="6" spans="1:18">
      <c r="A6" s="3640" t="str">
        <f>IF(项目基本情况!B9="市场价格","——","抵押价格")</f>
        <v>——</v>
      </c>
      <c r="B6" s="3641"/>
      <c r="C6" s="3641"/>
      <c r="D6" s="3641"/>
      <c r="E6" s="3641"/>
      <c r="F6" s="3641"/>
      <c r="G6" s="3641"/>
      <c r="H6" s="3641"/>
      <c r="I6" s="3641"/>
      <c r="J6" s="3641"/>
      <c r="K6" s="3641"/>
      <c r="L6" s="3641"/>
      <c r="M6" s="3641"/>
      <c r="N6" s="3641"/>
      <c r="O6" s="3641"/>
      <c r="P6" s="3641"/>
      <c r="Q6" s="3642"/>
      <c r="R6" s="1713" t="str">
        <f>结果表!O39</f>
        <v>——</v>
      </c>
    </row>
    <row r="7" spans="1:18">
      <c r="A7" s="3640" t="str">
        <f>IF(项目基本情况!B9="市场价格","——",IF(项目基本情况!E8="已注销及未注销","抵押担保权已注销时的抵押价格","——"))</f>
        <v>——</v>
      </c>
      <c r="B7" s="3641"/>
      <c r="C7" s="3641"/>
      <c r="D7" s="3641"/>
      <c r="E7" s="3641"/>
      <c r="F7" s="3641"/>
      <c r="G7" s="3641"/>
      <c r="H7" s="3641"/>
      <c r="I7" s="3641"/>
      <c r="J7" s="3641"/>
      <c r="K7" s="3641"/>
      <c r="L7" s="3641"/>
      <c r="M7" s="3641"/>
      <c r="N7" s="3641"/>
      <c r="O7" s="3641"/>
      <c r="P7" s="3641"/>
      <c r="Q7" s="3642"/>
      <c r="R7" s="1713">
        <f ca="1">结果表!O40</f>
        <v>101401</v>
      </c>
    </row>
    <row r="8" spans="1:18">
      <c r="A8" s="3640" t="str">
        <f>IF(项目基本情况!B9="市场价格","——",项目基本情况!E9)</f>
        <v>——</v>
      </c>
      <c r="B8" s="3641"/>
      <c r="C8" s="3641"/>
      <c r="D8" s="3641"/>
      <c r="E8" s="3641"/>
      <c r="F8" s="3641"/>
      <c r="G8" s="3641"/>
      <c r="H8" s="3641"/>
      <c r="I8" s="3641"/>
      <c r="J8" s="3641"/>
      <c r="K8" s="3641"/>
      <c r="L8" s="3641"/>
      <c r="M8" s="3641"/>
      <c r="N8" s="3641"/>
      <c r="O8" s="3641"/>
      <c r="P8" s="3641"/>
      <c r="Q8" s="3642"/>
      <c r="R8" s="1713" t="str">
        <f>结果表!O41</f>
        <v>——</v>
      </c>
    </row>
    <row r="9" spans="1:18">
      <c r="A9" s="1714" t="s">
        <v>2027</v>
      </c>
      <c r="B9" s="1708"/>
      <c r="C9" s="1708"/>
      <c r="D9" s="1708"/>
      <c r="E9" s="1708"/>
      <c r="F9" s="1708"/>
      <c r="G9" s="1708"/>
      <c r="H9" s="1708"/>
      <c r="I9" s="1708"/>
      <c r="J9" s="1708"/>
      <c r="K9" s="1708"/>
      <c r="L9" s="1708"/>
      <c r="M9" s="1708"/>
      <c r="N9" s="1708"/>
      <c r="O9" s="1708"/>
      <c r="P9" s="1708"/>
      <c r="Q9" s="1708"/>
      <c r="R9" s="1708"/>
    </row>
    <row r="10" spans="1:18">
      <c r="A10" s="1715"/>
      <c r="B10" s="1708"/>
      <c r="C10" s="1708"/>
      <c r="D10" s="1708"/>
      <c r="E10" s="1708"/>
      <c r="F10" s="1708"/>
      <c r="G10" s="1708"/>
      <c r="H10" s="1708"/>
      <c r="I10" s="1708"/>
      <c r="J10" s="1708"/>
      <c r="K10" s="1708"/>
      <c r="L10" s="1708"/>
      <c r="M10" s="1708"/>
      <c r="N10" s="1708"/>
      <c r="O10" s="1708"/>
      <c r="P10" s="1708"/>
      <c r="Q10" s="1708"/>
      <c r="R10" s="1708"/>
    </row>
    <row r="11" spans="1:18">
      <c r="A11" s="1715" t="s">
        <v>2014</v>
      </c>
      <c r="B11" s="1716"/>
      <c r="C11" s="1716"/>
      <c r="D11" s="1716"/>
      <c r="E11" s="1716"/>
      <c r="F11" s="1716"/>
      <c r="G11" s="1716"/>
      <c r="H11" s="1716"/>
      <c r="I11" s="1716"/>
      <c r="J11" s="1716"/>
      <c r="K11" s="1716"/>
      <c r="L11" s="1716"/>
      <c r="M11" s="1716"/>
      <c r="N11" s="1716"/>
      <c r="O11" s="1716"/>
      <c r="P11" s="1716"/>
      <c r="Q11" s="1716"/>
      <c r="R11" s="1716"/>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02"/>
      <c r="B14" s="2"/>
      <c r="C14" s="2"/>
      <c r="D14" s="2"/>
      <c r="E14" s="2"/>
      <c r="F14" s="2"/>
      <c r="G14" s="2"/>
      <c r="H14" s="2"/>
      <c r="I14" s="2"/>
      <c r="J14" s="2"/>
      <c r="K14" s="2"/>
      <c r="L14" s="2"/>
      <c r="M14" s="2"/>
      <c r="N14" s="2"/>
      <c r="O14" s="2"/>
      <c r="P14" s="2"/>
      <c r="Q14" s="2"/>
      <c r="R14" s="2"/>
    </row>
    <row r="15" spans="1:18">
      <c r="A15" s="1694"/>
    </row>
    <row r="16" spans="1:18">
      <c r="A16" s="1694"/>
    </row>
    <row r="17" spans="1:1">
      <c r="A17" s="1694"/>
    </row>
    <row r="18" spans="1:1">
      <c r="A18" s="1694"/>
    </row>
    <row r="19" spans="1:1">
      <c r="A19" s="1694"/>
    </row>
    <row r="20" spans="1:1">
      <c r="A20" s="1693"/>
    </row>
    <row r="21" spans="1:1">
      <c r="A21" s="1693"/>
    </row>
    <row r="22" spans="1:1">
      <c r="A22" s="1694"/>
    </row>
    <row r="23" spans="1:1">
      <c r="A23" s="1694"/>
    </row>
    <row r="24" spans="1:1">
      <c r="A24" s="1694"/>
    </row>
    <row r="25" spans="1:1">
      <c r="A25" s="1694"/>
    </row>
    <row r="26" spans="1:1">
      <c r="A26" s="1694"/>
    </row>
    <row r="27" spans="1:1">
      <c r="A27" s="1694"/>
    </row>
    <row r="28" spans="1:1">
      <c r="A28" s="1694"/>
    </row>
    <row r="29" spans="1:1">
      <c r="A29" s="1694"/>
    </row>
    <row r="30" spans="1:1">
      <c r="A30" s="1694"/>
    </row>
    <row r="31" spans="1:1">
      <c r="A31" s="1694"/>
    </row>
    <row r="32" spans="1:1">
      <c r="A32" s="1694"/>
    </row>
    <row r="33" spans="1:1">
      <c r="A33" s="1694"/>
    </row>
    <row r="34" spans="1:1">
      <c r="A34" s="1694"/>
    </row>
    <row r="35" spans="1:1">
      <c r="A35" s="1694"/>
    </row>
    <row r="36" spans="1:1">
      <c r="A36" s="1694"/>
    </row>
    <row r="37" spans="1:1">
      <c r="A37" s="1694"/>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03" customWidth="1"/>
    <col min="2" max="3" width="21.375" style="1703" customWidth="1"/>
    <col min="4" max="4" width="19.875" style="1703" customWidth="1"/>
    <col min="5" max="16384" width="9" style="1703"/>
  </cols>
  <sheetData>
    <row r="1" spans="1:4">
      <c r="A1" s="3643" t="s">
        <v>2051</v>
      </c>
      <c r="B1" s="3643"/>
      <c r="C1" s="3643"/>
      <c r="D1" s="3643"/>
    </row>
    <row r="2" spans="1:4" ht="47.25" customHeight="1">
      <c r="A2" s="3647" t="str">
        <f>"1.权利限制："&amp;项目基本情况!L24&amp;"未设定租赁等其他他项权利。"</f>
        <v>1.权利限制：根据估价对象————，截至估价期日，估价对象抵押权未见登记。未设定租赁等其他他项权利。</v>
      </c>
      <c r="B2" s="3647"/>
      <c r="C2" s="3647"/>
      <c r="D2" s="3647"/>
    </row>
    <row r="3" spans="1:4" ht="48" customHeight="1">
      <c r="A3" s="3643" t="str">
        <f>"2.基础设施条件：估价对象实际开发程度为"&amp;'预评函-2'!K5&amp;"；本次评估设定开发程度为"&amp;'预评函-2'!L5&amp;"。"</f>
        <v>2.基础设施条件：估价对象实际开发程度为红线外三通、宗地红线内场地平整；本次评估设定开发程度为红线外三通、宗地红线内场地平整。</v>
      </c>
      <c r="B3" s="3643"/>
      <c r="C3" s="3643"/>
      <c r="D3" s="3643"/>
    </row>
    <row r="4" spans="1:4" ht="36.75" customHeight="1">
      <c r="A4" s="3643" t="str">
        <f>"3.估价规划限制条件：详见"&amp;项目基本情况!E21&amp;"。"</f>
        <v>3.估价规划限制条件：详见《建设工程规划许可证》[]、《出让合同》[]。</v>
      </c>
      <c r="B4" s="3643"/>
      <c r="C4" s="3643"/>
      <c r="D4" s="3643"/>
    </row>
    <row r="5" spans="1:4">
      <c r="A5" s="3646" t="s">
        <v>2052</v>
      </c>
      <c r="B5" s="3646"/>
      <c r="C5" s="3646"/>
      <c r="D5" s="3646"/>
    </row>
    <row r="6" spans="1:4">
      <c r="A6" s="3643" t="s">
        <v>2030</v>
      </c>
      <c r="B6" s="3643"/>
      <c r="C6" s="3643"/>
      <c r="D6" s="3643"/>
    </row>
    <row r="7" spans="1:4" ht="33" customHeight="1">
      <c r="A7" s="3643" t="s">
        <v>2550</v>
      </c>
      <c r="B7" s="3643"/>
      <c r="C7" s="3643"/>
      <c r="D7" s="3643"/>
    </row>
    <row r="8" spans="1:4" ht="32.25" customHeight="1">
      <c r="A8" s="364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643"/>
      <c r="C8" s="3643"/>
      <c r="D8" s="3643"/>
    </row>
    <row r="9" spans="1:4" ht="33.75" customHeight="1">
      <c r="A9" s="364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643"/>
      <c r="C9" s="3643"/>
      <c r="D9" s="3643"/>
    </row>
    <row r="10" spans="1:4">
      <c r="A10" s="3643" t="str">
        <f>IF(项目基本情况!B8="抵押","4.估价师所知悉的法定优先受偿款情况为：","——")</f>
        <v>4.估价师所知悉的法定优先受偿款情况为：</v>
      </c>
      <c r="B10" s="3643"/>
      <c r="C10" s="3643"/>
      <c r="D10" s="3643"/>
    </row>
    <row r="11" spans="1:4" ht="37.5" customHeight="1">
      <c r="A11" s="3645" t="str">
        <f>IF(项目基本情况!B8="抵押","（1）"&amp;CONCATENATE(项目基本情况!L24,项目基本情况!L25,项目基本情况!L26),"——")</f>
        <v>（1）根据估价对象————，截至估价期日，估价对象抵押权未见登记。</v>
      </c>
      <c r="B11" s="3645"/>
      <c r="C11" s="3645"/>
      <c r="D11" s="3645"/>
    </row>
    <row r="12" spans="1:4" ht="168" customHeight="1">
      <c r="A12" s="3646" t="s">
        <v>2054</v>
      </c>
      <c r="B12" s="3646"/>
      <c r="C12" s="3646"/>
      <c r="D12" s="3646"/>
    </row>
    <row r="13" spans="1:4">
      <c r="A13" s="3644" t="s">
        <v>2720</v>
      </c>
      <c r="B13" s="3644"/>
      <c r="C13" s="3644"/>
      <c r="D13" s="3644"/>
    </row>
    <row r="14" spans="1:4">
      <c r="A14" s="3645" t="str">
        <f>IF(项目基本情况!B8="抵押","综上，"&amp;结果表!K47,"——")</f>
        <v>综上，本次评估不存在估价师知悉的法定优先受偿款</v>
      </c>
      <c r="B14" s="3645"/>
      <c r="C14" s="3645"/>
      <c r="D14" s="3645"/>
    </row>
    <row r="15" spans="1:4" ht="58.5" customHeight="1">
      <c r="A15" s="364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643"/>
      <c r="C15" s="3643"/>
      <c r="D15" s="3643"/>
    </row>
    <row r="16" spans="1:4" ht="70.5" customHeight="1">
      <c r="A16" s="364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643"/>
      <c r="C16" s="3643"/>
      <c r="D16" s="3643"/>
    </row>
    <row r="17" spans="1:4">
      <c r="A17" s="3643" t="s">
        <v>2676</v>
      </c>
      <c r="B17" s="3643"/>
      <c r="C17" s="3643"/>
      <c r="D17" s="3643"/>
    </row>
    <row r="18" spans="1:4">
      <c r="A18" s="3643" t="s">
        <v>2668</v>
      </c>
      <c r="B18" s="3643"/>
      <c r="C18" s="3643"/>
      <c r="D18" s="3643"/>
    </row>
    <row r="19" spans="1:4">
      <c r="A19" s="2571" t="s">
        <v>2669</v>
      </c>
      <c r="B19" s="2571" t="s">
        <v>2670</v>
      </c>
      <c r="C19" s="2571" t="s">
        <v>2671</v>
      </c>
      <c r="D19" s="2571" t="s">
        <v>2672</v>
      </c>
    </row>
    <row r="20" spans="1:4">
      <c r="A20" s="2571" t="str">
        <f>项目基本情况!B4</f>
        <v>王鹏</v>
      </c>
      <c r="B20" s="2571">
        <f ca="1">项目基本情况!C4</f>
        <v>2002110030</v>
      </c>
      <c r="C20" s="2573"/>
      <c r="D20" s="1701" t="s">
        <v>2677</v>
      </c>
    </row>
    <row r="21" spans="1:4">
      <c r="A21" s="2571" t="str">
        <f>项目基本情况!D4</f>
        <v>郑燚</v>
      </c>
      <c r="B21" s="2571">
        <f ca="1">项目基本情况!E4</f>
        <v>2014110011</v>
      </c>
      <c r="C21" s="2573"/>
      <c r="D21" s="1701" t="s">
        <v>2678</v>
      </c>
    </row>
    <row r="23" spans="1:4">
      <c r="A23" s="3643" t="s">
        <v>2673</v>
      </c>
      <c r="B23" s="3643"/>
      <c r="C23" s="3643"/>
      <c r="D23" s="3643"/>
    </row>
    <row r="24" spans="1:4">
      <c r="A24" s="2571" t="s">
        <v>2669</v>
      </c>
      <c r="B24" s="2571" t="s">
        <v>2674</v>
      </c>
      <c r="C24" s="2571" t="s">
        <v>2671</v>
      </c>
      <c r="D24" s="2571" t="s">
        <v>2672</v>
      </c>
    </row>
    <row r="25" spans="1:4">
      <c r="A25" s="2574" t="s">
        <v>2675</v>
      </c>
      <c r="B25" s="2571" t="s">
        <v>942</v>
      </c>
      <c r="C25" s="2573"/>
      <c r="D25" s="1701" t="s">
        <v>2678</v>
      </c>
    </row>
    <row r="29" spans="1:4">
      <c r="D29" s="2572" t="s">
        <v>2025</v>
      </c>
    </row>
    <row r="30" spans="1:4">
      <c r="D30" s="2575">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X22" sqref="X22"/>
      <selection pane="bottomLeft" activeCell="X22" sqref="X22"/>
    </sheetView>
  </sheetViews>
  <sheetFormatPr defaultColWidth="14.5" defaultRowHeight="15.75"/>
  <cols>
    <col min="1" max="1" width="14.5" style="1139" customWidth="1"/>
    <col min="2" max="16384" width="14.5" style="1137"/>
  </cols>
  <sheetData>
    <row r="1" spans="1:7" s="1135" customFormat="1" ht="18.75">
      <c r="A1" s="1134" t="s">
        <v>65</v>
      </c>
    </row>
    <row r="3" spans="1:7" ht="14.25">
      <c r="A3" s="1136" t="s">
        <v>66</v>
      </c>
      <c r="B3" s="1137" t="s">
        <v>67</v>
      </c>
      <c r="G3" s="1138"/>
    </row>
    <row r="4" spans="1:7">
      <c r="G4" s="1138"/>
    </row>
    <row r="5" spans="1:7" ht="14.25">
      <c r="A5" s="1140" t="s">
        <v>45</v>
      </c>
      <c r="B5" s="1137" t="s">
        <v>46</v>
      </c>
      <c r="G5" s="1138"/>
    </row>
    <row r="6" spans="1:7">
      <c r="G6" s="1138"/>
    </row>
    <row r="7" spans="1:7" ht="14.25">
      <c r="A7" s="1141" t="s">
        <v>47</v>
      </c>
      <c r="B7" s="1137" t="s">
        <v>48</v>
      </c>
      <c r="G7" s="1138"/>
    </row>
    <row r="8" spans="1:7">
      <c r="G8" s="1138"/>
    </row>
    <row r="9" spans="1:7">
      <c r="A9" s="1142" t="s">
        <v>49</v>
      </c>
      <c r="B9" s="1137" t="s">
        <v>50</v>
      </c>
    </row>
    <row r="11" spans="1:7">
      <c r="A11" s="1143" t="s">
        <v>51</v>
      </c>
      <c r="B11" s="1144" t="s">
        <v>862</v>
      </c>
    </row>
    <row r="13" spans="1:7">
      <c r="A13" s="1145" t="s">
        <v>52</v>
      </c>
    </row>
    <row r="15" spans="1:7" ht="14.25">
      <c r="A15" s="3655" t="s">
        <v>53</v>
      </c>
      <c r="B15" s="3656" t="s">
        <v>837</v>
      </c>
      <c r="C15" s="3652"/>
    </row>
    <row r="16" spans="1:7" ht="14.25">
      <c r="A16" s="3655"/>
      <c r="B16" s="3653" t="s">
        <v>54</v>
      </c>
      <c r="C16" s="1146" t="s">
        <v>53</v>
      </c>
    </row>
    <row r="17" spans="1:3" ht="14.25">
      <c r="A17" s="3655"/>
      <c r="B17" s="3653"/>
      <c r="C17" s="1146" t="s">
        <v>55</v>
      </c>
    </row>
    <row r="18" spans="1:3" ht="14.25">
      <c r="A18" s="3655"/>
      <c r="B18" s="3653"/>
      <c r="C18" s="1146" t="s">
        <v>56</v>
      </c>
    </row>
    <row r="19" spans="1:3" ht="14.25">
      <c r="A19" s="3655"/>
      <c r="B19" s="3651" t="s">
        <v>57</v>
      </c>
      <c r="C19" s="3652"/>
    </row>
    <row r="20" spans="1:3" ht="14.25">
      <c r="A20" s="1147" t="s">
        <v>58</v>
      </c>
      <c r="B20" s="1148"/>
      <c r="C20" s="1149"/>
    </row>
    <row r="21" spans="1:3" ht="14.25">
      <c r="A21" s="3654" t="s">
        <v>59</v>
      </c>
      <c r="B21" s="3651" t="s">
        <v>60</v>
      </c>
      <c r="C21" s="3652"/>
    </row>
    <row r="22" spans="1:3" ht="14.25">
      <c r="A22" s="3654"/>
      <c r="B22" s="3651" t="s">
        <v>61</v>
      </c>
      <c r="C22" s="3652"/>
    </row>
    <row r="23" spans="1:3" ht="14.25">
      <c r="A23" s="3654"/>
      <c r="B23" s="3651" t="s">
        <v>62</v>
      </c>
      <c r="C23" s="3652"/>
    </row>
    <row r="24" spans="1:3" ht="14.25">
      <c r="A24" s="3654"/>
      <c r="B24" s="3657" t="s">
        <v>63</v>
      </c>
      <c r="C24" s="1150" t="s">
        <v>828</v>
      </c>
    </row>
    <row r="25" spans="1:3" ht="14.25">
      <c r="A25" s="3654"/>
      <c r="B25" s="3658"/>
      <c r="C25" s="1150" t="s">
        <v>829</v>
      </c>
    </row>
    <row r="26" spans="1:3" ht="14.25">
      <c r="A26" s="3654"/>
      <c r="B26" s="3658"/>
      <c r="C26" s="1150" t="s">
        <v>830</v>
      </c>
    </row>
    <row r="27" spans="1:3" ht="14.25">
      <c r="A27" s="3654"/>
      <c r="B27" s="3658"/>
      <c r="C27" s="1150" t="s">
        <v>831</v>
      </c>
    </row>
    <row r="28" spans="1:3" ht="14.25">
      <c r="A28" s="3654"/>
      <c r="B28" s="3658"/>
      <c r="C28" s="1150" t="s">
        <v>832</v>
      </c>
    </row>
    <row r="29" spans="1:3" ht="14.25">
      <c r="A29" s="3654"/>
      <c r="B29" s="3658"/>
      <c r="C29" s="1150" t="s">
        <v>833</v>
      </c>
    </row>
    <row r="30" spans="1:3" ht="14.25">
      <c r="A30" s="3654"/>
      <c r="B30" s="3658"/>
      <c r="C30" s="1150" t="s">
        <v>834</v>
      </c>
    </row>
    <row r="31" spans="1:3" ht="14.25">
      <c r="A31" s="3654"/>
      <c r="B31" s="3658"/>
      <c r="C31" s="1150" t="s">
        <v>835</v>
      </c>
    </row>
    <row r="32" spans="1:3" ht="14.25">
      <c r="A32" s="3654"/>
      <c r="B32" s="3658"/>
      <c r="C32" s="1150" t="s">
        <v>1636</v>
      </c>
    </row>
    <row r="33" spans="1:3" ht="14.25">
      <c r="A33" s="3654"/>
      <c r="B33" s="3648" t="s">
        <v>1642</v>
      </c>
      <c r="C33" s="1150" t="s">
        <v>1637</v>
      </c>
    </row>
    <row r="34" spans="1:3" ht="14.25">
      <c r="A34" s="3654"/>
      <c r="B34" s="3649"/>
      <c r="C34" s="1155" t="s">
        <v>1638</v>
      </c>
    </row>
    <row r="35" spans="1:3" ht="14.25">
      <c r="A35" s="3654"/>
      <c r="B35" s="3649"/>
      <c r="C35" s="1156" t="s">
        <v>1639</v>
      </c>
    </row>
    <row r="36" spans="1:3" ht="14.25">
      <c r="A36" s="3654"/>
      <c r="B36" s="3649"/>
      <c r="C36" s="1156" t="s">
        <v>1640</v>
      </c>
    </row>
    <row r="37" spans="1:3" ht="14.25">
      <c r="A37" s="3654"/>
      <c r="B37" s="3650"/>
      <c r="C37" s="1157" t="s">
        <v>1641</v>
      </c>
    </row>
    <row r="38" spans="1:3">
      <c r="A38" s="1151" t="s">
        <v>836</v>
      </c>
    </row>
    <row r="41" spans="1:3">
      <c r="A41" s="1151" t="s">
        <v>68</v>
      </c>
    </row>
    <row r="42" spans="1:3" ht="14.25">
      <c r="A42" s="1152" t="s">
        <v>844</v>
      </c>
    </row>
    <row r="43" spans="1:3" ht="14.25">
      <c r="A43" s="1153" t="s">
        <v>69</v>
      </c>
    </row>
    <row r="44" spans="1:3" ht="14.25">
      <c r="A44" s="1152" t="s">
        <v>843</v>
      </c>
    </row>
    <row r="45" spans="1:3" ht="14.25">
      <c r="A45" s="1154" t="s">
        <v>845</v>
      </c>
    </row>
    <row r="46" spans="1:3" ht="14.25">
      <c r="A46" s="1153"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X22" sqref="X22"/>
    </sheetView>
  </sheetViews>
  <sheetFormatPr defaultColWidth="22.625" defaultRowHeight="20.25" customHeight="1"/>
  <cols>
    <col min="1" max="1" width="24.75" style="2815" customWidth="1"/>
    <col min="2" max="2" width="22.75" style="2815" bestFit="1" customWidth="1"/>
    <col min="3" max="3" width="25.75" style="2815" bestFit="1" customWidth="1"/>
    <col min="4" max="4" width="22.625" style="2815"/>
    <col min="5" max="5" width="22.75" style="2815" bestFit="1" customWidth="1"/>
    <col min="6" max="6" width="25.625" style="2815" customWidth="1"/>
    <col min="7" max="16384" width="22.625" style="2815"/>
  </cols>
  <sheetData>
    <row r="1" spans="1:7" ht="20.25" customHeight="1">
      <c r="A1" s="3010"/>
      <c r="B1" s="3010"/>
      <c r="C1" s="3010"/>
      <c r="D1" s="3010"/>
      <c r="E1" s="3010"/>
      <c r="F1" s="3010"/>
      <c r="G1" s="3010"/>
    </row>
    <row r="2" spans="1:7" ht="20.25" customHeight="1">
      <c r="A2" s="3011" t="s">
        <v>1897</v>
      </c>
      <c r="B2" s="3012">
        <f ca="1">TODAY()</f>
        <v>44194</v>
      </c>
      <c r="C2" s="3013" t="s">
        <v>1898</v>
      </c>
      <c r="D2" s="3013"/>
      <c r="E2" s="3010"/>
      <c r="F2" s="3010"/>
      <c r="G2" s="3010"/>
    </row>
    <row r="3" spans="1:7" ht="20.25" customHeight="1">
      <c r="A3" s="3034" t="s">
        <v>1899</v>
      </c>
      <c r="B3" s="3015" t="s">
        <v>1900</v>
      </c>
      <c r="C3" s="3016" t="s">
        <v>1901</v>
      </c>
      <c r="D3" s="3035" t="s">
        <v>1902</v>
      </c>
      <c r="E3" s="3015" t="s">
        <v>1903</v>
      </c>
      <c r="F3" s="3015" t="s">
        <v>1901</v>
      </c>
      <c r="G3" s="3010"/>
    </row>
    <row r="4" spans="1:7" ht="20.25" customHeight="1">
      <c r="A4" s="3015" t="s">
        <v>1904</v>
      </c>
      <c r="B4" s="3015">
        <f ca="1">IF(C4&lt;B2,"已过期",1119970066)</f>
        <v>1119970066</v>
      </c>
      <c r="C4" s="3018">
        <v>44876</v>
      </c>
      <c r="D4" s="3026" t="s">
        <v>1904</v>
      </c>
      <c r="E4" s="3015">
        <f ca="1">IF(F4&lt;B2,"已过期",96010014)</f>
        <v>96010014</v>
      </c>
      <c r="F4" s="3017">
        <v>47118</v>
      </c>
      <c r="G4" s="3010"/>
    </row>
    <row r="5" spans="1:7" ht="20.25" customHeight="1">
      <c r="A5" s="3015" t="s">
        <v>1905</v>
      </c>
      <c r="B5" s="3015">
        <f ca="1">IF(C5&lt;B2,"已过期",1119970111)</f>
        <v>1119970111</v>
      </c>
      <c r="C5" s="3018">
        <v>44876</v>
      </c>
      <c r="D5" s="3026" t="s">
        <v>1905</v>
      </c>
      <c r="E5" s="3015">
        <f ca="1">IF(F5&lt;B2,"已过期",94010078)</f>
        <v>94010078</v>
      </c>
      <c r="F5" s="3017">
        <v>46387</v>
      </c>
      <c r="G5" s="3010"/>
    </row>
    <row r="6" spans="1:7" ht="20.25" customHeight="1">
      <c r="A6" s="3015" t="s">
        <v>1906</v>
      </c>
      <c r="B6" s="3015">
        <f ca="1">IF(C6&lt;B2,"已过期",1120050019)</f>
        <v>1120050019</v>
      </c>
      <c r="C6" s="3018">
        <v>44395</v>
      </c>
      <c r="D6" s="3026" t="s">
        <v>1906</v>
      </c>
      <c r="E6" s="3015">
        <f ca="1">IF(F6&lt;B2,"已过期",2002110030)</f>
        <v>2002110030</v>
      </c>
      <c r="F6" s="3017">
        <v>46387</v>
      </c>
      <c r="G6" s="3010"/>
    </row>
    <row r="7" spans="1:7" ht="20.25" customHeight="1">
      <c r="A7" s="3015" t="s">
        <v>1907</v>
      </c>
      <c r="B7" s="3015">
        <f ca="1">IF(C7&lt;B2,"已过期",1120000080)</f>
        <v>1120000080</v>
      </c>
      <c r="C7" s="3018">
        <v>44876</v>
      </c>
      <c r="D7" s="3026" t="s">
        <v>1907</v>
      </c>
      <c r="E7" s="3015">
        <f ca="1">IF(F7&lt;B2,"已过期",2000110082)</f>
        <v>2000110082</v>
      </c>
      <c r="F7" s="3017">
        <v>46387</v>
      </c>
      <c r="G7" s="3010"/>
    </row>
    <row r="8" spans="1:7" ht="20.25" customHeight="1">
      <c r="A8" s="3015" t="s">
        <v>1908</v>
      </c>
      <c r="B8" s="3015">
        <f ca="1">IF(C8&lt;B2,"已过期",1419970001)</f>
        <v>1419970001</v>
      </c>
      <c r="C8" s="3018">
        <v>44899</v>
      </c>
      <c r="D8" s="3026" t="s">
        <v>1908</v>
      </c>
      <c r="E8" s="3015">
        <f ca="1">IF(F8&lt;B2,"已过期",2002110125)</f>
        <v>2002110125</v>
      </c>
      <c r="F8" s="3017">
        <v>47118</v>
      </c>
      <c r="G8" s="3010"/>
    </row>
    <row r="9" spans="1:7" ht="20.25" customHeight="1">
      <c r="A9" s="3015" t="s">
        <v>1909</v>
      </c>
      <c r="B9" s="3015">
        <f ca="1">IF(C9&lt;B2,"已过期",1120060040)</f>
        <v>1120060040</v>
      </c>
      <c r="C9" s="3018">
        <v>44554</v>
      </c>
      <c r="D9" s="3026" t="s">
        <v>1909</v>
      </c>
      <c r="E9" s="3015">
        <f ca="1">IF(F9&lt;B2,"已过期",2004110096)</f>
        <v>2004110096</v>
      </c>
      <c r="F9" s="3017">
        <v>47118</v>
      </c>
      <c r="G9" s="3010"/>
    </row>
    <row r="10" spans="1:7" ht="20.25" customHeight="1">
      <c r="A10" s="3015" t="s">
        <v>1910</v>
      </c>
      <c r="B10" s="3015">
        <f ca="1">IF(C10&lt;B2,"已过期",1120100036)</f>
        <v>1120100036</v>
      </c>
      <c r="C10" s="3018">
        <v>44675</v>
      </c>
      <c r="D10" s="3026" t="s">
        <v>1910</v>
      </c>
      <c r="E10" s="3015">
        <f ca="1">IF(F10&lt;B2,"已过期",2010110070)</f>
        <v>2010110070</v>
      </c>
      <c r="F10" s="3017">
        <v>47907</v>
      </c>
      <c r="G10" s="3010"/>
    </row>
    <row r="11" spans="1:7" ht="20.25" customHeight="1">
      <c r="A11" s="3015" t="s">
        <v>1911</v>
      </c>
      <c r="B11" s="3015">
        <f ca="1">IF(C11&lt;B2,"已过期",1120070131)</f>
        <v>1120070131</v>
      </c>
      <c r="C11" s="3018">
        <v>44849</v>
      </c>
      <c r="D11" s="3026" t="s">
        <v>1911</v>
      </c>
      <c r="E11" s="3015">
        <f ca="1">IF(F11&lt;B2,"已过期",2014110011)</f>
        <v>2014110011</v>
      </c>
      <c r="F11" s="3017">
        <v>49302</v>
      </c>
      <c r="G11" s="3010"/>
    </row>
    <row r="12" spans="1:7" ht="20.25" customHeight="1">
      <c r="A12" s="3015" t="s">
        <v>2935</v>
      </c>
      <c r="B12" s="3015">
        <f ca="1">IF(C12&lt;B2,"已过期",1120040230)</f>
        <v>1120040230</v>
      </c>
      <c r="C12" s="3018">
        <v>44864</v>
      </c>
      <c r="D12" s="3026" t="s">
        <v>2936</v>
      </c>
      <c r="E12" s="3015">
        <f ca="1">IF(F12&lt;B2,"已过期",98030020)</f>
        <v>98030020</v>
      </c>
      <c r="F12" s="3017">
        <v>47118</v>
      </c>
      <c r="G12" s="3010"/>
    </row>
    <row r="13" spans="1:7" ht="20.25" customHeight="1">
      <c r="A13" s="3015"/>
      <c r="B13" s="3015"/>
      <c r="C13" s="3018"/>
      <c r="D13" s="3026" t="s">
        <v>1912</v>
      </c>
      <c r="E13" s="3015">
        <f ca="1">IF(F13&lt;B2,"已过期",2011110090)</f>
        <v>2011110090</v>
      </c>
      <c r="F13" s="3017">
        <v>48302</v>
      </c>
      <c r="G13" s="3010"/>
    </row>
    <row r="14" spans="1:7" ht="20.25" customHeight="1">
      <c r="A14" s="3015" t="s">
        <v>1913</v>
      </c>
      <c r="B14" s="3015">
        <f ca="1">IF(C14&lt;B2,"已过期",1120020033)</f>
        <v>1120020033</v>
      </c>
      <c r="C14" s="3018">
        <v>44339</v>
      </c>
      <c r="D14" s="3026" t="s">
        <v>1913</v>
      </c>
      <c r="E14" s="3015">
        <f ca="1">IF(F14&lt;B2,"已过期",2000110137)</f>
        <v>2000110137</v>
      </c>
      <c r="F14" s="3017">
        <v>46387</v>
      </c>
      <c r="G14" s="3010"/>
    </row>
    <row r="15" spans="1:7" ht="20.25" customHeight="1">
      <c r="A15" s="3015" t="s">
        <v>2950</v>
      </c>
      <c r="B15" s="3015">
        <f ca="1">IF(C14&lt;B2,"已过期",1119980106)</f>
        <v>1119980106</v>
      </c>
      <c r="C15" s="3018">
        <v>44969</v>
      </c>
      <c r="D15" s="3026"/>
      <c r="E15" s="3015"/>
      <c r="F15" s="3015"/>
      <c r="G15" s="3010"/>
    </row>
    <row r="16" spans="1:7" s="2816" customFormat="1" ht="20.25" customHeight="1">
      <c r="A16" s="3014" t="s">
        <v>2039</v>
      </c>
      <c r="B16" s="3014" t="s">
        <v>2039</v>
      </c>
      <c r="C16" s="3018"/>
      <c r="D16" s="3027" t="s">
        <v>2039</v>
      </c>
      <c r="E16" s="3015" t="s">
        <v>2039</v>
      </c>
      <c r="F16" s="3017"/>
      <c r="G16" s="3019"/>
    </row>
    <row r="17" spans="1:7" ht="20.25" customHeight="1">
      <c r="A17" s="3662" t="s">
        <v>1914</v>
      </c>
      <c r="B17" s="3663"/>
      <c r="C17" s="3663"/>
      <c r="D17" s="3663"/>
      <c r="E17" s="3663"/>
      <c r="F17" s="3663"/>
      <c r="G17" s="3019"/>
    </row>
    <row r="18" spans="1:7" ht="20.25" customHeight="1">
      <c r="A18" s="3659" t="s">
        <v>1915</v>
      </c>
      <c r="B18" s="3659"/>
      <c r="C18" s="3660"/>
      <c r="D18" s="3661" t="s">
        <v>1916</v>
      </c>
      <c r="E18" s="3659"/>
      <c r="F18" s="3659"/>
      <c r="G18" s="3019"/>
    </row>
    <row r="19" spans="1:7" s="2814" customFormat="1" ht="20.25" customHeight="1">
      <c r="A19" s="3020" t="s">
        <v>1917</v>
      </c>
      <c r="B19" s="3021" t="s">
        <v>1918</v>
      </c>
      <c r="C19" s="3028" t="s">
        <v>1919</v>
      </c>
      <c r="D19" s="3026" t="s">
        <v>1917</v>
      </c>
      <c r="E19" s="3021" t="s">
        <v>1918</v>
      </c>
      <c r="F19" s="3021" t="s">
        <v>1919</v>
      </c>
      <c r="G19" s="3011"/>
    </row>
    <row r="20" spans="1:7" s="2814" customFormat="1" ht="20.25" customHeight="1">
      <c r="A20" s="3022" t="s">
        <v>1920</v>
      </c>
      <c r="B20" s="3022" t="s">
        <v>1921</v>
      </c>
      <c r="C20" s="3029">
        <v>44820</v>
      </c>
      <c r="D20" s="3031" t="s">
        <v>1922</v>
      </c>
      <c r="E20" s="3022" t="s">
        <v>1923</v>
      </c>
      <c r="F20" s="3023">
        <v>44377</v>
      </c>
      <c r="G20" s="3011"/>
    </row>
    <row r="21" spans="1:7" s="2814" customFormat="1" ht="20.25" customHeight="1">
      <c r="A21" s="3022"/>
      <c r="B21" s="3022"/>
      <c r="C21" s="3030"/>
      <c r="D21" s="3031" t="s">
        <v>1924</v>
      </c>
      <c r="E21" s="3022" t="s">
        <v>2949</v>
      </c>
      <c r="F21" s="3023">
        <v>44012</v>
      </c>
      <c r="G21" s="3011"/>
    </row>
    <row r="22" spans="1:7" ht="20.25" customHeight="1">
      <c r="A22" s="3010"/>
      <c r="B22" s="3010"/>
      <c r="C22" s="3024"/>
      <c r="D22" s="3032"/>
      <c r="E22" s="3033"/>
      <c r="F22" s="3025" t="s">
        <v>2963</v>
      </c>
      <c r="G22" s="3010"/>
    </row>
  </sheetData>
  <sheetProtection password="CEE9" sheet="1" objects="1" scenarios="1"/>
  <mergeCells count="3">
    <mergeCell ref="A18:C18"/>
    <mergeCell ref="D18:F18"/>
    <mergeCell ref="A17:F17"/>
  </mergeCells>
  <phoneticPr fontId="3" type="noConversion"/>
  <conditionalFormatting sqref="C16:D16 C5 C12:C13">
    <cfRule type="expression" dxfId="253" priority="149">
      <formula>AND($C5-TODAY()&lt;30,TODAY()&lt;$C5)</formula>
    </cfRule>
  </conditionalFormatting>
  <conditionalFormatting sqref="C20">
    <cfRule type="expression" dxfId="252" priority="148">
      <formula>AND($C20-TODAY()&lt;30,TODAY()&lt;$C20)</formula>
    </cfRule>
  </conditionalFormatting>
  <conditionalFormatting sqref="C20 F4 C5 C13">
    <cfRule type="cellIs" dxfId="251" priority="150" stopIfTrue="1" operator="lessThan">
      <formula>$B$2</formula>
    </cfRule>
  </conditionalFormatting>
  <conditionalFormatting sqref="F5 F7 F9">
    <cfRule type="cellIs" dxfId="250" priority="144" stopIfTrue="1" operator="lessThan">
      <formula>$B$2</formula>
    </cfRule>
  </conditionalFormatting>
  <conditionalFormatting sqref="C16:D16">
    <cfRule type="expression" dxfId="249" priority="142">
      <formula>AND($C16-TODAY()&lt;30,TODAY()&lt;$C16)</formula>
    </cfRule>
  </conditionalFormatting>
  <conditionalFormatting sqref="F6 F8 F10 C16:D16">
    <cfRule type="cellIs" dxfId="248" priority="143" stopIfTrue="1" operator="lessThan">
      <formula>$B$2</formula>
    </cfRule>
  </conditionalFormatting>
  <conditionalFormatting sqref="F14">
    <cfRule type="cellIs" dxfId="247" priority="114" stopIfTrue="1" operator="lessThan">
      <formula>$B$2</formula>
    </cfRule>
  </conditionalFormatting>
  <conditionalFormatting sqref="F13">
    <cfRule type="cellIs" dxfId="246" priority="113" stopIfTrue="1" operator="lessThan">
      <formula>$B$2</formula>
    </cfRule>
  </conditionalFormatting>
  <conditionalFormatting sqref="B4:B11 E4:E11 E13:E15 B13:B15">
    <cfRule type="cellIs" dxfId="245" priority="111" stopIfTrue="1" operator="equal">
      <formula>"已过期"</formula>
    </cfRule>
  </conditionalFormatting>
  <conditionalFormatting sqref="F20">
    <cfRule type="cellIs" dxfId="244" priority="108" stopIfTrue="1" operator="lessThan">
      <formula>$B$2</formula>
    </cfRule>
  </conditionalFormatting>
  <conditionalFormatting sqref="F20">
    <cfRule type="expression" dxfId="243" priority="152">
      <formula>AND($E20-TODAY()&lt;30,TODAY()&lt;$E20)</formula>
    </cfRule>
  </conditionalFormatting>
  <conditionalFormatting sqref="C6">
    <cfRule type="expression" dxfId="242" priority="82">
      <formula>AND($C6-TODAY()&lt;30,TODAY()&lt;$C6)</formula>
    </cfRule>
  </conditionalFormatting>
  <conditionalFormatting sqref="C6">
    <cfRule type="cellIs" dxfId="241" priority="83" stopIfTrue="1" operator="lessThan">
      <formula>$B$2</formula>
    </cfRule>
  </conditionalFormatting>
  <conditionalFormatting sqref="C11 C15">
    <cfRule type="expression" dxfId="240" priority="80">
      <formula>AND($C11-TODAY()&lt;30,TODAY()&lt;$C11)</formula>
    </cfRule>
  </conditionalFormatting>
  <conditionalFormatting sqref="C11 C15">
    <cfRule type="cellIs" dxfId="239" priority="81" stopIfTrue="1" operator="lessThan">
      <formula>$B$2</formula>
    </cfRule>
  </conditionalFormatting>
  <conditionalFormatting sqref="F11">
    <cfRule type="cellIs" dxfId="238" priority="79" stopIfTrue="1" operator="lessThan">
      <formula>$B$2</formula>
    </cfRule>
  </conditionalFormatting>
  <conditionalFormatting sqref="C14">
    <cfRule type="expression" dxfId="237" priority="60">
      <formula>AND($C14-TODAY()&lt;30,TODAY()&lt;$C14)</formula>
    </cfRule>
  </conditionalFormatting>
  <conditionalFormatting sqref="C14">
    <cfRule type="cellIs" dxfId="236" priority="61" stopIfTrue="1" operator="lessThan">
      <formula>$B$2</formula>
    </cfRule>
  </conditionalFormatting>
  <conditionalFormatting sqref="C12">
    <cfRule type="cellIs" dxfId="235" priority="54" stopIfTrue="1" operator="lessThan">
      <formula>$B$2</formula>
    </cfRule>
  </conditionalFormatting>
  <conditionalFormatting sqref="C12">
    <cfRule type="expression" dxfId="234" priority="51">
      <formula>AND($C12-TODAY()&lt;30,TODAY()&lt;$C12)</formula>
    </cfRule>
  </conditionalFormatting>
  <conditionalFormatting sqref="C12">
    <cfRule type="cellIs" dxfId="233" priority="52" stopIfTrue="1" operator="lessThan">
      <formula>$B$2</formula>
    </cfRule>
  </conditionalFormatting>
  <conditionalFormatting sqref="B12">
    <cfRule type="cellIs" dxfId="232" priority="48" stopIfTrue="1" operator="equal">
      <formula>"已过期"</formula>
    </cfRule>
  </conditionalFormatting>
  <conditionalFormatting sqref="E12">
    <cfRule type="cellIs" dxfId="231" priority="38" stopIfTrue="1" operator="equal">
      <formula>"已过期"</formula>
    </cfRule>
  </conditionalFormatting>
  <conditionalFormatting sqref="F12">
    <cfRule type="cellIs" dxfId="230" priority="37" stopIfTrue="1" operator="lessThan">
      <formula>$B$2</formula>
    </cfRule>
  </conditionalFormatting>
  <conditionalFormatting sqref="C9:C10">
    <cfRule type="expression" dxfId="229" priority="33">
      <formula>AND($C9-TODAY()&lt;30,TODAY()&lt;$C9)</formula>
    </cfRule>
  </conditionalFormatting>
  <conditionalFormatting sqref="C9:C10">
    <cfRule type="cellIs" dxfId="228" priority="34" stopIfTrue="1" operator="lessThan">
      <formula>$B$2</formula>
    </cfRule>
  </conditionalFormatting>
  <conditionalFormatting sqref="F21">
    <cfRule type="cellIs" dxfId="227" priority="13" stopIfTrue="1" operator="lessThan">
      <formula>$B$2</formula>
    </cfRule>
  </conditionalFormatting>
  <conditionalFormatting sqref="F21">
    <cfRule type="expression" dxfId="226" priority="14">
      <formula>AND($E21-TODAY()&lt;30,TODAY()&lt;$E21)</formula>
    </cfRule>
  </conditionalFormatting>
  <conditionalFormatting sqref="C7:C8">
    <cfRule type="expression" dxfId="225" priority="5">
      <formula>AND($C7-TODAY()&lt;30,TODAY()&lt;$C7)</formula>
    </cfRule>
  </conditionalFormatting>
  <conditionalFormatting sqref="C7:C8">
    <cfRule type="cellIs" dxfId="224" priority="6" stopIfTrue="1" operator="lessThan">
      <formula>$B$2</formula>
    </cfRule>
  </conditionalFormatting>
  <conditionalFormatting sqref="C7:C8">
    <cfRule type="expression" dxfId="223" priority="3">
      <formula>AND($C7-TODAY()&lt;30,TODAY()&lt;$C7)</formula>
    </cfRule>
  </conditionalFormatting>
  <conditionalFormatting sqref="C7:C8">
    <cfRule type="cellIs" dxfId="222" priority="4" stopIfTrue="1" operator="lessThan">
      <formula>$B$2</formula>
    </cfRule>
  </conditionalFormatting>
  <conditionalFormatting sqref="C4">
    <cfRule type="expression" dxfId="221" priority="1">
      <formula>AND($C4-TODAY()&lt;30,TODAY()&lt;$C4)</formula>
    </cfRule>
  </conditionalFormatting>
  <conditionalFormatting sqref="C4">
    <cfRule type="cellIs" dxfId="22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4" sqref="B24"/>
    </sheetView>
  </sheetViews>
  <sheetFormatPr defaultColWidth="9" defaultRowHeight="14.25"/>
  <cols>
    <col min="1" max="1" width="10.375" style="1159" customWidth="1"/>
    <col min="2" max="2" width="18.875" style="1137"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37" customWidth="1"/>
    <col min="25" max="25" width="7.25" style="1137" customWidth="1"/>
    <col min="26" max="16384" width="9" style="1137"/>
  </cols>
  <sheetData>
    <row r="1" spans="1:23" s="1158" customFormat="1" ht="27">
      <c r="A1" s="946" t="s">
        <v>847</v>
      </c>
      <c r="B1" s="5" t="s">
        <v>132</v>
      </c>
      <c r="C1" s="1476" t="s">
        <v>1698</v>
      </c>
      <c r="D1" s="6" t="s">
        <v>133</v>
      </c>
      <c r="E1" s="6" t="s">
        <v>134</v>
      </c>
      <c r="F1" s="6" t="s">
        <v>135</v>
      </c>
      <c r="G1" s="6" t="s">
        <v>136</v>
      </c>
      <c r="H1" s="6" t="s">
        <v>137</v>
      </c>
      <c r="I1" s="6" t="s">
        <v>138</v>
      </c>
      <c r="J1" s="6" t="s">
        <v>139</v>
      </c>
      <c r="K1" s="6" t="s">
        <v>140</v>
      </c>
      <c r="L1" s="6" t="s">
        <v>141</v>
      </c>
      <c r="M1" s="6" t="s">
        <v>142</v>
      </c>
      <c r="N1" s="6" t="s">
        <v>143</v>
      </c>
      <c r="O1" s="6" t="s">
        <v>144</v>
      </c>
      <c r="P1" s="6" t="s">
        <v>145</v>
      </c>
      <c r="Q1" s="2419" t="s">
        <v>2521</v>
      </c>
      <c r="R1" s="2418" t="s">
        <v>2515</v>
      </c>
      <c r="S1" s="6" t="s">
        <v>146</v>
      </c>
      <c r="T1" s="7" t="s">
        <v>147</v>
      </c>
      <c r="U1" s="6" t="s">
        <v>148</v>
      </c>
      <c r="V1" s="6" t="s">
        <v>149</v>
      </c>
      <c r="W1" s="983" t="s">
        <v>864</v>
      </c>
    </row>
    <row r="2" spans="1:23">
      <c r="A2" s="8" t="s">
        <v>73</v>
      </c>
      <c r="B2" s="8" t="s">
        <v>150</v>
      </c>
      <c r="C2" s="1477" t="s">
        <v>1699</v>
      </c>
      <c r="D2" s="9" t="s">
        <v>74</v>
      </c>
      <c r="E2" s="9" t="s">
        <v>127</v>
      </c>
      <c r="F2" s="9" t="s">
        <v>128</v>
      </c>
      <c r="G2" s="9">
        <v>40</v>
      </c>
      <c r="H2" s="9" t="s">
        <v>129</v>
      </c>
      <c r="I2" s="9" t="s">
        <v>130</v>
      </c>
      <c r="J2" s="9" t="s">
        <v>131</v>
      </c>
      <c r="K2" s="9" t="s">
        <v>75</v>
      </c>
      <c r="L2" s="9" t="s">
        <v>75</v>
      </c>
      <c r="M2" s="9" t="s">
        <v>75</v>
      </c>
      <c r="N2" s="9" t="s">
        <v>75</v>
      </c>
      <c r="O2" s="9" t="s">
        <v>75</v>
      </c>
      <c r="P2" s="984" t="s">
        <v>870</v>
      </c>
      <c r="Q2" s="9" t="s">
        <v>75</v>
      </c>
      <c r="R2" s="984" t="s">
        <v>2516</v>
      </c>
      <c r="S2" s="9" t="s">
        <v>75</v>
      </c>
      <c r="T2" s="9" t="s">
        <v>76</v>
      </c>
      <c r="U2" s="9" t="s">
        <v>75</v>
      </c>
      <c r="V2" s="9" t="s">
        <v>77</v>
      </c>
      <c r="W2" s="9" t="s">
        <v>865</v>
      </c>
    </row>
    <row r="3" spans="1:23">
      <c r="A3" s="8" t="s">
        <v>78</v>
      </c>
      <c r="B3" s="10" t="s">
        <v>151</v>
      </c>
      <c r="C3" s="1478" t="s">
        <v>1700</v>
      </c>
      <c r="D3" s="9" t="s">
        <v>79</v>
      </c>
      <c r="E3" s="9" t="s">
        <v>6</v>
      </c>
      <c r="F3" s="9" t="s">
        <v>80</v>
      </c>
      <c r="G3" s="9">
        <v>50</v>
      </c>
      <c r="H3" s="9" t="s">
        <v>81</v>
      </c>
      <c r="I3" s="9" t="s">
        <v>82</v>
      </c>
      <c r="J3" s="9" t="s">
        <v>83</v>
      </c>
      <c r="K3" s="9" t="s">
        <v>84</v>
      </c>
      <c r="L3" s="9" t="s">
        <v>84</v>
      </c>
      <c r="M3" s="9" t="s">
        <v>84</v>
      </c>
      <c r="N3" s="9" t="s">
        <v>84</v>
      </c>
      <c r="O3" s="9" t="s">
        <v>84</v>
      </c>
      <c r="P3" s="984" t="s">
        <v>594</v>
      </c>
      <c r="Q3" s="9" t="s">
        <v>84</v>
      </c>
      <c r="R3" s="984" t="s">
        <v>2517</v>
      </c>
      <c r="S3" s="9" t="s">
        <v>84</v>
      </c>
      <c r="T3" s="9" t="s">
        <v>85</v>
      </c>
      <c r="U3" s="9" t="s">
        <v>84</v>
      </c>
      <c r="V3" s="9" t="s">
        <v>86</v>
      </c>
      <c r="W3" s="9" t="s">
        <v>866</v>
      </c>
    </row>
    <row r="4" spans="1:23">
      <c r="A4" s="8" t="s">
        <v>87</v>
      </c>
      <c r="B4" s="8" t="s">
        <v>152</v>
      </c>
      <c r="C4" s="1477" t="s">
        <v>1701</v>
      </c>
      <c r="D4" s="9" t="s">
        <v>1980</v>
      </c>
      <c r="E4" s="9" t="s">
        <v>88</v>
      </c>
      <c r="F4" s="9" t="s">
        <v>89</v>
      </c>
      <c r="G4" s="9">
        <v>70</v>
      </c>
      <c r="H4" s="9" t="s">
        <v>90</v>
      </c>
      <c r="I4" s="9" t="s">
        <v>91</v>
      </c>
      <c r="K4" s="9" t="s">
        <v>92</v>
      </c>
      <c r="L4" s="9" t="s">
        <v>92</v>
      </c>
      <c r="M4" s="9" t="s">
        <v>92</v>
      </c>
      <c r="N4" s="9" t="s">
        <v>92</v>
      </c>
      <c r="O4" s="9" t="s">
        <v>92</v>
      </c>
      <c r="P4" s="984" t="s">
        <v>754</v>
      </c>
      <c r="Q4" s="9" t="s">
        <v>92</v>
      </c>
      <c r="R4" s="984" t="s">
        <v>2518</v>
      </c>
      <c r="S4" s="9" t="s">
        <v>92</v>
      </c>
      <c r="T4" s="9" t="s">
        <v>93</v>
      </c>
      <c r="U4" s="9" t="s">
        <v>92</v>
      </c>
      <c r="W4" s="9" t="s">
        <v>867</v>
      </c>
    </row>
    <row r="5" spans="1:23">
      <c r="A5" s="8" t="s">
        <v>94</v>
      </c>
      <c r="B5" s="8" t="s">
        <v>153</v>
      </c>
      <c r="C5" s="1477" t="s">
        <v>1702</v>
      </c>
      <c r="F5" s="9" t="s">
        <v>95</v>
      </c>
      <c r="H5" s="9" t="s">
        <v>70</v>
      </c>
      <c r="I5" s="9" t="s">
        <v>96</v>
      </c>
      <c r="K5" s="9" t="s">
        <v>97</v>
      </c>
      <c r="L5" s="9" t="s">
        <v>97</v>
      </c>
      <c r="M5" s="9" t="s">
        <v>97</v>
      </c>
      <c r="N5" s="9" t="s">
        <v>97</v>
      </c>
      <c r="O5" s="9" t="s">
        <v>97</v>
      </c>
      <c r="P5" s="984" t="s">
        <v>540</v>
      </c>
      <c r="Q5" s="9" t="s">
        <v>97</v>
      </c>
      <c r="R5" s="984" t="s">
        <v>2519</v>
      </c>
      <c r="S5" s="9" t="s">
        <v>97</v>
      </c>
      <c r="T5" s="9" t="s">
        <v>98</v>
      </c>
      <c r="U5" s="9" t="s">
        <v>97</v>
      </c>
      <c r="W5" s="9" t="s">
        <v>868</v>
      </c>
    </row>
    <row r="6" spans="1:23">
      <c r="A6" s="8" t="s">
        <v>99</v>
      </c>
      <c r="B6" s="1123" t="s">
        <v>1630</v>
      </c>
      <c r="C6" s="1479" t="s">
        <v>1703</v>
      </c>
      <c r="F6" s="9" t="s">
        <v>71</v>
      </c>
      <c r="H6" s="9" t="s">
        <v>72</v>
      </c>
      <c r="I6" s="9" t="s">
        <v>100</v>
      </c>
      <c r="K6" s="9" t="s">
        <v>101</v>
      </c>
      <c r="L6" s="9" t="s">
        <v>101</v>
      </c>
      <c r="M6" s="9" t="s">
        <v>101</v>
      </c>
      <c r="N6" s="9" t="s">
        <v>101</v>
      </c>
      <c r="O6" s="9" t="s">
        <v>101</v>
      </c>
      <c r="P6" s="984" t="s">
        <v>871</v>
      </c>
      <c r="Q6" s="9" t="s">
        <v>101</v>
      </c>
      <c r="R6" s="984" t="s">
        <v>2520</v>
      </c>
      <c r="S6" s="9" t="s">
        <v>101</v>
      </c>
      <c r="T6" s="9"/>
      <c r="U6" s="9" t="s">
        <v>101</v>
      </c>
      <c r="W6" s="9" t="s">
        <v>869</v>
      </c>
    </row>
    <row r="7" spans="1:23">
      <c r="A7" s="8" t="s">
        <v>102</v>
      </c>
      <c r="B7" s="8" t="s">
        <v>103</v>
      </c>
      <c r="C7" s="1477" t="s">
        <v>1704</v>
      </c>
      <c r="F7" s="9" t="s">
        <v>154</v>
      </c>
      <c r="H7" s="9" t="s">
        <v>104</v>
      </c>
      <c r="I7" s="9" t="s">
        <v>105</v>
      </c>
    </row>
    <row r="8" spans="1:23">
      <c r="A8" s="8" t="s">
        <v>106</v>
      </c>
      <c r="B8" s="8" t="s">
        <v>107</v>
      </c>
      <c r="C8" s="1477" t="s">
        <v>1705</v>
      </c>
      <c r="F8" s="9" t="s">
        <v>155</v>
      </c>
      <c r="H8" s="9"/>
      <c r="I8" s="9" t="s">
        <v>108</v>
      </c>
    </row>
    <row r="9" spans="1:23">
      <c r="A9" s="8" t="s">
        <v>109</v>
      </c>
      <c r="B9" s="8" t="s">
        <v>156</v>
      </c>
      <c r="C9" s="1477" t="s">
        <v>1706</v>
      </c>
      <c r="F9" s="9" t="s">
        <v>110</v>
      </c>
      <c r="H9" s="9"/>
    </row>
    <row r="10" spans="1:23">
      <c r="A10" s="8" t="s">
        <v>111</v>
      </c>
      <c r="B10" s="8" t="s">
        <v>157</v>
      </c>
      <c r="C10" s="1477" t="s">
        <v>1707</v>
      </c>
      <c r="F10" s="9" t="s">
        <v>6</v>
      </c>
    </row>
    <row r="11" spans="1:23">
      <c r="A11" s="8" t="s">
        <v>112</v>
      </c>
      <c r="B11" s="8" t="s">
        <v>158</v>
      </c>
      <c r="C11" s="1477" t="s">
        <v>1708</v>
      </c>
    </row>
    <row r="12" spans="1:23">
      <c r="A12" s="8" t="s">
        <v>113</v>
      </c>
      <c r="B12" s="8" t="s">
        <v>159</v>
      </c>
      <c r="C12" s="1477" t="s">
        <v>1709</v>
      </c>
    </row>
    <row r="13" spans="1:23">
      <c r="A13" s="8" t="s">
        <v>114</v>
      </c>
      <c r="B13" s="8" t="s">
        <v>160</v>
      </c>
      <c r="C13" s="1477" t="s">
        <v>1710</v>
      </c>
    </row>
    <row r="14" spans="1:23">
      <c r="A14" s="8" t="s">
        <v>115</v>
      </c>
      <c r="B14" s="8" t="s">
        <v>161</v>
      </c>
      <c r="C14" s="1480" t="s">
        <v>1886</v>
      </c>
    </row>
    <row r="15" spans="1:23">
      <c r="A15" s="8" t="s">
        <v>116</v>
      </c>
      <c r="B15" s="8" t="s">
        <v>1671</v>
      </c>
      <c r="C15" s="1480"/>
    </row>
    <row r="16" spans="1:23">
      <c r="A16" s="8" t="s">
        <v>117</v>
      </c>
      <c r="B16" s="8" t="s">
        <v>1672</v>
      </c>
      <c r="C16" s="1480"/>
    </row>
    <row r="17" spans="1:3">
      <c r="A17" s="8" t="s">
        <v>118</v>
      </c>
      <c r="B17" s="8" t="s">
        <v>1673</v>
      </c>
      <c r="C17" s="1480"/>
    </row>
    <row r="18" spans="1:3">
      <c r="A18" s="8" t="s">
        <v>119</v>
      </c>
      <c r="B18" s="2777" t="s">
        <v>2911</v>
      </c>
      <c r="C18" s="1480"/>
    </row>
    <row r="19" spans="1:3">
      <c r="A19" s="8" t="s">
        <v>120</v>
      </c>
      <c r="B19" s="2777" t="s">
        <v>2918</v>
      </c>
      <c r="C19" s="1480"/>
    </row>
    <row r="20" spans="1:3">
      <c r="A20" s="8" t="s">
        <v>121</v>
      </c>
      <c r="B20" s="2777" t="s">
        <v>2964</v>
      </c>
      <c r="C20" s="1480"/>
    </row>
    <row r="21" spans="1:3">
      <c r="A21" s="8" t="s">
        <v>122</v>
      </c>
      <c r="B21" s="8" t="s">
        <v>1631</v>
      </c>
      <c r="C21" s="1480"/>
    </row>
    <row r="22" spans="1:3">
      <c r="A22" s="8" t="s">
        <v>123</v>
      </c>
      <c r="B22" s="2777" t="s">
        <v>3758</v>
      </c>
      <c r="C22" s="1480"/>
    </row>
    <row r="23" spans="1:3">
      <c r="A23" s="8" t="s">
        <v>124</v>
      </c>
      <c r="B23" s="2777" t="s">
        <v>3760</v>
      </c>
      <c r="C23" s="1480"/>
    </row>
    <row r="24" spans="1:3">
      <c r="A24" s="8" t="s">
        <v>12</v>
      </c>
      <c r="B24" s="8" t="s">
        <v>1631</v>
      </c>
      <c r="C24" s="1480"/>
    </row>
    <row r="25" spans="1:3">
      <c r="A25" s="8" t="s">
        <v>125</v>
      </c>
      <c r="B25" s="8" t="s">
        <v>1631</v>
      </c>
      <c r="C25" s="1480"/>
    </row>
    <row r="26" spans="1:3">
      <c r="A26" s="8" t="s">
        <v>126</v>
      </c>
      <c r="B26" s="8" t="s">
        <v>1631</v>
      </c>
      <c r="C26" s="1480"/>
    </row>
    <row r="27" spans="1:3">
      <c r="A27" s="8" t="s">
        <v>1631</v>
      </c>
      <c r="B27" s="8" t="s">
        <v>1631</v>
      </c>
      <c r="C27" s="1480"/>
    </row>
    <row r="28" spans="1:3">
      <c r="A28" s="8" t="s">
        <v>1631</v>
      </c>
      <c r="B28" s="8" t="s">
        <v>1631</v>
      </c>
      <c r="C28" s="1480"/>
    </row>
    <row r="29" spans="1:3">
      <c r="A29" s="8" t="s">
        <v>1631</v>
      </c>
      <c r="B29" s="8" t="s">
        <v>1631</v>
      </c>
      <c r="C29" s="1480"/>
    </row>
    <row r="30" spans="1:3">
      <c r="A30" s="8" t="s">
        <v>1631</v>
      </c>
      <c r="B30" s="8" t="s">
        <v>1631</v>
      </c>
      <c r="C30" s="1480"/>
    </row>
    <row r="31" spans="1:3">
      <c r="A31" s="8" t="s">
        <v>1631</v>
      </c>
      <c r="B31" s="8" t="s">
        <v>1631</v>
      </c>
      <c r="C31" s="1480"/>
    </row>
    <row r="32" spans="1:3">
      <c r="A32" s="8" t="s">
        <v>1631</v>
      </c>
      <c r="B32" s="8" t="s">
        <v>1631</v>
      </c>
      <c r="C32" s="1480"/>
    </row>
    <row r="33" spans="1:3">
      <c r="A33" s="8" t="s">
        <v>1631</v>
      </c>
      <c r="B33" s="8" t="s">
        <v>1631</v>
      </c>
      <c r="C33" s="1480"/>
    </row>
    <row r="34" spans="1:3">
      <c r="A34" s="8" t="s">
        <v>1631</v>
      </c>
      <c r="B34" s="8" t="s">
        <v>1631</v>
      </c>
      <c r="C34" s="1480"/>
    </row>
    <row r="35" spans="1:3">
      <c r="A35" s="8" t="s">
        <v>1631</v>
      </c>
      <c r="B35" s="8" t="s">
        <v>1631</v>
      </c>
      <c r="C35" s="1480"/>
    </row>
    <row r="36" spans="1:3">
      <c r="A36" s="8" t="s">
        <v>1631</v>
      </c>
      <c r="B36" s="8" t="s">
        <v>1631</v>
      </c>
      <c r="C36" s="1480"/>
    </row>
    <row r="37" spans="1:3">
      <c r="A37" s="8" t="s">
        <v>1631</v>
      </c>
      <c r="B37" s="8" t="s">
        <v>1631</v>
      </c>
      <c r="C37" s="1480"/>
    </row>
    <row r="38" spans="1:3">
      <c r="A38" s="8" t="s">
        <v>1631</v>
      </c>
      <c r="B38" s="8" t="s">
        <v>1631</v>
      </c>
      <c r="C38" s="1480"/>
    </row>
    <row r="39" spans="1:3">
      <c r="A39" s="8" t="s">
        <v>1631</v>
      </c>
      <c r="B39" s="8" t="s">
        <v>1631</v>
      </c>
      <c r="C39" s="1480"/>
    </row>
    <row r="40" spans="1:3">
      <c r="A40" s="8" t="s">
        <v>1631</v>
      </c>
      <c r="B40" s="8" t="s">
        <v>1631</v>
      </c>
      <c r="C40" s="1480"/>
    </row>
    <row r="41" spans="1:3">
      <c r="A41" s="8" t="s">
        <v>1631</v>
      </c>
      <c r="B41" s="8" t="s">
        <v>1631</v>
      </c>
      <c r="C41" s="1480"/>
    </row>
    <row r="42" spans="1:3">
      <c r="A42" s="8" t="s">
        <v>1631</v>
      </c>
      <c r="B42" s="8" t="s">
        <v>1631</v>
      </c>
      <c r="C42" s="1480"/>
    </row>
    <row r="43" spans="1:3">
      <c r="A43" s="8" t="s">
        <v>1631</v>
      </c>
      <c r="B43" s="8" t="s">
        <v>1631</v>
      </c>
      <c r="C43" s="1480"/>
    </row>
    <row r="44" spans="1:3">
      <c r="A44" s="8" t="s">
        <v>1631</v>
      </c>
      <c r="B44" s="8" t="s">
        <v>1631</v>
      </c>
      <c r="C44" s="1480"/>
    </row>
    <row r="45" spans="1:3">
      <c r="A45" s="8" t="s">
        <v>1631</v>
      </c>
      <c r="B45" s="8" t="s">
        <v>1631</v>
      </c>
      <c r="C45" s="1480"/>
    </row>
    <row r="46" spans="1:3">
      <c r="A46" s="8" t="s">
        <v>1631</v>
      </c>
      <c r="B46" s="8" t="s">
        <v>1631</v>
      </c>
      <c r="C46" s="1480"/>
    </row>
    <row r="47" spans="1:3">
      <c r="A47" s="8" t="s">
        <v>1631</v>
      </c>
      <c r="B47" s="8" t="s">
        <v>1631</v>
      </c>
      <c r="C47" s="1480"/>
    </row>
    <row r="48" spans="1:3">
      <c r="A48" s="8" t="s">
        <v>1631</v>
      </c>
      <c r="B48" s="8" t="s">
        <v>1631</v>
      </c>
      <c r="C48" s="1480"/>
    </row>
    <row r="49" spans="1:5">
      <c r="A49" s="8" t="s">
        <v>1631</v>
      </c>
      <c r="B49" s="8" t="s">
        <v>1631</v>
      </c>
      <c r="C49" s="1480"/>
    </row>
    <row r="50" spans="1:5">
      <c r="A50" s="8" t="s">
        <v>1631</v>
      </c>
      <c r="B50" s="8" t="s">
        <v>1631</v>
      </c>
      <c r="C50" s="1480"/>
    </row>
    <row r="51" spans="1:5">
      <c r="A51" s="1669" t="s">
        <v>1930</v>
      </c>
      <c r="B51" s="167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五矿国际信托有限公司）办理贷款手续过程中，特委托北京康正宏基房地产评估有限公司对估价对象进行评估。本次评估为确定标的物之抵押贷款额度提供参考依据而评估出让国有建设用地使用权抵押价格。</v>
      </c>
      <c r="C51" s="167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环球中军文化旅游开发有限公司、四川省环融中军文化旅游开发有限公司
拟使用四川省眉山市视高街道新明村、南桥社区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c r="D51" s="167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71"/>
    </row>
    <row r="52" spans="1:5">
      <c r="A52" s="1669" t="s">
        <v>1972</v>
      </c>
      <c r="B52" s="1672" t="s">
        <v>1973</v>
      </c>
      <c r="C52" s="1670" t="s">
        <v>1974</v>
      </c>
      <c r="D52" s="1670" t="s">
        <v>1975</v>
      </c>
      <c r="E52" s="1671"/>
    </row>
    <row r="53" spans="1:5">
      <c r="A53" s="3664" t="s">
        <v>1976</v>
      </c>
      <c r="B53" s="1670" t="s">
        <v>1982</v>
      </c>
      <c r="C53" s="167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12月26日，在规划利用条件下、设定土地开发程度为红线外“三通”、宗地内场地平整，设定用途为住宅、商业及地下车库，剩余土地使用年限为的出让国有建设用地使用权价格。</v>
      </c>
      <c r="D53" s="1671"/>
      <c r="E53" s="1671"/>
    </row>
    <row r="54" spans="1:5">
      <c r="A54" s="3664"/>
      <c r="B54" s="1670" t="s">
        <v>1983</v>
      </c>
      <c r="C54" s="167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71"/>
      <c r="E54" s="1671"/>
    </row>
    <row r="55" spans="1:5">
      <c r="A55" s="3664"/>
      <c r="B55" s="1670" t="s">
        <v>1977</v>
      </c>
      <c r="C55" s="167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71"/>
      <c r="E55" s="1671"/>
    </row>
    <row r="56" spans="1:5">
      <c r="A56" s="3664"/>
      <c r="B56" s="1670" t="s">
        <v>1978</v>
      </c>
      <c r="C56" s="167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71"/>
      <c r="E56" s="1671"/>
    </row>
    <row r="57" spans="1:5">
      <c r="A57" s="3664"/>
      <c r="B57" s="1670" t="s">
        <v>1979</v>
      </c>
      <c r="C57" s="167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71"/>
      <c r="E57" s="1671"/>
    </row>
    <row r="58" spans="1:5">
      <c r="A58" s="1673" t="s">
        <v>2035</v>
      </c>
      <c r="B58" s="1670" t="s">
        <v>2036</v>
      </c>
      <c r="C58" s="11" t="s">
        <v>2037</v>
      </c>
      <c r="D58" s="1263" t="s">
        <v>2038</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130" zoomScaleNormal="100" zoomScaleSheetLayoutView="130" workbookViewId="0">
      <selection activeCell="B13" sqref="B13:D13"/>
    </sheetView>
  </sheetViews>
  <sheetFormatPr defaultColWidth="10" defaultRowHeight="14.25"/>
  <cols>
    <col min="1" max="1" width="15.375" style="1598" customWidth="1"/>
    <col min="2" max="2" width="11.375" style="1598" customWidth="1"/>
    <col min="3" max="3" width="12.625" style="1598" customWidth="1"/>
    <col min="4" max="4" width="11.5" style="1598" customWidth="1"/>
    <col min="5" max="5" width="12.5" style="1598" customWidth="1"/>
    <col min="6" max="6" width="11.375" style="1598" customWidth="1"/>
    <col min="7" max="7" width="12.375" style="1598" customWidth="1"/>
    <col min="8" max="8" width="10" style="1598" customWidth="1"/>
    <col min="9" max="9" width="12.5" style="1599" customWidth="1"/>
    <col min="10" max="10" width="10" style="1598" customWidth="1"/>
    <col min="11" max="11" width="10" style="3054" customWidth="1"/>
    <col min="12" max="13" width="10" style="3055" customWidth="1"/>
    <col min="14" max="14" width="10" style="3040" customWidth="1"/>
    <col min="15" max="15" width="10" style="3056" customWidth="1"/>
    <col min="16" max="17" width="10" style="3040"/>
    <col min="18" max="18" width="10" style="3040" customWidth="1"/>
    <col min="19" max="28" width="10" style="3040"/>
    <col min="29" max="16384" width="10" style="1598"/>
  </cols>
  <sheetData>
    <row r="1" spans="1:21" ht="15" thickBot="1">
      <c r="A1" s="1573" t="s">
        <v>1925</v>
      </c>
      <c r="B1" s="3667" t="str">
        <f>IF(B10="北京市","北京市",C10)&amp;F10&amp;B16&amp;"国有建设用地使用权"&amp;B9&amp;"预评估"</f>
        <v>四川省眉山市视高街道新明村、南桥社区出让国有建设用地使用权市场价格预评估</v>
      </c>
      <c r="C1" s="3668"/>
      <c r="D1" s="3668"/>
      <c r="E1" s="3668"/>
      <c r="F1" s="3668"/>
      <c r="G1" s="3668"/>
      <c r="H1" s="3668"/>
      <c r="I1" s="3669"/>
      <c r="J1" s="3058"/>
      <c r="K1" s="2295" t="str">
        <f>IF(B10="北京市","北京市",C10)&amp;F10&amp;B16&amp;"国有建设用地使用权"&amp;B9</f>
        <v>四川省眉山市视高街道新明村、南桥社区出让国有建设用地使用权市场价格</v>
      </c>
      <c r="L1" s="3037"/>
      <c r="M1" s="3037"/>
      <c r="N1" s="3038"/>
      <c r="O1" s="3039"/>
      <c r="P1" s="3038"/>
      <c r="Q1" s="3038"/>
      <c r="R1" s="3038"/>
      <c r="S1" s="3038"/>
      <c r="T1" s="3038"/>
      <c r="U1" s="3038"/>
    </row>
    <row r="2" spans="1:21">
      <c r="A2" s="1574" t="s">
        <v>1926</v>
      </c>
      <c r="B2" s="1740"/>
      <c r="D2" s="3058"/>
      <c r="E2" s="3058"/>
      <c r="F2" s="3058"/>
      <c r="G2" s="3058"/>
      <c r="H2" s="3059"/>
      <c r="I2" s="3060"/>
      <c r="J2" s="3058"/>
      <c r="K2" s="2295" t="str">
        <f>IF(B10="北京市","北京市",C10)&amp;F10&amp;B16&amp;"国有建设用地使用权"</f>
        <v>四川省眉山市视高街道新明村、南桥社区出让国有建设用地使用权</v>
      </c>
      <c r="L2" s="3037"/>
      <c r="M2" s="3037"/>
      <c r="N2" s="3038"/>
      <c r="O2" s="3039"/>
      <c r="P2" s="3038"/>
      <c r="Q2" s="3038"/>
      <c r="R2" s="3038"/>
      <c r="S2" s="3038"/>
      <c r="T2" s="3038"/>
      <c r="U2" s="3038"/>
    </row>
    <row r="3" spans="1:21">
      <c r="A3" s="1575" t="s">
        <v>1927</v>
      </c>
      <c r="B3" s="1576">
        <v>44191</v>
      </c>
      <c r="C3" s="2981" t="s">
        <v>1981</v>
      </c>
      <c r="D3" s="1576">
        <f>B3</f>
        <v>44191</v>
      </c>
      <c r="E3" s="3058"/>
      <c r="F3" s="3058"/>
      <c r="G3" s="3058"/>
      <c r="H3" s="3059"/>
      <c r="I3" s="3060"/>
      <c r="J3" s="3058"/>
      <c r="K3" s="3041"/>
      <c r="L3" s="3037"/>
      <c r="M3" s="3037"/>
      <c r="N3" s="3038"/>
      <c r="O3" s="3039"/>
      <c r="P3" s="3038"/>
      <c r="Q3" s="3038"/>
      <c r="R3" s="3038"/>
      <c r="S3" s="3038"/>
      <c r="T3" s="3038"/>
      <c r="U3" s="3038"/>
    </row>
    <row r="4" spans="1:21" ht="15" thickBot="1">
      <c r="A4" s="1578" t="s">
        <v>1928</v>
      </c>
      <c r="B4" s="1741" t="s">
        <v>2993</v>
      </c>
      <c r="C4" s="1744">
        <f ca="1">SUMIF(土地估价师,B4,估价师及机构信息!E3:E16)</f>
        <v>2002110030</v>
      </c>
      <c r="D4" s="1741" t="s">
        <v>2994</v>
      </c>
      <c r="E4" s="1744">
        <f ca="1">SUMIF(土地估价师,D4,估价师及机构信息!E3:E16)</f>
        <v>2014110011</v>
      </c>
      <c r="F4" s="1741" t="s">
        <v>942</v>
      </c>
      <c r="G4" s="1744">
        <f>SUMIF(土地估价师,F4,估价师及机构信息!E3:E16)</f>
        <v>0</v>
      </c>
      <c r="H4" s="1741" t="s">
        <v>942</v>
      </c>
      <c r="I4" s="1744">
        <f>SUMIF(土地估价师,H4,估价师及机构信息!E3:E16)</f>
        <v>0</v>
      </c>
      <c r="J4" s="3058"/>
      <c r="K4" s="2295" t="str">
        <f>IF(AND(F4="——",H4="——"),B4&amp;"、"&amp;D4,IF(AND(F4&lt;&gt;"——",H4="——"),B4&amp;"、"&amp;D4&amp;"、"&amp;F4,B4&amp;"、"&amp;D4&amp;"、"&amp;F4&amp;"、"&amp;H4))</f>
        <v>王鹏、郑燚</v>
      </c>
      <c r="L4" s="3037"/>
      <c r="M4" s="3037"/>
      <c r="N4" s="3038"/>
      <c r="O4" s="3039"/>
      <c r="P4" s="3038"/>
      <c r="Q4" s="3038"/>
      <c r="R4" s="3038"/>
      <c r="S4" s="3038"/>
      <c r="T4" s="3038"/>
      <c r="U4" s="3038"/>
    </row>
    <row r="5" spans="1:21" ht="15" thickTop="1">
      <c r="A5" s="1579" t="s">
        <v>1929</v>
      </c>
      <c r="B5" s="1688" t="str">
        <f>B6</f>
        <v>五矿国际信托有限公司</v>
      </c>
      <c r="C5" s="1580"/>
      <c r="D5" s="1581"/>
      <c r="E5" s="3058"/>
      <c r="F5" s="3058"/>
      <c r="G5" s="3058"/>
      <c r="H5" s="3059"/>
      <c r="I5" s="3060"/>
      <c r="J5" s="3058"/>
      <c r="K5" s="3041"/>
      <c r="L5" s="3037"/>
      <c r="M5" s="3037"/>
      <c r="N5" s="3038"/>
      <c r="O5" s="3039"/>
      <c r="P5" s="3038"/>
      <c r="Q5" s="3038"/>
      <c r="R5" s="3038"/>
      <c r="S5" s="3038"/>
      <c r="T5" s="3038"/>
      <c r="U5" s="3038"/>
    </row>
    <row r="6" spans="1:21" ht="26.25">
      <c r="A6" s="1577" t="s">
        <v>2680</v>
      </c>
      <c r="B6" s="1688" t="s">
        <v>2995</v>
      </c>
      <c r="C6" s="1663"/>
      <c r="D6" s="1582"/>
      <c r="E6" s="3058"/>
      <c r="F6" s="3058"/>
      <c r="G6" s="3058"/>
      <c r="H6" s="3059"/>
      <c r="I6" s="3060"/>
      <c r="J6" s="3058"/>
      <c r="K6" s="3042" t="str">
        <f>IF(COUNTIF(B6,"*上海银行*"),"上海银行","")</f>
        <v/>
      </c>
      <c r="L6" s="3037"/>
      <c r="M6" s="3037"/>
      <c r="N6" s="3038"/>
      <c r="O6" s="3039"/>
      <c r="P6" s="3038"/>
      <c r="Q6" s="3038"/>
      <c r="R6" s="3038"/>
      <c r="S6" s="3038"/>
      <c r="T6" s="3038"/>
      <c r="U6" s="3038"/>
    </row>
    <row r="7" spans="1:21">
      <c r="A7" s="1583" t="s">
        <v>2681</v>
      </c>
      <c r="B7" s="1688" t="str">
        <f>C11</f>
        <v xml:space="preserve">环球中军文化旅游开发有限公司、四川省环融中军文化旅游开发有限公司
</v>
      </c>
      <c r="C7" s="1663"/>
      <c r="D7" s="1582"/>
      <c r="E7" s="3058"/>
      <c r="F7" s="3058"/>
      <c r="G7" s="3058"/>
      <c r="H7" s="3059"/>
      <c r="I7" s="3060"/>
      <c r="J7" s="3058"/>
      <c r="K7" s="3041"/>
      <c r="L7" s="3037"/>
      <c r="M7" s="3037"/>
      <c r="N7" s="3038"/>
      <c r="O7" s="3039"/>
      <c r="P7" s="3038"/>
      <c r="Q7" s="3038"/>
      <c r="R7" s="3038"/>
      <c r="S7" s="3038"/>
      <c r="T7" s="3038"/>
      <c r="U7" s="3038"/>
    </row>
    <row r="8" spans="1:21">
      <c r="A8" s="2982" t="s">
        <v>1930</v>
      </c>
      <c r="B8" s="1584" t="s">
        <v>2946</v>
      </c>
      <c r="C8" s="1585"/>
      <c r="D8" s="3673" t="s">
        <v>1932</v>
      </c>
      <c r="E8" s="1742" t="s">
        <v>3862</v>
      </c>
      <c r="F8" s="1586"/>
      <c r="G8" s="3059"/>
      <c r="H8" s="3059"/>
      <c r="I8" s="3062"/>
      <c r="J8" s="3058"/>
      <c r="K8" s="3041"/>
      <c r="L8" s="3037"/>
      <c r="M8" s="3037"/>
      <c r="N8" s="3038"/>
      <c r="O8" s="3039"/>
      <c r="P8" s="3038"/>
      <c r="Q8" s="3038"/>
      <c r="R8" s="3038"/>
      <c r="S8" s="3038"/>
      <c r="T8" s="3038"/>
      <c r="U8" s="3038"/>
    </row>
    <row r="9" spans="1:21" ht="15" thickBot="1">
      <c r="A9" s="2983" t="s">
        <v>1931</v>
      </c>
      <c r="B9" s="1587" t="s">
        <v>2996</v>
      </c>
      <c r="C9" s="1588"/>
      <c r="D9" s="3674"/>
      <c r="E9" s="1587" t="s">
        <v>942</v>
      </c>
      <c r="F9" s="1649"/>
      <c r="G9" s="3063"/>
      <c r="H9" s="3063"/>
      <c r="I9" s="3064"/>
      <c r="J9" s="3058"/>
      <c r="K9" s="3041"/>
      <c r="L9" s="3037"/>
      <c r="M9" s="3037"/>
      <c r="N9" s="3038"/>
      <c r="O9" s="3039"/>
      <c r="P9" s="3038"/>
      <c r="Q9" s="3038"/>
      <c r="R9" s="3038"/>
      <c r="S9" s="3038"/>
      <c r="T9" s="3038"/>
      <c r="U9" s="3038"/>
    </row>
    <row r="10" spans="1:21" ht="15" thickTop="1">
      <c r="A10" s="2984" t="s">
        <v>1985</v>
      </c>
      <c r="B10" s="1625" t="s">
        <v>2997</v>
      </c>
      <c r="C10" s="3338" t="s">
        <v>3863</v>
      </c>
      <c r="D10" s="1581"/>
      <c r="E10" s="1589" t="s">
        <v>1934</v>
      </c>
      <c r="F10" s="1590"/>
      <c r="G10" s="1647"/>
      <c r="H10" s="1648"/>
      <c r="I10" s="1581"/>
      <c r="J10" s="3058"/>
      <c r="K10" s="3041"/>
      <c r="L10" s="3037"/>
      <c r="M10" s="3037"/>
      <c r="N10" s="3038"/>
      <c r="O10" s="3039"/>
      <c r="P10" s="3038"/>
      <c r="Q10" s="3038"/>
      <c r="R10" s="3038"/>
      <c r="S10" s="3038"/>
      <c r="T10" s="3038"/>
      <c r="U10" s="3038"/>
    </row>
    <row r="11" spans="1:21">
      <c r="A11" s="2985" t="s">
        <v>1986</v>
      </c>
      <c r="B11" s="1604" t="s">
        <v>2998</v>
      </c>
      <c r="C11" s="3337" t="s">
        <v>3838</v>
      </c>
      <c r="D11" s="1664"/>
      <c r="E11" s="3057"/>
      <c r="F11" s="3057"/>
      <c r="G11" s="3057"/>
      <c r="H11" s="3057"/>
      <c r="I11" s="3057"/>
      <c r="J11" s="3058"/>
      <c r="K11" s="3041"/>
      <c r="L11" s="3037"/>
      <c r="M11" s="3037"/>
      <c r="N11" s="3038"/>
      <c r="O11" s="3039"/>
      <c r="P11" s="3038"/>
      <c r="Q11" s="3038"/>
      <c r="R11" s="3038"/>
      <c r="S11" s="3038"/>
      <c r="T11" s="3038"/>
      <c r="U11" s="3038"/>
    </row>
    <row r="12" spans="1:21">
      <c r="A12" s="1684" t="s">
        <v>2044</v>
      </c>
      <c r="B12" s="3670" t="s">
        <v>3839</v>
      </c>
      <c r="C12" s="3671"/>
      <c r="D12" s="3672"/>
      <c r="E12" s="1605" t="s">
        <v>2047</v>
      </c>
      <c r="F12" s="3688" t="s">
        <v>3840</v>
      </c>
      <c r="G12" s="3689"/>
      <c r="H12" s="3689"/>
      <c r="I12" s="3690"/>
      <c r="J12" s="3058"/>
      <c r="K12" s="3041"/>
      <c r="L12" s="3037"/>
      <c r="M12" s="3037"/>
      <c r="N12" s="3038"/>
      <c r="O12" s="3039"/>
      <c r="P12" s="3038"/>
      <c r="Q12" s="3038"/>
      <c r="R12" s="3038"/>
      <c r="S12" s="3038"/>
      <c r="T12" s="3038"/>
      <c r="U12" s="3038"/>
    </row>
    <row r="13" spans="1:21">
      <c r="A13" s="1596" t="s">
        <v>2045</v>
      </c>
      <c r="B13" s="3670" t="s">
        <v>3841</v>
      </c>
      <c r="C13" s="3671"/>
      <c r="D13" s="3672"/>
      <c r="E13" s="1605" t="s">
        <v>2047</v>
      </c>
      <c r="F13" s="3688" t="s">
        <v>3842</v>
      </c>
      <c r="G13" s="3689"/>
      <c r="H13" s="3689"/>
      <c r="I13" s="3690"/>
      <c r="J13" s="3058"/>
      <c r="K13" s="3041"/>
      <c r="L13" s="3037"/>
      <c r="M13" s="3037"/>
      <c r="N13" s="3038"/>
      <c r="O13" s="3039"/>
      <c r="P13" s="3038"/>
      <c r="Q13" s="3038"/>
      <c r="R13" s="3038"/>
      <c r="S13" s="3038"/>
      <c r="T13" s="3038"/>
      <c r="U13" s="3038"/>
    </row>
    <row r="14" spans="1:21">
      <c r="A14" s="1575" t="s">
        <v>2048</v>
      </c>
      <c r="B14" s="1605"/>
      <c r="C14" s="1743" t="s">
        <v>2999</v>
      </c>
      <c r="D14" s="1639" t="str">
        <f>IF(C14="不一致","是否符合证载地类范围","")</f>
        <v/>
      </c>
      <c r="E14" s="1605"/>
      <c r="F14" s="1689"/>
      <c r="G14" s="1634"/>
      <c r="H14" s="1634"/>
      <c r="I14" s="1736"/>
      <c r="J14" s="3058"/>
      <c r="K14" s="3041"/>
      <c r="L14" s="3037"/>
      <c r="M14" s="3037"/>
      <c r="N14" s="3038"/>
      <c r="O14" s="3039"/>
      <c r="P14" s="3038"/>
      <c r="Q14" s="3038"/>
      <c r="R14" s="3038"/>
      <c r="S14" s="3038"/>
      <c r="T14" s="3038"/>
      <c r="U14" s="3038"/>
    </row>
    <row r="15" spans="1:21" hidden="1">
      <c r="A15" s="2472"/>
      <c r="B15" s="1577"/>
      <c r="C15" s="1577"/>
      <c r="D15" s="1668" t="s">
        <v>1937</v>
      </c>
      <c r="E15" s="1668" t="s">
        <v>1938</v>
      </c>
      <c r="F15" s="1668" t="s">
        <v>1939</v>
      </c>
      <c r="G15" s="1595" t="s">
        <v>1940</v>
      </c>
      <c r="H15" s="1595" t="s">
        <v>1941</v>
      </c>
      <c r="I15" s="1595" t="s">
        <v>1942</v>
      </c>
      <c r="J15" s="3058"/>
      <c r="K15" s="3041"/>
      <c r="L15" s="3037"/>
      <c r="M15" s="3037"/>
      <c r="N15" s="3038"/>
      <c r="O15" s="3039"/>
      <c r="P15" s="3038"/>
      <c r="Q15" s="3038"/>
      <c r="R15" s="3038"/>
      <c r="S15" s="3038"/>
      <c r="T15" s="3038"/>
      <c r="U15" s="3038"/>
    </row>
    <row r="16" spans="1:21" ht="42.75">
      <c r="A16" s="2986" t="s">
        <v>1935</v>
      </c>
      <c r="B16" s="1591" t="s">
        <v>2941</v>
      </c>
      <c r="C16" s="1605" t="s">
        <v>1936</v>
      </c>
      <c r="D16" s="2473" t="s">
        <v>1937</v>
      </c>
      <c r="E16" s="1628" t="s">
        <v>3000</v>
      </c>
      <c r="F16" s="1628"/>
      <c r="G16" s="1628" t="s">
        <v>35</v>
      </c>
      <c r="H16" s="1628"/>
      <c r="I16" s="1595" t="s">
        <v>1942</v>
      </c>
      <c r="J16" s="3058"/>
      <c r="K16" s="2296" t="str">
        <f>IF(D17="","",D16&amp;TEXT(D17,"yyyy年m月d日;;"))</f>
        <v>住宅2090年12月25日</v>
      </c>
      <c r="L16" s="1605" t="str">
        <f>IF(OR(K16="",M16=""),"","、")</f>
        <v>、</v>
      </c>
      <c r="M16" s="2296" t="str">
        <f>IF(E17="","",E16&amp;TEXT(E17,"yyyy年m月d日;;"))</f>
        <v>商业2060年12月25日</v>
      </c>
      <c r="N16" s="1605" t="str">
        <f>IF(OR(M16="",O16=""),"","、")</f>
        <v/>
      </c>
      <c r="O16" s="2296" t="str">
        <f>IF(F17="","",F16&amp;TEXT(F17,"yyyy年m月d日;;"))</f>
        <v/>
      </c>
      <c r="P16" s="1605" t="str">
        <f>IF(OR(O16="",Q16=""),"","、")</f>
        <v/>
      </c>
      <c r="Q16" s="2296" t="str">
        <f>IF(G17="","",G16&amp;TEXT(G17,"yyyy年m月d日;;"))</f>
        <v>地下车库2060年12月25日</v>
      </c>
      <c r="R16" s="1605" t="str">
        <f>IF(OR(Q16="",S16=""),"","、")</f>
        <v/>
      </c>
      <c r="S16" s="2296" t="str">
        <f>IF(H17="","",H16&amp;TEXT(H17,"yyyy年m月d日;;"))</f>
        <v/>
      </c>
      <c r="T16" s="1605" t="str">
        <f>IF(OR(S16="",U16=""),"","、")</f>
        <v/>
      </c>
      <c r="U16" s="2296" t="str">
        <f>IF(I17="","",I16&amp;TEXT(I17,"yyyy年m月d日;;"))</f>
        <v/>
      </c>
    </row>
    <row r="17" spans="1:21">
      <c r="A17" s="1665"/>
      <c r="B17" s="1592"/>
      <c r="C17" s="2987" t="s">
        <v>1943</v>
      </c>
      <c r="D17" s="3282">
        <v>69757</v>
      </c>
      <c r="E17" s="3282">
        <v>58800</v>
      </c>
      <c r="F17" s="1606"/>
      <c r="G17" s="3282">
        <f>E17</f>
        <v>58800</v>
      </c>
      <c r="H17" s="1606"/>
      <c r="I17" s="1606"/>
      <c r="J17" s="3058"/>
      <c r="K17" s="3036" t="str">
        <f>CONCATENATE(K16,L16,M16,N16,O16,P16,Q16,R16,S16,T16,,U16)</f>
        <v>住宅2090年12月25日、商业2060年12月25日地下车库2060年12月25日</v>
      </c>
      <c r="L17" s="3037"/>
      <c r="M17" s="3037"/>
      <c r="N17" s="3038"/>
      <c r="O17" s="3039"/>
      <c r="P17" s="3038"/>
      <c r="Q17" s="3038"/>
      <c r="R17" s="3038"/>
      <c r="S17" s="3038"/>
      <c r="T17" s="3038"/>
      <c r="U17" s="3038"/>
    </row>
    <row r="18" spans="1:21">
      <c r="A18" s="1665"/>
      <c r="B18" s="1592"/>
      <c r="C18" s="2987" t="s">
        <v>1944</v>
      </c>
      <c r="D18" s="1593">
        <v>70</v>
      </c>
      <c r="E18" s="1593">
        <v>40</v>
      </c>
      <c r="F18" s="1593"/>
      <c r="G18" s="1593">
        <v>40</v>
      </c>
      <c r="H18" s="1593"/>
      <c r="I18" s="1593"/>
      <c r="J18" s="3058"/>
      <c r="K18" s="3041"/>
      <c r="L18" s="3037"/>
      <c r="M18" s="3037"/>
      <c r="N18" s="3038"/>
      <c r="O18" s="3039"/>
      <c r="P18" s="3038"/>
      <c r="Q18" s="3038"/>
      <c r="R18" s="3038"/>
      <c r="S18" s="3038"/>
      <c r="T18" s="3038"/>
      <c r="U18" s="3038"/>
    </row>
    <row r="19" spans="1:21">
      <c r="A19" s="1665"/>
      <c r="B19" s="1592"/>
      <c r="C19" s="1574" t="s">
        <v>1945</v>
      </c>
      <c r="D19" s="1660">
        <f>IF(B16="出让",IF(D17="","",ROUNDDOWN(MIN((D17-$D$3)/365,D18),2)),D18)</f>
        <v>70</v>
      </c>
      <c r="E19" s="1594">
        <f>IF(B16="出让",IF(E17="","",ROUNDDOWN(MIN((E17-$D$3)/365,E18),2)),E18)</f>
        <v>40</v>
      </c>
      <c r="F19" s="1594" t="str">
        <f>IF(B16="出让",IF(F17="","",ROUNDDOWN(MIN((F17-$D$3)/365,F18),2)),F18)</f>
        <v/>
      </c>
      <c r="G19" s="1594">
        <f>IF(B16="出让",IF(G17="","",ROUNDDOWN(MIN((G17-$D$3)/365,G18),2)),G18)</f>
        <v>40</v>
      </c>
      <c r="H19" s="1594" t="str">
        <f>IF(B16="出让",IF(H17="","",ROUNDDOWN(MIN((H17-$D$3)/365,H18),2)),H18)</f>
        <v/>
      </c>
      <c r="I19" s="1594" t="str">
        <f>IF(B16="出让",IF(I17="","",ROUNDDOWN(MIN((I17-$D$3)/365,I18),2)),I18)</f>
        <v/>
      </c>
      <c r="J19" s="3058"/>
      <c r="K19" s="3041"/>
      <c r="L19" s="3037"/>
      <c r="M19" s="3037"/>
      <c r="N19" s="3038"/>
      <c r="O19" s="3039"/>
      <c r="P19" s="3038"/>
      <c r="Q19" s="3038"/>
      <c r="R19" s="3038"/>
      <c r="S19" s="3038"/>
      <c r="T19" s="3038"/>
      <c r="U19" s="3038"/>
    </row>
    <row r="20" spans="1:21">
      <c r="A20" s="1685"/>
      <c r="B20" s="1686"/>
      <c r="C20" s="1687" t="s">
        <v>2046</v>
      </c>
      <c r="D20" s="3685"/>
      <c r="E20" s="3686"/>
      <c r="F20" s="3686"/>
      <c r="G20" s="3686"/>
      <c r="H20" s="3686"/>
      <c r="I20" s="3687"/>
      <c r="J20" s="3058"/>
      <c r="K20" s="3041"/>
      <c r="L20" s="3037"/>
      <c r="M20" s="3037"/>
      <c r="N20" s="3038"/>
      <c r="O20" s="3039"/>
      <c r="P20" s="3038"/>
      <c r="Q20" s="3038"/>
      <c r="R20" s="3038"/>
      <c r="S20" s="3038"/>
      <c r="T20" s="3038"/>
      <c r="U20" s="3038"/>
    </row>
    <row r="21" spans="1:21">
      <c r="A21" s="1665" t="s">
        <v>1946</v>
      </c>
      <c r="B21" s="1666" t="s">
        <v>1947</v>
      </c>
      <c r="C21" s="1661">
        <f>'数据-汇总表'!E3</f>
        <v>461591.08999999997</v>
      </c>
      <c r="D21" s="1662" t="s">
        <v>1948</v>
      </c>
      <c r="E21" s="3675" t="s">
        <v>1984</v>
      </c>
      <c r="F21" s="3676"/>
      <c r="G21" s="3676"/>
      <c r="H21" s="3676"/>
      <c r="I21" s="3677"/>
      <c r="J21" s="3058"/>
      <c r="K21" s="3041"/>
      <c r="L21" s="3037"/>
      <c r="M21" s="3037"/>
      <c r="N21" s="3038"/>
      <c r="O21" s="3039"/>
      <c r="P21" s="3038"/>
      <c r="Q21" s="3038"/>
      <c r="R21" s="3038"/>
      <c r="S21" s="3038"/>
      <c r="T21" s="3038"/>
      <c r="U21" s="3038"/>
    </row>
    <row r="22" spans="1:21">
      <c r="A22" s="2786" t="s">
        <v>942</v>
      </c>
      <c r="B22" s="1575" t="s">
        <v>1949</v>
      </c>
      <c r="C22" s="1595">
        <f>'数据-汇总表'!D3</f>
        <v>214384.13</v>
      </c>
      <c r="D22" s="1596" t="s">
        <v>1948</v>
      </c>
      <c r="E22" s="3675" t="s">
        <v>2861</v>
      </c>
      <c r="F22" s="3676"/>
      <c r="G22" s="3676"/>
      <c r="H22" s="3676"/>
      <c r="I22" s="3677"/>
      <c r="J22" s="3058"/>
      <c r="K22" s="3041"/>
      <c r="L22" s="3037"/>
      <c r="M22" s="3037"/>
      <c r="N22" s="3038"/>
      <c r="O22" s="3039"/>
      <c r="P22" s="3038"/>
      <c r="Q22" s="3038"/>
      <c r="R22" s="3038"/>
      <c r="S22" s="3038"/>
      <c r="T22" s="3038"/>
      <c r="U22" s="3038"/>
    </row>
    <row r="23" spans="1:21" ht="43.5" thickBot="1">
      <c r="A23" s="1667" t="s">
        <v>1950</v>
      </c>
      <c r="B23" s="1607" t="s">
        <v>1951</v>
      </c>
      <c r="C23" s="1608" t="s">
        <v>3001</v>
      </c>
      <c r="D23" s="1609" t="s">
        <v>1952</v>
      </c>
      <c r="E23" s="1610" t="s">
        <v>942</v>
      </c>
      <c r="F23" s="1611" t="str">
        <f>IF(AND(C23="是",E23="否"),"是否提供他项权证或相关说明","")</f>
        <v/>
      </c>
      <c r="G23" s="1612" t="s">
        <v>942</v>
      </c>
      <c r="H23" s="3058"/>
      <c r="I23" s="3062"/>
      <c r="J23" s="3058"/>
      <c r="K23" s="3041"/>
      <c r="L23" s="3037"/>
      <c r="M23" s="3037"/>
      <c r="N23" s="3038"/>
      <c r="O23" s="3039"/>
      <c r="P23" s="3038"/>
      <c r="Q23" s="3038"/>
      <c r="R23" s="3038"/>
      <c r="S23" s="3038"/>
      <c r="T23" s="3038"/>
      <c r="U23" s="3038"/>
    </row>
    <row r="24" spans="1:21">
      <c r="A24" s="1652" t="s">
        <v>1953</v>
      </c>
      <c r="B24" s="3678" t="s">
        <v>1954</v>
      </c>
      <c r="C24" s="3679"/>
      <c r="D24" s="3680" t="s">
        <v>1955</v>
      </c>
      <c r="E24" s="3681"/>
      <c r="F24" s="1614" t="s">
        <v>1956</v>
      </c>
      <c r="G24" s="3058"/>
      <c r="H24" s="3058"/>
      <c r="I24" s="3062"/>
      <c r="J24" s="3058"/>
      <c r="K24" s="3666" t="s">
        <v>1957</v>
      </c>
      <c r="L24" s="2297" t="str">
        <f>"根据估价对象"&amp;IF(B26="——",B25&amp;C25,B25&amp;C25&amp;"、"&amp;B26&amp;C26)&amp;"，"&amp;IF(C23="是","截至估价期日，估价对象已设定抵押。","截至估价期日，估价对象抵押权未见登记。")</f>
        <v>根据估价对象————，截至估价期日，估价对象抵押权未见登记。</v>
      </c>
      <c r="M24" s="1629"/>
      <c r="N24" s="3038"/>
      <c r="O24" s="3039"/>
      <c r="P24" s="3038"/>
      <c r="Q24" s="3038"/>
      <c r="R24" s="3038"/>
      <c r="S24" s="3038"/>
      <c r="T24" s="3038"/>
      <c r="U24" s="3038"/>
    </row>
    <row r="25" spans="1:21">
      <c r="A25" s="1653"/>
      <c r="B25" s="1650" t="s">
        <v>942</v>
      </c>
      <c r="C25" s="1615" t="s">
        <v>942</v>
      </c>
      <c r="D25" s="1616"/>
      <c r="E25" s="1617" t="s">
        <v>942</v>
      </c>
      <c r="F25" s="1618"/>
      <c r="G25" s="3058"/>
      <c r="H25" s="3058"/>
      <c r="I25" s="3062"/>
      <c r="J25" s="3058"/>
      <c r="K25" s="3666"/>
      <c r="L25" s="229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629"/>
      <c r="N25" s="3038"/>
      <c r="O25" s="3039"/>
      <c r="P25" s="3038"/>
      <c r="Q25" s="3038"/>
      <c r="R25" s="3038"/>
      <c r="S25" s="3038"/>
      <c r="T25" s="3038"/>
      <c r="U25" s="3038"/>
    </row>
    <row r="26" spans="1:21" ht="15" thickBot="1">
      <c r="A26" s="1654"/>
      <c r="B26" s="1651" t="s">
        <v>942</v>
      </c>
      <c r="C26" s="1615" t="s">
        <v>942</v>
      </c>
      <c r="D26" s="3059"/>
      <c r="E26" s="3059"/>
      <c r="F26" s="3065"/>
      <c r="G26" s="3058"/>
      <c r="H26" s="3058"/>
      <c r="I26" s="3062"/>
      <c r="J26" s="3058"/>
      <c r="K26" s="3666"/>
      <c r="L26" s="229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29"/>
      <c r="N26" s="3038"/>
      <c r="O26" s="3039"/>
      <c r="P26" s="3038"/>
      <c r="Q26" s="3038"/>
      <c r="R26" s="3038"/>
      <c r="S26" s="3038"/>
      <c r="T26" s="3038"/>
      <c r="U26" s="3038"/>
    </row>
    <row r="27" spans="1:21">
      <c r="A27" s="1657" t="s">
        <v>1958</v>
      </c>
      <c r="B27" s="1655" t="s">
        <v>1959</v>
      </c>
      <c r="C27" s="1619"/>
      <c r="D27" s="2478" t="s">
        <v>1959</v>
      </c>
      <c r="E27" s="1620"/>
      <c r="F27" s="3065"/>
      <c r="G27" s="3058"/>
      <c r="H27" s="3058"/>
      <c r="I27" s="3062"/>
      <c r="J27" s="3058"/>
      <c r="K27" s="3041"/>
      <c r="L27" s="3037"/>
      <c r="M27" s="3037"/>
      <c r="N27" s="3038"/>
      <c r="O27" s="3039"/>
      <c r="P27" s="3038"/>
      <c r="Q27" s="3038"/>
      <c r="R27" s="3038"/>
      <c r="S27" s="3038"/>
      <c r="T27" s="3038"/>
      <c r="U27" s="3038"/>
    </row>
    <row r="28" spans="1:21">
      <c r="A28" s="1658"/>
      <c r="B28" s="1655" t="s">
        <v>1960</v>
      </c>
      <c r="C28" s="1621"/>
      <c r="D28" s="2479" t="s">
        <v>1960</v>
      </c>
      <c r="E28" s="1622"/>
      <c r="F28" s="3065"/>
      <c r="G28" s="3058"/>
      <c r="H28" s="3058"/>
      <c r="I28" s="3062"/>
      <c r="J28" s="3058"/>
      <c r="K28" s="3041"/>
      <c r="L28" s="3037"/>
      <c r="M28" s="3037"/>
      <c r="N28" s="3038"/>
      <c r="O28" s="3039"/>
      <c r="P28" s="3038"/>
      <c r="Q28" s="3038"/>
      <c r="R28" s="3038"/>
      <c r="S28" s="3038"/>
      <c r="T28" s="3038"/>
      <c r="U28" s="3038"/>
    </row>
    <row r="29" spans="1:21">
      <c r="A29" s="1658"/>
      <c r="B29" s="1655" t="s">
        <v>1961</v>
      </c>
      <c r="C29" s="1621"/>
      <c r="D29" s="2479" t="s">
        <v>1961</v>
      </c>
      <c r="E29" s="1622"/>
      <c r="F29" s="3065"/>
      <c r="G29" s="3058"/>
      <c r="H29" s="3058"/>
      <c r="I29" s="3062"/>
      <c r="J29" s="3058"/>
      <c r="K29" s="3041"/>
      <c r="L29" s="3037"/>
      <c r="M29" s="3037"/>
      <c r="N29" s="3038"/>
      <c r="O29" s="3039"/>
      <c r="P29" s="3038"/>
      <c r="Q29" s="3038"/>
      <c r="R29" s="3038"/>
      <c r="S29" s="3038"/>
      <c r="T29" s="3038"/>
      <c r="U29" s="3038"/>
    </row>
    <row r="30" spans="1:21" ht="15" thickBot="1">
      <c r="A30" s="1659"/>
      <c r="B30" s="1656" t="s">
        <v>1962</v>
      </c>
      <c r="C30" s="1623"/>
      <c r="D30" s="2480" t="s">
        <v>1962</v>
      </c>
      <c r="E30" s="1624"/>
      <c r="F30" s="3066"/>
      <c r="G30" s="3063"/>
      <c r="H30" s="3063"/>
      <c r="I30" s="3064"/>
      <c r="J30" s="3058"/>
      <c r="K30" s="3041"/>
      <c r="L30" s="3037"/>
      <c r="M30" s="3037"/>
      <c r="N30" s="3038"/>
      <c r="O30" s="3039"/>
      <c r="P30" s="3038"/>
      <c r="Q30" s="3038"/>
      <c r="R30" s="3038"/>
      <c r="S30" s="3038"/>
      <c r="T30" s="3038"/>
      <c r="U30" s="3038"/>
    </row>
    <row r="31" spans="1:21" ht="15" thickTop="1">
      <c r="A31" s="3693" t="s">
        <v>1987</v>
      </c>
      <c r="B31" s="1666" t="s">
        <v>1988</v>
      </c>
      <c r="C31" s="3691" t="s">
        <v>3002</v>
      </c>
      <c r="D31" s="3692"/>
      <c r="E31" s="3058"/>
      <c r="F31" s="3058"/>
      <c r="G31" s="3058"/>
      <c r="H31" s="3058"/>
      <c r="I31" s="3062"/>
      <c r="J31" s="3058"/>
      <c r="K31" s="3044"/>
      <c r="L31" s="3038"/>
      <c r="M31" s="3038"/>
      <c r="N31" s="3038"/>
      <c r="O31" s="3038"/>
      <c r="P31" s="3038"/>
      <c r="Q31" s="3038"/>
      <c r="R31" s="3038"/>
      <c r="S31" s="3038"/>
      <c r="T31" s="3038"/>
      <c r="U31" s="3038"/>
    </row>
    <row r="32" spans="1:21">
      <c r="A32" s="3693"/>
      <c r="B32" s="1575" t="s">
        <v>1989</v>
      </c>
      <c r="C32" s="1625" t="s">
        <v>3003</v>
      </c>
      <c r="D32" s="1626"/>
      <c r="E32" s="3058"/>
      <c r="F32" s="3058"/>
      <c r="G32" s="3058"/>
      <c r="H32" s="3058"/>
      <c r="I32" s="3062"/>
      <c r="J32" s="3058"/>
      <c r="K32" s="3044"/>
      <c r="L32" s="3038"/>
      <c r="M32" s="3038"/>
      <c r="N32" s="3038"/>
      <c r="O32" s="3038"/>
      <c r="P32" s="3038"/>
      <c r="Q32" s="3038"/>
      <c r="R32" s="3038"/>
      <c r="S32" s="3038"/>
      <c r="T32" s="3038"/>
      <c r="U32" s="3038"/>
    </row>
    <row r="33" spans="1:28">
      <c r="A33" s="3693"/>
      <c r="B33" s="1575" t="s">
        <v>1990</v>
      </c>
      <c r="C33" s="1627"/>
      <c r="D33" s="1737"/>
      <c r="E33" s="3058"/>
      <c r="F33" s="3058"/>
      <c r="G33" s="3058"/>
      <c r="H33" s="3058"/>
      <c r="I33" s="3062"/>
      <c r="J33" s="3058"/>
      <c r="K33" s="3044"/>
      <c r="L33" s="3038"/>
      <c r="M33" s="3038"/>
      <c r="N33" s="3038"/>
      <c r="O33" s="3038"/>
      <c r="P33" s="3038"/>
      <c r="Q33" s="3038"/>
      <c r="R33" s="3038"/>
      <c r="S33" s="3038"/>
      <c r="T33" s="3038"/>
      <c r="U33" s="3038"/>
    </row>
    <row r="34" spans="1:28">
      <c r="A34" s="3694"/>
      <c r="B34" s="1575" t="s">
        <v>1991</v>
      </c>
      <c r="C34" s="3695"/>
      <c r="D34" s="3696"/>
      <c r="E34" s="3058"/>
      <c r="F34" s="3058"/>
      <c r="G34" s="3058"/>
      <c r="H34" s="3058"/>
      <c r="I34" s="3062"/>
      <c r="J34" s="3058"/>
      <c r="K34" s="3044"/>
      <c r="L34" s="3038"/>
      <c r="M34" s="3038"/>
      <c r="N34" s="3038"/>
      <c r="O34" s="3038"/>
      <c r="P34" s="3038"/>
      <c r="Q34" s="3038"/>
      <c r="R34" s="3038"/>
      <c r="S34" s="3038"/>
      <c r="T34" s="3038"/>
      <c r="U34" s="3038"/>
    </row>
    <row r="35" spans="1:28">
      <c r="A35" s="3697" t="s">
        <v>838</v>
      </c>
      <c r="B35" s="1628" t="s">
        <v>11193</v>
      </c>
      <c r="C35" s="1675" t="str">
        <f>IF(B35="场地平整","——","具体情况：")</f>
        <v>——</v>
      </c>
      <c r="D35" s="3699"/>
      <c r="E35" s="3700"/>
      <c r="F35" s="3700"/>
      <c r="G35" s="3700"/>
      <c r="H35" s="3700"/>
      <c r="I35" s="3701"/>
      <c r="J35" s="3058"/>
      <c r="K35" s="3045"/>
      <c r="L35" s="3037"/>
      <c r="M35" s="3037"/>
      <c r="N35" s="3038"/>
      <c r="O35" s="3039"/>
      <c r="P35" s="3038"/>
      <c r="Q35" s="3038"/>
      <c r="R35" s="3038"/>
      <c r="S35" s="3038"/>
      <c r="T35" s="3038"/>
      <c r="U35" s="3038"/>
    </row>
    <row r="36" spans="1:28">
      <c r="A36" s="3693"/>
      <c r="B36" s="3702" t="s">
        <v>2040</v>
      </c>
      <c r="C36" s="3703"/>
      <c r="D36" s="1691" t="s">
        <v>3004</v>
      </c>
      <c r="E36" s="3704"/>
      <c r="F36" s="3704"/>
      <c r="G36" s="1596" t="str">
        <f>IF(B35="场地未平整","估价结果处理","")</f>
        <v/>
      </c>
      <c r="H36" s="3705"/>
      <c r="I36" s="3705"/>
      <c r="J36" s="3058"/>
      <c r="K36" s="3045"/>
      <c r="L36" s="3037"/>
      <c r="M36" s="3037"/>
      <c r="N36" s="3038"/>
      <c r="O36" s="3039"/>
      <c r="P36" s="3038"/>
      <c r="Q36" s="3038"/>
      <c r="R36" s="3038"/>
      <c r="S36" s="3038"/>
      <c r="T36" s="3038"/>
      <c r="U36" s="3038"/>
    </row>
    <row r="37" spans="1:28" ht="28.5">
      <c r="A37" s="3693"/>
      <c r="B37" s="3682" t="s">
        <v>839</v>
      </c>
      <c r="C37" s="1630" t="s">
        <v>840</v>
      </c>
      <c r="D37" s="1631"/>
      <c r="E37" s="1632"/>
      <c r="F37" s="3058"/>
      <c r="G37" s="3058"/>
      <c r="H37" s="3058"/>
      <c r="I37" s="3062"/>
      <c r="J37" s="3058"/>
      <c r="K37" s="3045"/>
      <c r="L37" s="3038"/>
      <c r="M37" s="3038"/>
      <c r="N37" s="3038"/>
      <c r="O37" s="3038"/>
      <c r="P37" s="3038"/>
      <c r="Q37" s="3038"/>
      <c r="R37" s="3038"/>
      <c r="S37" s="3038"/>
      <c r="T37" s="3038"/>
      <c r="U37" s="3038"/>
    </row>
    <row r="38" spans="1:28">
      <c r="A38" s="3693"/>
      <c r="B38" s="3683"/>
      <c r="C38" s="1583" t="s">
        <v>841</v>
      </c>
      <c r="D38" s="1690">
        <f>ROUNDDOWN(MIN(('数据-取费表'!$B$2-D37)/365,D34),1)</f>
        <v>121</v>
      </c>
      <c r="E38" s="1633" t="s">
        <v>842</v>
      </c>
      <c r="F38" s="3058"/>
      <c r="G38" s="3058"/>
      <c r="H38" s="3058"/>
      <c r="I38" s="3062"/>
      <c r="J38" s="3058"/>
      <c r="K38" s="3045"/>
      <c r="L38" s="3038"/>
      <c r="M38" s="3038"/>
      <c r="N38" s="3038"/>
      <c r="O38" s="3038"/>
      <c r="P38" s="3038"/>
      <c r="Q38" s="3038"/>
      <c r="R38" s="3038"/>
      <c r="S38" s="3038"/>
      <c r="T38" s="3038"/>
      <c r="U38" s="3038"/>
    </row>
    <row r="39" spans="1:28">
      <c r="A39" s="3694"/>
      <c r="B39" s="3684"/>
      <c r="C39" s="1603" t="str">
        <f>IF(D38&lt;1,"不存在土地闲置",IF(B35="宗地内已开工建设","已开工，不存在土地闲置","估价对象已涉嫌土地闲置"))</f>
        <v>估价对象已涉嫌土地闲置</v>
      </c>
      <c r="D39" s="1634"/>
      <c r="E39" s="1635"/>
      <c r="F39" s="3058"/>
      <c r="G39" s="3058"/>
      <c r="H39" s="3058"/>
      <c r="I39" s="3062"/>
      <c r="J39" s="3058"/>
      <c r="K39" s="3041"/>
      <c r="L39" s="3037"/>
      <c r="M39" s="3037"/>
      <c r="N39" s="3038"/>
      <c r="O39" s="3039"/>
      <c r="P39" s="3038"/>
      <c r="Q39" s="3038"/>
      <c r="R39" s="3038"/>
      <c r="S39" s="3038"/>
      <c r="T39" s="3038"/>
      <c r="U39" s="3038"/>
    </row>
    <row r="40" spans="1:28">
      <c r="A40" s="1596" t="s">
        <v>1963</v>
      </c>
      <c r="B40" s="1597" t="s">
        <v>3005</v>
      </c>
      <c r="C40" s="1597" t="s">
        <v>3006</v>
      </c>
      <c r="D40" s="1597" t="s">
        <v>3007</v>
      </c>
      <c r="E40" s="1597" t="s">
        <v>942</v>
      </c>
      <c r="F40" s="1597" t="s">
        <v>942</v>
      </c>
      <c r="G40" s="1597" t="s">
        <v>942</v>
      </c>
      <c r="H40" s="1597" t="s">
        <v>942</v>
      </c>
      <c r="I40" s="3062"/>
      <c r="J40" s="3058"/>
      <c r="K40" s="3006">
        <f>COUNTIF(B40:H40,"——")</f>
        <v>4</v>
      </c>
      <c r="L40" s="1605" t="s">
        <v>1964</v>
      </c>
      <c r="M40" s="1602" t="s">
        <v>1965</v>
      </c>
      <c r="N40" s="1602" t="s">
        <v>1966</v>
      </c>
      <c r="O40" s="1602" t="s">
        <v>1967</v>
      </c>
      <c r="P40" s="1602" t="s">
        <v>1968</v>
      </c>
      <c r="Q40" s="1602" t="s">
        <v>1969</v>
      </c>
      <c r="R40" s="1602" t="s">
        <v>1970</v>
      </c>
      <c r="S40" s="3665" t="s">
        <v>1971</v>
      </c>
      <c r="T40" s="1637" t="str">
        <f>NUMBERSTRING(7-K40,1)&amp;"通"</f>
        <v>三通</v>
      </c>
      <c r="U40" s="3038"/>
    </row>
    <row r="41" spans="1:28" ht="57">
      <c r="A41" s="1577"/>
      <c r="B41" s="3698" t="s">
        <v>1711</v>
      </c>
      <c r="C41" s="3698"/>
      <c r="D41" s="3698"/>
      <c r="E41" s="3698"/>
      <c r="F41" s="1638" t="str">
        <f>C10</f>
        <v>四川省眉山市视高街道新明村、南桥社区</v>
      </c>
      <c r="G41" s="3058"/>
      <c r="H41" s="3058"/>
      <c r="I41" s="3062"/>
      <c r="J41" s="3058"/>
      <c r="K41" s="1605"/>
      <c r="L41" s="1602" t="str">
        <f>B40</f>
        <v>通路</v>
      </c>
      <c r="M41" s="1639" t="str">
        <f>B40&amp;"、"&amp;C40</f>
        <v>通路、通电</v>
      </c>
      <c r="N41" s="1640" t="str">
        <f>B40&amp;"、"&amp;C40&amp;"、"&amp;D40</f>
        <v>通路、通电、通讯</v>
      </c>
      <c r="O41" s="1640" t="str">
        <f>B40&amp;"、"&amp;C40&amp;"、"&amp;D40&amp;"、"&amp;E40</f>
        <v>通路、通电、通讯、——</v>
      </c>
      <c r="P41" s="1640" t="str">
        <f>B40&amp;"、"&amp;C40&amp;"、"&amp;D40&amp;"、"&amp;E40&amp;"、"&amp;F40</f>
        <v>通路、通电、通讯、——、——</v>
      </c>
      <c r="Q41" s="1640" t="str">
        <f>B40&amp;"、"&amp;C40&amp;"、"&amp;D40&amp;"、"&amp;E40&amp;"、"&amp;F40&amp;"、"&amp;G40</f>
        <v>通路、通电、通讯、——、——、——</v>
      </c>
      <c r="R41" s="1640" t="str">
        <f>B40&amp;"、"&amp;C40&amp;"、"&amp;D40&amp;"、"&amp;E40&amp;"、"&amp;F40&amp;"、"&amp;G40&amp;"、"&amp;H40</f>
        <v>通路、通电、通讯、——、——、——、——</v>
      </c>
      <c r="S41" s="3665"/>
      <c r="T41" s="1639" t="str">
        <f>IF(T40="一通",L41,IF(T40="二通",M41,IF(T40="三通",N41,IF(T40="四通",O41,IF(T40="五通",P41,IF(T40="六通",Q41,R41))))))</f>
        <v>通路、通电、通讯</v>
      </c>
      <c r="U41" s="3038"/>
    </row>
    <row r="42" spans="1:28">
      <c r="A42" s="1641"/>
      <c r="B42" s="1668" t="s">
        <v>1887</v>
      </c>
      <c r="C42" s="1668" t="s">
        <v>1888</v>
      </c>
      <c r="D42" s="1668" t="s">
        <v>1889</v>
      </c>
      <c r="E42" s="1605" t="s">
        <v>1890</v>
      </c>
      <c r="F42" s="1642"/>
      <c r="G42" s="3058"/>
      <c r="H42" s="3058"/>
      <c r="I42" s="3062"/>
      <c r="J42" s="3058"/>
      <c r="K42" s="3041"/>
      <c r="L42" s="3037"/>
      <c r="M42" s="3037"/>
      <c r="N42" s="3038"/>
      <c r="O42" s="3039"/>
      <c r="P42" s="3038"/>
      <c r="Q42" s="3038"/>
      <c r="R42" s="3038"/>
      <c r="S42" s="3038"/>
      <c r="T42" s="3038"/>
      <c r="U42" s="3038"/>
    </row>
    <row r="43" spans="1:28">
      <c r="A43" s="3009" t="s">
        <v>1696</v>
      </c>
      <c r="B43" s="1643"/>
      <c r="C43" s="1643"/>
      <c r="D43" s="1643"/>
      <c r="E43" s="1643"/>
      <c r="F43" s="1644"/>
      <c r="G43" s="3058"/>
      <c r="H43" s="3058"/>
      <c r="I43" s="3062"/>
      <c r="J43" s="3058"/>
      <c r="K43" s="3041"/>
      <c r="L43" s="3037"/>
      <c r="M43" s="3037"/>
      <c r="N43" s="3038"/>
      <c r="O43" s="3039"/>
      <c r="P43" s="3038"/>
      <c r="Q43" s="3038"/>
      <c r="R43" s="3038"/>
      <c r="S43" s="3038"/>
      <c r="T43" s="3038"/>
      <c r="U43" s="3038"/>
    </row>
    <row r="44" spans="1:28">
      <c r="A44" s="3009" t="s">
        <v>1697</v>
      </c>
      <c r="B44" s="1643"/>
      <c r="C44" s="1643"/>
      <c r="D44" s="1643"/>
      <c r="E44" s="1691"/>
      <c r="F44" s="1644"/>
      <c r="G44" s="3058"/>
      <c r="H44" s="3058"/>
      <c r="I44" s="3062"/>
      <c r="J44" s="3058"/>
      <c r="K44" s="3041"/>
      <c r="L44" s="3037"/>
      <c r="M44" s="3037"/>
      <c r="N44" s="3038"/>
      <c r="O44" s="3039"/>
      <c r="P44" s="3038"/>
      <c r="Q44" s="3038"/>
      <c r="R44" s="3038"/>
      <c r="S44" s="3038"/>
      <c r="T44" s="3038"/>
      <c r="U44" s="3038"/>
    </row>
    <row r="45" spans="1:28" s="2757" customFormat="1" ht="21" thickBot="1">
      <c r="A45" s="2758" t="s">
        <v>2862</v>
      </c>
      <c r="B45" s="2756"/>
      <c r="C45" s="2756"/>
      <c r="D45" s="2756"/>
      <c r="E45" s="2756"/>
      <c r="F45" s="2756"/>
      <c r="G45" s="3048"/>
      <c r="H45" s="3048"/>
      <c r="I45" s="3049"/>
      <c r="J45" s="3061"/>
      <c r="K45" s="3046"/>
      <c r="L45" s="3047"/>
      <c r="M45" s="3047"/>
      <c r="N45" s="3048"/>
      <c r="O45" s="3049"/>
      <c r="P45" s="3048"/>
      <c r="Q45" s="3048"/>
      <c r="R45" s="3048"/>
      <c r="S45" s="3048"/>
      <c r="T45" s="3048"/>
      <c r="U45" s="3048"/>
      <c r="V45" s="3050"/>
      <c r="W45" s="3050"/>
      <c r="X45" s="3050"/>
      <c r="Y45" s="3050"/>
      <c r="Z45" s="3050"/>
      <c r="AA45" s="3050"/>
      <c r="AB45" s="3050"/>
    </row>
    <row r="46" spans="1:28">
      <c r="A46" s="1600"/>
      <c r="B46" s="1600"/>
      <c r="C46" s="1600"/>
      <c r="D46" s="1600"/>
      <c r="E46" s="1600"/>
      <c r="F46" s="1600"/>
      <c r="G46" s="1600"/>
      <c r="H46" s="1600"/>
      <c r="I46" s="1613"/>
      <c r="J46" s="1600"/>
      <c r="K46" s="3041"/>
      <c r="L46" s="3037"/>
      <c r="M46" s="3037"/>
      <c r="N46" s="3038"/>
      <c r="O46" s="3039"/>
      <c r="P46" s="3038"/>
      <c r="Q46" s="3038"/>
      <c r="R46" s="3038"/>
      <c r="S46" s="3038"/>
      <c r="T46" s="3038"/>
      <c r="U46" s="3038"/>
    </row>
    <row r="47" spans="1:28">
      <c r="A47" s="1645" t="s">
        <v>1992</v>
      </c>
      <c r="B47" s="1646"/>
      <c r="C47" s="1635"/>
      <c r="D47" s="1600"/>
      <c r="E47" s="1600"/>
      <c r="F47" s="1600"/>
      <c r="G47" s="1600"/>
      <c r="H47" s="1600"/>
      <c r="I47" s="1601"/>
      <c r="J47" s="1600"/>
      <c r="K47" s="3041"/>
      <c r="L47" s="3037"/>
      <c r="M47" s="3037"/>
      <c r="N47" s="3038"/>
      <c r="O47" s="3039"/>
      <c r="P47" s="3038"/>
      <c r="Q47" s="3038"/>
      <c r="R47" s="3038"/>
      <c r="S47" s="3038"/>
      <c r="T47" s="3038"/>
      <c r="U47" s="3038"/>
    </row>
    <row r="48" spans="1:28" ht="28.5">
      <c r="A48" s="1605" t="s">
        <v>1993</v>
      </c>
      <c r="B48" s="1595" t="s">
        <v>1994</v>
      </c>
      <c r="C48" s="1595" t="s">
        <v>1995</v>
      </c>
      <c r="D48" s="1595" t="s">
        <v>1996</v>
      </c>
      <c r="E48" s="1595" t="s">
        <v>1997</v>
      </c>
      <c r="F48" s="1595" t="s">
        <v>1998</v>
      </c>
      <c r="G48" s="1595" t="s">
        <v>1999</v>
      </c>
      <c r="H48" s="1595" t="s">
        <v>2000</v>
      </c>
      <c r="I48" s="1595" t="s">
        <v>2001</v>
      </c>
      <c r="J48" s="1674" t="s">
        <v>2002</v>
      </c>
      <c r="K48" s="3051" t="s">
        <v>2003</v>
      </c>
      <c r="L48" s="3051" t="s">
        <v>2004</v>
      </c>
      <c r="M48" s="3051" t="s">
        <v>2005</v>
      </c>
      <c r="N48" s="3052" t="s">
        <v>2006</v>
      </c>
      <c r="O48" s="3052" t="s">
        <v>2007</v>
      </c>
      <c r="P48" s="3052" t="s">
        <v>2008</v>
      </c>
      <c r="Q48" s="3043" t="s">
        <v>2009</v>
      </c>
      <c r="R48" s="3043" t="s">
        <v>2010</v>
      </c>
      <c r="S48" s="3038"/>
      <c r="T48" s="3038"/>
      <c r="U48" s="3038"/>
    </row>
    <row r="49" spans="1:21">
      <c r="A49" s="1602"/>
      <c r="B49" s="1636"/>
      <c r="C49" s="1636"/>
      <c r="D49" s="1636"/>
      <c r="E49" s="1636"/>
      <c r="F49" s="1636"/>
      <c r="G49" s="1636"/>
      <c r="H49" s="1636"/>
      <c r="I49" s="1636"/>
      <c r="J49" s="1738"/>
      <c r="K49" s="3053"/>
      <c r="L49" s="3053"/>
      <c r="M49" s="1642"/>
      <c r="N49" s="1642"/>
      <c r="O49" s="1642"/>
      <c r="P49" s="1642"/>
      <c r="Q49" s="1642"/>
      <c r="R49" s="1642"/>
      <c r="S49" s="3038"/>
      <c r="T49" s="3038"/>
      <c r="U49" s="3038"/>
    </row>
    <row r="50" spans="1:21">
      <c r="A50" s="1602"/>
      <c r="B50" s="1602"/>
      <c r="C50" s="1636"/>
      <c r="D50" s="1636"/>
      <c r="E50" s="1636"/>
      <c r="F50" s="1636"/>
      <c r="G50" s="1636"/>
      <c r="H50" s="1636"/>
      <c r="I50" s="1636"/>
      <c r="J50" s="1738"/>
      <c r="K50" s="3053"/>
      <c r="L50" s="3053"/>
      <c r="M50" s="1642"/>
      <c r="N50" s="1642"/>
      <c r="O50" s="1642"/>
      <c r="P50" s="1642"/>
      <c r="Q50" s="1642"/>
      <c r="R50" s="1642"/>
      <c r="S50" s="3038"/>
      <c r="T50" s="3038"/>
      <c r="U50" s="3038"/>
    </row>
    <row r="51" spans="1:21">
      <c r="A51" s="1602"/>
      <c r="B51" s="1602"/>
      <c r="C51" s="1636"/>
      <c r="D51" s="1636"/>
      <c r="E51" s="1636"/>
      <c r="F51" s="1636"/>
      <c r="G51" s="1636"/>
      <c r="H51" s="1636"/>
      <c r="I51" s="1636"/>
      <c r="J51" s="1738"/>
      <c r="K51" s="3053"/>
      <c r="L51" s="3053"/>
      <c r="M51" s="1642"/>
      <c r="N51" s="1642"/>
      <c r="O51" s="1642"/>
      <c r="P51" s="1642"/>
      <c r="Q51" s="1642"/>
      <c r="R51" s="1642"/>
      <c r="S51" s="3038"/>
      <c r="T51" s="3038"/>
      <c r="U51" s="3038"/>
    </row>
    <row r="52" spans="1:21">
      <c r="A52" s="1602"/>
      <c r="B52" s="1602"/>
      <c r="C52" s="1636"/>
      <c r="D52" s="1636"/>
      <c r="E52" s="1636"/>
      <c r="F52" s="1636"/>
      <c r="G52" s="1636"/>
      <c r="H52" s="1636"/>
      <c r="I52" s="1636"/>
      <c r="J52" s="1738"/>
      <c r="K52" s="3053"/>
      <c r="L52" s="3053"/>
      <c r="M52" s="1642"/>
      <c r="N52" s="1642"/>
      <c r="O52" s="1642"/>
      <c r="P52" s="1642"/>
      <c r="Q52" s="1642"/>
      <c r="R52" s="1642"/>
      <c r="S52" s="3038"/>
      <c r="T52" s="3038"/>
      <c r="U52" s="3038"/>
    </row>
    <row r="53" spans="1:21">
      <c r="A53" s="1602"/>
      <c r="B53" s="1602"/>
      <c r="C53" s="1636"/>
      <c r="D53" s="1636"/>
      <c r="E53" s="1636"/>
      <c r="F53" s="1636"/>
      <c r="G53" s="1636"/>
      <c r="H53" s="1636"/>
      <c r="I53" s="1636"/>
      <c r="J53" s="1738"/>
      <c r="K53" s="3053"/>
      <c r="L53" s="3053"/>
      <c r="M53" s="1642"/>
      <c r="N53" s="1642"/>
      <c r="O53" s="1642"/>
      <c r="P53" s="1642"/>
      <c r="Q53" s="1642"/>
      <c r="R53" s="1642"/>
      <c r="S53" s="3038"/>
      <c r="T53" s="3038"/>
      <c r="U53" s="3038"/>
    </row>
    <row r="54" spans="1:21">
      <c r="A54" s="1602"/>
      <c r="B54" s="1602"/>
      <c r="C54" s="1602"/>
      <c r="D54" s="1602"/>
      <c r="E54" s="1602"/>
      <c r="F54" s="1636"/>
      <c r="G54" s="1602"/>
      <c r="H54" s="1602"/>
      <c r="I54" s="1602"/>
      <c r="J54" s="1739"/>
      <c r="K54" s="3053"/>
      <c r="L54" s="3053"/>
      <c r="M54" s="3053"/>
      <c r="N54" s="3005"/>
      <c r="O54" s="3005"/>
      <c r="P54" s="3005"/>
      <c r="Q54" s="3005"/>
      <c r="R54" s="3005"/>
      <c r="S54" s="3038"/>
      <c r="T54" s="3038"/>
      <c r="U54" s="3038"/>
    </row>
    <row r="55" spans="1:21">
      <c r="A55" s="1602"/>
      <c r="B55" s="1602"/>
      <c r="C55" s="1602"/>
      <c r="D55" s="1602"/>
      <c r="E55" s="1602"/>
      <c r="F55" s="1636"/>
      <c r="G55" s="1602"/>
      <c r="H55" s="1602"/>
      <c r="I55" s="1602"/>
      <c r="J55" s="1739"/>
      <c r="K55" s="3053"/>
      <c r="L55" s="3053"/>
      <c r="M55" s="3053"/>
      <c r="N55" s="3005"/>
      <c r="O55" s="3005"/>
      <c r="P55" s="3005"/>
      <c r="Q55" s="3005"/>
      <c r="R55" s="3005"/>
      <c r="S55" s="3038"/>
      <c r="T55" s="3038"/>
      <c r="U55" s="3038"/>
    </row>
    <row r="56" spans="1:21">
      <c r="A56" s="1602"/>
      <c r="B56" s="1602"/>
      <c r="C56" s="1602"/>
      <c r="D56" s="1602"/>
      <c r="E56" s="1602"/>
      <c r="F56" s="1636"/>
      <c r="G56" s="1602"/>
      <c r="H56" s="1602"/>
      <c r="I56" s="1602"/>
      <c r="J56" s="1739"/>
      <c r="K56" s="3053"/>
      <c r="L56" s="3053"/>
      <c r="M56" s="3053"/>
      <c r="N56" s="3005"/>
      <c r="O56" s="3005"/>
      <c r="P56" s="3005"/>
      <c r="Q56" s="3005"/>
      <c r="R56" s="3005"/>
      <c r="S56" s="3038"/>
      <c r="T56" s="3038"/>
      <c r="U56" s="3038"/>
    </row>
    <row r="57" spans="1:21">
      <c r="A57" s="1602"/>
      <c r="B57" s="1602"/>
      <c r="C57" s="1602"/>
      <c r="D57" s="1602"/>
      <c r="E57" s="1602"/>
      <c r="F57" s="1636"/>
      <c r="G57" s="1602"/>
      <c r="H57" s="1602"/>
      <c r="I57" s="1602"/>
      <c r="J57" s="1739"/>
      <c r="K57" s="3053"/>
      <c r="L57" s="3053"/>
      <c r="M57" s="3053"/>
      <c r="N57" s="3005"/>
      <c r="O57" s="3005"/>
      <c r="P57" s="3005"/>
      <c r="Q57" s="3005"/>
      <c r="R57" s="3005"/>
      <c r="S57" s="3038"/>
      <c r="T57" s="3038"/>
      <c r="U57" s="3038"/>
    </row>
    <row r="58" spans="1:21">
      <c r="A58" s="1602"/>
      <c r="B58" s="1602"/>
      <c r="C58" s="1602"/>
      <c r="D58" s="1602"/>
      <c r="E58" s="1602"/>
      <c r="F58" s="1636"/>
      <c r="G58" s="1602"/>
      <c r="H58" s="1602"/>
      <c r="I58" s="1602"/>
      <c r="J58" s="1739"/>
      <c r="K58" s="3053"/>
      <c r="L58" s="3053"/>
      <c r="M58" s="3053"/>
      <c r="N58" s="3005"/>
      <c r="O58" s="3005"/>
      <c r="P58" s="3005"/>
      <c r="Q58" s="3005"/>
      <c r="R58" s="3005"/>
      <c r="S58" s="3038"/>
      <c r="T58" s="3038"/>
      <c r="U58" s="3038"/>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H13" activePane="bottomRight" state="frozen"/>
      <selection pane="topRight" activeCell="E1" sqref="E1"/>
      <selection pane="bottomLeft" activeCell="A12" sqref="A12"/>
      <selection pane="bottomRight" activeCell="J32" sqref="J32"/>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0" width="10.75" style="15" customWidth="1"/>
    <col min="21"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67"/>
      <c r="E2" s="982"/>
      <c r="F2" s="42"/>
      <c r="G2" s="1167"/>
      <c r="H2" s="1167"/>
      <c r="I2" s="1167"/>
      <c r="J2" s="1167"/>
      <c r="K2" s="1167"/>
      <c r="L2" s="1167"/>
      <c r="M2" s="1167"/>
      <c r="N2" s="1167"/>
      <c r="O2" s="1167"/>
      <c r="P2" s="1167"/>
      <c r="Q2" s="1167"/>
      <c r="R2" s="1167"/>
      <c r="S2" s="1167"/>
      <c r="T2" s="1167"/>
      <c r="U2" s="1167"/>
      <c r="V2" s="1167"/>
      <c r="W2" s="1167"/>
      <c r="X2" s="1167"/>
      <c r="Y2" s="1167"/>
      <c r="Z2" s="1167"/>
      <c r="AA2" s="1167"/>
      <c r="AB2" s="1167"/>
      <c r="AC2" s="1167"/>
      <c r="AD2" s="1167"/>
      <c r="AE2" s="1167"/>
      <c r="AF2" s="1167"/>
      <c r="AG2" s="1167"/>
      <c r="AH2" s="1167"/>
      <c r="AI2" s="1167"/>
      <c r="AJ2" s="1167"/>
      <c r="AK2" s="1167"/>
      <c r="AL2" s="1167"/>
      <c r="AM2" s="1167"/>
      <c r="AN2" s="1167"/>
      <c r="AO2" s="1167"/>
      <c r="AP2" s="1167"/>
      <c r="AQ2" s="1167"/>
      <c r="AR2" s="1167"/>
      <c r="AS2" s="1167"/>
      <c r="AT2" s="1167"/>
      <c r="AU2" s="1167"/>
      <c r="AV2" s="1167"/>
      <c r="AW2" s="1167"/>
      <c r="AX2" s="1167"/>
      <c r="AY2" s="20" t="s">
        <v>167</v>
      </c>
      <c r="AZ2" s="2204" t="s">
        <v>2315</v>
      </c>
      <c r="BA2" s="2205" t="s">
        <v>2314</v>
      </c>
      <c r="BB2" s="1167"/>
      <c r="BC2" s="1167"/>
      <c r="BD2" s="1167"/>
      <c r="BE2" s="1167"/>
      <c r="BF2" s="1167"/>
      <c r="BG2" s="1167"/>
      <c r="BH2" s="1167"/>
      <c r="BI2" s="1167"/>
      <c r="BJ2" s="1167"/>
      <c r="BK2" s="1167"/>
      <c r="BL2" s="1167"/>
      <c r="BM2" s="1167"/>
      <c r="BN2" s="1167"/>
      <c r="BO2" s="1167"/>
      <c r="BP2" s="1167"/>
      <c r="BQ2" s="1167"/>
      <c r="BR2" s="1167"/>
      <c r="BS2" s="1167"/>
      <c r="BT2" s="1167"/>
    </row>
    <row r="3" spans="1:72" s="18" customFormat="1" ht="12.75">
      <c r="A3" s="21">
        <f>SUM('2038亩'!D2:D3)+SUM('2038亩'!D28:D30)</f>
        <v>214384.13</v>
      </c>
      <c r="B3" s="22">
        <f>IF(C3="否",G5-AT5,G5)</f>
        <v>461591.08999999997</v>
      </c>
      <c r="C3" s="23" t="s">
        <v>3001</v>
      </c>
      <c r="D3" s="1167"/>
      <c r="E3" s="1167"/>
      <c r="F3" s="1167"/>
      <c r="G3" s="1167"/>
      <c r="H3" s="1167"/>
      <c r="I3" s="1167"/>
      <c r="J3" s="1167"/>
      <c r="K3" s="1167"/>
      <c r="L3" s="1167"/>
      <c r="M3" s="1167"/>
      <c r="N3" s="1167"/>
      <c r="O3" s="1167"/>
      <c r="P3" s="1167"/>
      <c r="Q3" s="1167"/>
      <c r="R3" s="1167"/>
      <c r="S3" s="1167"/>
      <c r="T3" s="1167"/>
      <c r="U3" s="1167"/>
      <c r="V3" s="1167"/>
      <c r="W3" s="1167"/>
      <c r="X3" s="1167"/>
      <c r="Y3" s="1167"/>
      <c r="Z3" s="1167"/>
      <c r="AA3" s="1167"/>
      <c r="AB3" s="1167"/>
      <c r="AC3" s="1167"/>
      <c r="AD3" s="1167"/>
      <c r="AE3" s="1167"/>
      <c r="AF3" s="1167"/>
      <c r="AG3" s="1167"/>
      <c r="AH3" s="1167"/>
      <c r="AI3" s="1167"/>
      <c r="AJ3" s="1167"/>
      <c r="AK3" s="1167"/>
      <c r="AL3" s="1167"/>
      <c r="AM3" s="1167"/>
      <c r="AN3" s="1167"/>
      <c r="AO3" s="1167"/>
      <c r="AP3" s="1167"/>
      <c r="AQ3" s="1167"/>
      <c r="AR3" s="1167"/>
      <c r="AS3" s="1167"/>
      <c r="AT3" s="1167"/>
      <c r="AU3" s="1167"/>
      <c r="AV3" s="1167"/>
      <c r="AW3" s="1167"/>
      <c r="AX3" s="1167"/>
      <c r="AY3" s="24"/>
      <c r="AZ3" s="12"/>
      <c r="BA3" s="2206"/>
      <c r="BB3" s="1167"/>
      <c r="BC3" s="1167"/>
      <c r="BD3" s="1167"/>
      <c r="BE3" s="1167"/>
      <c r="BF3" s="1167"/>
      <c r="BG3" s="1167"/>
      <c r="BH3" s="1167"/>
      <c r="BI3" s="1167"/>
      <c r="BJ3" s="1167"/>
      <c r="BK3" s="1167"/>
      <c r="BL3" s="1167"/>
      <c r="BM3" s="1167"/>
      <c r="BN3" s="1167"/>
      <c r="BO3" s="1167"/>
      <c r="BP3" s="1167"/>
      <c r="BQ3" s="1167"/>
      <c r="BR3" s="1167"/>
      <c r="BS3" s="1167"/>
      <c r="BT3" s="1167"/>
    </row>
    <row r="4" spans="1:72" s="25" customFormat="1" ht="13.5" thickBot="1">
      <c r="A4" s="1168"/>
      <c r="B4" s="1169"/>
      <c r="C4" s="1170"/>
      <c r="D4" s="1167"/>
      <c r="E4" s="1167"/>
      <c r="F4" s="1167"/>
      <c r="G4" s="1167"/>
      <c r="H4" s="1167"/>
      <c r="I4" s="1167"/>
      <c r="J4" s="1167"/>
      <c r="K4" s="1167"/>
      <c r="L4" s="1167"/>
      <c r="M4" s="1167"/>
      <c r="N4" s="1167"/>
      <c r="O4" s="1167"/>
      <c r="P4" s="1167"/>
      <c r="Q4" s="1167"/>
      <c r="R4" s="1167"/>
      <c r="S4" s="1167"/>
      <c r="T4" s="1167"/>
      <c r="U4" s="1167"/>
      <c r="V4" s="1167"/>
      <c r="W4" s="1167"/>
      <c r="X4" s="1167"/>
      <c r="Y4" s="1167"/>
      <c r="Z4" s="1167"/>
      <c r="AA4" s="1167"/>
      <c r="AB4" s="1167"/>
      <c r="AC4" s="1167"/>
      <c r="AD4" s="1167"/>
      <c r="AE4" s="1167"/>
      <c r="AF4" s="1167"/>
      <c r="AG4" s="1167"/>
      <c r="AH4" s="1167"/>
      <c r="AI4" s="1167"/>
      <c r="AJ4" s="1167"/>
      <c r="AK4" s="1167"/>
      <c r="AL4" s="1167"/>
      <c r="AM4" s="1167"/>
      <c r="AN4" s="1167"/>
      <c r="AO4" s="1167"/>
      <c r="AP4" s="1167"/>
      <c r="AQ4" s="1167"/>
      <c r="AR4" s="1167"/>
      <c r="AS4" s="1167"/>
      <c r="AT4" s="1167"/>
      <c r="AU4" s="1167"/>
      <c r="AV4" s="1167"/>
      <c r="AW4" s="1167"/>
      <c r="AX4" s="1167"/>
      <c r="AY4" s="1167"/>
      <c r="AZ4" s="1167"/>
      <c r="BA4" s="1171"/>
      <c r="BB4" s="1167"/>
      <c r="BC4" s="1167"/>
      <c r="BD4" s="1167"/>
      <c r="BE4" s="1167"/>
      <c r="BF4" s="1167"/>
      <c r="BG4" s="1167"/>
      <c r="BH4" s="1167"/>
      <c r="BI4" s="1167"/>
      <c r="BJ4" s="1167"/>
      <c r="BK4" s="1167"/>
      <c r="BL4" s="1167"/>
      <c r="BM4" s="1167"/>
      <c r="BN4" s="1167"/>
      <c r="BO4" s="1167"/>
      <c r="BP4" s="1167"/>
      <c r="BQ4" s="1167"/>
      <c r="BR4" s="1167"/>
      <c r="BS4" s="1167"/>
      <c r="BT4" s="1167"/>
    </row>
    <row r="5" spans="1:72" s="18" customFormat="1" ht="12.75">
      <c r="A5" s="26" t="s">
        <v>168</v>
      </c>
      <c r="B5" s="968"/>
      <c r="C5" s="968"/>
      <c r="D5" s="975"/>
      <c r="E5" s="27" t="s">
        <v>1</v>
      </c>
      <c r="F5" s="27">
        <f>SUM(F13:F572)</f>
        <v>0</v>
      </c>
      <c r="G5" s="27">
        <f>SUM(G13:G572)</f>
        <v>461591.08999999997</v>
      </c>
      <c r="H5" s="27">
        <f t="shared" ref="H5:AT5" si="0">SUM(H13:H641)</f>
        <v>461591.08999999997</v>
      </c>
      <c r="I5" s="27">
        <f t="shared" si="0"/>
        <v>428668.15999999997</v>
      </c>
      <c r="J5" s="27">
        <f t="shared" si="0"/>
        <v>0</v>
      </c>
      <c r="K5" s="27">
        <f t="shared" si="0"/>
        <v>0</v>
      </c>
      <c r="L5" s="27">
        <f t="shared" si="0"/>
        <v>0</v>
      </c>
      <c r="M5" s="27">
        <f t="shared" si="0"/>
        <v>0</v>
      </c>
      <c r="N5" s="27">
        <f t="shared" si="0"/>
        <v>0</v>
      </c>
      <c r="O5" s="27">
        <f t="shared" si="0"/>
        <v>0</v>
      </c>
      <c r="P5" s="27">
        <f t="shared" si="0"/>
        <v>0</v>
      </c>
      <c r="Q5" s="27">
        <f t="shared" si="0"/>
        <v>32922.93</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67"/>
      <c r="AV5" s="26" t="s">
        <v>168</v>
      </c>
      <c r="AW5" s="968"/>
      <c r="AX5" s="968"/>
      <c r="AY5" s="28" t="s">
        <v>3</v>
      </c>
      <c r="AZ5" s="29">
        <f t="shared" ref="AZ5:BT5" si="1">SUM(AZ13:AZ641)</f>
        <v>461591.08999999997</v>
      </c>
      <c r="BA5" s="29">
        <f t="shared" si="1"/>
        <v>461591.08999999997</v>
      </c>
      <c r="BB5" s="29">
        <f t="shared" si="1"/>
        <v>428668.15999999997</v>
      </c>
      <c r="BC5" s="29">
        <f t="shared" si="1"/>
        <v>0</v>
      </c>
      <c r="BD5" s="29">
        <f t="shared" si="1"/>
        <v>0</v>
      </c>
      <c r="BE5" s="29">
        <f t="shared" si="1"/>
        <v>0</v>
      </c>
      <c r="BF5" s="29">
        <f t="shared" si="1"/>
        <v>32922.93</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214384.13</v>
      </c>
      <c r="F6" s="27" t="s">
        <v>1</v>
      </c>
      <c r="G6" s="27" t="s">
        <v>2</v>
      </c>
      <c r="H6" s="33">
        <f>SUMIF(I$12:AB$12,"总值",I6:AB6)</f>
        <v>214384.13</v>
      </c>
      <c r="I6" s="27">
        <f t="shared" ref="I6:AB6" si="2">ROUND($A$3*I5/$B$3,2)</f>
        <v>199093.21</v>
      </c>
      <c r="J6" s="27">
        <f t="shared" si="2"/>
        <v>0</v>
      </c>
      <c r="K6" s="27">
        <f t="shared" si="2"/>
        <v>0</v>
      </c>
      <c r="L6" s="27">
        <f t="shared" si="2"/>
        <v>0</v>
      </c>
      <c r="M6" s="27">
        <f t="shared" si="2"/>
        <v>0</v>
      </c>
      <c r="N6" s="27">
        <f t="shared" si="2"/>
        <v>0</v>
      </c>
      <c r="O6" s="27">
        <f t="shared" si="2"/>
        <v>0</v>
      </c>
      <c r="P6" s="27">
        <f t="shared" si="2"/>
        <v>0</v>
      </c>
      <c r="Q6" s="27">
        <f t="shared" si="2"/>
        <v>15290.92</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214384.13</v>
      </c>
      <c r="AZ6" s="27" t="s">
        <v>3</v>
      </c>
      <c r="BA6" s="27">
        <f>ROUND($AY$6*BA5/$AZ$5,2)</f>
        <v>214384.13</v>
      </c>
      <c r="BB6" s="27">
        <f>ROUND($AY$6*BB5/$AZ$5,2)</f>
        <v>199093.21</v>
      </c>
      <c r="BC6" s="27">
        <f t="shared" ref="BC6:BH6" si="4">ROUND($AY$6*BC5/$AZ$5,2)</f>
        <v>0</v>
      </c>
      <c r="BD6" s="27">
        <f t="shared" si="4"/>
        <v>0</v>
      </c>
      <c r="BE6" s="27">
        <f t="shared" si="4"/>
        <v>0</v>
      </c>
      <c r="BF6" s="27">
        <f t="shared" si="4"/>
        <v>15290.92</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45"/>
      <c r="AU7" s="40" t="s">
        <v>177</v>
      </c>
      <c r="AV7" s="41" t="s">
        <v>178</v>
      </c>
      <c r="AW7" s="42" t="s">
        <v>179</v>
      </c>
      <c r="AX7" s="41" t="s">
        <v>180</v>
      </c>
      <c r="AY7" s="96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0"/>
      <c r="K8" s="980"/>
      <c r="L8" s="980"/>
      <c r="M8" s="980"/>
      <c r="N8" s="980"/>
      <c r="O8" s="980"/>
      <c r="P8" s="980"/>
      <c r="Q8" s="980"/>
      <c r="R8" s="980"/>
      <c r="S8" s="980"/>
      <c r="T8" s="980"/>
      <c r="U8" s="980"/>
      <c r="V8" s="49"/>
      <c r="W8" s="980"/>
      <c r="X8" s="980"/>
      <c r="Y8" s="980"/>
      <c r="Z8" s="980"/>
      <c r="AA8" s="49"/>
      <c r="AB8" s="50"/>
      <c r="AC8" s="51" t="s">
        <v>184</v>
      </c>
      <c r="AD8" s="52"/>
      <c r="AE8" s="43"/>
      <c r="AF8" s="980"/>
      <c r="AG8" s="980"/>
      <c r="AH8" s="980"/>
      <c r="AI8" s="980"/>
      <c r="AJ8" s="980"/>
      <c r="AK8" s="980"/>
      <c r="AL8" s="980"/>
      <c r="AM8" s="980"/>
      <c r="AN8" s="980"/>
      <c r="AO8" s="980"/>
      <c r="AP8" s="980"/>
      <c r="AQ8" s="980"/>
      <c r="AR8" s="980"/>
      <c r="AS8" s="2162"/>
      <c r="AT8" s="2193" t="s">
        <v>846</v>
      </c>
      <c r="AU8" s="45" t="s">
        <v>185</v>
      </c>
      <c r="AV8" s="55"/>
      <c r="AW8" s="982"/>
      <c r="AX8" s="55"/>
      <c r="AY8" s="42" t="s">
        <v>186</v>
      </c>
      <c r="AZ8" s="979" t="s">
        <v>187</v>
      </c>
      <c r="BA8" s="980"/>
      <c r="BB8" s="980"/>
      <c r="BC8" s="980"/>
      <c r="BD8" s="980"/>
      <c r="BE8" s="980"/>
      <c r="BF8" s="980"/>
      <c r="BG8" s="980"/>
      <c r="BH8" s="980"/>
      <c r="BI8" s="980"/>
      <c r="BJ8" s="980"/>
      <c r="BK8" s="980"/>
      <c r="BL8" s="980"/>
      <c r="BM8" s="980"/>
      <c r="BN8" s="980"/>
      <c r="BO8" s="980"/>
      <c r="BP8" s="980"/>
      <c r="BQ8" s="980"/>
      <c r="BR8" s="980"/>
      <c r="BS8" s="980"/>
      <c r="BT8" s="56"/>
    </row>
    <row r="9" spans="1:72" s="57" customFormat="1" ht="12.75">
      <c r="A9" s="45"/>
      <c r="B9" s="45"/>
      <c r="C9" s="45"/>
      <c r="D9" s="45"/>
      <c r="E9" s="45"/>
      <c r="F9" s="45"/>
      <c r="G9" s="55"/>
      <c r="H9" s="58" t="s">
        <v>188</v>
      </c>
      <c r="I9" s="2717" t="s">
        <v>3731</v>
      </c>
      <c r="J9" s="51"/>
      <c r="K9" s="2717" t="s">
        <v>3731</v>
      </c>
      <c r="L9" s="51"/>
      <c r="M9" s="2717" t="s">
        <v>3731</v>
      </c>
      <c r="N9" s="51"/>
      <c r="O9" s="2717" t="s">
        <v>3731</v>
      </c>
      <c r="P9" s="51"/>
      <c r="Q9" s="59" t="s">
        <v>3731</v>
      </c>
      <c r="R9" s="51"/>
      <c r="S9" s="59" t="s">
        <v>3738</v>
      </c>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61" t="s">
        <v>191</v>
      </c>
      <c r="AQ9" s="1163"/>
      <c r="AR9" s="1161" t="s">
        <v>192</v>
      </c>
      <c r="AS9" s="2194"/>
      <c r="AT9" s="45"/>
      <c r="AU9" s="45" t="s">
        <v>194</v>
      </c>
      <c r="AV9" s="55"/>
      <c r="AW9" s="982"/>
      <c r="AX9" s="55"/>
      <c r="AY9" s="62"/>
      <c r="AZ9" s="62" t="s">
        <v>195</v>
      </c>
      <c r="BA9" s="63" t="s">
        <v>196</v>
      </c>
      <c r="BB9" s="64"/>
      <c r="BC9" s="974"/>
      <c r="BD9" s="974"/>
      <c r="BE9" s="974"/>
      <c r="BF9" s="974"/>
      <c r="BG9" s="974"/>
      <c r="BH9" s="974"/>
      <c r="BI9" s="974"/>
      <c r="BJ9" s="974"/>
      <c r="BK9" s="65"/>
      <c r="BL9" s="26" t="s">
        <v>197</v>
      </c>
      <c r="BM9" s="980"/>
      <c r="BN9" s="48"/>
      <c r="BO9" s="980"/>
      <c r="BP9" s="980"/>
      <c r="BQ9" s="980"/>
      <c r="BR9" s="980"/>
      <c r="BS9" s="980"/>
      <c r="BT9" s="56"/>
    </row>
    <row r="10" spans="1:72" s="57" customFormat="1" ht="12.75">
      <c r="A10" s="45"/>
      <c r="B10" s="45"/>
      <c r="C10" s="45"/>
      <c r="D10" s="45"/>
      <c r="E10" s="45"/>
      <c r="F10" s="45"/>
      <c r="G10" s="55"/>
      <c r="H10" s="62"/>
      <c r="I10" s="2717" t="s">
        <v>913</v>
      </c>
      <c r="J10" s="51"/>
      <c r="K10" s="2719" t="s">
        <v>913</v>
      </c>
      <c r="L10" s="51"/>
      <c r="M10" s="2719" t="s">
        <v>913</v>
      </c>
      <c r="N10" s="51"/>
      <c r="O10" s="2719" t="s">
        <v>913</v>
      </c>
      <c r="P10" s="51"/>
      <c r="Q10" s="66" t="s">
        <v>3000</v>
      </c>
      <c r="R10" s="51"/>
      <c r="S10" s="66" t="s">
        <v>3739</v>
      </c>
      <c r="T10" s="51"/>
      <c r="U10" s="66"/>
      <c r="V10" s="51"/>
      <c r="W10" s="66"/>
      <c r="X10" s="51"/>
      <c r="Y10" s="66"/>
      <c r="Z10" s="51"/>
      <c r="AA10" s="66"/>
      <c r="AB10" s="51"/>
      <c r="AC10" s="55"/>
      <c r="AD10" s="2179" t="s">
        <v>2301</v>
      </c>
      <c r="AE10" s="2201"/>
      <c r="AF10" s="2179" t="s">
        <v>2301</v>
      </c>
      <c r="AG10" s="2201"/>
      <c r="AH10" s="2179" t="s">
        <v>2302</v>
      </c>
      <c r="AI10" s="2201"/>
      <c r="AJ10" s="26" t="s">
        <v>2313</v>
      </c>
      <c r="AK10" s="2198"/>
      <c r="AL10" s="2179" t="s">
        <v>2303</v>
      </c>
      <c r="AM10" s="2180"/>
      <c r="AN10" s="26" t="s">
        <v>198</v>
      </c>
      <c r="AO10" s="61"/>
      <c r="AP10" s="1161" t="s">
        <v>199</v>
      </c>
      <c r="AQ10" s="1163"/>
      <c r="AR10" s="1161" t="s">
        <v>199</v>
      </c>
      <c r="AS10" s="1163"/>
      <c r="AT10" s="45"/>
      <c r="AU10" s="45"/>
      <c r="AV10" s="55"/>
      <c r="AW10" s="982"/>
      <c r="AX10" s="55"/>
      <c r="AY10" s="62"/>
      <c r="AZ10" s="62"/>
      <c r="BA10" s="67" t="s">
        <v>193</v>
      </c>
      <c r="BB10" s="68" t="str">
        <f>I9</f>
        <v>地上</v>
      </c>
      <c r="BC10" s="69" t="str">
        <f>K9</f>
        <v>地上</v>
      </c>
      <c r="BD10" s="69" t="str">
        <f>M9</f>
        <v>地上</v>
      </c>
      <c r="BE10" s="69" t="str">
        <f>O9</f>
        <v>地上</v>
      </c>
      <c r="BF10" s="69" t="str">
        <f>Q9</f>
        <v>地上</v>
      </c>
      <c r="BG10" s="69" t="str">
        <f>S9</f>
        <v>地下</v>
      </c>
      <c r="BH10" s="69">
        <f>U9</f>
        <v>0</v>
      </c>
      <c r="BI10" s="69">
        <f>W9</f>
        <v>0</v>
      </c>
      <c r="BJ10" s="69">
        <f>Y9</f>
        <v>0</v>
      </c>
      <c r="BK10" s="69">
        <f>AA9</f>
        <v>0</v>
      </c>
      <c r="BL10" s="54" t="s">
        <v>193</v>
      </c>
      <c r="BM10" s="979" t="str">
        <f>AD9</f>
        <v>地上</v>
      </c>
      <c r="BN10" s="69" t="str">
        <f>AF9</f>
        <v>地下</v>
      </c>
      <c r="BO10" s="979" t="str">
        <f>AH9</f>
        <v>地上</v>
      </c>
      <c r="BP10" s="69" t="str">
        <f>AJ9</f>
        <v>地下</v>
      </c>
      <c r="BQ10" s="979" t="str">
        <f>AL9</f>
        <v>地上</v>
      </c>
      <c r="BR10" s="69" t="str">
        <f>AN9</f>
        <v>地下</v>
      </c>
      <c r="BS10" s="979" t="str">
        <f>AP9</f>
        <v>地上</v>
      </c>
      <c r="BT10" s="977" t="str">
        <f>AR9</f>
        <v>地下</v>
      </c>
    </row>
    <row r="11" spans="1:72" s="57" customFormat="1" ht="12.75">
      <c r="A11" s="45"/>
      <c r="B11" s="45"/>
      <c r="C11" s="45"/>
      <c r="D11" s="45"/>
      <c r="E11" s="45"/>
      <c r="F11" s="45"/>
      <c r="G11" s="55"/>
      <c r="H11" s="67"/>
      <c r="I11" s="2718" t="s">
        <v>3735</v>
      </c>
      <c r="J11" s="71"/>
      <c r="K11" s="2718" t="s">
        <v>3735</v>
      </c>
      <c r="L11" s="71"/>
      <c r="M11" s="2718" t="s">
        <v>3736</v>
      </c>
      <c r="N11" s="71"/>
      <c r="O11" s="70" t="s">
        <v>3737</v>
      </c>
      <c r="P11" s="71"/>
      <c r="Q11" s="70"/>
      <c r="R11" s="71"/>
      <c r="S11" s="70"/>
      <c r="T11" s="71"/>
      <c r="U11" s="70"/>
      <c r="V11" s="71"/>
      <c r="W11" s="70"/>
      <c r="X11" s="71"/>
      <c r="Y11" s="70"/>
      <c r="Z11" s="71"/>
      <c r="AA11" s="70"/>
      <c r="AB11" s="71"/>
      <c r="AC11" s="55"/>
      <c r="AD11" s="2199" t="s">
        <v>2312</v>
      </c>
      <c r="AE11" s="981"/>
      <c r="AF11" s="2199" t="s">
        <v>2312</v>
      </c>
      <c r="AG11" s="981"/>
      <c r="AH11" s="2199" t="s">
        <v>2311</v>
      </c>
      <c r="AI11" s="2200"/>
      <c r="AJ11" s="2199" t="s">
        <v>2311</v>
      </c>
      <c r="AK11" s="2198"/>
      <c r="AL11" s="979"/>
      <c r="AM11" s="981"/>
      <c r="AN11" s="979"/>
      <c r="AO11" s="981"/>
      <c r="AP11" s="1162"/>
      <c r="AQ11" s="1164"/>
      <c r="AR11" s="1162"/>
      <c r="AS11" s="1164"/>
      <c r="AT11" s="982"/>
      <c r="AU11" s="45"/>
      <c r="AV11" s="55"/>
      <c r="AW11" s="982"/>
      <c r="AX11" s="55"/>
      <c r="AY11" s="62"/>
      <c r="AZ11" s="62"/>
      <c r="BA11" s="62"/>
      <c r="BB11" s="50" t="str">
        <f>I10</f>
        <v>住宅</v>
      </c>
      <c r="BC11" s="50" t="str">
        <f>K10</f>
        <v>住宅</v>
      </c>
      <c r="BD11" s="50" t="str">
        <f>M10</f>
        <v>住宅</v>
      </c>
      <c r="BE11" s="50" t="str">
        <f>O10</f>
        <v>住宅</v>
      </c>
      <c r="BF11" s="50" t="str">
        <f>Q10</f>
        <v>商业</v>
      </c>
      <c r="BG11" s="50" t="str">
        <f>S10</f>
        <v>车库</v>
      </c>
      <c r="BH11" s="50">
        <f>U10</f>
        <v>0</v>
      </c>
      <c r="BI11" s="50">
        <f>W10</f>
        <v>0</v>
      </c>
      <c r="BJ11" s="50">
        <f>Y10</f>
        <v>0</v>
      </c>
      <c r="BK11" s="50">
        <f>AA10</f>
        <v>0</v>
      </c>
      <c r="BL11" s="55"/>
      <c r="BM11" s="979" t="str">
        <f>AD10</f>
        <v>公共配套设施</v>
      </c>
      <c r="BN11" s="979" t="str">
        <f>AF10</f>
        <v>公共配套设施</v>
      </c>
      <c r="BO11" s="53" t="str">
        <f>AH10</f>
        <v>物业管理用房</v>
      </c>
      <c r="BP11" s="53" t="str">
        <f>AJ10</f>
        <v>物业管理用房</v>
      </c>
      <c r="BQ11" s="53" t="str">
        <f>AL10</f>
        <v>设备及其他</v>
      </c>
      <c r="BR11" s="53" t="str">
        <f>AN10</f>
        <v>设备及其他</v>
      </c>
      <c r="BS11" s="54" t="str">
        <f>AP10</f>
        <v>未注明</v>
      </c>
      <c r="BT11" s="976" t="str">
        <f>AR10</f>
        <v>未注明</v>
      </c>
    </row>
    <row r="12" spans="1:72" s="18" customFormat="1" ht="12.75">
      <c r="A12" s="72"/>
      <c r="B12" s="72"/>
      <c r="C12" s="72"/>
      <c r="D12" s="72"/>
      <c r="E12" s="72"/>
      <c r="F12" s="72"/>
      <c r="G12" s="73"/>
      <c r="H12" s="74"/>
      <c r="I12" s="97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67" t="s">
        <v>201</v>
      </c>
      <c r="W12" s="17" t="s">
        <v>200</v>
      </c>
      <c r="X12" s="17" t="s">
        <v>201</v>
      </c>
      <c r="Y12" s="17" t="s">
        <v>200</v>
      </c>
      <c r="Z12" s="17" t="s">
        <v>201</v>
      </c>
      <c r="AA12" s="17" t="s">
        <v>200</v>
      </c>
      <c r="AB12" s="17" t="s">
        <v>201</v>
      </c>
      <c r="AC12" s="75"/>
      <c r="AD12" s="975" t="s">
        <v>200</v>
      </c>
      <c r="AE12" s="17" t="s">
        <v>201</v>
      </c>
      <c r="AF12" s="17" t="s">
        <v>200</v>
      </c>
      <c r="AG12" s="17" t="s">
        <v>201</v>
      </c>
      <c r="AH12" s="17" t="s">
        <v>200</v>
      </c>
      <c r="AI12" s="17" t="s">
        <v>201</v>
      </c>
      <c r="AJ12" s="17" t="s">
        <v>200</v>
      </c>
      <c r="AK12" s="17" t="s">
        <v>201</v>
      </c>
      <c r="AL12" s="17" t="s">
        <v>200</v>
      </c>
      <c r="AM12" s="17" t="s">
        <v>201</v>
      </c>
      <c r="AN12" s="17" t="s">
        <v>200</v>
      </c>
      <c r="AO12" s="17" t="s">
        <v>201</v>
      </c>
      <c r="AP12" s="1160" t="s">
        <v>200</v>
      </c>
      <c r="AQ12" s="1160" t="s">
        <v>201</v>
      </c>
      <c r="AR12" s="1166" t="s">
        <v>200</v>
      </c>
      <c r="AS12" s="1165" t="s">
        <v>201</v>
      </c>
      <c r="AT12" s="76"/>
      <c r="AU12" s="72"/>
      <c r="AV12" s="77"/>
      <c r="AW12" s="42"/>
      <c r="AX12" s="77"/>
      <c r="AY12" s="78"/>
      <c r="AZ12" s="62"/>
      <c r="BA12" s="67"/>
      <c r="BB12" s="53" t="str">
        <f>I11</f>
        <v>平层住宅</v>
      </c>
      <c r="BC12" s="79" t="str">
        <f>K11</f>
        <v>平层住宅</v>
      </c>
      <c r="BD12" s="79" t="str">
        <f>M11</f>
        <v>洋房</v>
      </c>
      <c r="BE12" s="50" t="str">
        <f>O11</f>
        <v>叠拼</v>
      </c>
      <c r="BF12" s="50">
        <f>Q11</f>
        <v>0</v>
      </c>
      <c r="BG12" s="50">
        <f>S11</f>
        <v>0</v>
      </c>
      <c r="BH12" s="50">
        <f>U11</f>
        <v>0</v>
      </c>
      <c r="BI12" s="50">
        <f>W11</f>
        <v>0</v>
      </c>
      <c r="BJ12" s="50">
        <f>Y11</f>
        <v>0</v>
      </c>
      <c r="BK12" s="50">
        <f>AA11</f>
        <v>0</v>
      </c>
      <c r="BL12" s="55"/>
      <c r="BM12" s="979" t="str">
        <f>AD11</f>
        <v>（住宅）</v>
      </c>
      <c r="BN12" s="979" t="str">
        <f>AF11</f>
        <v>（住宅）</v>
      </c>
      <c r="BO12" s="53" t="str">
        <f>AH11</f>
        <v>（住宅、计出让金）</v>
      </c>
      <c r="BP12" s="53" t="str">
        <f>AJ11</f>
        <v>（住宅、计出让金）</v>
      </c>
      <c r="BQ12" s="53">
        <f>AL11</f>
        <v>0</v>
      </c>
      <c r="BR12" s="53">
        <f>AN11</f>
        <v>0</v>
      </c>
      <c r="BS12" s="54">
        <f>AP11</f>
        <v>0</v>
      </c>
      <c r="BT12" s="976">
        <f>AR11</f>
        <v>0</v>
      </c>
    </row>
    <row r="13" spans="1:72" s="18" customFormat="1" ht="12.75">
      <c r="A13" s="2712"/>
      <c r="B13" s="2712"/>
      <c r="C13" s="2712"/>
      <c r="D13" s="2713" t="s">
        <v>1668</v>
      </c>
      <c r="E13" s="27">
        <f t="shared" ref="E13:E20" si="6">IF($C$3="是",ROUND($A$3*G13/$B$3,2),ROUND($A$3*(G13-AT13)/$B$3,2))</f>
        <v>214384.13</v>
      </c>
      <c r="F13" s="81"/>
      <c r="G13" s="82">
        <f t="shared" ref="G13:G20" si="7">H13+AC13+AT13</f>
        <v>461591.08999999997</v>
      </c>
      <c r="H13" s="33">
        <f t="shared" ref="H13:H20" si="8">SUMIF(I$12:AB$12,"总值",I13:AB13)</f>
        <v>461591.08999999997</v>
      </c>
      <c r="I13" s="2716">
        <f>'2038亩'!F33-'2038亩'!H33</f>
        <v>428668.15999999997</v>
      </c>
      <c r="J13" s="2716"/>
      <c r="K13" s="2716"/>
      <c r="L13" s="2716"/>
      <c r="M13" s="2716"/>
      <c r="N13" s="83"/>
      <c r="O13" s="83"/>
      <c r="P13" s="83"/>
      <c r="Q13" s="83">
        <f>'2038亩'!H33</f>
        <v>32922.93</v>
      </c>
      <c r="R13" s="83"/>
      <c r="S13" s="83"/>
      <c r="T13" s="83"/>
      <c r="U13" s="83"/>
      <c r="V13" s="83"/>
      <c r="W13" s="83"/>
      <c r="X13" s="83"/>
      <c r="Y13" s="83"/>
      <c r="Z13" s="83"/>
      <c r="AA13" s="83"/>
      <c r="AB13" s="83"/>
      <c r="AC13" s="27">
        <f t="shared" ref="AC13:AC20" si="9">SUMIF(AD$12:AS$12,"总值",AD13:AS13)</f>
        <v>0</v>
      </c>
      <c r="AD13" s="2720"/>
      <c r="AE13" s="2720"/>
      <c r="AF13" s="2720"/>
      <c r="AG13" s="2720"/>
      <c r="AH13" s="2720"/>
      <c r="AI13" s="2720"/>
      <c r="AJ13" s="2720"/>
      <c r="AK13" s="2720"/>
      <c r="AL13" s="2720"/>
      <c r="AM13" s="2720"/>
      <c r="AN13" s="2720"/>
      <c r="AO13" s="2720"/>
      <c r="AP13" s="2720"/>
      <c r="AQ13" s="2720"/>
      <c r="AR13" s="2720"/>
      <c r="AS13" s="2720"/>
      <c r="AT13" s="2721"/>
      <c r="AU13" s="2722"/>
      <c r="AV13" s="17">
        <f t="shared" ref="AV13:AX20" si="10">A13</f>
        <v>0</v>
      </c>
      <c r="AW13" s="17">
        <f t="shared" si="10"/>
        <v>0</v>
      </c>
      <c r="AX13" s="17">
        <f t="shared" si="10"/>
        <v>0</v>
      </c>
      <c r="AY13" s="975">
        <f t="shared" ref="AY13:AY20" si="11">ROUND($AY$6*AZ13/$AZ$5,2)</f>
        <v>214384.13</v>
      </c>
      <c r="AZ13" s="27">
        <f t="shared" ref="AZ13:AZ20" si="12">BA13+BL13</f>
        <v>461591.08999999997</v>
      </c>
      <c r="BA13" s="27">
        <f t="shared" ref="BA13:BA20" si="13">SUM(BB13:BK13)</f>
        <v>461591.08999999997</v>
      </c>
      <c r="BB13" s="27">
        <f t="shared" ref="BB13:BB20" si="14">IF($D13="是",I13-J13,0)</f>
        <v>428668.15999999997</v>
      </c>
      <c r="BC13" s="27">
        <f t="shared" ref="BC13:BC20" si="15">IF($D13="是",K13-L13,0)</f>
        <v>0</v>
      </c>
      <c r="BD13" s="27">
        <f t="shared" ref="BD13:BD20" si="16">IF($D13="是",M13-N13,0)</f>
        <v>0</v>
      </c>
      <c r="BE13" s="27">
        <f t="shared" ref="BE13:BE20" si="17">IF($D13="是",O13-P13,0)</f>
        <v>0</v>
      </c>
      <c r="BF13" s="27">
        <f t="shared" ref="BF13:BF20" si="18">IF($D13="是",Q13-R13,0)</f>
        <v>32922.93</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712"/>
      <c r="B14" s="2712"/>
      <c r="C14" s="2714"/>
      <c r="D14" s="2713"/>
      <c r="E14" s="27">
        <f t="shared" si="6"/>
        <v>0</v>
      </c>
      <c r="F14" s="81"/>
      <c r="G14" s="82">
        <f t="shared" si="7"/>
        <v>0</v>
      </c>
      <c r="H14" s="33">
        <f t="shared" si="8"/>
        <v>0</v>
      </c>
      <c r="I14" s="2716"/>
      <c r="J14" s="2716"/>
      <c r="K14" s="2716"/>
      <c r="L14" s="2716"/>
      <c r="M14" s="2716"/>
      <c r="N14" s="83"/>
      <c r="O14" s="83"/>
      <c r="P14" s="83"/>
      <c r="Q14" s="83"/>
      <c r="R14" s="83"/>
      <c r="S14" s="83"/>
      <c r="T14" s="83"/>
      <c r="U14" s="83"/>
      <c r="V14" s="83"/>
      <c r="W14" s="83"/>
      <c r="X14" s="83"/>
      <c r="Y14" s="83"/>
      <c r="Z14" s="83"/>
      <c r="AA14" s="83"/>
      <c r="AB14" s="83"/>
      <c r="AC14" s="27">
        <f t="shared" si="9"/>
        <v>0</v>
      </c>
      <c r="AD14" s="2720"/>
      <c r="AE14" s="2720"/>
      <c r="AF14" s="2720"/>
      <c r="AG14" s="2720"/>
      <c r="AH14" s="2720"/>
      <c r="AI14" s="2720"/>
      <c r="AJ14" s="2720"/>
      <c r="AK14" s="2720"/>
      <c r="AL14" s="2720"/>
      <c r="AM14" s="2720"/>
      <c r="AN14" s="2720"/>
      <c r="AO14" s="2720"/>
      <c r="AP14" s="2720"/>
      <c r="AQ14" s="2720"/>
      <c r="AR14" s="2720"/>
      <c r="AS14" s="2720"/>
      <c r="AT14" s="2721"/>
      <c r="AU14" s="2722"/>
      <c r="AV14" s="17">
        <f t="shared" si="10"/>
        <v>0</v>
      </c>
      <c r="AW14" s="17">
        <f t="shared" si="10"/>
        <v>0</v>
      </c>
      <c r="AX14" s="17">
        <f t="shared" si="10"/>
        <v>0</v>
      </c>
      <c r="AY14" s="975">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712"/>
      <c r="B15" s="2712"/>
      <c r="C15" s="2714"/>
      <c r="D15" s="2713"/>
      <c r="E15" s="27">
        <f t="shared" si="6"/>
        <v>0</v>
      </c>
      <c r="F15" s="81"/>
      <c r="G15" s="82">
        <f t="shared" si="7"/>
        <v>0</v>
      </c>
      <c r="H15" s="33">
        <f t="shared" si="8"/>
        <v>0</v>
      </c>
      <c r="I15" s="2716"/>
      <c r="J15" s="2716"/>
      <c r="K15" s="2716"/>
      <c r="L15" s="2716"/>
      <c r="M15" s="2716"/>
      <c r="N15" s="83"/>
      <c r="O15" s="83"/>
      <c r="P15" s="83"/>
      <c r="Q15" s="83"/>
      <c r="R15" s="83"/>
      <c r="S15" s="83"/>
      <c r="T15" s="83"/>
      <c r="U15" s="83"/>
      <c r="V15" s="83"/>
      <c r="W15" s="83"/>
      <c r="X15" s="83"/>
      <c r="Y15" s="83"/>
      <c r="Z15" s="83"/>
      <c r="AA15" s="83"/>
      <c r="AB15" s="83"/>
      <c r="AC15" s="27">
        <f t="shared" si="9"/>
        <v>0</v>
      </c>
      <c r="AD15" s="2720"/>
      <c r="AE15" s="2720"/>
      <c r="AF15" s="2720"/>
      <c r="AG15" s="2720"/>
      <c r="AH15" s="2720"/>
      <c r="AI15" s="2720"/>
      <c r="AJ15" s="2720"/>
      <c r="AK15" s="2720"/>
      <c r="AL15" s="2720"/>
      <c r="AM15" s="2720"/>
      <c r="AN15" s="2720"/>
      <c r="AO15" s="2720"/>
      <c r="AP15" s="2720"/>
      <c r="AQ15" s="2720"/>
      <c r="AR15" s="2720"/>
      <c r="AS15" s="2720"/>
      <c r="AT15" s="2721"/>
      <c r="AU15" s="2722"/>
      <c r="AV15" s="17">
        <f t="shared" si="10"/>
        <v>0</v>
      </c>
      <c r="AW15" s="17">
        <f t="shared" si="10"/>
        <v>0</v>
      </c>
      <c r="AX15" s="17">
        <f t="shared" si="10"/>
        <v>0</v>
      </c>
      <c r="AY15" s="97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12"/>
      <c r="B16" s="2712"/>
      <c r="C16" s="2714"/>
      <c r="D16" s="2713"/>
      <c r="E16" s="27">
        <f t="shared" si="6"/>
        <v>0</v>
      </c>
      <c r="F16" s="81"/>
      <c r="G16" s="82">
        <f t="shared" si="7"/>
        <v>0</v>
      </c>
      <c r="H16" s="33">
        <f t="shared" si="8"/>
        <v>0</v>
      </c>
      <c r="I16" s="2716"/>
      <c r="J16" s="2716"/>
      <c r="K16" s="2716"/>
      <c r="L16" s="2716"/>
      <c r="M16" s="2716"/>
      <c r="N16" s="83"/>
      <c r="O16" s="83"/>
      <c r="P16" s="83"/>
      <c r="Q16" s="83"/>
      <c r="R16" s="83"/>
      <c r="S16" s="83"/>
      <c r="T16" s="83"/>
      <c r="U16" s="83"/>
      <c r="V16" s="83"/>
      <c r="W16" s="83"/>
      <c r="X16" s="83"/>
      <c r="Y16" s="83"/>
      <c r="Z16" s="83"/>
      <c r="AA16" s="83"/>
      <c r="AB16" s="83"/>
      <c r="AC16" s="27">
        <f t="shared" si="9"/>
        <v>0</v>
      </c>
      <c r="AD16" s="2720"/>
      <c r="AE16" s="2720"/>
      <c r="AF16" s="2720"/>
      <c r="AG16" s="2720"/>
      <c r="AH16" s="2720"/>
      <c r="AI16" s="2720"/>
      <c r="AJ16" s="2720"/>
      <c r="AK16" s="2720"/>
      <c r="AL16" s="2720"/>
      <c r="AM16" s="2720"/>
      <c r="AN16" s="2720"/>
      <c r="AO16" s="2720"/>
      <c r="AP16" s="2720"/>
      <c r="AQ16" s="2720"/>
      <c r="AR16" s="2720"/>
      <c r="AS16" s="2720"/>
      <c r="AT16" s="2721"/>
      <c r="AU16" s="2722"/>
      <c r="AV16" s="17">
        <f t="shared" si="10"/>
        <v>0</v>
      </c>
      <c r="AW16" s="17">
        <f t="shared" si="10"/>
        <v>0</v>
      </c>
      <c r="AX16" s="17">
        <f t="shared" si="10"/>
        <v>0</v>
      </c>
      <c r="AY16" s="97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12"/>
      <c r="B17" s="2712"/>
      <c r="C17" s="2714"/>
      <c r="D17" s="2713"/>
      <c r="E17" s="27">
        <f t="shared" si="6"/>
        <v>0</v>
      </c>
      <c r="F17" s="81"/>
      <c r="G17" s="82">
        <f t="shared" si="7"/>
        <v>0</v>
      </c>
      <c r="H17" s="33">
        <f t="shared" si="8"/>
        <v>0</v>
      </c>
      <c r="I17" s="2716"/>
      <c r="J17" s="2716"/>
      <c r="K17" s="2716"/>
      <c r="L17" s="2716"/>
      <c r="M17" s="2716"/>
      <c r="N17" s="83"/>
      <c r="O17" s="83"/>
      <c r="P17" s="83"/>
      <c r="Q17" s="83"/>
      <c r="R17" s="83"/>
      <c r="S17" s="83"/>
      <c r="T17" s="83"/>
      <c r="U17" s="83"/>
      <c r="V17" s="83"/>
      <c r="W17" s="83"/>
      <c r="X17" s="83"/>
      <c r="Y17" s="83"/>
      <c r="Z17" s="83"/>
      <c r="AA17" s="83"/>
      <c r="AB17" s="83"/>
      <c r="AC17" s="27">
        <f t="shared" si="9"/>
        <v>0</v>
      </c>
      <c r="AD17" s="2720"/>
      <c r="AE17" s="2720"/>
      <c r="AF17" s="2720"/>
      <c r="AG17" s="2720"/>
      <c r="AH17" s="2720"/>
      <c r="AI17" s="2720"/>
      <c r="AJ17" s="2720"/>
      <c r="AK17" s="2720"/>
      <c r="AL17" s="2720"/>
      <c r="AM17" s="2720"/>
      <c r="AN17" s="2720"/>
      <c r="AO17" s="2720"/>
      <c r="AP17" s="2720"/>
      <c r="AQ17" s="2720"/>
      <c r="AR17" s="2720"/>
      <c r="AS17" s="2720"/>
      <c r="AT17" s="2721"/>
      <c r="AU17" s="2722"/>
      <c r="AV17" s="17">
        <f t="shared" si="10"/>
        <v>0</v>
      </c>
      <c r="AW17" s="17">
        <f t="shared" si="10"/>
        <v>0</v>
      </c>
      <c r="AX17" s="17">
        <f t="shared" si="10"/>
        <v>0</v>
      </c>
      <c r="AY17" s="97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715"/>
      <c r="E18" s="87">
        <f t="shared" si="6"/>
        <v>0</v>
      </c>
      <c r="F18" s="88"/>
      <c r="G18" s="89">
        <f t="shared" si="7"/>
        <v>0</v>
      </c>
      <c r="H18" s="90">
        <f t="shared" si="8"/>
        <v>0</v>
      </c>
      <c r="I18" s="1330"/>
      <c r="J18" s="91"/>
      <c r="K18" s="1330"/>
      <c r="L18" s="91"/>
      <c r="M18" s="91"/>
      <c r="N18" s="91"/>
      <c r="O18" s="91"/>
      <c r="P18" s="91"/>
      <c r="Q18" s="91"/>
      <c r="R18" s="91"/>
      <c r="S18" s="91"/>
      <c r="T18" s="91"/>
      <c r="U18" s="91"/>
      <c r="V18" s="91"/>
      <c r="W18" s="91"/>
      <c r="X18" s="91"/>
      <c r="Y18" s="91"/>
      <c r="Z18" s="91"/>
      <c r="AA18" s="91"/>
      <c r="AB18" s="91"/>
      <c r="AC18" s="87">
        <f t="shared" si="9"/>
        <v>0</v>
      </c>
      <c r="AD18" s="92"/>
      <c r="AE18" s="92"/>
      <c r="AF18" s="1330"/>
      <c r="AG18" s="92"/>
      <c r="AH18" s="92"/>
      <c r="AI18" s="92"/>
      <c r="AJ18" s="92"/>
      <c r="AK18" s="92"/>
      <c r="AL18" s="1307"/>
      <c r="AM18" s="92"/>
      <c r="AN18" s="1330"/>
      <c r="AO18" s="92"/>
      <c r="AP18" s="92"/>
      <c r="AQ18" s="92"/>
      <c r="AR18" s="92"/>
      <c r="AS18" s="92"/>
      <c r="AT18" s="93"/>
      <c r="AU18" s="94"/>
      <c r="AV18" s="971">
        <f t="shared" si="10"/>
        <v>0</v>
      </c>
      <c r="AW18" s="971">
        <f t="shared" si="10"/>
        <v>0</v>
      </c>
      <c r="AX18" s="97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34"/>
      <c r="C19" s="1330"/>
      <c r="D19" s="80"/>
      <c r="E19" s="87">
        <f t="shared" si="6"/>
        <v>0</v>
      </c>
      <c r="F19" s="88"/>
      <c r="G19" s="89">
        <f t="shared" si="7"/>
        <v>0</v>
      </c>
      <c r="H19" s="90">
        <f t="shared" si="8"/>
        <v>0</v>
      </c>
      <c r="I19" s="1330"/>
      <c r="J19" s="91"/>
      <c r="K19" s="1330"/>
      <c r="L19" s="91"/>
      <c r="M19" s="91"/>
      <c r="N19" s="91"/>
      <c r="O19" s="91"/>
      <c r="P19" s="91"/>
      <c r="Q19" s="91"/>
      <c r="R19" s="91"/>
      <c r="S19" s="91"/>
      <c r="T19" s="91"/>
      <c r="U19" s="91"/>
      <c r="V19" s="91"/>
      <c r="W19" s="91"/>
      <c r="X19" s="91"/>
      <c r="Y19" s="91"/>
      <c r="Z19" s="91"/>
      <c r="AA19" s="91"/>
      <c r="AB19" s="91"/>
      <c r="AC19" s="87">
        <f t="shared" si="9"/>
        <v>0</v>
      </c>
      <c r="AD19" s="92"/>
      <c r="AE19" s="92"/>
      <c r="AF19" s="1330"/>
      <c r="AG19" s="92"/>
      <c r="AH19" s="92"/>
      <c r="AI19" s="92"/>
      <c r="AJ19" s="92"/>
      <c r="AK19" s="92"/>
      <c r="AL19" s="92"/>
      <c r="AM19" s="92"/>
      <c r="AN19" s="1330"/>
      <c r="AO19" s="92"/>
      <c r="AP19" s="92"/>
      <c r="AQ19" s="92"/>
      <c r="AR19" s="92"/>
      <c r="AS19" s="92"/>
      <c r="AT19" s="93"/>
      <c r="AU19" s="94"/>
      <c r="AV19" s="971">
        <f t="shared" si="10"/>
        <v>0</v>
      </c>
      <c r="AW19" s="971">
        <f t="shared" si="10"/>
        <v>0</v>
      </c>
      <c r="AX19" s="97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34"/>
      <c r="C20" s="1330"/>
      <c r="D20" s="80"/>
      <c r="E20" s="87">
        <f t="shared" si="6"/>
        <v>0</v>
      </c>
      <c r="F20" s="88"/>
      <c r="G20" s="89">
        <f t="shared" si="7"/>
        <v>0</v>
      </c>
      <c r="H20" s="90">
        <f t="shared" si="8"/>
        <v>0</v>
      </c>
      <c r="I20" s="1330"/>
      <c r="J20" s="91"/>
      <c r="K20" s="1330"/>
      <c r="L20" s="91"/>
      <c r="M20" s="91"/>
      <c r="N20" s="91"/>
      <c r="O20" s="91"/>
      <c r="P20" s="91"/>
      <c r="Q20" s="91"/>
      <c r="R20" s="91"/>
      <c r="S20" s="91"/>
      <c r="T20" s="91"/>
      <c r="U20" s="91"/>
      <c r="V20" s="91"/>
      <c r="W20" s="91"/>
      <c r="X20" s="91"/>
      <c r="Y20" s="91"/>
      <c r="Z20" s="91"/>
      <c r="AA20" s="91"/>
      <c r="AB20" s="91"/>
      <c r="AC20" s="87">
        <f t="shared" si="9"/>
        <v>0</v>
      </c>
      <c r="AD20" s="92"/>
      <c r="AE20" s="92"/>
      <c r="AF20" s="1330"/>
      <c r="AG20" s="92"/>
      <c r="AH20" s="92"/>
      <c r="AI20" s="92"/>
      <c r="AJ20" s="92"/>
      <c r="AK20" s="92"/>
      <c r="AL20" s="92"/>
      <c r="AM20" s="92"/>
      <c r="AN20" s="1330"/>
      <c r="AO20" s="92"/>
      <c r="AP20" s="92"/>
      <c r="AQ20" s="92"/>
      <c r="AR20" s="92"/>
      <c r="AS20" s="92"/>
      <c r="AT20" s="93"/>
      <c r="AU20" s="94"/>
      <c r="AV20" s="971">
        <f t="shared" si="10"/>
        <v>0</v>
      </c>
      <c r="AW20" s="971">
        <f t="shared" si="10"/>
        <v>0</v>
      </c>
      <c r="AX20" s="97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29"/>
      <c r="C21" s="1330"/>
      <c r="D21" s="80"/>
      <c r="E21" s="87">
        <f t="shared" ref="E21:E112" si="33">IF($C$3="是",ROUND($A$3*G21/$B$3,2),ROUND($A$3*(G21-AT21)/$B$3,2))</f>
        <v>0</v>
      </c>
      <c r="F21" s="88"/>
      <c r="G21" s="89">
        <f t="shared" ref="G21:G109" si="34">H21+AC21+AT21</f>
        <v>0</v>
      </c>
      <c r="H21" s="90">
        <f t="shared" ref="H21:H109" si="35">SUMIF(I$12:AB$12,"总值",I21:AB21)</f>
        <v>0</v>
      </c>
      <c r="I21" s="1332"/>
      <c r="J21" s="91"/>
      <c r="K21" s="133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33"/>
      <c r="AG21" s="92"/>
      <c r="AH21" s="92"/>
      <c r="AI21" s="92"/>
      <c r="AJ21" s="92"/>
      <c r="AK21" s="92"/>
      <c r="AL21" s="92"/>
      <c r="AM21" s="92"/>
      <c r="AN21" s="1307"/>
      <c r="AO21" s="92"/>
      <c r="AP21" s="92"/>
      <c r="AQ21" s="92"/>
      <c r="AR21" s="92"/>
      <c r="AS21" s="92"/>
      <c r="AT21" s="93"/>
      <c r="AU21" s="94"/>
      <c r="AV21" s="1878">
        <f t="shared" ref="AV21:AV112" si="37">A21</f>
        <v>0</v>
      </c>
      <c r="AW21" s="1878">
        <f t="shared" ref="AW21:AW112" si="38">B21</f>
        <v>0</v>
      </c>
      <c r="AX21" s="187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29"/>
      <c r="C22" s="1330"/>
      <c r="D22" s="80"/>
      <c r="E22" s="87">
        <f t="shared" si="33"/>
        <v>0</v>
      </c>
      <c r="F22" s="88"/>
      <c r="G22" s="89">
        <f t="shared" si="34"/>
        <v>0</v>
      </c>
      <c r="H22" s="90">
        <f t="shared" si="35"/>
        <v>0</v>
      </c>
      <c r="I22" s="1332"/>
      <c r="J22" s="91"/>
      <c r="K22" s="1332"/>
      <c r="L22" s="91"/>
      <c r="M22" s="1307"/>
      <c r="N22" s="91"/>
      <c r="O22" s="91"/>
      <c r="P22" s="91"/>
      <c r="Q22" s="91"/>
      <c r="R22" s="91"/>
      <c r="S22" s="91"/>
      <c r="T22" s="91"/>
      <c r="U22" s="91"/>
      <c r="V22" s="91"/>
      <c r="W22" s="91"/>
      <c r="X22" s="91"/>
      <c r="Y22" s="91"/>
      <c r="Z22" s="91"/>
      <c r="AA22" s="91"/>
      <c r="AB22" s="91"/>
      <c r="AC22" s="87">
        <f t="shared" si="36"/>
        <v>0</v>
      </c>
      <c r="AD22" s="1307"/>
      <c r="AE22" s="92"/>
      <c r="AF22" s="1333"/>
      <c r="AG22" s="92"/>
      <c r="AH22" s="92"/>
      <c r="AI22" s="92"/>
      <c r="AJ22" s="92"/>
      <c r="AK22" s="92"/>
      <c r="AL22" s="1307"/>
      <c r="AM22" s="92"/>
      <c r="AN22" s="1307"/>
      <c r="AO22" s="92"/>
      <c r="AP22" s="92"/>
      <c r="AQ22" s="92"/>
      <c r="AR22" s="92"/>
      <c r="AS22" s="92"/>
      <c r="AT22" s="93"/>
      <c r="AU22" s="94"/>
      <c r="AV22" s="1878">
        <f t="shared" si="37"/>
        <v>0</v>
      </c>
      <c r="AW22" s="1878">
        <f t="shared" si="38"/>
        <v>0</v>
      </c>
      <c r="AX22" s="187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29"/>
      <c r="C23" s="1330"/>
      <c r="D23" s="80"/>
      <c r="E23" s="87">
        <f t="shared" si="33"/>
        <v>0</v>
      </c>
      <c r="F23" s="88"/>
      <c r="G23" s="89">
        <f t="shared" si="34"/>
        <v>0</v>
      </c>
      <c r="H23" s="90">
        <f t="shared" si="35"/>
        <v>0</v>
      </c>
      <c r="I23" s="1332"/>
      <c r="J23" s="91"/>
      <c r="K23" s="1332"/>
      <c r="L23" s="91"/>
      <c r="M23" s="1307"/>
      <c r="N23" s="91"/>
      <c r="O23" s="91"/>
      <c r="P23" s="91"/>
      <c r="Q23" s="91"/>
      <c r="R23" s="91"/>
      <c r="S23" s="91"/>
      <c r="T23" s="91"/>
      <c r="U23" s="91"/>
      <c r="V23" s="91"/>
      <c r="W23" s="91"/>
      <c r="X23" s="91"/>
      <c r="Y23" s="91"/>
      <c r="Z23" s="91"/>
      <c r="AA23" s="91"/>
      <c r="AB23" s="91"/>
      <c r="AC23" s="87">
        <f t="shared" si="36"/>
        <v>0</v>
      </c>
      <c r="AD23" s="92"/>
      <c r="AE23" s="92"/>
      <c r="AF23" s="1333"/>
      <c r="AG23" s="92"/>
      <c r="AH23" s="92"/>
      <c r="AI23" s="92"/>
      <c r="AJ23" s="92"/>
      <c r="AK23" s="92"/>
      <c r="AL23" s="1307"/>
      <c r="AM23" s="92"/>
      <c r="AN23" s="1307"/>
      <c r="AO23" s="92"/>
      <c r="AP23" s="92"/>
      <c r="AQ23" s="92"/>
      <c r="AR23" s="92"/>
      <c r="AS23" s="92"/>
      <c r="AT23" s="93"/>
      <c r="AU23" s="94"/>
      <c r="AV23" s="1878">
        <f t="shared" si="37"/>
        <v>0</v>
      </c>
      <c r="AW23" s="1878">
        <f t="shared" si="38"/>
        <v>0</v>
      </c>
      <c r="AX23" s="187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29"/>
      <c r="C24" s="1330"/>
      <c r="D24" s="80"/>
      <c r="E24" s="87">
        <f t="shared" si="33"/>
        <v>0</v>
      </c>
      <c r="F24" s="88"/>
      <c r="G24" s="89">
        <f t="shared" si="34"/>
        <v>0</v>
      </c>
      <c r="H24" s="90">
        <f t="shared" si="35"/>
        <v>0</v>
      </c>
      <c r="I24" s="1332"/>
      <c r="J24" s="91"/>
      <c r="K24" s="1332"/>
      <c r="L24" s="91"/>
      <c r="M24" s="91"/>
      <c r="N24" s="91"/>
      <c r="O24" s="1307"/>
      <c r="P24" s="91"/>
      <c r="Q24" s="91"/>
      <c r="R24" s="91"/>
      <c r="S24" s="91"/>
      <c r="T24" s="91"/>
      <c r="U24" s="91"/>
      <c r="V24" s="91"/>
      <c r="W24" s="91"/>
      <c r="X24" s="91"/>
      <c r="Y24" s="91"/>
      <c r="Z24" s="91"/>
      <c r="AA24" s="91"/>
      <c r="AB24" s="91"/>
      <c r="AC24" s="87">
        <f t="shared" si="36"/>
        <v>0</v>
      </c>
      <c r="AD24" s="92"/>
      <c r="AE24" s="92"/>
      <c r="AF24" s="1333"/>
      <c r="AG24" s="92"/>
      <c r="AH24" s="92"/>
      <c r="AI24" s="92"/>
      <c r="AJ24" s="92"/>
      <c r="AK24" s="92"/>
      <c r="AL24" s="92"/>
      <c r="AM24" s="92"/>
      <c r="AN24" s="1307"/>
      <c r="AO24" s="92"/>
      <c r="AP24" s="92"/>
      <c r="AQ24" s="92"/>
      <c r="AR24" s="92"/>
      <c r="AS24" s="92"/>
      <c r="AT24" s="93"/>
      <c r="AU24" s="94"/>
      <c r="AV24" s="1878">
        <f t="shared" si="37"/>
        <v>0</v>
      </c>
      <c r="AW24" s="1878">
        <f t="shared" si="38"/>
        <v>0</v>
      </c>
      <c r="AX24" s="187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29"/>
      <c r="C25" s="1330"/>
      <c r="D25" s="80"/>
      <c r="E25" s="87">
        <f t="shared" si="33"/>
        <v>0</v>
      </c>
      <c r="F25" s="88"/>
      <c r="G25" s="89">
        <f t="shared" si="34"/>
        <v>0</v>
      </c>
      <c r="H25" s="90">
        <f t="shared" si="35"/>
        <v>0</v>
      </c>
      <c r="I25" s="1332"/>
      <c r="J25" s="91"/>
      <c r="K25" s="1332"/>
      <c r="L25" s="91"/>
      <c r="M25" s="91"/>
      <c r="N25" s="91"/>
      <c r="O25" s="91"/>
      <c r="P25" s="91"/>
      <c r="Q25" s="91"/>
      <c r="R25" s="91"/>
      <c r="S25" s="91"/>
      <c r="T25" s="91"/>
      <c r="U25" s="91"/>
      <c r="V25" s="91"/>
      <c r="W25" s="91"/>
      <c r="X25" s="91"/>
      <c r="Y25" s="91"/>
      <c r="Z25" s="91"/>
      <c r="AA25" s="91"/>
      <c r="AB25" s="91"/>
      <c r="AC25" s="87">
        <f t="shared" si="36"/>
        <v>0</v>
      </c>
      <c r="AD25" s="92"/>
      <c r="AE25" s="92"/>
      <c r="AF25" s="1333"/>
      <c r="AG25" s="92"/>
      <c r="AH25" s="92"/>
      <c r="AI25" s="92"/>
      <c r="AJ25" s="92"/>
      <c r="AK25" s="92"/>
      <c r="AL25" s="92"/>
      <c r="AM25" s="92"/>
      <c r="AN25" s="92"/>
      <c r="AO25" s="92"/>
      <c r="AP25" s="92"/>
      <c r="AQ25" s="92"/>
      <c r="AR25" s="92"/>
      <c r="AS25" s="92"/>
      <c r="AT25" s="93"/>
      <c r="AU25" s="94"/>
      <c r="AV25" s="1878">
        <f t="shared" si="37"/>
        <v>0</v>
      </c>
      <c r="AW25" s="1878">
        <f t="shared" si="38"/>
        <v>0</v>
      </c>
      <c r="AX25" s="187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29"/>
      <c r="C26" s="1330"/>
      <c r="D26" s="80"/>
      <c r="E26" s="87">
        <f t="shared" si="33"/>
        <v>0</v>
      </c>
      <c r="F26" s="88"/>
      <c r="G26" s="89">
        <f t="shared" si="34"/>
        <v>0</v>
      </c>
      <c r="H26" s="90">
        <f t="shared" si="35"/>
        <v>0</v>
      </c>
      <c r="I26" s="1332"/>
      <c r="J26" s="91"/>
      <c r="K26" s="1332"/>
      <c r="L26" s="91"/>
      <c r="M26" s="91"/>
      <c r="N26" s="91"/>
      <c r="O26" s="91"/>
      <c r="P26" s="91"/>
      <c r="Q26" s="91"/>
      <c r="R26" s="91"/>
      <c r="S26" s="91"/>
      <c r="T26" s="91"/>
      <c r="U26" s="91"/>
      <c r="V26" s="91"/>
      <c r="W26" s="91"/>
      <c r="X26" s="91"/>
      <c r="Y26" s="91"/>
      <c r="Z26" s="91"/>
      <c r="AA26" s="91"/>
      <c r="AB26" s="91"/>
      <c r="AC26" s="87">
        <f t="shared" si="36"/>
        <v>0</v>
      </c>
      <c r="AD26" s="92"/>
      <c r="AE26" s="92"/>
      <c r="AF26" s="1333"/>
      <c r="AG26" s="92"/>
      <c r="AH26" s="92"/>
      <c r="AI26" s="92"/>
      <c r="AJ26" s="92"/>
      <c r="AK26" s="92"/>
      <c r="AL26" s="92"/>
      <c r="AM26" s="92"/>
      <c r="AN26" s="92"/>
      <c r="AO26" s="92"/>
      <c r="AP26" s="92"/>
      <c r="AQ26" s="92"/>
      <c r="AR26" s="92"/>
      <c r="AS26" s="92"/>
      <c r="AT26" s="93"/>
      <c r="AU26" s="94"/>
      <c r="AV26" s="1878">
        <f t="shared" si="37"/>
        <v>0</v>
      </c>
      <c r="AW26" s="1878">
        <f t="shared" si="38"/>
        <v>0</v>
      </c>
      <c r="AX26" s="187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29"/>
      <c r="C27" s="1330"/>
      <c r="D27" s="80"/>
      <c r="E27" s="87">
        <f t="shared" si="33"/>
        <v>0</v>
      </c>
      <c r="F27" s="88"/>
      <c r="G27" s="89">
        <f t="shared" si="34"/>
        <v>0</v>
      </c>
      <c r="H27" s="90">
        <f t="shared" si="35"/>
        <v>0</v>
      </c>
      <c r="I27" s="1332"/>
      <c r="J27" s="91"/>
      <c r="K27" s="1332"/>
      <c r="L27" s="91"/>
      <c r="M27" s="91"/>
      <c r="N27" s="91"/>
      <c r="O27" s="91"/>
      <c r="P27" s="91"/>
      <c r="Q27" s="91"/>
      <c r="R27" s="91"/>
      <c r="S27" s="91"/>
      <c r="T27" s="91"/>
      <c r="U27" s="91"/>
      <c r="V27" s="91"/>
      <c r="W27" s="91"/>
      <c r="X27" s="91"/>
      <c r="Y27" s="91"/>
      <c r="Z27" s="91"/>
      <c r="AA27" s="91"/>
      <c r="AB27" s="91"/>
      <c r="AC27" s="87">
        <f t="shared" si="36"/>
        <v>0</v>
      </c>
      <c r="AD27" s="92"/>
      <c r="AE27" s="92"/>
      <c r="AF27" s="1333"/>
      <c r="AG27" s="92"/>
      <c r="AH27" s="92"/>
      <c r="AI27" s="92"/>
      <c r="AJ27" s="92"/>
      <c r="AK27" s="92"/>
      <c r="AL27" s="92"/>
      <c r="AM27" s="92"/>
      <c r="AN27" s="92"/>
      <c r="AO27" s="92"/>
      <c r="AP27" s="92"/>
      <c r="AQ27" s="92"/>
      <c r="AR27" s="92"/>
      <c r="AS27" s="92"/>
      <c r="AT27" s="93"/>
      <c r="AU27" s="94"/>
      <c r="AV27" s="1878">
        <f t="shared" si="37"/>
        <v>0</v>
      </c>
      <c r="AW27" s="1878">
        <f t="shared" si="38"/>
        <v>0</v>
      </c>
      <c r="AX27" s="187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29"/>
      <c r="C28" s="1330"/>
      <c r="D28" s="80"/>
      <c r="E28" s="87">
        <f t="shared" si="33"/>
        <v>0</v>
      </c>
      <c r="F28" s="88"/>
      <c r="G28" s="89">
        <f t="shared" si="34"/>
        <v>0</v>
      </c>
      <c r="H28" s="90">
        <f t="shared" si="35"/>
        <v>0</v>
      </c>
      <c r="I28" s="1332"/>
      <c r="J28" s="91"/>
      <c r="K28" s="1332"/>
      <c r="L28" s="91"/>
      <c r="M28" s="91"/>
      <c r="N28" s="91"/>
      <c r="O28" s="91"/>
      <c r="P28" s="91"/>
      <c r="Q28" s="91"/>
      <c r="R28" s="91"/>
      <c r="S28" s="91"/>
      <c r="T28" s="91"/>
      <c r="U28" s="91"/>
      <c r="V28" s="91"/>
      <c r="W28" s="91"/>
      <c r="X28" s="91"/>
      <c r="Y28" s="91"/>
      <c r="Z28" s="91"/>
      <c r="AA28" s="91"/>
      <c r="AB28" s="91"/>
      <c r="AC28" s="87">
        <f t="shared" si="36"/>
        <v>0</v>
      </c>
      <c r="AD28" s="92"/>
      <c r="AE28" s="92"/>
      <c r="AF28" s="1332"/>
      <c r="AG28" s="92"/>
      <c r="AH28" s="92"/>
      <c r="AI28" s="92"/>
      <c r="AJ28" s="92"/>
      <c r="AK28" s="92"/>
      <c r="AL28" s="92"/>
      <c r="AM28" s="92"/>
      <c r="AN28" s="92"/>
      <c r="AO28" s="92"/>
      <c r="AP28" s="92"/>
      <c r="AQ28" s="92"/>
      <c r="AR28" s="92"/>
      <c r="AS28" s="92"/>
      <c r="AT28" s="93"/>
      <c r="AU28" s="94"/>
      <c r="AV28" s="1878">
        <f t="shared" si="37"/>
        <v>0</v>
      </c>
      <c r="AW28" s="1878">
        <f t="shared" si="38"/>
        <v>0</v>
      </c>
      <c r="AX28" s="187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31"/>
      <c r="C29" s="1332"/>
      <c r="D29" s="80"/>
      <c r="E29" s="87">
        <f t="shared" si="33"/>
        <v>0</v>
      </c>
      <c r="F29" s="88"/>
      <c r="G29" s="89">
        <f t="shared" si="34"/>
        <v>0</v>
      </c>
      <c r="H29" s="90">
        <f t="shared" si="35"/>
        <v>0</v>
      </c>
      <c r="I29" s="1332"/>
      <c r="J29" s="91"/>
      <c r="K29" s="1332"/>
      <c r="L29" s="91"/>
      <c r="M29" s="91"/>
      <c r="N29" s="91"/>
      <c r="O29" s="91"/>
      <c r="P29" s="91"/>
      <c r="Q29" s="91"/>
      <c r="R29" s="91"/>
      <c r="S29" s="91"/>
      <c r="T29" s="91"/>
      <c r="U29" s="91"/>
      <c r="V29" s="91"/>
      <c r="W29" s="91"/>
      <c r="X29" s="91"/>
      <c r="Y29" s="91"/>
      <c r="Z29" s="91"/>
      <c r="AA29" s="91"/>
      <c r="AB29" s="91"/>
      <c r="AC29" s="87">
        <f t="shared" si="36"/>
        <v>0</v>
      </c>
      <c r="AD29" s="92"/>
      <c r="AE29" s="92"/>
      <c r="AF29" s="1332"/>
      <c r="AG29" s="92"/>
      <c r="AH29" s="92"/>
      <c r="AI29" s="92"/>
      <c r="AJ29" s="92"/>
      <c r="AK29" s="92"/>
      <c r="AL29" s="92"/>
      <c r="AM29" s="92"/>
      <c r="AN29" s="92"/>
      <c r="AO29" s="92"/>
      <c r="AP29" s="92"/>
      <c r="AQ29" s="92"/>
      <c r="AR29" s="92"/>
      <c r="AS29" s="92"/>
      <c r="AT29" s="93"/>
      <c r="AU29" s="94"/>
      <c r="AV29" s="1878">
        <f t="shared" si="37"/>
        <v>0</v>
      </c>
      <c r="AW29" s="1878">
        <f t="shared" si="38"/>
        <v>0</v>
      </c>
      <c r="AX29" s="187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29"/>
      <c r="C30" s="1330"/>
      <c r="D30" s="80"/>
      <c r="E30" s="87">
        <f t="shared" si="33"/>
        <v>0</v>
      </c>
      <c r="F30" s="88"/>
      <c r="G30" s="89">
        <f t="shared" si="34"/>
        <v>0</v>
      </c>
      <c r="H30" s="90">
        <f t="shared" si="35"/>
        <v>0</v>
      </c>
      <c r="I30" s="1332"/>
      <c r="J30" s="91"/>
      <c r="K30" s="1332"/>
      <c r="L30" s="91"/>
      <c r="M30" s="91"/>
      <c r="N30" s="91"/>
      <c r="O30" s="91"/>
      <c r="P30" s="91"/>
      <c r="Q30" s="91"/>
      <c r="R30" s="91"/>
      <c r="S30" s="91"/>
      <c r="T30" s="91"/>
      <c r="U30" s="91"/>
      <c r="V30" s="91"/>
      <c r="W30" s="91"/>
      <c r="X30" s="91"/>
      <c r="Y30" s="91"/>
      <c r="Z30" s="91"/>
      <c r="AA30" s="91"/>
      <c r="AB30" s="91"/>
      <c r="AC30" s="87">
        <f t="shared" si="36"/>
        <v>0</v>
      </c>
      <c r="AD30" s="92"/>
      <c r="AE30" s="92"/>
      <c r="AF30" s="1332"/>
      <c r="AG30" s="92"/>
      <c r="AH30" s="92"/>
      <c r="AI30" s="92"/>
      <c r="AJ30" s="92"/>
      <c r="AK30" s="92"/>
      <c r="AL30" s="92"/>
      <c r="AM30" s="92"/>
      <c r="AN30" s="92"/>
      <c r="AO30" s="92"/>
      <c r="AP30" s="92"/>
      <c r="AQ30" s="92"/>
      <c r="AR30" s="92"/>
      <c r="AS30" s="92"/>
      <c r="AT30" s="93"/>
      <c r="AU30" s="94"/>
      <c r="AV30" s="1878">
        <f t="shared" si="37"/>
        <v>0</v>
      </c>
      <c r="AW30" s="1878">
        <f t="shared" si="38"/>
        <v>0</v>
      </c>
      <c r="AX30" s="187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29"/>
      <c r="C31" s="1330"/>
      <c r="D31" s="80"/>
      <c r="E31" s="87">
        <f t="shared" si="33"/>
        <v>0</v>
      </c>
      <c r="F31" s="88"/>
      <c r="G31" s="89">
        <f t="shared" si="34"/>
        <v>0</v>
      </c>
      <c r="H31" s="90">
        <f t="shared" si="35"/>
        <v>0</v>
      </c>
      <c r="I31" s="1332"/>
      <c r="J31" s="91"/>
      <c r="K31" s="1332"/>
      <c r="L31" s="91"/>
      <c r="M31" s="91"/>
      <c r="N31" s="91"/>
      <c r="O31" s="91"/>
      <c r="P31" s="91"/>
      <c r="Q31" s="91"/>
      <c r="R31" s="91"/>
      <c r="S31" s="91"/>
      <c r="T31" s="91"/>
      <c r="U31" s="91"/>
      <c r="V31" s="91"/>
      <c r="W31" s="91"/>
      <c r="X31" s="91"/>
      <c r="Y31" s="91"/>
      <c r="Z31" s="91"/>
      <c r="AA31" s="91"/>
      <c r="AB31" s="91"/>
      <c r="AC31" s="87">
        <f t="shared" si="36"/>
        <v>0</v>
      </c>
      <c r="AD31" s="92"/>
      <c r="AE31" s="92"/>
      <c r="AF31" s="1332"/>
      <c r="AG31" s="92"/>
      <c r="AH31" s="92"/>
      <c r="AI31" s="92"/>
      <c r="AJ31" s="92"/>
      <c r="AK31" s="92"/>
      <c r="AL31" s="92"/>
      <c r="AM31" s="92"/>
      <c r="AN31" s="92"/>
      <c r="AO31" s="92"/>
      <c r="AP31" s="92"/>
      <c r="AQ31" s="92"/>
      <c r="AR31" s="92"/>
      <c r="AS31" s="92"/>
      <c r="AT31" s="93"/>
      <c r="AU31" s="94"/>
      <c r="AV31" s="1878">
        <f t="shared" si="37"/>
        <v>0</v>
      </c>
      <c r="AW31" s="1878">
        <f t="shared" si="38"/>
        <v>0</v>
      </c>
      <c r="AX31" s="187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29"/>
      <c r="C32" s="1330"/>
      <c r="D32" s="80"/>
      <c r="E32" s="87">
        <f t="shared" si="33"/>
        <v>0</v>
      </c>
      <c r="F32" s="88"/>
      <c r="G32" s="89">
        <f t="shared" si="34"/>
        <v>0</v>
      </c>
      <c r="H32" s="90">
        <f t="shared" si="35"/>
        <v>0</v>
      </c>
      <c r="I32" s="1332"/>
      <c r="J32" s="91"/>
      <c r="K32" s="1332"/>
      <c r="L32" s="91"/>
      <c r="M32" s="91"/>
      <c r="N32" s="91"/>
      <c r="O32" s="91"/>
      <c r="P32" s="91"/>
      <c r="Q32" s="91"/>
      <c r="R32" s="91"/>
      <c r="S32" s="91"/>
      <c r="T32" s="91"/>
      <c r="U32" s="91"/>
      <c r="V32" s="91"/>
      <c r="W32" s="91"/>
      <c r="X32" s="91"/>
      <c r="Y32" s="91"/>
      <c r="Z32" s="91"/>
      <c r="AA32" s="91"/>
      <c r="AB32" s="91"/>
      <c r="AC32" s="87">
        <f t="shared" si="36"/>
        <v>0</v>
      </c>
      <c r="AD32" s="92"/>
      <c r="AE32" s="92"/>
      <c r="AF32" s="1332"/>
      <c r="AG32" s="92"/>
      <c r="AH32" s="92"/>
      <c r="AI32" s="92"/>
      <c r="AJ32" s="92"/>
      <c r="AK32" s="92"/>
      <c r="AL32" s="92"/>
      <c r="AM32" s="92"/>
      <c r="AN32" s="92"/>
      <c r="AO32" s="92"/>
      <c r="AP32" s="92"/>
      <c r="AQ32" s="92"/>
      <c r="AR32" s="92"/>
      <c r="AS32" s="92"/>
      <c r="AT32" s="93"/>
      <c r="AU32" s="94"/>
      <c r="AV32" s="1878">
        <f t="shared" si="37"/>
        <v>0</v>
      </c>
      <c r="AW32" s="1878">
        <f t="shared" si="38"/>
        <v>0</v>
      </c>
      <c r="AX32" s="187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29"/>
      <c r="C33" s="1330"/>
      <c r="D33" s="80"/>
      <c r="E33" s="87">
        <f t="shared" si="33"/>
        <v>0</v>
      </c>
      <c r="F33" s="88"/>
      <c r="G33" s="89">
        <f t="shared" si="34"/>
        <v>0</v>
      </c>
      <c r="H33" s="90">
        <f t="shared" si="35"/>
        <v>0</v>
      </c>
      <c r="I33" s="1332"/>
      <c r="J33" s="91"/>
      <c r="K33" s="1332"/>
      <c r="L33" s="91"/>
      <c r="M33" s="91"/>
      <c r="N33" s="91"/>
      <c r="O33" s="91"/>
      <c r="P33" s="91"/>
      <c r="Q33" s="91"/>
      <c r="R33" s="91"/>
      <c r="S33" s="91"/>
      <c r="T33" s="91"/>
      <c r="U33" s="91"/>
      <c r="V33" s="91"/>
      <c r="W33" s="91"/>
      <c r="X33" s="91"/>
      <c r="Y33" s="91"/>
      <c r="Z33" s="91"/>
      <c r="AA33" s="91"/>
      <c r="AB33" s="91"/>
      <c r="AC33" s="87">
        <f t="shared" si="36"/>
        <v>0</v>
      </c>
      <c r="AD33" s="92"/>
      <c r="AE33" s="92"/>
      <c r="AF33" s="1332"/>
      <c r="AG33" s="92"/>
      <c r="AH33" s="92"/>
      <c r="AI33" s="92"/>
      <c r="AJ33" s="92"/>
      <c r="AK33" s="92"/>
      <c r="AL33" s="92"/>
      <c r="AM33" s="92"/>
      <c r="AN33" s="92"/>
      <c r="AO33" s="92"/>
      <c r="AP33" s="92"/>
      <c r="AQ33" s="92"/>
      <c r="AR33" s="92"/>
      <c r="AS33" s="92"/>
      <c r="AT33" s="93"/>
      <c r="AU33" s="94"/>
      <c r="AV33" s="1878">
        <f t="shared" si="37"/>
        <v>0</v>
      </c>
      <c r="AW33" s="1878">
        <f t="shared" si="38"/>
        <v>0</v>
      </c>
      <c r="AX33" s="187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29"/>
      <c r="C34" s="1330"/>
      <c r="D34" s="80"/>
      <c r="E34" s="87">
        <f t="shared" si="33"/>
        <v>0</v>
      </c>
      <c r="F34" s="88"/>
      <c r="G34" s="89">
        <f t="shared" si="34"/>
        <v>0</v>
      </c>
      <c r="H34" s="90">
        <f t="shared" si="35"/>
        <v>0</v>
      </c>
      <c r="I34" s="1332"/>
      <c r="J34" s="91"/>
      <c r="K34" s="1332"/>
      <c r="L34" s="91"/>
      <c r="M34" s="91"/>
      <c r="N34" s="91"/>
      <c r="O34" s="91"/>
      <c r="P34" s="91"/>
      <c r="Q34" s="91"/>
      <c r="R34" s="91"/>
      <c r="S34" s="91"/>
      <c r="T34" s="91"/>
      <c r="U34" s="91"/>
      <c r="V34" s="91"/>
      <c r="W34" s="91"/>
      <c r="X34" s="91"/>
      <c r="Y34" s="91"/>
      <c r="Z34" s="91"/>
      <c r="AA34" s="91"/>
      <c r="AB34" s="91"/>
      <c r="AC34" s="87">
        <f t="shared" si="36"/>
        <v>0</v>
      </c>
      <c r="AD34" s="92"/>
      <c r="AE34" s="92"/>
      <c r="AF34" s="1332"/>
      <c r="AG34" s="92"/>
      <c r="AH34" s="92"/>
      <c r="AI34" s="92"/>
      <c r="AJ34" s="92"/>
      <c r="AK34" s="92"/>
      <c r="AL34" s="92"/>
      <c r="AM34" s="92"/>
      <c r="AN34" s="92"/>
      <c r="AO34" s="92"/>
      <c r="AP34" s="92"/>
      <c r="AQ34" s="92"/>
      <c r="AR34" s="92"/>
      <c r="AS34" s="92"/>
      <c r="AT34" s="93"/>
      <c r="AU34" s="94"/>
      <c r="AV34" s="1878">
        <f t="shared" si="37"/>
        <v>0</v>
      </c>
      <c r="AW34" s="1878">
        <f t="shared" si="38"/>
        <v>0</v>
      </c>
      <c r="AX34" s="187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29"/>
      <c r="C35" s="1330"/>
      <c r="D35" s="80"/>
      <c r="E35" s="87">
        <f t="shared" si="33"/>
        <v>0</v>
      </c>
      <c r="F35" s="88"/>
      <c r="G35" s="89">
        <f t="shared" si="34"/>
        <v>0</v>
      </c>
      <c r="H35" s="90">
        <f t="shared" si="35"/>
        <v>0</v>
      </c>
      <c r="I35" s="1332"/>
      <c r="J35" s="91"/>
      <c r="K35" s="1332"/>
      <c r="L35" s="91"/>
      <c r="M35" s="91"/>
      <c r="N35" s="91"/>
      <c r="O35" s="91"/>
      <c r="P35" s="91"/>
      <c r="Q35" s="91"/>
      <c r="R35" s="91"/>
      <c r="S35" s="91"/>
      <c r="T35" s="91"/>
      <c r="U35" s="91"/>
      <c r="V35" s="91"/>
      <c r="W35" s="91"/>
      <c r="X35" s="91"/>
      <c r="Y35" s="91"/>
      <c r="Z35" s="91"/>
      <c r="AA35" s="91"/>
      <c r="AB35" s="91"/>
      <c r="AC35" s="87">
        <f t="shared" si="36"/>
        <v>0</v>
      </c>
      <c r="AD35" s="92"/>
      <c r="AE35" s="92"/>
      <c r="AF35" s="1332"/>
      <c r="AG35" s="92"/>
      <c r="AH35" s="92"/>
      <c r="AI35" s="92"/>
      <c r="AJ35" s="92"/>
      <c r="AK35" s="92"/>
      <c r="AL35" s="92"/>
      <c r="AM35" s="92"/>
      <c r="AN35" s="92"/>
      <c r="AO35" s="92"/>
      <c r="AP35" s="92"/>
      <c r="AQ35" s="92"/>
      <c r="AR35" s="92"/>
      <c r="AS35" s="92"/>
      <c r="AT35" s="93"/>
      <c r="AU35" s="94"/>
      <c r="AV35" s="1878">
        <f t="shared" si="37"/>
        <v>0</v>
      </c>
      <c r="AW35" s="1878">
        <f t="shared" si="38"/>
        <v>0</v>
      </c>
      <c r="AX35" s="187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29"/>
      <c r="C36" s="1330"/>
      <c r="D36" s="80"/>
      <c r="E36" s="87">
        <f t="shared" si="33"/>
        <v>0</v>
      </c>
      <c r="F36" s="88"/>
      <c r="G36" s="89">
        <f t="shared" si="34"/>
        <v>0</v>
      </c>
      <c r="H36" s="90">
        <f t="shared" si="35"/>
        <v>0</v>
      </c>
      <c r="I36" s="1332"/>
      <c r="J36" s="91"/>
      <c r="K36" s="1332"/>
      <c r="L36" s="91"/>
      <c r="M36" s="91"/>
      <c r="N36" s="91"/>
      <c r="O36" s="91"/>
      <c r="P36" s="91"/>
      <c r="Q36" s="91"/>
      <c r="R36" s="91"/>
      <c r="S36" s="91"/>
      <c r="T36" s="91"/>
      <c r="U36" s="91"/>
      <c r="V36" s="91"/>
      <c r="W36" s="91"/>
      <c r="X36" s="91"/>
      <c r="Y36" s="91"/>
      <c r="Z36" s="91"/>
      <c r="AA36" s="91"/>
      <c r="AB36" s="91"/>
      <c r="AC36" s="87">
        <f t="shared" si="36"/>
        <v>0</v>
      </c>
      <c r="AD36" s="92"/>
      <c r="AE36" s="92"/>
      <c r="AF36" s="1332"/>
      <c r="AG36" s="92"/>
      <c r="AH36" s="92"/>
      <c r="AI36" s="92"/>
      <c r="AJ36" s="92"/>
      <c r="AK36" s="92"/>
      <c r="AL36" s="92"/>
      <c r="AM36" s="92"/>
      <c r="AN36" s="92"/>
      <c r="AO36" s="92"/>
      <c r="AP36" s="92"/>
      <c r="AQ36" s="92"/>
      <c r="AR36" s="92"/>
      <c r="AS36" s="92"/>
      <c r="AT36" s="93"/>
      <c r="AU36" s="94"/>
      <c r="AV36" s="1878">
        <f t="shared" si="37"/>
        <v>0</v>
      </c>
      <c r="AW36" s="1878">
        <f t="shared" si="38"/>
        <v>0</v>
      </c>
      <c r="AX36" s="187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29"/>
      <c r="C37" s="1330"/>
      <c r="D37" s="80"/>
      <c r="E37" s="87">
        <f t="shared" si="33"/>
        <v>0</v>
      </c>
      <c r="F37" s="88"/>
      <c r="G37" s="89">
        <f t="shared" si="34"/>
        <v>0</v>
      </c>
      <c r="H37" s="90">
        <f t="shared" si="35"/>
        <v>0</v>
      </c>
      <c r="I37" s="1332"/>
      <c r="J37" s="91"/>
      <c r="K37" s="1332"/>
      <c r="L37" s="91"/>
      <c r="M37" s="91"/>
      <c r="N37" s="91"/>
      <c r="O37" s="91"/>
      <c r="P37" s="91"/>
      <c r="Q37" s="91"/>
      <c r="R37" s="91"/>
      <c r="S37" s="91"/>
      <c r="T37" s="91"/>
      <c r="U37" s="91"/>
      <c r="V37" s="91"/>
      <c r="W37" s="91"/>
      <c r="X37" s="91"/>
      <c r="Y37" s="91"/>
      <c r="Z37" s="91"/>
      <c r="AA37" s="91"/>
      <c r="AB37" s="91"/>
      <c r="AC37" s="87">
        <f t="shared" si="36"/>
        <v>0</v>
      </c>
      <c r="AD37" s="92"/>
      <c r="AE37" s="92"/>
      <c r="AF37" s="1332"/>
      <c r="AG37" s="92"/>
      <c r="AH37" s="92"/>
      <c r="AI37" s="92"/>
      <c r="AJ37" s="92"/>
      <c r="AK37" s="92"/>
      <c r="AL37" s="92"/>
      <c r="AM37" s="92"/>
      <c r="AN37" s="92"/>
      <c r="AO37" s="92"/>
      <c r="AP37" s="92"/>
      <c r="AQ37" s="92"/>
      <c r="AR37" s="92"/>
      <c r="AS37" s="92"/>
      <c r="AT37" s="93"/>
      <c r="AU37" s="94"/>
      <c r="AV37" s="1878">
        <f t="shared" si="37"/>
        <v>0</v>
      </c>
      <c r="AW37" s="1878">
        <f t="shared" si="38"/>
        <v>0</v>
      </c>
      <c r="AX37" s="187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29"/>
      <c r="C38" s="1330"/>
      <c r="D38" s="80"/>
      <c r="E38" s="87">
        <f t="shared" si="33"/>
        <v>0</v>
      </c>
      <c r="F38" s="88"/>
      <c r="G38" s="89">
        <f t="shared" si="34"/>
        <v>0</v>
      </c>
      <c r="H38" s="90">
        <f t="shared" si="35"/>
        <v>0</v>
      </c>
      <c r="I38" s="1332"/>
      <c r="J38" s="91"/>
      <c r="K38" s="1332"/>
      <c r="L38" s="91"/>
      <c r="M38" s="91"/>
      <c r="N38" s="91"/>
      <c r="O38" s="91"/>
      <c r="P38" s="91"/>
      <c r="Q38" s="91"/>
      <c r="R38" s="91"/>
      <c r="S38" s="91"/>
      <c r="T38" s="91"/>
      <c r="U38" s="91"/>
      <c r="V38" s="91"/>
      <c r="W38" s="91"/>
      <c r="X38" s="91"/>
      <c r="Y38" s="91"/>
      <c r="Z38" s="91"/>
      <c r="AA38" s="91"/>
      <c r="AB38" s="91"/>
      <c r="AC38" s="87">
        <f t="shared" si="36"/>
        <v>0</v>
      </c>
      <c r="AD38" s="92"/>
      <c r="AE38" s="92"/>
      <c r="AF38" s="1332"/>
      <c r="AG38" s="92"/>
      <c r="AH38" s="92"/>
      <c r="AI38" s="92"/>
      <c r="AJ38" s="92"/>
      <c r="AK38" s="92"/>
      <c r="AL38" s="92"/>
      <c r="AM38" s="92"/>
      <c r="AN38" s="92"/>
      <c r="AO38" s="92"/>
      <c r="AP38" s="92"/>
      <c r="AQ38" s="92"/>
      <c r="AR38" s="92"/>
      <c r="AS38" s="92"/>
      <c r="AT38" s="93"/>
      <c r="AU38" s="94"/>
      <c r="AV38" s="1878">
        <f t="shared" si="37"/>
        <v>0</v>
      </c>
      <c r="AW38" s="1878">
        <f t="shared" si="38"/>
        <v>0</v>
      </c>
      <c r="AX38" s="187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29"/>
      <c r="C39" s="1330"/>
      <c r="D39" s="80"/>
      <c r="E39" s="87">
        <f t="shared" si="33"/>
        <v>0</v>
      </c>
      <c r="F39" s="88"/>
      <c r="G39" s="89">
        <f t="shared" si="34"/>
        <v>0</v>
      </c>
      <c r="H39" s="90">
        <f t="shared" si="35"/>
        <v>0</v>
      </c>
      <c r="I39" s="1332"/>
      <c r="J39" s="91"/>
      <c r="K39" s="1332"/>
      <c r="L39" s="91"/>
      <c r="M39" s="91"/>
      <c r="N39" s="91"/>
      <c r="O39" s="91"/>
      <c r="P39" s="91"/>
      <c r="Q39" s="91"/>
      <c r="R39" s="91"/>
      <c r="S39" s="91"/>
      <c r="T39" s="91"/>
      <c r="U39" s="91"/>
      <c r="V39" s="91"/>
      <c r="W39" s="91"/>
      <c r="X39" s="91"/>
      <c r="Y39" s="91"/>
      <c r="Z39" s="91"/>
      <c r="AA39" s="91"/>
      <c r="AB39" s="91"/>
      <c r="AC39" s="87">
        <f t="shared" si="36"/>
        <v>0</v>
      </c>
      <c r="AD39" s="92"/>
      <c r="AE39" s="92"/>
      <c r="AF39" s="1332"/>
      <c r="AG39" s="92"/>
      <c r="AH39" s="92"/>
      <c r="AI39" s="92"/>
      <c r="AJ39" s="92"/>
      <c r="AK39" s="92"/>
      <c r="AL39" s="92"/>
      <c r="AM39" s="92"/>
      <c r="AN39" s="92"/>
      <c r="AO39" s="92"/>
      <c r="AP39" s="92"/>
      <c r="AQ39" s="92"/>
      <c r="AR39" s="92"/>
      <c r="AS39" s="92"/>
      <c r="AT39" s="93"/>
      <c r="AU39" s="94"/>
      <c r="AV39" s="1878">
        <f t="shared" si="37"/>
        <v>0</v>
      </c>
      <c r="AW39" s="1878">
        <f t="shared" si="38"/>
        <v>0</v>
      </c>
      <c r="AX39" s="187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29"/>
      <c r="C40" s="1330"/>
      <c r="D40" s="80"/>
      <c r="E40" s="87">
        <f t="shared" si="33"/>
        <v>0</v>
      </c>
      <c r="F40" s="88"/>
      <c r="G40" s="89">
        <f t="shared" si="34"/>
        <v>0</v>
      </c>
      <c r="H40" s="90">
        <f t="shared" si="35"/>
        <v>0</v>
      </c>
      <c r="I40" s="1332"/>
      <c r="J40" s="91"/>
      <c r="K40" s="1332"/>
      <c r="L40" s="91"/>
      <c r="M40" s="91"/>
      <c r="N40" s="91"/>
      <c r="O40" s="91"/>
      <c r="P40" s="91"/>
      <c r="Q40" s="91"/>
      <c r="R40" s="91"/>
      <c r="S40" s="91"/>
      <c r="T40" s="91"/>
      <c r="U40" s="91"/>
      <c r="V40" s="91"/>
      <c r="W40" s="91"/>
      <c r="X40" s="91"/>
      <c r="Y40" s="91"/>
      <c r="Z40" s="91"/>
      <c r="AA40" s="91"/>
      <c r="AB40" s="91"/>
      <c r="AC40" s="87">
        <f t="shared" si="36"/>
        <v>0</v>
      </c>
      <c r="AD40" s="92"/>
      <c r="AE40" s="92"/>
      <c r="AF40" s="1332"/>
      <c r="AG40" s="92"/>
      <c r="AH40" s="92"/>
      <c r="AI40" s="92"/>
      <c r="AJ40" s="92"/>
      <c r="AK40" s="92"/>
      <c r="AL40" s="92"/>
      <c r="AM40" s="92"/>
      <c r="AN40" s="92"/>
      <c r="AO40" s="92"/>
      <c r="AP40" s="92"/>
      <c r="AQ40" s="92"/>
      <c r="AR40" s="92"/>
      <c r="AS40" s="92"/>
      <c r="AT40" s="93"/>
      <c r="AU40" s="94"/>
      <c r="AV40" s="1878">
        <f t="shared" si="37"/>
        <v>0</v>
      </c>
      <c r="AW40" s="1878">
        <f t="shared" si="38"/>
        <v>0</v>
      </c>
      <c r="AX40" s="187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29"/>
      <c r="C41" s="1330"/>
      <c r="D41" s="80"/>
      <c r="E41" s="87">
        <f t="shared" si="33"/>
        <v>0</v>
      </c>
      <c r="F41" s="88"/>
      <c r="G41" s="89">
        <f t="shared" si="34"/>
        <v>0</v>
      </c>
      <c r="H41" s="90">
        <f t="shared" si="35"/>
        <v>0</v>
      </c>
      <c r="I41" s="1332"/>
      <c r="J41" s="91"/>
      <c r="K41" s="1332"/>
      <c r="L41" s="91"/>
      <c r="M41" s="91"/>
      <c r="N41" s="91"/>
      <c r="O41" s="91"/>
      <c r="P41" s="91"/>
      <c r="Q41" s="91"/>
      <c r="R41" s="91"/>
      <c r="S41" s="91"/>
      <c r="T41" s="91"/>
      <c r="U41" s="91"/>
      <c r="V41" s="91"/>
      <c r="W41" s="91"/>
      <c r="X41" s="91"/>
      <c r="Y41" s="91"/>
      <c r="Z41" s="91"/>
      <c r="AA41" s="91"/>
      <c r="AB41" s="91"/>
      <c r="AC41" s="87">
        <f t="shared" si="36"/>
        <v>0</v>
      </c>
      <c r="AD41" s="92"/>
      <c r="AE41" s="92"/>
      <c r="AF41" s="1332"/>
      <c r="AG41" s="92"/>
      <c r="AH41" s="92"/>
      <c r="AI41" s="92"/>
      <c r="AJ41" s="92"/>
      <c r="AK41" s="92"/>
      <c r="AL41" s="92"/>
      <c r="AM41" s="92"/>
      <c r="AN41" s="92"/>
      <c r="AO41" s="92"/>
      <c r="AP41" s="92"/>
      <c r="AQ41" s="92"/>
      <c r="AR41" s="92"/>
      <c r="AS41" s="92"/>
      <c r="AT41" s="93"/>
      <c r="AU41" s="94"/>
      <c r="AV41" s="1878">
        <f t="shared" si="37"/>
        <v>0</v>
      </c>
      <c r="AW41" s="1878">
        <f t="shared" si="38"/>
        <v>0</v>
      </c>
      <c r="AX41" s="187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29"/>
      <c r="C42" s="1330"/>
      <c r="D42" s="80"/>
      <c r="E42" s="87">
        <f t="shared" si="33"/>
        <v>0</v>
      </c>
      <c r="F42" s="88"/>
      <c r="G42" s="89">
        <f t="shared" si="34"/>
        <v>0</v>
      </c>
      <c r="H42" s="90">
        <f t="shared" si="35"/>
        <v>0</v>
      </c>
      <c r="I42" s="1332"/>
      <c r="J42" s="91"/>
      <c r="K42" s="1332"/>
      <c r="L42" s="91"/>
      <c r="M42" s="91"/>
      <c r="N42" s="91"/>
      <c r="O42" s="91"/>
      <c r="P42" s="91"/>
      <c r="Q42" s="91"/>
      <c r="R42" s="91"/>
      <c r="S42" s="91"/>
      <c r="T42" s="91"/>
      <c r="U42" s="91"/>
      <c r="V42" s="91"/>
      <c r="W42" s="91"/>
      <c r="X42" s="91"/>
      <c r="Y42" s="91"/>
      <c r="Z42" s="91"/>
      <c r="AA42" s="91"/>
      <c r="AB42" s="91"/>
      <c r="AC42" s="87">
        <f t="shared" si="36"/>
        <v>0</v>
      </c>
      <c r="AD42" s="92"/>
      <c r="AE42" s="92"/>
      <c r="AF42" s="1332"/>
      <c r="AG42" s="92"/>
      <c r="AH42" s="92"/>
      <c r="AI42" s="92"/>
      <c r="AJ42" s="92"/>
      <c r="AK42" s="92"/>
      <c r="AL42" s="92"/>
      <c r="AM42" s="92"/>
      <c r="AN42" s="92"/>
      <c r="AO42" s="92"/>
      <c r="AP42" s="92"/>
      <c r="AQ42" s="92"/>
      <c r="AR42" s="92"/>
      <c r="AS42" s="92"/>
      <c r="AT42" s="93"/>
      <c r="AU42" s="94"/>
      <c r="AV42" s="1878">
        <f t="shared" si="37"/>
        <v>0</v>
      </c>
      <c r="AW42" s="1878">
        <f t="shared" si="38"/>
        <v>0</v>
      </c>
      <c r="AX42" s="187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29"/>
      <c r="C43" s="1330"/>
      <c r="D43" s="80"/>
      <c r="E43" s="87">
        <f t="shared" si="33"/>
        <v>0</v>
      </c>
      <c r="F43" s="88"/>
      <c r="G43" s="89">
        <f t="shared" si="34"/>
        <v>0</v>
      </c>
      <c r="H43" s="90">
        <f t="shared" si="35"/>
        <v>0</v>
      </c>
      <c r="I43" s="1332"/>
      <c r="J43" s="91"/>
      <c r="K43" s="1332"/>
      <c r="L43" s="91"/>
      <c r="M43" s="91"/>
      <c r="N43" s="91"/>
      <c r="O43" s="91"/>
      <c r="P43" s="91"/>
      <c r="Q43" s="91"/>
      <c r="R43" s="91"/>
      <c r="S43" s="91"/>
      <c r="T43" s="91"/>
      <c r="U43" s="91"/>
      <c r="V43" s="91"/>
      <c r="W43" s="91"/>
      <c r="X43" s="91"/>
      <c r="Y43" s="91"/>
      <c r="Z43" s="91"/>
      <c r="AA43" s="91"/>
      <c r="AB43" s="91"/>
      <c r="AC43" s="87">
        <f t="shared" si="36"/>
        <v>0</v>
      </c>
      <c r="AD43" s="92"/>
      <c r="AE43" s="92"/>
      <c r="AF43" s="1332"/>
      <c r="AG43" s="92"/>
      <c r="AH43" s="92"/>
      <c r="AI43" s="92"/>
      <c r="AJ43" s="92"/>
      <c r="AK43" s="92"/>
      <c r="AL43" s="92"/>
      <c r="AM43" s="92"/>
      <c r="AN43" s="92"/>
      <c r="AO43" s="92"/>
      <c r="AP43" s="92"/>
      <c r="AQ43" s="92"/>
      <c r="AR43" s="92"/>
      <c r="AS43" s="92"/>
      <c r="AT43" s="93"/>
      <c r="AU43" s="94"/>
      <c r="AV43" s="1878">
        <f t="shared" si="37"/>
        <v>0</v>
      </c>
      <c r="AW43" s="1878">
        <f t="shared" si="38"/>
        <v>0</v>
      </c>
      <c r="AX43" s="187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29"/>
      <c r="C44" s="1330"/>
      <c r="D44" s="80"/>
      <c r="E44" s="87">
        <f t="shared" si="33"/>
        <v>0</v>
      </c>
      <c r="F44" s="88"/>
      <c r="G44" s="89">
        <f t="shared" si="34"/>
        <v>0</v>
      </c>
      <c r="H44" s="90">
        <f t="shared" si="35"/>
        <v>0</v>
      </c>
      <c r="I44" s="1332"/>
      <c r="J44" s="91"/>
      <c r="K44" s="1332"/>
      <c r="L44" s="91"/>
      <c r="M44" s="91"/>
      <c r="N44" s="91"/>
      <c r="O44" s="91"/>
      <c r="P44" s="91"/>
      <c r="Q44" s="91"/>
      <c r="R44" s="91"/>
      <c r="S44" s="91"/>
      <c r="T44" s="91"/>
      <c r="U44" s="91"/>
      <c r="V44" s="91"/>
      <c r="W44" s="91"/>
      <c r="X44" s="91"/>
      <c r="Y44" s="91"/>
      <c r="Z44" s="91"/>
      <c r="AA44" s="91"/>
      <c r="AB44" s="91"/>
      <c r="AC44" s="87">
        <f t="shared" si="36"/>
        <v>0</v>
      </c>
      <c r="AD44" s="92"/>
      <c r="AE44" s="92"/>
      <c r="AF44" s="1332"/>
      <c r="AG44" s="92"/>
      <c r="AH44" s="92"/>
      <c r="AI44" s="92"/>
      <c r="AJ44" s="92"/>
      <c r="AK44" s="92"/>
      <c r="AL44" s="92"/>
      <c r="AM44" s="92"/>
      <c r="AN44" s="92"/>
      <c r="AO44" s="92"/>
      <c r="AP44" s="92"/>
      <c r="AQ44" s="92"/>
      <c r="AR44" s="92"/>
      <c r="AS44" s="92"/>
      <c r="AT44" s="93"/>
      <c r="AU44" s="94"/>
      <c r="AV44" s="1878">
        <f t="shared" si="37"/>
        <v>0</v>
      </c>
      <c r="AW44" s="1878">
        <f t="shared" si="38"/>
        <v>0</v>
      </c>
      <c r="AX44" s="187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29"/>
      <c r="C45" s="1330"/>
      <c r="D45" s="80"/>
      <c r="E45" s="87">
        <f t="shared" si="33"/>
        <v>0</v>
      </c>
      <c r="F45" s="88"/>
      <c r="G45" s="89">
        <f t="shared" si="34"/>
        <v>0</v>
      </c>
      <c r="H45" s="90">
        <f t="shared" si="35"/>
        <v>0</v>
      </c>
      <c r="I45" s="1332"/>
      <c r="J45" s="91"/>
      <c r="K45" s="1332"/>
      <c r="L45" s="91"/>
      <c r="M45" s="91"/>
      <c r="N45" s="91"/>
      <c r="O45" s="91"/>
      <c r="P45" s="91"/>
      <c r="Q45" s="91"/>
      <c r="R45" s="91"/>
      <c r="S45" s="91"/>
      <c r="T45" s="91"/>
      <c r="U45" s="91"/>
      <c r="V45" s="91"/>
      <c r="W45" s="91"/>
      <c r="X45" s="91"/>
      <c r="Y45" s="91"/>
      <c r="Z45" s="91"/>
      <c r="AA45" s="91"/>
      <c r="AB45" s="91"/>
      <c r="AC45" s="87">
        <f t="shared" si="36"/>
        <v>0</v>
      </c>
      <c r="AD45" s="92"/>
      <c r="AE45" s="92"/>
      <c r="AF45" s="1332"/>
      <c r="AG45" s="92"/>
      <c r="AH45" s="92"/>
      <c r="AI45" s="92"/>
      <c r="AJ45" s="92"/>
      <c r="AK45" s="92"/>
      <c r="AL45" s="92"/>
      <c r="AM45" s="92"/>
      <c r="AN45" s="92"/>
      <c r="AO45" s="92"/>
      <c r="AP45" s="92"/>
      <c r="AQ45" s="92"/>
      <c r="AR45" s="92"/>
      <c r="AS45" s="92"/>
      <c r="AT45" s="93"/>
      <c r="AU45" s="94"/>
      <c r="AV45" s="1878">
        <f t="shared" si="37"/>
        <v>0</v>
      </c>
      <c r="AW45" s="1878">
        <f t="shared" si="38"/>
        <v>0</v>
      </c>
      <c r="AX45" s="187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29"/>
      <c r="C46" s="1330"/>
      <c r="D46" s="80"/>
      <c r="E46" s="87">
        <f t="shared" si="33"/>
        <v>0</v>
      </c>
      <c r="F46" s="88"/>
      <c r="G46" s="89">
        <f t="shared" si="34"/>
        <v>0</v>
      </c>
      <c r="H46" s="90">
        <f t="shared" si="35"/>
        <v>0</v>
      </c>
      <c r="I46" s="1332"/>
      <c r="J46" s="91"/>
      <c r="K46" s="1332"/>
      <c r="L46" s="91"/>
      <c r="M46" s="91"/>
      <c r="N46" s="91"/>
      <c r="O46" s="91"/>
      <c r="P46" s="91"/>
      <c r="Q46" s="91"/>
      <c r="R46" s="91"/>
      <c r="S46" s="91"/>
      <c r="T46" s="91"/>
      <c r="U46" s="91"/>
      <c r="V46" s="91"/>
      <c r="W46" s="91"/>
      <c r="X46" s="91"/>
      <c r="Y46" s="91"/>
      <c r="Z46" s="91"/>
      <c r="AA46" s="91"/>
      <c r="AB46" s="91"/>
      <c r="AC46" s="87">
        <f t="shared" si="36"/>
        <v>0</v>
      </c>
      <c r="AD46" s="92"/>
      <c r="AE46" s="92"/>
      <c r="AF46" s="1332"/>
      <c r="AG46" s="92"/>
      <c r="AH46" s="92"/>
      <c r="AI46" s="92"/>
      <c r="AJ46" s="92"/>
      <c r="AK46" s="92"/>
      <c r="AL46" s="92"/>
      <c r="AM46" s="92"/>
      <c r="AN46" s="92"/>
      <c r="AO46" s="92"/>
      <c r="AP46" s="92"/>
      <c r="AQ46" s="92"/>
      <c r="AR46" s="92"/>
      <c r="AS46" s="92"/>
      <c r="AT46" s="93"/>
      <c r="AU46" s="94"/>
      <c r="AV46" s="1878">
        <f t="shared" si="37"/>
        <v>0</v>
      </c>
      <c r="AW46" s="1878">
        <f t="shared" si="38"/>
        <v>0</v>
      </c>
      <c r="AX46" s="187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29"/>
      <c r="C47" s="1330"/>
      <c r="D47" s="80"/>
      <c r="E47" s="87">
        <f t="shared" si="33"/>
        <v>0</v>
      </c>
      <c r="F47" s="88"/>
      <c r="G47" s="89">
        <f t="shared" si="34"/>
        <v>0</v>
      </c>
      <c r="H47" s="90">
        <f t="shared" si="35"/>
        <v>0</v>
      </c>
      <c r="I47" s="1332"/>
      <c r="J47" s="91"/>
      <c r="K47" s="1332"/>
      <c r="L47" s="91"/>
      <c r="M47" s="91"/>
      <c r="N47" s="91"/>
      <c r="O47" s="91"/>
      <c r="P47" s="91"/>
      <c r="Q47" s="91"/>
      <c r="R47" s="91"/>
      <c r="S47" s="91"/>
      <c r="T47" s="91"/>
      <c r="U47" s="91"/>
      <c r="V47" s="91"/>
      <c r="W47" s="91"/>
      <c r="X47" s="91"/>
      <c r="Y47" s="91"/>
      <c r="Z47" s="91"/>
      <c r="AA47" s="91"/>
      <c r="AB47" s="91"/>
      <c r="AC47" s="87">
        <f t="shared" si="36"/>
        <v>0</v>
      </c>
      <c r="AD47" s="92"/>
      <c r="AE47" s="92"/>
      <c r="AF47" s="1330"/>
      <c r="AG47" s="92"/>
      <c r="AH47" s="92"/>
      <c r="AI47" s="92"/>
      <c r="AJ47" s="92"/>
      <c r="AK47" s="92"/>
      <c r="AL47" s="92"/>
      <c r="AM47" s="92"/>
      <c r="AN47" s="92"/>
      <c r="AO47" s="92"/>
      <c r="AP47" s="92"/>
      <c r="AQ47" s="92"/>
      <c r="AR47" s="92"/>
      <c r="AS47" s="92"/>
      <c r="AT47" s="93"/>
      <c r="AU47" s="94"/>
      <c r="AV47" s="1878">
        <f t="shared" si="37"/>
        <v>0</v>
      </c>
      <c r="AW47" s="1878">
        <f t="shared" si="38"/>
        <v>0</v>
      </c>
      <c r="AX47" s="187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29"/>
      <c r="C48" s="1330"/>
      <c r="D48" s="80"/>
      <c r="E48" s="87">
        <f t="shared" si="33"/>
        <v>0</v>
      </c>
      <c r="F48" s="88"/>
      <c r="G48" s="89">
        <f t="shared" si="34"/>
        <v>0</v>
      </c>
      <c r="H48" s="90">
        <f t="shared" si="35"/>
        <v>0</v>
      </c>
      <c r="I48" s="1330"/>
      <c r="J48" s="91"/>
      <c r="K48" s="1330"/>
      <c r="L48" s="91"/>
      <c r="M48" s="91"/>
      <c r="N48" s="91"/>
      <c r="O48" s="91"/>
      <c r="P48" s="91"/>
      <c r="Q48" s="91"/>
      <c r="R48" s="91"/>
      <c r="S48" s="91"/>
      <c r="T48" s="91"/>
      <c r="U48" s="91"/>
      <c r="V48" s="91"/>
      <c r="W48" s="91"/>
      <c r="X48" s="91"/>
      <c r="Y48" s="91"/>
      <c r="Z48" s="91"/>
      <c r="AA48" s="91"/>
      <c r="AB48" s="91"/>
      <c r="AC48" s="87">
        <f t="shared" si="36"/>
        <v>0</v>
      </c>
      <c r="AD48" s="92"/>
      <c r="AE48" s="92"/>
      <c r="AF48" s="1330"/>
      <c r="AG48" s="92"/>
      <c r="AH48" s="92"/>
      <c r="AI48" s="92"/>
      <c r="AJ48" s="92"/>
      <c r="AK48" s="92"/>
      <c r="AL48" s="92"/>
      <c r="AM48" s="92"/>
      <c r="AN48" s="92"/>
      <c r="AO48" s="92"/>
      <c r="AP48" s="92"/>
      <c r="AQ48" s="92"/>
      <c r="AR48" s="92"/>
      <c r="AS48" s="92"/>
      <c r="AT48" s="93"/>
      <c r="AU48" s="94"/>
      <c r="AV48" s="1878">
        <f t="shared" si="37"/>
        <v>0</v>
      </c>
      <c r="AW48" s="1878">
        <f t="shared" si="38"/>
        <v>0</v>
      </c>
      <c r="AX48" s="187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29"/>
      <c r="C49" s="1330"/>
      <c r="D49" s="80"/>
      <c r="E49" s="87">
        <f t="shared" si="33"/>
        <v>0</v>
      </c>
      <c r="F49" s="88"/>
      <c r="G49" s="89">
        <f t="shared" si="34"/>
        <v>0</v>
      </c>
      <c r="H49" s="90">
        <f t="shared" si="35"/>
        <v>0</v>
      </c>
      <c r="I49" s="1330"/>
      <c r="J49" s="91"/>
      <c r="K49" s="1330"/>
      <c r="L49" s="91"/>
      <c r="M49" s="91"/>
      <c r="N49" s="91"/>
      <c r="O49" s="91"/>
      <c r="P49" s="91"/>
      <c r="Q49" s="91"/>
      <c r="R49" s="91"/>
      <c r="S49" s="91"/>
      <c r="T49" s="91"/>
      <c r="U49" s="91"/>
      <c r="V49" s="91"/>
      <c r="W49" s="91"/>
      <c r="X49" s="91"/>
      <c r="Y49" s="91"/>
      <c r="Z49" s="91"/>
      <c r="AA49" s="91"/>
      <c r="AB49" s="91"/>
      <c r="AC49" s="87">
        <f t="shared" si="36"/>
        <v>0</v>
      </c>
      <c r="AD49" s="92"/>
      <c r="AE49" s="92"/>
      <c r="AF49" s="1330"/>
      <c r="AG49" s="92"/>
      <c r="AH49" s="92"/>
      <c r="AI49" s="92"/>
      <c r="AJ49" s="92"/>
      <c r="AK49" s="92"/>
      <c r="AL49" s="92"/>
      <c r="AM49" s="92"/>
      <c r="AN49" s="92"/>
      <c r="AO49" s="92"/>
      <c r="AP49" s="92"/>
      <c r="AQ49" s="92"/>
      <c r="AR49" s="92"/>
      <c r="AS49" s="92"/>
      <c r="AT49" s="93"/>
      <c r="AU49" s="94"/>
      <c r="AV49" s="1878">
        <f t="shared" si="37"/>
        <v>0</v>
      </c>
      <c r="AW49" s="1878">
        <f t="shared" si="38"/>
        <v>0</v>
      </c>
      <c r="AX49" s="187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29"/>
      <c r="C50" s="1330"/>
      <c r="D50" s="80"/>
      <c r="E50" s="87">
        <f t="shared" si="33"/>
        <v>0</v>
      </c>
      <c r="F50" s="88"/>
      <c r="G50" s="89">
        <f t="shared" si="34"/>
        <v>0</v>
      </c>
      <c r="H50" s="90">
        <f t="shared" si="35"/>
        <v>0</v>
      </c>
      <c r="I50" s="1330"/>
      <c r="J50" s="91"/>
      <c r="K50" s="1330"/>
      <c r="L50" s="91"/>
      <c r="M50" s="91"/>
      <c r="N50" s="91"/>
      <c r="O50" s="91"/>
      <c r="P50" s="91"/>
      <c r="Q50" s="91"/>
      <c r="R50" s="91"/>
      <c r="S50" s="91"/>
      <c r="T50" s="91"/>
      <c r="U50" s="91"/>
      <c r="V50" s="91"/>
      <c r="W50" s="91"/>
      <c r="X50" s="91"/>
      <c r="Y50" s="91"/>
      <c r="Z50" s="91"/>
      <c r="AA50" s="91"/>
      <c r="AB50" s="91"/>
      <c r="AC50" s="87">
        <f t="shared" si="36"/>
        <v>0</v>
      </c>
      <c r="AD50" s="92"/>
      <c r="AE50" s="92"/>
      <c r="AF50" s="1330"/>
      <c r="AG50" s="92"/>
      <c r="AH50" s="92"/>
      <c r="AI50" s="92"/>
      <c r="AJ50" s="92"/>
      <c r="AK50" s="92"/>
      <c r="AL50" s="92"/>
      <c r="AM50" s="92"/>
      <c r="AN50" s="92"/>
      <c r="AO50" s="92"/>
      <c r="AP50" s="92"/>
      <c r="AQ50" s="92"/>
      <c r="AR50" s="92"/>
      <c r="AS50" s="92"/>
      <c r="AT50" s="93"/>
      <c r="AU50" s="94"/>
      <c r="AV50" s="1878">
        <f t="shared" si="37"/>
        <v>0</v>
      </c>
      <c r="AW50" s="1878">
        <f t="shared" si="38"/>
        <v>0</v>
      </c>
      <c r="AX50" s="187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29"/>
      <c r="C51" s="1330"/>
      <c r="D51" s="80"/>
      <c r="E51" s="87">
        <f t="shared" si="33"/>
        <v>0</v>
      </c>
      <c r="F51" s="88"/>
      <c r="G51" s="89">
        <f t="shared" si="34"/>
        <v>0</v>
      </c>
      <c r="H51" s="90">
        <f t="shared" si="35"/>
        <v>0</v>
      </c>
      <c r="I51" s="1330"/>
      <c r="J51" s="91"/>
      <c r="K51" s="1330"/>
      <c r="L51" s="91"/>
      <c r="M51" s="91"/>
      <c r="N51" s="91"/>
      <c r="O51" s="91"/>
      <c r="P51" s="91"/>
      <c r="Q51" s="91"/>
      <c r="R51" s="91"/>
      <c r="S51" s="91"/>
      <c r="T51" s="91"/>
      <c r="U51" s="91"/>
      <c r="V51" s="91"/>
      <c r="W51" s="91"/>
      <c r="X51" s="91"/>
      <c r="Y51" s="91"/>
      <c r="Z51" s="91"/>
      <c r="AA51" s="91"/>
      <c r="AB51" s="91"/>
      <c r="AC51" s="87">
        <f t="shared" si="36"/>
        <v>0</v>
      </c>
      <c r="AD51" s="92"/>
      <c r="AE51" s="92"/>
      <c r="AF51" s="1330"/>
      <c r="AG51" s="92"/>
      <c r="AH51" s="92"/>
      <c r="AI51" s="92"/>
      <c r="AJ51" s="92"/>
      <c r="AK51" s="92"/>
      <c r="AL51" s="92"/>
      <c r="AM51" s="92"/>
      <c r="AN51" s="92"/>
      <c r="AO51" s="92"/>
      <c r="AP51" s="92"/>
      <c r="AQ51" s="92"/>
      <c r="AR51" s="92"/>
      <c r="AS51" s="92"/>
      <c r="AT51" s="93"/>
      <c r="AU51" s="94"/>
      <c r="AV51" s="1878">
        <f t="shared" si="37"/>
        <v>0</v>
      </c>
      <c r="AW51" s="1878">
        <f t="shared" si="38"/>
        <v>0</v>
      </c>
      <c r="AX51" s="187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29"/>
      <c r="C52" s="1330"/>
      <c r="D52" s="80"/>
      <c r="E52" s="87">
        <f t="shared" si="33"/>
        <v>0</v>
      </c>
      <c r="F52" s="88"/>
      <c r="G52" s="89">
        <f t="shared" si="34"/>
        <v>0</v>
      </c>
      <c r="H52" s="90">
        <f t="shared" si="35"/>
        <v>0</v>
      </c>
      <c r="I52" s="1330"/>
      <c r="J52" s="91"/>
      <c r="K52" s="1330"/>
      <c r="L52" s="91"/>
      <c r="M52" s="91"/>
      <c r="N52" s="91"/>
      <c r="O52" s="91"/>
      <c r="P52" s="91"/>
      <c r="Q52" s="91"/>
      <c r="R52" s="91"/>
      <c r="S52" s="91"/>
      <c r="T52" s="91"/>
      <c r="U52" s="91"/>
      <c r="V52" s="91"/>
      <c r="W52" s="91"/>
      <c r="X52" s="91"/>
      <c r="Y52" s="91"/>
      <c r="Z52" s="91"/>
      <c r="AA52" s="91"/>
      <c r="AB52" s="91"/>
      <c r="AC52" s="87">
        <f t="shared" si="36"/>
        <v>0</v>
      </c>
      <c r="AD52" s="92"/>
      <c r="AE52" s="92"/>
      <c r="AF52" s="1330"/>
      <c r="AG52" s="92"/>
      <c r="AH52" s="92"/>
      <c r="AI52" s="92"/>
      <c r="AJ52" s="92"/>
      <c r="AK52" s="92"/>
      <c r="AL52" s="92"/>
      <c r="AM52" s="92"/>
      <c r="AN52" s="92"/>
      <c r="AO52" s="92"/>
      <c r="AP52" s="92"/>
      <c r="AQ52" s="92"/>
      <c r="AR52" s="92"/>
      <c r="AS52" s="92"/>
      <c r="AT52" s="93"/>
      <c r="AU52" s="94"/>
      <c r="AV52" s="1878">
        <f t="shared" si="37"/>
        <v>0</v>
      </c>
      <c r="AW52" s="1878">
        <f t="shared" si="38"/>
        <v>0</v>
      </c>
      <c r="AX52" s="187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29"/>
      <c r="C53" s="1330"/>
      <c r="D53" s="80"/>
      <c r="E53" s="87">
        <f t="shared" si="33"/>
        <v>0</v>
      </c>
      <c r="F53" s="88"/>
      <c r="G53" s="89">
        <f t="shared" si="34"/>
        <v>0</v>
      </c>
      <c r="H53" s="90">
        <f t="shared" si="35"/>
        <v>0</v>
      </c>
      <c r="I53" s="1330"/>
      <c r="J53" s="91"/>
      <c r="K53" s="1330"/>
      <c r="L53" s="91"/>
      <c r="M53" s="91"/>
      <c r="N53" s="91"/>
      <c r="O53" s="91"/>
      <c r="P53" s="91"/>
      <c r="Q53" s="91"/>
      <c r="R53" s="91"/>
      <c r="S53" s="91"/>
      <c r="T53" s="91"/>
      <c r="U53" s="91"/>
      <c r="V53" s="91"/>
      <c r="W53" s="91"/>
      <c r="X53" s="91"/>
      <c r="Y53" s="91"/>
      <c r="Z53" s="91"/>
      <c r="AA53" s="91"/>
      <c r="AB53" s="91"/>
      <c r="AC53" s="87">
        <f t="shared" si="36"/>
        <v>0</v>
      </c>
      <c r="AD53" s="92"/>
      <c r="AE53" s="92"/>
      <c r="AF53" s="1330"/>
      <c r="AG53" s="92"/>
      <c r="AH53" s="92"/>
      <c r="AI53" s="92"/>
      <c r="AJ53" s="92"/>
      <c r="AK53" s="92"/>
      <c r="AL53" s="92"/>
      <c r="AM53" s="92"/>
      <c r="AN53" s="92"/>
      <c r="AO53" s="92"/>
      <c r="AP53" s="92"/>
      <c r="AQ53" s="92"/>
      <c r="AR53" s="92"/>
      <c r="AS53" s="92"/>
      <c r="AT53" s="93"/>
      <c r="AU53" s="94"/>
      <c r="AV53" s="1878">
        <f t="shared" si="37"/>
        <v>0</v>
      </c>
      <c r="AW53" s="1878">
        <f t="shared" si="38"/>
        <v>0</v>
      </c>
      <c r="AX53" s="187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29"/>
      <c r="C54" s="1330"/>
      <c r="D54" s="80"/>
      <c r="E54" s="87">
        <f t="shared" si="33"/>
        <v>0</v>
      </c>
      <c r="F54" s="88"/>
      <c r="G54" s="89">
        <f t="shared" si="34"/>
        <v>0</v>
      </c>
      <c r="H54" s="90">
        <f t="shared" si="35"/>
        <v>0</v>
      </c>
      <c r="I54" s="1330"/>
      <c r="J54" s="91"/>
      <c r="K54" s="1330"/>
      <c r="L54" s="91"/>
      <c r="M54" s="91"/>
      <c r="N54" s="91"/>
      <c r="O54" s="91"/>
      <c r="P54" s="91"/>
      <c r="Q54" s="91"/>
      <c r="R54" s="91"/>
      <c r="S54" s="91"/>
      <c r="T54" s="91"/>
      <c r="U54" s="91"/>
      <c r="V54" s="91"/>
      <c r="W54" s="91"/>
      <c r="X54" s="91"/>
      <c r="Y54" s="91"/>
      <c r="Z54" s="91"/>
      <c r="AA54" s="91"/>
      <c r="AB54" s="91"/>
      <c r="AC54" s="87">
        <f t="shared" si="36"/>
        <v>0</v>
      </c>
      <c r="AD54" s="92"/>
      <c r="AE54" s="92"/>
      <c r="AF54" s="1330"/>
      <c r="AG54" s="92"/>
      <c r="AH54" s="92"/>
      <c r="AI54" s="92"/>
      <c r="AJ54" s="92"/>
      <c r="AK54" s="92"/>
      <c r="AL54" s="92"/>
      <c r="AM54" s="92"/>
      <c r="AN54" s="92"/>
      <c r="AO54" s="92"/>
      <c r="AP54" s="92"/>
      <c r="AQ54" s="92"/>
      <c r="AR54" s="92"/>
      <c r="AS54" s="92"/>
      <c r="AT54" s="93"/>
      <c r="AU54" s="94"/>
      <c r="AV54" s="1878">
        <f t="shared" si="37"/>
        <v>0</v>
      </c>
      <c r="AW54" s="1878">
        <f t="shared" si="38"/>
        <v>0</v>
      </c>
      <c r="AX54" s="187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31"/>
      <c r="C55" s="1332"/>
      <c r="D55" s="80"/>
      <c r="E55" s="87">
        <f t="shared" si="33"/>
        <v>0</v>
      </c>
      <c r="F55" s="88"/>
      <c r="G55" s="89">
        <f t="shared" si="34"/>
        <v>0</v>
      </c>
      <c r="H55" s="90">
        <f t="shared" si="35"/>
        <v>0</v>
      </c>
      <c r="I55" s="1330"/>
      <c r="J55" s="91"/>
      <c r="K55" s="1330"/>
      <c r="L55" s="91"/>
      <c r="M55" s="1330"/>
      <c r="N55" s="91"/>
      <c r="O55" s="91"/>
      <c r="P55" s="91"/>
      <c r="Q55" s="91"/>
      <c r="R55" s="91"/>
      <c r="S55" s="91"/>
      <c r="T55" s="91"/>
      <c r="U55" s="91"/>
      <c r="V55" s="91"/>
      <c r="W55" s="91"/>
      <c r="X55" s="91"/>
      <c r="Y55" s="91"/>
      <c r="Z55" s="91"/>
      <c r="AA55" s="91"/>
      <c r="AB55" s="91"/>
      <c r="AC55" s="87">
        <f t="shared" si="36"/>
        <v>0</v>
      </c>
      <c r="AD55" s="92"/>
      <c r="AE55" s="92"/>
      <c r="AF55" s="1330"/>
      <c r="AG55" s="92"/>
      <c r="AH55" s="92"/>
      <c r="AI55" s="92"/>
      <c r="AJ55" s="92"/>
      <c r="AK55" s="92"/>
      <c r="AL55" s="92"/>
      <c r="AM55" s="92"/>
      <c r="AN55" s="92"/>
      <c r="AO55" s="92"/>
      <c r="AP55" s="92"/>
      <c r="AQ55" s="92"/>
      <c r="AR55" s="92"/>
      <c r="AS55" s="92"/>
      <c r="AT55" s="93"/>
      <c r="AU55" s="94"/>
      <c r="AV55" s="1878">
        <f t="shared" si="37"/>
        <v>0</v>
      </c>
      <c r="AW55" s="1878">
        <f t="shared" si="38"/>
        <v>0</v>
      </c>
      <c r="AX55" s="187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78">
        <f t="shared" si="37"/>
        <v>0</v>
      </c>
      <c r="AW56" s="1878">
        <f t="shared" si="38"/>
        <v>0</v>
      </c>
      <c r="AX56" s="187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78">
        <f t="shared" si="37"/>
        <v>0</v>
      </c>
      <c r="AW57" s="1878">
        <f t="shared" si="38"/>
        <v>0</v>
      </c>
      <c r="AX57" s="187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78">
        <f t="shared" si="37"/>
        <v>0</v>
      </c>
      <c r="AW58" s="1878">
        <f t="shared" si="38"/>
        <v>0</v>
      </c>
      <c r="AX58" s="187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78">
        <f t="shared" si="37"/>
        <v>0</v>
      </c>
      <c r="AW59" s="1878">
        <f t="shared" si="38"/>
        <v>0</v>
      </c>
      <c r="AX59" s="187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78">
        <f t="shared" si="37"/>
        <v>0</v>
      </c>
      <c r="AW60" s="1878">
        <f t="shared" si="38"/>
        <v>0</v>
      </c>
      <c r="AX60" s="187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78">
        <f t="shared" si="37"/>
        <v>0</v>
      </c>
      <c r="AW61" s="1878">
        <f t="shared" si="38"/>
        <v>0</v>
      </c>
      <c r="AX61" s="187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78">
        <f t="shared" si="37"/>
        <v>0</v>
      </c>
      <c r="AW62" s="1878">
        <f t="shared" si="38"/>
        <v>0</v>
      </c>
      <c r="AX62" s="187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78">
        <f t="shared" si="37"/>
        <v>0</v>
      </c>
      <c r="AW63" s="1878">
        <f t="shared" si="38"/>
        <v>0</v>
      </c>
      <c r="AX63" s="187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78">
        <f t="shared" si="37"/>
        <v>0</v>
      </c>
      <c r="AW64" s="1878">
        <f t="shared" si="38"/>
        <v>0</v>
      </c>
      <c r="AX64" s="187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78">
        <f t="shared" si="37"/>
        <v>0</v>
      </c>
      <c r="AW65" s="1878">
        <f t="shared" si="38"/>
        <v>0</v>
      </c>
      <c r="AX65" s="187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78">
        <f t="shared" si="37"/>
        <v>0</v>
      </c>
      <c r="AW66" s="1878">
        <f t="shared" si="38"/>
        <v>0</v>
      </c>
      <c r="AX66" s="187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78">
        <f t="shared" si="37"/>
        <v>0</v>
      </c>
      <c r="AW67" s="1878">
        <f t="shared" si="38"/>
        <v>0</v>
      </c>
      <c r="AX67" s="187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78">
        <f t="shared" si="37"/>
        <v>0</v>
      </c>
      <c r="AW68" s="1878">
        <f t="shared" si="38"/>
        <v>0</v>
      </c>
      <c r="AX68" s="187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78">
        <f t="shared" si="37"/>
        <v>0</v>
      </c>
      <c r="AW69" s="1878">
        <f t="shared" si="38"/>
        <v>0</v>
      </c>
      <c r="AX69" s="187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78">
        <f t="shared" si="37"/>
        <v>0</v>
      </c>
      <c r="AW70" s="1878">
        <f t="shared" si="38"/>
        <v>0</v>
      </c>
      <c r="AX70" s="187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78">
        <f t="shared" si="37"/>
        <v>0</v>
      </c>
      <c r="AW71" s="1878">
        <f t="shared" si="38"/>
        <v>0</v>
      </c>
      <c r="AX71" s="187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78">
        <f t="shared" si="37"/>
        <v>0</v>
      </c>
      <c r="AW72" s="1878">
        <f t="shared" si="38"/>
        <v>0</v>
      </c>
      <c r="AX72" s="187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78">
        <f t="shared" si="37"/>
        <v>0</v>
      </c>
      <c r="AW73" s="1878">
        <f t="shared" si="38"/>
        <v>0</v>
      </c>
      <c r="AX73" s="187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78">
        <f t="shared" si="37"/>
        <v>0</v>
      </c>
      <c r="AW74" s="1878">
        <f t="shared" si="38"/>
        <v>0</v>
      </c>
      <c r="AX74" s="187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78">
        <f t="shared" si="37"/>
        <v>0</v>
      </c>
      <c r="AW75" s="1878">
        <f t="shared" si="38"/>
        <v>0</v>
      </c>
      <c r="AX75" s="187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78">
        <f t="shared" si="37"/>
        <v>0</v>
      </c>
      <c r="AW76" s="1878">
        <f t="shared" si="38"/>
        <v>0</v>
      </c>
      <c r="AX76" s="187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78">
        <f t="shared" si="37"/>
        <v>0</v>
      </c>
      <c r="AW77" s="1878">
        <f t="shared" si="38"/>
        <v>0</v>
      </c>
      <c r="AX77" s="187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78">
        <f t="shared" si="37"/>
        <v>0</v>
      </c>
      <c r="AW78" s="1878">
        <f t="shared" si="38"/>
        <v>0</v>
      </c>
      <c r="AX78" s="187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78">
        <f t="shared" si="37"/>
        <v>0</v>
      </c>
      <c r="AW79" s="1878">
        <f t="shared" si="38"/>
        <v>0</v>
      </c>
      <c r="AX79" s="187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78">
        <f t="shared" si="37"/>
        <v>0</v>
      </c>
      <c r="AW80" s="1878">
        <f t="shared" si="38"/>
        <v>0</v>
      </c>
      <c r="AX80" s="187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78">
        <f t="shared" si="37"/>
        <v>0</v>
      </c>
      <c r="AW81" s="1878">
        <f t="shared" si="38"/>
        <v>0</v>
      </c>
      <c r="AX81" s="187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78">
        <f t="shared" si="37"/>
        <v>0</v>
      </c>
      <c r="AW82" s="1878">
        <f t="shared" si="38"/>
        <v>0</v>
      </c>
      <c r="AX82" s="187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78">
        <f t="shared" si="37"/>
        <v>0</v>
      </c>
      <c r="AW83" s="1878">
        <f t="shared" si="38"/>
        <v>0</v>
      </c>
      <c r="AX83" s="187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78">
        <f t="shared" si="37"/>
        <v>0</v>
      </c>
      <c r="AW84" s="1878">
        <f t="shared" si="38"/>
        <v>0</v>
      </c>
      <c r="AX84" s="187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78">
        <f t="shared" si="37"/>
        <v>0</v>
      </c>
      <c r="AW85" s="1878">
        <f t="shared" si="38"/>
        <v>0</v>
      </c>
      <c r="AX85" s="187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78">
        <f t="shared" si="37"/>
        <v>0</v>
      </c>
      <c r="AW86" s="1878">
        <f t="shared" si="38"/>
        <v>0</v>
      </c>
      <c r="AX86" s="187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78">
        <f t="shared" si="37"/>
        <v>0</v>
      </c>
      <c r="AW87" s="1878">
        <f t="shared" si="38"/>
        <v>0</v>
      </c>
      <c r="AX87" s="187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78">
        <f t="shared" si="37"/>
        <v>0</v>
      </c>
      <c r="AW88" s="1878">
        <f t="shared" si="38"/>
        <v>0</v>
      </c>
      <c r="AX88" s="187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78">
        <f t="shared" si="37"/>
        <v>0</v>
      </c>
      <c r="AW89" s="1878">
        <f t="shared" si="38"/>
        <v>0</v>
      </c>
      <c r="AX89" s="187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78">
        <f t="shared" si="37"/>
        <v>0</v>
      </c>
      <c r="AW90" s="1878">
        <f t="shared" si="38"/>
        <v>0</v>
      </c>
      <c r="AX90" s="187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78">
        <f t="shared" si="37"/>
        <v>0</v>
      </c>
      <c r="AW91" s="1878">
        <f t="shared" si="38"/>
        <v>0</v>
      </c>
      <c r="AX91" s="187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78">
        <f t="shared" si="37"/>
        <v>0</v>
      </c>
      <c r="AW92" s="1878">
        <f t="shared" si="38"/>
        <v>0</v>
      </c>
      <c r="AX92" s="187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78">
        <f t="shared" si="37"/>
        <v>0</v>
      </c>
      <c r="AW93" s="1878">
        <f t="shared" si="38"/>
        <v>0</v>
      </c>
      <c r="AX93" s="187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78">
        <f t="shared" si="37"/>
        <v>0</v>
      </c>
      <c r="AW94" s="1878">
        <f t="shared" si="38"/>
        <v>0</v>
      </c>
      <c r="AX94" s="187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78">
        <f t="shared" si="37"/>
        <v>0</v>
      </c>
      <c r="AW95" s="1878">
        <f t="shared" si="38"/>
        <v>0</v>
      </c>
      <c r="AX95" s="187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78">
        <f t="shared" si="37"/>
        <v>0</v>
      </c>
      <c r="AW96" s="1878">
        <f t="shared" si="38"/>
        <v>0</v>
      </c>
      <c r="AX96" s="187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78">
        <f t="shared" si="37"/>
        <v>0</v>
      </c>
      <c r="AW97" s="1878">
        <f t="shared" si="38"/>
        <v>0</v>
      </c>
      <c r="AX97" s="187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78">
        <f t="shared" si="37"/>
        <v>0</v>
      </c>
      <c r="AW98" s="1878">
        <f t="shared" si="38"/>
        <v>0</v>
      </c>
      <c r="AX98" s="187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78">
        <f t="shared" si="37"/>
        <v>0</v>
      </c>
      <c r="AW99" s="1878">
        <f t="shared" si="38"/>
        <v>0</v>
      </c>
      <c r="AX99" s="187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78">
        <f t="shared" si="37"/>
        <v>0</v>
      </c>
      <c r="AW100" s="1878">
        <f t="shared" si="38"/>
        <v>0</v>
      </c>
      <c r="AX100" s="187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78">
        <f t="shared" si="37"/>
        <v>0</v>
      </c>
      <c r="AW101" s="1878">
        <f t="shared" si="38"/>
        <v>0</v>
      </c>
      <c r="AX101" s="187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78">
        <f t="shared" si="37"/>
        <v>0</v>
      </c>
      <c r="AW102" s="1878">
        <f t="shared" si="38"/>
        <v>0</v>
      </c>
      <c r="AX102" s="187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78">
        <f t="shared" si="37"/>
        <v>0</v>
      </c>
      <c r="AW103" s="1878">
        <f t="shared" si="38"/>
        <v>0</v>
      </c>
      <c r="AX103" s="187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78">
        <f t="shared" si="37"/>
        <v>0</v>
      </c>
      <c r="AW104" s="1878">
        <f t="shared" si="38"/>
        <v>0</v>
      </c>
      <c r="AX104" s="187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78">
        <f t="shared" si="37"/>
        <v>0</v>
      </c>
      <c r="AW105" s="1878">
        <f t="shared" si="38"/>
        <v>0</v>
      </c>
      <c r="AX105" s="187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78">
        <f t="shared" si="37"/>
        <v>0</v>
      </c>
      <c r="AW106" s="1878">
        <f t="shared" si="38"/>
        <v>0</v>
      </c>
      <c r="AX106" s="187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78">
        <f t="shared" si="37"/>
        <v>0</v>
      </c>
      <c r="AW107" s="1878">
        <f t="shared" si="38"/>
        <v>0</v>
      </c>
      <c r="AX107" s="187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78">
        <f t="shared" si="37"/>
        <v>0</v>
      </c>
      <c r="AW108" s="1878">
        <f t="shared" si="38"/>
        <v>0</v>
      </c>
      <c r="AX108" s="187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78">
        <f t="shared" si="37"/>
        <v>0</v>
      </c>
      <c r="AW109" s="1878">
        <f t="shared" si="38"/>
        <v>0</v>
      </c>
      <c r="AX109" s="187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78">
        <f t="shared" si="37"/>
        <v>0</v>
      </c>
      <c r="AW110" s="1878">
        <f t="shared" si="38"/>
        <v>0</v>
      </c>
      <c r="AX110" s="187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78">
        <f t="shared" si="37"/>
        <v>0</v>
      </c>
      <c r="AW111" s="1878">
        <f t="shared" si="38"/>
        <v>0</v>
      </c>
      <c r="AX111" s="187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78">
        <f t="shared" si="37"/>
        <v>0</v>
      </c>
      <c r="AW112" s="1878">
        <f t="shared" si="38"/>
        <v>0</v>
      </c>
      <c r="AX112" s="187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29"/>
      <c r="C113" s="1330"/>
      <c r="D113" s="80"/>
      <c r="E113" s="87">
        <f t="shared" ref="E113:E144" si="87">IF($C$3="是",ROUND($A$3*G113/$B$3,2),ROUND($A$3*(G113-AT113)/$B$3,2))</f>
        <v>0</v>
      </c>
      <c r="F113" s="88"/>
      <c r="G113" s="89">
        <f t="shared" si="62"/>
        <v>0</v>
      </c>
      <c r="H113" s="90">
        <f t="shared" si="63"/>
        <v>0</v>
      </c>
      <c r="I113" s="1332"/>
      <c r="J113" s="91"/>
      <c r="K113" s="133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33"/>
      <c r="AG113" s="92"/>
      <c r="AH113" s="92"/>
      <c r="AI113" s="92"/>
      <c r="AJ113" s="92"/>
      <c r="AK113" s="92"/>
      <c r="AL113" s="92"/>
      <c r="AM113" s="92"/>
      <c r="AN113" s="1307"/>
      <c r="AO113" s="92"/>
      <c r="AP113" s="92"/>
      <c r="AQ113" s="92"/>
      <c r="AR113" s="92"/>
      <c r="AS113" s="92"/>
      <c r="AT113" s="93"/>
      <c r="AU113" s="94"/>
      <c r="AV113" s="1878">
        <f t="shared" ref="AV113:AV144" si="88">A113</f>
        <v>0</v>
      </c>
      <c r="AW113" s="1878">
        <f t="shared" ref="AW113:AW144" si="89">B113</f>
        <v>0</v>
      </c>
      <c r="AX113" s="187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29"/>
      <c r="C114" s="1330"/>
      <c r="D114" s="80"/>
      <c r="E114" s="87">
        <f t="shared" si="87"/>
        <v>0</v>
      </c>
      <c r="F114" s="88"/>
      <c r="G114" s="89">
        <f t="shared" si="62"/>
        <v>0</v>
      </c>
      <c r="H114" s="90">
        <f t="shared" si="63"/>
        <v>0</v>
      </c>
      <c r="I114" s="1332"/>
      <c r="J114" s="91"/>
      <c r="K114" s="1332"/>
      <c r="L114" s="91"/>
      <c r="M114" s="1307"/>
      <c r="N114" s="91"/>
      <c r="O114" s="91"/>
      <c r="P114" s="91"/>
      <c r="Q114" s="91"/>
      <c r="R114" s="91"/>
      <c r="S114" s="91"/>
      <c r="T114" s="91"/>
      <c r="U114" s="91"/>
      <c r="V114" s="91"/>
      <c r="W114" s="91"/>
      <c r="X114" s="91"/>
      <c r="Y114" s="91"/>
      <c r="Z114" s="91"/>
      <c r="AA114" s="91"/>
      <c r="AB114" s="91"/>
      <c r="AC114" s="87">
        <f t="shared" si="64"/>
        <v>0</v>
      </c>
      <c r="AD114" s="1307"/>
      <c r="AE114" s="92"/>
      <c r="AF114" s="1333"/>
      <c r="AG114" s="92"/>
      <c r="AH114" s="92"/>
      <c r="AI114" s="92"/>
      <c r="AJ114" s="92"/>
      <c r="AK114" s="92"/>
      <c r="AL114" s="1307"/>
      <c r="AM114" s="92"/>
      <c r="AN114" s="1307"/>
      <c r="AO114" s="92"/>
      <c r="AP114" s="92"/>
      <c r="AQ114" s="92"/>
      <c r="AR114" s="92"/>
      <c r="AS114" s="92"/>
      <c r="AT114" s="93"/>
      <c r="AU114" s="94"/>
      <c r="AV114" s="1878">
        <f t="shared" si="88"/>
        <v>0</v>
      </c>
      <c r="AW114" s="1878">
        <f t="shared" si="89"/>
        <v>0</v>
      </c>
      <c r="AX114" s="187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29"/>
      <c r="C115" s="1330"/>
      <c r="D115" s="80"/>
      <c r="E115" s="87">
        <f t="shared" si="87"/>
        <v>0</v>
      </c>
      <c r="F115" s="88"/>
      <c r="G115" s="89">
        <f t="shared" si="62"/>
        <v>0</v>
      </c>
      <c r="H115" s="90">
        <f t="shared" si="63"/>
        <v>0</v>
      </c>
      <c r="I115" s="1332"/>
      <c r="J115" s="91"/>
      <c r="K115" s="1332"/>
      <c r="L115" s="91"/>
      <c r="M115" s="1307"/>
      <c r="N115" s="91"/>
      <c r="O115" s="91"/>
      <c r="P115" s="91"/>
      <c r="Q115" s="91"/>
      <c r="R115" s="91"/>
      <c r="S115" s="91"/>
      <c r="T115" s="91"/>
      <c r="U115" s="91"/>
      <c r="V115" s="91"/>
      <c r="W115" s="91"/>
      <c r="X115" s="91"/>
      <c r="Y115" s="91"/>
      <c r="Z115" s="91"/>
      <c r="AA115" s="91"/>
      <c r="AB115" s="91"/>
      <c r="AC115" s="87">
        <f t="shared" si="64"/>
        <v>0</v>
      </c>
      <c r="AD115" s="92"/>
      <c r="AE115" s="92"/>
      <c r="AF115" s="1333"/>
      <c r="AG115" s="92"/>
      <c r="AH115" s="92"/>
      <c r="AI115" s="92"/>
      <c r="AJ115" s="92"/>
      <c r="AK115" s="92"/>
      <c r="AL115" s="1307"/>
      <c r="AM115" s="92"/>
      <c r="AN115" s="1307"/>
      <c r="AO115" s="92"/>
      <c r="AP115" s="92"/>
      <c r="AQ115" s="92"/>
      <c r="AR115" s="92"/>
      <c r="AS115" s="92"/>
      <c r="AT115" s="93"/>
      <c r="AU115" s="94"/>
      <c r="AV115" s="1878">
        <f t="shared" si="88"/>
        <v>0</v>
      </c>
      <c r="AW115" s="1878">
        <f t="shared" si="89"/>
        <v>0</v>
      </c>
      <c r="AX115" s="187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29"/>
      <c r="C116" s="1330"/>
      <c r="D116" s="80"/>
      <c r="E116" s="87">
        <f t="shared" si="87"/>
        <v>0</v>
      </c>
      <c r="F116" s="88"/>
      <c r="G116" s="89">
        <f t="shared" si="62"/>
        <v>0</v>
      </c>
      <c r="H116" s="90">
        <f t="shared" si="63"/>
        <v>0</v>
      </c>
      <c r="I116" s="1332"/>
      <c r="J116" s="91"/>
      <c r="K116" s="1332"/>
      <c r="L116" s="91"/>
      <c r="M116" s="91"/>
      <c r="N116" s="91"/>
      <c r="O116" s="1307"/>
      <c r="P116" s="91"/>
      <c r="Q116" s="91"/>
      <c r="R116" s="91"/>
      <c r="S116" s="91"/>
      <c r="T116" s="91"/>
      <c r="U116" s="91"/>
      <c r="V116" s="91"/>
      <c r="W116" s="91"/>
      <c r="X116" s="91"/>
      <c r="Y116" s="91"/>
      <c r="Z116" s="91"/>
      <c r="AA116" s="91"/>
      <c r="AB116" s="91"/>
      <c r="AC116" s="87">
        <f t="shared" si="64"/>
        <v>0</v>
      </c>
      <c r="AD116" s="92"/>
      <c r="AE116" s="92"/>
      <c r="AF116" s="1333"/>
      <c r="AG116" s="92"/>
      <c r="AH116" s="92"/>
      <c r="AI116" s="92"/>
      <c r="AJ116" s="92"/>
      <c r="AK116" s="92"/>
      <c r="AL116" s="92"/>
      <c r="AM116" s="92"/>
      <c r="AN116" s="1307"/>
      <c r="AO116" s="92"/>
      <c r="AP116" s="92"/>
      <c r="AQ116" s="92"/>
      <c r="AR116" s="92"/>
      <c r="AS116" s="92"/>
      <c r="AT116" s="93"/>
      <c r="AU116" s="94"/>
      <c r="AV116" s="1878">
        <f t="shared" si="88"/>
        <v>0</v>
      </c>
      <c r="AW116" s="1878">
        <f t="shared" si="89"/>
        <v>0</v>
      </c>
      <c r="AX116" s="187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29"/>
      <c r="C117" s="1330"/>
      <c r="D117" s="80"/>
      <c r="E117" s="87">
        <f t="shared" si="87"/>
        <v>0</v>
      </c>
      <c r="F117" s="88"/>
      <c r="G117" s="89">
        <f t="shared" si="62"/>
        <v>0</v>
      </c>
      <c r="H117" s="90">
        <f t="shared" si="63"/>
        <v>0</v>
      </c>
      <c r="I117" s="1332"/>
      <c r="J117" s="91"/>
      <c r="K117" s="133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33"/>
      <c r="AG117" s="92"/>
      <c r="AH117" s="92"/>
      <c r="AI117" s="92"/>
      <c r="AJ117" s="92"/>
      <c r="AK117" s="92"/>
      <c r="AL117" s="92"/>
      <c r="AM117" s="92"/>
      <c r="AN117" s="92"/>
      <c r="AO117" s="92"/>
      <c r="AP117" s="92"/>
      <c r="AQ117" s="92"/>
      <c r="AR117" s="92"/>
      <c r="AS117" s="92"/>
      <c r="AT117" s="93"/>
      <c r="AU117" s="94"/>
      <c r="AV117" s="1878">
        <f t="shared" si="88"/>
        <v>0</v>
      </c>
      <c r="AW117" s="1878">
        <f t="shared" si="89"/>
        <v>0</v>
      </c>
      <c r="AX117" s="187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29"/>
      <c r="C118" s="1330"/>
      <c r="D118" s="80"/>
      <c r="E118" s="87">
        <f t="shared" si="87"/>
        <v>0</v>
      </c>
      <c r="F118" s="88"/>
      <c r="G118" s="89">
        <f t="shared" si="62"/>
        <v>0</v>
      </c>
      <c r="H118" s="90">
        <f t="shared" si="63"/>
        <v>0</v>
      </c>
      <c r="I118" s="1332"/>
      <c r="J118" s="91"/>
      <c r="K118" s="133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33"/>
      <c r="AG118" s="92"/>
      <c r="AH118" s="92"/>
      <c r="AI118" s="92"/>
      <c r="AJ118" s="92"/>
      <c r="AK118" s="92"/>
      <c r="AL118" s="92"/>
      <c r="AM118" s="92"/>
      <c r="AN118" s="92"/>
      <c r="AO118" s="92"/>
      <c r="AP118" s="92"/>
      <c r="AQ118" s="92"/>
      <c r="AR118" s="92"/>
      <c r="AS118" s="92"/>
      <c r="AT118" s="93"/>
      <c r="AU118" s="94"/>
      <c r="AV118" s="1878">
        <f t="shared" si="88"/>
        <v>0</v>
      </c>
      <c r="AW118" s="1878">
        <f t="shared" si="89"/>
        <v>0</v>
      </c>
      <c r="AX118" s="187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29"/>
      <c r="C119" s="1330"/>
      <c r="D119" s="80"/>
      <c r="E119" s="87">
        <f t="shared" si="87"/>
        <v>0</v>
      </c>
      <c r="F119" s="88"/>
      <c r="G119" s="89">
        <f t="shared" si="62"/>
        <v>0</v>
      </c>
      <c r="H119" s="90">
        <f t="shared" si="63"/>
        <v>0</v>
      </c>
      <c r="I119" s="1332"/>
      <c r="J119" s="91"/>
      <c r="K119" s="133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33"/>
      <c r="AG119" s="92"/>
      <c r="AH119" s="92"/>
      <c r="AI119" s="92"/>
      <c r="AJ119" s="92"/>
      <c r="AK119" s="92"/>
      <c r="AL119" s="92"/>
      <c r="AM119" s="92"/>
      <c r="AN119" s="92"/>
      <c r="AO119" s="92"/>
      <c r="AP119" s="92"/>
      <c r="AQ119" s="92"/>
      <c r="AR119" s="92"/>
      <c r="AS119" s="92"/>
      <c r="AT119" s="93"/>
      <c r="AU119" s="94"/>
      <c r="AV119" s="1878">
        <f t="shared" si="88"/>
        <v>0</v>
      </c>
      <c r="AW119" s="1878">
        <f t="shared" si="89"/>
        <v>0</v>
      </c>
      <c r="AX119" s="187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29"/>
      <c r="C120" s="1330"/>
      <c r="D120" s="80"/>
      <c r="E120" s="87">
        <f t="shared" si="87"/>
        <v>0</v>
      </c>
      <c r="F120" s="88"/>
      <c r="G120" s="89">
        <f t="shared" si="62"/>
        <v>0</v>
      </c>
      <c r="H120" s="90">
        <f t="shared" si="63"/>
        <v>0</v>
      </c>
      <c r="I120" s="1332"/>
      <c r="J120" s="91"/>
      <c r="K120" s="133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32"/>
      <c r="AG120" s="92"/>
      <c r="AH120" s="92"/>
      <c r="AI120" s="92"/>
      <c r="AJ120" s="92"/>
      <c r="AK120" s="92"/>
      <c r="AL120" s="92"/>
      <c r="AM120" s="92"/>
      <c r="AN120" s="92"/>
      <c r="AO120" s="92"/>
      <c r="AP120" s="92"/>
      <c r="AQ120" s="92"/>
      <c r="AR120" s="92"/>
      <c r="AS120" s="92"/>
      <c r="AT120" s="93"/>
      <c r="AU120" s="94"/>
      <c r="AV120" s="1878">
        <f t="shared" si="88"/>
        <v>0</v>
      </c>
      <c r="AW120" s="1878">
        <f t="shared" si="89"/>
        <v>0</v>
      </c>
      <c r="AX120" s="187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31"/>
      <c r="C121" s="1332"/>
      <c r="D121" s="80"/>
      <c r="E121" s="87">
        <f t="shared" si="87"/>
        <v>0</v>
      </c>
      <c r="F121" s="88"/>
      <c r="G121" s="89">
        <f t="shared" si="62"/>
        <v>0</v>
      </c>
      <c r="H121" s="90">
        <f t="shared" si="63"/>
        <v>0</v>
      </c>
      <c r="I121" s="1332"/>
      <c r="J121" s="91"/>
      <c r="K121" s="133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32"/>
      <c r="AG121" s="92"/>
      <c r="AH121" s="92"/>
      <c r="AI121" s="92"/>
      <c r="AJ121" s="92"/>
      <c r="AK121" s="92"/>
      <c r="AL121" s="92"/>
      <c r="AM121" s="92"/>
      <c r="AN121" s="92"/>
      <c r="AO121" s="92"/>
      <c r="AP121" s="92"/>
      <c r="AQ121" s="92"/>
      <c r="AR121" s="92"/>
      <c r="AS121" s="92"/>
      <c r="AT121" s="93"/>
      <c r="AU121" s="94"/>
      <c r="AV121" s="1878">
        <f t="shared" si="88"/>
        <v>0</v>
      </c>
      <c r="AW121" s="1878">
        <f t="shared" si="89"/>
        <v>0</v>
      </c>
      <c r="AX121" s="187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29"/>
      <c r="C122" s="1330"/>
      <c r="D122" s="80"/>
      <c r="E122" s="87">
        <f t="shared" si="87"/>
        <v>0</v>
      </c>
      <c r="F122" s="88"/>
      <c r="G122" s="89">
        <f t="shared" si="62"/>
        <v>0</v>
      </c>
      <c r="H122" s="90">
        <f t="shared" si="63"/>
        <v>0</v>
      </c>
      <c r="I122" s="1332"/>
      <c r="J122" s="91"/>
      <c r="K122" s="133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32"/>
      <c r="AG122" s="92"/>
      <c r="AH122" s="92"/>
      <c r="AI122" s="92"/>
      <c r="AJ122" s="92"/>
      <c r="AK122" s="92"/>
      <c r="AL122" s="92"/>
      <c r="AM122" s="92"/>
      <c r="AN122" s="92"/>
      <c r="AO122" s="92"/>
      <c r="AP122" s="92"/>
      <c r="AQ122" s="92"/>
      <c r="AR122" s="92"/>
      <c r="AS122" s="92"/>
      <c r="AT122" s="93"/>
      <c r="AU122" s="94"/>
      <c r="AV122" s="1878">
        <f t="shared" si="88"/>
        <v>0</v>
      </c>
      <c r="AW122" s="1878">
        <f t="shared" si="89"/>
        <v>0</v>
      </c>
      <c r="AX122" s="187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29"/>
      <c r="C123" s="1330"/>
      <c r="D123" s="80"/>
      <c r="E123" s="87">
        <f t="shared" si="87"/>
        <v>0</v>
      </c>
      <c r="F123" s="88"/>
      <c r="G123" s="89">
        <f t="shared" si="62"/>
        <v>0</v>
      </c>
      <c r="H123" s="90">
        <f t="shared" si="63"/>
        <v>0</v>
      </c>
      <c r="I123" s="1332"/>
      <c r="J123" s="91"/>
      <c r="K123" s="133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32"/>
      <c r="AG123" s="92"/>
      <c r="AH123" s="92"/>
      <c r="AI123" s="92"/>
      <c r="AJ123" s="92"/>
      <c r="AK123" s="92"/>
      <c r="AL123" s="92"/>
      <c r="AM123" s="92"/>
      <c r="AN123" s="92"/>
      <c r="AO123" s="92"/>
      <c r="AP123" s="92"/>
      <c r="AQ123" s="92"/>
      <c r="AR123" s="92"/>
      <c r="AS123" s="92"/>
      <c r="AT123" s="93"/>
      <c r="AU123" s="94"/>
      <c r="AV123" s="1878">
        <f t="shared" si="88"/>
        <v>0</v>
      </c>
      <c r="AW123" s="1878">
        <f t="shared" si="89"/>
        <v>0</v>
      </c>
      <c r="AX123" s="187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29"/>
      <c r="C124" s="1330"/>
      <c r="D124" s="80"/>
      <c r="E124" s="87">
        <f t="shared" si="87"/>
        <v>0</v>
      </c>
      <c r="F124" s="88"/>
      <c r="G124" s="89">
        <f t="shared" si="62"/>
        <v>0</v>
      </c>
      <c r="H124" s="90">
        <f t="shared" si="63"/>
        <v>0</v>
      </c>
      <c r="I124" s="1332"/>
      <c r="J124" s="91"/>
      <c r="K124" s="133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32"/>
      <c r="AG124" s="92"/>
      <c r="AH124" s="92"/>
      <c r="AI124" s="92"/>
      <c r="AJ124" s="92"/>
      <c r="AK124" s="92"/>
      <c r="AL124" s="92"/>
      <c r="AM124" s="92"/>
      <c r="AN124" s="92"/>
      <c r="AO124" s="92"/>
      <c r="AP124" s="92"/>
      <c r="AQ124" s="92"/>
      <c r="AR124" s="92"/>
      <c r="AS124" s="92"/>
      <c r="AT124" s="93"/>
      <c r="AU124" s="94"/>
      <c r="AV124" s="1878">
        <f t="shared" si="88"/>
        <v>0</v>
      </c>
      <c r="AW124" s="1878">
        <f t="shared" si="89"/>
        <v>0</v>
      </c>
      <c r="AX124" s="187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29"/>
      <c r="C125" s="1330"/>
      <c r="D125" s="80"/>
      <c r="E125" s="87">
        <f t="shared" si="87"/>
        <v>0</v>
      </c>
      <c r="F125" s="88"/>
      <c r="G125" s="89">
        <f t="shared" si="62"/>
        <v>0</v>
      </c>
      <c r="H125" s="90">
        <f t="shared" si="63"/>
        <v>0</v>
      </c>
      <c r="I125" s="1332"/>
      <c r="J125" s="91"/>
      <c r="K125" s="133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32"/>
      <c r="AG125" s="92"/>
      <c r="AH125" s="92"/>
      <c r="AI125" s="92"/>
      <c r="AJ125" s="92"/>
      <c r="AK125" s="92"/>
      <c r="AL125" s="92"/>
      <c r="AM125" s="92"/>
      <c r="AN125" s="92"/>
      <c r="AO125" s="92"/>
      <c r="AP125" s="92"/>
      <c r="AQ125" s="92"/>
      <c r="AR125" s="92"/>
      <c r="AS125" s="92"/>
      <c r="AT125" s="93"/>
      <c r="AU125" s="94"/>
      <c r="AV125" s="1878">
        <f t="shared" si="88"/>
        <v>0</v>
      </c>
      <c r="AW125" s="1878">
        <f t="shared" si="89"/>
        <v>0</v>
      </c>
      <c r="AX125" s="187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29"/>
      <c r="C126" s="1330"/>
      <c r="D126" s="80"/>
      <c r="E126" s="87">
        <f t="shared" si="87"/>
        <v>0</v>
      </c>
      <c r="F126" s="88"/>
      <c r="G126" s="89">
        <f t="shared" si="62"/>
        <v>0</v>
      </c>
      <c r="H126" s="90">
        <f t="shared" si="63"/>
        <v>0</v>
      </c>
      <c r="I126" s="1332"/>
      <c r="J126" s="91"/>
      <c r="K126" s="133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32"/>
      <c r="AG126" s="92"/>
      <c r="AH126" s="92"/>
      <c r="AI126" s="92"/>
      <c r="AJ126" s="92"/>
      <c r="AK126" s="92"/>
      <c r="AL126" s="92"/>
      <c r="AM126" s="92"/>
      <c r="AN126" s="92"/>
      <c r="AO126" s="92"/>
      <c r="AP126" s="92"/>
      <c r="AQ126" s="92"/>
      <c r="AR126" s="92"/>
      <c r="AS126" s="92"/>
      <c r="AT126" s="93"/>
      <c r="AU126" s="94"/>
      <c r="AV126" s="1878">
        <f t="shared" si="88"/>
        <v>0</v>
      </c>
      <c r="AW126" s="1878">
        <f t="shared" si="89"/>
        <v>0</v>
      </c>
      <c r="AX126" s="187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29"/>
      <c r="C127" s="1330"/>
      <c r="D127" s="80"/>
      <c r="E127" s="87">
        <f t="shared" si="87"/>
        <v>0</v>
      </c>
      <c r="F127" s="88"/>
      <c r="G127" s="89">
        <f t="shared" si="62"/>
        <v>0</v>
      </c>
      <c r="H127" s="90">
        <f t="shared" si="63"/>
        <v>0</v>
      </c>
      <c r="I127" s="1332"/>
      <c r="J127" s="91"/>
      <c r="K127" s="133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32"/>
      <c r="AG127" s="92"/>
      <c r="AH127" s="92"/>
      <c r="AI127" s="92"/>
      <c r="AJ127" s="92"/>
      <c r="AK127" s="92"/>
      <c r="AL127" s="92"/>
      <c r="AM127" s="92"/>
      <c r="AN127" s="92"/>
      <c r="AO127" s="92"/>
      <c r="AP127" s="92"/>
      <c r="AQ127" s="92"/>
      <c r="AR127" s="92"/>
      <c r="AS127" s="92"/>
      <c r="AT127" s="93"/>
      <c r="AU127" s="94"/>
      <c r="AV127" s="1878">
        <f t="shared" si="88"/>
        <v>0</v>
      </c>
      <c r="AW127" s="1878">
        <f t="shared" si="89"/>
        <v>0</v>
      </c>
      <c r="AX127" s="187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29"/>
      <c r="C128" s="1330"/>
      <c r="D128" s="80"/>
      <c r="E128" s="87">
        <f t="shared" si="87"/>
        <v>0</v>
      </c>
      <c r="F128" s="88"/>
      <c r="G128" s="89">
        <f t="shared" si="62"/>
        <v>0</v>
      </c>
      <c r="H128" s="90">
        <f t="shared" si="63"/>
        <v>0</v>
      </c>
      <c r="I128" s="1332"/>
      <c r="J128" s="91"/>
      <c r="K128" s="133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32"/>
      <c r="AG128" s="92"/>
      <c r="AH128" s="92"/>
      <c r="AI128" s="92"/>
      <c r="AJ128" s="92"/>
      <c r="AK128" s="92"/>
      <c r="AL128" s="92"/>
      <c r="AM128" s="92"/>
      <c r="AN128" s="92"/>
      <c r="AO128" s="92"/>
      <c r="AP128" s="92"/>
      <c r="AQ128" s="92"/>
      <c r="AR128" s="92"/>
      <c r="AS128" s="92"/>
      <c r="AT128" s="93"/>
      <c r="AU128" s="94"/>
      <c r="AV128" s="1878">
        <f t="shared" si="88"/>
        <v>0</v>
      </c>
      <c r="AW128" s="1878">
        <f t="shared" si="89"/>
        <v>0</v>
      </c>
      <c r="AX128" s="187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29"/>
      <c r="C129" s="1330"/>
      <c r="D129" s="80"/>
      <c r="E129" s="87">
        <f t="shared" si="87"/>
        <v>0</v>
      </c>
      <c r="F129" s="88"/>
      <c r="G129" s="89">
        <f t="shared" si="62"/>
        <v>0</v>
      </c>
      <c r="H129" s="90">
        <f t="shared" si="63"/>
        <v>0</v>
      </c>
      <c r="I129" s="1332"/>
      <c r="J129" s="91"/>
      <c r="K129" s="133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32"/>
      <c r="AG129" s="92"/>
      <c r="AH129" s="92"/>
      <c r="AI129" s="92"/>
      <c r="AJ129" s="92"/>
      <c r="AK129" s="92"/>
      <c r="AL129" s="92"/>
      <c r="AM129" s="92"/>
      <c r="AN129" s="92"/>
      <c r="AO129" s="92"/>
      <c r="AP129" s="92"/>
      <c r="AQ129" s="92"/>
      <c r="AR129" s="92"/>
      <c r="AS129" s="92"/>
      <c r="AT129" s="93"/>
      <c r="AU129" s="94"/>
      <c r="AV129" s="1878">
        <f t="shared" si="88"/>
        <v>0</v>
      </c>
      <c r="AW129" s="1878">
        <f t="shared" si="89"/>
        <v>0</v>
      </c>
      <c r="AX129" s="187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29"/>
      <c r="C130" s="1330"/>
      <c r="D130" s="80"/>
      <c r="E130" s="87">
        <f t="shared" si="87"/>
        <v>0</v>
      </c>
      <c r="F130" s="88"/>
      <c r="G130" s="89">
        <f t="shared" si="62"/>
        <v>0</v>
      </c>
      <c r="H130" s="90">
        <f t="shared" si="63"/>
        <v>0</v>
      </c>
      <c r="I130" s="1332"/>
      <c r="J130" s="91"/>
      <c r="K130" s="133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32"/>
      <c r="AG130" s="92"/>
      <c r="AH130" s="92"/>
      <c r="AI130" s="92"/>
      <c r="AJ130" s="92"/>
      <c r="AK130" s="92"/>
      <c r="AL130" s="92"/>
      <c r="AM130" s="92"/>
      <c r="AN130" s="92"/>
      <c r="AO130" s="92"/>
      <c r="AP130" s="92"/>
      <c r="AQ130" s="92"/>
      <c r="AR130" s="92"/>
      <c r="AS130" s="92"/>
      <c r="AT130" s="93"/>
      <c r="AU130" s="94"/>
      <c r="AV130" s="1878">
        <f t="shared" si="88"/>
        <v>0</v>
      </c>
      <c r="AW130" s="1878">
        <f t="shared" si="89"/>
        <v>0</v>
      </c>
      <c r="AX130" s="187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29"/>
      <c r="C131" s="1330"/>
      <c r="D131" s="80"/>
      <c r="E131" s="87">
        <f t="shared" si="87"/>
        <v>0</v>
      </c>
      <c r="F131" s="88"/>
      <c r="G131" s="89">
        <f t="shared" si="62"/>
        <v>0</v>
      </c>
      <c r="H131" s="90">
        <f t="shared" si="63"/>
        <v>0</v>
      </c>
      <c r="I131" s="1332"/>
      <c r="J131" s="91"/>
      <c r="K131" s="133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32"/>
      <c r="AG131" s="92"/>
      <c r="AH131" s="92"/>
      <c r="AI131" s="92"/>
      <c r="AJ131" s="92"/>
      <c r="AK131" s="92"/>
      <c r="AL131" s="92"/>
      <c r="AM131" s="92"/>
      <c r="AN131" s="92"/>
      <c r="AO131" s="92"/>
      <c r="AP131" s="92"/>
      <c r="AQ131" s="92"/>
      <c r="AR131" s="92"/>
      <c r="AS131" s="92"/>
      <c r="AT131" s="93"/>
      <c r="AU131" s="94"/>
      <c r="AV131" s="1878">
        <f t="shared" si="88"/>
        <v>0</v>
      </c>
      <c r="AW131" s="1878">
        <f t="shared" si="89"/>
        <v>0</v>
      </c>
      <c r="AX131" s="187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29"/>
      <c r="C132" s="1330"/>
      <c r="D132" s="80"/>
      <c r="E132" s="87">
        <f t="shared" si="87"/>
        <v>0</v>
      </c>
      <c r="F132" s="88"/>
      <c r="G132" s="89">
        <f t="shared" si="62"/>
        <v>0</v>
      </c>
      <c r="H132" s="90">
        <f t="shared" si="63"/>
        <v>0</v>
      </c>
      <c r="I132" s="1332"/>
      <c r="J132" s="91"/>
      <c r="K132" s="133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32"/>
      <c r="AG132" s="92"/>
      <c r="AH132" s="92"/>
      <c r="AI132" s="92"/>
      <c r="AJ132" s="92"/>
      <c r="AK132" s="92"/>
      <c r="AL132" s="92"/>
      <c r="AM132" s="92"/>
      <c r="AN132" s="92"/>
      <c r="AO132" s="92"/>
      <c r="AP132" s="92"/>
      <c r="AQ132" s="92"/>
      <c r="AR132" s="92"/>
      <c r="AS132" s="92"/>
      <c r="AT132" s="93"/>
      <c r="AU132" s="94"/>
      <c r="AV132" s="1878">
        <f t="shared" si="88"/>
        <v>0</v>
      </c>
      <c r="AW132" s="1878">
        <f t="shared" si="89"/>
        <v>0</v>
      </c>
      <c r="AX132" s="187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29"/>
      <c r="C133" s="1330"/>
      <c r="D133" s="80"/>
      <c r="E133" s="87">
        <f t="shared" si="87"/>
        <v>0</v>
      </c>
      <c r="F133" s="88"/>
      <c r="G133" s="89">
        <f t="shared" si="62"/>
        <v>0</v>
      </c>
      <c r="H133" s="90">
        <f t="shared" si="63"/>
        <v>0</v>
      </c>
      <c r="I133" s="1332"/>
      <c r="J133" s="91"/>
      <c r="K133" s="133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32"/>
      <c r="AG133" s="92"/>
      <c r="AH133" s="92"/>
      <c r="AI133" s="92"/>
      <c r="AJ133" s="92"/>
      <c r="AK133" s="92"/>
      <c r="AL133" s="92"/>
      <c r="AM133" s="92"/>
      <c r="AN133" s="92"/>
      <c r="AO133" s="92"/>
      <c r="AP133" s="92"/>
      <c r="AQ133" s="92"/>
      <c r="AR133" s="92"/>
      <c r="AS133" s="92"/>
      <c r="AT133" s="93"/>
      <c r="AU133" s="94"/>
      <c r="AV133" s="1878">
        <f t="shared" si="88"/>
        <v>0</v>
      </c>
      <c r="AW133" s="1878">
        <f t="shared" si="89"/>
        <v>0</v>
      </c>
      <c r="AX133" s="187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29"/>
      <c r="C134" s="1330"/>
      <c r="D134" s="80"/>
      <c r="E134" s="87">
        <f t="shared" si="87"/>
        <v>0</v>
      </c>
      <c r="F134" s="88"/>
      <c r="G134" s="89">
        <f t="shared" si="62"/>
        <v>0</v>
      </c>
      <c r="H134" s="90">
        <f t="shared" si="63"/>
        <v>0</v>
      </c>
      <c r="I134" s="1332"/>
      <c r="J134" s="91"/>
      <c r="K134" s="133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32"/>
      <c r="AG134" s="92"/>
      <c r="AH134" s="92"/>
      <c r="AI134" s="92"/>
      <c r="AJ134" s="92"/>
      <c r="AK134" s="92"/>
      <c r="AL134" s="92"/>
      <c r="AM134" s="92"/>
      <c r="AN134" s="92"/>
      <c r="AO134" s="92"/>
      <c r="AP134" s="92"/>
      <c r="AQ134" s="92"/>
      <c r="AR134" s="92"/>
      <c r="AS134" s="92"/>
      <c r="AT134" s="93"/>
      <c r="AU134" s="94"/>
      <c r="AV134" s="1878">
        <f t="shared" si="88"/>
        <v>0</v>
      </c>
      <c r="AW134" s="1878">
        <f t="shared" si="89"/>
        <v>0</v>
      </c>
      <c r="AX134" s="187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29"/>
      <c r="C135" s="1330"/>
      <c r="D135" s="80"/>
      <c r="E135" s="87">
        <f t="shared" si="87"/>
        <v>0</v>
      </c>
      <c r="F135" s="88"/>
      <c r="G135" s="89">
        <f t="shared" si="62"/>
        <v>0</v>
      </c>
      <c r="H135" s="90">
        <f t="shared" si="63"/>
        <v>0</v>
      </c>
      <c r="I135" s="1332"/>
      <c r="J135" s="91"/>
      <c r="K135" s="133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32"/>
      <c r="AG135" s="92"/>
      <c r="AH135" s="92"/>
      <c r="AI135" s="92"/>
      <c r="AJ135" s="92"/>
      <c r="AK135" s="92"/>
      <c r="AL135" s="92"/>
      <c r="AM135" s="92"/>
      <c r="AN135" s="92"/>
      <c r="AO135" s="92"/>
      <c r="AP135" s="92"/>
      <c r="AQ135" s="92"/>
      <c r="AR135" s="92"/>
      <c r="AS135" s="92"/>
      <c r="AT135" s="93"/>
      <c r="AU135" s="94"/>
      <c r="AV135" s="1878">
        <f t="shared" si="88"/>
        <v>0</v>
      </c>
      <c r="AW135" s="1878">
        <f t="shared" si="89"/>
        <v>0</v>
      </c>
      <c r="AX135" s="187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29"/>
      <c r="C136" s="1330"/>
      <c r="D136" s="80"/>
      <c r="E136" s="87">
        <f t="shared" si="87"/>
        <v>0</v>
      </c>
      <c r="F136" s="88"/>
      <c r="G136" s="89">
        <f t="shared" si="62"/>
        <v>0</v>
      </c>
      <c r="H136" s="90">
        <f t="shared" si="63"/>
        <v>0</v>
      </c>
      <c r="I136" s="1332"/>
      <c r="J136" s="91"/>
      <c r="K136" s="133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32"/>
      <c r="AG136" s="92"/>
      <c r="AH136" s="92"/>
      <c r="AI136" s="92"/>
      <c r="AJ136" s="92"/>
      <c r="AK136" s="92"/>
      <c r="AL136" s="92"/>
      <c r="AM136" s="92"/>
      <c r="AN136" s="92"/>
      <c r="AO136" s="92"/>
      <c r="AP136" s="92"/>
      <c r="AQ136" s="92"/>
      <c r="AR136" s="92"/>
      <c r="AS136" s="92"/>
      <c r="AT136" s="93"/>
      <c r="AU136" s="94"/>
      <c r="AV136" s="1878">
        <f t="shared" si="88"/>
        <v>0</v>
      </c>
      <c r="AW136" s="1878">
        <f t="shared" si="89"/>
        <v>0</v>
      </c>
      <c r="AX136" s="187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29"/>
      <c r="C137" s="1330"/>
      <c r="D137" s="80"/>
      <c r="E137" s="87">
        <f t="shared" si="87"/>
        <v>0</v>
      </c>
      <c r="F137" s="88"/>
      <c r="G137" s="89">
        <f t="shared" si="62"/>
        <v>0</v>
      </c>
      <c r="H137" s="90">
        <f t="shared" si="63"/>
        <v>0</v>
      </c>
      <c r="I137" s="1332"/>
      <c r="J137" s="91"/>
      <c r="K137" s="133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32"/>
      <c r="AG137" s="92"/>
      <c r="AH137" s="92"/>
      <c r="AI137" s="92"/>
      <c r="AJ137" s="92"/>
      <c r="AK137" s="92"/>
      <c r="AL137" s="92"/>
      <c r="AM137" s="92"/>
      <c r="AN137" s="92"/>
      <c r="AO137" s="92"/>
      <c r="AP137" s="92"/>
      <c r="AQ137" s="92"/>
      <c r="AR137" s="92"/>
      <c r="AS137" s="92"/>
      <c r="AT137" s="93"/>
      <c r="AU137" s="94"/>
      <c r="AV137" s="1878">
        <f t="shared" si="88"/>
        <v>0</v>
      </c>
      <c r="AW137" s="1878">
        <f t="shared" si="89"/>
        <v>0</v>
      </c>
      <c r="AX137" s="187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29"/>
      <c r="C138" s="1330"/>
      <c r="D138" s="80"/>
      <c r="E138" s="87">
        <f t="shared" si="87"/>
        <v>0</v>
      </c>
      <c r="F138" s="88"/>
      <c r="G138" s="89">
        <f t="shared" si="62"/>
        <v>0</v>
      </c>
      <c r="H138" s="90">
        <f t="shared" si="63"/>
        <v>0</v>
      </c>
      <c r="I138" s="1332"/>
      <c r="J138" s="91"/>
      <c r="K138" s="133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32"/>
      <c r="AG138" s="92"/>
      <c r="AH138" s="92"/>
      <c r="AI138" s="92"/>
      <c r="AJ138" s="92"/>
      <c r="AK138" s="92"/>
      <c r="AL138" s="92"/>
      <c r="AM138" s="92"/>
      <c r="AN138" s="92"/>
      <c r="AO138" s="92"/>
      <c r="AP138" s="92"/>
      <c r="AQ138" s="92"/>
      <c r="AR138" s="92"/>
      <c r="AS138" s="92"/>
      <c r="AT138" s="93"/>
      <c r="AU138" s="94"/>
      <c r="AV138" s="1878">
        <f t="shared" si="88"/>
        <v>0</v>
      </c>
      <c r="AW138" s="1878">
        <f t="shared" si="89"/>
        <v>0</v>
      </c>
      <c r="AX138" s="187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29"/>
      <c r="C139" s="1330"/>
      <c r="D139" s="80"/>
      <c r="E139" s="87">
        <f t="shared" si="87"/>
        <v>0</v>
      </c>
      <c r="F139" s="88"/>
      <c r="G139" s="89">
        <f t="shared" si="62"/>
        <v>0</v>
      </c>
      <c r="H139" s="90">
        <f t="shared" si="63"/>
        <v>0</v>
      </c>
      <c r="I139" s="1332"/>
      <c r="J139" s="91"/>
      <c r="K139" s="133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30"/>
      <c r="AG139" s="92"/>
      <c r="AH139" s="92"/>
      <c r="AI139" s="92"/>
      <c r="AJ139" s="92"/>
      <c r="AK139" s="92"/>
      <c r="AL139" s="92"/>
      <c r="AM139" s="92"/>
      <c r="AN139" s="92"/>
      <c r="AO139" s="92"/>
      <c r="AP139" s="92"/>
      <c r="AQ139" s="92"/>
      <c r="AR139" s="92"/>
      <c r="AS139" s="92"/>
      <c r="AT139" s="93"/>
      <c r="AU139" s="94"/>
      <c r="AV139" s="1878">
        <f t="shared" si="88"/>
        <v>0</v>
      </c>
      <c r="AW139" s="1878">
        <f t="shared" si="89"/>
        <v>0</v>
      </c>
      <c r="AX139" s="187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29"/>
      <c r="C140" s="1330"/>
      <c r="D140" s="80"/>
      <c r="E140" s="87">
        <f t="shared" si="87"/>
        <v>0</v>
      </c>
      <c r="F140" s="88"/>
      <c r="G140" s="89">
        <f t="shared" si="62"/>
        <v>0</v>
      </c>
      <c r="H140" s="90">
        <f t="shared" si="63"/>
        <v>0</v>
      </c>
      <c r="I140" s="1330"/>
      <c r="J140" s="91"/>
      <c r="K140" s="133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30"/>
      <c r="AG140" s="92"/>
      <c r="AH140" s="92"/>
      <c r="AI140" s="92"/>
      <c r="AJ140" s="92"/>
      <c r="AK140" s="92"/>
      <c r="AL140" s="92"/>
      <c r="AM140" s="92"/>
      <c r="AN140" s="92"/>
      <c r="AO140" s="92"/>
      <c r="AP140" s="92"/>
      <c r="AQ140" s="92"/>
      <c r="AR140" s="92"/>
      <c r="AS140" s="92"/>
      <c r="AT140" s="93"/>
      <c r="AU140" s="94"/>
      <c r="AV140" s="1878">
        <f t="shared" si="88"/>
        <v>0</v>
      </c>
      <c r="AW140" s="1878">
        <f t="shared" si="89"/>
        <v>0</v>
      </c>
      <c r="AX140" s="187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29"/>
      <c r="C141" s="1330"/>
      <c r="D141" s="80"/>
      <c r="E141" s="87">
        <f t="shared" si="87"/>
        <v>0</v>
      </c>
      <c r="F141" s="88"/>
      <c r="G141" s="89">
        <f t="shared" si="62"/>
        <v>0</v>
      </c>
      <c r="H141" s="90">
        <f t="shared" si="63"/>
        <v>0</v>
      </c>
      <c r="I141" s="1330"/>
      <c r="J141" s="91"/>
      <c r="K141" s="133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30"/>
      <c r="AG141" s="92"/>
      <c r="AH141" s="92"/>
      <c r="AI141" s="92"/>
      <c r="AJ141" s="92"/>
      <c r="AK141" s="92"/>
      <c r="AL141" s="92"/>
      <c r="AM141" s="92"/>
      <c r="AN141" s="92"/>
      <c r="AO141" s="92"/>
      <c r="AP141" s="92"/>
      <c r="AQ141" s="92"/>
      <c r="AR141" s="92"/>
      <c r="AS141" s="92"/>
      <c r="AT141" s="93"/>
      <c r="AU141" s="94"/>
      <c r="AV141" s="1878">
        <f t="shared" si="88"/>
        <v>0</v>
      </c>
      <c r="AW141" s="1878">
        <f t="shared" si="89"/>
        <v>0</v>
      </c>
      <c r="AX141" s="187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29"/>
      <c r="C142" s="1330"/>
      <c r="D142" s="80"/>
      <c r="E142" s="87">
        <f t="shared" si="87"/>
        <v>0</v>
      </c>
      <c r="F142" s="88"/>
      <c r="G142" s="89">
        <f t="shared" ref="G142:G173" si="91">H142+AC142+AT142</f>
        <v>0</v>
      </c>
      <c r="H142" s="90">
        <f t="shared" ref="H142:H173" si="92">SUMIF(I$12:AB$12,"总值",I142:AB142)</f>
        <v>0</v>
      </c>
      <c r="I142" s="1330"/>
      <c r="J142" s="91"/>
      <c r="K142" s="133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30"/>
      <c r="AG142" s="92"/>
      <c r="AH142" s="92"/>
      <c r="AI142" s="92"/>
      <c r="AJ142" s="92"/>
      <c r="AK142" s="92"/>
      <c r="AL142" s="92"/>
      <c r="AM142" s="92"/>
      <c r="AN142" s="92"/>
      <c r="AO142" s="92"/>
      <c r="AP142" s="92"/>
      <c r="AQ142" s="92"/>
      <c r="AR142" s="92"/>
      <c r="AS142" s="92"/>
      <c r="AT142" s="93"/>
      <c r="AU142" s="94"/>
      <c r="AV142" s="1878">
        <f t="shared" si="88"/>
        <v>0</v>
      </c>
      <c r="AW142" s="1878">
        <f t="shared" si="89"/>
        <v>0</v>
      </c>
      <c r="AX142" s="187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29"/>
      <c r="C143" s="1330"/>
      <c r="D143" s="80"/>
      <c r="E143" s="87">
        <f t="shared" si="87"/>
        <v>0</v>
      </c>
      <c r="F143" s="88"/>
      <c r="G143" s="89">
        <f t="shared" si="91"/>
        <v>0</v>
      </c>
      <c r="H143" s="90">
        <f t="shared" si="92"/>
        <v>0</v>
      </c>
      <c r="I143" s="1330"/>
      <c r="J143" s="91"/>
      <c r="K143" s="133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30"/>
      <c r="AG143" s="92"/>
      <c r="AH143" s="92"/>
      <c r="AI143" s="92"/>
      <c r="AJ143" s="92"/>
      <c r="AK143" s="92"/>
      <c r="AL143" s="92"/>
      <c r="AM143" s="92"/>
      <c r="AN143" s="92"/>
      <c r="AO143" s="92"/>
      <c r="AP143" s="92"/>
      <c r="AQ143" s="92"/>
      <c r="AR143" s="92"/>
      <c r="AS143" s="92"/>
      <c r="AT143" s="93"/>
      <c r="AU143" s="94"/>
      <c r="AV143" s="1878">
        <f t="shared" si="88"/>
        <v>0</v>
      </c>
      <c r="AW143" s="1878">
        <f t="shared" si="89"/>
        <v>0</v>
      </c>
      <c r="AX143" s="187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29"/>
      <c r="C144" s="1330"/>
      <c r="D144" s="80"/>
      <c r="E144" s="87">
        <f t="shared" si="87"/>
        <v>0</v>
      </c>
      <c r="F144" s="88"/>
      <c r="G144" s="89">
        <f t="shared" si="91"/>
        <v>0</v>
      </c>
      <c r="H144" s="90">
        <f t="shared" si="92"/>
        <v>0</v>
      </c>
      <c r="I144" s="1330"/>
      <c r="J144" s="91"/>
      <c r="K144" s="133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30"/>
      <c r="AG144" s="92"/>
      <c r="AH144" s="92"/>
      <c r="AI144" s="92"/>
      <c r="AJ144" s="92"/>
      <c r="AK144" s="92"/>
      <c r="AL144" s="92"/>
      <c r="AM144" s="92"/>
      <c r="AN144" s="92"/>
      <c r="AO144" s="92"/>
      <c r="AP144" s="92"/>
      <c r="AQ144" s="92"/>
      <c r="AR144" s="92"/>
      <c r="AS144" s="92"/>
      <c r="AT144" s="93"/>
      <c r="AU144" s="94"/>
      <c r="AV144" s="1878">
        <f t="shared" si="88"/>
        <v>0</v>
      </c>
      <c r="AW144" s="1878">
        <f t="shared" si="89"/>
        <v>0</v>
      </c>
      <c r="AX144" s="187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29"/>
      <c r="C145" s="1330"/>
      <c r="D145" s="80"/>
      <c r="E145" s="87">
        <f t="shared" ref="E145:E176" si="116">IF($C$3="是",ROUND($A$3*G145/$B$3,2),ROUND($A$3*(G145-AT145)/$B$3,2))</f>
        <v>0</v>
      </c>
      <c r="F145" s="88"/>
      <c r="G145" s="89">
        <f t="shared" si="91"/>
        <v>0</v>
      </c>
      <c r="H145" s="90">
        <f t="shared" si="92"/>
        <v>0</v>
      </c>
      <c r="I145" s="1330"/>
      <c r="J145" s="91"/>
      <c r="K145" s="133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30"/>
      <c r="AG145" s="92"/>
      <c r="AH145" s="92"/>
      <c r="AI145" s="92"/>
      <c r="AJ145" s="92"/>
      <c r="AK145" s="92"/>
      <c r="AL145" s="92"/>
      <c r="AM145" s="92"/>
      <c r="AN145" s="92"/>
      <c r="AO145" s="92"/>
      <c r="AP145" s="92"/>
      <c r="AQ145" s="92"/>
      <c r="AR145" s="92"/>
      <c r="AS145" s="92"/>
      <c r="AT145" s="93"/>
      <c r="AU145" s="94"/>
      <c r="AV145" s="1878">
        <f t="shared" ref="AV145:AV176" si="117">A145</f>
        <v>0</v>
      </c>
      <c r="AW145" s="1878">
        <f t="shared" ref="AW145:AW176" si="118">B145</f>
        <v>0</v>
      </c>
      <c r="AX145" s="187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29"/>
      <c r="C146" s="1330"/>
      <c r="D146" s="80"/>
      <c r="E146" s="87">
        <f t="shared" si="116"/>
        <v>0</v>
      </c>
      <c r="F146" s="88"/>
      <c r="G146" s="89">
        <f t="shared" si="91"/>
        <v>0</v>
      </c>
      <c r="H146" s="90">
        <f t="shared" si="92"/>
        <v>0</v>
      </c>
      <c r="I146" s="1330"/>
      <c r="J146" s="91"/>
      <c r="K146" s="133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30"/>
      <c r="AG146" s="92"/>
      <c r="AH146" s="92"/>
      <c r="AI146" s="92"/>
      <c r="AJ146" s="92"/>
      <c r="AK146" s="92"/>
      <c r="AL146" s="92"/>
      <c r="AM146" s="92"/>
      <c r="AN146" s="92"/>
      <c r="AO146" s="92"/>
      <c r="AP146" s="92"/>
      <c r="AQ146" s="92"/>
      <c r="AR146" s="92"/>
      <c r="AS146" s="92"/>
      <c r="AT146" s="93"/>
      <c r="AU146" s="94"/>
      <c r="AV146" s="1878">
        <f t="shared" si="117"/>
        <v>0</v>
      </c>
      <c r="AW146" s="1878">
        <f t="shared" si="118"/>
        <v>0</v>
      </c>
      <c r="AX146" s="187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31"/>
      <c r="C147" s="1332"/>
      <c r="D147" s="80"/>
      <c r="E147" s="87">
        <f t="shared" si="116"/>
        <v>0</v>
      </c>
      <c r="F147" s="88"/>
      <c r="G147" s="89">
        <f t="shared" si="91"/>
        <v>0</v>
      </c>
      <c r="H147" s="90">
        <f t="shared" si="92"/>
        <v>0</v>
      </c>
      <c r="I147" s="1330"/>
      <c r="J147" s="91"/>
      <c r="K147" s="1330"/>
      <c r="L147" s="91"/>
      <c r="M147" s="1330"/>
      <c r="N147" s="91"/>
      <c r="O147" s="91"/>
      <c r="P147" s="91"/>
      <c r="Q147" s="91"/>
      <c r="R147" s="91"/>
      <c r="S147" s="91"/>
      <c r="T147" s="91"/>
      <c r="U147" s="91"/>
      <c r="V147" s="91"/>
      <c r="W147" s="91"/>
      <c r="X147" s="91"/>
      <c r="Y147" s="91"/>
      <c r="Z147" s="91"/>
      <c r="AA147" s="91"/>
      <c r="AB147" s="91"/>
      <c r="AC147" s="87">
        <f t="shared" si="93"/>
        <v>0</v>
      </c>
      <c r="AD147" s="92"/>
      <c r="AE147" s="92"/>
      <c r="AF147" s="1330"/>
      <c r="AG147" s="92"/>
      <c r="AH147" s="92"/>
      <c r="AI147" s="92"/>
      <c r="AJ147" s="92"/>
      <c r="AK147" s="92"/>
      <c r="AL147" s="92"/>
      <c r="AM147" s="92"/>
      <c r="AN147" s="92"/>
      <c r="AO147" s="92"/>
      <c r="AP147" s="92"/>
      <c r="AQ147" s="92"/>
      <c r="AR147" s="92"/>
      <c r="AS147" s="92"/>
      <c r="AT147" s="93"/>
      <c r="AU147" s="94"/>
      <c r="AV147" s="1878">
        <f t="shared" si="117"/>
        <v>0</v>
      </c>
      <c r="AW147" s="1878">
        <f t="shared" si="118"/>
        <v>0</v>
      </c>
      <c r="AX147" s="187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78">
        <f t="shared" si="117"/>
        <v>0</v>
      </c>
      <c r="AW148" s="1878">
        <f t="shared" si="118"/>
        <v>0</v>
      </c>
      <c r="AX148" s="187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78">
        <f t="shared" si="117"/>
        <v>0</v>
      </c>
      <c r="AW149" s="1878">
        <f t="shared" si="118"/>
        <v>0</v>
      </c>
      <c r="AX149" s="187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78">
        <f t="shared" si="117"/>
        <v>0</v>
      </c>
      <c r="AW150" s="1878">
        <f t="shared" si="118"/>
        <v>0</v>
      </c>
      <c r="AX150" s="187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78">
        <f t="shared" si="117"/>
        <v>0</v>
      </c>
      <c r="AW151" s="1878">
        <f t="shared" si="118"/>
        <v>0</v>
      </c>
      <c r="AX151" s="187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78">
        <f t="shared" si="117"/>
        <v>0</v>
      </c>
      <c r="AW152" s="1878">
        <f t="shared" si="118"/>
        <v>0</v>
      </c>
      <c r="AX152" s="187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78">
        <f t="shared" si="117"/>
        <v>0</v>
      </c>
      <c r="AW153" s="1878">
        <f t="shared" si="118"/>
        <v>0</v>
      </c>
      <c r="AX153" s="187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78">
        <f t="shared" si="117"/>
        <v>0</v>
      </c>
      <c r="AW154" s="1878">
        <f t="shared" si="118"/>
        <v>0</v>
      </c>
      <c r="AX154" s="187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78">
        <f t="shared" si="117"/>
        <v>0</v>
      </c>
      <c r="AW155" s="1878">
        <f t="shared" si="118"/>
        <v>0</v>
      </c>
      <c r="AX155" s="187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78">
        <f t="shared" si="117"/>
        <v>0</v>
      </c>
      <c r="AW156" s="1878">
        <f t="shared" si="118"/>
        <v>0</v>
      </c>
      <c r="AX156" s="187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78">
        <f t="shared" si="117"/>
        <v>0</v>
      </c>
      <c r="AW157" s="1878">
        <f t="shared" si="118"/>
        <v>0</v>
      </c>
      <c r="AX157" s="187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78">
        <f t="shared" si="117"/>
        <v>0</v>
      </c>
      <c r="AW158" s="1878">
        <f t="shared" si="118"/>
        <v>0</v>
      </c>
      <c r="AX158" s="187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78">
        <f t="shared" si="117"/>
        <v>0</v>
      </c>
      <c r="AW159" s="1878">
        <f t="shared" si="118"/>
        <v>0</v>
      </c>
      <c r="AX159" s="187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78">
        <f t="shared" si="117"/>
        <v>0</v>
      </c>
      <c r="AW160" s="1878">
        <f t="shared" si="118"/>
        <v>0</v>
      </c>
      <c r="AX160" s="187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78">
        <f t="shared" si="117"/>
        <v>0</v>
      </c>
      <c r="AW161" s="1878">
        <f t="shared" si="118"/>
        <v>0</v>
      </c>
      <c r="AX161" s="187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78">
        <f t="shared" si="117"/>
        <v>0</v>
      </c>
      <c r="AW162" s="1878">
        <f t="shared" si="118"/>
        <v>0</v>
      </c>
      <c r="AX162" s="187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78">
        <f t="shared" si="117"/>
        <v>0</v>
      </c>
      <c r="AW163" s="1878">
        <f t="shared" si="118"/>
        <v>0</v>
      </c>
      <c r="AX163" s="187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78">
        <f t="shared" si="117"/>
        <v>0</v>
      </c>
      <c r="AW164" s="1878">
        <f t="shared" si="118"/>
        <v>0</v>
      </c>
      <c r="AX164" s="187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78">
        <f t="shared" si="117"/>
        <v>0</v>
      </c>
      <c r="AW165" s="1878">
        <f t="shared" si="118"/>
        <v>0</v>
      </c>
      <c r="AX165" s="187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78">
        <f t="shared" si="117"/>
        <v>0</v>
      </c>
      <c r="AW166" s="1878">
        <f t="shared" si="118"/>
        <v>0</v>
      </c>
      <c r="AX166" s="187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78">
        <f t="shared" si="117"/>
        <v>0</v>
      </c>
      <c r="AW167" s="1878">
        <f t="shared" si="118"/>
        <v>0</v>
      </c>
      <c r="AX167" s="187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78">
        <f t="shared" si="117"/>
        <v>0</v>
      </c>
      <c r="AW168" s="1878">
        <f t="shared" si="118"/>
        <v>0</v>
      </c>
      <c r="AX168" s="187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78">
        <f t="shared" si="117"/>
        <v>0</v>
      </c>
      <c r="AW169" s="1878">
        <f t="shared" si="118"/>
        <v>0</v>
      </c>
      <c r="AX169" s="187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78">
        <f t="shared" si="117"/>
        <v>0</v>
      </c>
      <c r="AW170" s="1878">
        <f t="shared" si="118"/>
        <v>0</v>
      </c>
      <c r="AX170" s="187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78">
        <f t="shared" si="117"/>
        <v>0</v>
      </c>
      <c r="AW171" s="1878">
        <f t="shared" si="118"/>
        <v>0</v>
      </c>
      <c r="AX171" s="187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78">
        <f t="shared" si="117"/>
        <v>0</v>
      </c>
      <c r="AW172" s="1878">
        <f t="shared" si="118"/>
        <v>0</v>
      </c>
      <c r="AX172" s="187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78">
        <f t="shared" si="117"/>
        <v>0</v>
      </c>
      <c r="AW173" s="1878">
        <f t="shared" si="118"/>
        <v>0</v>
      </c>
      <c r="AX173" s="187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78">
        <f t="shared" si="117"/>
        <v>0</v>
      </c>
      <c r="AW174" s="1878">
        <f t="shared" si="118"/>
        <v>0</v>
      </c>
      <c r="AX174" s="187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78">
        <f t="shared" si="117"/>
        <v>0</v>
      </c>
      <c r="AW175" s="1878">
        <f t="shared" si="118"/>
        <v>0</v>
      </c>
      <c r="AX175" s="187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78">
        <f t="shared" si="117"/>
        <v>0</v>
      </c>
      <c r="AW176" s="1878">
        <f t="shared" si="118"/>
        <v>0</v>
      </c>
      <c r="AX176" s="187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78">
        <f t="shared" ref="AV177:AV204" si="146">A177</f>
        <v>0</v>
      </c>
      <c r="AW177" s="1878">
        <f t="shared" ref="AW177:AW204" si="147">B177</f>
        <v>0</v>
      </c>
      <c r="AX177" s="187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78">
        <f t="shared" si="146"/>
        <v>0</v>
      </c>
      <c r="AW178" s="1878">
        <f t="shared" si="147"/>
        <v>0</v>
      </c>
      <c r="AX178" s="187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78">
        <f t="shared" si="146"/>
        <v>0</v>
      </c>
      <c r="AW179" s="1878">
        <f t="shared" si="147"/>
        <v>0</v>
      </c>
      <c r="AX179" s="187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78">
        <f t="shared" si="146"/>
        <v>0</v>
      </c>
      <c r="AW180" s="1878">
        <f t="shared" si="147"/>
        <v>0</v>
      </c>
      <c r="AX180" s="187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78">
        <f t="shared" si="146"/>
        <v>0</v>
      </c>
      <c r="AW181" s="1878">
        <f t="shared" si="147"/>
        <v>0</v>
      </c>
      <c r="AX181" s="187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78">
        <f t="shared" si="146"/>
        <v>0</v>
      </c>
      <c r="AW182" s="1878">
        <f t="shared" si="147"/>
        <v>0</v>
      </c>
      <c r="AX182" s="187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78">
        <f t="shared" si="146"/>
        <v>0</v>
      </c>
      <c r="AW183" s="1878">
        <f t="shared" si="147"/>
        <v>0</v>
      </c>
      <c r="AX183" s="187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78">
        <f t="shared" si="146"/>
        <v>0</v>
      </c>
      <c r="AW184" s="1878">
        <f t="shared" si="147"/>
        <v>0</v>
      </c>
      <c r="AX184" s="187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78">
        <f t="shared" si="146"/>
        <v>0</v>
      </c>
      <c r="AW185" s="1878">
        <f t="shared" si="147"/>
        <v>0</v>
      </c>
      <c r="AX185" s="187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78">
        <f t="shared" si="146"/>
        <v>0</v>
      </c>
      <c r="AW186" s="1878">
        <f t="shared" si="147"/>
        <v>0</v>
      </c>
      <c r="AX186" s="187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78">
        <f t="shared" si="146"/>
        <v>0</v>
      </c>
      <c r="AW187" s="1878">
        <f t="shared" si="147"/>
        <v>0</v>
      </c>
      <c r="AX187" s="187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78">
        <f t="shared" si="146"/>
        <v>0</v>
      </c>
      <c r="AW188" s="1878">
        <f t="shared" si="147"/>
        <v>0</v>
      </c>
      <c r="AX188" s="187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78">
        <f t="shared" si="146"/>
        <v>0</v>
      </c>
      <c r="AW189" s="1878">
        <f t="shared" si="147"/>
        <v>0</v>
      </c>
      <c r="AX189" s="187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78">
        <f t="shared" si="146"/>
        <v>0</v>
      </c>
      <c r="AW190" s="1878">
        <f t="shared" si="147"/>
        <v>0</v>
      </c>
      <c r="AX190" s="187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78">
        <f t="shared" si="146"/>
        <v>0</v>
      </c>
      <c r="AW191" s="1878">
        <f t="shared" si="147"/>
        <v>0</v>
      </c>
      <c r="AX191" s="187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78">
        <f t="shared" si="146"/>
        <v>0</v>
      </c>
      <c r="AW192" s="1878">
        <f t="shared" si="147"/>
        <v>0</v>
      </c>
      <c r="AX192" s="187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78">
        <f t="shared" si="146"/>
        <v>0</v>
      </c>
      <c r="AW193" s="1878">
        <f t="shared" si="147"/>
        <v>0</v>
      </c>
      <c r="AX193" s="187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78">
        <f t="shared" si="146"/>
        <v>0</v>
      </c>
      <c r="AW194" s="1878">
        <f t="shared" si="147"/>
        <v>0</v>
      </c>
      <c r="AX194" s="187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78">
        <f t="shared" si="146"/>
        <v>0</v>
      </c>
      <c r="AW195" s="1878">
        <f t="shared" si="147"/>
        <v>0</v>
      </c>
      <c r="AX195" s="187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78">
        <f t="shared" si="146"/>
        <v>0</v>
      </c>
      <c r="AW196" s="1878">
        <f t="shared" si="147"/>
        <v>0</v>
      </c>
      <c r="AX196" s="187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78">
        <f t="shared" si="146"/>
        <v>0</v>
      </c>
      <c r="AW197" s="1878">
        <f t="shared" si="147"/>
        <v>0</v>
      </c>
      <c r="AX197" s="187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78">
        <f t="shared" si="146"/>
        <v>0</v>
      </c>
      <c r="AW198" s="1878">
        <f t="shared" si="147"/>
        <v>0</v>
      </c>
      <c r="AX198" s="187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78">
        <f t="shared" si="146"/>
        <v>0</v>
      </c>
      <c r="AW199" s="1878">
        <f t="shared" si="147"/>
        <v>0</v>
      </c>
      <c r="AX199" s="187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78">
        <f t="shared" si="146"/>
        <v>0</v>
      </c>
      <c r="AW200" s="1878">
        <f t="shared" si="147"/>
        <v>0</v>
      </c>
      <c r="AX200" s="187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78">
        <f t="shared" si="146"/>
        <v>0</v>
      </c>
      <c r="AW201" s="1878">
        <f t="shared" si="147"/>
        <v>0</v>
      </c>
      <c r="AX201" s="187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78">
        <f t="shared" si="146"/>
        <v>0</v>
      </c>
      <c r="AW202" s="1878">
        <f t="shared" si="147"/>
        <v>0</v>
      </c>
      <c r="AX202" s="187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78">
        <f t="shared" si="146"/>
        <v>0</v>
      </c>
      <c r="AW203" s="1878">
        <f t="shared" si="147"/>
        <v>0</v>
      </c>
      <c r="AX203" s="187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78">
        <f t="shared" si="146"/>
        <v>0</v>
      </c>
      <c r="AW204" s="1878">
        <f t="shared" si="147"/>
        <v>0</v>
      </c>
      <c r="AX204" s="187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29"/>
      <c r="C205" s="1330"/>
      <c r="D205" s="80"/>
      <c r="E205" s="87">
        <f t="shared" ref="E205:E296" si="149">IF($C$3="是",ROUND($A$3*G205/$B$3,2),ROUND($A$3*(G205-AT205)/$B$3,2))</f>
        <v>0</v>
      </c>
      <c r="F205" s="88"/>
      <c r="G205" s="89">
        <f t="shared" ref="G205:G293" si="150">H205+AC205+AT205</f>
        <v>0</v>
      </c>
      <c r="H205" s="90">
        <f t="shared" ref="H205:H293" si="151">SUMIF(I$12:AB$12,"总值",I205:AB205)</f>
        <v>0</v>
      </c>
      <c r="I205" s="1332"/>
      <c r="J205" s="91"/>
      <c r="K205" s="133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33"/>
      <c r="AG205" s="92"/>
      <c r="AH205" s="92"/>
      <c r="AI205" s="92"/>
      <c r="AJ205" s="92"/>
      <c r="AK205" s="92"/>
      <c r="AL205" s="92"/>
      <c r="AM205" s="92"/>
      <c r="AN205" s="1307"/>
      <c r="AO205" s="92"/>
      <c r="AP205" s="92"/>
      <c r="AQ205" s="92"/>
      <c r="AR205" s="92"/>
      <c r="AS205" s="92"/>
      <c r="AT205" s="93"/>
      <c r="AU205" s="94"/>
      <c r="AV205" s="1878">
        <f t="shared" ref="AV205:AV296" si="153">A205</f>
        <v>0</v>
      </c>
      <c r="AW205" s="1878">
        <f t="shared" ref="AW205:AW296" si="154">B205</f>
        <v>0</v>
      </c>
      <c r="AX205" s="187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29"/>
      <c r="C206" s="1330"/>
      <c r="D206" s="80"/>
      <c r="E206" s="87">
        <f t="shared" si="149"/>
        <v>0</v>
      </c>
      <c r="F206" s="88"/>
      <c r="G206" s="89">
        <f t="shared" si="150"/>
        <v>0</v>
      </c>
      <c r="H206" s="90">
        <f t="shared" si="151"/>
        <v>0</v>
      </c>
      <c r="I206" s="1332"/>
      <c r="J206" s="91"/>
      <c r="K206" s="1332"/>
      <c r="L206" s="91"/>
      <c r="M206" s="1307"/>
      <c r="N206" s="91"/>
      <c r="O206" s="91"/>
      <c r="P206" s="91"/>
      <c r="Q206" s="91"/>
      <c r="R206" s="91"/>
      <c r="S206" s="91"/>
      <c r="T206" s="91"/>
      <c r="U206" s="91"/>
      <c r="V206" s="91"/>
      <c r="W206" s="91"/>
      <c r="X206" s="91"/>
      <c r="Y206" s="91"/>
      <c r="Z206" s="91"/>
      <c r="AA206" s="91"/>
      <c r="AB206" s="91"/>
      <c r="AC206" s="87">
        <f t="shared" si="152"/>
        <v>0</v>
      </c>
      <c r="AD206" s="1307"/>
      <c r="AE206" s="92"/>
      <c r="AF206" s="1333"/>
      <c r="AG206" s="92"/>
      <c r="AH206" s="92"/>
      <c r="AI206" s="92"/>
      <c r="AJ206" s="92"/>
      <c r="AK206" s="92"/>
      <c r="AL206" s="1307"/>
      <c r="AM206" s="92"/>
      <c r="AN206" s="1307"/>
      <c r="AO206" s="92"/>
      <c r="AP206" s="92"/>
      <c r="AQ206" s="92"/>
      <c r="AR206" s="92"/>
      <c r="AS206" s="92"/>
      <c r="AT206" s="93"/>
      <c r="AU206" s="94"/>
      <c r="AV206" s="1878">
        <f t="shared" si="153"/>
        <v>0</v>
      </c>
      <c r="AW206" s="1878">
        <f t="shared" si="154"/>
        <v>0</v>
      </c>
      <c r="AX206" s="187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29"/>
      <c r="C207" s="1330"/>
      <c r="D207" s="80"/>
      <c r="E207" s="87">
        <f t="shared" si="149"/>
        <v>0</v>
      </c>
      <c r="F207" s="88"/>
      <c r="G207" s="89">
        <f t="shared" si="150"/>
        <v>0</v>
      </c>
      <c r="H207" s="90">
        <f t="shared" si="151"/>
        <v>0</v>
      </c>
      <c r="I207" s="1332"/>
      <c r="J207" s="91"/>
      <c r="K207" s="1332"/>
      <c r="L207" s="91"/>
      <c r="M207" s="1307"/>
      <c r="N207" s="91"/>
      <c r="O207" s="91"/>
      <c r="P207" s="91"/>
      <c r="Q207" s="91"/>
      <c r="R207" s="91"/>
      <c r="S207" s="91"/>
      <c r="T207" s="91"/>
      <c r="U207" s="91"/>
      <c r="V207" s="91"/>
      <c r="W207" s="91"/>
      <c r="X207" s="91"/>
      <c r="Y207" s="91"/>
      <c r="Z207" s="91"/>
      <c r="AA207" s="91"/>
      <c r="AB207" s="91"/>
      <c r="AC207" s="87">
        <f t="shared" si="152"/>
        <v>0</v>
      </c>
      <c r="AD207" s="92"/>
      <c r="AE207" s="92"/>
      <c r="AF207" s="1333"/>
      <c r="AG207" s="92"/>
      <c r="AH207" s="92"/>
      <c r="AI207" s="92"/>
      <c r="AJ207" s="92"/>
      <c r="AK207" s="92"/>
      <c r="AL207" s="1307"/>
      <c r="AM207" s="92"/>
      <c r="AN207" s="1307"/>
      <c r="AO207" s="92"/>
      <c r="AP207" s="92"/>
      <c r="AQ207" s="92"/>
      <c r="AR207" s="92"/>
      <c r="AS207" s="92"/>
      <c r="AT207" s="93"/>
      <c r="AU207" s="94"/>
      <c r="AV207" s="1878">
        <f t="shared" si="153"/>
        <v>0</v>
      </c>
      <c r="AW207" s="1878">
        <f t="shared" si="154"/>
        <v>0</v>
      </c>
      <c r="AX207" s="187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29"/>
      <c r="C208" s="1330"/>
      <c r="D208" s="80"/>
      <c r="E208" s="87">
        <f t="shared" si="149"/>
        <v>0</v>
      </c>
      <c r="F208" s="88"/>
      <c r="G208" s="89">
        <f t="shared" si="150"/>
        <v>0</v>
      </c>
      <c r="H208" s="90">
        <f t="shared" si="151"/>
        <v>0</v>
      </c>
      <c r="I208" s="1332"/>
      <c r="J208" s="91"/>
      <c r="K208" s="1332"/>
      <c r="L208" s="91"/>
      <c r="M208" s="91"/>
      <c r="N208" s="91"/>
      <c r="O208" s="1307"/>
      <c r="P208" s="91"/>
      <c r="Q208" s="91"/>
      <c r="R208" s="91"/>
      <c r="S208" s="91"/>
      <c r="T208" s="91"/>
      <c r="U208" s="91"/>
      <c r="V208" s="91"/>
      <c r="W208" s="91"/>
      <c r="X208" s="91"/>
      <c r="Y208" s="91"/>
      <c r="Z208" s="91"/>
      <c r="AA208" s="91"/>
      <c r="AB208" s="91"/>
      <c r="AC208" s="87">
        <f t="shared" si="152"/>
        <v>0</v>
      </c>
      <c r="AD208" s="92"/>
      <c r="AE208" s="92"/>
      <c r="AF208" s="1333"/>
      <c r="AG208" s="92"/>
      <c r="AH208" s="92"/>
      <c r="AI208" s="92"/>
      <c r="AJ208" s="92"/>
      <c r="AK208" s="92"/>
      <c r="AL208" s="92"/>
      <c r="AM208" s="92"/>
      <c r="AN208" s="1307"/>
      <c r="AO208" s="92"/>
      <c r="AP208" s="92"/>
      <c r="AQ208" s="92"/>
      <c r="AR208" s="92"/>
      <c r="AS208" s="92"/>
      <c r="AT208" s="93"/>
      <c r="AU208" s="94"/>
      <c r="AV208" s="1878">
        <f t="shared" si="153"/>
        <v>0</v>
      </c>
      <c r="AW208" s="1878">
        <f t="shared" si="154"/>
        <v>0</v>
      </c>
      <c r="AX208" s="187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29"/>
      <c r="C209" s="1330"/>
      <c r="D209" s="80"/>
      <c r="E209" s="87">
        <f t="shared" si="149"/>
        <v>0</v>
      </c>
      <c r="F209" s="88"/>
      <c r="G209" s="89">
        <f t="shared" si="150"/>
        <v>0</v>
      </c>
      <c r="H209" s="90">
        <f t="shared" si="151"/>
        <v>0</v>
      </c>
      <c r="I209" s="1332"/>
      <c r="J209" s="91"/>
      <c r="K209" s="133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33"/>
      <c r="AG209" s="92"/>
      <c r="AH209" s="92"/>
      <c r="AI209" s="92"/>
      <c r="AJ209" s="92"/>
      <c r="AK209" s="92"/>
      <c r="AL209" s="92"/>
      <c r="AM209" s="92"/>
      <c r="AN209" s="92"/>
      <c r="AO209" s="92"/>
      <c r="AP209" s="92"/>
      <c r="AQ209" s="92"/>
      <c r="AR209" s="92"/>
      <c r="AS209" s="92"/>
      <c r="AT209" s="93"/>
      <c r="AU209" s="94"/>
      <c r="AV209" s="1878">
        <f t="shared" si="153"/>
        <v>0</v>
      </c>
      <c r="AW209" s="1878">
        <f t="shared" si="154"/>
        <v>0</v>
      </c>
      <c r="AX209" s="187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29"/>
      <c r="C210" s="1330"/>
      <c r="D210" s="80"/>
      <c r="E210" s="87">
        <f t="shared" si="149"/>
        <v>0</v>
      </c>
      <c r="F210" s="88"/>
      <c r="G210" s="89">
        <f t="shared" si="150"/>
        <v>0</v>
      </c>
      <c r="H210" s="90">
        <f t="shared" si="151"/>
        <v>0</v>
      </c>
      <c r="I210" s="1332"/>
      <c r="J210" s="91"/>
      <c r="K210" s="133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33"/>
      <c r="AG210" s="92"/>
      <c r="AH210" s="92"/>
      <c r="AI210" s="92"/>
      <c r="AJ210" s="92"/>
      <c r="AK210" s="92"/>
      <c r="AL210" s="92"/>
      <c r="AM210" s="92"/>
      <c r="AN210" s="92"/>
      <c r="AO210" s="92"/>
      <c r="AP210" s="92"/>
      <c r="AQ210" s="92"/>
      <c r="AR210" s="92"/>
      <c r="AS210" s="92"/>
      <c r="AT210" s="93"/>
      <c r="AU210" s="94"/>
      <c r="AV210" s="1878">
        <f t="shared" si="153"/>
        <v>0</v>
      </c>
      <c r="AW210" s="1878">
        <f t="shared" si="154"/>
        <v>0</v>
      </c>
      <c r="AX210" s="187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29"/>
      <c r="C211" s="1330"/>
      <c r="D211" s="80"/>
      <c r="E211" s="87">
        <f t="shared" si="149"/>
        <v>0</v>
      </c>
      <c r="F211" s="88"/>
      <c r="G211" s="89">
        <f t="shared" si="150"/>
        <v>0</v>
      </c>
      <c r="H211" s="90">
        <f t="shared" si="151"/>
        <v>0</v>
      </c>
      <c r="I211" s="1332"/>
      <c r="J211" s="91"/>
      <c r="K211" s="133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33"/>
      <c r="AG211" s="92"/>
      <c r="AH211" s="92"/>
      <c r="AI211" s="92"/>
      <c r="AJ211" s="92"/>
      <c r="AK211" s="92"/>
      <c r="AL211" s="92"/>
      <c r="AM211" s="92"/>
      <c r="AN211" s="92"/>
      <c r="AO211" s="92"/>
      <c r="AP211" s="92"/>
      <c r="AQ211" s="92"/>
      <c r="AR211" s="92"/>
      <c r="AS211" s="92"/>
      <c r="AT211" s="93"/>
      <c r="AU211" s="94"/>
      <c r="AV211" s="1878">
        <f t="shared" si="153"/>
        <v>0</v>
      </c>
      <c r="AW211" s="1878">
        <f t="shared" si="154"/>
        <v>0</v>
      </c>
      <c r="AX211" s="187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29"/>
      <c r="C212" s="1330"/>
      <c r="D212" s="80"/>
      <c r="E212" s="87">
        <f t="shared" si="149"/>
        <v>0</v>
      </c>
      <c r="F212" s="88"/>
      <c r="G212" s="89">
        <f t="shared" si="150"/>
        <v>0</v>
      </c>
      <c r="H212" s="90">
        <f t="shared" si="151"/>
        <v>0</v>
      </c>
      <c r="I212" s="1332"/>
      <c r="J212" s="91"/>
      <c r="K212" s="133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32"/>
      <c r="AG212" s="92"/>
      <c r="AH212" s="92"/>
      <c r="AI212" s="92"/>
      <c r="AJ212" s="92"/>
      <c r="AK212" s="92"/>
      <c r="AL212" s="92"/>
      <c r="AM212" s="92"/>
      <c r="AN212" s="92"/>
      <c r="AO212" s="92"/>
      <c r="AP212" s="92"/>
      <c r="AQ212" s="92"/>
      <c r="AR212" s="92"/>
      <c r="AS212" s="92"/>
      <c r="AT212" s="93"/>
      <c r="AU212" s="94"/>
      <c r="AV212" s="1878">
        <f t="shared" si="153"/>
        <v>0</v>
      </c>
      <c r="AW212" s="1878">
        <f t="shared" si="154"/>
        <v>0</v>
      </c>
      <c r="AX212" s="187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31"/>
      <c r="C213" s="1332"/>
      <c r="D213" s="80"/>
      <c r="E213" s="87">
        <f t="shared" si="149"/>
        <v>0</v>
      </c>
      <c r="F213" s="88"/>
      <c r="G213" s="89">
        <f t="shared" si="150"/>
        <v>0</v>
      </c>
      <c r="H213" s="90">
        <f t="shared" si="151"/>
        <v>0</v>
      </c>
      <c r="I213" s="1332"/>
      <c r="J213" s="91"/>
      <c r="K213" s="133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32"/>
      <c r="AG213" s="92"/>
      <c r="AH213" s="92"/>
      <c r="AI213" s="92"/>
      <c r="AJ213" s="92"/>
      <c r="AK213" s="92"/>
      <c r="AL213" s="92"/>
      <c r="AM213" s="92"/>
      <c r="AN213" s="92"/>
      <c r="AO213" s="92"/>
      <c r="AP213" s="92"/>
      <c r="AQ213" s="92"/>
      <c r="AR213" s="92"/>
      <c r="AS213" s="92"/>
      <c r="AT213" s="93"/>
      <c r="AU213" s="94"/>
      <c r="AV213" s="1878">
        <f t="shared" si="153"/>
        <v>0</v>
      </c>
      <c r="AW213" s="1878">
        <f t="shared" si="154"/>
        <v>0</v>
      </c>
      <c r="AX213" s="187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29"/>
      <c r="C214" s="1330"/>
      <c r="D214" s="80"/>
      <c r="E214" s="87">
        <f t="shared" si="149"/>
        <v>0</v>
      </c>
      <c r="F214" s="88"/>
      <c r="G214" s="89">
        <f t="shared" si="150"/>
        <v>0</v>
      </c>
      <c r="H214" s="90">
        <f t="shared" si="151"/>
        <v>0</v>
      </c>
      <c r="I214" s="1332"/>
      <c r="J214" s="91"/>
      <c r="K214" s="133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32"/>
      <c r="AG214" s="92"/>
      <c r="AH214" s="92"/>
      <c r="AI214" s="92"/>
      <c r="AJ214" s="92"/>
      <c r="AK214" s="92"/>
      <c r="AL214" s="92"/>
      <c r="AM214" s="92"/>
      <c r="AN214" s="92"/>
      <c r="AO214" s="92"/>
      <c r="AP214" s="92"/>
      <c r="AQ214" s="92"/>
      <c r="AR214" s="92"/>
      <c r="AS214" s="92"/>
      <c r="AT214" s="93"/>
      <c r="AU214" s="94"/>
      <c r="AV214" s="1878">
        <f t="shared" si="153"/>
        <v>0</v>
      </c>
      <c r="AW214" s="1878">
        <f t="shared" si="154"/>
        <v>0</v>
      </c>
      <c r="AX214" s="187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29"/>
      <c r="C215" s="1330"/>
      <c r="D215" s="80"/>
      <c r="E215" s="87">
        <f t="shared" si="149"/>
        <v>0</v>
      </c>
      <c r="F215" s="88"/>
      <c r="G215" s="89">
        <f t="shared" si="150"/>
        <v>0</v>
      </c>
      <c r="H215" s="90">
        <f t="shared" si="151"/>
        <v>0</v>
      </c>
      <c r="I215" s="1332"/>
      <c r="J215" s="91"/>
      <c r="K215" s="133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32"/>
      <c r="AG215" s="92"/>
      <c r="AH215" s="92"/>
      <c r="AI215" s="92"/>
      <c r="AJ215" s="92"/>
      <c r="AK215" s="92"/>
      <c r="AL215" s="92"/>
      <c r="AM215" s="92"/>
      <c r="AN215" s="92"/>
      <c r="AO215" s="92"/>
      <c r="AP215" s="92"/>
      <c r="AQ215" s="92"/>
      <c r="AR215" s="92"/>
      <c r="AS215" s="92"/>
      <c r="AT215" s="93"/>
      <c r="AU215" s="94"/>
      <c r="AV215" s="1878">
        <f t="shared" si="153"/>
        <v>0</v>
      </c>
      <c r="AW215" s="1878">
        <f t="shared" si="154"/>
        <v>0</v>
      </c>
      <c r="AX215" s="187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29"/>
      <c r="C216" s="1330"/>
      <c r="D216" s="80"/>
      <c r="E216" s="87">
        <f t="shared" si="149"/>
        <v>0</v>
      </c>
      <c r="F216" s="88"/>
      <c r="G216" s="89">
        <f t="shared" si="150"/>
        <v>0</v>
      </c>
      <c r="H216" s="90">
        <f t="shared" si="151"/>
        <v>0</v>
      </c>
      <c r="I216" s="1332"/>
      <c r="J216" s="91"/>
      <c r="K216" s="133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32"/>
      <c r="AG216" s="92"/>
      <c r="AH216" s="92"/>
      <c r="AI216" s="92"/>
      <c r="AJ216" s="92"/>
      <c r="AK216" s="92"/>
      <c r="AL216" s="92"/>
      <c r="AM216" s="92"/>
      <c r="AN216" s="92"/>
      <c r="AO216" s="92"/>
      <c r="AP216" s="92"/>
      <c r="AQ216" s="92"/>
      <c r="AR216" s="92"/>
      <c r="AS216" s="92"/>
      <c r="AT216" s="93"/>
      <c r="AU216" s="94"/>
      <c r="AV216" s="1878">
        <f t="shared" si="153"/>
        <v>0</v>
      </c>
      <c r="AW216" s="1878">
        <f t="shared" si="154"/>
        <v>0</v>
      </c>
      <c r="AX216" s="187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29"/>
      <c r="C217" s="1330"/>
      <c r="D217" s="80"/>
      <c r="E217" s="87">
        <f t="shared" si="149"/>
        <v>0</v>
      </c>
      <c r="F217" s="88"/>
      <c r="G217" s="89">
        <f t="shared" si="150"/>
        <v>0</v>
      </c>
      <c r="H217" s="90">
        <f t="shared" si="151"/>
        <v>0</v>
      </c>
      <c r="I217" s="1332"/>
      <c r="J217" s="91"/>
      <c r="K217" s="133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32"/>
      <c r="AG217" s="92"/>
      <c r="AH217" s="92"/>
      <c r="AI217" s="92"/>
      <c r="AJ217" s="92"/>
      <c r="AK217" s="92"/>
      <c r="AL217" s="92"/>
      <c r="AM217" s="92"/>
      <c r="AN217" s="92"/>
      <c r="AO217" s="92"/>
      <c r="AP217" s="92"/>
      <c r="AQ217" s="92"/>
      <c r="AR217" s="92"/>
      <c r="AS217" s="92"/>
      <c r="AT217" s="93"/>
      <c r="AU217" s="94"/>
      <c r="AV217" s="1878">
        <f t="shared" si="153"/>
        <v>0</v>
      </c>
      <c r="AW217" s="1878">
        <f t="shared" si="154"/>
        <v>0</v>
      </c>
      <c r="AX217" s="187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29"/>
      <c r="C218" s="1330"/>
      <c r="D218" s="80"/>
      <c r="E218" s="87">
        <f t="shared" si="149"/>
        <v>0</v>
      </c>
      <c r="F218" s="88"/>
      <c r="G218" s="89">
        <f t="shared" si="150"/>
        <v>0</v>
      </c>
      <c r="H218" s="90">
        <f t="shared" si="151"/>
        <v>0</v>
      </c>
      <c r="I218" s="1332"/>
      <c r="J218" s="91"/>
      <c r="K218" s="133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32"/>
      <c r="AG218" s="92"/>
      <c r="AH218" s="92"/>
      <c r="AI218" s="92"/>
      <c r="AJ218" s="92"/>
      <c r="AK218" s="92"/>
      <c r="AL218" s="92"/>
      <c r="AM218" s="92"/>
      <c r="AN218" s="92"/>
      <c r="AO218" s="92"/>
      <c r="AP218" s="92"/>
      <c r="AQ218" s="92"/>
      <c r="AR218" s="92"/>
      <c r="AS218" s="92"/>
      <c r="AT218" s="93"/>
      <c r="AU218" s="94"/>
      <c r="AV218" s="1878">
        <f t="shared" si="153"/>
        <v>0</v>
      </c>
      <c r="AW218" s="1878">
        <f t="shared" si="154"/>
        <v>0</v>
      </c>
      <c r="AX218" s="187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29"/>
      <c r="C219" s="1330"/>
      <c r="D219" s="80"/>
      <c r="E219" s="87">
        <f t="shared" si="149"/>
        <v>0</v>
      </c>
      <c r="F219" s="88"/>
      <c r="G219" s="89">
        <f t="shared" si="150"/>
        <v>0</v>
      </c>
      <c r="H219" s="90">
        <f t="shared" si="151"/>
        <v>0</v>
      </c>
      <c r="I219" s="1332"/>
      <c r="J219" s="91"/>
      <c r="K219" s="133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32"/>
      <c r="AG219" s="92"/>
      <c r="AH219" s="92"/>
      <c r="AI219" s="92"/>
      <c r="AJ219" s="92"/>
      <c r="AK219" s="92"/>
      <c r="AL219" s="92"/>
      <c r="AM219" s="92"/>
      <c r="AN219" s="92"/>
      <c r="AO219" s="92"/>
      <c r="AP219" s="92"/>
      <c r="AQ219" s="92"/>
      <c r="AR219" s="92"/>
      <c r="AS219" s="92"/>
      <c r="AT219" s="93"/>
      <c r="AU219" s="94"/>
      <c r="AV219" s="1878">
        <f t="shared" si="153"/>
        <v>0</v>
      </c>
      <c r="AW219" s="1878">
        <f t="shared" si="154"/>
        <v>0</v>
      </c>
      <c r="AX219" s="187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29"/>
      <c r="C220" s="1330"/>
      <c r="D220" s="80"/>
      <c r="E220" s="87">
        <f t="shared" si="149"/>
        <v>0</v>
      </c>
      <c r="F220" s="88"/>
      <c r="G220" s="89">
        <f t="shared" si="150"/>
        <v>0</v>
      </c>
      <c r="H220" s="90">
        <f t="shared" si="151"/>
        <v>0</v>
      </c>
      <c r="I220" s="1332"/>
      <c r="J220" s="91"/>
      <c r="K220" s="133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32"/>
      <c r="AG220" s="92"/>
      <c r="AH220" s="92"/>
      <c r="AI220" s="92"/>
      <c r="AJ220" s="92"/>
      <c r="AK220" s="92"/>
      <c r="AL220" s="92"/>
      <c r="AM220" s="92"/>
      <c r="AN220" s="92"/>
      <c r="AO220" s="92"/>
      <c r="AP220" s="92"/>
      <c r="AQ220" s="92"/>
      <c r="AR220" s="92"/>
      <c r="AS220" s="92"/>
      <c r="AT220" s="93"/>
      <c r="AU220" s="94"/>
      <c r="AV220" s="1878">
        <f t="shared" si="153"/>
        <v>0</v>
      </c>
      <c r="AW220" s="1878">
        <f t="shared" si="154"/>
        <v>0</v>
      </c>
      <c r="AX220" s="187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29"/>
      <c r="C221" s="1330"/>
      <c r="D221" s="80"/>
      <c r="E221" s="87">
        <f t="shared" si="149"/>
        <v>0</v>
      </c>
      <c r="F221" s="88"/>
      <c r="G221" s="89">
        <f t="shared" si="150"/>
        <v>0</v>
      </c>
      <c r="H221" s="90">
        <f t="shared" si="151"/>
        <v>0</v>
      </c>
      <c r="I221" s="1332"/>
      <c r="J221" s="91"/>
      <c r="K221" s="133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32"/>
      <c r="AG221" s="92"/>
      <c r="AH221" s="92"/>
      <c r="AI221" s="92"/>
      <c r="AJ221" s="92"/>
      <c r="AK221" s="92"/>
      <c r="AL221" s="92"/>
      <c r="AM221" s="92"/>
      <c r="AN221" s="92"/>
      <c r="AO221" s="92"/>
      <c r="AP221" s="92"/>
      <c r="AQ221" s="92"/>
      <c r="AR221" s="92"/>
      <c r="AS221" s="92"/>
      <c r="AT221" s="93"/>
      <c r="AU221" s="94"/>
      <c r="AV221" s="1878">
        <f t="shared" si="153"/>
        <v>0</v>
      </c>
      <c r="AW221" s="1878">
        <f t="shared" si="154"/>
        <v>0</v>
      </c>
      <c r="AX221" s="187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29"/>
      <c r="C222" s="1330"/>
      <c r="D222" s="80"/>
      <c r="E222" s="87">
        <f t="shared" si="149"/>
        <v>0</v>
      </c>
      <c r="F222" s="88"/>
      <c r="G222" s="89">
        <f t="shared" si="150"/>
        <v>0</v>
      </c>
      <c r="H222" s="90">
        <f t="shared" si="151"/>
        <v>0</v>
      </c>
      <c r="I222" s="1332"/>
      <c r="J222" s="91"/>
      <c r="K222" s="133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32"/>
      <c r="AG222" s="92"/>
      <c r="AH222" s="92"/>
      <c r="AI222" s="92"/>
      <c r="AJ222" s="92"/>
      <c r="AK222" s="92"/>
      <c r="AL222" s="92"/>
      <c r="AM222" s="92"/>
      <c r="AN222" s="92"/>
      <c r="AO222" s="92"/>
      <c r="AP222" s="92"/>
      <c r="AQ222" s="92"/>
      <c r="AR222" s="92"/>
      <c r="AS222" s="92"/>
      <c r="AT222" s="93"/>
      <c r="AU222" s="94"/>
      <c r="AV222" s="1878">
        <f t="shared" si="153"/>
        <v>0</v>
      </c>
      <c r="AW222" s="1878">
        <f t="shared" si="154"/>
        <v>0</v>
      </c>
      <c r="AX222" s="187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29"/>
      <c r="C223" s="1330"/>
      <c r="D223" s="80"/>
      <c r="E223" s="87">
        <f t="shared" si="149"/>
        <v>0</v>
      </c>
      <c r="F223" s="88"/>
      <c r="G223" s="89">
        <f t="shared" si="150"/>
        <v>0</v>
      </c>
      <c r="H223" s="90">
        <f t="shared" si="151"/>
        <v>0</v>
      </c>
      <c r="I223" s="1332"/>
      <c r="J223" s="91"/>
      <c r="K223" s="133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32"/>
      <c r="AG223" s="92"/>
      <c r="AH223" s="92"/>
      <c r="AI223" s="92"/>
      <c r="AJ223" s="92"/>
      <c r="AK223" s="92"/>
      <c r="AL223" s="92"/>
      <c r="AM223" s="92"/>
      <c r="AN223" s="92"/>
      <c r="AO223" s="92"/>
      <c r="AP223" s="92"/>
      <c r="AQ223" s="92"/>
      <c r="AR223" s="92"/>
      <c r="AS223" s="92"/>
      <c r="AT223" s="93"/>
      <c r="AU223" s="94"/>
      <c r="AV223" s="1878">
        <f t="shared" si="153"/>
        <v>0</v>
      </c>
      <c r="AW223" s="1878">
        <f t="shared" si="154"/>
        <v>0</v>
      </c>
      <c r="AX223" s="187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29"/>
      <c r="C224" s="1330"/>
      <c r="D224" s="80"/>
      <c r="E224" s="87">
        <f t="shared" si="149"/>
        <v>0</v>
      </c>
      <c r="F224" s="88"/>
      <c r="G224" s="89">
        <f t="shared" si="150"/>
        <v>0</v>
      </c>
      <c r="H224" s="90">
        <f t="shared" si="151"/>
        <v>0</v>
      </c>
      <c r="I224" s="1332"/>
      <c r="J224" s="91"/>
      <c r="K224" s="133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32"/>
      <c r="AG224" s="92"/>
      <c r="AH224" s="92"/>
      <c r="AI224" s="92"/>
      <c r="AJ224" s="92"/>
      <c r="AK224" s="92"/>
      <c r="AL224" s="92"/>
      <c r="AM224" s="92"/>
      <c r="AN224" s="92"/>
      <c r="AO224" s="92"/>
      <c r="AP224" s="92"/>
      <c r="AQ224" s="92"/>
      <c r="AR224" s="92"/>
      <c r="AS224" s="92"/>
      <c r="AT224" s="93"/>
      <c r="AU224" s="94"/>
      <c r="AV224" s="1878">
        <f t="shared" si="153"/>
        <v>0</v>
      </c>
      <c r="AW224" s="1878">
        <f t="shared" si="154"/>
        <v>0</v>
      </c>
      <c r="AX224" s="187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29"/>
      <c r="C225" s="1330"/>
      <c r="D225" s="80"/>
      <c r="E225" s="87">
        <f t="shared" si="149"/>
        <v>0</v>
      </c>
      <c r="F225" s="88"/>
      <c r="G225" s="89">
        <f t="shared" si="150"/>
        <v>0</v>
      </c>
      <c r="H225" s="90">
        <f t="shared" si="151"/>
        <v>0</v>
      </c>
      <c r="I225" s="1332"/>
      <c r="J225" s="91"/>
      <c r="K225" s="133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32"/>
      <c r="AG225" s="92"/>
      <c r="AH225" s="92"/>
      <c r="AI225" s="92"/>
      <c r="AJ225" s="92"/>
      <c r="AK225" s="92"/>
      <c r="AL225" s="92"/>
      <c r="AM225" s="92"/>
      <c r="AN225" s="92"/>
      <c r="AO225" s="92"/>
      <c r="AP225" s="92"/>
      <c r="AQ225" s="92"/>
      <c r="AR225" s="92"/>
      <c r="AS225" s="92"/>
      <c r="AT225" s="93"/>
      <c r="AU225" s="94"/>
      <c r="AV225" s="1878">
        <f t="shared" si="153"/>
        <v>0</v>
      </c>
      <c r="AW225" s="1878">
        <f t="shared" si="154"/>
        <v>0</v>
      </c>
      <c r="AX225" s="187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29"/>
      <c r="C226" s="1330"/>
      <c r="D226" s="80"/>
      <c r="E226" s="87">
        <f t="shared" si="149"/>
        <v>0</v>
      </c>
      <c r="F226" s="88"/>
      <c r="G226" s="89">
        <f t="shared" si="150"/>
        <v>0</v>
      </c>
      <c r="H226" s="90">
        <f t="shared" si="151"/>
        <v>0</v>
      </c>
      <c r="I226" s="1332"/>
      <c r="J226" s="91"/>
      <c r="K226" s="133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32"/>
      <c r="AG226" s="92"/>
      <c r="AH226" s="92"/>
      <c r="AI226" s="92"/>
      <c r="AJ226" s="92"/>
      <c r="AK226" s="92"/>
      <c r="AL226" s="92"/>
      <c r="AM226" s="92"/>
      <c r="AN226" s="92"/>
      <c r="AO226" s="92"/>
      <c r="AP226" s="92"/>
      <c r="AQ226" s="92"/>
      <c r="AR226" s="92"/>
      <c r="AS226" s="92"/>
      <c r="AT226" s="93"/>
      <c r="AU226" s="94"/>
      <c r="AV226" s="1878">
        <f t="shared" si="153"/>
        <v>0</v>
      </c>
      <c r="AW226" s="1878">
        <f t="shared" si="154"/>
        <v>0</v>
      </c>
      <c r="AX226" s="187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29"/>
      <c r="C227" s="1330"/>
      <c r="D227" s="80"/>
      <c r="E227" s="87">
        <f t="shared" si="149"/>
        <v>0</v>
      </c>
      <c r="F227" s="88"/>
      <c r="G227" s="89">
        <f t="shared" si="150"/>
        <v>0</v>
      </c>
      <c r="H227" s="90">
        <f t="shared" si="151"/>
        <v>0</v>
      </c>
      <c r="I227" s="1332"/>
      <c r="J227" s="91"/>
      <c r="K227" s="133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32"/>
      <c r="AG227" s="92"/>
      <c r="AH227" s="92"/>
      <c r="AI227" s="92"/>
      <c r="AJ227" s="92"/>
      <c r="AK227" s="92"/>
      <c r="AL227" s="92"/>
      <c r="AM227" s="92"/>
      <c r="AN227" s="92"/>
      <c r="AO227" s="92"/>
      <c r="AP227" s="92"/>
      <c r="AQ227" s="92"/>
      <c r="AR227" s="92"/>
      <c r="AS227" s="92"/>
      <c r="AT227" s="93"/>
      <c r="AU227" s="94"/>
      <c r="AV227" s="1878">
        <f t="shared" si="153"/>
        <v>0</v>
      </c>
      <c r="AW227" s="1878">
        <f t="shared" si="154"/>
        <v>0</v>
      </c>
      <c r="AX227" s="187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29"/>
      <c r="C228" s="1330"/>
      <c r="D228" s="80"/>
      <c r="E228" s="87">
        <f t="shared" si="149"/>
        <v>0</v>
      </c>
      <c r="F228" s="88"/>
      <c r="G228" s="89">
        <f t="shared" si="150"/>
        <v>0</v>
      </c>
      <c r="H228" s="90">
        <f t="shared" si="151"/>
        <v>0</v>
      </c>
      <c r="I228" s="1332"/>
      <c r="J228" s="91"/>
      <c r="K228" s="133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32"/>
      <c r="AG228" s="92"/>
      <c r="AH228" s="92"/>
      <c r="AI228" s="92"/>
      <c r="AJ228" s="92"/>
      <c r="AK228" s="92"/>
      <c r="AL228" s="92"/>
      <c r="AM228" s="92"/>
      <c r="AN228" s="92"/>
      <c r="AO228" s="92"/>
      <c r="AP228" s="92"/>
      <c r="AQ228" s="92"/>
      <c r="AR228" s="92"/>
      <c r="AS228" s="92"/>
      <c r="AT228" s="93"/>
      <c r="AU228" s="94"/>
      <c r="AV228" s="1878">
        <f t="shared" si="153"/>
        <v>0</v>
      </c>
      <c r="AW228" s="1878">
        <f t="shared" si="154"/>
        <v>0</v>
      </c>
      <c r="AX228" s="187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29"/>
      <c r="C229" s="1330"/>
      <c r="D229" s="80"/>
      <c r="E229" s="87">
        <f t="shared" si="149"/>
        <v>0</v>
      </c>
      <c r="F229" s="88"/>
      <c r="G229" s="89">
        <f t="shared" si="150"/>
        <v>0</v>
      </c>
      <c r="H229" s="90">
        <f t="shared" si="151"/>
        <v>0</v>
      </c>
      <c r="I229" s="1332"/>
      <c r="J229" s="91"/>
      <c r="K229" s="133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32"/>
      <c r="AG229" s="92"/>
      <c r="AH229" s="92"/>
      <c r="AI229" s="92"/>
      <c r="AJ229" s="92"/>
      <c r="AK229" s="92"/>
      <c r="AL229" s="92"/>
      <c r="AM229" s="92"/>
      <c r="AN229" s="92"/>
      <c r="AO229" s="92"/>
      <c r="AP229" s="92"/>
      <c r="AQ229" s="92"/>
      <c r="AR229" s="92"/>
      <c r="AS229" s="92"/>
      <c r="AT229" s="93"/>
      <c r="AU229" s="94"/>
      <c r="AV229" s="1878">
        <f t="shared" si="153"/>
        <v>0</v>
      </c>
      <c r="AW229" s="1878">
        <f t="shared" si="154"/>
        <v>0</v>
      </c>
      <c r="AX229" s="187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29"/>
      <c r="C230" s="1330"/>
      <c r="D230" s="80"/>
      <c r="E230" s="87">
        <f t="shared" si="149"/>
        <v>0</v>
      </c>
      <c r="F230" s="88"/>
      <c r="G230" s="89">
        <f t="shared" si="150"/>
        <v>0</v>
      </c>
      <c r="H230" s="90">
        <f t="shared" si="151"/>
        <v>0</v>
      </c>
      <c r="I230" s="1332"/>
      <c r="J230" s="91"/>
      <c r="K230" s="133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32"/>
      <c r="AG230" s="92"/>
      <c r="AH230" s="92"/>
      <c r="AI230" s="92"/>
      <c r="AJ230" s="92"/>
      <c r="AK230" s="92"/>
      <c r="AL230" s="92"/>
      <c r="AM230" s="92"/>
      <c r="AN230" s="92"/>
      <c r="AO230" s="92"/>
      <c r="AP230" s="92"/>
      <c r="AQ230" s="92"/>
      <c r="AR230" s="92"/>
      <c r="AS230" s="92"/>
      <c r="AT230" s="93"/>
      <c r="AU230" s="94"/>
      <c r="AV230" s="1878">
        <f t="shared" si="153"/>
        <v>0</v>
      </c>
      <c r="AW230" s="1878">
        <f t="shared" si="154"/>
        <v>0</v>
      </c>
      <c r="AX230" s="187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29"/>
      <c r="C231" s="1330"/>
      <c r="D231" s="80"/>
      <c r="E231" s="87">
        <f t="shared" si="149"/>
        <v>0</v>
      </c>
      <c r="F231" s="88"/>
      <c r="G231" s="89">
        <f t="shared" si="150"/>
        <v>0</v>
      </c>
      <c r="H231" s="90">
        <f t="shared" si="151"/>
        <v>0</v>
      </c>
      <c r="I231" s="1332"/>
      <c r="J231" s="91"/>
      <c r="K231" s="133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30"/>
      <c r="AG231" s="92"/>
      <c r="AH231" s="92"/>
      <c r="AI231" s="92"/>
      <c r="AJ231" s="92"/>
      <c r="AK231" s="92"/>
      <c r="AL231" s="92"/>
      <c r="AM231" s="92"/>
      <c r="AN231" s="92"/>
      <c r="AO231" s="92"/>
      <c r="AP231" s="92"/>
      <c r="AQ231" s="92"/>
      <c r="AR231" s="92"/>
      <c r="AS231" s="92"/>
      <c r="AT231" s="93"/>
      <c r="AU231" s="94"/>
      <c r="AV231" s="1878">
        <f t="shared" si="153"/>
        <v>0</v>
      </c>
      <c r="AW231" s="1878">
        <f t="shared" si="154"/>
        <v>0</v>
      </c>
      <c r="AX231" s="187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29"/>
      <c r="C232" s="1330"/>
      <c r="D232" s="80"/>
      <c r="E232" s="87">
        <f t="shared" si="149"/>
        <v>0</v>
      </c>
      <c r="F232" s="88"/>
      <c r="G232" s="89">
        <f t="shared" si="150"/>
        <v>0</v>
      </c>
      <c r="H232" s="90">
        <f t="shared" si="151"/>
        <v>0</v>
      </c>
      <c r="I232" s="1330"/>
      <c r="J232" s="91"/>
      <c r="K232" s="133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30"/>
      <c r="AG232" s="92"/>
      <c r="AH232" s="92"/>
      <c r="AI232" s="92"/>
      <c r="AJ232" s="92"/>
      <c r="AK232" s="92"/>
      <c r="AL232" s="92"/>
      <c r="AM232" s="92"/>
      <c r="AN232" s="92"/>
      <c r="AO232" s="92"/>
      <c r="AP232" s="92"/>
      <c r="AQ232" s="92"/>
      <c r="AR232" s="92"/>
      <c r="AS232" s="92"/>
      <c r="AT232" s="93"/>
      <c r="AU232" s="94"/>
      <c r="AV232" s="1878">
        <f t="shared" si="153"/>
        <v>0</v>
      </c>
      <c r="AW232" s="1878">
        <f t="shared" si="154"/>
        <v>0</v>
      </c>
      <c r="AX232" s="187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29"/>
      <c r="C233" s="1330"/>
      <c r="D233" s="80"/>
      <c r="E233" s="87">
        <f t="shared" si="149"/>
        <v>0</v>
      </c>
      <c r="F233" s="88"/>
      <c r="G233" s="89">
        <f t="shared" si="150"/>
        <v>0</v>
      </c>
      <c r="H233" s="90">
        <f t="shared" si="151"/>
        <v>0</v>
      </c>
      <c r="I233" s="1330"/>
      <c r="J233" s="91"/>
      <c r="K233" s="133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30"/>
      <c r="AG233" s="92"/>
      <c r="AH233" s="92"/>
      <c r="AI233" s="92"/>
      <c r="AJ233" s="92"/>
      <c r="AK233" s="92"/>
      <c r="AL233" s="92"/>
      <c r="AM233" s="92"/>
      <c r="AN233" s="92"/>
      <c r="AO233" s="92"/>
      <c r="AP233" s="92"/>
      <c r="AQ233" s="92"/>
      <c r="AR233" s="92"/>
      <c r="AS233" s="92"/>
      <c r="AT233" s="93"/>
      <c r="AU233" s="94"/>
      <c r="AV233" s="1878">
        <f t="shared" si="153"/>
        <v>0</v>
      </c>
      <c r="AW233" s="1878">
        <f t="shared" si="154"/>
        <v>0</v>
      </c>
      <c r="AX233" s="187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29"/>
      <c r="C234" s="1330"/>
      <c r="D234" s="80"/>
      <c r="E234" s="87">
        <f t="shared" si="149"/>
        <v>0</v>
      </c>
      <c r="F234" s="88"/>
      <c r="G234" s="89">
        <f t="shared" si="150"/>
        <v>0</v>
      </c>
      <c r="H234" s="90">
        <f t="shared" si="151"/>
        <v>0</v>
      </c>
      <c r="I234" s="1330"/>
      <c r="J234" s="91"/>
      <c r="K234" s="133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30"/>
      <c r="AG234" s="92"/>
      <c r="AH234" s="92"/>
      <c r="AI234" s="92"/>
      <c r="AJ234" s="92"/>
      <c r="AK234" s="92"/>
      <c r="AL234" s="92"/>
      <c r="AM234" s="92"/>
      <c r="AN234" s="92"/>
      <c r="AO234" s="92"/>
      <c r="AP234" s="92"/>
      <c r="AQ234" s="92"/>
      <c r="AR234" s="92"/>
      <c r="AS234" s="92"/>
      <c r="AT234" s="93"/>
      <c r="AU234" s="94"/>
      <c r="AV234" s="1878">
        <f t="shared" si="153"/>
        <v>0</v>
      </c>
      <c r="AW234" s="1878">
        <f t="shared" si="154"/>
        <v>0</v>
      </c>
      <c r="AX234" s="187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29"/>
      <c r="C235" s="1330"/>
      <c r="D235" s="80"/>
      <c r="E235" s="87">
        <f t="shared" si="149"/>
        <v>0</v>
      </c>
      <c r="F235" s="88"/>
      <c r="G235" s="89">
        <f t="shared" si="150"/>
        <v>0</v>
      </c>
      <c r="H235" s="90">
        <f t="shared" si="151"/>
        <v>0</v>
      </c>
      <c r="I235" s="1330"/>
      <c r="J235" s="91"/>
      <c r="K235" s="133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30"/>
      <c r="AG235" s="92"/>
      <c r="AH235" s="92"/>
      <c r="AI235" s="92"/>
      <c r="AJ235" s="92"/>
      <c r="AK235" s="92"/>
      <c r="AL235" s="92"/>
      <c r="AM235" s="92"/>
      <c r="AN235" s="92"/>
      <c r="AO235" s="92"/>
      <c r="AP235" s="92"/>
      <c r="AQ235" s="92"/>
      <c r="AR235" s="92"/>
      <c r="AS235" s="92"/>
      <c r="AT235" s="93"/>
      <c r="AU235" s="94"/>
      <c r="AV235" s="1878">
        <f t="shared" si="153"/>
        <v>0</v>
      </c>
      <c r="AW235" s="1878">
        <f t="shared" si="154"/>
        <v>0</v>
      </c>
      <c r="AX235" s="187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29"/>
      <c r="C236" s="1330"/>
      <c r="D236" s="80"/>
      <c r="E236" s="87">
        <f t="shared" si="149"/>
        <v>0</v>
      </c>
      <c r="F236" s="88"/>
      <c r="G236" s="89">
        <f t="shared" si="150"/>
        <v>0</v>
      </c>
      <c r="H236" s="90">
        <f t="shared" si="151"/>
        <v>0</v>
      </c>
      <c r="I236" s="1330"/>
      <c r="J236" s="91"/>
      <c r="K236" s="133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30"/>
      <c r="AG236" s="92"/>
      <c r="AH236" s="92"/>
      <c r="AI236" s="92"/>
      <c r="AJ236" s="92"/>
      <c r="AK236" s="92"/>
      <c r="AL236" s="92"/>
      <c r="AM236" s="92"/>
      <c r="AN236" s="92"/>
      <c r="AO236" s="92"/>
      <c r="AP236" s="92"/>
      <c r="AQ236" s="92"/>
      <c r="AR236" s="92"/>
      <c r="AS236" s="92"/>
      <c r="AT236" s="93"/>
      <c r="AU236" s="94"/>
      <c r="AV236" s="1878">
        <f t="shared" si="153"/>
        <v>0</v>
      </c>
      <c r="AW236" s="1878">
        <f t="shared" si="154"/>
        <v>0</v>
      </c>
      <c r="AX236" s="187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29"/>
      <c r="C237" s="1330"/>
      <c r="D237" s="80"/>
      <c r="E237" s="87">
        <f t="shared" si="149"/>
        <v>0</v>
      </c>
      <c r="F237" s="88"/>
      <c r="G237" s="89">
        <f t="shared" si="150"/>
        <v>0</v>
      </c>
      <c r="H237" s="90">
        <f t="shared" si="151"/>
        <v>0</v>
      </c>
      <c r="I237" s="1330"/>
      <c r="J237" s="91"/>
      <c r="K237" s="133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30"/>
      <c r="AG237" s="92"/>
      <c r="AH237" s="92"/>
      <c r="AI237" s="92"/>
      <c r="AJ237" s="92"/>
      <c r="AK237" s="92"/>
      <c r="AL237" s="92"/>
      <c r="AM237" s="92"/>
      <c r="AN237" s="92"/>
      <c r="AO237" s="92"/>
      <c r="AP237" s="92"/>
      <c r="AQ237" s="92"/>
      <c r="AR237" s="92"/>
      <c r="AS237" s="92"/>
      <c r="AT237" s="93"/>
      <c r="AU237" s="94"/>
      <c r="AV237" s="1878">
        <f t="shared" si="153"/>
        <v>0</v>
      </c>
      <c r="AW237" s="1878">
        <f t="shared" si="154"/>
        <v>0</v>
      </c>
      <c r="AX237" s="187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29"/>
      <c r="C238" s="1330"/>
      <c r="D238" s="80"/>
      <c r="E238" s="87">
        <f t="shared" si="149"/>
        <v>0</v>
      </c>
      <c r="F238" s="88"/>
      <c r="G238" s="89">
        <f t="shared" si="150"/>
        <v>0</v>
      </c>
      <c r="H238" s="90">
        <f t="shared" si="151"/>
        <v>0</v>
      </c>
      <c r="I238" s="1330"/>
      <c r="J238" s="91"/>
      <c r="K238" s="133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30"/>
      <c r="AG238" s="92"/>
      <c r="AH238" s="92"/>
      <c r="AI238" s="92"/>
      <c r="AJ238" s="92"/>
      <c r="AK238" s="92"/>
      <c r="AL238" s="92"/>
      <c r="AM238" s="92"/>
      <c r="AN238" s="92"/>
      <c r="AO238" s="92"/>
      <c r="AP238" s="92"/>
      <c r="AQ238" s="92"/>
      <c r="AR238" s="92"/>
      <c r="AS238" s="92"/>
      <c r="AT238" s="93"/>
      <c r="AU238" s="94"/>
      <c r="AV238" s="1878">
        <f t="shared" si="153"/>
        <v>0</v>
      </c>
      <c r="AW238" s="1878">
        <f t="shared" si="154"/>
        <v>0</v>
      </c>
      <c r="AX238" s="187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31"/>
      <c r="C239" s="1332"/>
      <c r="D239" s="80"/>
      <c r="E239" s="87">
        <f t="shared" si="149"/>
        <v>0</v>
      </c>
      <c r="F239" s="88"/>
      <c r="G239" s="89">
        <f t="shared" si="150"/>
        <v>0</v>
      </c>
      <c r="H239" s="90">
        <f t="shared" si="151"/>
        <v>0</v>
      </c>
      <c r="I239" s="1330"/>
      <c r="J239" s="91"/>
      <c r="K239" s="1330"/>
      <c r="L239" s="91"/>
      <c r="M239" s="1330"/>
      <c r="N239" s="91"/>
      <c r="O239" s="91"/>
      <c r="P239" s="91"/>
      <c r="Q239" s="91"/>
      <c r="R239" s="91"/>
      <c r="S239" s="91"/>
      <c r="T239" s="91"/>
      <c r="U239" s="91"/>
      <c r="V239" s="91"/>
      <c r="W239" s="91"/>
      <c r="X239" s="91"/>
      <c r="Y239" s="91"/>
      <c r="Z239" s="91"/>
      <c r="AA239" s="91"/>
      <c r="AB239" s="91"/>
      <c r="AC239" s="87">
        <f t="shared" si="152"/>
        <v>0</v>
      </c>
      <c r="AD239" s="92"/>
      <c r="AE239" s="92"/>
      <c r="AF239" s="1330"/>
      <c r="AG239" s="92"/>
      <c r="AH239" s="92"/>
      <c r="AI239" s="92"/>
      <c r="AJ239" s="92"/>
      <c r="AK239" s="92"/>
      <c r="AL239" s="92"/>
      <c r="AM239" s="92"/>
      <c r="AN239" s="92"/>
      <c r="AO239" s="92"/>
      <c r="AP239" s="92"/>
      <c r="AQ239" s="92"/>
      <c r="AR239" s="92"/>
      <c r="AS239" s="92"/>
      <c r="AT239" s="93"/>
      <c r="AU239" s="94"/>
      <c r="AV239" s="1878">
        <f t="shared" si="153"/>
        <v>0</v>
      </c>
      <c r="AW239" s="1878">
        <f t="shared" si="154"/>
        <v>0</v>
      </c>
      <c r="AX239" s="187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78">
        <f t="shared" si="153"/>
        <v>0</v>
      </c>
      <c r="AW240" s="1878">
        <f t="shared" si="154"/>
        <v>0</v>
      </c>
      <c r="AX240" s="187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78">
        <f t="shared" si="153"/>
        <v>0</v>
      </c>
      <c r="AW241" s="1878">
        <f t="shared" si="154"/>
        <v>0</v>
      </c>
      <c r="AX241" s="187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78">
        <f t="shared" si="153"/>
        <v>0</v>
      </c>
      <c r="AW242" s="1878">
        <f t="shared" si="154"/>
        <v>0</v>
      </c>
      <c r="AX242" s="187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78">
        <f t="shared" si="153"/>
        <v>0</v>
      </c>
      <c r="AW243" s="1878">
        <f t="shared" si="154"/>
        <v>0</v>
      </c>
      <c r="AX243" s="187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78">
        <f t="shared" si="153"/>
        <v>0</v>
      </c>
      <c r="AW244" s="1878">
        <f t="shared" si="154"/>
        <v>0</v>
      </c>
      <c r="AX244" s="187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78">
        <f t="shared" si="153"/>
        <v>0</v>
      </c>
      <c r="AW245" s="1878">
        <f t="shared" si="154"/>
        <v>0</v>
      </c>
      <c r="AX245" s="187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78">
        <f t="shared" si="153"/>
        <v>0</v>
      </c>
      <c r="AW246" s="1878">
        <f t="shared" si="154"/>
        <v>0</v>
      </c>
      <c r="AX246" s="187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78">
        <f t="shared" si="153"/>
        <v>0</v>
      </c>
      <c r="AW247" s="1878">
        <f t="shared" si="154"/>
        <v>0</v>
      </c>
      <c r="AX247" s="187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78">
        <f t="shared" si="153"/>
        <v>0</v>
      </c>
      <c r="AW248" s="1878">
        <f t="shared" si="154"/>
        <v>0</v>
      </c>
      <c r="AX248" s="187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78">
        <f t="shared" si="153"/>
        <v>0</v>
      </c>
      <c r="AW249" s="1878">
        <f t="shared" si="154"/>
        <v>0</v>
      </c>
      <c r="AX249" s="187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78">
        <f t="shared" si="153"/>
        <v>0</v>
      </c>
      <c r="AW250" s="1878">
        <f t="shared" si="154"/>
        <v>0</v>
      </c>
      <c r="AX250" s="187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78">
        <f t="shared" si="153"/>
        <v>0</v>
      </c>
      <c r="AW251" s="1878">
        <f t="shared" si="154"/>
        <v>0</v>
      </c>
      <c r="AX251" s="187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78">
        <f t="shared" si="153"/>
        <v>0</v>
      </c>
      <c r="AW252" s="1878">
        <f t="shared" si="154"/>
        <v>0</v>
      </c>
      <c r="AX252" s="187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78">
        <f t="shared" si="153"/>
        <v>0</v>
      </c>
      <c r="AW253" s="1878">
        <f t="shared" si="154"/>
        <v>0</v>
      </c>
      <c r="AX253" s="187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78">
        <f t="shared" si="153"/>
        <v>0</v>
      </c>
      <c r="AW254" s="1878">
        <f t="shared" si="154"/>
        <v>0</v>
      </c>
      <c r="AX254" s="187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78">
        <f t="shared" si="153"/>
        <v>0</v>
      </c>
      <c r="AW255" s="1878">
        <f t="shared" si="154"/>
        <v>0</v>
      </c>
      <c r="AX255" s="187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78">
        <f t="shared" si="153"/>
        <v>0</v>
      </c>
      <c r="AW256" s="1878">
        <f t="shared" si="154"/>
        <v>0</v>
      </c>
      <c r="AX256" s="187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78">
        <f t="shared" si="153"/>
        <v>0</v>
      </c>
      <c r="AW257" s="1878">
        <f t="shared" si="154"/>
        <v>0</v>
      </c>
      <c r="AX257" s="187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78">
        <f t="shared" si="153"/>
        <v>0</v>
      </c>
      <c r="AW258" s="1878">
        <f t="shared" si="154"/>
        <v>0</v>
      </c>
      <c r="AX258" s="187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78">
        <f t="shared" si="153"/>
        <v>0</v>
      </c>
      <c r="AW259" s="1878">
        <f t="shared" si="154"/>
        <v>0</v>
      </c>
      <c r="AX259" s="187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78">
        <f t="shared" si="153"/>
        <v>0</v>
      </c>
      <c r="AW260" s="1878">
        <f t="shared" si="154"/>
        <v>0</v>
      </c>
      <c r="AX260" s="187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78">
        <f t="shared" si="153"/>
        <v>0</v>
      </c>
      <c r="AW261" s="1878">
        <f t="shared" si="154"/>
        <v>0</v>
      </c>
      <c r="AX261" s="187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78">
        <f t="shared" si="153"/>
        <v>0</v>
      </c>
      <c r="AW262" s="1878">
        <f t="shared" si="154"/>
        <v>0</v>
      </c>
      <c r="AX262" s="187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78">
        <f t="shared" si="153"/>
        <v>0</v>
      </c>
      <c r="AW263" s="1878">
        <f t="shared" si="154"/>
        <v>0</v>
      </c>
      <c r="AX263" s="187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78">
        <f t="shared" si="153"/>
        <v>0</v>
      </c>
      <c r="AW264" s="1878">
        <f t="shared" si="154"/>
        <v>0</v>
      </c>
      <c r="AX264" s="187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78">
        <f t="shared" si="153"/>
        <v>0</v>
      </c>
      <c r="AW265" s="1878">
        <f t="shared" si="154"/>
        <v>0</v>
      </c>
      <c r="AX265" s="187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78">
        <f t="shared" si="153"/>
        <v>0</v>
      </c>
      <c r="AW266" s="1878">
        <f t="shared" si="154"/>
        <v>0</v>
      </c>
      <c r="AX266" s="187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78">
        <f t="shared" si="153"/>
        <v>0</v>
      </c>
      <c r="AW267" s="1878">
        <f t="shared" si="154"/>
        <v>0</v>
      </c>
      <c r="AX267" s="187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78">
        <f t="shared" si="153"/>
        <v>0</v>
      </c>
      <c r="AW268" s="1878">
        <f t="shared" si="154"/>
        <v>0</v>
      </c>
      <c r="AX268" s="187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78">
        <f t="shared" si="153"/>
        <v>0</v>
      </c>
      <c r="AW269" s="1878">
        <f t="shared" si="154"/>
        <v>0</v>
      </c>
      <c r="AX269" s="187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78">
        <f t="shared" si="153"/>
        <v>0</v>
      </c>
      <c r="AW270" s="1878">
        <f t="shared" si="154"/>
        <v>0</v>
      </c>
      <c r="AX270" s="187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78">
        <f t="shared" si="153"/>
        <v>0</v>
      </c>
      <c r="AW271" s="1878">
        <f t="shared" si="154"/>
        <v>0</v>
      </c>
      <c r="AX271" s="187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78">
        <f t="shared" si="153"/>
        <v>0</v>
      </c>
      <c r="AW272" s="1878">
        <f t="shared" si="154"/>
        <v>0</v>
      </c>
      <c r="AX272" s="187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78">
        <f t="shared" si="153"/>
        <v>0</v>
      </c>
      <c r="AW273" s="1878">
        <f t="shared" si="154"/>
        <v>0</v>
      </c>
      <c r="AX273" s="187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78">
        <f t="shared" si="153"/>
        <v>0</v>
      </c>
      <c r="AW274" s="1878">
        <f t="shared" si="154"/>
        <v>0</v>
      </c>
      <c r="AX274" s="187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78">
        <f t="shared" si="153"/>
        <v>0</v>
      </c>
      <c r="AW275" s="1878">
        <f t="shared" si="154"/>
        <v>0</v>
      </c>
      <c r="AX275" s="187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78">
        <f t="shared" si="153"/>
        <v>0</v>
      </c>
      <c r="AW276" s="1878">
        <f t="shared" si="154"/>
        <v>0</v>
      </c>
      <c r="AX276" s="187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78">
        <f t="shared" si="153"/>
        <v>0</v>
      </c>
      <c r="AW277" s="1878">
        <f t="shared" si="154"/>
        <v>0</v>
      </c>
      <c r="AX277" s="187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78">
        <f t="shared" si="153"/>
        <v>0</v>
      </c>
      <c r="AW278" s="1878">
        <f t="shared" si="154"/>
        <v>0</v>
      </c>
      <c r="AX278" s="187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78">
        <f t="shared" si="153"/>
        <v>0</v>
      </c>
      <c r="AW279" s="1878">
        <f t="shared" si="154"/>
        <v>0</v>
      </c>
      <c r="AX279" s="187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78">
        <f t="shared" si="153"/>
        <v>0</v>
      </c>
      <c r="AW280" s="1878">
        <f t="shared" si="154"/>
        <v>0</v>
      </c>
      <c r="AX280" s="187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78">
        <f t="shared" si="153"/>
        <v>0</v>
      </c>
      <c r="AW281" s="1878">
        <f t="shared" si="154"/>
        <v>0</v>
      </c>
      <c r="AX281" s="187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78">
        <f t="shared" si="153"/>
        <v>0</v>
      </c>
      <c r="AW282" s="1878">
        <f t="shared" si="154"/>
        <v>0</v>
      </c>
      <c r="AX282" s="187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78">
        <f t="shared" si="153"/>
        <v>0</v>
      </c>
      <c r="AW283" s="1878">
        <f t="shared" si="154"/>
        <v>0</v>
      </c>
      <c r="AX283" s="187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78">
        <f t="shared" si="153"/>
        <v>0</v>
      </c>
      <c r="AW284" s="1878">
        <f t="shared" si="154"/>
        <v>0</v>
      </c>
      <c r="AX284" s="187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78">
        <f t="shared" si="153"/>
        <v>0</v>
      </c>
      <c r="AW285" s="1878">
        <f t="shared" si="154"/>
        <v>0</v>
      </c>
      <c r="AX285" s="187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78">
        <f t="shared" si="153"/>
        <v>0</v>
      </c>
      <c r="AW286" s="1878">
        <f t="shared" si="154"/>
        <v>0</v>
      </c>
      <c r="AX286" s="187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78">
        <f t="shared" si="153"/>
        <v>0</v>
      </c>
      <c r="AW287" s="1878">
        <f t="shared" si="154"/>
        <v>0</v>
      </c>
      <c r="AX287" s="187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78">
        <f t="shared" si="153"/>
        <v>0</v>
      </c>
      <c r="AW288" s="1878">
        <f t="shared" si="154"/>
        <v>0</v>
      </c>
      <c r="AX288" s="187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78">
        <f t="shared" si="153"/>
        <v>0</v>
      </c>
      <c r="AW289" s="1878">
        <f t="shared" si="154"/>
        <v>0</v>
      </c>
      <c r="AX289" s="187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78">
        <f t="shared" si="153"/>
        <v>0</v>
      </c>
      <c r="AW290" s="1878">
        <f t="shared" si="154"/>
        <v>0</v>
      </c>
      <c r="AX290" s="187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78">
        <f t="shared" si="153"/>
        <v>0</v>
      </c>
      <c r="AW291" s="1878">
        <f t="shared" si="154"/>
        <v>0</v>
      </c>
      <c r="AX291" s="187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78">
        <f t="shared" si="153"/>
        <v>0</v>
      </c>
      <c r="AW292" s="1878">
        <f t="shared" si="154"/>
        <v>0</v>
      </c>
      <c r="AX292" s="187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78">
        <f t="shared" si="153"/>
        <v>0</v>
      </c>
      <c r="AW293" s="1878">
        <f t="shared" si="154"/>
        <v>0</v>
      </c>
      <c r="AX293" s="187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78">
        <f t="shared" si="153"/>
        <v>0</v>
      </c>
      <c r="AW294" s="1878">
        <f t="shared" si="154"/>
        <v>0</v>
      </c>
      <c r="AX294" s="187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78">
        <f t="shared" si="153"/>
        <v>0</v>
      </c>
      <c r="AW295" s="1878">
        <f t="shared" si="154"/>
        <v>0</v>
      </c>
      <c r="AX295" s="187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78">
        <f t="shared" si="153"/>
        <v>0</v>
      </c>
      <c r="AW296" s="1878">
        <f t="shared" si="154"/>
        <v>0</v>
      </c>
      <c r="AX296" s="187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29"/>
      <c r="C297" s="1330"/>
      <c r="D297" s="80"/>
      <c r="E297" s="87">
        <f t="shared" ref="E297:E328" si="203">IF($C$3="是",ROUND($A$3*G297/$B$3,2),ROUND($A$3*(G297-AT297)/$B$3,2))</f>
        <v>0</v>
      </c>
      <c r="F297" s="88"/>
      <c r="G297" s="89">
        <f t="shared" si="178"/>
        <v>0</v>
      </c>
      <c r="H297" s="90">
        <f t="shared" si="179"/>
        <v>0</v>
      </c>
      <c r="I297" s="1332"/>
      <c r="J297" s="91"/>
      <c r="K297" s="133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33"/>
      <c r="AG297" s="92"/>
      <c r="AH297" s="92"/>
      <c r="AI297" s="92"/>
      <c r="AJ297" s="92"/>
      <c r="AK297" s="92"/>
      <c r="AL297" s="92"/>
      <c r="AM297" s="92"/>
      <c r="AN297" s="1307"/>
      <c r="AO297" s="92"/>
      <c r="AP297" s="92"/>
      <c r="AQ297" s="92"/>
      <c r="AR297" s="92"/>
      <c r="AS297" s="92"/>
      <c r="AT297" s="93"/>
      <c r="AU297" s="94"/>
      <c r="AV297" s="1878">
        <f t="shared" ref="AV297:AV328" si="204">A297</f>
        <v>0</v>
      </c>
      <c r="AW297" s="1878">
        <f t="shared" ref="AW297:AW328" si="205">B297</f>
        <v>0</v>
      </c>
      <c r="AX297" s="187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29"/>
      <c r="C298" s="1330"/>
      <c r="D298" s="80"/>
      <c r="E298" s="87">
        <f t="shared" si="203"/>
        <v>0</v>
      </c>
      <c r="F298" s="88"/>
      <c r="G298" s="89">
        <f t="shared" si="178"/>
        <v>0</v>
      </c>
      <c r="H298" s="90">
        <f t="shared" si="179"/>
        <v>0</v>
      </c>
      <c r="I298" s="1332"/>
      <c r="J298" s="91"/>
      <c r="K298" s="1332"/>
      <c r="L298" s="91"/>
      <c r="M298" s="1307"/>
      <c r="N298" s="91"/>
      <c r="O298" s="91"/>
      <c r="P298" s="91"/>
      <c r="Q298" s="91"/>
      <c r="R298" s="91"/>
      <c r="S298" s="91"/>
      <c r="T298" s="91"/>
      <c r="U298" s="91"/>
      <c r="V298" s="91"/>
      <c r="W298" s="91"/>
      <c r="X298" s="91"/>
      <c r="Y298" s="91"/>
      <c r="Z298" s="91"/>
      <c r="AA298" s="91"/>
      <c r="AB298" s="91"/>
      <c r="AC298" s="87">
        <f t="shared" si="180"/>
        <v>0</v>
      </c>
      <c r="AD298" s="1307"/>
      <c r="AE298" s="92"/>
      <c r="AF298" s="1333"/>
      <c r="AG298" s="92"/>
      <c r="AH298" s="92"/>
      <c r="AI298" s="92"/>
      <c r="AJ298" s="92"/>
      <c r="AK298" s="92"/>
      <c r="AL298" s="1307"/>
      <c r="AM298" s="92"/>
      <c r="AN298" s="1307"/>
      <c r="AO298" s="92"/>
      <c r="AP298" s="92"/>
      <c r="AQ298" s="92"/>
      <c r="AR298" s="92"/>
      <c r="AS298" s="92"/>
      <c r="AT298" s="93"/>
      <c r="AU298" s="94"/>
      <c r="AV298" s="1878">
        <f t="shared" si="204"/>
        <v>0</v>
      </c>
      <c r="AW298" s="1878">
        <f t="shared" si="205"/>
        <v>0</v>
      </c>
      <c r="AX298" s="187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29"/>
      <c r="C299" s="1330"/>
      <c r="D299" s="80"/>
      <c r="E299" s="87">
        <f t="shared" si="203"/>
        <v>0</v>
      </c>
      <c r="F299" s="88"/>
      <c r="G299" s="89">
        <f t="shared" si="178"/>
        <v>0</v>
      </c>
      <c r="H299" s="90">
        <f t="shared" si="179"/>
        <v>0</v>
      </c>
      <c r="I299" s="1332"/>
      <c r="J299" s="91"/>
      <c r="K299" s="1332"/>
      <c r="L299" s="91"/>
      <c r="M299" s="1307"/>
      <c r="N299" s="91"/>
      <c r="O299" s="91"/>
      <c r="P299" s="91"/>
      <c r="Q299" s="91"/>
      <c r="R299" s="91"/>
      <c r="S299" s="91"/>
      <c r="T299" s="91"/>
      <c r="U299" s="91"/>
      <c r="V299" s="91"/>
      <c r="W299" s="91"/>
      <c r="X299" s="91"/>
      <c r="Y299" s="91"/>
      <c r="Z299" s="91"/>
      <c r="AA299" s="91"/>
      <c r="AB299" s="91"/>
      <c r="AC299" s="87">
        <f t="shared" si="180"/>
        <v>0</v>
      </c>
      <c r="AD299" s="92"/>
      <c r="AE299" s="92"/>
      <c r="AF299" s="1333"/>
      <c r="AG299" s="92"/>
      <c r="AH299" s="92"/>
      <c r="AI299" s="92"/>
      <c r="AJ299" s="92"/>
      <c r="AK299" s="92"/>
      <c r="AL299" s="1307"/>
      <c r="AM299" s="92"/>
      <c r="AN299" s="1307"/>
      <c r="AO299" s="92"/>
      <c r="AP299" s="92"/>
      <c r="AQ299" s="92"/>
      <c r="AR299" s="92"/>
      <c r="AS299" s="92"/>
      <c r="AT299" s="93"/>
      <c r="AU299" s="94"/>
      <c r="AV299" s="1878">
        <f t="shared" si="204"/>
        <v>0</v>
      </c>
      <c r="AW299" s="1878">
        <f t="shared" si="205"/>
        <v>0</v>
      </c>
      <c r="AX299" s="187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29"/>
      <c r="C300" s="1330"/>
      <c r="D300" s="80"/>
      <c r="E300" s="87">
        <f t="shared" si="203"/>
        <v>0</v>
      </c>
      <c r="F300" s="88"/>
      <c r="G300" s="89">
        <f t="shared" si="178"/>
        <v>0</v>
      </c>
      <c r="H300" s="90">
        <f t="shared" si="179"/>
        <v>0</v>
      </c>
      <c r="I300" s="1332"/>
      <c r="J300" s="91"/>
      <c r="K300" s="1332"/>
      <c r="L300" s="91"/>
      <c r="M300" s="91"/>
      <c r="N300" s="91"/>
      <c r="O300" s="1307"/>
      <c r="P300" s="91"/>
      <c r="Q300" s="91"/>
      <c r="R300" s="91"/>
      <c r="S300" s="91"/>
      <c r="T300" s="91"/>
      <c r="U300" s="91"/>
      <c r="V300" s="91"/>
      <c r="W300" s="91"/>
      <c r="X300" s="91"/>
      <c r="Y300" s="91"/>
      <c r="Z300" s="91"/>
      <c r="AA300" s="91"/>
      <c r="AB300" s="91"/>
      <c r="AC300" s="87">
        <f t="shared" si="180"/>
        <v>0</v>
      </c>
      <c r="AD300" s="92"/>
      <c r="AE300" s="92"/>
      <c r="AF300" s="1333"/>
      <c r="AG300" s="92"/>
      <c r="AH300" s="92"/>
      <c r="AI300" s="92"/>
      <c r="AJ300" s="92"/>
      <c r="AK300" s="92"/>
      <c r="AL300" s="92"/>
      <c r="AM300" s="92"/>
      <c r="AN300" s="1307"/>
      <c r="AO300" s="92"/>
      <c r="AP300" s="92"/>
      <c r="AQ300" s="92"/>
      <c r="AR300" s="92"/>
      <c r="AS300" s="92"/>
      <c r="AT300" s="93"/>
      <c r="AU300" s="94"/>
      <c r="AV300" s="1878">
        <f t="shared" si="204"/>
        <v>0</v>
      </c>
      <c r="AW300" s="1878">
        <f t="shared" si="205"/>
        <v>0</v>
      </c>
      <c r="AX300" s="187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29"/>
      <c r="C301" s="1330"/>
      <c r="D301" s="80"/>
      <c r="E301" s="87">
        <f t="shared" si="203"/>
        <v>0</v>
      </c>
      <c r="F301" s="88"/>
      <c r="G301" s="89">
        <f t="shared" si="178"/>
        <v>0</v>
      </c>
      <c r="H301" s="90">
        <f t="shared" si="179"/>
        <v>0</v>
      </c>
      <c r="I301" s="1332"/>
      <c r="J301" s="91"/>
      <c r="K301" s="133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33"/>
      <c r="AG301" s="92"/>
      <c r="AH301" s="92"/>
      <c r="AI301" s="92"/>
      <c r="AJ301" s="92"/>
      <c r="AK301" s="92"/>
      <c r="AL301" s="92"/>
      <c r="AM301" s="92"/>
      <c r="AN301" s="92"/>
      <c r="AO301" s="92"/>
      <c r="AP301" s="92"/>
      <c r="AQ301" s="92"/>
      <c r="AR301" s="92"/>
      <c r="AS301" s="92"/>
      <c r="AT301" s="93"/>
      <c r="AU301" s="94"/>
      <c r="AV301" s="1878">
        <f t="shared" si="204"/>
        <v>0</v>
      </c>
      <c r="AW301" s="1878">
        <f t="shared" si="205"/>
        <v>0</v>
      </c>
      <c r="AX301" s="187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29"/>
      <c r="C302" s="1330"/>
      <c r="D302" s="80"/>
      <c r="E302" s="87">
        <f t="shared" si="203"/>
        <v>0</v>
      </c>
      <c r="F302" s="88"/>
      <c r="G302" s="89">
        <f t="shared" si="178"/>
        <v>0</v>
      </c>
      <c r="H302" s="90">
        <f t="shared" si="179"/>
        <v>0</v>
      </c>
      <c r="I302" s="1332"/>
      <c r="J302" s="91"/>
      <c r="K302" s="133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33"/>
      <c r="AG302" s="92"/>
      <c r="AH302" s="92"/>
      <c r="AI302" s="92"/>
      <c r="AJ302" s="92"/>
      <c r="AK302" s="92"/>
      <c r="AL302" s="92"/>
      <c r="AM302" s="92"/>
      <c r="AN302" s="92"/>
      <c r="AO302" s="92"/>
      <c r="AP302" s="92"/>
      <c r="AQ302" s="92"/>
      <c r="AR302" s="92"/>
      <c r="AS302" s="92"/>
      <c r="AT302" s="93"/>
      <c r="AU302" s="94"/>
      <c r="AV302" s="1878">
        <f t="shared" si="204"/>
        <v>0</v>
      </c>
      <c r="AW302" s="1878">
        <f t="shared" si="205"/>
        <v>0</v>
      </c>
      <c r="AX302" s="187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29"/>
      <c r="C303" s="1330"/>
      <c r="D303" s="80"/>
      <c r="E303" s="87">
        <f t="shared" si="203"/>
        <v>0</v>
      </c>
      <c r="F303" s="88"/>
      <c r="G303" s="89">
        <f t="shared" si="178"/>
        <v>0</v>
      </c>
      <c r="H303" s="90">
        <f t="shared" si="179"/>
        <v>0</v>
      </c>
      <c r="I303" s="1332"/>
      <c r="J303" s="91"/>
      <c r="K303" s="133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33"/>
      <c r="AG303" s="92"/>
      <c r="AH303" s="92"/>
      <c r="AI303" s="92"/>
      <c r="AJ303" s="92"/>
      <c r="AK303" s="92"/>
      <c r="AL303" s="92"/>
      <c r="AM303" s="92"/>
      <c r="AN303" s="92"/>
      <c r="AO303" s="92"/>
      <c r="AP303" s="92"/>
      <c r="AQ303" s="92"/>
      <c r="AR303" s="92"/>
      <c r="AS303" s="92"/>
      <c r="AT303" s="93"/>
      <c r="AU303" s="94"/>
      <c r="AV303" s="1878">
        <f t="shared" si="204"/>
        <v>0</v>
      </c>
      <c r="AW303" s="1878">
        <f t="shared" si="205"/>
        <v>0</v>
      </c>
      <c r="AX303" s="187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29"/>
      <c r="C304" s="1330"/>
      <c r="D304" s="80"/>
      <c r="E304" s="87">
        <f t="shared" si="203"/>
        <v>0</v>
      </c>
      <c r="F304" s="88"/>
      <c r="G304" s="89">
        <f t="shared" si="178"/>
        <v>0</v>
      </c>
      <c r="H304" s="90">
        <f t="shared" si="179"/>
        <v>0</v>
      </c>
      <c r="I304" s="1332"/>
      <c r="J304" s="91"/>
      <c r="K304" s="133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32"/>
      <c r="AG304" s="92"/>
      <c r="AH304" s="92"/>
      <c r="AI304" s="92"/>
      <c r="AJ304" s="92"/>
      <c r="AK304" s="92"/>
      <c r="AL304" s="92"/>
      <c r="AM304" s="92"/>
      <c r="AN304" s="92"/>
      <c r="AO304" s="92"/>
      <c r="AP304" s="92"/>
      <c r="AQ304" s="92"/>
      <c r="AR304" s="92"/>
      <c r="AS304" s="92"/>
      <c r="AT304" s="93"/>
      <c r="AU304" s="94"/>
      <c r="AV304" s="1878">
        <f t="shared" si="204"/>
        <v>0</v>
      </c>
      <c r="AW304" s="1878">
        <f t="shared" si="205"/>
        <v>0</v>
      </c>
      <c r="AX304" s="187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31"/>
      <c r="C305" s="1332"/>
      <c r="D305" s="80"/>
      <c r="E305" s="87">
        <f t="shared" si="203"/>
        <v>0</v>
      </c>
      <c r="F305" s="88"/>
      <c r="G305" s="89">
        <f t="shared" si="178"/>
        <v>0</v>
      </c>
      <c r="H305" s="90">
        <f t="shared" si="179"/>
        <v>0</v>
      </c>
      <c r="I305" s="1332"/>
      <c r="J305" s="91"/>
      <c r="K305" s="133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32"/>
      <c r="AG305" s="92"/>
      <c r="AH305" s="92"/>
      <c r="AI305" s="92"/>
      <c r="AJ305" s="92"/>
      <c r="AK305" s="92"/>
      <c r="AL305" s="92"/>
      <c r="AM305" s="92"/>
      <c r="AN305" s="92"/>
      <c r="AO305" s="92"/>
      <c r="AP305" s="92"/>
      <c r="AQ305" s="92"/>
      <c r="AR305" s="92"/>
      <c r="AS305" s="92"/>
      <c r="AT305" s="93"/>
      <c r="AU305" s="94"/>
      <c r="AV305" s="1878">
        <f t="shared" si="204"/>
        <v>0</v>
      </c>
      <c r="AW305" s="1878">
        <f t="shared" si="205"/>
        <v>0</v>
      </c>
      <c r="AX305" s="187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29"/>
      <c r="C306" s="1330"/>
      <c r="D306" s="80"/>
      <c r="E306" s="87">
        <f t="shared" si="203"/>
        <v>0</v>
      </c>
      <c r="F306" s="88"/>
      <c r="G306" s="89">
        <f t="shared" si="178"/>
        <v>0</v>
      </c>
      <c r="H306" s="90">
        <f t="shared" si="179"/>
        <v>0</v>
      </c>
      <c r="I306" s="1332"/>
      <c r="J306" s="91"/>
      <c r="K306" s="133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32"/>
      <c r="AG306" s="92"/>
      <c r="AH306" s="92"/>
      <c r="AI306" s="92"/>
      <c r="AJ306" s="92"/>
      <c r="AK306" s="92"/>
      <c r="AL306" s="92"/>
      <c r="AM306" s="92"/>
      <c r="AN306" s="92"/>
      <c r="AO306" s="92"/>
      <c r="AP306" s="92"/>
      <c r="AQ306" s="92"/>
      <c r="AR306" s="92"/>
      <c r="AS306" s="92"/>
      <c r="AT306" s="93"/>
      <c r="AU306" s="94"/>
      <c r="AV306" s="1878">
        <f t="shared" si="204"/>
        <v>0</v>
      </c>
      <c r="AW306" s="1878">
        <f t="shared" si="205"/>
        <v>0</v>
      </c>
      <c r="AX306" s="187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29"/>
      <c r="C307" s="1330"/>
      <c r="D307" s="80"/>
      <c r="E307" s="87">
        <f t="shared" si="203"/>
        <v>0</v>
      </c>
      <c r="F307" s="88"/>
      <c r="G307" s="89">
        <f t="shared" si="178"/>
        <v>0</v>
      </c>
      <c r="H307" s="90">
        <f t="shared" si="179"/>
        <v>0</v>
      </c>
      <c r="I307" s="1332"/>
      <c r="J307" s="91"/>
      <c r="K307" s="133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32"/>
      <c r="AG307" s="92"/>
      <c r="AH307" s="92"/>
      <c r="AI307" s="92"/>
      <c r="AJ307" s="92"/>
      <c r="AK307" s="92"/>
      <c r="AL307" s="92"/>
      <c r="AM307" s="92"/>
      <c r="AN307" s="92"/>
      <c r="AO307" s="92"/>
      <c r="AP307" s="92"/>
      <c r="AQ307" s="92"/>
      <c r="AR307" s="92"/>
      <c r="AS307" s="92"/>
      <c r="AT307" s="93"/>
      <c r="AU307" s="94"/>
      <c r="AV307" s="1878">
        <f t="shared" si="204"/>
        <v>0</v>
      </c>
      <c r="AW307" s="1878">
        <f t="shared" si="205"/>
        <v>0</v>
      </c>
      <c r="AX307" s="187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29"/>
      <c r="C308" s="1330"/>
      <c r="D308" s="80"/>
      <c r="E308" s="87">
        <f t="shared" si="203"/>
        <v>0</v>
      </c>
      <c r="F308" s="88"/>
      <c r="G308" s="89">
        <f t="shared" si="178"/>
        <v>0</v>
      </c>
      <c r="H308" s="90">
        <f t="shared" si="179"/>
        <v>0</v>
      </c>
      <c r="I308" s="1332"/>
      <c r="J308" s="91"/>
      <c r="K308" s="133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32"/>
      <c r="AG308" s="92"/>
      <c r="AH308" s="92"/>
      <c r="AI308" s="92"/>
      <c r="AJ308" s="92"/>
      <c r="AK308" s="92"/>
      <c r="AL308" s="92"/>
      <c r="AM308" s="92"/>
      <c r="AN308" s="92"/>
      <c r="AO308" s="92"/>
      <c r="AP308" s="92"/>
      <c r="AQ308" s="92"/>
      <c r="AR308" s="92"/>
      <c r="AS308" s="92"/>
      <c r="AT308" s="93"/>
      <c r="AU308" s="94"/>
      <c r="AV308" s="1878">
        <f t="shared" si="204"/>
        <v>0</v>
      </c>
      <c r="AW308" s="1878">
        <f t="shared" si="205"/>
        <v>0</v>
      </c>
      <c r="AX308" s="187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29"/>
      <c r="C309" s="1330"/>
      <c r="D309" s="80"/>
      <c r="E309" s="87">
        <f t="shared" si="203"/>
        <v>0</v>
      </c>
      <c r="F309" s="88"/>
      <c r="G309" s="89">
        <f t="shared" si="178"/>
        <v>0</v>
      </c>
      <c r="H309" s="90">
        <f t="shared" si="179"/>
        <v>0</v>
      </c>
      <c r="I309" s="1332"/>
      <c r="J309" s="91"/>
      <c r="K309" s="133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32"/>
      <c r="AG309" s="92"/>
      <c r="AH309" s="92"/>
      <c r="AI309" s="92"/>
      <c r="AJ309" s="92"/>
      <c r="AK309" s="92"/>
      <c r="AL309" s="92"/>
      <c r="AM309" s="92"/>
      <c r="AN309" s="92"/>
      <c r="AO309" s="92"/>
      <c r="AP309" s="92"/>
      <c r="AQ309" s="92"/>
      <c r="AR309" s="92"/>
      <c r="AS309" s="92"/>
      <c r="AT309" s="93"/>
      <c r="AU309" s="94"/>
      <c r="AV309" s="1878">
        <f t="shared" si="204"/>
        <v>0</v>
      </c>
      <c r="AW309" s="1878">
        <f t="shared" si="205"/>
        <v>0</v>
      </c>
      <c r="AX309" s="187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29"/>
      <c r="C310" s="1330"/>
      <c r="D310" s="80"/>
      <c r="E310" s="87">
        <f t="shared" si="203"/>
        <v>0</v>
      </c>
      <c r="F310" s="88"/>
      <c r="G310" s="89">
        <f t="shared" si="178"/>
        <v>0</v>
      </c>
      <c r="H310" s="90">
        <f t="shared" si="179"/>
        <v>0</v>
      </c>
      <c r="I310" s="1332"/>
      <c r="J310" s="91"/>
      <c r="K310" s="133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32"/>
      <c r="AG310" s="92"/>
      <c r="AH310" s="92"/>
      <c r="AI310" s="92"/>
      <c r="AJ310" s="92"/>
      <c r="AK310" s="92"/>
      <c r="AL310" s="92"/>
      <c r="AM310" s="92"/>
      <c r="AN310" s="92"/>
      <c r="AO310" s="92"/>
      <c r="AP310" s="92"/>
      <c r="AQ310" s="92"/>
      <c r="AR310" s="92"/>
      <c r="AS310" s="92"/>
      <c r="AT310" s="93"/>
      <c r="AU310" s="94"/>
      <c r="AV310" s="1878">
        <f t="shared" si="204"/>
        <v>0</v>
      </c>
      <c r="AW310" s="1878">
        <f t="shared" si="205"/>
        <v>0</v>
      </c>
      <c r="AX310" s="187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29"/>
      <c r="C311" s="1330"/>
      <c r="D311" s="80"/>
      <c r="E311" s="87">
        <f t="shared" si="203"/>
        <v>0</v>
      </c>
      <c r="F311" s="88"/>
      <c r="G311" s="89">
        <f t="shared" si="178"/>
        <v>0</v>
      </c>
      <c r="H311" s="90">
        <f t="shared" si="179"/>
        <v>0</v>
      </c>
      <c r="I311" s="1332"/>
      <c r="J311" s="91"/>
      <c r="K311" s="133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32"/>
      <c r="AG311" s="92"/>
      <c r="AH311" s="92"/>
      <c r="AI311" s="92"/>
      <c r="AJ311" s="92"/>
      <c r="AK311" s="92"/>
      <c r="AL311" s="92"/>
      <c r="AM311" s="92"/>
      <c r="AN311" s="92"/>
      <c r="AO311" s="92"/>
      <c r="AP311" s="92"/>
      <c r="AQ311" s="92"/>
      <c r="AR311" s="92"/>
      <c r="AS311" s="92"/>
      <c r="AT311" s="93"/>
      <c r="AU311" s="94"/>
      <c r="AV311" s="1878">
        <f t="shared" si="204"/>
        <v>0</v>
      </c>
      <c r="AW311" s="1878">
        <f t="shared" si="205"/>
        <v>0</v>
      </c>
      <c r="AX311" s="187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29"/>
      <c r="C312" s="1330"/>
      <c r="D312" s="80"/>
      <c r="E312" s="87">
        <f t="shared" si="203"/>
        <v>0</v>
      </c>
      <c r="F312" s="88"/>
      <c r="G312" s="89">
        <f t="shared" si="178"/>
        <v>0</v>
      </c>
      <c r="H312" s="90">
        <f t="shared" si="179"/>
        <v>0</v>
      </c>
      <c r="I312" s="1332"/>
      <c r="J312" s="91"/>
      <c r="K312" s="133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32"/>
      <c r="AG312" s="92"/>
      <c r="AH312" s="92"/>
      <c r="AI312" s="92"/>
      <c r="AJ312" s="92"/>
      <c r="AK312" s="92"/>
      <c r="AL312" s="92"/>
      <c r="AM312" s="92"/>
      <c r="AN312" s="92"/>
      <c r="AO312" s="92"/>
      <c r="AP312" s="92"/>
      <c r="AQ312" s="92"/>
      <c r="AR312" s="92"/>
      <c r="AS312" s="92"/>
      <c r="AT312" s="93"/>
      <c r="AU312" s="94"/>
      <c r="AV312" s="1878">
        <f t="shared" si="204"/>
        <v>0</v>
      </c>
      <c r="AW312" s="1878">
        <f t="shared" si="205"/>
        <v>0</v>
      </c>
      <c r="AX312" s="187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29"/>
      <c r="C313" s="1330"/>
      <c r="D313" s="80"/>
      <c r="E313" s="87">
        <f t="shared" si="203"/>
        <v>0</v>
      </c>
      <c r="F313" s="88"/>
      <c r="G313" s="89">
        <f t="shared" si="178"/>
        <v>0</v>
      </c>
      <c r="H313" s="90">
        <f t="shared" si="179"/>
        <v>0</v>
      </c>
      <c r="I313" s="1332"/>
      <c r="J313" s="91"/>
      <c r="K313" s="133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32"/>
      <c r="AG313" s="92"/>
      <c r="AH313" s="92"/>
      <c r="AI313" s="92"/>
      <c r="AJ313" s="92"/>
      <c r="AK313" s="92"/>
      <c r="AL313" s="92"/>
      <c r="AM313" s="92"/>
      <c r="AN313" s="92"/>
      <c r="AO313" s="92"/>
      <c r="AP313" s="92"/>
      <c r="AQ313" s="92"/>
      <c r="AR313" s="92"/>
      <c r="AS313" s="92"/>
      <c r="AT313" s="93"/>
      <c r="AU313" s="94"/>
      <c r="AV313" s="1878">
        <f t="shared" si="204"/>
        <v>0</v>
      </c>
      <c r="AW313" s="1878">
        <f t="shared" si="205"/>
        <v>0</v>
      </c>
      <c r="AX313" s="187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29"/>
      <c r="C314" s="1330"/>
      <c r="D314" s="80"/>
      <c r="E314" s="87">
        <f t="shared" si="203"/>
        <v>0</v>
      </c>
      <c r="F314" s="88"/>
      <c r="G314" s="89">
        <f t="shared" si="178"/>
        <v>0</v>
      </c>
      <c r="H314" s="90">
        <f t="shared" si="179"/>
        <v>0</v>
      </c>
      <c r="I314" s="1332"/>
      <c r="J314" s="91"/>
      <c r="K314" s="133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32"/>
      <c r="AG314" s="92"/>
      <c r="AH314" s="92"/>
      <c r="AI314" s="92"/>
      <c r="AJ314" s="92"/>
      <c r="AK314" s="92"/>
      <c r="AL314" s="92"/>
      <c r="AM314" s="92"/>
      <c r="AN314" s="92"/>
      <c r="AO314" s="92"/>
      <c r="AP314" s="92"/>
      <c r="AQ314" s="92"/>
      <c r="AR314" s="92"/>
      <c r="AS314" s="92"/>
      <c r="AT314" s="93"/>
      <c r="AU314" s="94"/>
      <c r="AV314" s="1878">
        <f t="shared" si="204"/>
        <v>0</v>
      </c>
      <c r="AW314" s="1878">
        <f t="shared" si="205"/>
        <v>0</v>
      </c>
      <c r="AX314" s="187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29"/>
      <c r="C315" s="1330"/>
      <c r="D315" s="80"/>
      <c r="E315" s="87">
        <f t="shared" si="203"/>
        <v>0</v>
      </c>
      <c r="F315" s="88"/>
      <c r="G315" s="89">
        <f t="shared" si="178"/>
        <v>0</v>
      </c>
      <c r="H315" s="90">
        <f t="shared" si="179"/>
        <v>0</v>
      </c>
      <c r="I315" s="1332"/>
      <c r="J315" s="91"/>
      <c r="K315" s="133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32"/>
      <c r="AG315" s="92"/>
      <c r="AH315" s="92"/>
      <c r="AI315" s="92"/>
      <c r="AJ315" s="92"/>
      <c r="AK315" s="92"/>
      <c r="AL315" s="92"/>
      <c r="AM315" s="92"/>
      <c r="AN315" s="92"/>
      <c r="AO315" s="92"/>
      <c r="AP315" s="92"/>
      <c r="AQ315" s="92"/>
      <c r="AR315" s="92"/>
      <c r="AS315" s="92"/>
      <c r="AT315" s="93"/>
      <c r="AU315" s="94"/>
      <c r="AV315" s="1878">
        <f t="shared" si="204"/>
        <v>0</v>
      </c>
      <c r="AW315" s="1878">
        <f t="shared" si="205"/>
        <v>0</v>
      </c>
      <c r="AX315" s="187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29"/>
      <c r="C316" s="1330"/>
      <c r="D316" s="80"/>
      <c r="E316" s="87">
        <f t="shared" si="203"/>
        <v>0</v>
      </c>
      <c r="F316" s="88"/>
      <c r="G316" s="89">
        <f t="shared" si="178"/>
        <v>0</v>
      </c>
      <c r="H316" s="90">
        <f t="shared" si="179"/>
        <v>0</v>
      </c>
      <c r="I316" s="1332"/>
      <c r="J316" s="91"/>
      <c r="K316" s="133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32"/>
      <c r="AG316" s="92"/>
      <c r="AH316" s="92"/>
      <c r="AI316" s="92"/>
      <c r="AJ316" s="92"/>
      <c r="AK316" s="92"/>
      <c r="AL316" s="92"/>
      <c r="AM316" s="92"/>
      <c r="AN316" s="92"/>
      <c r="AO316" s="92"/>
      <c r="AP316" s="92"/>
      <c r="AQ316" s="92"/>
      <c r="AR316" s="92"/>
      <c r="AS316" s="92"/>
      <c r="AT316" s="93"/>
      <c r="AU316" s="94"/>
      <c r="AV316" s="1878">
        <f t="shared" si="204"/>
        <v>0</v>
      </c>
      <c r="AW316" s="1878">
        <f t="shared" si="205"/>
        <v>0</v>
      </c>
      <c r="AX316" s="187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29"/>
      <c r="C317" s="1330"/>
      <c r="D317" s="80"/>
      <c r="E317" s="87">
        <f t="shared" si="203"/>
        <v>0</v>
      </c>
      <c r="F317" s="88"/>
      <c r="G317" s="89">
        <f t="shared" si="178"/>
        <v>0</v>
      </c>
      <c r="H317" s="90">
        <f t="shared" si="179"/>
        <v>0</v>
      </c>
      <c r="I317" s="1332"/>
      <c r="J317" s="91"/>
      <c r="K317" s="133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32"/>
      <c r="AG317" s="92"/>
      <c r="AH317" s="92"/>
      <c r="AI317" s="92"/>
      <c r="AJ317" s="92"/>
      <c r="AK317" s="92"/>
      <c r="AL317" s="92"/>
      <c r="AM317" s="92"/>
      <c r="AN317" s="92"/>
      <c r="AO317" s="92"/>
      <c r="AP317" s="92"/>
      <c r="AQ317" s="92"/>
      <c r="AR317" s="92"/>
      <c r="AS317" s="92"/>
      <c r="AT317" s="93"/>
      <c r="AU317" s="94"/>
      <c r="AV317" s="1878">
        <f t="shared" si="204"/>
        <v>0</v>
      </c>
      <c r="AW317" s="1878">
        <f t="shared" si="205"/>
        <v>0</v>
      </c>
      <c r="AX317" s="187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29"/>
      <c r="C318" s="1330"/>
      <c r="D318" s="80"/>
      <c r="E318" s="87">
        <f t="shared" si="203"/>
        <v>0</v>
      </c>
      <c r="F318" s="88"/>
      <c r="G318" s="89">
        <f t="shared" si="178"/>
        <v>0</v>
      </c>
      <c r="H318" s="90">
        <f t="shared" si="179"/>
        <v>0</v>
      </c>
      <c r="I318" s="1332"/>
      <c r="J318" s="91"/>
      <c r="K318" s="133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32"/>
      <c r="AG318" s="92"/>
      <c r="AH318" s="92"/>
      <c r="AI318" s="92"/>
      <c r="AJ318" s="92"/>
      <c r="AK318" s="92"/>
      <c r="AL318" s="92"/>
      <c r="AM318" s="92"/>
      <c r="AN318" s="92"/>
      <c r="AO318" s="92"/>
      <c r="AP318" s="92"/>
      <c r="AQ318" s="92"/>
      <c r="AR318" s="92"/>
      <c r="AS318" s="92"/>
      <c r="AT318" s="93"/>
      <c r="AU318" s="94"/>
      <c r="AV318" s="1878">
        <f t="shared" si="204"/>
        <v>0</v>
      </c>
      <c r="AW318" s="1878">
        <f t="shared" si="205"/>
        <v>0</v>
      </c>
      <c r="AX318" s="187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29"/>
      <c r="C319" s="1330"/>
      <c r="D319" s="80"/>
      <c r="E319" s="87">
        <f t="shared" si="203"/>
        <v>0</v>
      </c>
      <c r="F319" s="88"/>
      <c r="G319" s="89">
        <f t="shared" si="178"/>
        <v>0</v>
      </c>
      <c r="H319" s="90">
        <f t="shared" si="179"/>
        <v>0</v>
      </c>
      <c r="I319" s="1332"/>
      <c r="J319" s="91"/>
      <c r="K319" s="133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32"/>
      <c r="AG319" s="92"/>
      <c r="AH319" s="92"/>
      <c r="AI319" s="92"/>
      <c r="AJ319" s="92"/>
      <c r="AK319" s="92"/>
      <c r="AL319" s="92"/>
      <c r="AM319" s="92"/>
      <c r="AN319" s="92"/>
      <c r="AO319" s="92"/>
      <c r="AP319" s="92"/>
      <c r="AQ319" s="92"/>
      <c r="AR319" s="92"/>
      <c r="AS319" s="92"/>
      <c r="AT319" s="93"/>
      <c r="AU319" s="94"/>
      <c r="AV319" s="1878">
        <f t="shared" si="204"/>
        <v>0</v>
      </c>
      <c r="AW319" s="1878">
        <f t="shared" si="205"/>
        <v>0</v>
      </c>
      <c r="AX319" s="187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29"/>
      <c r="C320" s="1330"/>
      <c r="D320" s="80"/>
      <c r="E320" s="87">
        <f t="shared" si="203"/>
        <v>0</v>
      </c>
      <c r="F320" s="88"/>
      <c r="G320" s="89">
        <f t="shared" si="178"/>
        <v>0</v>
      </c>
      <c r="H320" s="90">
        <f t="shared" si="179"/>
        <v>0</v>
      </c>
      <c r="I320" s="1332"/>
      <c r="J320" s="91"/>
      <c r="K320" s="133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32"/>
      <c r="AG320" s="92"/>
      <c r="AH320" s="92"/>
      <c r="AI320" s="92"/>
      <c r="AJ320" s="92"/>
      <c r="AK320" s="92"/>
      <c r="AL320" s="92"/>
      <c r="AM320" s="92"/>
      <c r="AN320" s="92"/>
      <c r="AO320" s="92"/>
      <c r="AP320" s="92"/>
      <c r="AQ320" s="92"/>
      <c r="AR320" s="92"/>
      <c r="AS320" s="92"/>
      <c r="AT320" s="93"/>
      <c r="AU320" s="94"/>
      <c r="AV320" s="1878">
        <f t="shared" si="204"/>
        <v>0</v>
      </c>
      <c r="AW320" s="1878">
        <f t="shared" si="205"/>
        <v>0</v>
      </c>
      <c r="AX320" s="187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29"/>
      <c r="C321" s="1330"/>
      <c r="D321" s="80"/>
      <c r="E321" s="87">
        <f t="shared" si="203"/>
        <v>0</v>
      </c>
      <c r="F321" s="88"/>
      <c r="G321" s="89">
        <f t="shared" si="178"/>
        <v>0</v>
      </c>
      <c r="H321" s="90">
        <f t="shared" si="179"/>
        <v>0</v>
      </c>
      <c r="I321" s="1332"/>
      <c r="J321" s="91"/>
      <c r="K321" s="133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32"/>
      <c r="AG321" s="92"/>
      <c r="AH321" s="92"/>
      <c r="AI321" s="92"/>
      <c r="AJ321" s="92"/>
      <c r="AK321" s="92"/>
      <c r="AL321" s="92"/>
      <c r="AM321" s="92"/>
      <c r="AN321" s="92"/>
      <c r="AO321" s="92"/>
      <c r="AP321" s="92"/>
      <c r="AQ321" s="92"/>
      <c r="AR321" s="92"/>
      <c r="AS321" s="92"/>
      <c r="AT321" s="93"/>
      <c r="AU321" s="94"/>
      <c r="AV321" s="1878">
        <f t="shared" si="204"/>
        <v>0</v>
      </c>
      <c r="AW321" s="1878">
        <f t="shared" si="205"/>
        <v>0</v>
      </c>
      <c r="AX321" s="187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29"/>
      <c r="C322" s="1330"/>
      <c r="D322" s="80"/>
      <c r="E322" s="87">
        <f t="shared" si="203"/>
        <v>0</v>
      </c>
      <c r="F322" s="88"/>
      <c r="G322" s="89">
        <f t="shared" si="178"/>
        <v>0</v>
      </c>
      <c r="H322" s="90">
        <f t="shared" si="179"/>
        <v>0</v>
      </c>
      <c r="I322" s="1332"/>
      <c r="J322" s="91"/>
      <c r="K322" s="133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32"/>
      <c r="AG322" s="92"/>
      <c r="AH322" s="92"/>
      <c r="AI322" s="92"/>
      <c r="AJ322" s="92"/>
      <c r="AK322" s="92"/>
      <c r="AL322" s="92"/>
      <c r="AM322" s="92"/>
      <c r="AN322" s="92"/>
      <c r="AO322" s="92"/>
      <c r="AP322" s="92"/>
      <c r="AQ322" s="92"/>
      <c r="AR322" s="92"/>
      <c r="AS322" s="92"/>
      <c r="AT322" s="93"/>
      <c r="AU322" s="94"/>
      <c r="AV322" s="1878">
        <f t="shared" si="204"/>
        <v>0</v>
      </c>
      <c r="AW322" s="1878">
        <f t="shared" si="205"/>
        <v>0</v>
      </c>
      <c r="AX322" s="187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29"/>
      <c r="C323" s="1330"/>
      <c r="D323" s="80"/>
      <c r="E323" s="87">
        <f t="shared" si="203"/>
        <v>0</v>
      </c>
      <c r="F323" s="88"/>
      <c r="G323" s="89">
        <f t="shared" si="178"/>
        <v>0</v>
      </c>
      <c r="H323" s="90">
        <f t="shared" si="179"/>
        <v>0</v>
      </c>
      <c r="I323" s="1332"/>
      <c r="J323" s="91"/>
      <c r="K323" s="133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30"/>
      <c r="AG323" s="92"/>
      <c r="AH323" s="92"/>
      <c r="AI323" s="92"/>
      <c r="AJ323" s="92"/>
      <c r="AK323" s="92"/>
      <c r="AL323" s="92"/>
      <c r="AM323" s="92"/>
      <c r="AN323" s="92"/>
      <c r="AO323" s="92"/>
      <c r="AP323" s="92"/>
      <c r="AQ323" s="92"/>
      <c r="AR323" s="92"/>
      <c r="AS323" s="92"/>
      <c r="AT323" s="93"/>
      <c r="AU323" s="94"/>
      <c r="AV323" s="1878">
        <f t="shared" si="204"/>
        <v>0</v>
      </c>
      <c r="AW323" s="1878">
        <f t="shared" si="205"/>
        <v>0</v>
      </c>
      <c r="AX323" s="187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29"/>
      <c r="C324" s="1330"/>
      <c r="D324" s="80"/>
      <c r="E324" s="87">
        <f t="shared" si="203"/>
        <v>0</v>
      </c>
      <c r="F324" s="88"/>
      <c r="G324" s="89">
        <f t="shared" si="178"/>
        <v>0</v>
      </c>
      <c r="H324" s="90">
        <f t="shared" si="179"/>
        <v>0</v>
      </c>
      <c r="I324" s="1330"/>
      <c r="J324" s="91"/>
      <c r="K324" s="133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30"/>
      <c r="AG324" s="92"/>
      <c r="AH324" s="92"/>
      <c r="AI324" s="92"/>
      <c r="AJ324" s="92"/>
      <c r="AK324" s="92"/>
      <c r="AL324" s="92"/>
      <c r="AM324" s="92"/>
      <c r="AN324" s="92"/>
      <c r="AO324" s="92"/>
      <c r="AP324" s="92"/>
      <c r="AQ324" s="92"/>
      <c r="AR324" s="92"/>
      <c r="AS324" s="92"/>
      <c r="AT324" s="93"/>
      <c r="AU324" s="94"/>
      <c r="AV324" s="1878">
        <f t="shared" si="204"/>
        <v>0</v>
      </c>
      <c r="AW324" s="1878">
        <f t="shared" si="205"/>
        <v>0</v>
      </c>
      <c r="AX324" s="187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29"/>
      <c r="C325" s="1330"/>
      <c r="D325" s="80"/>
      <c r="E325" s="87">
        <f t="shared" si="203"/>
        <v>0</v>
      </c>
      <c r="F325" s="88"/>
      <c r="G325" s="89">
        <f t="shared" si="178"/>
        <v>0</v>
      </c>
      <c r="H325" s="90">
        <f t="shared" si="179"/>
        <v>0</v>
      </c>
      <c r="I325" s="1330"/>
      <c r="J325" s="91"/>
      <c r="K325" s="133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30"/>
      <c r="AG325" s="92"/>
      <c r="AH325" s="92"/>
      <c r="AI325" s="92"/>
      <c r="AJ325" s="92"/>
      <c r="AK325" s="92"/>
      <c r="AL325" s="92"/>
      <c r="AM325" s="92"/>
      <c r="AN325" s="92"/>
      <c r="AO325" s="92"/>
      <c r="AP325" s="92"/>
      <c r="AQ325" s="92"/>
      <c r="AR325" s="92"/>
      <c r="AS325" s="92"/>
      <c r="AT325" s="93"/>
      <c r="AU325" s="94"/>
      <c r="AV325" s="1878">
        <f t="shared" si="204"/>
        <v>0</v>
      </c>
      <c r="AW325" s="1878">
        <f t="shared" si="205"/>
        <v>0</v>
      </c>
      <c r="AX325" s="187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29"/>
      <c r="C326" s="1330"/>
      <c r="D326" s="80"/>
      <c r="E326" s="87">
        <f t="shared" si="203"/>
        <v>0</v>
      </c>
      <c r="F326" s="88"/>
      <c r="G326" s="89">
        <f t="shared" ref="G326:G357" si="207">H326+AC326+AT326</f>
        <v>0</v>
      </c>
      <c r="H326" s="90">
        <f t="shared" ref="H326:H357" si="208">SUMIF(I$12:AB$12,"总值",I326:AB326)</f>
        <v>0</v>
      </c>
      <c r="I326" s="1330"/>
      <c r="J326" s="91"/>
      <c r="K326" s="133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30"/>
      <c r="AG326" s="92"/>
      <c r="AH326" s="92"/>
      <c r="AI326" s="92"/>
      <c r="AJ326" s="92"/>
      <c r="AK326" s="92"/>
      <c r="AL326" s="92"/>
      <c r="AM326" s="92"/>
      <c r="AN326" s="92"/>
      <c r="AO326" s="92"/>
      <c r="AP326" s="92"/>
      <c r="AQ326" s="92"/>
      <c r="AR326" s="92"/>
      <c r="AS326" s="92"/>
      <c r="AT326" s="93"/>
      <c r="AU326" s="94"/>
      <c r="AV326" s="1878">
        <f t="shared" si="204"/>
        <v>0</v>
      </c>
      <c r="AW326" s="1878">
        <f t="shared" si="205"/>
        <v>0</v>
      </c>
      <c r="AX326" s="187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29"/>
      <c r="C327" s="1330"/>
      <c r="D327" s="80"/>
      <c r="E327" s="87">
        <f t="shared" si="203"/>
        <v>0</v>
      </c>
      <c r="F327" s="88"/>
      <c r="G327" s="89">
        <f t="shared" si="207"/>
        <v>0</v>
      </c>
      <c r="H327" s="90">
        <f t="shared" si="208"/>
        <v>0</v>
      </c>
      <c r="I327" s="1330"/>
      <c r="J327" s="91"/>
      <c r="K327" s="133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30"/>
      <c r="AG327" s="92"/>
      <c r="AH327" s="92"/>
      <c r="AI327" s="92"/>
      <c r="AJ327" s="92"/>
      <c r="AK327" s="92"/>
      <c r="AL327" s="92"/>
      <c r="AM327" s="92"/>
      <c r="AN327" s="92"/>
      <c r="AO327" s="92"/>
      <c r="AP327" s="92"/>
      <c r="AQ327" s="92"/>
      <c r="AR327" s="92"/>
      <c r="AS327" s="92"/>
      <c r="AT327" s="93"/>
      <c r="AU327" s="94"/>
      <c r="AV327" s="1878">
        <f t="shared" si="204"/>
        <v>0</v>
      </c>
      <c r="AW327" s="1878">
        <f t="shared" si="205"/>
        <v>0</v>
      </c>
      <c r="AX327" s="187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29"/>
      <c r="C328" s="1330"/>
      <c r="D328" s="80"/>
      <c r="E328" s="87">
        <f t="shared" si="203"/>
        <v>0</v>
      </c>
      <c r="F328" s="88"/>
      <c r="G328" s="89">
        <f t="shared" si="207"/>
        <v>0</v>
      </c>
      <c r="H328" s="90">
        <f t="shared" si="208"/>
        <v>0</v>
      </c>
      <c r="I328" s="1330"/>
      <c r="J328" s="91"/>
      <c r="K328" s="133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30"/>
      <c r="AG328" s="92"/>
      <c r="AH328" s="92"/>
      <c r="AI328" s="92"/>
      <c r="AJ328" s="92"/>
      <c r="AK328" s="92"/>
      <c r="AL328" s="92"/>
      <c r="AM328" s="92"/>
      <c r="AN328" s="92"/>
      <c r="AO328" s="92"/>
      <c r="AP328" s="92"/>
      <c r="AQ328" s="92"/>
      <c r="AR328" s="92"/>
      <c r="AS328" s="92"/>
      <c r="AT328" s="93"/>
      <c r="AU328" s="94"/>
      <c r="AV328" s="1878">
        <f t="shared" si="204"/>
        <v>0</v>
      </c>
      <c r="AW328" s="1878">
        <f t="shared" si="205"/>
        <v>0</v>
      </c>
      <c r="AX328" s="187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29"/>
      <c r="C329" s="1330"/>
      <c r="D329" s="80"/>
      <c r="E329" s="87">
        <f t="shared" ref="E329:E360" si="232">IF($C$3="是",ROUND($A$3*G329/$B$3,2),ROUND($A$3*(G329-AT329)/$B$3,2))</f>
        <v>0</v>
      </c>
      <c r="F329" s="88"/>
      <c r="G329" s="89">
        <f t="shared" si="207"/>
        <v>0</v>
      </c>
      <c r="H329" s="90">
        <f t="shared" si="208"/>
        <v>0</v>
      </c>
      <c r="I329" s="1330"/>
      <c r="J329" s="91"/>
      <c r="K329" s="133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30"/>
      <c r="AG329" s="92"/>
      <c r="AH329" s="92"/>
      <c r="AI329" s="92"/>
      <c r="AJ329" s="92"/>
      <c r="AK329" s="92"/>
      <c r="AL329" s="92"/>
      <c r="AM329" s="92"/>
      <c r="AN329" s="92"/>
      <c r="AO329" s="92"/>
      <c r="AP329" s="92"/>
      <c r="AQ329" s="92"/>
      <c r="AR329" s="92"/>
      <c r="AS329" s="92"/>
      <c r="AT329" s="93"/>
      <c r="AU329" s="94"/>
      <c r="AV329" s="1878">
        <f t="shared" ref="AV329:AV360" si="233">A329</f>
        <v>0</v>
      </c>
      <c r="AW329" s="1878">
        <f t="shared" ref="AW329:AW360" si="234">B329</f>
        <v>0</v>
      </c>
      <c r="AX329" s="187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29"/>
      <c r="C330" s="1330"/>
      <c r="D330" s="80"/>
      <c r="E330" s="87">
        <f t="shared" si="232"/>
        <v>0</v>
      </c>
      <c r="F330" s="88"/>
      <c r="G330" s="89">
        <f t="shared" si="207"/>
        <v>0</v>
      </c>
      <c r="H330" s="90">
        <f t="shared" si="208"/>
        <v>0</v>
      </c>
      <c r="I330" s="1330"/>
      <c r="J330" s="91"/>
      <c r="K330" s="133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30"/>
      <c r="AG330" s="92"/>
      <c r="AH330" s="92"/>
      <c r="AI330" s="92"/>
      <c r="AJ330" s="92"/>
      <c r="AK330" s="92"/>
      <c r="AL330" s="92"/>
      <c r="AM330" s="92"/>
      <c r="AN330" s="92"/>
      <c r="AO330" s="92"/>
      <c r="AP330" s="92"/>
      <c r="AQ330" s="92"/>
      <c r="AR330" s="92"/>
      <c r="AS330" s="92"/>
      <c r="AT330" s="93"/>
      <c r="AU330" s="94"/>
      <c r="AV330" s="1878">
        <f t="shared" si="233"/>
        <v>0</v>
      </c>
      <c r="AW330" s="1878">
        <f t="shared" si="234"/>
        <v>0</v>
      </c>
      <c r="AX330" s="187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31"/>
      <c r="C331" s="1332"/>
      <c r="D331" s="80"/>
      <c r="E331" s="87">
        <f t="shared" si="232"/>
        <v>0</v>
      </c>
      <c r="F331" s="88"/>
      <c r="G331" s="89">
        <f t="shared" si="207"/>
        <v>0</v>
      </c>
      <c r="H331" s="90">
        <f t="shared" si="208"/>
        <v>0</v>
      </c>
      <c r="I331" s="1330"/>
      <c r="J331" s="91"/>
      <c r="K331" s="1330"/>
      <c r="L331" s="91"/>
      <c r="M331" s="1330"/>
      <c r="N331" s="91"/>
      <c r="O331" s="91"/>
      <c r="P331" s="91"/>
      <c r="Q331" s="91"/>
      <c r="R331" s="91"/>
      <c r="S331" s="91"/>
      <c r="T331" s="91"/>
      <c r="U331" s="91"/>
      <c r="V331" s="91"/>
      <c r="W331" s="91"/>
      <c r="X331" s="91"/>
      <c r="Y331" s="91"/>
      <c r="Z331" s="91"/>
      <c r="AA331" s="91"/>
      <c r="AB331" s="91"/>
      <c r="AC331" s="87">
        <f t="shared" si="209"/>
        <v>0</v>
      </c>
      <c r="AD331" s="92"/>
      <c r="AE331" s="92"/>
      <c r="AF331" s="1330"/>
      <c r="AG331" s="92"/>
      <c r="AH331" s="92"/>
      <c r="AI331" s="92"/>
      <c r="AJ331" s="92"/>
      <c r="AK331" s="92"/>
      <c r="AL331" s="92"/>
      <c r="AM331" s="92"/>
      <c r="AN331" s="92"/>
      <c r="AO331" s="92"/>
      <c r="AP331" s="92"/>
      <c r="AQ331" s="92"/>
      <c r="AR331" s="92"/>
      <c r="AS331" s="92"/>
      <c r="AT331" s="93"/>
      <c r="AU331" s="94"/>
      <c r="AV331" s="1878">
        <f t="shared" si="233"/>
        <v>0</v>
      </c>
      <c r="AW331" s="1878">
        <f t="shared" si="234"/>
        <v>0</v>
      </c>
      <c r="AX331" s="187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78">
        <f t="shared" si="233"/>
        <v>0</v>
      </c>
      <c r="AW332" s="1878">
        <f t="shared" si="234"/>
        <v>0</v>
      </c>
      <c r="AX332" s="187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78">
        <f t="shared" si="233"/>
        <v>0</v>
      </c>
      <c r="AW333" s="1878">
        <f t="shared" si="234"/>
        <v>0</v>
      </c>
      <c r="AX333" s="187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78">
        <f t="shared" si="233"/>
        <v>0</v>
      </c>
      <c r="AW334" s="1878">
        <f t="shared" si="234"/>
        <v>0</v>
      </c>
      <c r="AX334" s="187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78">
        <f t="shared" si="233"/>
        <v>0</v>
      </c>
      <c r="AW335" s="1878">
        <f t="shared" si="234"/>
        <v>0</v>
      </c>
      <c r="AX335" s="187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78">
        <f t="shared" si="233"/>
        <v>0</v>
      </c>
      <c r="AW336" s="1878">
        <f t="shared" si="234"/>
        <v>0</v>
      </c>
      <c r="AX336" s="187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78">
        <f t="shared" si="233"/>
        <v>0</v>
      </c>
      <c r="AW337" s="1878">
        <f t="shared" si="234"/>
        <v>0</v>
      </c>
      <c r="AX337" s="187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78">
        <f t="shared" si="233"/>
        <v>0</v>
      </c>
      <c r="AW338" s="1878">
        <f t="shared" si="234"/>
        <v>0</v>
      </c>
      <c r="AX338" s="187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78">
        <f t="shared" si="233"/>
        <v>0</v>
      </c>
      <c r="AW339" s="1878">
        <f t="shared" si="234"/>
        <v>0</v>
      </c>
      <c r="AX339" s="187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78">
        <f t="shared" si="233"/>
        <v>0</v>
      </c>
      <c r="AW340" s="1878">
        <f t="shared" si="234"/>
        <v>0</v>
      </c>
      <c r="AX340" s="187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78">
        <f t="shared" si="233"/>
        <v>0</v>
      </c>
      <c r="AW341" s="1878">
        <f t="shared" si="234"/>
        <v>0</v>
      </c>
      <c r="AX341" s="187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78">
        <f t="shared" si="233"/>
        <v>0</v>
      </c>
      <c r="AW342" s="1878">
        <f t="shared" si="234"/>
        <v>0</v>
      </c>
      <c r="AX342" s="187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78">
        <f t="shared" si="233"/>
        <v>0</v>
      </c>
      <c r="AW343" s="1878">
        <f t="shared" si="234"/>
        <v>0</v>
      </c>
      <c r="AX343" s="187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78">
        <f t="shared" si="233"/>
        <v>0</v>
      </c>
      <c r="AW344" s="1878">
        <f t="shared" si="234"/>
        <v>0</v>
      </c>
      <c r="AX344" s="187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78">
        <f t="shared" si="233"/>
        <v>0</v>
      </c>
      <c r="AW345" s="1878">
        <f t="shared" si="234"/>
        <v>0</v>
      </c>
      <c r="AX345" s="187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78">
        <f t="shared" si="233"/>
        <v>0</v>
      </c>
      <c r="AW346" s="1878">
        <f t="shared" si="234"/>
        <v>0</v>
      </c>
      <c r="AX346" s="187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78">
        <f t="shared" si="233"/>
        <v>0</v>
      </c>
      <c r="AW347" s="1878">
        <f t="shared" si="234"/>
        <v>0</v>
      </c>
      <c r="AX347" s="187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78">
        <f t="shared" si="233"/>
        <v>0</v>
      </c>
      <c r="AW348" s="1878">
        <f t="shared" si="234"/>
        <v>0</v>
      </c>
      <c r="AX348" s="187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78">
        <f t="shared" si="233"/>
        <v>0</v>
      </c>
      <c r="AW349" s="1878">
        <f t="shared" si="234"/>
        <v>0</v>
      </c>
      <c r="AX349" s="187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78">
        <f t="shared" si="233"/>
        <v>0</v>
      </c>
      <c r="AW350" s="1878">
        <f t="shared" si="234"/>
        <v>0</v>
      </c>
      <c r="AX350" s="187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78">
        <f t="shared" si="233"/>
        <v>0</v>
      </c>
      <c r="AW351" s="1878">
        <f t="shared" si="234"/>
        <v>0</v>
      </c>
      <c r="AX351" s="187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78">
        <f t="shared" si="233"/>
        <v>0</v>
      </c>
      <c r="AW352" s="1878">
        <f t="shared" si="234"/>
        <v>0</v>
      </c>
      <c r="AX352" s="187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78">
        <f t="shared" si="233"/>
        <v>0</v>
      </c>
      <c r="AW353" s="1878">
        <f t="shared" si="234"/>
        <v>0</v>
      </c>
      <c r="AX353" s="187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78">
        <f t="shared" si="233"/>
        <v>0</v>
      </c>
      <c r="AW354" s="1878">
        <f t="shared" si="234"/>
        <v>0</v>
      </c>
      <c r="AX354" s="187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78">
        <f t="shared" si="233"/>
        <v>0</v>
      </c>
      <c r="AW355" s="1878">
        <f t="shared" si="234"/>
        <v>0</v>
      </c>
      <c r="AX355" s="187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78">
        <f t="shared" si="233"/>
        <v>0</v>
      </c>
      <c r="AW356" s="1878">
        <f t="shared" si="234"/>
        <v>0</v>
      </c>
      <c r="AX356" s="187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78">
        <f t="shared" si="233"/>
        <v>0</v>
      </c>
      <c r="AW357" s="1878">
        <f t="shared" si="234"/>
        <v>0</v>
      </c>
      <c r="AX357" s="187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78">
        <f t="shared" si="233"/>
        <v>0</v>
      </c>
      <c r="AW358" s="1878">
        <f t="shared" si="234"/>
        <v>0</v>
      </c>
      <c r="AX358" s="187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78">
        <f t="shared" si="233"/>
        <v>0</v>
      </c>
      <c r="AW359" s="1878">
        <f t="shared" si="234"/>
        <v>0</v>
      </c>
      <c r="AX359" s="187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78">
        <f t="shared" si="233"/>
        <v>0</v>
      </c>
      <c r="AW360" s="1878">
        <f t="shared" si="234"/>
        <v>0</v>
      </c>
      <c r="AX360" s="187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78">
        <f t="shared" ref="AV361:AV388" si="262">A361</f>
        <v>0</v>
      </c>
      <c r="AW361" s="1878">
        <f t="shared" ref="AW361:AW388" si="263">B361</f>
        <v>0</v>
      </c>
      <c r="AX361" s="187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78">
        <f t="shared" si="262"/>
        <v>0</v>
      </c>
      <c r="AW362" s="1878">
        <f t="shared" si="263"/>
        <v>0</v>
      </c>
      <c r="AX362" s="187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78">
        <f t="shared" si="262"/>
        <v>0</v>
      </c>
      <c r="AW363" s="1878">
        <f t="shared" si="263"/>
        <v>0</v>
      </c>
      <c r="AX363" s="187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78">
        <f t="shared" si="262"/>
        <v>0</v>
      </c>
      <c r="AW364" s="1878">
        <f t="shared" si="263"/>
        <v>0</v>
      </c>
      <c r="AX364" s="187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78">
        <f t="shared" si="262"/>
        <v>0</v>
      </c>
      <c r="AW365" s="1878">
        <f t="shared" si="263"/>
        <v>0</v>
      </c>
      <c r="AX365" s="187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78">
        <f t="shared" si="262"/>
        <v>0</v>
      </c>
      <c r="AW366" s="1878">
        <f t="shared" si="263"/>
        <v>0</v>
      </c>
      <c r="AX366" s="187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78">
        <f t="shared" si="262"/>
        <v>0</v>
      </c>
      <c r="AW367" s="1878">
        <f t="shared" si="263"/>
        <v>0</v>
      </c>
      <c r="AX367" s="187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78">
        <f t="shared" si="262"/>
        <v>0</v>
      </c>
      <c r="AW368" s="1878">
        <f t="shared" si="263"/>
        <v>0</v>
      </c>
      <c r="AX368" s="187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78">
        <f t="shared" si="262"/>
        <v>0</v>
      </c>
      <c r="AW369" s="1878">
        <f t="shared" si="263"/>
        <v>0</v>
      </c>
      <c r="AX369" s="187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78">
        <f t="shared" si="262"/>
        <v>0</v>
      </c>
      <c r="AW370" s="1878">
        <f t="shared" si="263"/>
        <v>0</v>
      </c>
      <c r="AX370" s="187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78">
        <f t="shared" si="262"/>
        <v>0</v>
      </c>
      <c r="AW371" s="1878">
        <f t="shared" si="263"/>
        <v>0</v>
      </c>
      <c r="AX371" s="187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78">
        <f t="shared" si="262"/>
        <v>0</v>
      </c>
      <c r="AW372" s="1878">
        <f t="shared" si="263"/>
        <v>0</v>
      </c>
      <c r="AX372" s="187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78">
        <f t="shared" si="262"/>
        <v>0</v>
      </c>
      <c r="AW373" s="1878">
        <f t="shared" si="263"/>
        <v>0</v>
      </c>
      <c r="AX373" s="187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78">
        <f t="shared" si="262"/>
        <v>0</v>
      </c>
      <c r="AW374" s="1878">
        <f t="shared" si="263"/>
        <v>0</v>
      </c>
      <c r="AX374" s="187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78">
        <f t="shared" si="262"/>
        <v>0</v>
      </c>
      <c r="AW375" s="1878">
        <f t="shared" si="263"/>
        <v>0</v>
      </c>
      <c r="AX375" s="187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78">
        <f t="shared" si="262"/>
        <v>0</v>
      </c>
      <c r="AW376" s="1878">
        <f t="shared" si="263"/>
        <v>0</v>
      </c>
      <c r="AX376" s="187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78">
        <f t="shared" si="262"/>
        <v>0</v>
      </c>
      <c r="AW377" s="1878">
        <f t="shared" si="263"/>
        <v>0</v>
      </c>
      <c r="AX377" s="187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78">
        <f t="shared" si="262"/>
        <v>0</v>
      </c>
      <c r="AW378" s="1878">
        <f t="shared" si="263"/>
        <v>0</v>
      </c>
      <c r="AX378" s="187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78">
        <f t="shared" si="262"/>
        <v>0</v>
      </c>
      <c r="AW379" s="1878">
        <f t="shared" si="263"/>
        <v>0</v>
      </c>
      <c r="AX379" s="187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78">
        <f t="shared" si="262"/>
        <v>0</v>
      </c>
      <c r="AW380" s="1878">
        <f t="shared" si="263"/>
        <v>0</v>
      </c>
      <c r="AX380" s="187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78">
        <f t="shared" si="262"/>
        <v>0</v>
      </c>
      <c r="AW381" s="1878">
        <f t="shared" si="263"/>
        <v>0</v>
      </c>
      <c r="AX381" s="187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78">
        <f t="shared" si="262"/>
        <v>0</v>
      </c>
      <c r="AW382" s="1878">
        <f t="shared" si="263"/>
        <v>0</v>
      </c>
      <c r="AX382" s="187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78">
        <f t="shared" si="262"/>
        <v>0</v>
      </c>
      <c r="AW383" s="1878">
        <f t="shared" si="263"/>
        <v>0</v>
      </c>
      <c r="AX383" s="187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78">
        <f t="shared" si="262"/>
        <v>0</v>
      </c>
      <c r="AW384" s="1878">
        <f t="shared" si="263"/>
        <v>0</v>
      </c>
      <c r="AX384" s="187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78">
        <f t="shared" si="262"/>
        <v>0</v>
      </c>
      <c r="AW385" s="1878">
        <f t="shared" si="263"/>
        <v>0</v>
      </c>
      <c r="AX385" s="187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78">
        <f t="shared" si="262"/>
        <v>0</v>
      </c>
      <c r="AW386" s="1878">
        <f t="shared" si="263"/>
        <v>0</v>
      </c>
      <c r="AX386" s="187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78">
        <f t="shared" si="262"/>
        <v>0</v>
      </c>
      <c r="AW387" s="1878">
        <f t="shared" si="263"/>
        <v>0</v>
      </c>
      <c r="AX387" s="187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78">
        <f t="shared" si="262"/>
        <v>0</v>
      </c>
      <c r="AW388" s="1878">
        <f t="shared" si="263"/>
        <v>0</v>
      </c>
      <c r="AX388" s="187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29"/>
      <c r="C389" s="1330"/>
      <c r="D389" s="80"/>
      <c r="E389" s="87">
        <f t="shared" ref="E389:E480" si="265">IF($C$3="是",ROUND($A$3*G389/$B$3,2),ROUND($A$3*(G389-AT389)/$B$3,2))</f>
        <v>0</v>
      </c>
      <c r="F389" s="88"/>
      <c r="G389" s="89">
        <f t="shared" ref="G389:G477" si="266">H389+AC389+AT389</f>
        <v>0</v>
      </c>
      <c r="H389" s="90">
        <f t="shared" ref="H389:H477" si="267">SUMIF(I$12:AB$12,"总值",I389:AB389)</f>
        <v>0</v>
      </c>
      <c r="I389" s="1332"/>
      <c r="J389" s="91"/>
      <c r="K389" s="133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33"/>
      <c r="AG389" s="92"/>
      <c r="AH389" s="92"/>
      <c r="AI389" s="92"/>
      <c r="AJ389" s="92"/>
      <c r="AK389" s="92"/>
      <c r="AL389" s="92"/>
      <c r="AM389" s="92"/>
      <c r="AN389" s="1307"/>
      <c r="AO389" s="92"/>
      <c r="AP389" s="92"/>
      <c r="AQ389" s="92"/>
      <c r="AR389" s="92"/>
      <c r="AS389" s="92"/>
      <c r="AT389" s="93"/>
      <c r="AU389" s="94"/>
      <c r="AV389" s="1878">
        <f t="shared" ref="AV389:AV480" si="269">A389</f>
        <v>0</v>
      </c>
      <c r="AW389" s="1878">
        <f t="shared" ref="AW389:AW480" si="270">B389</f>
        <v>0</v>
      </c>
      <c r="AX389" s="187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29"/>
      <c r="C390" s="1330"/>
      <c r="D390" s="80"/>
      <c r="E390" s="87">
        <f t="shared" si="265"/>
        <v>0</v>
      </c>
      <c r="F390" s="88"/>
      <c r="G390" s="89">
        <f t="shared" si="266"/>
        <v>0</v>
      </c>
      <c r="H390" s="90">
        <f t="shared" si="267"/>
        <v>0</v>
      </c>
      <c r="I390" s="1332"/>
      <c r="J390" s="91"/>
      <c r="K390" s="1332"/>
      <c r="L390" s="91"/>
      <c r="M390" s="1307"/>
      <c r="N390" s="91"/>
      <c r="O390" s="91"/>
      <c r="P390" s="91"/>
      <c r="Q390" s="91"/>
      <c r="R390" s="91"/>
      <c r="S390" s="91"/>
      <c r="T390" s="91"/>
      <c r="U390" s="91"/>
      <c r="V390" s="91"/>
      <c r="W390" s="91"/>
      <c r="X390" s="91"/>
      <c r="Y390" s="91"/>
      <c r="Z390" s="91"/>
      <c r="AA390" s="91"/>
      <c r="AB390" s="91"/>
      <c r="AC390" s="87">
        <f t="shared" si="268"/>
        <v>0</v>
      </c>
      <c r="AD390" s="1307"/>
      <c r="AE390" s="92"/>
      <c r="AF390" s="1333"/>
      <c r="AG390" s="92"/>
      <c r="AH390" s="92"/>
      <c r="AI390" s="92"/>
      <c r="AJ390" s="92"/>
      <c r="AK390" s="92"/>
      <c r="AL390" s="1307"/>
      <c r="AM390" s="92"/>
      <c r="AN390" s="1307"/>
      <c r="AO390" s="92"/>
      <c r="AP390" s="92"/>
      <c r="AQ390" s="92"/>
      <c r="AR390" s="92"/>
      <c r="AS390" s="92"/>
      <c r="AT390" s="93"/>
      <c r="AU390" s="94"/>
      <c r="AV390" s="1878">
        <f t="shared" si="269"/>
        <v>0</v>
      </c>
      <c r="AW390" s="1878">
        <f t="shared" si="270"/>
        <v>0</v>
      </c>
      <c r="AX390" s="187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29"/>
      <c r="C391" s="1330"/>
      <c r="D391" s="80"/>
      <c r="E391" s="87">
        <f t="shared" si="265"/>
        <v>0</v>
      </c>
      <c r="F391" s="88"/>
      <c r="G391" s="89">
        <f t="shared" si="266"/>
        <v>0</v>
      </c>
      <c r="H391" s="90">
        <f t="shared" si="267"/>
        <v>0</v>
      </c>
      <c r="I391" s="1332"/>
      <c r="J391" s="91"/>
      <c r="K391" s="1332"/>
      <c r="L391" s="91"/>
      <c r="M391" s="1307"/>
      <c r="N391" s="91"/>
      <c r="O391" s="91"/>
      <c r="P391" s="91"/>
      <c r="Q391" s="91"/>
      <c r="R391" s="91"/>
      <c r="S391" s="91"/>
      <c r="T391" s="91"/>
      <c r="U391" s="91"/>
      <c r="V391" s="91"/>
      <c r="W391" s="91"/>
      <c r="X391" s="91"/>
      <c r="Y391" s="91"/>
      <c r="Z391" s="91"/>
      <c r="AA391" s="91"/>
      <c r="AB391" s="91"/>
      <c r="AC391" s="87">
        <f t="shared" si="268"/>
        <v>0</v>
      </c>
      <c r="AD391" s="92"/>
      <c r="AE391" s="92"/>
      <c r="AF391" s="1333"/>
      <c r="AG391" s="92"/>
      <c r="AH391" s="92"/>
      <c r="AI391" s="92"/>
      <c r="AJ391" s="92"/>
      <c r="AK391" s="92"/>
      <c r="AL391" s="1307"/>
      <c r="AM391" s="92"/>
      <c r="AN391" s="1307"/>
      <c r="AO391" s="92"/>
      <c r="AP391" s="92"/>
      <c r="AQ391" s="92"/>
      <c r="AR391" s="92"/>
      <c r="AS391" s="92"/>
      <c r="AT391" s="93"/>
      <c r="AU391" s="94"/>
      <c r="AV391" s="1878">
        <f t="shared" si="269"/>
        <v>0</v>
      </c>
      <c r="AW391" s="1878">
        <f t="shared" si="270"/>
        <v>0</v>
      </c>
      <c r="AX391" s="187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29"/>
      <c r="C392" s="1330"/>
      <c r="D392" s="80"/>
      <c r="E392" s="87">
        <f t="shared" si="265"/>
        <v>0</v>
      </c>
      <c r="F392" s="88"/>
      <c r="G392" s="89">
        <f t="shared" si="266"/>
        <v>0</v>
      </c>
      <c r="H392" s="90">
        <f t="shared" si="267"/>
        <v>0</v>
      </c>
      <c r="I392" s="1332"/>
      <c r="J392" s="91"/>
      <c r="K392" s="1332"/>
      <c r="L392" s="91"/>
      <c r="M392" s="91"/>
      <c r="N392" s="91"/>
      <c r="O392" s="1307"/>
      <c r="P392" s="91"/>
      <c r="Q392" s="91"/>
      <c r="R392" s="91"/>
      <c r="S392" s="91"/>
      <c r="T392" s="91"/>
      <c r="U392" s="91"/>
      <c r="V392" s="91"/>
      <c r="W392" s="91"/>
      <c r="X392" s="91"/>
      <c r="Y392" s="91"/>
      <c r="Z392" s="91"/>
      <c r="AA392" s="91"/>
      <c r="AB392" s="91"/>
      <c r="AC392" s="87">
        <f t="shared" si="268"/>
        <v>0</v>
      </c>
      <c r="AD392" s="92"/>
      <c r="AE392" s="92"/>
      <c r="AF392" s="1333"/>
      <c r="AG392" s="92"/>
      <c r="AH392" s="92"/>
      <c r="AI392" s="92"/>
      <c r="AJ392" s="92"/>
      <c r="AK392" s="92"/>
      <c r="AL392" s="92"/>
      <c r="AM392" s="92"/>
      <c r="AN392" s="1307"/>
      <c r="AO392" s="92"/>
      <c r="AP392" s="92"/>
      <c r="AQ392" s="92"/>
      <c r="AR392" s="92"/>
      <c r="AS392" s="92"/>
      <c r="AT392" s="93"/>
      <c r="AU392" s="94"/>
      <c r="AV392" s="1878">
        <f t="shared" si="269"/>
        <v>0</v>
      </c>
      <c r="AW392" s="1878">
        <f t="shared" si="270"/>
        <v>0</v>
      </c>
      <c r="AX392" s="187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29"/>
      <c r="C393" s="1330"/>
      <c r="D393" s="80"/>
      <c r="E393" s="87">
        <f t="shared" si="265"/>
        <v>0</v>
      </c>
      <c r="F393" s="88"/>
      <c r="G393" s="89">
        <f t="shared" si="266"/>
        <v>0</v>
      </c>
      <c r="H393" s="90">
        <f t="shared" si="267"/>
        <v>0</v>
      </c>
      <c r="I393" s="1332"/>
      <c r="J393" s="91"/>
      <c r="K393" s="133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33"/>
      <c r="AG393" s="92"/>
      <c r="AH393" s="92"/>
      <c r="AI393" s="92"/>
      <c r="AJ393" s="92"/>
      <c r="AK393" s="92"/>
      <c r="AL393" s="92"/>
      <c r="AM393" s="92"/>
      <c r="AN393" s="92"/>
      <c r="AO393" s="92"/>
      <c r="AP393" s="92"/>
      <c r="AQ393" s="92"/>
      <c r="AR393" s="92"/>
      <c r="AS393" s="92"/>
      <c r="AT393" s="93"/>
      <c r="AU393" s="94"/>
      <c r="AV393" s="1878">
        <f t="shared" si="269"/>
        <v>0</v>
      </c>
      <c r="AW393" s="1878">
        <f t="shared" si="270"/>
        <v>0</v>
      </c>
      <c r="AX393" s="187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29"/>
      <c r="C394" s="1330"/>
      <c r="D394" s="80"/>
      <c r="E394" s="87">
        <f t="shared" si="265"/>
        <v>0</v>
      </c>
      <c r="F394" s="88"/>
      <c r="G394" s="89">
        <f t="shared" si="266"/>
        <v>0</v>
      </c>
      <c r="H394" s="90">
        <f t="shared" si="267"/>
        <v>0</v>
      </c>
      <c r="I394" s="1332"/>
      <c r="J394" s="91"/>
      <c r="K394" s="133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33"/>
      <c r="AG394" s="92"/>
      <c r="AH394" s="92"/>
      <c r="AI394" s="92"/>
      <c r="AJ394" s="92"/>
      <c r="AK394" s="92"/>
      <c r="AL394" s="92"/>
      <c r="AM394" s="92"/>
      <c r="AN394" s="92"/>
      <c r="AO394" s="92"/>
      <c r="AP394" s="92"/>
      <c r="AQ394" s="92"/>
      <c r="AR394" s="92"/>
      <c r="AS394" s="92"/>
      <c r="AT394" s="93"/>
      <c r="AU394" s="94"/>
      <c r="AV394" s="1878">
        <f t="shared" si="269"/>
        <v>0</v>
      </c>
      <c r="AW394" s="1878">
        <f t="shared" si="270"/>
        <v>0</v>
      </c>
      <c r="AX394" s="187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29"/>
      <c r="C395" s="1330"/>
      <c r="D395" s="80"/>
      <c r="E395" s="87">
        <f t="shared" si="265"/>
        <v>0</v>
      </c>
      <c r="F395" s="88"/>
      <c r="G395" s="89">
        <f t="shared" si="266"/>
        <v>0</v>
      </c>
      <c r="H395" s="90">
        <f t="shared" si="267"/>
        <v>0</v>
      </c>
      <c r="I395" s="1332"/>
      <c r="J395" s="91"/>
      <c r="K395" s="133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33"/>
      <c r="AG395" s="92"/>
      <c r="AH395" s="92"/>
      <c r="AI395" s="92"/>
      <c r="AJ395" s="92"/>
      <c r="AK395" s="92"/>
      <c r="AL395" s="92"/>
      <c r="AM395" s="92"/>
      <c r="AN395" s="92"/>
      <c r="AO395" s="92"/>
      <c r="AP395" s="92"/>
      <c r="AQ395" s="92"/>
      <c r="AR395" s="92"/>
      <c r="AS395" s="92"/>
      <c r="AT395" s="93"/>
      <c r="AU395" s="94"/>
      <c r="AV395" s="1878">
        <f t="shared" si="269"/>
        <v>0</v>
      </c>
      <c r="AW395" s="1878">
        <f t="shared" si="270"/>
        <v>0</v>
      </c>
      <c r="AX395" s="187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29"/>
      <c r="C396" s="1330"/>
      <c r="D396" s="80"/>
      <c r="E396" s="87">
        <f t="shared" si="265"/>
        <v>0</v>
      </c>
      <c r="F396" s="88"/>
      <c r="G396" s="89">
        <f t="shared" si="266"/>
        <v>0</v>
      </c>
      <c r="H396" s="90">
        <f t="shared" si="267"/>
        <v>0</v>
      </c>
      <c r="I396" s="1332"/>
      <c r="J396" s="91"/>
      <c r="K396" s="133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32"/>
      <c r="AG396" s="92"/>
      <c r="AH396" s="92"/>
      <c r="AI396" s="92"/>
      <c r="AJ396" s="92"/>
      <c r="AK396" s="92"/>
      <c r="AL396" s="92"/>
      <c r="AM396" s="92"/>
      <c r="AN396" s="92"/>
      <c r="AO396" s="92"/>
      <c r="AP396" s="92"/>
      <c r="AQ396" s="92"/>
      <c r="AR396" s="92"/>
      <c r="AS396" s="92"/>
      <c r="AT396" s="93"/>
      <c r="AU396" s="94"/>
      <c r="AV396" s="1878">
        <f t="shared" si="269"/>
        <v>0</v>
      </c>
      <c r="AW396" s="1878">
        <f t="shared" si="270"/>
        <v>0</v>
      </c>
      <c r="AX396" s="187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31"/>
      <c r="C397" s="1332"/>
      <c r="D397" s="80"/>
      <c r="E397" s="87">
        <f t="shared" si="265"/>
        <v>0</v>
      </c>
      <c r="F397" s="88"/>
      <c r="G397" s="89">
        <f t="shared" si="266"/>
        <v>0</v>
      </c>
      <c r="H397" s="90">
        <f t="shared" si="267"/>
        <v>0</v>
      </c>
      <c r="I397" s="1332"/>
      <c r="J397" s="91"/>
      <c r="K397" s="133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32"/>
      <c r="AG397" s="92"/>
      <c r="AH397" s="92"/>
      <c r="AI397" s="92"/>
      <c r="AJ397" s="92"/>
      <c r="AK397" s="92"/>
      <c r="AL397" s="92"/>
      <c r="AM397" s="92"/>
      <c r="AN397" s="92"/>
      <c r="AO397" s="92"/>
      <c r="AP397" s="92"/>
      <c r="AQ397" s="92"/>
      <c r="AR397" s="92"/>
      <c r="AS397" s="92"/>
      <c r="AT397" s="93"/>
      <c r="AU397" s="94"/>
      <c r="AV397" s="1878">
        <f t="shared" si="269"/>
        <v>0</v>
      </c>
      <c r="AW397" s="1878">
        <f t="shared" si="270"/>
        <v>0</v>
      </c>
      <c r="AX397" s="187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29"/>
      <c r="C398" s="1330"/>
      <c r="D398" s="80"/>
      <c r="E398" s="87">
        <f t="shared" si="265"/>
        <v>0</v>
      </c>
      <c r="F398" s="88"/>
      <c r="G398" s="89">
        <f t="shared" si="266"/>
        <v>0</v>
      </c>
      <c r="H398" s="90">
        <f t="shared" si="267"/>
        <v>0</v>
      </c>
      <c r="I398" s="1332"/>
      <c r="J398" s="91"/>
      <c r="K398" s="133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32"/>
      <c r="AG398" s="92"/>
      <c r="AH398" s="92"/>
      <c r="AI398" s="92"/>
      <c r="AJ398" s="92"/>
      <c r="AK398" s="92"/>
      <c r="AL398" s="92"/>
      <c r="AM398" s="92"/>
      <c r="AN398" s="92"/>
      <c r="AO398" s="92"/>
      <c r="AP398" s="92"/>
      <c r="AQ398" s="92"/>
      <c r="AR398" s="92"/>
      <c r="AS398" s="92"/>
      <c r="AT398" s="93"/>
      <c r="AU398" s="94"/>
      <c r="AV398" s="1878">
        <f t="shared" si="269"/>
        <v>0</v>
      </c>
      <c r="AW398" s="1878">
        <f t="shared" si="270"/>
        <v>0</v>
      </c>
      <c r="AX398" s="187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29"/>
      <c r="C399" s="1330"/>
      <c r="D399" s="80"/>
      <c r="E399" s="87">
        <f t="shared" si="265"/>
        <v>0</v>
      </c>
      <c r="F399" s="88"/>
      <c r="G399" s="89">
        <f t="shared" si="266"/>
        <v>0</v>
      </c>
      <c r="H399" s="90">
        <f t="shared" si="267"/>
        <v>0</v>
      </c>
      <c r="I399" s="1332"/>
      <c r="J399" s="91"/>
      <c r="K399" s="133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32"/>
      <c r="AG399" s="92"/>
      <c r="AH399" s="92"/>
      <c r="AI399" s="92"/>
      <c r="AJ399" s="92"/>
      <c r="AK399" s="92"/>
      <c r="AL399" s="92"/>
      <c r="AM399" s="92"/>
      <c r="AN399" s="92"/>
      <c r="AO399" s="92"/>
      <c r="AP399" s="92"/>
      <c r="AQ399" s="92"/>
      <c r="AR399" s="92"/>
      <c r="AS399" s="92"/>
      <c r="AT399" s="93"/>
      <c r="AU399" s="94"/>
      <c r="AV399" s="1878">
        <f t="shared" si="269"/>
        <v>0</v>
      </c>
      <c r="AW399" s="1878">
        <f t="shared" si="270"/>
        <v>0</v>
      </c>
      <c r="AX399" s="187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29"/>
      <c r="C400" s="1330"/>
      <c r="D400" s="80"/>
      <c r="E400" s="87">
        <f t="shared" si="265"/>
        <v>0</v>
      </c>
      <c r="F400" s="88"/>
      <c r="G400" s="89">
        <f t="shared" si="266"/>
        <v>0</v>
      </c>
      <c r="H400" s="90">
        <f t="shared" si="267"/>
        <v>0</v>
      </c>
      <c r="I400" s="1332"/>
      <c r="J400" s="91"/>
      <c r="K400" s="133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32"/>
      <c r="AG400" s="92"/>
      <c r="AH400" s="92"/>
      <c r="AI400" s="92"/>
      <c r="AJ400" s="92"/>
      <c r="AK400" s="92"/>
      <c r="AL400" s="92"/>
      <c r="AM400" s="92"/>
      <c r="AN400" s="92"/>
      <c r="AO400" s="92"/>
      <c r="AP400" s="92"/>
      <c r="AQ400" s="92"/>
      <c r="AR400" s="92"/>
      <c r="AS400" s="92"/>
      <c r="AT400" s="93"/>
      <c r="AU400" s="94"/>
      <c r="AV400" s="1878">
        <f t="shared" si="269"/>
        <v>0</v>
      </c>
      <c r="AW400" s="1878">
        <f t="shared" si="270"/>
        <v>0</v>
      </c>
      <c r="AX400" s="187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29"/>
      <c r="C401" s="1330"/>
      <c r="D401" s="80"/>
      <c r="E401" s="87">
        <f t="shared" si="265"/>
        <v>0</v>
      </c>
      <c r="F401" s="88"/>
      <c r="G401" s="89">
        <f t="shared" si="266"/>
        <v>0</v>
      </c>
      <c r="H401" s="90">
        <f t="shared" si="267"/>
        <v>0</v>
      </c>
      <c r="I401" s="1332"/>
      <c r="J401" s="91"/>
      <c r="K401" s="133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32"/>
      <c r="AG401" s="92"/>
      <c r="AH401" s="92"/>
      <c r="AI401" s="92"/>
      <c r="AJ401" s="92"/>
      <c r="AK401" s="92"/>
      <c r="AL401" s="92"/>
      <c r="AM401" s="92"/>
      <c r="AN401" s="92"/>
      <c r="AO401" s="92"/>
      <c r="AP401" s="92"/>
      <c r="AQ401" s="92"/>
      <c r="AR401" s="92"/>
      <c r="AS401" s="92"/>
      <c r="AT401" s="93"/>
      <c r="AU401" s="94"/>
      <c r="AV401" s="1878">
        <f t="shared" si="269"/>
        <v>0</v>
      </c>
      <c r="AW401" s="1878">
        <f t="shared" si="270"/>
        <v>0</v>
      </c>
      <c r="AX401" s="187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29"/>
      <c r="C402" s="1330"/>
      <c r="D402" s="80"/>
      <c r="E402" s="87">
        <f t="shared" si="265"/>
        <v>0</v>
      </c>
      <c r="F402" s="88"/>
      <c r="G402" s="89">
        <f t="shared" si="266"/>
        <v>0</v>
      </c>
      <c r="H402" s="90">
        <f t="shared" si="267"/>
        <v>0</v>
      </c>
      <c r="I402" s="1332"/>
      <c r="J402" s="91"/>
      <c r="K402" s="133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32"/>
      <c r="AG402" s="92"/>
      <c r="AH402" s="92"/>
      <c r="AI402" s="92"/>
      <c r="AJ402" s="92"/>
      <c r="AK402" s="92"/>
      <c r="AL402" s="92"/>
      <c r="AM402" s="92"/>
      <c r="AN402" s="92"/>
      <c r="AO402" s="92"/>
      <c r="AP402" s="92"/>
      <c r="AQ402" s="92"/>
      <c r="AR402" s="92"/>
      <c r="AS402" s="92"/>
      <c r="AT402" s="93"/>
      <c r="AU402" s="94"/>
      <c r="AV402" s="1878">
        <f t="shared" si="269"/>
        <v>0</v>
      </c>
      <c r="AW402" s="1878">
        <f t="shared" si="270"/>
        <v>0</v>
      </c>
      <c r="AX402" s="187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29"/>
      <c r="C403" s="1330"/>
      <c r="D403" s="80"/>
      <c r="E403" s="87">
        <f t="shared" si="265"/>
        <v>0</v>
      </c>
      <c r="F403" s="88"/>
      <c r="G403" s="89">
        <f t="shared" si="266"/>
        <v>0</v>
      </c>
      <c r="H403" s="90">
        <f t="shared" si="267"/>
        <v>0</v>
      </c>
      <c r="I403" s="1332"/>
      <c r="J403" s="91"/>
      <c r="K403" s="133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32"/>
      <c r="AG403" s="92"/>
      <c r="AH403" s="92"/>
      <c r="AI403" s="92"/>
      <c r="AJ403" s="92"/>
      <c r="AK403" s="92"/>
      <c r="AL403" s="92"/>
      <c r="AM403" s="92"/>
      <c r="AN403" s="92"/>
      <c r="AO403" s="92"/>
      <c r="AP403" s="92"/>
      <c r="AQ403" s="92"/>
      <c r="AR403" s="92"/>
      <c r="AS403" s="92"/>
      <c r="AT403" s="93"/>
      <c r="AU403" s="94"/>
      <c r="AV403" s="1878">
        <f t="shared" si="269"/>
        <v>0</v>
      </c>
      <c r="AW403" s="1878">
        <f t="shared" si="270"/>
        <v>0</v>
      </c>
      <c r="AX403" s="187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29"/>
      <c r="C404" s="1330"/>
      <c r="D404" s="80"/>
      <c r="E404" s="87">
        <f t="shared" si="265"/>
        <v>0</v>
      </c>
      <c r="F404" s="88"/>
      <c r="G404" s="89">
        <f t="shared" si="266"/>
        <v>0</v>
      </c>
      <c r="H404" s="90">
        <f t="shared" si="267"/>
        <v>0</v>
      </c>
      <c r="I404" s="1332"/>
      <c r="J404" s="91"/>
      <c r="K404" s="133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32"/>
      <c r="AG404" s="92"/>
      <c r="AH404" s="92"/>
      <c r="AI404" s="92"/>
      <c r="AJ404" s="92"/>
      <c r="AK404" s="92"/>
      <c r="AL404" s="92"/>
      <c r="AM404" s="92"/>
      <c r="AN404" s="92"/>
      <c r="AO404" s="92"/>
      <c r="AP404" s="92"/>
      <c r="AQ404" s="92"/>
      <c r="AR404" s="92"/>
      <c r="AS404" s="92"/>
      <c r="AT404" s="93"/>
      <c r="AU404" s="94"/>
      <c r="AV404" s="1878">
        <f t="shared" si="269"/>
        <v>0</v>
      </c>
      <c r="AW404" s="1878">
        <f t="shared" si="270"/>
        <v>0</v>
      </c>
      <c r="AX404" s="187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29"/>
      <c r="C405" s="1330"/>
      <c r="D405" s="80"/>
      <c r="E405" s="87">
        <f t="shared" si="265"/>
        <v>0</v>
      </c>
      <c r="F405" s="88"/>
      <c r="G405" s="89">
        <f t="shared" si="266"/>
        <v>0</v>
      </c>
      <c r="H405" s="90">
        <f t="shared" si="267"/>
        <v>0</v>
      </c>
      <c r="I405" s="1332"/>
      <c r="J405" s="91"/>
      <c r="K405" s="133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32"/>
      <c r="AG405" s="92"/>
      <c r="AH405" s="92"/>
      <c r="AI405" s="92"/>
      <c r="AJ405" s="92"/>
      <c r="AK405" s="92"/>
      <c r="AL405" s="92"/>
      <c r="AM405" s="92"/>
      <c r="AN405" s="92"/>
      <c r="AO405" s="92"/>
      <c r="AP405" s="92"/>
      <c r="AQ405" s="92"/>
      <c r="AR405" s="92"/>
      <c r="AS405" s="92"/>
      <c r="AT405" s="93"/>
      <c r="AU405" s="94"/>
      <c r="AV405" s="1878">
        <f t="shared" si="269"/>
        <v>0</v>
      </c>
      <c r="AW405" s="1878">
        <f t="shared" si="270"/>
        <v>0</v>
      </c>
      <c r="AX405" s="187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29"/>
      <c r="C406" s="1330"/>
      <c r="D406" s="80"/>
      <c r="E406" s="87">
        <f t="shared" si="265"/>
        <v>0</v>
      </c>
      <c r="F406" s="88"/>
      <c r="G406" s="89">
        <f t="shared" si="266"/>
        <v>0</v>
      </c>
      <c r="H406" s="90">
        <f t="shared" si="267"/>
        <v>0</v>
      </c>
      <c r="I406" s="1332"/>
      <c r="J406" s="91"/>
      <c r="K406" s="133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32"/>
      <c r="AG406" s="92"/>
      <c r="AH406" s="92"/>
      <c r="AI406" s="92"/>
      <c r="AJ406" s="92"/>
      <c r="AK406" s="92"/>
      <c r="AL406" s="92"/>
      <c r="AM406" s="92"/>
      <c r="AN406" s="92"/>
      <c r="AO406" s="92"/>
      <c r="AP406" s="92"/>
      <c r="AQ406" s="92"/>
      <c r="AR406" s="92"/>
      <c r="AS406" s="92"/>
      <c r="AT406" s="93"/>
      <c r="AU406" s="94"/>
      <c r="AV406" s="1878">
        <f t="shared" si="269"/>
        <v>0</v>
      </c>
      <c r="AW406" s="1878">
        <f t="shared" si="270"/>
        <v>0</v>
      </c>
      <c r="AX406" s="187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29"/>
      <c r="C407" s="1330"/>
      <c r="D407" s="80"/>
      <c r="E407" s="87">
        <f t="shared" si="265"/>
        <v>0</v>
      </c>
      <c r="F407" s="88"/>
      <c r="G407" s="89">
        <f t="shared" si="266"/>
        <v>0</v>
      </c>
      <c r="H407" s="90">
        <f t="shared" si="267"/>
        <v>0</v>
      </c>
      <c r="I407" s="1332"/>
      <c r="J407" s="91"/>
      <c r="K407" s="133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32"/>
      <c r="AG407" s="92"/>
      <c r="AH407" s="92"/>
      <c r="AI407" s="92"/>
      <c r="AJ407" s="92"/>
      <c r="AK407" s="92"/>
      <c r="AL407" s="92"/>
      <c r="AM407" s="92"/>
      <c r="AN407" s="92"/>
      <c r="AO407" s="92"/>
      <c r="AP407" s="92"/>
      <c r="AQ407" s="92"/>
      <c r="AR407" s="92"/>
      <c r="AS407" s="92"/>
      <c r="AT407" s="93"/>
      <c r="AU407" s="94"/>
      <c r="AV407" s="1878">
        <f t="shared" si="269"/>
        <v>0</v>
      </c>
      <c r="AW407" s="1878">
        <f t="shared" si="270"/>
        <v>0</v>
      </c>
      <c r="AX407" s="187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29"/>
      <c r="C408" s="1330"/>
      <c r="D408" s="80"/>
      <c r="E408" s="87">
        <f t="shared" si="265"/>
        <v>0</v>
      </c>
      <c r="F408" s="88"/>
      <c r="G408" s="89">
        <f t="shared" si="266"/>
        <v>0</v>
      </c>
      <c r="H408" s="90">
        <f t="shared" si="267"/>
        <v>0</v>
      </c>
      <c r="I408" s="1332"/>
      <c r="J408" s="91"/>
      <c r="K408" s="133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32"/>
      <c r="AG408" s="92"/>
      <c r="AH408" s="92"/>
      <c r="AI408" s="92"/>
      <c r="AJ408" s="92"/>
      <c r="AK408" s="92"/>
      <c r="AL408" s="92"/>
      <c r="AM408" s="92"/>
      <c r="AN408" s="92"/>
      <c r="AO408" s="92"/>
      <c r="AP408" s="92"/>
      <c r="AQ408" s="92"/>
      <c r="AR408" s="92"/>
      <c r="AS408" s="92"/>
      <c r="AT408" s="93"/>
      <c r="AU408" s="94"/>
      <c r="AV408" s="1878">
        <f t="shared" si="269"/>
        <v>0</v>
      </c>
      <c r="AW408" s="1878">
        <f t="shared" si="270"/>
        <v>0</v>
      </c>
      <c r="AX408" s="187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29"/>
      <c r="C409" s="1330"/>
      <c r="D409" s="80"/>
      <c r="E409" s="87">
        <f t="shared" si="265"/>
        <v>0</v>
      </c>
      <c r="F409" s="88"/>
      <c r="G409" s="89">
        <f t="shared" si="266"/>
        <v>0</v>
      </c>
      <c r="H409" s="90">
        <f t="shared" si="267"/>
        <v>0</v>
      </c>
      <c r="I409" s="1332"/>
      <c r="J409" s="91"/>
      <c r="K409" s="133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32"/>
      <c r="AG409" s="92"/>
      <c r="AH409" s="92"/>
      <c r="AI409" s="92"/>
      <c r="AJ409" s="92"/>
      <c r="AK409" s="92"/>
      <c r="AL409" s="92"/>
      <c r="AM409" s="92"/>
      <c r="AN409" s="92"/>
      <c r="AO409" s="92"/>
      <c r="AP409" s="92"/>
      <c r="AQ409" s="92"/>
      <c r="AR409" s="92"/>
      <c r="AS409" s="92"/>
      <c r="AT409" s="93"/>
      <c r="AU409" s="94"/>
      <c r="AV409" s="1878">
        <f t="shared" si="269"/>
        <v>0</v>
      </c>
      <c r="AW409" s="1878">
        <f t="shared" si="270"/>
        <v>0</v>
      </c>
      <c r="AX409" s="187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29"/>
      <c r="C410" s="1330"/>
      <c r="D410" s="80"/>
      <c r="E410" s="87">
        <f t="shared" si="265"/>
        <v>0</v>
      </c>
      <c r="F410" s="88"/>
      <c r="G410" s="89">
        <f t="shared" si="266"/>
        <v>0</v>
      </c>
      <c r="H410" s="90">
        <f t="shared" si="267"/>
        <v>0</v>
      </c>
      <c r="I410" s="1332"/>
      <c r="J410" s="91"/>
      <c r="K410" s="133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32"/>
      <c r="AG410" s="92"/>
      <c r="AH410" s="92"/>
      <c r="AI410" s="92"/>
      <c r="AJ410" s="92"/>
      <c r="AK410" s="92"/>
      <c r="AL410" s="92"/>
      <c r="AM410" s="92"/>
      <c r="AN410" s="92"/>
      <c r="AO410" s="92"/>
      <c r="AP410" s="92"/>
      <c r="AQ410" s="92"/>
      <c r="AR410" s="92"/>
      <c r="AS410" s="92"/>
      <c r="AT410" s="93"/>
      <c r="AU410" s="94"/>
      <c r="AV410" s="1878">
        <f t="shared" si="269"/>
        <v>0</v>
      </c>
      <c r="AW410" s="1878">
        <f t="shared" si="270"/>
        <v>0</v>
      </c>
      <c r="AX410" s="187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29"/>
      <c r="C411" s="1330"/>
      <c r="D411" s="80"/>
      <c r="E411" s="87">
        <f t="shared" si="265"/>
        <v>0</v>
      </c>
      <c r="F411" s="88"/>
      <c r="G411" s="89">
        <f t="shared" si="266"/>
        <v>0</v>
      </c>
      <c r="H411" s="90">
        <f t="shared" si="267"/>
        <v>0</v>
      </c>
      <c r="I411" s="1332"/>
      <c r="J411" s="91"/>
      <c r="K411" s="133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32"/>
      <c r="AG411" s="92"/>
      <c r="AH411" s="92"/>
      <c r="AI411" s="92"/>
      <c r="AJ411" s="92"/>
      <c r="AK411" s="92"/>
      <c r="AL411" s="92"/>
      <c r="AM411" s="92"/>
      <c r="AN411" s="92"/>
      <c r="AO411" s="92"/>
      <c r="AP411" s="92"/>
      <c r="AQ411" s="92"/>
      <c r="AR411" s="92"/>
      <c r="AS411" s="92"/>
      <c r="AT411" s="93"/>
      <c r="AU411" s="94"/>
      <c r="AV411" s="1878">
        <f t="shared" si="269"/>
        <v>0</v>
      </c>
      <c r="AW411" s="1878">
        <f t="shared" si="270"/>
        <v>0</v>
      </c>
      <c r="AX411" s="187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29"/>
      <c r="C412" s="1330"/>
      <c r="D412" s="80"/>
      <c r="E412" s="87">
        <f t="shared" si="265"/>
        <v>0</v>
      </c>
      <c r="F412" s="88"/>
      <c r="G412" s="89">
        <f t="shared" si="266"/>
        <v>0</v>
      </c>
      <c r="H412" s="90">
        <f t="shared" si="267"/>
        <v>0</v>
      </c>
      <c r="I412" s="1332"/>
      <c r="J412" s="91"/>
      <c r="K412" s="133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32"/>
      <c r="AG412" s="92"/>
      <c r="AH412" s="92"/>
      <c r="AI412" s="92"/>
      <c r="AJ412" s="92"/>
      <c r="AK412" s="92"/>
      <c r="AL412" s="92"/>
      <c r="AM412" s="92"/>
      <c r="AN412" s="92"/>
      <c r="AO412" s="92"/>
      <c r="AP412" s="92"/>
      <c r="AQ412" s="92"/>
      <c r="AR412" s="92"/>
      <c r="AS412" s="92"/>
      <c r="AT412" s="93"/>
      <c r="AU412" s="94"/>
      <c r="AV412" s="1878">
        <f t="shared" si="269"/>
        <v>0</v>
      </c>
      <c r="AW412" s="1878">
        <f t="shared" si="270"/>
        <v>0</v>
      </c>
      <c r="AX412" s="187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29"/>
      <c r="C413" s="1330"/>
      <c r="D413" s="80"/>
      <c r="E413" s="87">
        <f t="shared" si="265"/>
        <v>0</v>
      </c>
      <c r="F413" s="88"/>
      <c r="G413" s="89">
        <f t="shared" si="266"/>
        <v>0</v>
      </c>
      <c r="H413" s="90">
        <f t="shared" si="267"/>
        <v>0</v>
      </c>
      <c r="I413" s="1332"/>
      <c r="J413" s="91"/>
      <c r="K413" s="133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32"/>
      <c r="AG413" s="92"/>
      <c r="AH413" s="92"/>
      <c r="AI413" s="92"/>
      <c r="AJ413" s="92"/>
      <c r="AK413" s="92"/>
      <c r="AL413" s="92"/>
      <c r="AM413" s="92"/>
      <c r="AN413" s="92"/>
      <c r="AO413" s="92"/>
      <c r="AP413" s="92"/>
      <c r="AQ413" s="92"/>
      <c r="AR413" s="92"/>
      <c r="AS413" s="92"/>
      <c r="AT413" s="93"/>
      <c r="AU413" s="94"/>
      <c r="AV413" s="1878">
        <f t="shared" si="269"/>
        <v>0</v>
      </c>
      <c r="AW413" s="1878">
        <f t="shared" si="270"/>
        <v>0</v>
      </c>
      <c r="AX413" s="187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29"/>
      <c r="C414" s="1330"/>
      <c r="D414" s="80"/>
      <c r="E414" s="87">
        <f t="shared" si="265"/>
        <v>0</v>
      </c>
      <c r="F414" s="88"/>
      <c r="G414" s="89">
        <f t="shared" si="266"/>
        <v>0</v>
      </c>
      <c r="H414" s="90">
        <f t="shared" si="267"/>
        <v>0</v>
      </c>
      <c r="I414" s="1332"/>
      <c r="J414" s="91"/>
      <c r="K414" s="133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32"/>
      <c r="AG414" s="92"/>
      <c r="AH414" s="92"/>
      <c r="AI414" s="92"/>
      <c r="AJ414" s="92"/>
      <c r="AK414" s="92"/>
      <c r="AL414" s="92"/>
      <c r="AM414" s="92"/>
      <c r="AN414" s="92"/>
      <c r="AO414" s="92"/>
      <c r="AP414" s="92"/>
      <c r="AQ414" s="92"/>
      <c r="AR414" s="92"/>
      <c r="AS414" s="92"/>
      <c r="AT414" s="93"/>
      <c r="AU414" s="94"/>
      <c r="AV414" s="1878">
        <f t="shared" si="269"/>
        <v>0</v>
      </c>
      <c r="AW414" s="1878">
        <f t="shared" si="270"/>
        <v>0</v>
      </c>
      <c r="AX414" s="187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29"/>
      <c r="C415" s="1330"/>
      <c r="D415" s="80"/>
      <c r="E415" s="87">
        <f t="shared" si="265"/>
        <v>0</v>
      </c>
      <c r="F415" s="88"/>
      <c r="G415" s="89">
        <f t="shared" si="266"/>
        <v>0</v>
      </c>
      <c r="H415" s="90">
        <f t="shared" si="267"/>
        <v>0</v>
      </c>
      <c r="I415" s="1332"/>
      <c r="J415" s="91"/>
      <c r="K415" s="133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30"/>
      <c r="AG415" s="92"/>
      <c r="AH415" s="92"/>
      <c r="AI415" s="92"/>
      <c r="AJ415" s="92"/>
      <c r="AK415" s="92"/>
      <c r="AL415" s="92"/>
      <c r="AM415" s="92"/>
      <c r="AN415" s="92"/>
      <c r="AO415" s="92"/>
      <c r="AP415" s="92"/>
      <c r="AQ415" s="92"/>
      <c r="AR415" s="92"/>
      <c r="AS415" s="92"/>
      <c r="AT415" s="93"/>
      <c r="AU415" s="94"/>
      <c r="AV415" s="1878">
        <f t="shared" si="269"/>
        <v>0</v>
      </c>
      <c r="AW415" s="1878">
        <f t="shared" si="270"/>
        <v>0</v>
      </c>
      <c r="AX415" s="187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29"/>
      <c r="C416" s="1330"/>
      <c r="D416" s="80"/>
      <c r="E416" s="87">
        <f t="shared" si="265"/>
        <v>0</v>
      </c>
      <c r="F416" s="88"/>
      <c r="G416" s="89">
        <f t="shared" si="266"/>
        <v>0</v>
      </c>
      <c r="H416" s="90">
        <f t="shared" si="267"/>
        <v>0</v>
      </c>
      <c r="I416" s="1330"/>
      <c r="J416" s="91"/>
      <c r="K416" s="133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30"/>
      <c r="AG416" s="92"/>
      <c r="AH416" s="92"/>
      <c r="AI416" s="92"/>
      <c r="AJ416" s="92"/>
      <c r="AK416" s="92"/>
      <c r="AL416" s="92"/>
      <c r="AM416" s="92"/>
      <c r="AN416" s="92"/>
      <c r="AO416" s="92"/>
      <c r="AP416" s="92"/>
      <c r="AQ416" s="92"/>
      <c r="AR416" s="92"/>
      <c r="AS416" s="92"/>
      <c r="AT416" s="93"/>
      <c r="AU416" s="94"/>
      <c r="AV416" s="1878">
        <f t="shared" si="269"/>
        <v>0</v>
      </c>
      <c r="AW416" s="1878">
        <f t="shared" si="270"/>
        <v>0</v>
      </c>
      <c r="AX416" s="187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29"/>
      <c r="C417" s="1330"/>
      <c r="D417" s="80"/>
      <c r="E417" s="87">
        <f t="shared" si="265"/>
        <v>0</v>
      </c>
      <c r="F417" s="88"/>
      <c r="G417" s="89">
        <f t="shared" si="266"/>
        <v>0</v>
      </c>
      <c r="H417" s="90">
        <f t="shared" si="267"/>
        <v>0</v>
      </c>
      <c r="I417" s="1330"/>
      <c r="J417" s="91"/>
      <c r="K417" s="133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30"/>
      <c r="AG417" s="92"/>
      <c r="AH417" s="92"/>
      <c r="AI417" s="92"/>
      <c r="AJ417" s="92"/>
      <c r="AK417" s="92"/>
      <c r="AL417" s="92"/>
      <c r="AM417" s="92"/>
      <c r="AN417" s="92"/>
      <c r="AO417" s="92"/>
      <c r="AP417" s="92"/>
      <c r="AQ417" s="92"/>
      <c r="AR417" s="92"/>
      <c r="AS417" s="92"/>
      <c r="AT417" s="93"/>
      <c r="AU417" s="94"/>
      <c r="AV417" s="1878">
        <f t="shared" si="269"/>
        <v>0</v>
      </c>
      <c r="AW417" s="1878">
        <f t="shared" si="270"/>
        <v>0</v>
      </c>
      <c r="AX417" s="187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29"/>
      <c r="C418" s="1330"/>
      <c r="D418" s="80"/>
      <c r="E418" s="87">
        <f t="shared" si="265"/>
        <v>0</v>
      </c>
      <c r="F418" s="88"/>
      <c r="G418" s="89">
        <f t="shared" si="266"/>
        <v>0</v>
      </c>
      <c r="H418" s="90">
        <f t="shared" si="267"/>
        <v>0</v>
      </c>
      <c r="I418" s="1330"/>
      <c r="J418" s="91"/>
      <c r="K418" s="133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30"/>
      <c r="AG418" s="92"/>
      <c r="AH418" s="92"/>
      <c r="AI418" s="92"/>
      <c r="AJ418" s="92"/>
      <c r="AK418" s="92"/>
      <c r="AL418" s="92"/>
      <c r="AM418" s="92"/>
      <c r="AN418" s="92"/>
      <c r="AO418" s="92"/>
      <c r="AP418" s="92"/>
      <c r="AQ418" s="92"/>
      <c r="AR418" s="92"/>
      <c r="AS418" s="92"/>
      <c r="AT418" s="93"/>
      <c r="AU418" s="94"/>
      <c r="AV418" s="1878">
        <f t="shared" si="269"/>
        <v>0</v>
      </c>
      <c r="AW418" s="1878">
        <f t="shared" si="270"/>
        <v>0</v>
      </c>
      <c r="AX418" s="187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29"/>
      <c r="C419" s="1330"/>
      <c r="D419" s="80"/>
      <c r="E419" s="87">
        <f t="shared" si="265"/>
        <v>0</v>
      </c>
      <c r="F419" s="88"/>
      <c r="G419" s="89">
        <f t="shared" si="266"/>
        <v>0</v>
      </c>
      <c r="H419" s="90">
        <f t="shared" si="267"/>
        <v>0</v>
      </c>
      <c r="I419" s="1330"/>
      <c r="J419" s="91"/>
      <c r="K419" s="133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30"/>
      <c r="AG419" s="92"/>
      <c r="AH419" s="92"/>
      <c r="AI419" s="92"/>
      <c r="AJ419" s="92"/>
      <c r="AK419" s="92"/>
      <c r="AL419" s="92"/>
      <c r="AM419" s="92"/>
      <c r="AN419" s="92"/>
      <c r="AO419" s="92"/>
      <c r="AP419" s="92"/>
      <c r="AQ419" s="92"/>
      <c r="AR419" s="92"/>
      <c r="AS419" s="92"/>
      <c r="AT419" s="93"/>
      <c r="AU419" s="94"/>
      <c r="AV419" s="1878">
        <f t="shared" si="269"/>
        <v>0</v>
      </c>
      <c r="AW419" s="1878">
        <f t="shared" si="270"/>
        <v>0</v>
      </c>
      <c r="AX419" s="187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29"/>
      <c r="C420" s="1330"/>
      <c r="D420" s="80"/>
      <c r="E420" s="87">
        <f t="shared" si="265"/>
        <v>0</v>
      </c>
      <c r="F420" s="88"/>
      <c r="G420" s="89">
        <f t="shared" si="266"/>
        <v>0</v>
      </c>
      <c r="H420" s="90">
        <f t="shared" si="267"/>
        <v>0</v>
      </c>
      <c r="I420" s="1330"/>
      <c r="J420" s="91"/>
      <c r="K420" s="133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30"/>
      <c r="AG420" s="92"/>
      <c r="AH420" s="92"/>
      <c r="AI420" s="92"/>
      <c r="AJ420" s="92"/>
      <c r="AK420" s="92"/>
      <c r="AL420" s="92"/>
      <c r="AM420" s="92"/>
      <c r="AN420" s="92"/>
      <c r="AO420" s="92"/>
      <c r="AP420" s="92"/>
      <c r="AQ420" s="92"/>
      <c r="AR420" s="92"/>
      <c r="AS420" s="92"/>
      <c r="AT420" s="93"/>
      <c r="AU420" s="94"/>
      <c r="AV420" s="1878">
        <f t="shared" si="269"/>
        <v>0</v>
      </c>
      <c r="AW420" s="1878">
        <f t="shared" si="270"/>
        <v>0</v>
      </c>
      <c r="AX420" s="187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29"/>
      <c r="C421" s="1330"/>
      <c r="D421" s="80"/>
      <c r="E421" s="87">
        <f t="shared" si="265"/>
        <v>0</v>
      </c>
      <c r="F421" s="88"/>
      <c r="G421" s="89">
        <f t="shared" si="266"/>
        <v>0</v>
      </c>
      <c r="H421" s="90">
        <f t="shared" si="267"/>
        <v>0</v>
      </c>
      <c r="I421" s="1330"/>
      <c r="J421" s="91"/>
      <c r="K421" s="133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30"/>
      <c r="AG421" s="92"/>
      <c r="AH421" s="92"/>
      <c r="AI421" s="92"/>
      <c r="AJ421" s="92"/>
      <c r="AK421" s="92"/>
      <c r="AL421" s="92"/>
      <c r="AM421" s="92"/>
      <c r="AN421" s="92"/>
      <c r="AO421" s="92"/>
      <c r="AP421" s="92"/>
      <c r="AQ421" s="92"/>
      <c r="AR421" s="92"/>
      <c r="AS421" s="92"/>
      <c r="AT421" s="93"/>
      <c r="AU421" s="94"/>
      <c r="AV421" s="1878">
        <f t="shared" si="269"/>
        <v>0</v>
      </c>
      <c r="AW421" s="1878">
        <f t="shared" si="270"/>
        <v>0</v>
      </c>
      <c r="AX421" s="187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29"/>
      <c r="C422" s="1330"/>
      <c r="D422" s="80"/>
      <c r="E422" s="87">
        <f t="shared" si="265"/>
        <v>0</v>
      </c>
      <c r="F422" s="88"/>
      <c r="G422" s="89">
        <f t="shared" si="266"/>
        <v>0</v>
      </c>
      <c r="H422" s="90">
        <f t="shared" si="267"/>
        <v>0</v>
      </c>
      <c r="I422" s="1330"/>
      <c r="J422" s="91"/>
      <c r="K422" s="133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30"/>
      <c r="AG422" s="92"/>
      <c r="AH422" s="92"/>
      <c r="AI422" s="92"/>
      <c r="AJ422" s="92"/>
      <c r="AK422" s="92"/>
      <c r="AL422" s="92"/>
      <c r="AM422" s="92"/>
      <c r="AN422" s="92"/>
      <c r="AO422" s="92"/>
      <c r="AP422" s="92"/>
      <c r="AQ422" s="92"/>
      <c r="AR422" s="92"/>
      <c r="AS422" s="92"/>
      <c r="AT422" s="93"/>
      <c r="AU422" s="94"/>
      <c r="AV422" s="1878">
        <f t="shared" si="269"/>
        <v>0</v>
      </c>
      <c r="AW422" s="1878">
        <f t="shared" si="270"/>
        <v>0</v>
      </c>
      <c r="AX422" s="187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31"/>
      <c r="C423" s="1332"/>
      <c r="D423" s="80"/>
      <c r="E423" s="87">
        <f t="shared" si="265"/>
        <v>0</v>
      </c>
      <c r="F423" s="88"/>
      <c r="G423" s="89">
        <f t="shared" si="266"/>
        <v>0</v>
      </c>
      <c r="H423" s="90">
        <f t="shared" si="267"/>
        <v>0</v>
      </c>
      <c r="I423" s="1330"/>
      <c r="J423" s="91"/>
      <c r="K423" s="1330"/>
      <c r="L423" s="91"/>
      <c r="M423" s="1330"/>
      <c r="N423" s="91"/>
      <c r="O423" s="91"/>
      <c r="P423" s="91"/>
      <c r="Q423" s="91"/>
      <c r="R423" s="91"/>
      <c r="S423" s="91"/>
      <c r="T423" s="91"/>
      <c r="U423" s="91"/>
      <c r="V423" s="91"/>
      <c r="W423" s="91"/>
      <c r="X423" s="91"/>
      <c r="Y423" s="91"/>
      <c r="Z423" s="91"/>
      <c r="AA423" s="91"/>
      <c r="AB423" s="91"/>
      <c r="AC423" s="87">
        <f t="shared" si="268"/>
        <v>0</v>
      </c>
      <c r="AD423" s="92"/>
      <c r="AE423" s="92"/>
      <c r="AF423" s="1330"/>
      <c r="AG423" s="92"/>
      <c r="AH423" s="92"/>
      <c r="AI423" s="92"/>
      <c r="AJ423" s="92"/>
      <c r="AK423" s="92"/>
      <c r="AL423" s="92"/>
      <c r="AM423" s="92"/>
      <c r="AN423" s="92"/>
      <c r="AO423" s="92"/>
      <c r="AP423" s="92"/>
      <c r="AQ423" s="92"/>
      <c r="AR423" s="92"/>
      <c r="AS423" s="92"/>
      <c r="AT423" s="93"/>
      <c r="AU423" s="94"/>
      <c r="AV423" s="1878">
        <f t="shared" si="269"/>
        <v>0</v>
      </c>
      <c r="AW423" s="1878">
        <f t="shared" si="270"/>
        <v>0</v>
      </c>
      <c r="AX423" s="187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78">
        <f t="shared" si="269"/>
        <v>0</v>
      </c>
      <c r="AW424" s="1878">
        <f t="shared" si="270"/>
        <v>0</v>
      </c>
      <c r="AX424" s="187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78">
        <f t="shared" si="269"/>
        <v>0</v>
      </c>
      <c r="AW425" s="1878">
        <f t="shared" si="270"/>
        <v>0</v>
      </c>
      <c r="AX425" s="187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78">
        <f t="shared" si="269"/>
        <v>0</v>
      </c>
      <c r="AW426" s="1878">
        <f t="shared" si="270"/>
        <v>0</v>
      </c>
      <c r="AX426" s="187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78">
        <f t="shared" si="269"/>
        <v>0</v>
      </c>
      <c r="AW427" s="1878">
        <f t="shared" si="270"/>
        <v>0</v>
      </c>
      <c r="AX427" s="187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78">
        <f t="shared" si="269"/>
        <v>0</v>
      </c>
      <c r="AW428" s="1878">
        <f t="shared" si="270"/>
        <v>0</v>
      </c>
      <c r="AX428" s="187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78">
        <f t="shared" si="269"/>
        <v>0</v>
      </c>
      <c r="AW429" s="1878">
        <f t="shared" si="270"/>
        <v>0</v>
      </c>
      <c r="AX429" s="187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78">
        <f t="shared" si="269"/>
        <v>0</v>
      </c>
      <c r="AW430" s="1878">
        <f t="shared" si="270"/>
        <v>0</v>
      </c>
      <c r="AX430" s="187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78">
        <f t="shared" si="269"/>
        <v>0</v>
      </c>
      <c r="AW431" s="1878">
        <f t="shared" si="270"/>
        <v>0</v>
      </c>
      <c r="AX431" s="187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78">
        <f t="shared" si="269"/>
        <v>0</v>
      </c>
      <c r="AW432" s="1878">
        <f t="shared" si="270"/>
        <v>0</v>
      </c>
      <c r="AX432" s="187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78">
        <f t="shared" si="269"/>
        <v>0</v>
      </c>
      <c r="AW433" s="1878">
        <f t="shared" si="270"/>
        <v>0</v>
      </c>
      <c r="AX433" s="187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78">
        <f t="shared" si="269"/>
        <v>0</v>
      </c>
      <c r="AW434" s="1878">
        <f t="shared" si="270"/>
        <v>0</v>
      </c>
      <c r="AX434" s="187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78">
        <f t="shared" si="269"/>
        <v>0</v>
      </c>
      <c r="AW435" s="1878">
        <f t="shared" si="270"/>
        <v>0</v>
      </c>
      <c r="AX435" s="187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78">
        <f t="shared" si="269"/>
        <v>0</v>
      </c>
      <c r="AW436" s="1878">
        <f t="shared" si="270"/>
        <v>0</v>
      </c>
      <c r="AX436" s="187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78">
        <f t="shared" si="269"/>
        <v>0</v>
      </c>
      <c r="AW437" s="1878">
        <f t="shared" si="270"/>
        <v>0</v>
      </c>
      <c r="AX437" s="187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78">
        <f t="shared" si="269"/>
        <v>0</v>
      </c>
      <c r="AW438" s="1878">
        <f t="shared" si="270"/>
        <v>0</v>
      </c>
      <c r="AX438" s="187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78">
        <f t="shared" si="269"/>
        <v>0</v>
      </c>
      <c r="AW439" s="1878">
        <f t="shared" si="270"/>
        <v>0</v>
      </c>
      <c r="AX439" s="187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78">
        <f t="shared" si="269"/>
        <v>0</v>
      </c>
      <c r="AW440" s="1878">
        <f t="shared" si="270"/>
        <v>0</v>
      </c>
      <c r="AX440" s="187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78">
        <f t="shared" si="269"/>
        <v>0</v>
      </c>
      <c r="AW441" s="1878">
        <f t="shared" si="270"/>
        <v>0</v>
      </c>
      <c r="AX441" s="187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78">
        <f t="shared" si="269"/>
        <v>0</v>
      </c>
      <c r="AW442" s="1878">
        <f t="shared" si="270"/>
        <v>0</v>
      </c>
      <c r="AX442" s="187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78">
        <f t="shared" si="269"/>
        <v>0</v>
      </c>
      <c r="AW443" s="1878">
        <f t="shared" si="270"/>
        <v>0</v>
      </c>
      <c r="AX443" s="187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78">
        <f t="shared" si="269"/>
        <v>0</v>
      </c>
      <c r="AW444" s="1878">
        <f t="shared" si="270"/>
        <v>0</v>
      </c>
      <c r="AX444" s="187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78">
        <f t="shared" si="269"/>
        <v>0</v>
      </c>
      <c r="AW445" s="1878">
        <f t="shared" si="270"/>
        <v>0</v>
      </c>
      <c r="AX445" s="187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78">
        <f t="shared" si="269"/>
        <v>0</v>
      </c>
      <c r="AW446" s="1878">
        <f t="shared" si="270"/>
        <v>0</v>
      </c>
      <c r="AX446" s="187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78">
        <f t="shared" si="269"/>
        <v>0</v>
      </c>
      <c r="AW447" s="1878">
        <f t="shared" si="270"/>
        <v>0</v>
      </c>
      <c r="AX447" s="187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78">
        <f t="shared" si="269"/>
        <v>0</v>
      </c>
      <c r="AW448" s="1878">
        <f t="shared" si="270"/>
        <v>0</v>
      </c>
      <c r="AX448" s="187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78">
        <f t="shared" si="269"/>
        <v>0</v>
      </c>
      <c r="AW449" s="1878">
        <f t="shared" si="270"/>
        <v>0</v>
      </c>
      <c r="AX449" s="187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78">
        <f t="shared" si="269"/>
        <v>0</v>
      </c>
      <c r="AW450" s="1878">
        <f t="shared" si="270"/>
        <v>0</v>
      </c>
      <c r="AX450" s="187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78">
        <f t="shared" si="269"/>
        <v>0</v>
      </c>
      <c r="AW451" s="1878">
        <f t="shared" si="270"/>
        <v>0</v>
      </c>
      <c r="AX451" s="187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78">
        <f t="shared" si="269"/>
        <v>0</v>
      </c>
      <c r="AW452" s="1878">
        <f t="shared" si="270"/>
        <v>0</v>
      </c>
      <c r="AX452" s="187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78">
        <f t="shared" si="269"/>
        <v>0</v>
      </c>
      <c r="AW453" s="1878">
        <f t="shared" si="270"/>
        <v>0</v>
      </c>
      <c r="AX453" s="187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78">
        <f t="shared" si="269"/>
        <v>0</v>
      </c>
      <c r="AW454" s="1878">
        <f t="shared" si="270"/>
        <v>0</v>
      </c>
      <c r="AX454" s="187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78">
        <f t="shared" si="269"/>
        <v>0</v>
      </c>
      <c r="AW455" s="1878">
        <f t="shared" si="270"/>
        <v>0</v>
      </c>
      <c r="AX455" s="187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78">
        <f t="shared" si="269"/>
        <v>0</v>
      </c>
      <c r="AW456" s="1878">
        <f t="shared" si="270"/>
        <v>0</v>
      </c>
      <c r="AX456" s="187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78">
        <f t="shared" si="269"/>
        <v>0</v>
      </c>
      <c r="AW457" s="1878">
        <f t="shared" si="270"/>
        <v>0</v>
      </c>
      <c r="AX457" s="187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78">
        <f t="shared" si="269"/>
        <v>0</v>
      </c>
      <c r="AW458" s="1878">
        <f t="shared" si="270"/>
        <v>0</v>
      </c>
      <c r="AX458" s="187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78">
        <f t="shared" si="269"/>
        <v>0</v>
      </c>
      <c r="AW459" s="1878">
        <f t="shared" si="270"/>
        <v>0</v>
      </c>
      <c r="AX459" s="187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78">
        <f t="shared" si="269"/>
        <v>0</v>
      </c>
      <c r="AW460" s="1878">
        <f t="shared" si="270"/>
        <v>0</v>
      </c>
      <c r="AX460" s="187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78">
        <f t="shared" si="269"/>
        <v>0</v>
      </c>
      <c r="AW461" s="1878">
        <f t="shared" si="270"/>
        <v>0</v>
      </c>
      <c r="AX461" s="187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78">
        <f t="shared" si="269"/>
        <v>0</v>
      </c>
      <c r="AW462" s="1878">
        <f t="shared" si="270"/>
        <v>0</v>
      </c>
      <c r="AX462" s="187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78">
        <f t="shared" si="269"/>
        <v>0</v>
      </c>
      <c r="AW463" s="1878">
        <f t="shared" si="270"/>
        <v>0</v>
      </c>
      <c r="AX463" s="187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78">
        <f t="shared" si="269"/>
        <v>0</v>
      </c>
      <c r="AW464" s="1878">
        <f t="shared" si="270"/>
        <v>0</v>
      </c>
      <c r="AX464" s="187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78">
        <f t="shared" si="269"/>
        <v>0</v>
      </c>
      <c r="AW465" s="1878">
        <f t="shared" si="270"/>
        <v>0</v>
      </c>
      <c r="AX465" s="187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78">
        <f t="shared" si="269"/>
        <v>0</v>
      </c>
      <c r="AW466" s="1878">
        <f t="shared" si="270"/>
        <v>0</v>
      </c>
      <c r="AX466" s="187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78">
        <f t="shared" si="269"/>
        <v>0</v>
      </c>
      <c r="AW467" s="1878">
        <f t="shared" si="270"/>
        <v>0</v>
      </c>
      <c r="AX467" s="187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78">
        <f t="shared" si="269"/>
        <v>0</v>
      </c>
      <c r="AW468" s="1878">
        <f t="shared" si="270"/>
        <v>0</v>
      </c>
      <c r="AX468" s="187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78">
        <f t="shared" si="269"/>
        <v>0</v>
      </c>
      <c r="AW469" s="1878">
        <f t="shared" si="270"/>
        <v>0</v>
      </c>
      <c r="AX469" s="187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78">
        <f t="shared" si="269"/>
        <v>0</v>
      </c>
      <c r="AW470" s="1878">
        <f t="shared" si="270"/>
        <v>0</v>
      </c>
      <c r="AX470" s="187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78">
        <f t="shared" si="269"/>
        <v>0</v>
      </c>
      <c r="AW471" s="1878">
        <f t="shared" si="270"/>
        <v>0</v>
      </c>
      <c r="AX471" s="187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78">
        <f t="shared" si="269"/>
        <v>0</v>
      </c>
      <c r="AW472" s="1878">
        <f t="shared" si="270"/>
        <v>0</v>
      </c>
      <c r="AX472" s="187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78">
        <f t="shared" si="269"/>
        <v>0</v>
      </c>
      <c r="AW473" s="1878">
        <f t="shared" si="270"/>
        <v>0</v>
      </c>
      <c r="AX473" s="187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78">
        <f t="shared" si="269"/>
        <v>0</v>
      </c>
      <c r="AW474" s="1878">
        <f t="shared" si="270"/>
        <v>0</v>
      </c>
      <c r="AX474" s="187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78">
        <f t="shared" si="269"/>
        <v>0</v>
      </c>
      <c r="AW475" s="1878">
        <f t="shared" si="270"/>
        <v>0</v>
      </c>
      <c r="AX475" s="187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78">
        <f t="shared" si="269"/>
        <v>0</v>
      </c>
      <c r="AW476" s="1878">
        <f t="shared" si="270"/>
        <v>0</v>
      </c>
      <c r="AX476" s="187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78">
        <f t="shared" si="269"/>
        <v>0</v>
      </c>
      <c r="AW477" s="1878">
        <f t="shared" si="270"/>
        <v>0</v>
      </c>
      <c r="AX477" s="187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78">
        <f t="shared" si="269"/>
        <v>0</v>
      </c>
      <c r="AW478" s="1878">
        <f t="shared" si="270"/>
        <v>0</v>
      </c>
      <c r="AX478" s="187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78">
        <f t="shared" si="269"/>
        <v>0</v>
      </c>
      <c r="AW479" s="1878">
        <f t="shared" si="270"/>
        <v>0</v>
      </c>
      <c r="AX479" s="187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78">
        <f t="shared" si="269"/>
        <v>0</v>
      </c>
      <c r="AW480" s="1878">
        <f t="shared" si="270"/>
        <v>0</v>
      </c>
      <c r="AX480" s="187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29"/>
      <c r="C481" s="1330"/>
      <c r="D481" s="80"/>
      <c r="E481" s="87">
        <f t="shared" ref="E481:E504" si="319">IF($C$3="是",ROUND($A$3*G481/$B$3,2),ROUND($A$3*(G481-AT481)/$B$3,2))</f>
        <v>0</v>
      </c>
      <c r="F481" s="88"/>
      <c r="G481" s="89">
        <f t="shared" si="294"/>
        <v>0</v>
      </c>
      <c r="H481" s="90">
        <f t="shared" si="295"/>
        <v>0</v>
      </c>
      <c r="I481" s="1332"/>
      <c r="J481" s="91"/>
      <c r="K481" s="133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33"/>
      <c r="AG481" s="92"/>
      <c r="AH481" s="92"/>
      <c r="AI481" s="92"/>
      <c r="AJ481" s="92"/>
      <c r="AK481" s="92"/>
      <c r="AL481" s="92"/>
      <c r="AM481" s="92"/>
      <c r="AN481" s="1307"/>
      <c r="AO481" s="92"/>
      <c r="AP481" s="92"/>
      <c r="AQ481" s="92"/>
      <c r="AR481" s="92"/>
      <c r="AS481" s="92"/>
      <c r="AT481" s="93"/>
      <c r="AU481" s="94"/>
      <c r="AV481" s="971">
        <f t="shared" ref="AV481:AV505" si="320">A481</f>
        <v>0</v>
      </c>
      <c r="AW481" s="971">
        <f t="shared" ref="AW481:AW505" si="321">B481</f>
        <v>0</v>
      </c>
      <c r="AX481" s="97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29"/>
      <c r="C482" s="1330"/>
      <c r="D482" s="80"/>
      <c r="E482" s="87">
        <f t="shared" si="319"/>
        <v>0</v>
      </c>
      <c r="F482" s="88"/>
      <c r="G482" s="89">
        <f t="shared" si="294"/>
        <v>0</v>
      </c>
      <c r="H482" s="90">
        <f t="shared" si="295"/>
        <v>0</v>
      </c>
      <c r="I482" s="1332"/>
      <c r="J482" s="91"/>
      <c r="K482" s="1332"/>
      <c r="L482" s="91"/>
      <c r="M482" s="1307"/>
      <c r="N482" s="91"/>
      <c r="O482" s="91"/>
      <c r="P482" s="91"/>
      <c r="Q482" s="91"/>
      <c r="R482" s="91"/>
      <c r="S482" s="91"/>
      <c r="T482" s="91"/>
      <c r="U482" s="91"/>
      <c r="V482" s="91"/>
      <c r="W482" s="91"/>
      <c r="X482" s="91"/>
      <c r="Y482" s="91"/>
      <c r="Z482" s="91"/>
      <c r="AA482" s="91"/>
      <c r="AB482" s="91"/>
      <c r="AC482" s="87">
        <f t="shared" si="296"/>
        <v>0</v>
      </c>
      <c r="AD482" s="1307"/>
      <c r="AE482" s="92"/>
      <c r="AF482" s="1333"/>
      <c r="AG482" s="92"/>
      <c r="AH482" s="92"/>
      <c r="AI482" s="92"/>
      <c r="AJ482" s="92"/>
      <c r="AK482" s="92"/>
      <c r="AL482" s="1307"/>
      <c r="AM482" s="92"/>
      <c r="AN482" s="1307"/>
      <c r="AO482" s="92"/>
      <c r="AP482" s="92"/>
      <c r="AQ482" s="92"/>
      <c r="AR482" s="92"/>
      <c r="AS482" s="92"/>
      <c r="AT482" s="93"/>
      <c r="AU482" s="94"/>
      <c r="AV482" s="971">
        <f t="shared" si="320"/>
        <v>0</v>
      </c>
      <c r="AW482" s="971">
        <f t="shared" si="321"/>
        <v>0</v>
      </c>
      <c r="AX482" s="97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29"/>
      <c r="C483" s="1330"/>
      <c r="D483" s="80"/>
      <c r="E483" s="87">
        <f t="shared" si="319"/>
        <v>0</v>
      </c>
      <c r="F483" s="88"/>
      <c r="G483" s="89">
        <f t="shared" si="294"/>
        <v>0</v>
      </c>
      <c r="H483" s="90">
        <f t="shared" si="295"/>
        <v>0</v>
      </c>
      <c r="I483" s="1332"/>
      <c r="J483" s="91"/>
      <c r="K483" s="1332"/>
      <c r="L483" s="91"/>
      <c r="M483" s="1307"/>
      <c r="N483" s="91"/>
      <c r="O483" s="91"/>
      <c r="P483" s="91"/>
      <c r="Q483" s="91"/>
      <c r="R483" s="91"/>
      <c r="S483" s="91"/>
      <c r="T483" s="91"/>
      <c r="U483" s="91"/>
      <c r="V483" s="91"/>
      <c r="W483" s="91"/>
      <c r="X483" s="91"/>
      <c r="Y483" s="91"/>
      <c r="Z483" s="91"/>
      <c r="AA483" s="91"/>
      <c r="AB483" s="91"/>
      <c r="AC483" s="87">
        <f t="shared" si="296"/>
        <v>0</v>
      </c>
      <c r="AD483" s="92"/>
      <c r="AE483" s="92"/>
      <c r="AF483" s="1333"/>
      <c r="AG483" s="92"/>
      <c r="AH483" s="92"/>
      <c r="AI483" s="92"/>
      <c r="AJ483" s="92"/>
      <c r="AK483" s="92"/>
      <c r="AL483" s="1307"/>
      <c r="AM483" s="92"/>
      <c r="AN483" s="1307"/>
      <c r="AO483" s="92"/>
      <c r="AP483" s="92"/>
      <c r="AQ483" s="92"/>
      <c r="AR483" s="92"/>
      <c r="AS483" s="92"/>
      <c r="AT483" s="93"/>
      <c r="AU483" s="94"/>
      <c r="AV483" s="971">
        <f t="shared" si="320"/>
        <v>0</v>
      </c>
      <c r="AW483" s="971">
        <f t="shared" si="321"/>
        <v>0</v>
      </c>
      <c r="AX483" s="97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29"/>
      <c r="C484" s="1330"/>
      <c r="D484" s="80"/>
      <c r="E484" s="87">
        <f t="shared" si="319"/>
        <v>0</v>
      </c>
      <c r="F484" s="88"/>
      <c r="G484" s="89">
        <f t="shared" si="294"/>
        <v>0</v>
      </c>
      <c r="H484" s="90">
        <f t="shared" si="295"/>
        <v>0</v>
      </c>
      <c r="I484" s="1332"/>
      <c r="J484" s="91"/>
      <c r="K484" s="1332"/>
      <c r="L484" s="91"/>
      <c r="M484" s="91"/>
      <c r="N484" s="91"/>
      <c r="O484" s="1307"/>
      <c r="P484" s="91"/>
      <c r="Q484" s="91"/>
      <c r="R484" s="91"/>
      <c r="S484" s="91"/>
      <c r="T484" s="91"/>
      <c r="U484" s="91"/>
      <c r="V484" s="91"/>
      <c r="W484" s="91"/>
      <c r="X484" s="91"/>
      <c r="Y484" s="91"/>
      <c r="Z484" s="91"/>
      <c r="AA484" s="91"/>
      <c r="AB484" s="91"/>
      <c r="AC484" s="87">
        <f t="shared" si="296"/>
        <v>0</v>
      </c>
      <c r="AD484" s="92"/>
      <c r="AE484" s="92"/>
      <c r="AF484" s="1333"/>
      <c r="AG484" s="92"/>
      <c r="AH484" s="92"/>
      <c r="AI484" s="92"/>
      <c r="AJ484" s="92"/>
      <c r="AK484" s="92"/>
      <c r="AL484" s="92"/>
      <c r="AM484" s="92"/>
      <c r="AN484" s="1307"/>
      <c r="AO484" s="92"/>
      <c r="AP484" s="92"/>
      <c r="AQ484" s="92"/>
      <c r="AR484" s="92"/>
      <c r="AS484" s="92"/>
      <c r="AT484" s="93"/>
      <c r="AU484" s="94"/>
      <c r="AV484" s="971">
        <f t="shared" si="320"/>
        <v>0</v>
      </c>
      <c r="AW484" s="971">
        <f t="shared" si="321"/>
        <v>0</v>
      </c>
      <c r="AX484" s="97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29"/>
      <c r="C485" s="1330"/>
      <c r="D485" s="80"/>
      <c r="E485" s="87">
        <f t="shared" si="319"/>
        <v>0</v>
      </c>
      <c r="F485" s="88"/>
      <c r="G485" s="89">
        <f t="shared" si="294"/>
        <v>0</v>
      </c>
      <c r="H485" s="90">
        <f t="shared" si="295"/>
        <v>0</v>
      </c>
      <c r="I485" s="1332"/>
      <c r="J485" s="91"/>
      <c r="K485" s="133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33"/>
      <c r="AG485" s="92"/>
      <c r="AH485" s="92"/>
      <c r="AI485" s="92"/>
      <c r="AJ485" s="92"/>
      <c r="AK485" s="92"/>
      <c r="AL485" s="92"/>
      <c r="AM485" s="92"/>
      <c r="AN485" s="92"/>
      <c r="AO485" s="92"/>
      <c r="AP485" s="92"/>
      <c r="AQ485" s="92"/>
      <c r="AR485" s="92"/>
      <c r="AS485" s="92"/>
      <c r="AT485" s="93"/>
      <c r="AU485" s="94"/>
      <c r="AV485" s="971">
        <f t="shared" si="320"/>
        <v>0</v>
      </c>
      <c r="AW485" s="971">
        <f t="shared" si="321"/>
        <v>0</v>
      </c>
      <c r="AX485" s="97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29"/>
      <c r="C486" s="1330"/>
      <c r="D486" s="80"/>
      <c r="E486" s="87">
        <f t="shared" si="319"/>
        <v>0</v>
      </c>
      <c r="F486" s="88"/>
      <c r="G486" s="89">
        <f t="shared" si="294"/>
        <v>0</v>
      </c>
      <c r="H486" s="90">
        <f t="shared" si="295"/>
        <v>0</v>
      </c>
      <c r="I486" s="1332"/>
      <c r="J486" s="91"/>
      <c r="K486" s="133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33"/>
      <c r="AG486" s="92"/>
      <c r="AH486" s="92"/>
      <c r="AI486" s="92"/>
      <c r="AJ486" s="92"/>
      <c r="AK486" s="92"/>
      <c r="AL486" s="92"/>
      <c r="AM486" s="92"/>
      <c r="AN486" s="92"/>
      <c r="AO486" s="92"/>
      <c r="AP486" s="92"/>
      <c r="AQ486" s="92"/>
      <c r="AR486" s="92"/>
      <c r="AS486" s="92"/>
      <c r="AT486" s="93"/>
      <c r="AU486" s="94"/>
      <c r="AV486" s="971">
        <f t="shared" si="320"/>
        <v>0</v>
      </c>
      <c r="AW486" s="971">
        <f t="shared" si="321"/>
        <v>0</v>
      </c>
      <c r="AX486" s="97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29"/>
      <c r="C487" s="1330"/>
      <c r="D487" s="80"/>
      <c r="E487" s="87">
        <f t="shared" si="319"/>
        <v>0</v>
      </c>
      <c r="F487" s="88"/>
      <c r="G487" s="89">
        <f t="shared" si="294"/>
        <v>0</v>
      </c>
      <c r="H487" s="90">
        <f t="shared" si="295"/>
        <v>0</v>
      </c>
      <c r="I487" s="1332"/>
      <c r="J487" s="91"/>
      <c r="K487" s="133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33"/>
      <c r="AG487" s="92"/>
      <c r="AH487" s="92"/>
      <c r="AI487" s="92"/>
      <c r="AJ487" s="92"/>
      <c r="AK487" s="92"/>
      <c r="AL487" s="92"/>
      <c r="AM487" s="92"/>
      <c r="AN487" s="92"/>
      <c r="AO487" s="92"/>
      <c r="AP487" s="92"/>
      <c r="AQ487" s="92"/>
      <c r="AR487" s="92"/>
      <c r="AS487" s="92"/>
      <c r="AT487" s="93"/>
      <c r="AU487" s="94"/>
      <c r="AV487" s="971">
        <f t="shared" si="320"/>
        <v>0</v>
      </c>
      <c r="AW487" s="971">
        <f t="shared" si="321"/>
        <v>0</v>
      </c>
      <c r="AX487" s="97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29"/>
      <c r="C488" s="1330"/>
      <c r="D488" s="80"/>
      <c r="E488" s="87">
        <f t="shared" si="319"/>
        <v>0</v>
      </c>
      <c r="F488" s="88"/>
      <c r="G488" s="89">
        <f t="shared" si="294"/>
        <v>0</v>
      </c>
      <c r="H488" s="90">
        <f t="shared" si="295"/>
        <v>0</v>
      </c>
      <c r="I488" s="1332"/>
      <c r="J488" s="91"/>
      <c r="K488" s="133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32"/>
      <c r="AG488" s="92"/>
      <c r="AH488" s="92"/>
      <c r="AI488" s="92"/>
      <c r="AJ488" s="92"/>
      <c r="AK488" s="92"/>
      <c r="AL488" s="92"/>
      <c r="AM488" s="92"/>
      <c r="AN488" s="92"/>
      <c r="AO488" s="92"/>
      <c r="AP488" s="92"/>
      <c r="AQ488" s="92"/>
      <c r="AR488" s="92"/>
      <c r="AS488" s="92"/>
      <c r="AT488" s="93"/>
      <c r="AU488" s="94"/>
      <c r="AV488" s="971">
        <f t="shared" si="320"/>
        <v>0</v>
      </c>
      <c r="AW488" s="971">
        <f t="shared" si="321"/>
        <v>0</v>
      </c>
      <c r="AX488" s="97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31"/>
      <c r="C489" s="1332"/>
      <c r="D489" s="80"/>
      <c r="E489" s="87">
        <f t="shared" si="319"/>
        <v>0</v>
      </c>
      <c r="F489" s="88"/>
      <c r="G489" s="89">
        <f t="shared" si="294"/>
        <v>0</v>
      </c>
      <c r="H489" s="90">
        <f t="shared" si="295"/>
        <v>0</v>
      </c>
      <c r="I489" s="1332"/>
      <c r="J489" s="91"/>
      <c r="K489" s="133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32"/>
      <c r="AG489" s="92"/>
      <c r="AH489" s="92"/>
      <c r="AI489" s="92"/>
      <c r="AJ489" s="92"/>
      <c r="AK489" s="92"/>
      <c r="AL489" s="92"/>
      <c r="AM489" s="92"/>
      <c r="AN489" s="92"/>
      <c r="AO489" s="92"/>
      <c r="AP489" s="92"/>
      <c r="AQ489" s="92"/>
      <c r="AR489" s="92"/>
      <c r="AS489" s="92"/>
      <c r="AT489" s="93"/>
      <c r="AU489" s="94"/>
      <c r="AV489" s="971">
        <f t="shared" si="320"/>
        <v>0</v>
      </c>
      <c r="AW489" s="971">
        <f t="shared" si="321"/>
        <v>0</v>
      </c>
      <c r="AX489" s="97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29"/>
      <c r="C490" s="1330"/>
      <c r="D490" s="80"/>
      <c r="E490" s="87">
        <f t="shared" si="319"/>
        <v>0</v>
      </c>
      <c r="F490" s="88"/>
      <c r="G490" s="89">
        <f t="shared" si="294"/>
        <v>0</v>
      </c>
      <c r="H490" s="90">
        <f t="shared" si="295"/>
        <v>0</v>
      </c>
      <c r="I490" s="1332"/>
      <c r="J490" s="91"/>
      <c r="K490" s="133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32"/>
      <c r="AG490" s="92"/>
      <c r="AH490" s="92"/>
      <c r="AI490" s="92"/>
      <c r="AJ490" s="92"/>
      <c r="AK490" s="92"/>
      <c r="AL490" s="92"/>
      <c r="AM490" s="92"/>
      <c r="AN490" s="92"/>
      <c r="AO490" s="92"/>
      <c r="AP490" s="92"/>
      <c r="AQ490" s="92"/>
      <c r="AR490" s="92"/>
      <c r="AS490" s="92"/>
      <c r="AT490" s="93"/>
      <c r="AU490" s="94"/>
      <c r="AV490" s="971">
        <f t="shared" si="320"/>
        <v>0</v>
      </c>
      <c r="AW490" s="971">
        <f t="shared" si="321"/>
        <v>0</v>
      </c>
      <c r="AX490" s="97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29"/>
      <c r="C491" s="1330"/>
      <c r="D491" s="80"/>
      <c r="E491" s="87">
        <f t="shared" si="319"/>
        <v>0</v>
      </c>
      <c r="F491" s="88"/>
      <c r="G491" s="89">
        <f t="shared" si="294"/>
        <v>0</v>
      </c>
      <c r="H491" s="90">
        <f t="shared" si="295"/>
        <v>0</v>
      </c>
      <c r="I491" s="1332"/>
      <c r="J491" s="91"/>
      <c r="K491" s="133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32"/>
      <c r="AG491" s="92"/>
      <c r="AH491" s="92"/>
      <c r="AI491" s="92"/>
      <c r="AJ491" s="92"/>
      <c r="AK491" s="92"/>
      <c r="AL491" s="92"/>
      <c r="AM491" s="92"/>
      <c r="AN491" s="92"/>
      <c r="AO491" s="92"/>
      <c r="AP491" s="92"/>
      <c r="AQ491" s="92"/>
      <c r="AR491" s="92"/>
      <c r="AS491" s="92"/>
      <c r="AT491" s="93"/>
      <c r="AU491" s="94"/>
      <c r="AV491" s="971">
        <f t="shared" si="320"/>
        <v>0</v>
      </c>
      <c r="AW491" s="971">
        <f t="shared" si="321"/>
        <v>0</v>
      </c>
      <c r="AX491" s="97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29"/>
      <c r="C492" s="1330"/>
      <c r="D492" s="80"/>
      <c r="E492" s="87">
        <f t="shared" si="319"/>
        <v>0</v>
      </c>
      <c r="F492" s="88"/>
      <c r="G492" s="89">
        <f t="shared" si="294"/>
        <v>0</v>
      </c>
      <c r="H492" s="90">
        <f t="shared" si="295"/>
        <v>0</v>
      </c>
      <c r="I492" s="1332"/>
      <c r="J492" s="91"/>
      <c r="K492" s="133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32"/>
      <c r="AG492" s="92"/>
      <c r="AH492" s="92"/>
      <c r="AI492" s="92"/>
      <c r="AJ492" s="92"/>
      <c r="AK492" s="92"/>
      <c r="AL492" s="92"/>
      <c r="AM492" s="92"/>
      <c r="AN492" s="92"/>
      <c r="AO492" s="92"/>
      <c r="AP492" s="92"/>
      <c r="AQ492" s="92"/>
      <c r="AR492" s="92"/>
      <c r="AS492" s="92"/>
      <c r="AT492" s="93"/>
      <c r="AU492" s="94"/>
      <c r="AV492" s="971">
        <f t="shared" si="320"/>
        <v>0</v>
      </c>
      <c r="AW492" s="971">
        <f t="shared" si="321"/>
        <v>0</v>
      </c>
      <c r="AX492" s="97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29"/>
      <c r="C493" s="1330"/>
      <c r="D493" s="80"/>
      <c r="E493" s="87">
        <f t="shared" si="319"/>
        <v>0</v>
      </c>
      <c r="F493" s="88"/>
      <c r="G493" s="89">
        <f t="shared" si="294"/>
        <v>0</v>
      </c>
      <c r="H493" s="90">
        <f t="shared" si="295"/>
        <v>0</v>
      </c>
      <c r="I493" s="1332"/>
      <c r="J493" s="91"/>
      <c r="K493" s="133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32"/>
      <c r="AG493" s="92"/>
      <c r="AH493" s="92"/>
      <c r="AI493" s="92"/>
      <c r="AJ493" s="92"/>
      <c r="AK493" s="92"/>
      <c r="AL493" s="92"/>
      <c r="AM493" s="92"/>
      <c r="AN493" s="92"/>
      <c r="AO493" s="92"/>
      <c r="AP493" s="92"/>
      <c r="AQ493" s="92"/>
      <c r="AR493" s="92"/>
      <c r="AS493" s="92"/>
      <c r="AT493" s="93"/>
      <c r="AU493" s="94"/>
      <c r="AV493" s="971">
        <f t="shared" si="320"/>
        <v>0</v>
      </c>
      <c r="AW493" s="971">
        <f t="shared" si="321"/>
        <v>0</v>
      </c>
      <c r="AX493" s="97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29"/>
      <c r="C494" s="1330"/>
      <c r="D494" s="80"/>
      <c r="E494" s="87">
        <f t="shared" si="319"/>
        <v>0</v>
      </c>
      <c r="F494" s="88"/>
      <c r="G494" s="89">
        <f t="shared" si="294"/>
        <v>0</v>
      </c>
      <c r="H494" s="90">
        <f t="shared" si="295"/>
        <v>0</v>
      </c>
      <c r="I494" s="1332"/>
      <c r="J494" s="91"/>
      <c r="K494" s="133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32"/>
      <c r="AG494" s="92"/>
      <c r="AH494" s="92"/>
      <c r="AI494" s="92"/>
      <c r="AJ494" s="92"/>
      <c r="AK494" s="92"/>
      <c r="AL494" s="92"/>
      <c r="AM494" s="92"/>
      <c r="AN494" s="92"/>
      <c r="AO494" s="92"/>
      <c r="AP494" s="92"/>
      <c r="AQ494" s="92"/>
      <c r="AR494" s="92"/>
      <c r="AS494" s="92"/>
      <c r="AT494" s="93"/>
      <c r="AU494" s="94"/>
      <c r="AV494" s="971">
        <f t="shared" si="320"/>
        <v>0</v>
      </c>
      <c r="AW494" s="971">
        <f t="shared" si="321"/>
        <v>0</v>
      </c>
      <c r="AX494" s="97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29"/>
      <c r="C495" s="1330"/>
      <c r="D495" s="80"/>
      <c r="E495" s="87">
        <f t="shared" si="319"/>
        <v>0</v>
      </c>
      <c r="F495" s="88"/>
      <c r="G495" s="89">
        <f t="shared" si="294"/>
        <v>0</v>
      </c>
      <c r="H495" s="90">
        <f t="shared" si="295"/>
        <v>0</v>
      </c>
      <c r="I495" s="1332"/>
      <c r="J495" s="91"/>
      <c r="K495" s="133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32"/>
      <c r="AG495" s="92"/>
      <c r="AH495" s="92"/>
      <c r="AI495" s="92"/>
      <c r="AJ495" s="92"/>
      <c r="AK495" s="92"/>
      <c r="AL495" s="92"/>
      <c r="AM495" s="92"/>
      <c r="AN495" s="92"/>
      <c r="AO495" s="92"/>
      <c r="AP495" s="92"/>
      <c r="AQ495" s="92"/>
      <c r="AR495" s="92"/>
      <c r="AS495" s="92"/>
      <c r="AT495" s="93"/>
      <c r="AU495" s="94"/>
      <c r="AV495" s="971">
        <f t="shared" si="320"/>
        <v>0</v>
      </c>
      <c r="AW495" s="971">
        <f t="shared" si="321"/>
        <v>0</v>
      </c>
      <c r="AX495" s="97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29"/>
      <c r="C496" s="1330"/>
      <c r="D496" s="80"/>
      <c r="E496" s="87">
        <f t="shared" si="319"/>
        <v>0</v>
      </c>
      <c r="F496" s="88"/>
      <c r="G496" s="89">
        <f t="shared" si="294"/>
        <v>0</v>
      </c>
      <c r="H496" s="90">
        <f t="shared" si="295"/>
        <v>0</v>
      </c>
      <c r="I496" s="1332"/>
      <c r="J496" s="91"/>
      <c r="K496" s="133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32"/>
      <c r="AG496" s="92"/>
      <c r="AH496" s="92"/>
      <c r="AI496" s="92"/>
      <c r="AJ496" s="92"/>
      <c r="AK496" s="92"/>
      <c r="AL496" s="92"/>
      <c r="AM496" s="92"/>
      <c r="AN496" s="92"/>
      <c r="AO496" s="92"/>
      <c r="AP496" s="92"/>
      <c r="AQ496" s="92"/>
      <c r="AR496" s="92"/>
      <c r="AS496" s="92"/>
      <c r="AT496" s="93"/>
      <c r="AU496" s="94"/>
      <c r="AV496" s="971">
        <f t="shared" si="320"/>
        <v>0</v>
      </c>
      <c r="AW496" s="971">
        <f t="shared" si="321"/>
        <v>0</v>
      </c>
      <c r="AX496" s="97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29"/>
      <c r="C497" s="1330"/>
      <c r="D497" s="80"/>
      <c r="E497" s="87">
        <f t="shared" si="319"/>
        <v>0</v>
      </c>
      <c r="F497" s="88"/>
      <c r="G497" s="89">
        <f t="shared" si="294"/>
        <v>0</v>
      </c>
      <c r="H497" s="90">
        <f t="shared" si="295"/>
        <v>0</v>
      </c>
      <c r="I497" s="1332"/>
      <c r="J497" s="91"/>
      <c r="K497" s="133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32"/>
      <c r="AG497" s="92"/>
      <c r="AH497" s="92"/>
      <c r="AI497" s="92"/>
      <c r="AJ497" s="92"/>
      <c r="AK497" s="92"/>
      <c r="AL497" s="92"/>
      <c r="AM497" s="92"/>
      <c r="AN497" s="92"/>
      <c r="AO497" s="92"/>
      <c r="AP497" s="92"/>
      <c r="AQ497" s="92"/>
      <c r="AR497" s="92"/>
      <c r="AS497" s="92"/>
      <c r="AT497" s="93"/>
      <c r="AU497" s="94"/>
      <c r="AV497" s="971">
        <f t="shared" si="320"/>
        <v>0</v>
      </c>
      <c r="AW497" s="971">
        <f t="shared" si="321"/>
        <v>0</v>
      </c>
      <c r="AX497" s="97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29"/>
      <c r="C498" s="1330"/>
      <c r="D498" s="80"/>
      <c r="E498" s="87">
        <f t="shared" si="319"/>
        <v>0</v>
      </c>
      <c r="F498" s="88"/>
      <c r="G498" s="89">
        <f t="shared" si="294"/>
        <v>0</v>
      </c>
      <c r="H498" s="90">
        <f t="shared" si="295"/>
        <v>0</v>
      </c>
      <c r="I498" s="1332"/>
      <c r="J498" s="91"/>
      <c r="K498" s="133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32"/>
      <c r="AG498" s="92"/>
      <c r="AH498" s="92"/>
      <c r="AI498" s="92"/>
      <c r="AJ498" s="92"/>
      <c r="AK498" s="92"/>
      <c r="AL498" s="92"/>
      <c r="AM498" s="92"/>
      <c r="AN498" s="92"/>
      <c r="AO498" s="92"/>
      <c r="AP498" s="92"/>
      <c r="AQ498" s="92"/>
      <c r="AR498" s="92"/>
      <c r="AS498" s="92"/>
      <c r="AT498" s="93"/>
      <c r="AU498" s="94"/>
      <c r="AV498" s="971">
        <f t="shared" si="320"/>
        <v>0</v>
      </c>
      <c r="AW498" s="971">
        <f t="shared" si="321"/>
        <v>0</v>
      </c>
      <c r="AX498" s="97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29"/>
      <c r="C499" s="1330"/>
      <c r="D499" s="80"/>
      <c r="E499" s="87">
        <f t="shared" si="319"/>
        <v>0</v>
      </c>
      <c r="F499" s="88"/>
      <c r="G499" s="89">
        <f t="shared" si="294"/>
        <v>0</v>
      </c>
      <c r="H499" s="90">
        <f t="shared" si="295"/>
        <v>0</v>
      </c>
      <c r="I499" s="1332"/>
      <c r="J499" s="91"/>
      <c r="K499" s="133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32"/>
      <c r="AG499" s="92"/>
      <c r="AH499" s="92"/>
      <c r="AI499" s="92"/>
      <c r="AJ499" s="92"/>
      <c r="AK499" s="92"/>
      <c r="AL499" s="92"/>
      <c r="AM499" s="92"/>
      <c r="AN499" s="92"/>
      <c r="AO499" s="92"/>
      <c r="AP499" s="92"/>
      <c r="AQ499" s="92"/>
      <c r="AR499" s="92"/>
      <c r="AS499" s="92"/>
      <c r="AT499" s="93"/>
      <c r="AU499" s="94"/>
      <c r="AV499" s="971">
        <f t="shared" si="320"/>
        <v>0</v>
      </c>
      <c r="AW499" s="971">
        <f t="shared" si="321"/>
        <v>0</v>
      </c>
      <c r="AX499" s="97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29"/>
      <c r="C500" s="1330"/>
      <c r="D500" s="80"/>
      <c r="E500" s="87">
        <f t="shared" si="319"/>
        <v>0</v>
      </c>
      <c r="F500" s="88"/>
      <c r="G500" s="89">
        <f t="shared" si="294"/>
        <v>0</v>
      </c>
      <c r="H500" s="90">
        <f t="shared" si="295"/>
        <v>0</v>
      </c>
      <c r="I500" s="1332"/>
      <c r="J500" s="91"/>
      <c r="K500" s="133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32"/>
      <c r="AG500" s="92"/>
      <c r="AH500" s="92"/>
      <c r="AI500" s="92"/>
      <c r="AJ500" s="92"/>
      <c r="AK500" s="92"/>
      <c r="AL500" s="92"/>
      <c r="AM500" s="92"/>
      <c r="AN500" s="92"/>
      <c r="AO500" s="92"/>
      <c r="AP500" s="92"/>
      <c r="AQ500" s="92"/>
      <c r="AR500" s="92"/>
      <c r="AS500" s="92"/>
      <c r="AT500" s="93"/>
      <c r="AU500" s="94"/>
      <c r="AV500" s="971">
        <f t="shared" si="320"/>
        <v>0</v>
      </c>
      <c r="AW500" s="971">
        <f t="shared" si="321"/>
        <v>0</v>
      </c>
      <c r="AX500" s="97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29"/>
      <c r="C501" s="1330"/>
      <c r="D501" s="80"/>
      <c r="E501" s="87">
        <f t="shared" si="319"/>
        <v>0</v>
      </c>
      <c r="F501" s="88"/>
      <c r="G501" s="89">
        <f t="shared" si="294"/>
        <v>0</v>
      </c>
      <c r="H501" s="90">
        <f t="shared" si="295"/>
        <v>0</v>
      </c>
      <c r="I501" s="1332"/>
      <c r="J501" s="91"/>
      <c r="K501" s="133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32"/>
      <c r="AG501" s="92"/>
      <c r="AH501" s="92"/>
      <c r="AI501" s="92"/>
      <c r="AJ501" s="92"/>
      <c r="AK501" s="92"/>
      <c r="AL501" s="92"/>
      <c r="AM501" s="92"/>
      <c r="AN501" s="92"/>
      <c r="AO501" s="92"/>
      <c r="AP501" s="92"/>
      <c r="AQ501" s="92"/>
      <c r="AR501" s="92"/>
      <c r="AS501" s="92"/>
      <c r="AT501" s="93"/>
      <c r="AU501" s="94"/>
      <c r="AV501" s="971">
        <f t="shared" si="320"/>
        <v>0</v>
      </c>
      <c r="AW501" s="971">
        <f t="shared" si="321"/>
        <v>0</v>
      </c>
      <c r="AX501" s="97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29"/>
      <c r="C502" s="1330"/>
      <c r="D502" s="80"/>
      <c r="E502" s="87">
        <f t="shared" si="319"/>
        <v>0</v>
      </c>
      <c r="F502" s="88"/>
      <c r="G502" s="89">
        <f t="shared" si="294"/>
        <v>0</v>
      </c>
      <c r="H502" s="90">
        <f t="shared" si="295"/>
        <v>0</v>
      </c>
      <c r="I502" s="1332"/>
      <c r="J502" s="91"/>
      <c r="K502" s="133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32"/>
      <c r="AG502" s="92"/>
      <c r="AH502" s="92"/>
      <c r="AI502" s="92"/>
      <c r="AJ502" s="92"/>
      <c r="AK502" s="92"/>
      <c r="AL502" s="92"/>
      <c r="AM502" s="92"/>
      <c r="AN502" s="92"/>
      <c r="AO502" s="92"/>
      <c r="AP502" s="92"/>
      <c r="AQ502" s="92"/>
      <c r="AR502" s="92"/>
      <c r="AS502" s="92"/>
      <c r="AT502" s="93"/>
      <c r="AU502" s="94"/>
      <c r="AV502" s="971">
        <f t="shared" si="320"/>
        <v>0</v>
      </c>
      <c r="AW502" s="971">
        <f t="shared" si="321"/>
        <v>0</v>
      </c>
      <c r="AX502" s="97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29"/>
      <c r="C503" s="1330"/>
      <c r="D503" s="80"/>
      <c r="E503" s="87">
        <f t="shared" si="319"/>
        <v>0</v>
      </c>
      <c r="F503" s="88"/>
      <c r="G503" s="89">
        <f t="shared" si="294"/>
        <v>0</v>
      </c>
      <c r="H503" s="90">
        <f t="shared" si="295"/>
        <v>0</v>
      </c>
      <c r="I503" s="1332"/>
      <c r="J503" s="91"/>
      <c r="K503" s="133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32"/>
      <c r="AG503" s="92"/>
      <c r="AH503" s="92"/>
      <c r="AI503" s="92"/>
      <c r="AJ503" s="92"/>
      <c r="AK503" s="92"/>
      <c r="AL503" s="92"/>
      <c r="AM503" s="92"/>
      <c r="AN503" s="92"/>
      <c r="AO503" s="92"/>
      <c r="AP503" s="92"/>
      <c r="AQ503" s="92"/>
      <c r="AR503" s="92"/>
      <c r="AS503" s="92"/>
      <c r="AT503" s="93"/>
      <c r="AU503" s="94"/>
      <c r="AV503" s="971">
        <f t="shared" si="320"/>
        <v>0</v>
      </c>
      <c r="AW503" s="971">
        <f t="shared" si="321"/>
        <v>0</v>
      </c>
      <c r="AX503" s="97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29"/>
      <c r="C504" s="1330"/>
      <c r="D504" s="80"/>
      <c r="E504" s="87">
        <f t="shared" si="319"/>
        <v>0</v>
      </c>
      <c r="F504" s="88"/>
      <c r="G504" s="89">
        <f t="shared" si="294"/>
        <v>0</v>
      </c>
      <c r="H504" s="90">
        <f t="shared" si="295"/>
        <v>0</v>
      </c>
      <c r="I504" s="1332"/>
      <c r="J504" s="91"/>
      <c r="K504" s="133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32"/>
      <c r="AG504" s="92"/>
      <c r="AH504" s="92"/>
      <c r="AI504" s="92"/>
      <c r="AJ504" s="92"/>
      <c r="AK504" s="92"/>
      <c r="AL504" s="92"/>
      <c r="AM504" s="92"/>
      <c r="AN504" s="92"/>
      <c r="AO504" s="92"/>
      <c r="AP504" s="92"/>
      <c r="AQ504" s="92"/>
      <c r="AR504" s="92"/>
      <c r="AS504" s="92"/>
      <c r="AT504" s="93"/>
      <c r="AU504" s="94"/>
      <c r="AV504" s="971">
        <f t="shared" si="320"/>
        <v>0</v>
      </c>
      <c r="AW504" s="971">
        <f t="shared" si="321"/>
        <v>0</v>
      </c>
      <c r="AX504" s="97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29"/>
      <c r="C505" s="1330"/>
      <c r="D505" s="80"/>
      <c r="E505" s="87">
        <f t="shared" ref="E505:E536" si="323">IF($C$3="是",ROUND($A$3*G505/$B$3,2),ROUND($A$3*(G505-AT505)/$B$3,2))</f>
        <v>0</v>
      </c>
      <c r="F505" s="88"/>
      <c r="G505" s="89">
        <f t="shared" si="294"/>
        <v>0</v>
      </c>
      <c r="H505" s="90">
        <f t="shared" si="295"/>
        <v>0</v>
      </c>
      <c r="I505" s="1332"/>
      <c r="J505" s="91"/>
      <c r="K505" s="133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32"/>
      <c r="AG505" s="92"/>
      <c r="AH505" s="92"/>
      <c r="AI505" s="92"/>
      <c r="AJ505" s="92"/>
      <c r="AK505" s="92"/>
      <c r="AL505" s="92"/>
      <c r="AM505" s="92"/>
      <c r="AN505" s="92"/>
      <c r="AO505" s="92"/>
      <c r="AP505" s="92"/>
      <c r="AQ505" s="92"/>
      <c r="AR505" s="92"/>
      <c r="AS505" s="92"/>
      <c r="AT505" s="93"/>
      <c r="AU505" s="94"/>
      <c r="AV505" s="971">
        <f t="shared" si="320"/>
        <v>0</v>
      </c>
      <c r="AW505" s="971">
        <f t="shared" si="321"/>
        <v>0</v>
      </c>
      <c r="AX505" s="97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29"/>
      <c r="C506" s="1330"/>
      <c r="D506" s="80"/>
      <c r="E506" s="87">
        <f t="shared" si="323"/>
        <v>0</v>
      </c>
      <c r="F506" s="88"/>
      <c r="G506" s="89">
        <f t="shared" si="294"/>
        <v>0</v>
      </c>
      <c r="H506" s="90">
        <f t="shared" si="295"/>
        <v>0</v>
      </c>
      <c r="I506" s="1332"/>
      <c r="J506" s="91"/>
      <c r="K506" s="133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32"/>
      <c r="AG506" s="92"/>
      <c r="AH506" s="92"/>
      <c r="AI506" s="92"/>
      <c r="AJ506" s="92"/>
      <c r="AK506" s="92"/>
      <c r="AL506" s="92"/>
      <c r="AM506" s="92"/>
      <c r="AN506" s="92"/>
      <c r="AO506" s="92"/>
      <c r="AP506" s="92"/>
      <c r="AQ506" s="92"/>
      <c r="AR506" s="92"/>
      <c r="AS506" s="92"/>
      <c r="AT506" s="93"/>
      <c r="AU506" s="94"/>
      <c r="AV506" s="971">
        <f t="shared" ref="AV506:AV537" si="324">A506</f>
        <v>0</v>
      </c>
      <c r="AW506" s="971">
        <f t="shared" ref="AW506:AW537" si="325">B506</f>
        <v>0</v>
      </c>
      <c r="AX506" s="97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29"/>
      <c r="C507" s="1330"/>
      <c r="D507" s="80"/>
      <c r="E507" s="87">
        <f t="shared" si="323"/>
        <v>0</v>
      </c>
      <c r="F507" s="88"/>
      <c r="G507" s="89">
        <f t="shared" si="294"/>
        <v>0</v>
      </c>
      <c r="H507" s="90">
        <f t="shared" si="295"/>
        <v>0</v>
      </c>
      <c r="I507" s="1332"/>
      <c r="J507" s="91"/>
      <c r="K507" s="133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30"/>
      <c r="AG507" s="92"/>
      <c r="AH507" s="92"/>
      <c r="AI507" s="92"/>
      <c r="AJ507" s="92"/>
      <c r="AK507" s="92"/>
      <c r="AL507" s="92"/>
      <c r="AM507" s="92"/>
      <c r="AN507" s="92"/>
      <c r="AO507" s="92"/>
      <c r="AP507" s="92"/>
      <c r="AQ507" s="92"/>
      <c r="AR507" s="92"/>
      <c r="AS507" s="92"/>
      <c r="AT507" s="93"/>
      <c r="AU507" s="94"/>
      <c r="AV507" s="971">
        <f t="shared" si="324"/>
        <v>0</v>
      </c>
      <c r="AW507" s="971">
        <f t="shared" si="325"/>
        <v>0</v>
      </c>
      <c r="AX507" s="97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29"/>
      <c r="C508" s="1330"/>
      <c r="D508" s="80"/>
      <c r="E508" s="87">
        <f t="shared" si="323"/>
        <v>0</v>
      </c>
      <c r="F508" s="88"/>
      <c r="G508" s="89">
        <f t="shared" si="294"/>
        <v>0</v>
      </c>
      <c r="H508" s="90">
        <f t="shared" si="295"/>
        <v>0</v>
      </c>
      <c r="I508" s="1330"/>
      <c r="J508" s="91"/>
      <c r="K508" s="133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30"/>
      <c r="AG508" s="92"/>
      <c r="AH508" s="92"/>
      <c r="AI508" s="92"/>
      <c r="AJ508" s="92"/>
      <c r="AK508" s="92"/>
      <c r="AL508" s="92"/>
      <c r="AM508" s="92"/>
      <c r="AN508" s="92"/>
      <c r="AO508" s="92"/>
      <c r="AP508" s="92"/>
      <c r="AQ508" s="92"/>
      <c r="AR508" s="92"/>
      <c r="AS508" s="92"/>
      <c r="AT508" s="93"/>
      <c r="AU508" s="94"/>
      <c r="AV508" s="971">
        <f t="shared" si="324"/>
        <v>0</v>
      </c>
      <c r="AW508" s="971">
        <f t="shared" si="325"/>
        <v>0</v>
      </c>
      <c r="AX508" s="97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29"/>
      <c r="C509" s="1330"/>
      <c r="D509" s="80"/>
      <c r="E509" s="87">
        <f t="shared" si="323"/>
        <v>0</v>
      </c>
      <c r="F509" s="88"/>
      <c r="G509" s="89">
        <f t="shared" si="294"/>
        <v>0</v>
      </c>
      <c r="H509" s="90">
        <f t="shared" si="295"/>
        <v>0</v>
      </c>
      <c r="I509" s="1330"/>
      <c r="J509" s="91"/>
      <c r="K509" s="133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30"/>
      <c r="AG509" s="92"/>
      <c r="AH509" s="92"/>
      <c r="AI509" s="92"/>
      <c r="AJ509" s="92"/>
      <c r="AK509" s="92"/>
      <c r="AL509" s="92"/>
      <c r="AM509" s="92"/>
      <c r="AN509" s="92"/>
      <c r="AO509" s="92"/>
      <c r="AP509" s="92"/>
      <c r="AQ509" s="92"/>
      <c r="AR509" s="92"/>
      <c r="AS509" s="92"/>
      <c r="AT509" s="93"/>
      <c r="AU509" s="94"/>
      <c r="AV509" s="971">
        <f t="shared" si="324"/>
        <v>0</v>
      </c>
      <c r="AW509" s="971">
        <f t="shared" si="325"/>
        <v>0</v>
      </c>
      <c r="AX509" s="97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29"/>
      <c r="C510" s="1330"/>
      <c r="D510" s="80"/>
      <c r="E510" s="87">
        <f t="shared" si="323"/>
        <v>0</v>
      </c>
      <c r="F510" s="88"/>
      <c r="G510" s="89">
        <f t="shared" ref="G510:G537" si="327">H510+AC510+AT510</f>
        <v>0</v>
      </c>
      <c r="H510" s="90">
        <f t="shared" ref="H510:H537" si="328">SUMIF(I$12:AB$12,"总值",I510:AB510)</f>
        <v>0</v>
      </c>
      <c r="I510" s="1330"/>
      <c r="J510" s="91"/>
      <c r="K510" s="133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30"/>
      <c r="AG510" s="92"/>
      <c r="AH510" s="92"/>
      <c r="AI510" s="92"/>
      <c r="AJ510" s="92"/>
      <c r="AK510" s="92"/>
      <c r="AL510" s="92"/>
      <c r="AM510" s="92"/>
      <c r="AN510" s="92"/>
      <c r="AO510" s="92"/>
      <c r="AP510" s="92"/>
      <c r="AQ510" s="92"/>
      <c r="AR510" s="92"/>
      <c r="AS510" s="92"/>
      <c r="AT510" s="93"/>
      <c r="AU510" s="94"/>
      <c r="AV510" s="971">
        <f t="shared" si="324"/>
        <v>0</v>
      </c>
      <c r="AW510" s="971">
        <f t="shared" si="325"/>
        <v>0</v>
      </c>
      <c r="AX510" s="97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29"/>
      <c r="C511" s="1330"/>
      <c r="D511" s="80"/>
      <c r="E511" s="87">
        <f t="shared" si="323"/>
        <v>0</v>
      </c>
      <c r="F511" s="88"/>
      <c r="G511" s="89">
        <f t="shared" si="327"/>
        <v>0</v>
      </c>
      <c r="H511" s="90">
        <f t="shared" si="328"/>
        <v>0</v>
      </c>
      <c r="I511" s="1330"/>
      <c r="J511" s="91"/>
      <c r="K511" s="133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30"/>
      <c r="AG511" s="92"/>
      <c r="AH511" s="92"/>
      <c r="AI511" s="92"/>
      <c r="AJ511" s="92"/>
      <c r="AK511" s="92"/>
      <c r="AL511" s="92"/>
      <c r="AM511" s="92"/>
      <c r="AN511" s="92"/>
      <c r="AO511" s="92"/>
      <c r="AP511" s="92"/>
      <c r="AQ511" s="92"/>
      <c r="AR511" s="92"/>
      <c r="AS511" s="92"/>
      <c r="AT511" s="93"/>
      <c r="AU511" s="94"/>
      <c r="AV511" s="971">
        <f t="shared" si="324"/>
        <v>0</v>
      </c>
      <c r="AW511" s="971">
        <f t="shared" si="325"/>
        <v>0</v>
      </c>
      <c r="AX511" s="97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29"/>
      <c r="C512" s="1330"/>
      <c r="D512" s="80"/>
      <c r="E512" s="87">
        <f t="shared" si="323"/>
        <v>0</v>
      </c>
      <c r="F512" s="88"/>
      <c r="G512" s="89">
        <f t="shared" si="327"/>
        <v>0</v>
      </c>
      <c r="H512" s="90">
        <f t="shared" si="328"/>
        <v>0</v>
      </c>
      <c r="I512" s="1330"/>
      <c r="J512" s="91"/>
      <c r="K512" s="133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30"/>
      <c r="AG512" s="92"/>
      <c r="AH512" s="92"/>
      <c r="AI512" s="92"/>
      <c r="AJ512" s="92"/>
      <c r="AK512" s="92"/>
      <c r="AL512" s="92"/>
      <c r="AM512" s="92"/>
      <c r="AN512" s="92"/>
      <c r="AO512" s="92"/>
      <c r="AP512" s="92"/>
      <c r="AQ512" s="92"/>
      <c r="AR512" s="92"/>
      <c r="AS512" s="92"/>
      <c r="AT512" s="93"/>
      <c r="AU512" s="94"/>
      <c r="AV512" s="971">
        <f t="shared" si="324"/>
        <v>0</v>
      </c>
      <c r="AW512" s="971">
        <f t="shared" si="325"/>
        <v>0</v>
      </c>
      <c r="AX512" s="97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29"/>
      <c r="C513" s="1330"/>
      <c r="D513" s="80"/>
      <c r="E513" s="87">
        <f t="shared" si="323"/>
        <v>0</v>
      </c>
      <c r="F513" s="88"/>
      <c r="G513" s="89">
        <f t="shared" si="327"/>
        <v>0</v>
      </c>
      <c r="H513" s="90">
        <f t="shared" si="328"/>
        <v>0</v>
      </c>
      <c r="I513" s="1330"/>
      <c r="J513" s="91"/>
      <c r="K513" s="133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30"/>
      <c r="AG513" s="92"/>
      <c r="AH513" s="92"/>
      <c r="AI513" s="92"/>
      <c r="AJ513" s="92"/>
      <c r="AK513" s="92"/>
      <c r="AL513" s="92"/>
      <c r="AM513" s="92"/>
      <c r="AN513" s="92"/>
      <c r="AO513" s="92"/>
      <c r="AP513" s="92"/>
      <c r="AQ513" s="92"/>
      <c r="AR513" s="92"/>
      <c r="AS513" s="92"/>
      <c r="AT513" s="93"/>
      <c r="AU513" s="94"/>
      <c r="AV513" s="971">
        <f t="shared" si="324"/>
        <v>0</v>
      </c>
      <c r="AW513" s="971">
        <f t="shared" si="325"/>
        <v>0</v>
      </c>
      <c r="AX513" s="97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29"/>
      <c r="C514" s="1330"/>
      <c r="D514" s="80"/>
      <c r="E514" s="87">
        <f t="shared" si="323"/>
        <v>0</v>
      </c>
      <c r="F514" s="88"/>
      <c r="G514" s="89">
        <f t="shared" si="327"/>
        <v>0</v>
      </c>
      <c r="H514" s="90">
        <f t="shared" si="328"/>
        <v>0</v>
      </c>
      <c r="I514" s="1330"/>
      <c r="J514" s="91"/>
      <c r="K514" s="133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30"/>
      <c r="AG514" s="92"/>
      <c r="AH514" s="92"/>
      <c r="AI514" s="92"/>
      <c r="AJ514" s="92"/>
      <c r="AK514" s="92"/>
      <c r="AL514" s="92"/>
      <c r="AM514" s="92"/>
      <c r="AN514" s="92"/>
      <c r="AO514" s="92"/>
      <c r="AP514" s="92"/>
      <c r="AQ514" s="92"/>
      <c r="AR514" s="92"/>
      <c r="AS514" s="92"/>
      <c r="AT514" s="93"/>
      <c r="AU514" s="94"/>
      <c r="AV514" s="971">
        <f t="shared" si="324"/>
        <v>0</v>
      </c>
      <c r="AW514" s="971">
        <f t="shared" si="325"/>
        <v>0</v>
      </c>
      <c r="AX514" s="97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31"/>
      <c r="C515" s="1332"/>
      <c r="D515" s="80"/>
      <c r="E515" s="87">
        <f t="shared" si="323"/>
        <v>0</v>
      </c>
      <c r="F515" s="88"/>
      <c r="G515" s="89">
        <f t="shared" si="327"/>
        <v>0</v>
      </c>
      <c r="H515" s="90">
        <f t="shared" si="328"/>
        <v>0</v>
      </c>
      <c r="I515" s="1330"/>
      <c r="J515" s="91"/>
      <c r="K515" s="1330"/>
      <c r="L515" s="91"/>
      <c r="M515" s="1330"/>
      <c r="N515" s="91"/>
      <c r="O515" s="91"/>
      <c r="P515" s="91"/>
      <c r="Q515" s="91"/>
      <c r="R515" s="91"/>
      <c r="S515" s="91"/>
      <c r="T515" s="91"/>
      <c r="U515" s="91"/>
      <c r="V515" s="91"/>
      <c r="W515" s="91"/>
      <c r="X515" s="91"/>
      <c r="Y515" s="91"/>
      <c r="Z515" s="91"/>
      <c r="AA515" s="91"/>
      <c r="AB515" s="91"/>
      <c r="AC515" s="87">
        <f t="shared" si="329"/>
        <v>0</v>
      </c>
      <c r="AD515" s="92"/>
      <c r="AE515" s="92"/>
      <c r="AF515" s="1330"/>
      <c r="AG515" s="92"/>
      <c r="AH515" s="92"/>
      <c r="AI515" s="92"/>
      <c r="AJ515" s="92"/>
      <c r="AK515" s="92"/>
      <c r="AL515" s="92"/>
      <c r="AM515" s="92"/>
      <c r="AN515" s="92"/>
      <c r="AO515" s="92"/>
      <c r="AP515" s="92"/>
      <c r="AQ515" s="92"/>
      <c r="AR515" s="92"/>
      <c r="AS515" s="92"/>
      <c r="AT515" s="93"/>
      <c r="AU515" s="94"/>
      <c r="AV515" s="971">
        <f t="shared" si="324"/>
        <v>0</v>
      </c>
      <c r="AW515" s="971">
        <f t="shared" si="325"/>
        <v>0</v>
      </c>
      <c r="AX515" s="97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71">
        <f t="shared" si="324"/>
        <v>0</v>
      </c>
      <c r="AW516" s="971">
        <f t="shared" si="325"/>
        <v>0</v>
      </c>
      <c r="AX516" s="97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71">
        <f t="shared" si="324"/>
        <v>0</v>
      </c>
      <c r="AW517" s="971">
        <f t="shared" si="325"/>
        <v>0</v>
      </c>
      <c r="AX517" s="97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71">
        <f t="shared" si="324"/>
        <v>0</v>
      </c>
      <c r="AW518" s="971">
        <f t="shared" si="325"/>
        <v>0</v>
      </c>
      <c r="AX518" s="97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71">
        <f t="shared" si="324"/>
        <v>0</v>
      </c>
      <c r="AW519" s="971">
        <f t="shared" si="325"/>
        <v>0</v>
      </c>
      <c r="AX519" s="97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71">
        <f t="shared" si="324"/>
        <v>0</v>
      </c>
      <c r="AW520" s="971">
        <f t="shared" si="325"/>
        <v>0</v>
      </c>
      <c r="AX520" s="97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71">
        <f t="shared" si="324"/>
        <v>0</v>
      </c>
      <c r="AW521" s="971">
        <f t="shared" si="325"/>
        <v>0</v>
      </c>
      <c r="AX521" s="97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71">
        <f t="shared" si="324"/>
        <v>0</v>
      </c>
      <c r="AW522" s="971">
        <f t="shared" si="325"/>
        <v>0</v>
      </c>
      <c r="AX522" s="97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71">
        <f t="shared" si="324"/>
        <v>0</v>
      </c>
      <c r="AW523" s="971">
        <f t="shared" si="325"/>
        <v>0</v>
      </c>
      <c r="AX523" s="97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71">
        <f t="shared" si="324"/>
        <v>0</v>
      </c>
      <c r="AW524" s="971">
        <f t="shared" si="325"/>
        <v>0</v>
      </c>
      <c r="AX524" s="97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71">
        <f t="shared" si="324"/>
        <v>0</v>
      </c>
      <c r="AW525" s="971">
        <f t="shared" si="325"/>
        <v>0</v>
      </c>
      <c r="AX525" s="97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71">
        <f t="shared" si="324"/>
        <v>0</v>
      </c>
      <c r="AW526" s="971">
        <f t="shared" si="325"/>
        <v>0</v>
      </c>
      <c r="AX526" s="97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71">
        <f t="shared" si="324"/>
        <v>0</v>
      </c>
      <c r="AW527" s="971">
        <f t="shared" si="325"/>
        <v>0</v>
      </c>
      <c r="AX527" s="97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71">
        <f t="shared" si="324"/>
        <v>0</v>
      </c>
      <c r="AW528" s="971">
        <f t="shared" si="325"/>
        <v>0</v>
      </c>
      <c r="AX528" s="97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71">
        <f t="shared" si="324"/>
        <v>0</v>
      </c>
      <c r="AW529" s="971">
        <f t="shared" si="325"/>
        <v>0</v>
      </c>
      <c r="AX529" s="97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71">
        <f t="shared" si="324"/>
        <v>0</v>
      </c>
      <c r="AW530" s="971">
        <f t="shared" si="325"/>
        <v>0</v>
      </c>
      <c r="AX530" s="97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71">
        <f t="shared" si="324"/>
        <v>0</v>
      </c>
      <c r="AW531" s="971">
        <f t="shared" si="325"/>
        <v>0</v>
      </c>
      <c r="AX531" s="97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71">
        <f t="shared" si="324"/>
        <v>0</v>
      </c>
      <c r="AW532" s="971">
        <f t="shared" si="325"/>
        <v>0</v>
      </c>
      <c r="AX532" s="97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71">
        <f t="shared" si="324"/>
        <v>0</v>
      </c>
      <c r="AW533" s="971">
        <f t="shared" si="325"/>
        <v>0</v>
      </c>
      <c r="AX533" s="97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71">
        <f t="shared" si="324"/>
        <v>0</v>
      </c>
      <c r="AW534" s="971">
        <f t="shared" si="325"/>
        <v>0</v>
      </c>
      <c r="AX534" s="97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71">
        <f t="shared" si="324"/>
        <v>0</v>
      </c>
      <c r="AW535" s="971">
        <f t="shared" si="325"/>
        <v>0</v>
      </c>
      <c r="AX535" s="97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71">
        <f t="shared" si="324"/>
        <v>0</v>
      </c>
      <c r="AW536" s="971">
        <f t="shared" si="325"/>
        <v>0</v>
      </c>
      <c r="AX536" s="97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71">
        <f t="shared" si="324"/>
        <v>0</v>
      </c>
      <c r="AW537" s="971">
        <f t="shared" si="325"/>
        <v>0</v>
      </c>
      <c r="AX537" s="97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71">
        <f t="shared" ref="AV538:AV572" si="356">A538</f>
        <v>0</v>
      </c>
      <c r="AW538" s="971">
        <f t="shared" ref="AW538:AW572" si="357">B538</f>
        <v>0</v>
      </c>
      <c r="AX538" s="97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71">
        <f t="shared" si="356"/>
        <v>0</v>
      </c>
      <c r="AW539" s="971">
        <f t="shared" si="357"/>
        <v>0</v>
      </c>
      <c r="AX539" s="97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71">
        <f t="shared" si="356"/>
        <v>0</v>
      </c>
      <c r="AW540" s="971">
        <f t="shared" si="357"/>
        <v>0</v>
      </c>
      <c r="AX540" s="97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71">
        <f t="shared" si="356"/>
        <v>0</v>
      </c>
      <c r="AW541" s="971">
        <f t="shared" si="357"/>
        <v>0</v>
      </c>
      <c r="AX541" s="97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71">
        <f t="shared" si="356"/>
        <v>0</v>
      </c>
      <c r="AW542" s="971">
        <f t="shared" si="357"/>
        <v>0</v>
      </c>
      <c r="AX542" s="97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71">
        <f t="shared" si="356"/>
        <v>0</v>
      </c>
      <c r="AW543" s="971">
        <f t="shared" si="357"/>
        <v>0</v>
      </c>
      <c r="AX543" s="97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71">
        <f t="shared" si="356"/>
        <v>0</v>
      </c>
      <c r="AW544" s="971">
        <f t="shared" si="357"/>
        <v>0</v>
      </c>
      <c r="AX544" s="97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71">
        <f t="shared" si="356"/>
        <v>0</v>
      </c>
      <c r="AW545" s="971">
        <f t="shared" si="357"/>
        <v>0</v>
      </c>
      <c r="AX545" s="97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71">
        <f t="shared" si="356"/>
        <v>0</v>
      </c>
      <c r="AW546" s="971">
        <f t="shared" si="357"/>
        <v>0</v>
      </c>
      <c r="AX546" s="97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71">
        <f t="shared" si="356"/>
        <v>0</v>
      </c>
      <c r="AW547" s="971">
        <f t="shared" si="357"/>
        <v>0</v>
      </c>
      <c r="AX547" s="97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71">
        <f t="shared" si="356"/>
        <v>0</v>
      </c>
      <c r="AW548" s="971">
        <f t="shared" si="357"/>
        <v>0</v>
      </c>
      <c r="AX548" s="97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71">
        <f t="shared" si="356"/>
        <v>0</v>
      </c>
      <c r="AW549" s="971">
        <f t="shared" si="357"/>
        <v>0</v>
      </c>
      <c r="AX549" s="97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71">
        <f t="shared" si="356"/>
        <v>0</v>
      </c>
      <c r="AW550" s="971">
        <f t="shared" si="357"/>
        <v>0</v>
      </c>
      <c r="AX550" s="97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71">
        <f t="shared" si="356"/>
        <v>0</v>
      </c>
      <c r="AW551" s="971">
        <f t="shared" si="357"/>
        <v>0</v>
      </c>
      <c r="AX551" s="97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71">
        <f t="shared" si="356"/>
        <v>0</v>
      </c>
      <c r="AW552" s="971">
        <f t="shared" si="357"/>
        <v>0</v>
      </c>
      <c r="AX552" s="97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71">
        <f t="shared" si="356"/>
        <v>0</v>
      </c>
      <c r="AW553" s="971">
        <f t="shared" si="357"/>
        <v>0</v>
      </c>
      <c r="AX553" s="97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71">
        <f t="shared" si="356"/>
        <v>0</v>
      </c>
      <c r="AW554" s="971">
        <f t="shared" si="357"/>
        <v>0</v>
      </c>
      <c r="AX554" s="97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71">
        <f t="shared" si="356"/>
        <v>0</v>
      </c>
      <c r="AW555" s="971">
        <f t="shared" si="357"/>
        <v>0</v>
      </c>
      <c r="AX555" s="97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71">
        <f t="shared" si="356"/>
        <v>0</v>
      </c>
      <c r="AW556" s="971">
        <f t="shared" si="357"/>
        <v>0</v>
      </c>
      <c r="AX556" s="97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71">
        <f t="shared" si="356"/>
        <v>0</v>
      </c>
      <c r="AW557" s="971">
        <f t="shared" si="357"/>
        <v>0</v>
      </c>
      <c r="AX557" s="97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71">
        <f t="shared" si="356"/>
        <v>0</v>
      </c>
      <c r="AW558" s="971">
        <f t="shared" si="357"/>
        <v>0</v>
      </c>
      <c r="AX558" s="97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71">
        <f t="shared" si="356"/>
        <v>0</v>
      </c>
      <c r="AW559" s="971">
        <f t="shared" si="357"/>
        <v>0</v>
      </c>
      <c r="AX559" s="97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71">
        <f t="shared" si="356"/>
        <v>0</v>
      </c>
      <c r="AW560" s="971">
        <f t="shared" si="357"/>
        <v>0</v>
      </c>
      <c r="AX560" s="97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71">
        <f t="shared" si="356"/>
        <v>0</v>
      </c>
      <c r="AW561" s="971">
        <f t="shared" si="357"/>
        <v>0</v>
      </c>
      <c r="AX561" s="97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71">
        <f t="shared" si="356"/>
        <v>0</v>
      </c>
      <c r="AW562" s="971">
        <f t="shared" si="357"/>
        <v>0</v>
      </c>
      <c r="AX562" s="97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71">
        <f t="shared" si="356"/>
        <v>0</v>
      </c>
      <c r="AW563" s="971">
        <f t="shared" si="357"/>
        <v>0</v>
      </c>
      <c r="AX563" s="97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71">
        <f t="shared" si="356"/>
        <v>0</v>
      </c>
      <c r="AW564" s="971">
        <f t="shared" si="357"/>
        <v>0</v>
      </c>
      <c r="AX564" s="97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71">
        <f t="shared" si="356"/>
        <v>0</v>
      </c>
      <c r="AW565" s="971">
        <f t="shared" si="357"/>
        <v>0</v>
      </c>
      <c r="AX565" s="97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71">
        <f t="shared" si="356"/>
        <v>0</v>
      </c>
      <c r="AW566" s="971">
        <f t="shared" si="357"/>
        <v>0</v>
      </c>
      <c r="AX566" s="97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71">
        <f t="shared" si="356"/>
        <v>0</v>
      </c>
      <c r="AW567" s="971">
        <f t="shared" si="357"/>
        <v>0</v>
      </c>
      <c r="AX567" s="97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71">
        <f t="shared" si="356"/>
        <v>0</v>
      </c>
      <c r="AW568" s="971">
        <f t="shared" si="357"/>
        <v>0</v>
      </c>
      <c r="AX568" s="97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71">
        <f t="shared" si="356"/>
        <v>0</v>
      </c>
      <c r="AW569" s="971">
        <f t="shared" si="357"/>
        <v>0</v>
      </c>
      <c r="AX569" s="97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71">
        <f t="shared" si="356"/>
        <v>0</v>
      </c>
      <c r="AW570" s="971">
        <f t="shared" si="357"/>
        <v>0</v>
      </c>
      <c r="AX570" s="97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71">
        <f t="shared" si="356"/>
        <v>0</v>
      </c>
      <c r="AW571" s="971">
        <f t="shared" si="357"/>
        <v>0</v>
      </c>
      <c r="AX571" s="97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71">
        <f t="shared" si="356"/>
        <v>0</v>
      </c>
      <c r="AW572" s="971">
        <f t="shared" si="357"/>
        <v>0</v>
      </c>
      <c r="AX572" s="97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1"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706" t="s">
        <v>0</v>
      </c>
      <c r="B1" s="3706" t="s">
        <v>4</v>
      </c>
      <c r="C1" s="3706" t="s">
        <v>5</v>
      </c>
      <c r="D1" s="3707" t="s">
        <v>40</v>
      </c>
      <c r="E1" s="3707" t="s">
        <v>41</v>
      </c>
      <c r="F1" s="3707"/>
      <c r="G1" s="3707"/>
      <c r="H1" s="3707"/>
      <c r="I1" s="3707"/>
      <c r="J1" s="3707"/>
      <c r="K1" s="3707"/>
      <c r="L1" s="3707"/>
      <c r="M1" s="3707"/>
    </row>
    <row r="2" spans="1:13" ht="27" customHeight="1">
      <c r="A2" s="3706"/>
      <c r="B2" s="3706"/>
      <c r="C2" s="3706"/>
      <c r="D2" s="3707"/>
      <c r="E2" s="3707" t="s">
        <v>24</v>
      </c>
      <c r="F2" s="3707" t="s">
        <v>25</v>
      </c>
      <c r="G2" s="3707"/>
      <c r="H2" s="3707"/>
      <c r="I2" s="3707"/>
      <c r="J2" s="3707" t="s">
        <v>26</v>
      </c>
      <c r="K2" s="3707"/>
      <c r="L2" s="3707"/>
      <c r="M2" s="3707"/>
    </row>
    <row r="3" spans="1:13" ht="28.5">
      <c r="A3" s="3706"/>
      <c r="B3" s="3706"/>
      <c r="C3" s="3706"/>
      <c r="D3" s="3707"/>
      <c r="E3" s="370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707" t="s">
        <v>42</v>
      </c>
      <c r="B9" s="3707"/>
      <c r="C9" s="370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7"/>
  <sheetViews>
    <sheetView workbookViewId="0">
      <pane xSplit="2" ySplit="1" topLeftCell="G11" activePane="bottomRight" state="frozen"/>
      <selection pane="topRight" activeCell="C1" sqref="C1"/>
      <selection pane="bottomLeft" activeCell="A2" sqref="A2"/>
      <selection pane="bottomRight" activeCell="M10" sqref="M10"/>
    </sheetView>
  </sheetViews>
  <sheetFormatPr defaultRowHeight="18"/>
  <cols>
    <col min="1" max="1" width="5.875" style="3572" customWidth="1"/>
    <col min="2" max="2" width="13.125" style="3572" customWidth="1"/>
    <col min="3" max="4" width="11.625" style="3572" customWidth="1"/>
    <col min="5" max="5" width="8" style="3572" customWidth="1"/>
    <col min="6" max="6" width="18.875" style="3572" customWidth="1"/>
    <col min="7" max="7" width="13.25" style="3572" customWidth="1"/>
    <col min="8" max="8" width="13.25" style="3575" customWidth="1"/>
    <col min="9" max="9" width="13" style="3575" customWidth="1"/>
    <col min="10" max="10" width="15.75" style="3575" customWidth="1"/>
    <col min="11" max="11" width="16.375" style="3572" customWidth="1"/>
    <col min="12" max="12" width="10.125" style="3572" customWidth="1"/>
    <col min="13" max="13" width="13" style="3572" customWidth="1"/>
    <col min="14" max="14" width="9.125" style="3574" bestFit="1" customWidth="1"/>
    <col min="15" max="15" width="12.75" style="3575" customWidth="1"/>
    <col min="16" max="17" width="12.75" style="3572" customWidth="1"/>
    <col min="18" max="22" width="9.125" style="3572" bestFit="1" customWidth="1"/>
    <col min="23" max="23" width="11.375" style="3572" bestFit="1" customWidth="1"/>
    <col min="24" max="24" width="9.875" style="3572" bestFit="1" customWidth="1"/>
    <col min="25" max="26" width="9" style="3572"/>
    <col min="27" max="27" width="9.125" style="3572" bestFit="1" customWidth="1"/>
    <col min="28" max="16384" width="9" style="3572"/>
  </cols>
  <sheetData>
    <row r="1" spans="1:15" s="3590" customFormat="1" ht="18.75" thickBot="1">
      <c r="A1" s="3590" t="s">
        <v>11175</v>
      </c>
      <c r="B1" s="3590" t="s">
        <v>11133</v>
      </c>
      <c r="C1" s="3590" t="s">
        <v>11182</v>
      </c>
      <c r="D1" s="3591" t="s">
        <v>11132</v>
      </c>
      <c r="E1" s="3590" t="s">
        <v>11131</v>
      </c>
      <c r="F1" s="3591" t="s">
        <v>11155</v>
      </c>
      <c r="G1" s="3592" t="s">
        <v>11130</v>
      </c>
      <c r="H1" s="3593"/>
      <c r="I1" s="3593" t="s">
        <v>11187</v>
      </c>
      <c r="J1" s="3593" t="s">
        <v>11186</v>
      </c>
      <c r="K1" s="3593" t="s">
        <v>11178</v>
      </c>
      <c r="L1" s="3592" t="s">
        <v>11179</v>
      </c>
    </row>
    <row r="2" spans="1:15" s="3576" customFormat="1">
      <c r="A2" s="3576">
        <v>1</v>
      </c>
      <c r="B2" s="3576" t="s">
        <v>3857</v>
      </c>
      <c r="C2" s="3576">
        <v>5363</v>
      </c>
      <c r="D2" s="3577">
        <v>17187.63</v>
      </c>
      <c r="E2" s="3576">
        <v>2.9</v>
      </c>
      <c r="F2" s="3577">
        <f>ROUND(D2*E2,2)</f>
        <v>49844.13</v>
      </c>
      <c r="G2" s="3578">
        <v>0.08</v>
      </c>
      <c r="H2" s="3579">
        <f t="shared" ref="H2:H7" si="0">ROUND(F2*G2,2)</f>
        <v>3987.53</v>
      </c>
      <c r="I2" s="3579">
        <f>200+30+100</f>
        <v>330</v>
      </c>
      <c r="J2" s="3598" t="s">
        <v>11188</v>
      </c>
      <c r="K2" s="3579">
        <v>0</v>
      </c>
      <c r="L2" s="3578" t="s">
        <v>11156</v>
      </c>
    </row>
    <row r="3" spans="1:15" s="3576" customFormat="1">
      <c r="A3" s="3576">
        <v>2</v>
      </c>
      <c r="B3" s="3576" t="s">
        <v>3858</v>
      </c>
      <c r="C3" s="3576">
        <v>13121</v>
      </c>
      <c r="D3" s="3577">
        <v>42051.8</v>
      </c>
      <c r="E3" s="3576">
        <v>1.3</v>
      </c>
      <c r="F3" s="3577">
        <f t="shared" ref="F3:F32" si="1">ROUND(D3*E3,2)</f>
        <v>54667.34</v>
      </c>
      <c r="G3" s="3578">
        <v>0.05</v>
      </c>
      <c r="H3" s="3579">
        <f t="shared" si="0"/>
        <v>2733.37</v>
      </c>
      <c r="I3" s="3579">
        <f>165+30</f>
        <v>195</v>
      </c>
      <c r="J3" s="3598" t="s">
        <v>11189</v>
      </c>
      <c r="K3" s="3579">
        <v>0</v>
      </c>
      <c r="L3" s="3578" t="s">
        <v>11156</v>
      </c>
    </row>
    <row r="4" spans="1:15">
      <c r="A4" s="3572">
        <v>3</v>
      </c>
      <c r="B4" s="3572" t="s">
        <v>11119</v>
      </c>
      <c r="D4" s="3573">
        <v>67683.3</v>
      </c>
      <c r="E4" s="3572">
        <v>2.9</v>
      </c>
      <c r="F4" s="3573">
        <f t="shared" si="1"/>
        <v>196281.57</v>
      </c>
      <c r="G4" s="3574">
        <v>0.08</v>
      </c>
      <c r="H4" s="3575">
        <f t="shared" si="0"/>
        <v>15702.53</v>
      </c>
      <c r="K4" s="3575">
        <f>28731+1612*18*1400/10000</f>
        <v>32793.24</v>
      </c>
      <c r="L4" s="3574" t="s">
        <v>11157</v>
      </c>
      <c r="M4" s="3572" t="s">
        <v>11120</v>
      </c>
      <c r="N4" s="3572"/>
      <c r="O4" s="3572"/>
    </row>
    <row r="5" spans="1:15">
      <c r="A5" s="3572">
        <v>4</v>
      </c>
      <c r="B5" s="3572" t="s">
        <v>11121</v>
      </c>
      <c r="D5" s="3573">
        <v>26249.82</v>
      </c>
      <c r="E5" s="3572">
        <v>1.3</v>
      </c>
      <c r="F5" s="3573">
        <f t="shared" si="1"/>
        <v>34124.769999999997</v>
      </c>
      <c r="G5" s="3574">
        <v>0.05</v>
      </c>
      <c r="H5" s="3575">
        <f t="shared" si="0"/>
        <v>1706.24</v>
      </c>
      <c r="K5" s="3580">
        <v>0</v>
      </c>
      <c r="L5" s="3574" t="s">
        <v>11156</v>
      </c>
      <c r="N5" s="3572"/>
      <c r="O5" s="3572"/>
    </row>
    <row r="6" spans="1:15">
      <c r="A6" s="3572">
        <v>5</v>
      </c>
      <c r="B6" s="3572" t="s">
        <v>11122</v>
      </c>
      <c r="D6" s="3573">
        <v>66823.67</v>
      </c>
      <c r="E6" s="3572">
        <v>1.3</v>
      </c>
      <c r="F6" s="3573">
        <f t="shared" si="1"/>
        <v>86870.77</v>
      </c>
      <c r="G6" s="3574">
        <v>0.05</v>
      </c>
      <c r="H6" s="3575">
        <f t="shared" si="0"/>
        <v>4343.54</v>
      </c>
      <c r="K6" s="3575">
        <f>1266*30*1700/10000</f>
        <v>6456.6</v>
      </c>
      <c r="L6" s="3574" t="s">
        <v>11158</v>
      </c>
      <c r="M6" s="3572" t="s">
        <v>11123</v>
      </c>
      <c r="N6" s="3572"/>
      <c r="O6" s="3572"/>
    </row>
    <row r="7" spans="1:15">
      <c r="A7" s="3572">
        <v>6</v>
      </c>
      <c r="B7" s="3572" t="s">
        <v>11124</v>
      </c>
      <c r="D7" s="3573">
        <v>26232.25</v>
      </c>
      <c r="E7" s="3572">
        <v>2.9</v>
      </c>
      <c r="F7" s="3573">
        <f t="shared" si="1"/>
        <v>76073.53</v>
      </c>
      <c r="G7" s="3574">
        <v>0.08</v>
      </c>
      <c r="H7" s="3575">
        <f t="shared" si="0"/>
        <v>6085.88</v>
      </c>
      <c r="K7" s="3575">
        <f>1543*30*1700/10000</f>
        <v>7869.3</v>
      </c>
      <c r="L7" s="3574" t="s">
        <v>11158</v>
      </c>
      <c r="M7" s="3572" t="s">
        <v>11125</v>
      </c>
      <c r="N7" s="3572"/>
      <c r="O7" s="3572"/>
    </row>
    <row r="8" spans="1:15">
      <c r="A8" s="3572">
        <v>7</v>
      </c>
      <c r="B8" s="3572" t="s">
        <v>11126</v>
      </c>
      <c r="D8" s="3573">
        <v>59175.61</v>
      </c>
      <c r="E8" s="3572">
        <v>1.3</v>
      </c>
      <c r="F8" s="3573">
        <f t="shared" si="1"/>
        <v>76928.289999999994</v>
      </c>
      <c r="G8" s="3574">
        <v>0.05</v>
      </c>
      <c r="H8" s="3575">
        <f>ROUND(F8*G8,2)</f>
        <v>3846.41</v>
      </c>
      <c r="K8" s="3580">
        <v>0</v>
      </c>
      <c r="L8" s="3574" t="s">
        <v>11156</v>
      </c>
      <c r="N8" s="3572"/>
      <c r="O8" s="3572"/>
    </row>
    <row r="9" spans="1:15">
      <c r="A9" s="3572">
        <v>8</v>
      </c>
      <c r="B9" s="3572" t="s">
        <v>11127</v>
      </c>
      <c r="D9" s="3573">
        <v>28401.73</v>
      </c>
      <c r="E9" s="3572">
        <v>2.9</v>
      </c>
      <c r="F9" s="3573">
        <f t="shared" si="1"/>
        <v>82365.02</v>
      </c>
      <c r="G9" s="3574">
        <v>0.08</v>
      </c>
      <c r="H9" s="3575">
        <f t="shared" ref="H9:H32" si="2">ROUND(F9*G9,2)</f>
        <v>6589.2</v>
      </c>
      <c r="K9" s="3575">
        <f>1560*30*1700/10000</f>
        <v>7956</v>
      </c>
      <c r="L9" s="3574" t="s">
        <v>11158</v>
      </c>
      <c r="M9" s="3572" t="s">
        <v>11128</v>
      </c>
      <c r="N9" s="3572"/>
      <c r="O9" s="3572"/>
    </row>
    <row r="10" spans="1:15">
      <c r="A10" s="3572">
        <v>9</v>
      </c>
      <c r="B10" s="3572" t="s">
        <v>11129</v>
      </c>
      <c r="D10" s="3573">
        <v>44431.1</v>
      </c>
      <c r="E10" s="3572">
        <v>3.1</v>
      </c>
      <c r="F10" s="3573">
        <f t="shared" si="1"/>
        <v>137736.41</v>
      </c>
      <c r="G10" s="3574">
        <v>0.1</v>
      </c>
      <c r="H10" s="3575">
        <f t="shared" si="2"/>
        <v>13773.64</v>
      </c>
      <c r="K10" s="3575">
        <f>285041*500/10000</f>
        <v>14252.05</v>
      </c>
      <c r="L10" s="3574" t="s">
        <v>11160</v>
      </c>
      <c r="M10" s="3572" t="s">
        <v>11163</v>
      </c>
      <c r="N10" s="3572"/>
      <c r="O10" s="3572"/>
    </row>
    <row r="11" spans="1:15">
      <c r="A11" s="3572">
        <v>10</v>
      </c>
      <c r="B11" s="3572" t="s">
        <v>11134</v>
      </c>
      <c r="D11" s="3573">
        <v>32081.919999999998</v>
      </c>
      <c r="E11" s="3572">
        <v>3.1</v>
      </c>
      <c r="F11" s="3573">
        <f t="shared" si="1"/>
        <v>99453.95</v>
      </c>
      <c r="G11" s="3574">
        <v>0.1</v>
      </c>
      <c r="H11" s="3575">
        <f t="shared" si="2"/>
        <v>9945.4</v>
      </c>
      <c r="K11" s="3575">
        <f>717*18*1400/10000</f>
        <v>1806.84</v>
      </c>
      <c r="L11" s="3574" t="s">
        <v>11158</v>
      </c>
      <c r="M11" s="3572" t="s">
        <v>11164</v>
      </c>
      <c r="N11" s="3572"/>
      <c r="O11" s="3572"/>
    </row>
    <row r="12" spans="1:15">
      <c r="A12" s="3572">
        <v>11</v>
      </c>
      <c r="B12" s="3572" t="s">
        <v>11135</v>
      </c>
      <c r="D12" s="3573">
        <v>48984.01</v>
      </c>
      <c r="E12" s="3572">
        <v>1.3</v>
      </c>
      <c r="F12" s="3573">
        <f t="shared" si="1"/>
        <v>63679.21</v>
      </c>
      <c r="G12" s="3574">
        <v>0.05</v>
      </c>
      <c r="H12" s="3575">
        <f t="shared" si="2"/>
        <v>3183.96</v>
      </c>
      <c r="K12" s="3575">
        <f>2033*40*1800/10000</f>
        <v>14637.6</v>
      </c>
      <c r="L12" s="3574" t="s">
        <v>11158</v>
      </c>
      <c r="M12" s="3572" t="s">
        <v>11165</v>
      </c>
      <c r="N12" s="3572"/>
      <c r="O12" s="3572"/>
    </row>
    <row r="13" spans="1:15">
      <c r="A13" s="3572">
        <v>12</v>
      </c>
      <c r="B13" s="3572" t="s">
        <v>11136</v>
      </c>
      <c r="D13" s="3573">
        <v>13897</v>
      </c>
      <c r="E13" s="3572">
        <v>2.9</v>
      </c>
      <c r="F13" s="3573">
        <f t="shared" si="1"/>
        <v>40301.300000000003</v>
      </c>
      <c r="G13" s="3574">
        <v>0.08</v>
      </c>
      <c r="H13" s="3575">
        <f t="shared" si="2"/>
        <v>3224.1</v>
      </c>
      <c r="K13" s="3575">
        <f>4395*12*1200/10000+632*18*1400/10000</f>
        <v>7921.4400000000005</v>
      </c>
      <c r="L13" s="3574" t="s">
        <v>11158</v>
      </c>
      <c r="M13" s="3572" t="s">
        <v>11166</v>
      </c>
      <c r="N13" s="3572"/>
      <c r="O13" s="3572"/>
    </row>
    <row r="14" spans="1:15">
      <c r="A14" s="3572">
        <v>13</v>
      </c>
      <c r="B14" s="3572" t="s">
        <v>11137</v>
      </c>
      <c r="D14" s="3573">
        <v>66620.539999999994</v>
      </c>
      <c r="E14" s="3572">
        <v>1.3</v>
      </c>
      <c r="F14" s="3573">
        <f t="shared" si="1"/>
        <v>86606.7</v>
      </c>
      <c r="G14" s="3574">
        <v>0.05</v>
      </c>
      <c r="H14" s="3575">
        <f t="shared" si="2"/>
        <v>4330.34</v>
      </c>
      <c r="K14" s="3580">
        <v>0</v>
      </c>
      <c r="L14" s="3574" t="s">
        <v>11156</v>
      </c>
      <c r="N14" s="3572"/>
      <c r="O14" s="3572"/>
    </row>
    <row r="15" spans="1:15">
      <c r="A15" s="3572">
        <v>14</v>
      </c>
      <c r="B15" s="3572" t="s">
        <v>11138</v>
      </c>
      <c r="D15" s="3573">
        <v>29553.8</v>
      </c>
      <c r="E15" s="3572">
        <v>2.9</v>
      </c>
      <c r="F15" s="3573">
        <f t="shared" si="1"/>
        <v>85706.02</v>
      </c>
      <c r="G15" s="3574">
        <v>0.08</v>
      </c>
      <c r="H15" s="3575">
        <f t="shared" si="2"/>
        <v>6856.48</v>
      </c>
      <c r="K15" s="3575">
        <f>1494*24*1500/10000+545*18*1400/10000</f>
        <v>6751.7999999999993</v>
      </c>
      <c r="L15" s="3574" t="s">
        <v>11158</v>
      </c>
      <c r="M15" s="3572" t="s">
        <v>11167</v>
      </c>
      <c r="N15" s="3572"/>
      <c r="O15" s="3572"/>
    </row>
    <row r="16" spans="1:15">
      <c r="A16" s="3572">
        <v>15</v>
      </c>
      <c r="B16" s="3572" t="s">
        <v>11139</v>
      </c>
      <c r="D16" s="3573">
        <v>42290.18</v>
      </c>
      <c r="E16" s="3572">
        <v>3.1</v>
      </c>
      <c r="F16" s="3573">
        <f t="shared" si="1"/>
        <v>131099.56</v>
      </c>
      <c r="G16" s="3574">
        <v>0.1</v>
      </c>
      <c r="H16" s="3575">
        <f t="shared" si="2"/>
        <v>13109.96</v>
      </c>
      <c r="K16" s="3575">
        <f>945*12*1200/10000+17410</f>
        <v>18770.8</v>
      </c>
      <c r="L16" s="3574" t="s">
        <v>11162</v>
      </c>
      <c r="M16" s="3573" t="s">
        <v>11153</v>
      </c>
      <c r="N16" s="3572"/>
      <c r="O16" s="3572"/>
    </row>
    <row r="17" spans="1:15">
      <c r="A17" s="3572">
        <v>16</v>
      </c>
      <c r="B17" s="3572" t="s">
        <v>11140</v>
      </c>
      <c r="D17" s="3573">
        <v>43381.22</v>
      </c>
      <c r="E17" s="3572">
        <v>3.1</v>
      </c>
      <c r="F17" s="3573">
        <f t="shared" si="1"/>
        <v>134481.78</v>
      </c>
      <c r="G17" s="3574">
        <v>0.1</v>
      </c>
      <c r="H17" s="3575">
        <f t="shared" si="2"/>
        <v>13448.18</v>
      </c>
      <c r="K17" s="3580">
        <v>0</v>
      </c>
      <c r="L17" s="3574" t="s">
        <v>11156</v>
      </c>
      <c r="N17" s="3572"/>
      <c r="O17" s="3572"/>
    </row>
    <row r="18" spans="1:15">
      <c r="A18" s="3572">
        <v>17</v>
      </c>
      <c r="B18" s="3572" t="s">
        <v>11141</v>
      </c>
      <c r="D18" s="3573">
        <v>34966.71</v>
      </c>
      <c r="E18" s="3572">
        <v>3.1</v>
      </c>
      <c r="F18" s="3573">
        <f t="shared" si="1"/>
        <v>108396.8</v>
      </c>
      <c r="G18" s="3574">
        <v>0.1</v>
      </c>
      <c r="H18" s="3575">
        <f t="shared" si="2"/>
        <v>10839.68</v>
      </c>
      <c r="K18" s="3575">
        <f>1093*18*1400/10000</f>
        <v>2754.36</v>
      </c>
      <c r="L18" s="3574" t="s">
        <v>11158</v>
      </c>
      <c r="M18" s="3572" t="s">
        <v>11168</v>
      </c>
      <c r="N18" s="3572"/>
      <c r="O18" s="3572"/>
    </row>
    <row r="19" spans="1:15">
      <c r="A19" s="3572">
        <v>18</v>
      </c>
      <c r="B19" s="3572" t="s">
        <v>11142</v>
      </c>
      <c r="D19" s="3573">
        <v>38590.239999999998</v>
      </c>
      <c r="E19" s="3572">
        <v>3.1</v>
      </c>
      <c r="F19" s="3573">
        <f t="shared" si="1"/>
        <v>119629.74</v>
      </c>
      <c r="G19" s="3574">
        <v>0.1</v>
      </c>
      <c r="H19" s="3575">
        <f t="shared" si="2"/>
        <v>11962.97</v>
      </c>
      <c r="K19" s="3575">
        <f>2296*40*1800/10000</f>
        <v>16531.2</v>
      </c>
      <c r="L19" s="3574" t="s">
        <v>11158</v>
      </c>
      <c r="M19" s="3572" t="s">
        <v>11169</v>
      </c>
      <c r="N19" s="3572"/>
      <c r="O19" s="3572"/>
    </row>
    <row r="20" spans="1:15">
      <c r="A20" s="3572">
        <v>19</v>
      </c>
      <c r="B20" s="3572" t="s">
        <v>11143</v>
      </c>
      <c r="D20" s="3573">
        <v>53609.82</v>
      </c>
      <c r="E20" s="3572">
        <v>3.1</v>
      </c>
      <c r="F20" s="3573">
        <f t="shared" si="1"/>
        <v>166190.44</v>
      </c>
      <c r="G20" s="3574">
        <v>0.05</v>
      </c>
      <c r="H20" s="3575">
        <f t="shared" si="2"/>
        <v>8309.52</v>
      </c>
      <c r="K20" s="3580">
        <v>0</v>
      </c>
      <c r="L20" s="3574" t="s">
        <v>11156</v>
      </c>
      <c r="N20" s="3572"/>
      <c r="O20" s="3572"/>
    </row>
    <row r="21" spans="1:15">
      <c r="A21" s="3572">
        <v>20</v>
      </c>
      <c r="B21" s="3572" t="s">
        <v>11144</v>
      </c>
      <c r="D21" s="3573">
        <v>56240.800000000003</v>
      </c>
      <c r="E21" s="3572">
        <v>3.1</v>
      </c>
      <c r="F21" s="3573">
        <f t="shared" si="1"/>
        <v>174346.48</v>
      </c>
      <c r="G21" s="3574">
        <v>0.05</v>
      </c>
      <c r="H21" s="3575">
        <f t="shared" si="2"/>
        <v>8717.32</v>
      </c>
      <c r="K21" s="3575">
        <v>35876</v>
      </c>
      <c r="L21" s="3574" t="s">
        <v>11161</v>
      </c>
      <c r="M21" s="3572" t="s">
        <v>11154</v>
      </c>
      <c r="N21" s="3572"/>
      <c r="O21" s="3572"/>
    </row>
    <row r="22" spans="1:15">
      <c r="A22" s="3572">
        <v>21</v>
      </c>
      <c r="B22" s="3572" t="s">
        <v>11145</v>
      </c>
      <c r="D22" s="3573">
        <v>56253.55</v>
      </c>
      <c r="E22" s="3572">
        <v>3.1</v>
      </c>
      <c r="F22" s="3573">
        <f t="shared" si="1"/>
        <v>174386.01</v>
      </c>
      <c r="G22" s="3574">
        <v>0.05</v>
      </c>
      <c r="H22" s="3575">
        <f t="shared" si="2"/>
        <v>8719.2999999999993</v>
      </c>
      <c r="K22" s="3575">
        <f>364026*500/10000</f>
        <v>18201.3</v>
      </c>
      <c r="L22" s="3574" t="s">
        <v>11160</v>
      </c>
      <c r="M22" s="3572" t="s">
        <v>11170</v>
      </c>
      <c r="N22" s="3572"/>
      <c r="O22" s="3572"/>
    </row>
    <row r="23" spans="1:15">
      <c r="A23" s="3572">
        <v>22</v>
      </c>
      <c r="B23" s="3572" t="s">
        <v>11146</v>
      </c>
      <c r="D23" s="3573">
        <v>50903.06</v>
      </c>
      <c r="E23" s="3572">
        <v>2.2999999999999998</v>
      </c>
      <c r="F23" s="3573">
        <f t="shared" si="1"/>
        <v>117077.04</v>
      </c>
      <c r="G23" s="3574">
        <v>0.1</v>
      </c>
      <c r="H23" s="3575">
        <f t="shared" si="2"/>
        <v>11707.7</v>
      </c>
      <c r="K23" s="3580">
        <v>0</v>
      </c>
      <c r="L23" s="3574" t="s">
        <v>11156</v>
      </c>
      <c r="N23" s="3572"/>
      <c r="O23" s="3572"/>
    </row>
    <row r="24" spans="1:15">
      <c r="A24" s="3572">
        <v>23</v>
      </c>
      <c r="B24" s="3572" t="s">
        <v>11147</v>
      </c>
      <c r="D24" s="3573">
        <v>51615.29</v>
      </c>
      <c r="E24" s="3572">
        <v>2.9</v>
      </c>
      <c r="F24" s="3573">
        <f t="shared" si="1"/>
        <v>149684.34</v>
      </c>
      <c r="G24" s="3574">
        <v>0.08</v>
      </c>
      <c r="H24" s="3575">
        <f t="shared" si="2"/>
        <v>11974.75</v>
      </c>
      <c r="K24" s="3575">
        <f>1046*18*1400/10000+7466</f>
        <v>10101.92</v>
      </c>
      <c r="L24" s="3574"/>
      <c r="M24" s="3573" t="s">
        <v>11176</v>
      </c>
      <c r="N24" s="3572"/>
      <c r="O24" s="3572"/>
    </row>
    <row r="25" spans="1:15">
      <c r="A25" s="3572">
        <v>24</v>
      </c>
      <c r="B25" s="3572" t="s">
        <v>11148</v>
      </c>
      <c r="D25" s="3573">
        <v>28002.01</v>
      </c>
      <c r="E25" s="3572">
        <v>1.3</v>
      </c>
      <c r="F25" s="3573">
        <f t="shared" si="1"/>
        <v>36402.61</v>
      </c>
      <c r="G25" s="3574">
        <v>0.05</v>
      </c>
      <c r="H25" s="3575">
        <f t="shared" si="2"/>
        <v>1820.13</v>
      </c>
      <c r="K25" s="3580">
        <v>0</v>
      </c>
      <c r="L25" s="3574" t="s">
        <v>11156</v>
      </c>
      <c r="N25" s="3572"/>
      <c r="O25" s="3572"/>
    </row>
    <row r="26" spans="1:15">
      <c r="A26" s="3572">
        <v>25</v>
      </c>
      <c r="B26" s="3572" t="s">
        <v>11149</v>
      </c>
      <c r="D26" s="3573">
        <v>40029.19</v>
      </c>
      <c r="E26" s="3572">
        <v>1.3</v>
      </c>
      <c r="F26" s="3573">
        <f t="shared" si="1"/>
        <v>52037.95</v>
      </c>
      <c r="G26" s="3574">
        <v>0.05</v>
      </c>
      <c r="H26" s="3575">
        <f t="shared" si="2"/>
        <v>2601.9</v>
      </c>
      <c r="K26" s="3575">
        <f>780*18*1400/10000</f>
        <v>1965.6</v>
      </c>
      <c r="L26" s="3574" t="s">
        <v>11158</v>
      </c>
      <c r="M26" s="3572" t="s">
        <v>11171</v>
      </c>
      <c r="N26" s="3572"/>
      <c r="O26" s="3572"/>
    </row>
    <row r="27" spans="1:15">
      <c r="A27" s="3572">
        <v>26</v>
      </c>
      <c r="B27" s="3572" t="s">
        <v>11150</v>
      </c>
      <c r="D27" s="3573">
        <v>68672.66</v>
      </c>
      <c r="E27" s="3572">
        <v>2.9</v>
      </c>
      <c r="F27" s="3573">
        <f t="shared" si="1"/>
        <v>199150.71</v>
      </c>
      <c r="G27" s="3574">
        <v>0.08</v>
      </c>
      <c r="H27" s="3575">
        <f t="shared" si="2"/>
        <v>15932.06</v>
      </c>
      <c r="K27" s="3575">
        <f>1268*40*1800/10000</f>
        <v>9129.6</v>
      </c>
      <c r="L27" s="3574" t="s">
        <v>11158</v>
      </c>
      <c r="M27" s="3572" t="s">
        <v>11172</v>
      </c>
      <c r="N27" s="3572"/>
      <c r="O27" s="3572"/>
    </row>
    <row r="28" spans="1:15" s="3576" customFormat="1">
      <c r="A28" s="3576">
        <v>27</v>
      </c>
      <c r="B28" s="3576" t="s">
        <v>3859</v>
      </c>
      <c r="C28" s="3576">
        <v>12976</v>
      </c>
      <c r="D28" s="3577">
        <v>41587.86</v>
      </c>
      <c r="E28" s="3576">
        <v>3</v>
      </c>
      <c r="F28" s="3577">
        <f t="shared" si="1"/>
        <v>124763.58</v>
      </c>
      <c r="G28" s="3578">
        <v>0.08</v>
      </c>
      <c r="H28" s="3579">
        <f t="shared" si="2"/>
        <v>9981.09</v>
      </c>
      <c r="I28" s="3579">
        <f>375+60+100</f>
        <v>535</v>
      </c>
      <c r="J28" s="3598" t="s">
        <v>11190</v>
      </c>
      <c r="K28" s="3579">
        <f>180*12*1200/10000+139*18*1400/10000</f>
        <v>609.48</v>
      </c>
      <c r="L28" s="3578" t="s">
        <v>11158</v>
      </c>
      <c r="M28" s="3576" t="s">
        <v>11173</v>
      </c>
    </row>
    <row r="29" spans="1:15" s="3576" customFormat="1">
      <c r="A29" s="3576">
        <v>28</v>
      </c>
      <c r="B29" s="3576" t="s">
        <v>3860</v>
      </c>
      <c r="C29" s="3576">
        <v>16514</v>
      </c>
      <c r="D29" s="3577">
        <v>52932.59</v>
      </c>
      <c r="E29" s="3576">
        <v>2.9</v>
      </c>
      <c r="F29" s="3577">
        <f t="shared" si="1"/>
        <v>153504.51</v>
      </c>
      <c r="G29" s="3578">
        <v>0.08</v>
      </c>
      <c r="H29" s="3579">
        <f t="shared" si="2"/>
        <v>12280.36</v>
      </c>
      <c r="I29" s="3579">
        <f>515+40+150</f>
        <v>705</v>
      </c>
      <c r="J29" s="3598" t="s">
        <v>11191</v>
      </c>
      <c r="K29" s="3579">
        <v>0</v>
      </c>
      <c r="L29" s="3578" t="s">
        <v>11156</v>
      </c>
    </row>
    <row r="30" spans="1:15" s="3576" customFormat="1">
      <c r="A30" s="3576">
        <v>29</v>
      </c>
      <c r="B30" s="3576" t="s">
        <v>3861</v>
      </c>
      <c r="C30" s="3576">
        <v>18916</v>
      </c>
      <c r="D30" s="3577">
        <v>60624.25</v>
      </c>
      <c r="E30" s="3576">
        <v>1.3</v>
      </c>
      <c r="F30" s="3577">
        <f t="shared" si="1"/>
        <v>78811.53</v>
      </c>
      <c r="G30" s="3578">
        <v>0.05</v>
      </c>
      <c r="H30" s="3579">
        <f t="shared" si="2"/>
        <v>3940.58</v>
      </c>
      <c r="I30" s="3579">
        <f>240+40</f>
        <v>280</v>
      </c>
      <c r="J30" s="3598" t="s">
        <v>11192</v>
      </c>
      <c r="K30" s="3579">
        <v>0</v>
      </c>
      <c r="L30" s="3578" t="s">
        <v>11156</v>
      </c>
    </row>
    <row r="31" spans="1:15">
      <c r="A31" s="3572">
        <v>30</v>
      </c>
      <c r="B31" s="3572" t="s">
        <v>11151</v>
      </c>
      <c r="D31" s="3573">
        <v>47594.39</v>
      </c>
      <c r="E31" s="3572">
        <v>1.3</v>
      </c>
      <c r="F31" s="3573">
        <f t="shared" si="1"/>
        <v>61872.71</v>
      </c>
      <c r="G31" s="3574">
        <v>0.05</v>
      </c>
      <c r="H31" s="3575">
        <f t="shared" si="2"/>
        <v>3093.64</v>
      </c>
      <c r="K31" s="3575">
        <f>160*12*1200/10000+7466</f>
        <v>7696.4</v>
      </c>
      <c r="L31" s="3574" t="s">
        <v>11159</v>
      </c>
      <c r="M31" s="3573" t="s">
        <v>11177</v>
      </c>
      <c r="N31" s="3572"/>
      <c r="O31" s="3572"/>
    </row>
    <row r="32" spans="1:15">
      <c r="A32" s="3572">
        <v>31</v>
      </c>
      <c r="B32" s="3572" t="s">
        <v>11152</v>
      </c>
      <c r="D32" s="3573">
        <v>22335.95</v>
      </c>
      <c r="E32" s="3572">
        <v>2.9</v>
      </c>
      <c r="F32" s="3573">
        <f t="shared" si="1"/>
        <v>64774.26</v>
      </c>
      <c r="G32" s="3574">
        <v>0.08</v>
      </c>
      <c r="H32" s="3575">
        <f t="shared" si="2"/>
        <v>5181.9399999999996</v>
      </c>
      <c r="K32" s="3575">
        <f>1520*30*1700/10000</f>
        <v>7752</v>
      </c>
      <c r="L32" s="3574" t="s">
        <v>11158</v>
      </c>
      <c r="M32" s="3572" t="s">
        <v>11174</v>
      </c>
      <c r="N32" s="3572"/>
      <c r="O32" s="3572"/>
    </row>
    <row r="33" spans="1:12" s="3594" customFormat="1" ht="18.75" thickBot="1">
      <c r="A33" s="3594" t="s">
        <v>11184</v>
      </c>
      <c r="B33" s="3594" t="s">
        <v>11185</v>
      </c>
      <c r="C33" s="3595">
        <f>SUM(C2:C3)+SUM(C28:C30)</f>
        <v>66890</v>
      </c>
      <c r="D33" s="3595">
        <f>SUM(D2:D3)+SUM(D28:D30)</f>
        <v>214384.13</v>
      </c>
      <c r="E33" s="3594">
        <f>ROUND(F33/D33,2)</f>
        <v>2.15</v>
      </c>
      <c r="F33" s="3595">
        <f>SUM(F2:F3)+SUM(F28:F30)</f>
        <v>461591.08999999997</v>
      </c>
      <c r="G33" s="3596">
        <f>H33/F33</f>
        <v>7.132488194258689E-2</v>
      </c>
      <c r="H33" s="3595">
        <f>SUM(H2:H3)+SUM(H28:H30)</f>
        <v>32922.93</v>
      </c>
      <c r="I33" s="3595">
        <f>SUM(I2:I3)+SUM(I28:I30)</f>
        <v>2045</v>
      </c>
      <c r="J33" s="3597"/>
      <c r="K33" s="3597"/>
      <c r="L33" s="3596"/>
    </row>
    <row r="34" spans="1:12">
      <c r="G34" s="3573"/>
      <c r="H34" s="3580"/>
      <c r="I34" s="3580"/>
      <c r="J34" s="3580"/>
      <c r="K34" s="3573"/>
      <c r="L34" s="3573"/>
    </row>
    <row r="37" spans="1:12">
      <c r="B37" s="3589" t="s">
        <v>11183</v>
      </c>
      <c r="C37" s="3589">
        <f>100*0.035+400*0.03+500*0.025+4000*0.015+5000*0.01+61890*0.005</f>
        <v>447.45</v>
      </c>
    </row>
  </sheetData>
  <phoneticPr fontId="228"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XDB264"/>
  <sheetViews>
    <sheetView zoomScale="90" zoomScaleNormal="90" workbookViewId="0">
      <pane xSplit="4" ySplit="3" topLeftCell="T148" activePane="bottomRight" state="frozen"/>
      <selection pane="topRight"/>
      <selection pane="bottomLeft"/>
      <selection pane="bottomRight" activeCell="Z169" sqref="Z169:AC169"/>
    </sheetView>
  </sheetViews>
  <sheetFormatPr defaultColWidth="9" defaultRowHeight="15.75" customHeight="1" outlineLevelRow="1" outlineLevelCol="1"/>
  <cols>
    <col min="1" max="1" width="1.875" style="3530" customWidth="1"/>
    <col min="2" max="2" width="13" style="3309" customWidth="1"/>
    <col min="3" max="3" width="6" style="3309" customWidth="1"/>
    <col min="4" max="4" width="14.375" style="3326" customWidth="1"/>
    <col min="5" max="5" width="19.25" style="3326" hidden="1" customWidth="1"/>
    <col min="6" max="6" width="7.875" style="3531" customWidth="1"/>
    <col min="7" max="7" width="11.25" style="3531" customWidth="1"/>
    <col min="8" max="8" width="7.875" style="3531" customWidth="1"/>
    <col min="9" max="9" width="8" style="3531" customWidth="1"/>
    <col min="10" max="10" width="6.5" style="3531" customWidth="1"/>
    <col min="11" max="11" width="13.125" style="3309" customWidth="1" outlineLevel="1"/>
    <col min="12" max="12" width="10.75" style="3309" hidden="1" customWidth="1" outlineLevel="1"/>
    <col min="13" max="13" width="10.5" style="3309" customWidth="1" outlineLevel="1"/>
    <col min="14" max="14" width="13.375" style="3309" customWidth="1"/>
    <col min="15" max="15" width="10.75" style="3309" hidden="1" customWidth="1"/>
    <col min="16" max="16" width="13.125" style="3309" hidden="1" customWidth="1"/>
    <col min="17" max="17" width="10" style="3309" customWidth="1" outlineLevel="1"/>
    <col min="18" max="18" width="10.75" style="3309" customWidth="1" outlineLevel="1"/>
    <col min="19" max="19" width="12.75" style="3309" customWidth="1"/>
    <col min="20" max="20" width="15.625" style="3309" customWidth="1"/>
    <col min="21" max="21" width="9.375" style="3309" bestFit="1" customWidth="1"/>
    <col min="22" max="22" width="9" style="3309"/>
    <col min="23" max="23" width="9.375" style="3309" bestFit="1" customWidth="1"/>
    <col min="24" max="24" width="9" style="3309"/>
    <col min="25" max="25" width="12.625" style="3309" customWidth="1"/>
    <col min="26" max="27" width="11.25" style="3309" bestFit="1" customWidth="1"/>
    <col min="28" max="29" width="9" style="3309"/>
    <col min="30" max="30" width="11.625" style="3309" customWidth="1"/>
    <col min="31" max="64" width="9" style="3309"/>
    <col min="65" max="65" width="18.125" style="3466" customWidth="1"/>
    <col min="66" max="16330" width="9" style="3309"/>
    <col min="16331" max="16384" width="9" style="3547"/>
  </cols>
  <sheetData>
    <row r="1" spans="1:65" ht="15" customHeight="1">
      <c r="A1" s="3393"/>
      <c r="B1" s="3394"/>
      <c r="C1" s="3394"/>
      <c r="D1" s="3395"/>
      <c r="E1" s="3395"/>
      <c r="F1" s="3394"/>
      <c r="G1" s="3394"/>
      <c r="H1" s="3394"/>
      <c r="I1" s="3394"/>
      <c r="J1" s="3396">
        <v>1330452.3999999999</v>
      </c>
      <c r="K1" s="3394"/>
      <c r="L1" s="3394"/>
      <c r="M1" s="3397"/>
      <c r="N1" s="3394"/>
      <c r="O1" s="3394"/>
      <c r="P1" s="3398"/>
      <c r="Q1" s="3394"/>
      <c r="R1" s="3394" t="s">
        <v>3966</v>
      </c>
      <c r="S1" s="3394"/>
      <c r="T1" s="3399"/>
    </row>
    <row r="2" spans="1:65" s="3467" customFormat="1" ht="15.75" customHeight="1">
      <c r="A2" s="3400"/>
      <c r="B2" s="3717" t="s">
        <v>3802</v>
      </c>
      <c r="C2" s="3718"/>
      <c r="D2" s="3718"/>
      <c r="E2" s="3719"/>
      <c r="F2" s="3720" t="s">
        <v>3967</v>
      </c>
      <c r="G2" s="3718"/>
      <c r="H2" s="3718"/>
      <c r="I2" s="3718"/>
      <c r="J2" s="3719"/>
      <c r="K2" s="3720" t="s">
        <v>3803</v>
      </c>
      <c r="L2" s="3718"/>
      <c r="M2" s="3718"/>
      <c r="N2" s="3718"/>
      <c r="O2" s="3711" t="s">
        <v>3968</v>
      </c>
      <c r="P2" s="3712"/>
      <c r="Q2" s="3711" t="s">
        <v>3804</v>
      </c>
      <c r="R2" s="3712"/>
      <c r="S2" s="3713"/>
      <c r="T2" s="3327" t="s">
        <v>3805</v>
      </c>
      <c r="U2" s="3548"/>
      <c r="V2" s="3548"/>
      <c r="W2" s="3548"/>
      <c r="X2" s="3548"/>
      <c r="Y2" s="3548"/>
    </row>
    <row r="3" spans="1:65" s="3468" customFormat="1" ht="23.25" customHeight="1">
      <c r="A3" s="3401"/>
      <c r="B3" s="3402" t="s">
        <v>3806</v>
      </c>
      <c r="C3" s="3403" t="s">
        <v>3807</v>
      </c>
      <c r="D3" s="3404" t="s">
        <v>3808</v>
      </c>
      <c r="E3" s="3404" t="s">
        <v>3969</v>
      </c>
      <c r="F3" s="3403" t="s">
        <v>3970</v>
      </c>
      <c r="G3" s="3403" t="s">
        <v>3971</v>
      </c>
      <c r="H3" s="3403" t="s">
        <v>3972</v>
      </c>
      <c r="I3" s="3403" t="s">
        <v>3973</v>
      </c>
      <c r="J3" s="3403" t="s">
        <v>3974</v>
      </c>
      <c r="K3" s="3403" t="s">
        <v>3809</v>
      </c>
      <c r="L3" s="3405" t="s">
        <v>3975</v>
      </c>
      <c r="M3" s="3310" t="s">
        <v>3810</v>
      </c>
      <c r="N3" s="3310" t="s">
        <v>2905</v>
      </c>
      <c r="O3" s="3405" t="s">
        <v>3976</v>
      </c>
      <c r="P3" s="3310" t="s">
        <v>3977</v>
      </c>
      <c r="Q3" s="3310" t="s">
        <v>3811</v>
      </c>
      <c r="R3" s="3310" t="s">
        <v>3812</v>
      </c>
      <c r="S3" s="3310" t="s">
        <v>3804</v>
      </c>
      <c r="T3" s="3310" t="s">
        <v>3813</v>
      </c>
      <c r="U3" s="3549"/>
      <c r="V3" s="3549"/>
      <c r="W3" s="3549"/>
      <c r="X3" s="3549"/>
      <c r="Y3" s="3549"/>
    </row>
    <row r="4" spans="1:65" s="3477" customFormat="1" ht="16.5" hidden="1" customHeight="1" outlineLevel="1">
      <c r="A4" s="3401" t="s">
        <v>3814</v>
      </c>
      <c r="B4" s="3406" t="s">
        <v>3978</v>
      </c>
      <c r="C4" s="3407" t="s">
        <v>913</v>
      </c>
      <c r="D4" s="3408" t="s">
        <v>3814</v>
      </c>
      <c r="E4" s="3409" t="s">
        <v>3979</v>
      </c>
      <c r="F4" s="3410">
        <v>105</v>
      </c>
      <c r="G4" s="3411">
        <v>2.95</v>
      </c>
      <c r="H4" s="3469">
        <v>8</v>
      </c>
      <c r="I4" s="3469">
        <v>13</v>
      </c>
      <c r="J4" s="3470">
        <v>588</v>
      </c>
      <c r="K4" s="3471">
        <v>61548.28</v>
      </c>
      <c r="L4" s="3472">
        <v>8120.62</v>
      </c>
      <c r="M4" s="3473">
        <v>2232.5</v>
      </c>
      <c r="N4" s="3311">
        <v>63780.78</v>
      </c>
      <c r="O4" s="3474">
        <v>6295.74</v>
      </c>
      <c r="P4" s="3473">
        <v>32575.31</v>
      </c>
      <c r="Q4" s="3475">
        <v>59725.1</v>
      </c>
      <c r="R4" s="3472"/>
      <c r="S4" s="3311">
        <v>59725.1</v>
      </c>
      <c r="T4" s="3476">
        <v>60261.45</v>
      </c>
      <c r="BM4" s="3478" t="s">
        <v>3815</v>
      </c>
    </row>
    <row r="5" spans="1:65" s="3477" customFormat="1" ht="16.5" hidden="1" customHeight="1" outlineLevel="1">
      <c r="A5" s="3412" t="s">
        <v>3737</v>
      </c>
      <c r="B5" s="3406" t="s">
        <v>3978</v>
      </c>
      <c r="C5" s="3407" t="s">
        <v>913</v>
      </c>
      <c r="D5" s="3408" t="s">
        <v>3737</v>
      </c>
      <c r="E5" s="3409" t="s">
        <v>3980</v>
      </c>
      <c r="F5" s="3413">
        <v>0</v>
      </c>
      <c r="G5" s="3414">
        <v>0</v>
      </c>
      <c r="H5" s="3469">
        <v>0</v>
      </c>
      <c r="I5" s="3469">
        <v>0</v>
      </c>
      <c r="J5" s="3479">
        <v>0</v>
      </c>
      <c r="K5" s="3471">
        <v>0</v>
      </c>
      <c r="L5" s="3472">
        <v>0</v>
      </c>
      <c r="M5" s="3473">
        <v>0</v>
      </c>
      <c r="N5" s="3311">
        <v>0</v>
      </c>
      <c r="O5" s="3473">
        <v>0</v>
      </c>
      <c r="P5" s="3473">
        <v>0</v>
      </c>
      <c r="Q5" s="3473">
        <v>0</v>
      </c>
      <c r="R5" s="3473"/>
      <c r="S5" s="3311">
        <v>0</v>
      </c>
      <c r="T5" s="3473">
        <v>0</v>
      </c>
      <c r="BM5" s="3478" t="s">
        <v>3816</v>
      </c>
    </row>
    <row r="6" spans="1:65" s="3477" customFormat="1" ht="16.5" hidden="1" customHeight="1" outlineLevel="1">
      <c r="A6" s="3412" t="s">
        <v>3817</v>
      </c>
      <c r="B6" s="3406" t="s">
        <v>3978</v>
      </c>
      <c r="C6" s="3407" t="s">
        <v>3739</v>
      </c>
      <c r="D6" s="3408" t="s">
        <v>3817</v>
      </c>
      <c r="E6" s="3409" t="s">
        <v>3981</v>
      </c>
      <c r="F6" s="3413">
        <v>1</v>
      </c>
      <c r="G6" s="3415">
        <v>3.5</v>
      </c>
      <c r="H6" s="3469"/>
      <c r="I6" s="3469"/>
      <c r="J6" s="3479">
        <v>165</v>
      </c>
      <c r="K6" s="3472"/>
      <c r="L6" s="3472"/>
      <c r="M6" s="3473">
        <v>5512.8</v>
      </c>
      <c r="N6" s="3311">
        <v>5512.8</v>
      </c>
      <c r="O6" s="3473">
        <v>5650</v>
      </c>
      <c r="P6" s="3473"/>
      <c r="Q6" s="3473"/>
      <c r="R6" s="3473"/>
      <c r="S6" s="3311">
        <v>0</v>
      </c>
      <c r="T6" s="3473"/>
      <c r="BM6" s="3478" t="s">
        <v>3818</v>
      </c>
    </row>
    <row r="7" spans="1:65" s="3477" customFormat="1" ht="16.5" hidden="1" customHeight="1" outlineLevel="1">
      <c r="A7" s="3412" t="s">
        <v>3819</v>
      </c>
      <c r="B7" s="3406" t="s">
        <v>3978</v>
      </c>
      <c r="C7" s="3407" t="s">
        <v>3739</v>
      </c>
      <c r="D7" s="3408" t="s">
        <v>3819</v>
      </c>
      <c r="E7" s="3409" t="s">
        <v>3982</v>
      </c>
      <c r="F7" s="3312">
        <v>1</v>
      </c>
      <c r="G7" s="3416">
        <v>3.5</v>
      </c>
      <c r="H7" s="3472"/>
      <c r="I7" s="3472"/>
      <c r="J7" s="3479">
        <v>274</v>
      </c>
      <c r="K7" s="3472"/>
      <c r="L7" s="3472"/>
      <c r="M7" s="3476">
        <v>8544.36</v>
      </c>
      <c r="N7" s="3311">
        <v>8544.36</v>
      </c>
      <c r="O7" s="3473">
        <v>10498.41</v>
      </c>
      <c r="P7" s="3473"/>
      <c r="Q7" s="3473"/>
      <c r="R7" s="3473">
        <v>8657.01</v>
      </c>
      <c r="S7" s="3311">
        <v>8657.01</v>
      </c>
      <c r="T7" s="3473"/>
      <c r="BM7" s="3478" t="s">
        <v>3820</v>
      </c>
    </row>
    <row r="8" spans="1:65" s="3477" customFormat="1" ht="16.5" hidden="1" customHeight="1" outlineLevel="1">
      <c r="A8" s="3417" t="s">
        <v>3821</v>
      </c>
      <c r="B8" s="3406" t="s">
        <v>3983</v>
      </c>
      <c r="C8" s="3407" t="s">
        <v>913</v>
      </c>
      <c r="D8" s="3408" t="s">
        <v>3821</v>
      </c>
      <c r="E8" s="3409" t="s">
        <v>3984</v>
      </c>
      <c r="F8" s="3418">
        <v>252</v>
      </c>
      <c r="G8" s="3411">
        <v>2.95</v>
      </c>
      <c r="H8" s="3469">
        <v>10</v>
      </c>
      <c r="I8" s="3469">
        <v>10</v>
      </c>
      <c r="J8" s="3480">
        <v>1471</v>
      </c>
      <c r="K8" s="3471">
        <v>140153.59</v>
      </c>
      <c r="L8" s="3472">
        <v>19898.900000000001</v>
      </c>
      <c r="M8" s="3474">
        <v>1603.34</v>
      </c>
      <c r="N8" s="3311">
        <v>141756.93</v>
      </c>
      <c r="O8" s="3473">
        <v>5677.95</v>
      </c>
      <c r="P8" s="3473">
        <v>43696</v>
      </c>
      <c r="Q8" s="3474">
        <v>137753.46</v>
      </c>
      <c r="R8" s="3473"/>
      <c r="S8" s="3311">
        <v>137753.46</v>
      </c>
      <c r="T8" s="3476">
        <v>138782.6</v>
      </c>
      <c r="BM8" s="3478" t="s">
        <v>3822</v>
      </c>
    </row>
    <row r="9" spans="1:65" s="3477" customFormat="1" ht="16.5" hidden="1" customHeight="1" outlineLevel="1">
      <c r="A9" s="3417" t="s">
        <v>3737</v>
      </c>
      <c r="B9" s="3406" t="s">
        <v>3983</v>
      </c>
      <c r="C9" s="3407" t="s">
        <v>913</v>
      </c>
      <c r="D9" s="3408" t="s">
        <v>3737</v>
      </c>
      <c r="E9" s="3409" t="s">
        <v>3985</v>
      </c>
      <c r="F9" s="3413">
        <v>32</v>
      </c>
      <c r="G9" s="3411">
        <v>3.15</v>
      </c>
      <c r="H9" s="3469">
        <v>8</v>
      </c>
      <c r="I9" s="3469">
        <v>20</v>
      </c>
      <c r="J9" s="3481">
        <v>160</v>
      </c>
      <c r="K9" s="3471">
        <v>20065.509999999998</v>
      </c>
      <c r="L9" s="3472">
        <v>1950.64</v>
      </c>
      <c r="M9" s="3474">
        <v>5430.14</v>
      </c>
      <c r="N9" s="3311">
        <v>25495.65</v>
      </c>
      <c r="O9" s="3473">
        <v>7057.8</v>
      </c>
      <c r="P9" s="3473">
        <v>18547.599999999999</v>
      </c>
      <c r="Q9" s="3474">
        <v>19055.509999999998</v>
      </c>
      <c r="R9" s="3473"/>
      <c r="S9" s="3311">
        <v>19055.509999999998</v>
      </c>
      <c r="T9" s="3473">
        <v>19055.509999999998</v>
      </c>
      <c r="BM9" s="3478" t="s">
        <v>3823</v>
      </c>
    </row>
    <row r="10" spans="1:65" s="3477" customFormat="1" ht="16.5" hidden="1" customHeight="1" outlineLevel="1">
      <c r="A10" s="3417" t="s">
        <v>3817</v>
      </c>
      <c r="B10" s="3406" t="s">
        <v>3983</v>
      </c>
      <c r="C10" s="3407" t="s">
        <v>3739</v>
      </c>
      <c r="D10" s="3408" t="s">
        <v>3817</v>
      </c>
      <c r="E10" s="3409" t="s">
        <v>3986</v>
      </c>
      <c r="F10" s="3413">
        <v>1</v>
      </c>
      <c r="G10" s="3419">
        <v>3.5</v>
      </c>
      <c r="H10" s="3469"/>
      <c r="I10" s="3469"/>
      <c r="J10" s="3481">
        <v>393</v>
      </c>
      <c r="K10" s="3472"/>
      <c r="L10" s="3472"/>
      <c r="M10" s="3473">
        <v>13294.53</v>
      </c>
      <c r="N10" s="3311">
        <v>13294.53</v>
      </c>
      <c r="O10" s="3476">
        <v>13294.53</v>
      </c>
      <c r="P10" s="3473"/>
      <c r="Q10" s="3473"/>
      <c r="R10" s="3473"/>
      <c r="S10" s="3311">
        <v>0</v>
      </c>
      <c r="T10" s="3473"/>
      <c r="BM10" s="3478"/>
    </row>
    <row r="11" spans="1:65" s="3477" customFormat="1" ht="16.5" hidden="1" customHeight="1" outlineLevel="1">
      <c r="A11" s="3417" t="s">
        <v>3819</v>
      </c>
      <c r="B11" s="3406" t="s">
        <v>3983</v>
      </c>
      <c r="C11" s="3407" t="s">
        <v>3739</v>
      </c>
      <c r="D11" s="3408" t="s">
        <v>3819</v>
      </c>
      <c r="E11" s="3409" t="s">
        <v>3987</v>
      </c>
      <c r="F11" s="3312">
        <v>1</v>
      </c>
      <c r="G11" s="3416">
        <v>3.5</v>
      </c>
      <c r="H11" s="3472"/>
      <c r="I11" s="3472"/>
      <c r="J11" s="3481">
        <v>780</v>
      </c>
      <c r="K11" s="3472"/>
      <c r="L11" s="3472"/>
      <c r="M11" s="3482">
        <v>21418.19</v>
      </c>
      <c r="N11" s="3311">
        <v>21418.19</v>
      </c>
      <c r="O11" s="3473">
        <v>23116.71</v>
      </c>
      <c r="P11" s="3473"/>
      <c r="Q11" s="3473"/>
      <c r="R11" s="3473">
        <v>19598.89</v>
      </c>
      <c r="S11" s="3311">
        <v>19598.89</v>
      </c>
      <c r="T11" s="3473"/>
      <c r="BM11" s="3478"/>
    </row>
    <row r="12" spans="1:65" s="3477" customFormat="1" ht="16.5" hidden="1" customHeight="1" outlineLevel="1">
      <c r="A12" s="3417" t="s">
        <v>3821</v>
      </c>
      <c r="B12" s="3406" t="s">
        <v>3988</v>
      </c>
      <c r="C12" s="3407" t="s">
        <v>913</v>
      </c>
      <c r="D12" s="3408" t="s">
        <v>3821</v>
      </c>
      <c r="E12" s="3409" t="s">
        <v>3989</v>
      </c>
      <c r="F12" s="3420">
        <v>517</v>
      </c>
      <c r="G12" s="3421">
        <v>2.95</v>
      </c>
      <c r="H12" s="3420">
        <v>21</v>
      </c>
      <c r="I12" s="3420">
        <v>21</v>
      </c>
      <c r="J12" s="3420">
        <v>3020</v>
      </c>
      <c r="K12" s="3422">
        <v>295461.95</v>
      </c>
      <c r="L12" s="3313">
        <v>39488.42</v>
      </c>
      <c r="M12" s="3313">
        <v>5385.58</v>
      </c>
      <c r="N12" s="3311">
        <v>300847.53000000003</v>
      </c>
      <c r="O12" s="3423">
        <v>12366.76</v>
      </c>
      <c r="P12" s="3312">
        <v>89912.98</v>
      </c>
      <c r="Q12" s="3313">
        <v>288741.5</v>
      </c>
      <c r="R12" s="3312"/>
      <c r="S12" s="3311">
        <v>288741.5</v>
      </c>
      <c r="T12" s="3314">
        <v>290799.42</v>
      </c>
      <c r="BM12" s="3478"/>
    </row>
    <row r="13" spans="1:65" s="3477" customFormat="1" ht="16.5" hidden="1" customHeight="1" outlineLevel="1">
      <c r="A13" s="3417" t="s">
        <v>3737</v>
      </c>
      <c r="B13" s="3406" t="s">
        <v>3988</v>
      </c>
      <c r="C13" s="3407" t="s">
        <v>913</v>
      </c>
      <c r="D13" s="3408" t="s">
        <v>3737</v>
      </c>
      <c r="E13" s="3409" t="s">
        <v>3990</v>
      </c>
      <c r="F13" s="3420">
        <v>232</v>
      </c>
      <c r="G13" s="3424">
        <v>3.15</v>
      </c>
      <c r="H13" s="3420">
        <v>18</v>
      </c>
      <c r="I13" s="3420">
        <v>58</v>
      </c>
      <c r="J13" s="3425">
        <v>232</v>
      </c>
      <c r="K13" s="3422">
        <v>29553.63</v>
      </c>
      <c r="L13" s="3313">
        <v>4039.09</v>
      </c>
      <c r="M13" s="3426">
        <v>8314.6</v>
      </c>
      <c r="N13" s="3311">
        <v>37868.230000000003</v>
      </c>
      <c r="O13" s="3423">
        <v>10759.83</v>
      </c>
      <c r="P13" s="3312">
        <v>24961.580999999998</v>
      </c>
      <c r="Q13" s="3313">
        <v>29553.63</v>
      </c>
      <c r="R13" s="3312"/>
      <c r="S13" s="3311">
        <v>29553.63</v>
      </c>
      <c r="T13" s="3312">
        <v>29553.63</v>
      </c>
      <c r="BM13" s="3478"/>
    </row>
    <row r="14" spans="1:65" s="3477" customFormat="1" ht="16.5" hidden="1" customHeight="1" outlineLevel="1">
      <c r="A14" s="3417" t="s">
        <v>3817</v>
      </c>
      <c r="B14" s="3406" t="s">
        <v>3988</v>
      </c>
      <c r="C14" s="3407" t="s">
        <v>3739</v>
      </c>
      <c r="D14" s="3408" t="s">
        <v>3817</v>
      </c>
      <c r="E14" s="3409" t="s">
        <v>3991</v>
      </c>
      <c r="F14" s="3420">
        <v>1</v>
      </c>
      <c r="G14" s="3424">
        <v>3.5</v>
      </c>
      <c r="H14" s="3413"/>
      <c r="I14" s="3413"/>
      <c r="J14" s="3425">
        <v>783</v>
      </c>
      <c r="K14" s="3314"/>
      <c r="L14" s="3312">
        <v>0</v>
      </c>
      <c r="M14" s="3313">
        <v>26421</v>
      </c>
      <c r="N14" s="3311">
        <v>26421</v>
      </c>
      <c r="O14" s="3312"/>
      <c r="P14" s="3312"/>
      <c r="Q14" s="3312"/>
      <c r="R14" s="3312"/>
      <c r="S14" s="3311">
        <v>0</v>
      </c>
      <c r="T14" s="3312"/>
      <c r="BM14" s="3478"/>
    </row>
    <row r="15" spans="1:65" s="3477" customFormat="1" ht="16.5" hidden="1" customHeight="1" outlineLevel="1">
      <c r="A15" s="3417" t="s">
        <v>3819</v>
      </c>
      <c r="B15" s="3406" t="s">
        <v>3988</v>
      </c>
      <c r="C15" s="3407" t="s">
        <v>3739</v>
      </c>
      <c r="D15" s="3408" t="s">
        <v>3819</v>
      </c>
      <c r="E15" s="3409" t="s">
        <v>3992</v>
      </c>
      <c r="F15" s="3420">
        <v>1</v>
      </c>
      <c r="G15" s="3427">
        <v>3.5</v>
      </c>
      <c r="H15" s="3428"/>
      <c r="I15" s="3428"/>
      <c r="J15" s="3429">
        <v>2022</v>
      </c>
      <c r="K15" s="3430"/>
      <c r="L15" s="3431">
        <v>0</v>
      </c>
      <c r="M15" s="3432">
        <v>56008.05</v>
      </c>
      <c r="N15" s="3311">
        <v>56008.05</v>
      </c>
      <c r="O15" s="3312"/>
      <c r="P15" s="3312"/>
      <c r="Q15" s="3312"/>
      <c r="R15" s="3433">
        <v>56008.05</v>
      </c>
      <c r="S15" s="3311">
        <v>56008.05</v>
      </c>
      <c r="T15" s="3312"/>
      <c r="BM15" s="3478"/>
    </row>
    <row r="16" spans="1:65" s="3477" customFormat="1" ht="16.5" hidden="1" customHeight="1" outlineLevel="1">
      <c r="A16" s="3417" t="s">
        <v>3824</v>
      </c>
      <c r="B16" s="3406" t="s">
        <v>3993</v>
      </c>
      <c r="C16" s="3407" t="s">
        <v>913</v>
      </c>
      <c r="D16" s="3408" t="s">
        <v>3824</v>
      </c>
      <c r="E16" s="3409" t="s">
        <v>3994</v>
      </c>
      <c r="F16" s="3413">
        <v>130</v>
      </c>
      <c r="G16" s="3434">
        <v>3</v>
      </c>
      <c r="H16" s="3428">
        <v>5</v>
      </c>
      <c r="I16" s="3428">
        <v>5</v>
      </c>
      <c r="J16" s="3435">
        <v>508</v>
      </c>
      <c r="K16" s="3431">
        <v>91719.77</v>
      </c>
      <c r="L16" s="3431">
        <v>7316.84</v>
      </c>
      <c r="M16" s="3315">
        <v>617.63800000000003</v>
      </c>
      <c r="N16" s="3311">
        <v>92337.407999999996</v>
      </c>
      <c r="O16" s="3316">
        <v>3111.06</v>
      </c>
      <c r="P16" s="3316">
        <v>24492.1</v>
      </c>
      <c r="Q16" s="3316">
        <v>65849.23</v>
      </c>
      <c r="R16" s="3316"/>
      <c r="S16" s="3311">
        <v>65849.23</v>
      </c>
      <c r="T16" s="3436">
        <v>66569.72</v>
      </c>
      <c r="BM16" s="3478"/>
    </row>
    <row r="17" spans="1:65" s="3477" customFormat="1" ht="16.5" hidden="1" customHeight="1" outlineLevel="1">
      <c r="A17" s="3417" t="s">
        <v>3737</v>
      </c>
      <c r="B17" s="3406" t="s">
        <v>3993</v>
      </c>
      <c r="C17" s="3407" t="s">
        <v>913</v>
      </c>
      <c r="D17" s="3408" t="s">
        <v>3737</v>
      </c>
      <c r="E17" s="3409" t="s">
        <v>3995</v>
      </c>
      <c r="F17" s="3312">
        <v>204</v>
      </c>
      <c r="G17" s="3437">
        <v>3.15</v>
      </c>
      <c r="H17" s="3431">
        <v>17</v>
      </c>
      <c r="I17" s="3431">
        <v>51</v>
      </c>
      <c r="J17" s="3435">
        <v>204</v>
      </c>
      <c r="K17" s="3431">
        <v>27298.400000000001</v>
      </c>
      <c r="L17" s="3431">
        <v>3543.08</v>
      </c>
      <c r="M17" s="3315">
        <v>6538.05</v>
      </c>
      <c r="N17" s="3311">
        <v>33836.449999999997</v>
      </c>
      <c r="O17" s="3316">
        <v>9660.92</v>
      </c>
      <c r="P17" s="3316">
        <v>25257.31</v>
      </c>
      <c r="Q17" s="3316">
        <v>27298.400000000001</v>
      </c>
      <c r="R17" s="3316"/>
      <c r="S17" s="3311">
        <v>27298.400000000001</v>
      </c>
      <c r="T17" s="3316">
        <v>27298.400000000001</v>
      </c>
      <c r="BM17" s="3478"/>
    </row>
    <row r="18" spans="1:65" s="3477" customFormat="1" ht="16.5" hidden="1" customHeight="1" outlineLevel="1">
      <c r="A18" s="3417" t="s">
        <v>3817</v>
      </c>
      <c r="B18" s="3406" t="s">
        <v>3993</v>
      </c>
      <c r="C18" s="3407" t="s">
        <v>3739</v>
      </c>
      <c r="D18" s="3408" t="s">
        <v>3817</v>
      </c>
      <c r="E18" s="3409" t="s">
        <v>3996</v>
      </c>
      <c r="F18" s="3413">
        <v>1</v>
      </c>
      <c r="G18" s="3438">
        <v>3.6</v>
      </c>
      <c r="H18" s="3428"/>
      <c r="I18" s="3428"/>
      <c r="J18" s="3435">
        <v>351</v>
      </c>
      <c r="K18" s="3430"/>
      <c r="L18" s="3431">
        <v>0</v>
      </c>
      <c r="M18" s="3431">
        <v>13792.58</v>
      </c>
      <c r="N18" s="3311">
        <v>13792.58</v>
      </c>
      <c r="O18" s="3316"/>
      <c r="P18" s="3316"/>
      <c r="Q18" s="3316"/>
      <c r="R18" s="3316"/>
      <c r="S18" s="3311">
        <v>0</v>
      </c>
      <c r="T18" s="3316"/>
      <c r="BM18" s="3478"/>
    </row>
    <row r="19" spans="1:65" s="3477" customFormat="1" ht="16.5" hidden="1" customHeight="1" outlineLevel="1">
      <c r="A19" s="3417" t="s">
        <v>3819</v>
      </c>
      <c r="B19" s="3406" t="s">
        <v>3993</v>
      </c>
      <c r="C19" s="3407" t="s">
        <v>3739</v>
      </c>
      <c r="D19" s="3408" t="s">
        <v>3819</v>
      </c>
      <c r="E19" s="3409" t="s">
        <v>3997</v>
      </c>
      <c r="F19" s="3413">
        <v>1</v>
      </c>
      <c r="G19" s="3437">
        <v>3.6</v>
      </c>
      <c r="H19" s="3428"/>
      <c r="I19" s="3428"/>
      <c r="J19" s="3435">
        <v>384</v>
      </c>
      <c r="K19" s="3430"/>
      <c r="L19" s="3431">
        <v>0</v>
      </c>
      <c r="M19" s="3315">
        <v>8904.1859999999997</v>
      </c>
      <c r="N19" s="3311">
        <v>8904.1859999999997</v>
      </c>
      <c r="O19" s="3316"/>
      <c r="P19" s="3316"/>
      <c r="Q19" s="3316"/>
      <c r="R19" s="3439">
        <v>8904.1859999999997</v>
      </c>
      <c r="S19" s="3311">
        <v>8904.1859999999997</v>
      </c>
      <c r="T19" s="3316"/>
      <c r="BM19" s="3478"/>
    </row>
    <row r="20" spans="1:65" s="3477" customFormat="1" ht="16.5" hidden="1" customHeight="1" outlineLevel="1">
      <c r="A20" s="3417" t="s">
        <v>3825</v>
      </c>
      <c r="B20" s="3483" t="s">
        <v>3978</v>
      </c>
      <c r="C20" s="3483" t="s">
        <v>3000</v>
      </c>
      <c r="D20" s="3484" t="s">
        <v>3825</v>
      </c>
      <c r="E20" s="3409" t="s">
        <v>3998</v>
      </c>
      <c r="F20" s="3485">
        <v>1</v>
      </c>
      <c r="G20" s="3486">
        <v>6.1</v>
      </c>
      <c r="H20" s="3487">
        <v>1</v>
      </c>
      <c r="I20" s="3487">
        <v>1</v>
      </c>
      <c r="J20" s="3488">
        <v>10</v>
      </c>
      <c r="K20" s="3489">
        <v>408.09</v>
      </c>
      <c r="L20" s="3487">
        <v>0</v>
      </c>
      <c r="M20" s="3487">
        <v>0</v>
      </c>
      <c r="N20" s="3311">
        <v>408.09</v>
      </c>
      <c r="O20" s="3473">
        <v>487.77</v>
      </c>
      <c r="P20" s="3473">
        <v>1130</v>
      </c>
      <c r="Q20" s="3473">
        <v>408.09</v>
      </c>
      <c r="R20" s="3473">
        <v>0</v>
      </c>
      <c r="S20" s="3317">
        <v>408.09</v>
      </c>
      <c r="T20" s="3473">
        <v>408.09</v>
      </c>
      <c r="BM20" s="3478"/>
    </row>
    <row r="21" spans="1:65" s="3477" customFormat="1" ht="16.5" hidden="1" customHeight="1" outlineLevel="1">
      <c r="A21" s="3417" t="s">
        <v>3825</v>
      </c>
      <c r="B21" s="3483" t="s">
        <v>3983</v>
      </c>
      <c r="C21" s="3483" t="s">
        <v>3000</v>
      </c>
      <c r="D21" s="3484" t="s">
        <v>3825</v>
      </c>
      <c r="E21" s="3409" t="s">
        <v>3999</v>
      </c>
      <c r="F21" s="3485">
        <v>1</v>
      </c>
      <c r="G21" s="3486">
        <v>6.1</v>
      </c>
      <c r="H21" s="3487">
        <v>2</v>
      </c>
      <c r="I21" s="3487">
        <v>2</v>
      </c>
      <c r="J21" s="3490">
        <v>27</v>
      </c>
      <c r="K21" s="3489">
        <v>1069.97</v>
      </c>
      <c r="L21" s="3487"/>
      <c r="M21" s="3487">
        <v>0</v>
      </c>
      <c r="N21" s="3311">
        <v>1069.97</v>
      </c>
      <c r="O21" s="3473">
        <v>1197.67</v>
      </c>
      <c r="P21" s="3473">
        <v>1345</v>
      </c>
      <c r="Q21" s="3473">
        <v>1069.97</v>
      </c>
      <c r="R21" s="3473"/>
      <c r="S21" s="3317">
        <v>1069.97</v>
      </c>
      <c r="T21" s="3473">
        <v>1069.97</v>
      </c>
      <c r="BM21" s="3478"/>
    </row>
    <row r="22" spans="1:65" s="3477" customFormat="1" ht="16.5" hidden="1" customHeight="1" outlineLevel="1">
      <c r="A22" s="3417" t="s">
        <v>3824</v>
      </c>
      <c r="B22" s="3406" t="s">
        <v>3988</v>
      </c>
      <c r="C22" s="3407" t="s">
        <v>913</v>
      </c>
      <c r="D22" s="3408" t="s">
        <v>3824</v>
      </c>
      <c r="E22" s="3409" t="s">
        <v>4000</v>
      </c>
      <c r="F22" s="3413">
        <v>104</v>
      </c>
      <c r="G22" s="3437">
        <v>3</v>
      </c>
      <c r="H22" s="3428">
        <v>4</v>
      </c>
      <c r="I22" s="3428">
        <v>4</v>
      </c>
      <c r="J22" s="3435">
        <v>412</v>
      </c>
      <c r="K22" s="3430">
        <v>72271.33</v>
      </c>
      <c r="L22" s="3431">
        <v>5881.7</v>
      </c>
      <c r="M22" s="3431">
        <v>2094.77</v>
      </c>
      <c r="N22" s="3311">
        <v>74366.100000000006</v>
      </c>
      <c r="O22" s="3440">
        <v>2284.12</v>
      </c>
      <c r="P22" s="3316">
        <v>17126.469000000001</v>
      </c>
      <c r="Q22" s="3440">
        <v>53245.17</v>
      </c>
      <c r="R22" s="3440"/>
      <c r="S22" s="3317">
        <v>53245.17</v>
      </c>
      <c r="T22" s="3440">
        <v>53245.17</v>
      </c>
      <c r="BM22" s="3478"/>
    </row>
    <row r="23" spans="1:65" s="3477" customFormat="1" ht="16.5" hidden="1" customHeight="1" outlineLevel="1">
      <c r="A23" s="3417" t="s">
        <v>3736</v>
      </c>
      <c r="B23" s="3406" t="s">
        <v>3988</v>
      </c>
      <c r="C23" s="3407" t="s">
        <v>913</v>
      </c>
      <c r="D23" s="3408" t="s">
        <v>3736</v>
      </c>
      <c r="E23" s="3409" t="s">
        <v>4001</v>
      </c>
      <c r="F23" s="3441">
        <v>0</v>
      </c>
      <c r="G23" s="3442">
        <v>0</v>
      </c>
      <c r="H23" s="3443">
        <v>0</v>
      </c>
      <c r="I23" s="3443">
        <v>0</v>
      </c>
      <c r="J23" s="3444">
        <v>0</v>
      </c>
      <c r="K23" s="3443">
        <v>0</v>
      </c>
      <c r="L23" s="3443">
        <v>0</v>
      </c>
      <c r="M23" s="3445">
        <v>0</v>
      </c>
      <c r="N23" s="3311">
        <v>0</v>
      </c>
      <c r="O23" s="3440">
        <v>0</v>
      </c>
      <c r="P23" s="3316">
        <v>0</v>
      </c>
      <c r="Q23" s="3440">
        <v>0</v>
      </c>
      <c r="R23" s="3440"/>
      <c r="S23" s="3317">
        <v>0</v>
      </c>
      <c r="T23" s="3440">
        <v>0</v>
      </c>
      <c r="BM23" s="3478"/>
    </row>
    <row r="24" spans="1:65" s="3477" customFormat="1" ht="16.5" hidden="1" customHeight="1" outlineLevel="1">
      <c r="A24" s="3417" t="s">
        <v>3825</v>
      </c>
      <c r="B24" s="3483" t="s">
        <v>3988</v>
      </c>
      <c r="C24" s="3483" t="s">
        <v>3000</v>
      </c>
      <c r="D24" s="3484" t="s">
        <v>3825</v>
      </c>
      <c r="E24" s="3409"/>
      <c r="F24" s="3441">
        <v>1</v>
      </c>
      <c r="G24" s="3442">
        <v>6.1</v>
      </c>
      <c r="H24" s="3443">
        <v>1</v>
      </c>
      <c r="I24" s="3443">
        <v>1</v>
      </c>
      <c r="J24" s="3446">
        <v>36</v>
      </c>
      <c r="K24" s="3443">
        <v>1351.78</v>
      </c>
      <c r="L24" s="3443">
        <v>0</v>
      </c>
      <c r="M24" s="3443">
        <v>0</v>
      </c>
      <c r="N24" s="3311">
        <v>1351.78</v>
      </c>
      <c r="O24" s="3440">
        <v>1652.85</v>
      </c>
      <c r="P24" s="3316">
        <v>1851.42</v>
      </c>
      <c r="Q24" s="3440">
        <v>1351.78</v>
      </c>
      <c r="R24" s="3440"/>
      <c r="S24" s="3317">
        <v>1351.78</v>
      </c>
      <c r="T24" s="3440">
        <v>1351.78</v>
      </c>
      <c r="BM24" s="3478"/>
    </row>
    <row r="25" spans="1:65" s="3477" customFormat="1" ht="16.5" hidden="1" customHeight="1" outlineLevel="1">
      <c r="A25" s="3417" t="s">
        <v>3736</v>
      </c>
      <c r="B25" s="3406" t="s">
        <v>3993</v>
      </c>
      <c r="C25" s="3407" t="s">
        <v>913</v>
      </c>
      <c r="D25" s="3408" t="s">
        <v>3736</v>
      </c>
      <c r="E25" s="3409"/>
      <c r="F25" s="3441">
        <v>6</v>
      </c>
      <c r="G25" s="3442">
        <v>2.95</v>
      </c>
      <c r="H25" s="3443">
        <v>1</v>
      </c>
      <c r="I25" s="3443">
        <v>2</v>
      </c>
      <c r="J25" s="3444">
        <v>21</v>
      </c>
      <c r="K25" s="3443">
        <v>2714.28</v>
      </c>
      <c r="L25" s="3443">
        <v>335.6</v>
      </c>
      <c r="M25" s="3443">
        <v>308.54599999999999</v>
      </c>
      <c r="N25" s="3311">
        <v>3022.826</v>
      </c>
      <c r="O25" s="3440">
        <v>535.19000000000005</v>
      </c>
      <c r="P25" s="3440">
        <v>1821</v>
      </c>
      <c r="Q25" s="3440">
        <v>2714.28</v>
      </c>
      <c r="R25" s="3440"/>
      <c r="S25" s="3317">
        <v>2714.28</v>
      </c>
      <c r="T25" s="3440">
        <v>2714.28</v>
      </c>
      <c r="BM25" s="3478"/>
    </row>
    <row r="26" spans="1:65" s="3491" customFormat="1" ht="16.5" hidden="1" customHeight="1" outlineLevel="1">
      <c r="A26" s="3447"/>
      <c r="B26" s="3448"/>
      <c r="C26" s="3449"/>
      <c r="D26" s="3450"/>
      <c r="E26" s="3451"/>
      <c r="F26" s="3452"/>
      <c r="G26" s="3453"/>
      <c r="H26" s="3454"/>
      <c r="I26" s="3454"/>
      <c r="J26" s="3454"/>
      <c r="K26" s="3454"/>
      <c r="L26" s="3454"/>
      <c r="M26" s="3454"/>
      <c r="N26" s="3455"/>
      <c r="O26" s="3456"/>
      <c r="P26" s="3456"/>
      <c r="Q26" s="3454"/>
      <c r="R26" s="3454"/>
      <c r="S26" s="3455"/>
      <c r="T26" s="3456"/>
      <c r="BM26" s="3492"/>
    </row>
    <row r="27" spans="1:65" s="3477" customFormat="1" ht="16.5" hidden="1" customHeight="1" outlineLevel="1">
      <c r="A27" s="3417"/>
      <c r="B27" s="3457"/>
      <c r="C27" s="3458"/>
      <c r="D27" s="3459"/>
      <c r="E27" s="3409"/>
      <c r="F27" s="3413"/>
      <c r="G27" s="3460"/>
      <c r="H27" s="3461"/>
      <c r="I27" s="3461"/>
      <c r="J27" s="3461"/>
      <c r="K27" s="3461"/>
      <c r="L27" s="3312"/>
      <c r="M27" s="3312"/>
      <c r="N27" s="3311">
        <v>0</v>
      </c>
      <c r="O27" s="3312"/>
      <c r="P27" s="3312"/>
      <c r="Q27" s="3461"/>
      <c r="R27" s="3461"/>
      <c r="S27" s="3311">
        <v>0</v>
      </c>
      <c r="T27" s="3312"/>
      <c r="BM27" s="3478" t="s">
        <v>4030</v>
      </c>
    </row>
    <row r="28" spans="1:65" s="3477" customFormat="1" ht="16.5" hidden="1" customHeight="1" outlineLevel="1">
      <c r="A28" s="3462"/>
      <c r="B28" s="3457"/>
      <c r="C28" s="3407"/>
      <c r="D28" s="3408"/>
      <c r="E28" s="3409"/>
      <c r="F28" s="3413"/>
      <c r="G28" s="3460"/>
      <c r="H28" s="3461"/>
      <c r="I28" s="3461"/>
      <c r="J28" s="3461"/>
      <c r="K28" s="3461"/>
      <c r="L28" s="3461"/>
      <c r="M28" s="3312"/>
      <c r="N28" s="3311">
        <v>0</v>
      </c>
      <c r="O28" s="3312"/>
      <c r="P28" s="3312"/>
      <c r="Q28" s="3461"/>
      <c r="R28" s="3461"/>
      <c r="S28" s="3311">
        <v>0</v>
      </c>
      <c r="T28" s="3312"/>
      <c r="BM28" s="3478"/>
    </row>
    <row r="29" spans="1:65" s="3477" customFormat="1" ht="16.350000000000001" hidden="1" customHeight="1" outlineLevel="1">
      <c r="A29" s="3462"/>
      <c r="B29" s="3457"/>
      <c r="C29" s="3407"/>
      <c r="D29" s="3408"/>
      <c r="E29" s="3409"/>
      <c r="F29" s="3413"/>
      <c r="G29" s="3463"/>
      <c r="H29" s="3461"/>
      <c r="I29" s="3461"/>
      <c r="J29" s="3461"/>
      <c r="K29" s="3461"/>
      <c r="L29" s="3461"/>
      <c r="M29" s="3312"/>
      <c r="N29" s="3311">
        <v>0</v>
      </c>
      <c r="O29" s="3312"/>
      <c r="P29" s="3312"/>
      <c r="Q29" s="3461"/>
      <c r="R29" s="3461"/>
      <c r="S29" s="3311">
        <v>0</v>
      </c>
      <c r="T29" s="3312"/>
      <c r="BM29" s="3478"/>
    </row>
    <row r="30" spans="1:65" s="3477" customFormat="1" ht="16.5" hidden="1" customHeight="1" outlineLevel="1">
      <c r="A30" s="3462"/>
      <c r="B30" s="3457"/>
      <c r="C30" s="3407"/>
      <c r="D30" s="3408"/>
      <c r="E30" s="3409"/>
      <c r="F30" s="3413"/>
      <c r="G30" s="3463"/>
      <c r="H30" s="3461"/>
      <c r="I30" s="3461"/>
      <c r="J30" s="3461"/>
      <c r="K30" s="3461"/>
      <c r="L30" s="3461"/>
      <c r="M30" s="3312"/>
      <c r="N30" s="3311">
        <v>0</v>
      </c>
      <c r="O30" s="3312"/>
      <c r="P30" s="3312"/>
      <c r="Q30" s="3461"/>
      <c r="R30" s="3461"/>
      <c r="S30" s="3311">
        <v>0</v>
      </c>
      <c r="T30" s="3312"/>
      <c r="BM30" s="3478"/>
    </row>
    <row r="31" spans="1:65" s="3477" customFormat="1" ht="16.5" hidden="1" customHeight="1" outlineLevel="1">
      <c r="A31" s="3462" t="s">
        <v>4002</v>
      </c>
      <c r="B31" s="3406" t="s">
        <v>4003</v>
      </c>
      <c r="C31" s="3458" t="s">
        <v>3826</v>
      </c>
      <c r="D31" s="3459" t="s">
        <v>4002</v>
      </c>
      <c r="E31" s="3409" t="s">
        <v>4004</v>
      </c>
      <c r="F31" s="3413"/>
      <c r="G31" s="3463"/>
      <c r="H31" s="3461"/>
      <c r="I31" s="3461"/>
      <c r="J31" s="3461"/>
      <c r="K31" s="3461">
        <v>34242</v>
      </c>
      <c r="L31" s="3461"/>
      <c r="M31" s="3312">
        <v>1712.1</v>
      </c>
      <c r="N31" s="3311">
        <v>35954.1</v>
      </c>
      <c r="O31" s="3312">
        <v>11414</v>
      </c>
      <c r="P31" s="3312">
        <v>22828</v>
      </c>
      <c r="Q31" s="3461"/>
      <c r="R31" s="3461"/>
      <c r="S31" s="3311">
        <v>0</v>
      </c>
      <c r="T31" s="3312">
        <v>34242</v>
      </c>
      <c r="BM31" s="3478"/>
    </row>
    <row r="32" spans="1:65" s="3477" customFormat="1" ht="16.5" hidden="1" customHeight="1" outlineLevel="1">
      <c r="A32" s="3464" t="s">
        <v>4005</v>
      </c>
      <c r="B32" s="3406" t="s">
        <v>4003</v>
      </c>
      <c r="C32" s="3407" t="s">
        <v>3826</v>
      </c>
      <c r="D32" s="3408" t="s">
        <v>4005</v>
      </c>
      <c r="E32" s="3409" t="s">
        <v>4006</v>
      </c>
      <c r="F32" s="3413"/>
      <c r="G32" s="3463"/>
      <c r="H32" s="3461"/>
      <c r="I32" s="3461"/>
      <c r="J32" s="3461"/>
      <c r="K32" s="3461">
        <v>6028.2</v>
      </c>
      <c r="L32" s="3461"/>
      <c r="M32" s="3312">
        <v>602.82000000000005</v>
      </c>
      <c r="N32" s="3311">
        <v>6631.02</v>
      </c>
      <c r="O32" s="3312">
        <v>4018.8</v>
      </c>
      <c r="P32" s="3312">
        <v>10047</v>
      </c>
      <c r="Q32" s="3461"/>
      <c r="R32" s="3461"/>
      <c r="S32" s="3311">
        <v>0</v>
      </c>
      <c r="T32" s="3312">
        <v>6028.2</v>
      </c>
      <c r="BM32" s="3478"/>
    </row>
    <row r="33" spans="1:65" s="3477" customFormat="1" ht="16.5" hidden="1" customHeight="1" outlineLevel="1">
      <c r="A33" s="3464" t="s">
        <v>4007</v>
      </c>
      <c r="B33" s="3406" t="s">
        <v>4003</v>
      </c>
      <c r="C33" s="3407" t="s">
        <v>3826</v>
      </c>
      <c r="D33" s="3408" t="s">
        <v>4007</v>
      </c>
      <c r="E33" s="3409" t="s">
        <v>4008</v>
      </c>
      <c r="F33" s="3413"/>
      <c r="G33" s="3463"/>
      <c r="H33" s="3461"/>
      <c r="I33" s="3461"/>
      <c r="J33" s="3461"/>
      <c r="K33" s="3461">
        <v>32053.5</v>
      </c>
      <c r="L33" s="3461"/>
      <c r="M33" s="3312">
        <v>480.80250000000001</v>
      </c>
      <c r="N33" s="3311">
        <v>32534.302500000002</v>
      </c>
      <c r="O33" s="3312">
        <v>3205.35</v>
      </c>
      <c r="P33" s="3312">
        <v>21369</v>
      </c>
      <c r="Q33" s="3461"/>
      <c r="R33" s="3461"/>
      <c r="S33" s="3311">
        <v>0</v>
      </c>
      <c r="T33" s="3312">
        <v>32053.5</v>
      </c>
      <c r="BM33" s="3478"/>
    </row>
    <row r="34" spans="1:65" s="3477" customFormat="1" ht="16.5" hidden="1" customHeight="1" outlineLevel="1">
      <c r="A34" s="3464" t="s">
        <v>4009</v>
      </c>
      <c r="B34" s="3406" t="s">
        <v>4003</v>
      </c>
      <c r="C34" s="3407" t="s">
        <v>3826</v>
      </c>
      <c r="D34" s="3408" t="s">
        <v>4009</v>
      </c>
      <c r="E34" s="3409" t="s">
        <v>4010</v>
      </c>
      <c r="F34" s="3413"/>
      <c r="G34" s="3463"/>
      <c r="H34" s="3461"/>
      <c r="I34" s="3461"/>
      <c r="J34" s="3461"/>
      <c r="K34" s="3461">
        <v>33147</v>
      </c>
      <c r="L34" s="3461"/>
      <c r="M34" s="3312">
        <v>1657.35</v>
      </c>
      <c r="N34" s="3311">
        <v>34804.35</v>
      </c>
      <c r="O34" s="3312">
        <v>11049</v>
      </c>
      <c r="P34" s="3312">
        <v>22098</v>
      </c>
      <c r="Q34" s="3461"/>
      <c r="R34" s="3461"/>
      <c r="S34" s="3311">
        <v>0</v>
      </c>
      <c r="T34" s="3312">
        <v>33147</v>
      </c>
      <c r="BM34" s="3478"/>
    </row>
    <row r="35" spans="1:65" s="3477" customFormat="1" ht="16.5" hidden="1" customHeight="1" outlineLevel="1">
      <c r="A35" s="3464" t="s">
        <v>4011</v>
      </c>
      <c r="B35" s="3406" t="s">
        <v>4003</v>
      </c>
      <c r="C35" s="3407" t="s">
        <v>3826</v>
      </c>
      <c r="D35" s="3408" t="s">
        <v>4011</v>
      </c>
      <c r="E35" s="3409" t="s">
        <v>4012</v>
      </c>
      <c r="F35" s="3413"/>
      <c r="G35" s="3463"/>
      <c r="H35" s="3461"/>
      <c r="I35" s="3461"/>
      <c r="J35" s="3461"/>
      <c r="K35" s="3461">
        <v>35556</v>
      </c>
      <c r="L35" s="3461"/>
      <c r="M35" s="3312">
        <v>355.56</v>
      </c>
      <c r="N35" s="3311">
        <v>35911.56</v>
      </c>
      <c r="O35" s="3312">
        <v>2370.4</v>
      </c>
      <c r="P35" s="3312">
        <v>23704</v>
      </c>
      <c r="Q35" s="3461"/>
      <c r="R35" s="3461"/>
      <c r="S35" s="3311">
        <v>0</v>
      </c>
      <c r="T35" s="3312">
        <v>35556</v>
      </c>
      <c r="BM35" s="3478"/>
    </row>
    <row r="36" spans="1:65" s="3477" customFormat="1" ht="16.5" hidden="1" customHeight="1" outlineLevel="1">
      <c r="A36" s="3412" t="s">
        <v>4013</v>
      </c>
      <c r="B36" s="3406" t="s">
        <v>4003</v>
      </c>
      <c r="C36" s="3407" t="s">
        <v>3826</v>
      </c>
      <c r="D36" s="3408" t="s">
        <v>4013</v>
      </c>
      <c r="E36" s="3409" t="s">
        <v>4014</v>
      </c>
      <c r="F36" s="3413"/>
      <c r="G36" s="3463"/>
      <c r="H36" s="3461"/>
      <c r="I36" s="3461"/>
      <c r="J36" s="3461"/>
      <c r="K36" s="3461">
        <v>4755.5</v>
      </c>
      <c r="L36" s="3461"/>
      <c r="M36" s="3312">
        <v>237.77549999999999</v>
      </c>
      <c r="N36" s="3311">
        <v>4993.2754999999997</v>
      </c>
      <c r="O36" s="3312">
        <v>1585.17</v>
      </c>
      <c r="P36" s="3312">
        <v>9511</v>
      </c>
      <c r="Q36" s="3461"/>
      <c r="R36" s="3461"/>
      <c r="S36" s="3311">
        <v>0</v>
      </c>
      <c r="T36" s="3312">
        <v>4755.5</v>
      </c>
      <c r="BM36" s="3478"/>
    </row>
    <row r="37" spans="1:65" s="3477" customFormat="1" ht="16.350000000000001" hidden="1" customHeight="1" outlineLevel="1">
      <c r="A37" s="3417" t="s">
        <v>3817</v>
      </c>
      <c r="B37" s="3406" t="s">
        <v>4003</v>
      </c>
      <c r="C37" s="3407" t="s">
        <v>3739</v>
      </c>
      <c r="D37" s="3408" t="s">
        <v>3817</v>
      </c>
      <c r="E37" s="3465" t="s">
        <v>4015</v>
      </c>
      <c r="F37" s="3413"/>
      <c r="G37" s="3463"/>
      <c r="H37" s="3461"/>
      <c r="I37" s="3461"/>
      <c r="J37" s="3461">
        <v>833</v>
      </c>
      <c r="K37" s="3461"/>
      <c r="L37" s="3461"/>
      <c r="M37" s="3312">
        <v>32058</v>
      </c>
      <c r="N37" s="3311">
        <v>32058</v>
      </c>
      <c r="O37" s="3312">
        <v>32058</v>
      </c>
      <c r="P37" s="3312"/>
      <c r="Q37" s="3461"/>
      <c r="R37" s="3461"/>
      <c r="S37" s="3311">
        <v>0</v>
      </c>
      <c r="T37" s="3312"/>
      <c r="BM37" s="3478"/>
    </row>
    <row r="38" spans="1:65" s="3477" customFormat="1" ht="16.5" hidden="1" customHeight="1" outlineLevel="1">
      <c r="A38" s="3462" t="s">
        <v>3819</v>
      </c>
      <c r="B38" s="3406" t="s">
        <v>4003</v>
      </c>
      <c r="C38" s="3407" t="s">
        <v>3739</v>
      </c>
      <c r="D38" s="3408" t="s">
        <v>3819</v>
      </c>
      <c r="E38" s="3465" t="s">
        <v>4016</v>
      </c>
      <c r="F38" s="3413"/>
      <c r="G38" s="3463"/>
      <c r="H38" s="3461"/>
      <c r="I38" s="3461"/>
      <c r="J38" s="3461">
        <v>1229</v>
      </c>
      <c r="K38" s="3461"/>
      <c r="L38" s="3461"/>
      <c r="M38" s="3312">
        <v>37959</v>
      </c>
      <c r="N38" s="3311">
        <v>37959</v>
      </c>
      <c r="O38" s="3312">
        <v>43005.408000000003</v>
      </c>
      <c r="P38" s="3312"/>
      <c r="Q38" s="3461"/>
      <c r="R38" s="3461"/>
      <c r="S38" s="3311">
        <v>0</v>
      </c>
      <c r="T38" s="3312"/>
      <c r="BM38" s="3478"/>
    </row>
    <row r="39" spans="1:65" s="3477" customFormat="1" ht="16.5" hidden="1" customHeight="1" outlineLevel="1">
      <c r="A39" s="3462"/>
      <c r="B39" s="3406"/>
      <c r="C39" s="3407"/>
      <c r="D39" s="3408"/>
      <c r="E39" s="3465"/>
      <c r="F39" s="3413"/>
      <c r="G39" s="3463"/>
      <c r="H39" s="3461"/>
      <c r="I39" s="3461"/>
      <c r="J39" s="3461"/>
      <c r="K39" s="3461"/>
      <c r="L39" s="3461"/>
      <c r="M39" s="3312"/>
      <c r="N39" s="3311"/>
      <c r="O39" s="3312"/>
      <c r="P39" s="3312"/>
      <c r="Q39" s="3461"/>
      <c r="R39" s="3461"/>
      <c r="S39" s="3311"/>
      <c r="T39" s="3312"/>
      <c r="BM39" s="3478"/>
    </row>
    <row r="40" spans="1:65" s="3477" customFormat="1" ht="16.5" hidden="1" customHeight="1" outlineLevel="1">
      <c r="A40" s="3462"/>
      <c r="B40" s="3406"/>
      <c r="C40" s="3407"/>
      <c r="D40" s="3408"/>
      <c r="E40" s="3465" t="s">
        <v>3453</v>
      </c>
      <c r="F40" s="3413"/>
      <c r="G40" s="3463"/>
      <c r="H40" s="3461"/>
      <c r="I40" s="3461"/>
      <c r="J40" s="3461"/>
      <c r="K40" s="3461"/>
      <c r="L40" s="3461"/>
      <c r="M40" s="3312"/>
      <c r="N40" s="3311">
        <v>0</v>
      </c>
      <c r="O40" s="3312"/>
      <c r="P40" s="3312"/>
      <c r="Q40" s="3461"/>
      <c r="R40" s="3461"/>
      <c r="S40" s="3311">
        <v>0</v>
      </c>
      <c r="T40" s="3312"/>
      <c r="BM40" s="3478"/>
    </row>
    <row r="41" spans="1:65" s="3477" customFormat="1" ht="16.5" customHeight="1" outlineLevel="1">
      <c r="A41" s="3464" t="s">
        <v>3749</v>
      </c>
      <c r="B41" s="3457" t="s">
        <v>4017</v>
      </c>
      <c r="C41" s="3458" t="s">
        <v>913</v>
      </c>
      <c r="D41" s="3459" t="s">
        <v>3749</v>
      </c>
      <c r="E41" s="3465" t="s">
        <v>4018</v>
      </c>
      <c r="F41" s="3413">
        <v>717</v>
      </c>
      <c r="G41" s="3463">
        <v>3</v>
      </c>
      <c r="H41" s="3461">
        <v>20</v>
      </c>
      <c r="I41" s="3461">
        <v>28</v>
      </c>
      <c r="J41" s="3461">
        <v>2865</v>
      </c>
      <c r="K41" s="3461">
        <v>328206.59999999998</v>
      </c>
      <c r="L41" s="3312">
        <v>12605.144</v>
      </c>
      <c r="M41" s="3312">
        <v>2047.92</v>
      </c>
      <c r="N41" s="3311">
        <v>330254.52</v>
      </c>
      <c r="O41" s="3312">
        <v>13652.8</v>
      </c>
      <c r="P41" s="3312">
        <v>101654.39</v>
      </c>
      <c r="Q41" s="3461">
        <v>315128.59999999998</v>
      </c>
      <c r="R41" s="3461"/>
      <c r="S41" s="3311">
        <v>315128.59999999998</v>
      </c>
      <c r="T41" s="3312">
        <v>317753.59999999998</v>
      </c>
      <c r="U41" s="3581" t="s">
        <v>11180</v>
      </c>
      <c r="BM41" s="3478"/>
    </row>
    <row r="42" spans="1:65" s="3477" customFormat="1" ht="16.5" customHeight="1" outlineLevel="1">
      <c r="A42" s="3464" t="s">
        <v>3736</v>
      </c>
      <c r="B42" s="3457" t="s">
        <v>4017</v>
      </c>
      <c r="C42" s="3407" t="s">
        <v>913</v>
      </c>
      <c r="D42" s="3408" t="s">
        <v>3736</v>
      </c>
      <c r="E42" s="3465" t="s">
        <v>4019</v>
      </c>
      <c r="F42" s="3413">
        <v>417</v>
      </c>
      <c r="G42" s="3463">
        <v>3.3</v>
      </c>
      <c r="H42" s="3461">
        <v>30</v>
      </c>
      <c r="I42" s="3461">
        <v>60</v>
      </c>
      <c r="J42" s="3461">
        <v>836</v>
      </c>
      <c r="K42" s="3461">
        <v>100265.36</v>
      </c>
      <c r="L42" s="3312">
        <v>10026.536</v>
      </c>
      <c r="M42" s="3312">
        <v>2450.16</v>
      </c>
      <c r="N42" s="3311">
        <v>102715.52</v>
      </c>
      <c r="O42" s="3312">
        <v>16334.4</v>
      </c>
      <c r="P42" s="3312">
        <v>58755.78</v>
      </c>
      <c r="Q42" s="3461">
        <v>100265.36</v>
      </c>
      <c r="R42" s="3461"/>
      <c r="S42" s="3311">
        <v>100265.36</v>
      </c>
      <c r="T42" s="3312">
        <v>100265.36</v>
      </c>
      <c r="U42" s="3582">
        <f>SUM(T41:T49)</f>
        <v>504145.79</v>
      </c>
      <c r="BM42" s="3478"/>
    </row>
    <row r="43" spans="1:65" s="3477" customFormat="1" ht="16.5" customHeight="1" outlineLevel="1">
      <c r="A43" s="3464" t="s">
        <v>3737</v>
      </c>
      <c r="B43" s="3457" t="s">
        <v>4017</v>
      </c>
      <c r="C43" s="3407" t="s">
        <v>913</v>
      </c>
      <c r="D43" s="3408" t="s">
        <v>3737</v>
      </c>
      <c r="E43" s="3465" t="s">
        <v>4020</v>
      </c>
      <c r="F43" s="3413">
        <v>364</v>
      </c>
      <c r="G43" s="3463">
        <v>3.1</v>
      </c>
      <c r="H43" s="3461">
        <v>40</v>
      </c>
      <c r="I43" s="3461">
        <v>91</v>
      </c>
      <c r="J43" s="3461">
        <v>364</v>
      </c>
      <c r="K43" s="3461">
        <v>54590</v>
      </c>
      <c r="L43" s="3312">
        <v>10918</v>
      </c>
      <c r="M43" s="3312">
        <v>2878.5</v>
      </c>
      <c r="N43" s="3311">
        <v>57468.5</v>
      </c>
      <c r="O43" s="3312">
        <v>19190</v>
      </c>
      <c r="P43" s="3312">
        <v>54590</v>
      </c>
      <c r="Q43" s="3461">
        <v>54590</v>
      </c>
      <c r="R43" s="3461"/>
      <c r="S43" s="3311">
        <v>54590</v>
      </c>
      <c r="T43" s="3312">
        <v>54590</v>
      </c>
      <c r="BM43" s="3478"/>
    </row>
    <row r="44" spans="1:65" s="3477" customFormat="1" ht="16.5" customHeight="1" outlineLevel="1">
      <c r="A44" s="3464" t="s">
        <v>4021</v>
      </c>
      <c r="B44" s="3457" t="s">
        <v>4017</v>
      </c>
      <c r="C44" s="3407" t="s">
        <v>3000</v>
      </c>
      <c r="D44" s="3408" t="s">
        <v>4021</v>
      </c>
      <c r="E44" s="3465" t="s">
        <v>4022</v>
      </c>
      <c r="F44" s="3413">
        <v>12</v>
      </c>
      <c r="G44" s="3463">
        <v>5.0999999999999996</v>
      </c>
      <c r="H44" s="3461">
        <v>6</v>
      </c>
      <c r="I44" s="3461">
        <v>6</v>
      </c>
      <c r="J44" s="3461">
        <v>119</v>
      </c>
      <c r="K44" s="3461">
        <v>4773.83</v>
      </c>
      <c r="L44" s="3461"/>
      <c r="M44" s="3312">
        <v>716.07449999999994</v>
      </c>
      <c r="N44" s="3311">
        <v>5489.9044999999996</v>
      </c>
      <c r="O44" s="3312">
        <v>4773.83</v>
      </c>
      <c r="P44" s="3312">
        <v>4773.83</v>
      </c>
      <c r="Q44" s="3461">
        <v>4773.83</v>
      </c>
      <c r="R44" s="3461"/>
      <c r="S44" s="3311">
        <v>4773.83</v>
      </c>
      <c r="T44" s="3312">
        <v>4773.83</v>
      </c>
      <c r="BM44" s="3478"/>
    </row>
    <row r="45" spans="1:65" s="3477" customFormat="1" ht="16.5" customHeight="1" outlineLevel="1">
      <c r="A45" s="3464" t="s">
        <v>3817</v>
      </c>
      <c r="B45" s="3457" t="s">
        <v>4017</v>
      </c>
      <c r="C45" s="3407" t="s">
        <v>3739</v>
      </c>
      <c r="D45" s="3408" t="s">
        <v>3817</v>
      </c>
      <c r="E45" s="3465" t="s">
        <v>4023</v>
      </c>
      <c r="F45" s="3413"/>
      <c r="G45" s="3463"/>
      <c r="H45" s="3461"/>
      <c r="I45" s="3461"/>
      <c r="J45" s="3461">
        <v>945.34285714285704</v>
      </c>
      <c r="K45" s="3461"/>
      <c r="L45" s="3461"/>
      <c r="M45" s="3312">
        <v>33087</v>
      </c>
      <c r="N45" s="3311">
        <v>33087</v>
      </c>
      <c r="O45" s="3312">
        <v>33087</v>
      </c>
      <c r="P45" s="3312"/>
      <c r="Q45" s="3461"/>
      <c r="R45" s="3461"/>
      <c r="S45" s="3311">
        <v>0</v>
      </c>
      <c r="T45" s="3312"/>
      <c r="BM45" s="3478"/>
    </row>
    <row r="46" spans="1:65" s="3477" customFormat="1" ht="16.5" customHeight="1" outlineLevel="1">
      <c r="A46" s="3464" t="s">
        <v>3819</v>
      </c>
      <c r="B46" s="3457" t="s">
        <v>4017</v>
      </c>
      <c r="C46" s="3407" t="s">
        <v>3739</v>
      </c>
      <c r="D46" s="3408" t="s">
        <v>3819</v>
      </c>
      <c r="E46" s="3465" t="s">
        <v>4024</v>
      </c>
      <c r="F46" s="3413"/>
      <c r="G46" s="3463"/>
      <c r="H46" s="3461"/>
      <c r="I46" s="3461"/>
      <c r="J46" s="3461">
        <v>2891.6571428571401</v>
      </c>
      <c r="K46" s="3461"/>
      <c r="L46" s="3461"/>
      <c r="M46" s="3312">
        <v>87346.345499999996</v>
      </c>
      <c r="N46" s="3311">
        <v>87346.345499999996</v>
      </c>
      <c r="O46" s="3312">
        <v>95439</v>
      </c>
      <c r="P46" s="3312"/>
      <c r="Q46" s="3461"/>
      <c r="R46" s="3461">
        <v>87346.345499999996</v>
      </c>
      <c r="S46" s="3311">
        <v>87346.345499999996</v>
      </c>
      <c r="T46" s="3312"/>
      <c r="BM46" s="3478"/>
    </row>
    <row r="47" spans="1:65" s="3477" customFormat="1" ht="16.5" customHeight="1" outlineLevel="1">
      <c r="A47" s="3464" t="s">
        <v>4025</v>
      </c>
      <c r="B47" s="3406" t="s">
        <v>4026</v>
      </c>
      <c r="C47" s="3458" t="s">
        <v>3826</v>
      </c>
      <c r="D47" s="3459" t="s">
        <v>4025</v>
      </c>
      <c r="E47" s="3465" t="s">
        <v>4027</v>
      </c>
      <c r="F47" s="3413"/>
      <c r="G47" s="3463"/>
      <c r="H47" s="3461"/>
      <c r="I47" s="3461"/>
      <c r="J47" s="3461"/>
      <c r="K47" s="3461">
        <v>26763</v>
      </c>
      <c r="L47" s="3461"/>
      <c r="M47" s="3312"/>
      <c r="N47" s="3311">
        <v>26763</v>
      </c>
      <c r="O47" s="3312">
        <v>7561</v>
      </c>
      <c r="P47" s="3312">
        <v>33409</v>
      </c>
      <c r="Q47" s="3461"/>
      <c r="R47" s="3461"/>
      <c r="S47" s="3311">
        <v>0</v>
      </c>
      <c r="T47" s="3312">
        <v>26763</v>
      </c>
      <c r="BM47" s="3478"/>
    </row>
    <row r="48" spans="1:65" s="3477" customFormat="1" ht="16.5" customHeight="1" outlineLevel="1">
      <c r="A48" s="3464" t="s">
        <v>3817</v>
      </c>
      <c r="B48" s="3406" t="s">
        <v>4026</v>
      </c>
      <c r="C48" s="3407" t="s">
        <v>3739</v>
      </c>
      <c r="D48" s="3408" t="s">
        <v>3817</v>
      </c>
      <c r="E48" s="3465" t="s">
        <v>4028</v>
      </c>
      <c r="F48" s="3413"/>
      <c r="G48" s="3463"/>
      <c r="H48" s="3461"/>
      <c r="I48" s="3461"/>
      <c r="J48" s="3461"/>
      <c r="K48" s="3461"/>
      <c r="L48" s="3461"/>
      <c r="M48" s="3312">
        <v>0</v>
      </c>
      <c r="N48" s="3311">
        <v>0</v>
      </c>
      <c r="O48" s="3312"/>
      <c r="P48" s="3312"/>
      <c r="Q48" s="3461"/>
      <c r="R48" s="3461"/>
      <c r="S48" s="3311">
        <v>0</v>
      </c>
      <c r="T48" s="3312"/>
      <c r="BM48" s="3478"/>
    </row>
    <row r="49" spans="1:65" s="3477" customFormat="1" ht="16.5" customHeight="1" outlineLevel="1">
      <c r="A49" s="3464" t="s">
        <v>3819</v>
      </c>
      <c r="B49" s="3406" t="s">
        <v>4026</v>
      </c>
      <c r="C49" s="3407" t="s">
        <v>3739</v>
      </c>
      <c r="D49" s="3408" t="s">
        <v>3819</v>
      </c>
      <c r="E49" s="3465" t="s">
        <v>4029</v>
      </c>
      <c r="F49" s="3413"/>
      <c r="G49" s="3463"/>
      <c r="H49" s="3461"/>
      <c r="I49" s="3461"/>
      <c r="J49" s="3461"/>
      <c r="K49" s="3461"/>
      <c r="L49" s="3461"/>
      <c r="M49" s="3312">
        <v>0</v>
      </c>
      <c r="N49" s="3311">
        <v>0</v>
      </c>
      <c r="O49" s="3312"/>
      <c r="P49" s="3312"/>
      <c r="Q49" s="3461"/>
      <c r="R49" s="3461"/>
      <c r="S49" s="3311">
        <v>0</v>
      </c>
      <c r="T49" s="3312"/>
      <c r="BM49" s="3478"/>
    </row>
    <row r="50" spans="1:65" s="3477" customFormat="1" ht="16.5" hidden="1" customHeight="1" outlineLevel="1">
      <c r="A50" s="3464"/>
      <c r="B50" s="3406"/>
      <c r="C50" s="3407"/>
      <c r="D50" s="3408"/>
      <c r="E50" s="3465"/>
      <c r="F50" s="3413"/>
      <c r="G50" s="3463"/>
      <c r="H50" s="3461"/>
      <c r="I50" s="3461"/>
      <c r="J50" s="3461"/>
      <c r="K50" s="3461"/>
      <c r="L50" s="3461"/>
      <c r="M50" s="3312"/>
      <c r="N50" s="3311"/>
      <c r="O50" s="3312"/>
      <c r="P50" s="3312"/>
      <c r="Q50" s="3461"/>
      <c r="R50" s="3461"/>
      <c r="S50" s="3311"/>
      <c r="T50" s="3312"/>
      <c r="BM50" s="3478"/>
    </row>
    <row r="51" spans="1:65" s="3477" customFormat="1" ht="16.5" hidden="1" customHeight="1" outlineLevel="1">
      <c r="A51" s="3464"/>
      <c r="B51" s="3406"/>
      <c r="C51" s="3407"/>
      <c r="D51" s="3408"/>
      <c r="E51" s="3465" t="s">
        <v>3453</v>
      </c>
      <c r="F51" s="3413"/>
      <c r="G51" s="3463"/>
      <c r="H51" s="3461"/>
      <c r="I51" s="3461"/>
      <c r="J51" s="3461"/>
      <c r="K51" s="3461"/>
      <c r="L51" s="3461"/>
      <c r="M51" s="3312"/>
      <c r="N51" s="3311">
        <v>0</v>
      </c>
      <c r="O51" s="3312"/>
      <c r="P51" s="3312"/>
      <c r="Q51" s="3461"/>
      <c r="R51" s="3461"/>
      <c r="S51" s="3311">
        <v>0</v>
      </c>
      <c r="T51" s="3312"/>
      <c r="BM51" s="3478"/>
    </row>
    <row r="52" spans="1:65" s="3477" customFormat="1" ht="16.5" hidden="1" customHeight="1" outlineLevel="1">
      <c r="A52" s="3464" t="s">
        <v>3749</v>
      </c>
      <c r="B52" s="3457" t="s">
        <v>4031</v>
      </c>
      <c r="C52" s="3458" t="s">
        <v>913</v>
      </c>
      <c r="D52" s="3459" t="s">
        <v>3749</v>
      </c>
      <c r="E52" s="3465" t="s">
        <v>4032</v>
      </c>
      <c r="F52" s="3413">
        <v>1196</v>
      </c>
      <c r="G52" s="3463">
        <v>3</v>
      </c>
      <c r="H52" s="3461">
        <v>46</v>
      </c>
      <c r="I52" s="3461">
        <v>46</v>
      </c>
      <c r="J52" s="3461">
        <v>4454</v>
      </c>
      <c r="K52" s="3461">
        <v>546544.23499999999</v>
      </c>
      <c r="L52" s="3461">
        <v>21047.257399999999</v>
      </c>
      <c r="M52" s="3312">
        <v>6388.5</v>
      </c>
      <c r="N52" s="3311">
        <v>552932.73499999999</v>
      </c>
      <c r="O52" s="3312">
        <v>42590</v>
      </c>
      <c r="P52" s="3312">
        <v>172413.83</v>
      </c>
      <c r="Q52" s="3461">
        <v>526181.43500000006</v>
      </c>
      <c r="R52" s="3461"/>
      <c r="S52" s="3311">
        <v>526181.43500000006</v>
      </c>
      <c r="T52" s="3312">
        <v>531514.43500000006</v>
      </c>
      <c r="BM52" s="3478"/>
    </row>
    <row r="53" spans="1:65" s="3477" customFormat="1" ht="16.5" hidden="1" customHeight="1" outlineLevel="1">
      <c r="A53" s="3464" t="s">
        <v>3736</v>
      </c>
      <c r="B53" s="3457" t="s">
        <v>4031</v>
      </c>
      <c r="C53" s="3407" t="s">
        <v>913</v>
      </c>
      <c r="D53" s="3408" t="s">
        <v>3736</v>
      </c>
      <c r="E53" s="3465" t="s">
        <v>4033</v>
      </c>
      <c r="F53" s="3413">
        <v>536</v>
      </c>
      <c r="G53" s="3463">
        <v>3.3</v>
      </c>
      <c r="H53" s="3461">
        <v>33.5</v>
      </c>
      <c r="I53" s="3461">
        <v>67</v>
      </c>
      <c r="J53" s="3461">
        <v>1102</v>
      </c>
      <c r="K53" s="3461">
        <v>132185.41</v>
      </c>
      <c r="L53" s="3461">
        <v>13218.540999999999</v>
      </c>
      <c r="M53" s="3312">
        <v>1878</v>
      </c>
      <c r="N53" s="3311">
        <v>134063.41</v>
      </c>
      <c r="O53" s="3312">
        <v>12520</v>
      </c>
      <c r="P53" s="3312">
        <v>70738.25</v>
      </c>
      <c r="Q53" s="3461">
        <v>132185.41</v>
      </c>
      <c r="R53" s="3461"/>
      <c r="S53" s="3311">
        <v>132185.41</v>
      </c>
      <c r="T53" s="3312">
        <v>132185.41</v>
      </c>
      <c r="BM53" s="3478"/>
    </row>
    <row r="54" spans="1:65" s="3477" customFormat="1" ht="16.5" hidden="1" customHeight="1" outlineLevel="1">
      <c r="A54" s="3464" t="s">
        <v>3737</v>
      </c>
      <c r="B54" s="3457" t="s">
        <v>4031</v>
      </c>
      <c r="C54" s="3407" t="s">
        <v>913</v>
      </c>
      <c r="D54" s="3408" t="s">
        <v>3737</v>
      </c>
      <c r="E54" s="3465" t="s">
        <v>4034</v>
      </c>
      <c r="F54" s="3413">
        <v>900</v>
      </c>
      <c r="G54" s="3463">
        <v>3.1</v>
      </c>
      <c r="H54" s="3461">
        <v>68</v>
      </c>
      <c r="I54" s="3461">
        <v>225</v>
      </c>
      <c r="J54" s="3461">
        <v>844</v>
      </c>
      <c r="K54" s="3461">
        <v>126528</v>
      </c>
      <c r="L54" s="3461">
        <v>25305.599999999999</v>
      </c>
      <c r="M54" s="3312">
        <v>6724.5</v>
      </c>
      <c r="N54" s="3311">
        <v>133252.5</v>
      </c>
      <c r="O54" s="3312">
        <v>44830</v>
      </c>
      <c r="P54" s="3312">
        <v>126528</v>
      </c>
      <c r="Q54" s="3461">
        <v>126528</v>
      </c>
      <c r="R54" s="3461"/>
      <c r="S54" s="3311">
        <v>126528</v>
      </c>
      <c r="T54" s="3312">
        <v>126528</v>
      </c>
      <c r="BM54" s="3478"/>
    </row>
    <row r="55" spans="1:65" s="3477" customFormat="1" ht="16.5" hidden="1" customHeight="1" outlineLevel="1">
      <c r="A55" s="3464" t="s">
        <v>4021</v>
      </c>
      <c r="B55" s="3457" t="s">
        <v>4031</v>
      </c>
      <c r="C55" s="3407" t="s">
        <v>3000</v>
      </c>
      <c r="D55" s="3408" t="s">
        <v>4021</v>
      </c>
      <c r="E55" s="3465" t="s">
        <v>4035</v>
      </c>
      <c r="F55" s="3413">
        <v>17</v>
      </c>
      <c r="G55" s="3463">
        <v>5.0999999999999996</v>
      </c>
      <c r="H55" s="3461">
        <v>17</v>
      </c>
      <c r="I55" s="3461">
        <v>17</v>
      </c>
      <c r="J55" s="3461">
        <v>202</v>
      </c>
      <c r="K55" s="3461">
        <v>8065.915</v>
      </c>
      <c r="L55" s="3461"/>
      <c r="M55" s="3312">
        <v>1209.88725</v>
      </c>
      <c r="N55" s="3311">
        <v>9275.8022500000006</v>
      </c>
      <c r="O55" s="3312">
        <v>8065.915</v>
      </c>
      <c r="P55" s="3312">
        <v>8065.92</v>
      </c>
      <c r="Q55" s="3461">
        <v>8065.915</v>
      </c>
      <c r="R55" s="3461"/>
      <c r="S55" s="3311">
        <v>8065.915</v>
      </c>
      <c r="T55" s="3312">
        <v>8065.915</v>
      </c>
      <c r="BM55" s="3478"/>
    </row>
    <row r="56" spans="1:65" s="3477" customFormat="1" ht="16.5" hidden="1" customHeight="1" outlineLevel="1">
      <c r="A56" s="3464" t="s">
        <v>3817</v>
      </c>
      <c r="B56" s="3457" t="s">
        <v>4031</v>
      </c>
      <c r="C56" s="3407" t="s">
        <v>3739</v>
      </c>
      <c r="D56" s="3408" t="s">
        <v>3817</v>
      </c>
      <c r="E56" s="3465" t="s">
        <v>4036</v>
      </c>
      <c r="F56" s="3413"/>
      <c r="G56" s="3463"/>
      <c r="H56" s="3461"/>
      <c r="I56" s="3461"/>
      <c r="J56" s="3461">
        <v>1774.4</v>
      </c>
      <c r="K56" s="3461"/>
      <c r="L56" s="3461"/>
      <c r="M56" s="3312">
        <v>62104</v>
      </c>
      <c r="N56" s="3311">
        <v>62104</v>
      </c>
      <c r="O56" s="3493">
        <v>62104</v>
      </c>
      <c r="P56" s="3312"/>
      <c r="Q56" s="3461"/>
      <c r="R56" s="3461"/>
      <c r="S56" s="3311">
        <v>0</v>
      </c>
      <c r="T56" s="3312"/>
      <c r="BM56" s="3478"/>
    </row>
    <row r="57" spans="1:65" s="3477" customFormat="1" ht="16.5" hidden="1" customHeight="1" outlineLevel="1">
      <c r="A57" s="3464" t="s">
        <v>3819</v>
      </c>
      <c r="B57" s="3457" t="s">
        <v>4031</v>
      </c>
      <c r="C57" s="3407" t="s">
        <v>3739</v>
      </c>
      <c r="D57" s="3408" t="s">
        <v>3819</v>
      </c>
      <c r="E57" s="3465" t="s">
        <v>4037</v>
      </c>
      <c r="F57" s="3413"/>
      <c r="G57" s="3463"/>
      <c r="H57" s="3461"/>
      <c r="I57" s="3461"/>
      <c r="J57" s="3461">
        <v>4715</v>
      </c>
      <c r="K57" s="3461"/>
      <c r="L57" s="3461"/>
      <c r="M57" s="3312">
        <v>139406.11275</v>
      </c>
      <c r="N57" s="3311">
        <v>139406.11275</v>
      </c>
      <c r="O57" s="3312">
        <v>155607</v>
      </c>
      <c r="P57" s="3312"/>
      <c r="Q57" s="3461"/>
      <c r="R57" s="3461">
        <v>139406.11275</v>
      </c>
      <c r="S57" s="3311">
        <v>139406.11275</v>
      </c>
      <c r="T57" s="3312"/>
      <c r="BM57" s="3478"/>
    </row>
    <row r="58" spans="1:65" s="3477" customFormat="1" ht="16.5" hidden="1" customHeight="1" outlineLevel="1">
      <c r="A58" s="3464" t="s">
        <v>4038</v>
      </c>
      <c r="B58" s="3406" t="s">
        <v>4039</v>
      </c>
      <c r="C58" s="3458" t="s">
        <v>3000</v>
      </c>
      <c r="D58" s="3459" t="s">
        <v>4038</v>
      </c>
      <c r="E58" s="3465" t="s">
        <v>4040</v>
      </c>
      <c r="F58" s="3413">
        <v>258</v>
      </c>
      <c r="G58" s="3463" t="s">
        <v>4041</v>
      </c>
      <c r="H58" s="3461">
        <v>33</v>
      </c>
      <c r="I58" s="3461">
        <v>129</v>
      </c>
      <c r="J58" s="3461">
        <v>129</v>
      </c>
      <c r="K58" s="3461">
        <v>11589</v>
      </c>
      <c r="L58" s="3312">
        <v>3476.7</v>
      </c>
      <c r="M58" s="3312">
        <v>1158.8625</v>
      </c>
      <c r="N58" s="3311">
        <v>12747.862499999999</v>
      </c>
      <c r="O58" s="3312">
        <v>7725.75</v>
      </c>
      <c r="P58" s="3312">
        <v>19599.419999999998</v>
      </c>
      <c r="Q58" s="3461">
        <v>11589</v>
      </c>
      <c r="R58" s="3461"/>
      <c r="S58" s="3311">
        <v>11589</v>
      </c>
      <c r="T58" s="3312">
        <v>11589</v>
      </c>
      <c r="BM58" s="3478"/>
    </row>
    <row r="59" spans="1:65" s="3498" customFormat="1" ht="16.5" hidden="1" customHeight="1" outlineLevel="1">
      <c r="A59" s="3494" t="s">
        <v>4042</v>
      </c>
      <c r="B59" s="3495" t="s">
        <v>4039</v>
      </c>
      <c r="C59" s="3496" t="s">
        <v>3000</v>
      </c>
      <c r="D59" s="3497" t="s">
        <v>4042</v>
      </c>
      <c r="E59" s="3465" t="s">
        <v>4043</v>
      </c>
      <c r="F59" s="3413">
        <v>134</v>
      </c>
      <c r="G59" s="3463">
        <v>3.3</v>
      </c>
      <c r="H59" s="3461">
        <v>5</v>
      </c>
      <c r="I59" s="3461">
        <v>5</v>
      </c>
      <c r="J59" s="3461">
        <v>3680</v>
      </c>
      <c r="K59" s="3461">
        <v>146349</v>
      </c>
      <c r="L59" s="3461"/>
      <c r="M59" s="3312">
        <v>825</v>
      </c>
      <c r="N59" s="3311">
        <v>147174</v>
      </c>
      <c r="O59" s="3312">
        <v>5500</v>
      </c>
      <c r="P59" s="3312">
        <v>31187.22</v>
      </c>
      <c r="Q59" s="3461">
        <v>146349</v>
      </c>
      <c r="R59" s="3461"/>
      <c r="S59" s="3311">
        <v>146349</v>
      </c>
      <c r="T59" s="3312">
        <v>146349</v>
      </c>
      <c r="U59" s="3309"/>
      <c r="V59" s="3309"/>
      <c r="W59" s="3309"/>
      <c r="X59" s="3309"/>
      <c r="Y59" s="3309"/>
      <c r="BM59" s="3499"/>
    </row>
    <row r="60" spans="1:65" s="3477" customFormat="1" ht="16.5" hidden="1" customHeight="1" outlineLevel="1">
      <c r="A60" s="3464" t="s">
        <v>4044</v>
      </c>
      <c r="B60" s="3406" t="s">
        <v>4039</v>
      </c>
      <c r="C60" s="3407" t="s">
        <v>3000</v>
      </c>
      <c r="D60" s="3408" t="s">
        <v>4044</v>
      </c>
      <c r="E60" s="3465" t="s">
        <v>4045</v>
      </c>
      <c r="F60" s="3413">
        <v>38</v>
      </c>
      <c r="G60" s="3463">
        <v>5.0999999999999996</v>
      </c>
      <c r="H60" s="3461">
        <v>19</v>
      </c>
      <c r="I60" s="3461">
        <v>19</v>
      </c>
      <c r="J60" s="3461">
        <v>377</v>
      </c>
      <c r="K60" s="3461">
        <v>15000</v>
      </c>
      <c r="L60" s="3461"/>
      <c r="M60" s="3312">
        <v>1650</v>
      </c>
      <c r="N60" s="3311">
        <v>16650</v>
      </c>
      <c r="O60" s="3312">
        <v>11000</v>
      </c>
      <c r="P60" s="3312">
        <v>13636.36</v>
      </c>
      <c r="Q60" s="3461">
        <v>15000</v>
      </c>
      <c r="R60" s="3461"/>
      <c r="S60" s="3311">
        <v>15000</v>
      </c>
      <c r="T60" s="3312">
        <v>15000</v>
      </c>
      <c r="BM60" s="3478"/>
    </row>
    <row r="61" spans="1:65" s="3477" customFormat="1" ht="16.5" hidden="1" customHeight="1" outlineLevel="1">
      <c r="A61" s="3464" t="s">
        <v>3817</v>
      </c>
      <c r="B61" s="3406" t="s">
        <v>4039</v>
      </c>
      <c r="C61" s="3407" t="s">
        <v>3739</v>
      </c>
      <c r="D61" s="3408" t="s">
        <v>3817</v>
      </c>
      <c r="E61" s="3465" t="s">
        <v>4046</v>
      </c>
      <c r="F61" s="3413"/>
      <c r="G61" s="3463"/>
      <c r="H61" s="3461"/>
      <c r="I61" s="3461"/>
      <c r="J61" s="3461">
        <v>730.08108108108104</v>
      </c>
      <c r="K61" s="3461"/>
      <c r="L61" s="3461"/>
      <c r="M61" s="3312">
        <v>27013</v>
      </c>
      <c r="N61" s="3311">
        <v>27013</v>
      </c>
      <c r="O61" s="3312"/>
      <c r="P61" s="3312"/>
      <c r="Q61" s="3461"/>
      <c r="R61" s="3461"/>
      <c r="S61" s="3311">
        <v>0</v>
      </c>
      <c r="T61" s="3312"/>
      <c r="BM61" s="3478"/>
    </row>
    <row r="62" spans="1:65" s="3477" customFormat="1" ht="16.5" hidden="1" customHeight="1" outlineLevel="1">
      <c r="A62" s="3464" t="s">
        <v>3819</v>
      </c>
      <c r="B62" s="3406" t="s">
        <v>4039</v>
      </c>
      <c r="C62" s="3407" t="s">
        <v>3739</v>
      </c>
      <c r="D62" s="3408" t="s">
        <v>3819</v>
      </c>
      <c r="E62" s="3465" t="s">
        <v>4047</v>
      </c>
      <c r="F62" s="3413"/>
      <c r="G62" s="3463"/>
      <c r="H62" s="3461"/>
      <c r="I62" s="3461"/>
      <c r="J62" s="3461">
        <v>688.91891891891896</v>
      </c>
      <c r="K62" s="3461"/>
      <c r="L62" s="3461"/>
      <c r="M62" s="3312">
        <v>20463.137500000001</v>
      </c>
      <c r="N62" s="3311">
        <v>20463.137500000001</v>
      </c>
      <c r="O62" s="3312"/>
      <c r="P62" s="3312"/>
      <c r="Q62" s="3461"/>
      <c r="R62" s="3461">
        <v>20463.137500000001</v>
      </c>
      <c r="S62" s="3311">
        <v>20463.137500000001</v>
      </c>
      <c r="T62" s="3312"/>
      <c r="BM62" s="3478"/>
    </row>
    <row r="63" spans="1:65" s="3477" customFormat="1" ht="16.5" hidden="1" customHeight="1" outlineLevel="1">
      <c r="A63" s="3464" t="s">
        <v>4048</v>
      </c>
      <c r="B63" s="3457" t="s">
        <v>4049</v>
      </c>
      <c r="C63" s="3458" t="s">
        <v>3826</v>
      </c>
      <c r="D63" s="3459" t="s">
        <v>4048</v>
      </c>
      <c r="E63" s="3465" t="s">
        <v>4050</v>
      </c>
      <c r="F63" s="3413"/>
      <c r="G63" s="3463"/>
      <c r="H63" s="3461"/>
      <c r="I63" s="3461"/>
      <c r="J63" s="3461"/>
      <c r="K63" s="3461">
        <v>3124.8</v>
      </c>
      <c r="L63" s="3312"/>
      <c r="M63" s="3312"/>
      <c r="N63" s="3311">
        <v>3124.8</v>
      </c>
      <c r="O63" s="3312">
        <v>1900</v>
      </c>
      <c r="P63" s="3312">
        <v>3906</v>
      </c>
      <c r="Q63" s="3461"/>
      <c r="R63" s="3461"/>
      <c r="S63" s="3311">
        <v>0</v>
      </c>
      <c r="T63" s="3312">
        <v>3124.8</v>
      </c>
      <c r="BM63" s="3478"/>
    </row>
    <row r="64" spans="1:65" s="3477" customFormat="1" ht="16.5" hidden="1" customHeight="1" outlineLevel="1">
      <c r="A64" s="3464" t="s">
        <v>4051</v>
      </c>
      <c r="B64" s="3457" t="s">
        <v>4049</v>
      </c>
      <c r="C64" s="3407" t="s">
        <v>3826</v>
      </c>
      <c r="D64" s="3408" t="s">
        <v>4051</v>
      </c>
      <c r="E64" s="3465" t="s">
        <v>4052</v>
      </c>
      <c r="F64" s="3413"/>
      <c r="G64" s="3463"/>
      <c r="H64" s="3461"/>
      <c r="I64" s="3461"/>
      <c r="J64" s="3461"/>
      <c r="K64" s="3461">
        <v>33200</v>
      </c>
      <c r="L64" s="3461"/>
      <c r="M64" s="3312"/>
      <c r="N64" s="3311">
        <v>33200</v>
      </c>
      <c r="O64" s="3312">
        <v>5850</v>
      </c>
      <c r="P64" s="3312">
        <v>29659</v>
      </c>
      <c r="Q64" s="3461"/>
      <c r="R64" s="3461"/>
      <c r="S64" s="3311">
        <v>0</v>
      </c>
      <c r="T64" s="3312">
        <v>33200</v>
      </c>
      <c r="BM64" s="3478"/>
    </row>
    <row r="65" spans="1:65" s="3477" customFormat="1" ht="16.5" hidden="1" customHeight="1" outlineLevel="1">
      <c r="A65" s="3464" t="s">
        <v>4053</v>
      </c>
      <c r="B65" s="3457" t="s">
        <v>4049</v>
      </c>
      <c r="C65" s="3407" t="s">
        <v>3826</v>
      </c>
      <c r="D65" s="3408" t="s">
        <v>4053</v>
      </c>
      <c r="E65" s="3465" t="s">
        <v>4054</v>
      </c>
      <c r="F65" s="3413"/>
      <c r="G65" s="3463"/>
      <c r="H65" s="3461"/>
      <c r="I65" s="3461"/>
      <c r="J65" s="3461"/>
      <c r="K65" s="3461">
        <v>22794</v>
      </c>
      <c r="L65" s="3461"/>
      <c r="M65" s="3312"/>
      <c r="N65" s="3311">
        <v>22794</v>
      </c>
      <c r="O65" s="3312">
        <v>3800</v>
      </c>
      <c r="P65" s="3312">
        <v>15196</v>
      </c>
      <c r="Q65" s="3461"/>
      <c r="R65" s="3461"/>
      <c r="S65" s="3311">
        <v>0</v>
      </c>
      <c r="T65" s="3312">
        <v>22794</v>
      </c>
      <c r="BM65" s="3478"/>
    </row>
    <row r="66" spans="1:65" s="3477" customFormat="1" ht="16.5" hidden="1" customHeight="1" outlineLevel="1">
      <c r="A66" s="3464" t="s">
        <v>4055</v>
      </c>
      <c r="B66" s="3457" t="s">
        <v>4049</v>
      </c>
      <c r="C66" s="3407" t="s">
        <v>3826</v>
      </c>
      <c r="D66" s="3408" t="s">
        <v>4055</v>
      </c>
      <c r="E66" s="3465" t="s">
        <v>4056</v>
      </c>
      <c r="F66" s="3413"/>
      <c r="G66" s="3463"/>
      <c r="H66" s="3461"/>
      <c r="I66" s="3461"/>
      <c r="J66" s="3461"/>
      <c r="K66" s="3461">
        <v>13432.8</v>
      </c>
      <c r="L66" s="3461"/>
      <c r="M66" s="3312"/>
      <c r="N66" s="3311">
        <v>13432.8</v>
      </c>
      <c r="O66" s="3312">
        <v>3380</v>
      </c>
      <c r="P66" s="3312">
        <v>16791</v>
      </c>
      <c r="Q66" s="3461"/>
      <c r="R66" s="3461"/>
      <c r="S66" s="3311">
        <v>0</v>
      </c>
      <c r="T66" s="3312">
        <v>13432.8</v>
      </c>
      <c r="BM66" s="3478"/>
    </row>
    <row r="67" spans="1:65" s="3477" customFormat="1" ht="16.5" hidden="1" customHeight="1" outlineLevel="1">
      <c r="A67" s="3464" t="s">
        <v>3817</v>
      </c>
      <c r="B67" s="3457" t="s">
        <v>4049</v>
      </c>
      <c r="C67" s="3407" t="s">
        <v>3739</v>
      </c>
      <c r="D67" s="3408" t="s">
        <v>3817</v>
      </c>
      <c r="E67" s="3465" t="s">
        <v>4057</v>
      </c>
      <c r="F67" s="3413"/>
      <c r="G67" s="3463"/>
      <c r="H67" s="3461"/>
      <c r="I67" s="3461"/>
      <c r="J67" s="3461">
        <v>352</v>
      </c>
      <c r="K67" s="3461"/>
      <c r="L67" s="3461"/>
      <c r="M67" s="3312">
        <v>13030</v>
      </c>
      <c r="N67" s="3311">
        <v>13030</v>
      </c>
      <c r="O67" s="3312">
        <v>13030</v>
      </c>
      <c r="P67" s="3312"/>
      <c r="Q67" s="3461"/>
      <c r="R67" s="3461"/>
      <c r="S67" s="3311">
        <v>0</v>
      </c>
      <c r="T67" s="3312"/>
      <c r="BM67" s="3478"/>
    </row>
    <row r="68" spans="1:65" s="3477" customFormat="1" ht="16.350000000000001" hidden="1" customHeight="1" outlineLevel="1">
      <c r="A68" s="3464" t="s">
        <v>3819</v>
      </c>
      <c r="B68" s="3457" t="s">
        <v>4049</v>
      </c>
      <c r="C68" s="3407" t="s">
        <v>3739</v>
      </c>
      <c r="D68" s="3408" t="s">
        <v>3819</v>
      </c>
      <c r="E68" s="3465" t="s">
        <v>4058</v>
      </c>
      <c r="F68" s="3413"/>
      <c r="G68" s="3463"/>
      <c r="H68" s="3461"/>
      <c r="I68" s="3461"/>
      <c r="J68" s="3461">
        <v>821</v>
      </c>
      <c r="K68" s="3461"/>
      <c r="L68" s="3461"/>
      <c r="M68" s="3312">
        <v>28721</v>
      </c>
      <c r="N68" s="3311">
        <v>28721</v>
      </c>
      <c r="O68" s="3312">
        <v>28721</v>
      </c>
      <c r="P68" s="3312"/>
      <c r="Q68" s="3461"/>
      <c r="R68" s="3461"/>
      <c r="S68" s="3311">
        <v>0</v>
      </c>
      <c r="T68" s="3312"/>
      <c r="BM68" s="3478"/>
    </row>
    <row r="69" spans="1:65" s="3501" customFormat="1" ht="16.350000000000001" hidden="1" customHeight="1" outlineLevel="1">
      <c r="A69" s="3500" t="s">
        <v>4059</v>
      </c>
      <c r="B69" s="3495" t="s">
        <v>4039</v>
      </c>
      <c r="C69" s="3496" t="s">
        <v>3000</v>
      </c>
      <c r="D69" s="3497" t="s">
        <v>4059</v>
      </c>
      <c r="E69" s="3465" t="s">
        <v>4060</v>
      </c>
      <c r="F69" s="3413">
        <v>3</v>
      </c>
      <c r="G69" s="3463">
        <v>3.6</v>
      </c>
      <c r="H69" s="3461">
        <v>1</v>
      </c>
      <c r="I69" s="3461">
        <v>1</v>
      </c>
      <c r="J69" s="3461"/>
      <c r="K69" s="3461">
        <v>4320</v>
      </c>
      <c r="L69" s="3461"/>
      <c r="M69" s="3312"/>
      <c r="N69" s="3311">
        <v>4320</v>
      </c>
      <c r="O69" s="3312">
        <v>1440</v>
      </c>
      <c r="P69" s="3312">
        <v>6480</v>
      </c>
      <c r="Q69" s="3461">
        <v>4320</v>
      </c>
      <c r="R69" s="3461"/>
      <c r="S69" s="3311">
        <v>4320</v>
      </c>
      <c r="T69" s="3312">
        <v>4320</v>
      </c>
      <c r="U69" s="3309"/>
      <c r="V69" s="3309"/>
      <c r="W69" s="3309"/>
      <c r="X69" s="3309"/>
      <c r="Y69" s="3309"/>
      <c r="BM69" s="3502"/>
    </row>
    <row r="70" spans="1:65" s="3477" customFormat="1" ht="16.5" hidden="1" customHeight="1" outlineLevel="1">
      <c r="A70" s="3464"/>
      <c r="B70" s="3406"/>
      <c r="C70" s="3407"/>
      <c r="D70" s="3408"/>
      <c r="E70" s="3465" t="s">
        <v>3453</v>
      </c>
      <c r="F70" s="3413"/>
      <c r="G70" s="3463"/>
      <c r="H70" s="3461"/>
      <c r="I70" s="3461"/>
      <c r="J70" s="3461"/>
      <c r="K70" s="3461"/>
      <c r="L70" s="3461"/>
      <c r="M70" s="3312"/>
      <c r="N70" s="3311">
        <v>0</v>
      </c>
      <c r="O70" s="3312"/>
      <c r="P70" s="3312"/>
      <c r="Q70" s="3461"/>
      <c r="R70" s="3461"/>
      <c r="S70" s="3311">
        <v>0</v>
      </c>
      <c r="T70" s="3312"/>
      <c r="BM70" s="3478"/>
    </row>
    <row r="71" spans="1:65" s="3477" customFormat="1" ht="16.5" hidden="1" customHeight="1" outlineLevel="1">
      <c r="A71" s="3464" t="s">
        <v>3749</v>
      </c>
      <c r="B71" s="3406" t="s">
        <v>4061</v>
      </c>
      <c r="C71" s="3458" t="s">
        <v>913</v>
      </c>
      <c r="D71" s="3459" t="s">
        <v>3749</v>
      </c>
      <c r="E71" s="3465" t="s">
        <v>4062</v>
      </c>
      <c r="F71" s="3413">
        <v>2678</v>
      </c>
      <c r="G71" s="3463">
        <v>3</v>
      </c>
      <c r="H71" s="3461">
        <v>80</v>
      </c>
      <c r="I71" s="3461">
        <v>103</v>
      </c>
      <c r="J71" s="3461">
        <v>10711</v>
      </c>
      <c r="K71" s="3461">
        <v>1193422.75</v>
      </c>
      <c r="L71" s="3312">
        <v>47129.11</v>
      </c>
      <c r="M71" s="3312">
        <v>7641.54</v>
      </c>
      <c r="N71" s="3311">
        <v>1201064.29</v>
      </c>
      <c r="O71" s="3312">
        <v>50943.6</v>
      </c>
      <c r="P71" s="3312">
        <v>380073.47</v>
      </c>
      <c r="Q71" s="3461">
        <v>1178227.75</v>
      </c>
      <c r="R71" s="3461"/>
      <c r="S71" s="3311">
        <v>1178227.75</v>
      </c>
      <c r="T71" s="3503">
        <v>1184719.75</v>
      </c>
      <c r="BM71" s="3478"/>
    </row>
    <row r="72" spans="1:65" s="3477" customFormat="1" ht="16.5" hidden="1" customHeight="1" outlineLevel="1">
      <c r="A72" s="3464" t="s">
        <v>3736</v>
      </c>
      <c r="B72" s="3406" t="s">
        <v>4061</v>
      </c>
      <c r="C72" s="3407" t="s">
        <v>913</v>
      </c>
      <c r="D72" s="3408" t="s">
        <v>3736</v>
      </c>
      <c r="E72" s="3465" t="s">
        <v>4063</v>
      </c>
      <c r="F72" s="3413">
        <v>336</v>
      </c>
      <c r="G72" s="3463">
        <v>3.3</v>
      </c>
      <c r="H72" s="3461">
        <v>24</v>
      </c>
      <c r="I72" s="3461">
        <v>48</v>
      </c>
      <c r="J72" s="3461">
        <v>672</v>
      </c>
      <c r="K72" s="3461">
        <v>80643.86</v>
      </c>
      <c r="L72" s="3312">
        <v>8064.3860000000004</v>
      </c>
      <c r="M72" s="3312">
        <v>1640.88</v>
      </c>
      <c r="N72" s="3311">
        <v>82284.740000000005</v>
      </c>
      <c r="O72" s="3312">
        <v>10939.2</v>
      </c>
      <c r="P72" s="3312">
        <v>37731</v>
      </c>
      <c r="Q72" s="3461">
        <v>80643.86</v>
      </c>
      <c r="R72" s="3461"/>
      <c r="S72" s="3311">
        <v>80643.86</v>
      </c>
      <c r="T72" s="3312">
        <v>80643.86</v>
      </c>
      <c r="BM72" s="3478"/>
    </row>
    <row r="73" spans="1:65" s="3477" customFormat="1" ht="16.5" hidden="1" customHeight="1" outlineLevel="1">
      <c r="A73" s="3464" t="s">
        <v>3737</v>
      </c>
      <c r="B73" s="3406" t="s">
        <v>4061</v>
      </c>
      <c r="C73" s="3407" t="s">
        <v>913</v>
      </c>
      <c r="D73" s="3408" t="s">
        <v>3737</v>
      </c>
      <c r="E73" s="3465" t="s">
        <v>4064</v>
      </c>
      <c r="F73" s="3413">
        <v>532</v>
      </c>
      <c r="G73" s="3463">
        <v>3.1</v>
      </c>
      <c r="H73" s="3461">
        <v>45</v>
      </c>
      <c r="I73" s="3461">
        <v>133</v>
      </c>
      <c r="J73" s="3461">
        <v>532</v>
      </c>
      <c r="K73" s="3461">
        <v>79828</v>
      </c>
      <c r="L73" s="3312">
        <v>15965.6</v>
      </c>
      <c r="M73" s="3312">
        <v>3990</v>
      </c>
      <c r="N73" s="3311">
        <v>83818</v>
      </c>
      <c r="O73" s="3312">
        <v>26600</v>
      </c>
      <c r="P73" s="3312">
        <v>79828</v>
      </c>
      <c r="Q73" s="3461">
        <v>79828</v>
      </c>
      <c r="R73" s="3461"/>
      <c r="S73" s="3311">
        <v>79828</v>
      </c>
      <c r="T73" s="3312">
        <v>79828</v>
      </c>
      <c r="BM73" s="3478"/>
    </row>
    <row r="74" spans="1:65" s="3477" customFormat="1" ht="16.5" hidden="1" customHeight="1" outlineLevel="1">
      <c r="A74" s="3464" t="s">
        <v>4021</v>
      </c>
      <c r="B74" s="3406" t="s">
        <v>4061</v>
      </c>
      <c r="C74" s="3407" t="s">
        <v>3000</v>
      </c>
      <c r="D74" s="3408" t="s">
        <v>4021</v>
      </c>
      <c r="E74" s="3465" t="s">
        <v>4065</v>
      </c>
      <c r="F74" s="3413">
        <v>34</v>
      </c>
      <c r="G74" s="3463">
        <v>5.0999999999999996</v>
      </c>
      <c r="H74" s="3461">
        <v>17</v>
      </c>
      <c r="I74" s="3461">
        <v>17</v>
      </c>
      <c r="J74" s="3461">
        <v>340</v>
      </c>
      <c r="K74" s="3461">
        <v>13587.79</v>
      </c>
      <c r="L74" s="3461"/>
      <c r="M74" s="3312">
        <v>2038.1685</v>
      </c>
      <c r="N74" s="3311">
        <v>15625.958500000001</v>
      </c>
      <c r="O74" s="3312">
        <v>13587.79</v>
      </c>
      <c r="P74" s="3312">
        <v>13587.79</v>
      </c>
      <c r="Q74" s="3461">
        <v>13587.79</v>
      </c>
      <c r="R74" s="3461"/>
      <c r="S74" s="3311">
        <v>13587.79</v>
      </c>
      <c r="T74" s="3312">
        <v>13587.79</v>
      </c>
      <c r="BM74" s="3478"/>
    </row>
    <row r="75" spans="1:65" s="3477" customFormat="1" ht="16.5" hidden="1" customHeight="1" outlineLevel="1">
      <c r="A75" s="3464" t="s">
        <v>3817</v>
      </c>
      <c r="B75" s="3406" t="s">
        <v>4061</v>
      </c>
      <c r="C75" s="3407" t="s">
        <v>3739</v>
      </c>
      <c r="D75" s="3408" t="s">
        <v>3817</v>
      </c>
      <c r="E75" s="3465" t="s">
        <v>4066</v>
      </c>
      <c r="F75" s="3413"/>
      <c r="G75" s="3463"/>
      <c r="H75" s="3461"/>
      <c r="I75" s="3461"/>
      <c r="J75" s="3461">
        <v>1910.8</v>
      </c>
      <c r="K75" s="3461"/>
      <c r="L75" s="3461"/>
      <c r="M75" s="3312">
        <v>66878</v>
      </c>
      <c r="N75" s="3311">
        <v>66878</v>
      </c>
      <c r="O75" s="3312">
        <v>66878</v>
      </c>
      <c r="P75" s="3312"/>
      <c r="Q75" s="3461"/>
      <c r="R75" s="3461"/>
      <c r="S75" s="3311">
        <v>0</v>
      </c>
      <c r="T75" s="3312"/>
      <c r="BM75" s="3478"/>
    </row>
    <row r="76" spans="1:65" s="3477" customFormat="1" ht="16.5" hidden="1" customHeight="1" outlineLevel="1">
      <c r="A76" s="3464" t="s">
        <v>3819</v>
      </c>
      <c r="B76" s="3406" t="s">
        <v>4061</v>
      </c>
      <c r="C76" s="3407" t="s">
        <v>3739</v>
      </c>
      <c r="D76" s="3408" t="s">
        <v>3819</v>
      </c>
      <c r="E76" s="3465" t="s">
        <v>4067</v>
      </c>
      <c r="F76" s="3413"/>
      <c r="G76" s="3463"/>
      <c r="H76" s="3461"/>
      <c r="I76" s="3461"/>
      <c r="J76" s="3461">
        <v>9005.2000000000007</v>
      </c>
      <c r="K76" s="3461"/>
      <c r="L76" s="3461"/>
      <c r="M76" s="3312">
        <v>281850.41149999999</v>
      </c>
      <c r="N76" s="3311">
        <v>281850.41149999999</v>
      </c>
      <c r="O76" s="3312">
        <v>297161</v>
      </c>
      <c r="P76" s="3312"/>
      <c r="Q76" s="3461"/>
      <c r="R76" s="3461">
        <v>281850.41149999999</v>
      </c>
      <c r="S76" s="3311">
        <v>281850.41149999999</v>
      </c>
      <c r="T76" s="3312"/>
      <c r="BM76" s="3478"/>
    </row>
    <row r="77" spans="1:65" s="3477" customFormat="1" ht="16.5" hidden="1" customHeight="1" outlineLevel="1">
      <c r="A77" s="3464" t="s">
        <v>4038</v>
      </c>
      <c r="B77" s="3457" t="s">
        <v>4068</v>
      </c>
      <c r="C77" s="3458" t="s">
        <v>3000</v>
      </c>
      <c r="D77" s="3459" t="s">
        <v>4038</v>
      </c>
      <c r="E77" s="3465" t="s">
        <v>4069</v>
      </c>
      <c r="F77" s="3504">
        <v>1738.16577777778</v>
      </c>
      <c r="G77" s="3460" t="s">
        <v>4041</v>
      </c>
      <c r="H77" s="3505">
        <v>171</v>
      </c>
      <c r="I77" s="3461">
        <v>869.08288888888899</v>
      </c>
      <c r="J77" s="3413">
        <v>869.08288888888899</v>
      </c>
      <c r="K77" s="3461">
        <v>78217.460000000006</v>
      </c>
      <c r="L77" s="3461">
        <v>23465.238000000001</v>
      </c>
      <c r="M77" s="3312">
        <v>7821.7460000000001</v>
      </c>
      <c r="N77" s="3311">
        <v>86039.206000000006</v>
      </c>
      <c r="O77" s="3312">
        <v>52144.973333333299</v>
      </c>
      <c r="P77" s="3312">
        <v>130362</v>
      </c>
      <c r="Q77" s="3312">
        <v>78217.460000000006</v>
      </c>
      <c r="R77" s="3461"/>
      <c r="S77" s="3311">
        <v>78217.460000000006</v>
      </c>
      <c r="T77" s="3312">
        <v>78217.460000000006</v>
      </c>
      <c r="BM77" s="3478"/>
    </row>
    <row r="78" spans="1:65" s="3477" customFormat="1" ht="16.5" hidden="1" customHeight="1" outlineLevel="1">
      <c r="A78" s="3464" t="s">
        <v>4042</v>
      </c>
      <c r="B78" s="3457" t="s">
        <v>4068</v>
      </c>
      <c r="C78" s="3407" t="s">
        <v>3000</v>
      </c>
      <c r="D78" s="3408" t="s">
        <v>4042</v>
      </c>
      <c r="E78" s="3465" t="s">
        <v>4070</v>
      </c>
      <c r="F78" s="3504">
        <v>327.98799444444398</v>
      </c>
      <c r="G78" s="3460">
        <v>3.3</v>
      </c>
      <c r="H78" s="3461">
        <v>10.9329331481481</v>
      </c>
      <c r="I78" s="3461">
        <v>10.9329331481481</v>
      </c>
      <c r="J78" s="3506">
        <v>14759.45975</v>
      </c>
      <c r="K78" s="3507">
        <v>590378.39</v>
      </c>
      <c r="L78" s="3461"/>
      <c r="M78" s="3312">
        <v>12541.6345</v>
      </c>
      <c r="N78" s="3311">
        <v>602920.02450000006</v>
      </c>
      <c r="O78" s="3508">
        <v>83610.896666666697</v>
      </c>
      <c r="P78" s="3508">
        <v>216603.43</v>
      </c>
      <c r="Q78" s="3508">
        <v>590378.39</v>
      </c>
      <c r="R78" s="3461"/>
      <c r="S78" s="3311">
        <v>590378.39</v>
      </c>
      <c r="T78" s="3508">
        <v>590378.39</v>
      </c>
      <c r="BM78" s="3478"/>
    </row>
    <row r="79" spans="1:65" s="3477" customFormat="1" ht="16.5" hidden="1" customHeight="1" outlineLevel="1">
      <c r="A79" s="3464" t="s">
        <v>4044</v>
      </c>
      <c r="B79" s="3457" t="s">
        <v>4068</v>
      </c>
      <c r="C79" s="3407" t="s">
        <v>3000</v>
      </c>
      <c r="D79" s="3408" t="s">
        <v>4044</v>
      </c>
      <c r="E79" s="3465" t="s">
        <v>4071</v>
      </c>
      <c r="F79" s="3504">
        <v>20</v>
      </c>
      <c r="G79" s="3460">
        <v>5.0999999999999996</v>
      </c>
      <c r="H79" s="3461">
        <v>10</v>
      </c>
      <c r="I79" s="3461">
        <v>10</v>
      </c>
      <c r="J79" s="3413">
        <v>250</v>
      </c>
      <c r="K79" s="3461">
        <v>10000</v>
      </c>
      <c r="L79" s="3461"/>
      <c r="M79" s="3312">
        <v>1000.0005</v>
      </c>
      <c r="N79" s="3311">
        <v>11000.0005</v>
      </c>
      <c r="O79" s="3312">
        <v>6666.67</v>
      </c>
      <c r="P79" s="3312">
        <v>9090.91</v>
      </c>
      <c r="Q79" s="3312">
        <v>10000</v>
      </c>
      <c r="R79" s="3461"/>
      <c r="S79" s="3311">
        <v>10000</v>
      </c>
      <c r="T79" s="3312">
        <v>10000</v>
      </c>
      <c r="BM79" s="3478"/>
    </row>
    <row r="80" spans="1:65" s="3477" customFormat="1" ht="16.5" hidden="1" customHeight="1" outlineLevel="1">
      <c r="A80" s="3464" t="s">
        <v>3817</v>
      </c>
      <c r="B80" s="3457" t="s">
        <v>4068</v>
      </c>
      <c r="C80" s="3407" t="s">
        <v>3739</v>
      </c>
      <c r="D80" s="3408" t="s">
        <v>3817</v>
      </c>
      <c r="E80" s="3465" t="s">
        <v>4072</v>
      </c>
      <c r="F80" s="3413"/>
      <c r="G80" s="3460"/>
      <c r="H80" s="3461"/>
      <c r="I80" s="3461"/>
      <c r="J80" s="3507">
        <v>3849.2578378378398</v>
      </c>
      <c r="K80" s="3461"/>
      <c r="L80" s="3461"/>
      <c r="M80" s="3508">
        <v>142422.54</v>
      </c>
      <c r="N80" s="3311">
        <v>142422.54</v>
      </c>
      <c r="O80" s="3508">
        <v>142422.54</v>
      </c>
      <c r="P80" s="3312"/>
      <c r="Q80" s="3312"/>
      <c r="R80" s="3461"/>
      <c r="S80" s="3311">
        <v>0</v>
      </c>
      <c r="T80" s="3312"/>
      <c r="BM80" s="3478"/>
    </row>
    <row r="81" spans="1:65" s="3477" customFormat="1" ht="16.5" hidden="1" customHeight="1" outlineLevel="1">
      <c r="A81" s="3464" t="s">
        <v>3819</v>
      </c>
      <c r="B81" s="3457" t="s">
        <v>4068</v>
      </c>
      <c r="C81" s="3407" t="s">
        <v>3739</v>
      </c>
      <c r="D81" s="3408" t="s">
        <v>3819</v>
      </c>
      <c r="E81" s="3465" t="s">
        <v>4073</v>
      </c>
      <c r="F81" s="3413"/>
      <c r="G81" s="3463"/>
      <c r="H81" s="3461"/>
      <c r="I81" s="3461"/>
      <c r="J81" s="3507">
        <v>1579.74216216216</v>
      </c>
      <c r="K81" s="3461"/>
      <c r="L81" s="3461"/>
      <c r="M81" s="3508">
        <v>33919.078999999998</v>
      </c>
      <c r="N81" s="3311">
        <v>33919.078999999998</v>
      </c>
      <c r="O81" s="3508">
        <v>55282.46</v>
      </c>
      <c r="P81" s="3312"/>
      <c r="Q81" s="3312"/>
      <c r="R81" s="3509">
        <v>45812.522702702699</v>
      </c>
      <c r="S81" s="3311">
        <v>45812.522702702699</v>
      </c>
      <c r="T81" s="3312"/>
      <c r="BM81" s="3478"/>
    </row>
    <row r="82" spans="1:65" s="3477" customFormat="1" ht="16.5" hidden="1" customHeight="1" outlineLevel="1">
      <c r="A82" s="3464" t="s">
        <v>4074</v>
      </c>
      <c r="B82" s="3406" t="s">
        <v>4075</v>
      </c>
      <c r="C82" s="3458" t="s">
        <v>3826</v>
      </c>
      <c r="D82" s="3459" t="s">
        <v>4074</v>
      </c>
      <c r="E82" s="3465" t="s">
        <v>4076</v>
      </c>
      <c r="F82" s="3413">
        <v>4</v>
      </c>
      <c r="G82" s="3463">
        <v>3.3</v>
      </c>
      <c r="H82" s="3461">
        <v>1</v>
      </c>
      <c r="I82" s="3461">
        <v>1</v>
      </c>
      <c r="J82" s="3461"/>
      <c r="K82" s="3461">
        <v>65582.8</v>
      </c>
      <c r="L82" s="3461"/>
      <c r="M82" s="3312"/>
      <c r="N82" s="3311">
        <v>65582.8</v>
      </c>
      <c r="O82" s="3312">
        <v>16395.7</v>
      </c>
      <c r="P82" s="3312">
        <v>93707</v>
      </c>
      <c r="Q82" s="3312"/>
      <c r="R82" s="3461"/>
      <c r="S82" s="3311">
        <v>0</v>
      </c>
      <c r="T82" s="3312">
        <v>65582.8</v>
      </c>
      <c r="BM82" s="3478"/>
    </row>
    <row r="83" spans="1:65" s="3477" customFormat="1" ht="16.5" hidden="1" customHeight="1" outlineLevel="1">
      <c r="A83" s="3464" t="s">
        <v>4077</v>
      </c>
      <c r="B83" s="3406" t="s">
        <v>4075</v>
      </c>
      <c r="C83" s="3407" t="s">
        <v>3826</v>
      </c>
      <c r="D83" s="3408" t="s">
        <v>4077</v>
      </c>
      <c r="E83" s="3465" t="s">
        <v>4078</v>
      </c>
      <c r="F83" s="3413">
        <v>11.999985542186099</v>
      </c>
      <c r="G83" s="3463">
        <v>4.2</v>
      </c>
      <c r="H83" s="3461">
        <v>1</v>
      </c>
      <c r="I83" s="3461">
        <v>1</v>
      </c>
      <c r="J83" s="3461"/>
      <c r="K83" s="3461">
        <v>33200</v>
      </c>
      <c r="L83" s="3461"/>
      <c r="M83" s="3312"/>
      <c r="N83" s="3311">
        <v>33200</v>
      </c>
      <c r="O83" s="3312">
        <v>2766.67</v>
      </c>
      <c r="P83" s="3312">
        <v>14668</v>
      </c>
      <c r="Q83" s="3312"/>
      <c r="R83" s="3461"/>
      <c r="S83" s="3311">
        <v>0</v>
      </c>
      <c r="T83" s="3312">
        <v>33200</v>
      </c>
      <c r="BM83" s="3478"/>
    </row>
    <row r="84" spans="1:65" s="3477" customFormat="1" ht="16.5" hidden="1" customHeight="1" outlineLevel="1">
      <c r="A84" s="3464" t="s">
        <v>3817</v>
      </c>
      <c r="B84" s="3406" t="s">
        <v>4075</v>
      </c>
      <c r="C84" s="3407" t="s">
        <v>3739</v>
      </c>
      <c r="D84" s="3408" t="s">
        <v>3817</v>
      </c>
      <c r="E84" s="3465" t="s">
        <v>4079</v>
      </c>
      <c r="F84" s="3413"/>
      <c r="G84" s="3463"/>
      <c r="H84" s="3461"/>
      <c r="I84" s="3461"/>
      <c r="J84" s="3461">
        <v>75</v>
      </c>
      <c r="K84" s="3461"/>
      <c r="L84" s="3461"/>
      <c r="M84" s="3312">
        <v>2767</v>
      </c>
      <c r="N84" s="3311">
        <v>2767</v>
      </c>
      <c r="O84" s="3312">
        <v>2767</v>
      </c>
      <c r="P84" s="3312"/>
      <c r="Q84" s="3312"/>
      <c r="R84" s="3461"/>
      <c r="S84" s="3311">
        <v>0</v>
      </c>
      <c r="T84" s="3312"/>
      <c r="BM84" s="3478"/>
    </row>
    <row r="85" spans="1:65" s="3477" customFormat="1" ht="16.5" hidden="1" customHeight="1" outlineLevel="1">
      <c r="A85" s="3464" t="s">
        <v>3819</v>
      </c>
      <c r="B85" s="3406" t="s">
        <v>4075</v>
      </c>
      <c r="C85" s="3407" t="s">
        <v>3739</v>
      </c>
      <c r="D85" s="3408" t="s">
        <v>3819</v>
      </c>
      <c r="E85" s="3465" t="s">
        <v>4080</v>
      </c>
      <c r="F85" s="3413"/>
      <c r="G85" s="3463"/>
      <c r="H85" s="3461"/>
      <c r="I85" s="3461"/>
      <c r="J85" s="3461">
        <v>191</v>
      </c>
      <c r="K85" s="3461"/>
      <c r="L85" s="3461"/>
      <c r="M85" s="3312">
        <v>6679</v>
      </c>
      <c r="N85" s="3311">
        <v>6679</v>
      </c>
      <c r="O85" s="3312">
        <v>6679</v>
      </c>
      <c r="P85" s="3312"/>
      <c r="Q85" s="3312"/>
      <c r="R85" s="3461"/>
      <c r="S85" s="3311">
        <v>0</v>
      </c>
      <c r="T85" s="3312"/>
      <c r="BM85" s="3478"/>
    </row>
    <row r="86" spans="1:65" s="3477" customFormat="1" ht="16.5" hidden="1" customHeight="1" outlineLevel="1">
      <c r="A86" s="3464"/>
      <c r="B86" s="3406"/>
      <c r="C86" s="3407"/>
      <c r="D86" s="3408"/>
      <c r="E86" s="3465"/>
      <c r="F86" s="3413"/>
      <c r="G86" s="3463"/>
      <c r="H86" s="3461"/>
      <c r="I86" s="3461"/>
      <c r="J86" s="3461"/>
      <c r="K86" s="3461"/>
      <c r="L86" s="3461"/>
      <c r="M86" s="3312"/>
      <c r="N86" s="3311"/>
      <c r="O86" s="3312"/>
      <c r="P86" s="3312"/>
      <c r="Q86" s="3312"/>
      <c r="R86" s="3461"/>
      <c r="S86" s="3311"/>
      <c r="T86" s="3312"/>
      <c r="BM86" s="3478"/>
    </row>
    <row r="87" spans="1:65" s="3477" customFormat="1" ht="16.5" hidden="1" customHeight="1" outlineLevel="1">
      <c r="A87" s="3464"/>
      <c r="B87" s="3406"/>
      <c r="C87" s="3407"/>
      <c r="D87" s="3408"/>
      <c r="E87" s="3465" t="s">
        <v>3453</v>
      </c>
      <c r="F87" s="3413"/>
      <c r="G87" s="3463"/>
      <c r="H87" s="3461"/>
      <c r="I87" s="3461"/>
      <c r="J87" s="3461"/>
      <c r="K87" s="3461"/>
      <c r="L87" s="3461"/>
      <c r="M87" s="3312"/>
      <c r="N87" s="3311">
        <v>0</v>
      </c>
      <c r="O87" s="3312"/>
      <c r="P87" s="3312"/>
      <c r="Q87" s="3312"/>
      <c r="R87" s="3461"/>
      <c r="S87" s="3311">
        <v>0</v>
      </c>
      <c r="T87" s="3312"/>
      <c r="BM87" s="3478"/>
    </row>
    <row r="88" spans="1:65" s="3477" customFormat="1" ht="16.5" hidden="1" customHeight="1" outlineLevel="1">
      <c r="A88" s="3464" t="s">
        <v>3749</v>
      </c>
      <c r="B88" s="3457" t="s">
        <v>4081</v>
      </c>
      <c r="C88" s="3458" t="s">
        <v>913</v>
      </c>
      <c r="D88" s="3459" t="s">
        <v>3749</v>
      </c>
      <c r="E88" s="3465" t="s">
        <v>4082</v>
      </c>
      <c r="F88" s="3413">
        <v>1902</v>
      </c>
      <c r="G88" s="3463">
        <v>3</v>
      </c>
      <c r="H88" s="3461">
        <v>85</v>
      </c>
      <c r="I88" s="3461">
        <v>85</v>
      </c>
      <c r="J88" s="3461">
        <v>8356</v>
      </c>
      <c r="K88" s="3461">
        <v>973730.1</v>
      </c>
      <c r="L88" s="3461">
        <v>37769.964</v>
      </c>
      <c r="M88" s="3312">
        <v>8109.84</v>
      </c>
      <c r="N88" s="3311">
        <v>981839.94</v>
      </c>
      <c r="O88" s="3312">
        <v>54065.599999999999</v>
      </c>
      <c r="P88" s="3312">
        <v>313059.40000000002</v>
      </c>
      <c r="Q88" s="3461">
        <v>944249.1</v>
      </c>
      <c r="R88" s="3461"/>
      <c r="S88" s="3311">
        <v>944249.1</v>
      </c>
      <c r="T88" s="3312">
        <v>951069.1</v>
      </c>
      <c r="BM88" s="3478"/>
    </row>
    <row r="89" spans="1:65" s="3477" customFormat="1" ht="16.5" hidden="1" customHeight="1" outlineLevel="1">
      <c r="A89" s="3464" t="s">
        <v>3736</v>
      </c>
      <c r="B89" s="3457" t="s">
        <v>4081</v>
      </c>
      <c r="C89" s="3407" t="s">
        <v>913</v>
      </c>
      <c r="D89" s="3408" t="s">
        <v>3736</v>
      </c>
      <c r="E89" s="3465" t="s">
        <v>4083</v>
      </c>
      <c r="F89" s="3413">
        <v>422</v>
      </c>
      <c r="G89" s="3463">
        <v>3.3</v>
      </c>
      <c r="H89" s="3461">
        <v>25</v>
      </c>
      <c r="I89" s="3461">
        <v>49</v>
      </c>
      <c r="J89" s="3461">
        <v>553</v>
      </c>
      <c r="K89" s="3461">
        <v>100255.5</v>
      </c>
      <c r="L89" s="3461">
        <v>10022.549999999999</v>
      </c>
      <c r="M89" s="3312">
        <v>1931.25</v>
      </c>
      <c r="N89" s="3311">
        <v>102186.75</v>
      </c>
      <c r="O89" s="3312">
        <v>12875</v>
      </c>
      <c r="P89" s="3312">
        <v>45052.78</v>
      </c>
      <c r="Q89" s="3461">
        <v>100225.5</v>
      </c>
      <c r="R89" s="3461"/>
      <c r="S89" s="3311">
        <v>100225.5</v>
      </c>
      <c r="T89" s="3312">
        <v>100225.5</v>
      </c>
      <c r="BM89" s="3478"/>
    </row>
    <row r="90" spans="1:65" s="3477" customFormat="1" ht="16.5" hidden="1" customHeight="1" outlineLevel="1">
      <c r="A90" s="3464" t="s">
        <v>3737</v>
      </c>
      <c r="B90" s="3457" t="s">
        <v>4081</v>
      </c>
      <c r="C90" s="3407" t="s">
        <v>913</v>
      </c>
      <c r="D90" s="3408" t="s">
        <v>3737</v>
      </c>
      <c r="E90" s="3465" t="s">
        <v>4084</v>
      </c>
      <c r="F90" s="3413">
        <v>612</v>
      </c>
      <c r="G90" s="3463">
        <v>3.1</v>
      </c>
      <c r="H90" s="3461">
        <v>43</v>
      </c>
      <c r="I90" s="3461">
        <v>153</v>
      </c>
      <c r="J90" s="3461">
        <v>612</v>
      </c>
      <c r="K90" s="3461">
        <v>96308</v>
      </c>
      <c r="L90" s="3461">
        <v>19261.599999999999</v>
      </c>
      <c r="M90" s="3312">
        <v>5785.5</v>
      </c>
      <c r="N90" s="3311">
        <v>102093.5</v>
      </c>
      <c r="O90" s="3312">
        <v>38570</v>
      </c>
      <c r="P90" s="3312">
        <v>103661.8</v>
      </c>
      <c r="Q90" s="3461">
        <v>96308</v>
      </c>
      <c r="R90" s="3461"/>
      <c r="S90" s="3311">
        <v>96308</v>
      </c>
      <c r="T90" s="3312">
        <v>96308</v>
      </c>
      <c r="BM90" s="3478"/>
    </row>
    <row r="91" spans="1:65" s="3477" customFormat="1" ht="16.5" hidden="1" customHeight="1" outlineLevel="1">
      <c r="A91" s="3464" t="s">
        <v>4021</v>
      </c>
      <c r="B91" s="3457" t="s">
        <v>4081</v>
      </c>
      <c r="C91" s="3407" t="s">
        <v>3000</v>
      </c>
      <c r="D91" s="3408" t="s">
        <v>4021</v>
      </c>
      <c r="E91" s="3465" t="s">
        <v>4085</v>
      </c>
      <c r="F91" s="3413">
        <v>28</v>
      </c>
      <c r="G91" s="3463">
        <v>5.0999999999999996</v>
      </c>
      <c r="H91" s="3461">
        <v>28</v>
      </c>
      <c r="I91" s="3461">
        <v>28</v>
      </c>
      <c r="J91" s="3461">
        <v>290</v>
      </c>
      <c r="K91" s="3461">
        <v>11593.1</v>
      </c>
      <c r="L91" s="3461"/>
      <c r="M91" s="3312">
        <v>1738.9649999999999</v>
      </c>
      <c r="N91" s="3311">
        <v>13332.065000000001</v>
      </c>
      <c r="O91" s="3312">
        <v>11593.1</v>
      </c>
      <c r="P91" s="3312">
        <v>11593.1</v>
      </c>
      <c r="Q91" s="3312">
        <v>11593</v>
      </c>
      <c r="R91" s="3461"/>
      <c r="S91" s="3311">
        <v>11593</v>
      </c>
      <c r="T91" s="3312">
        <v>11593</v>
      </c>
      <c r="BM91" s="3478"/>
    </row>
    <row r="92" spans="1:65" s="3477" customFormat="1" ht="16.5" hidden="1" customHeight="1" outlineLevel="1">
      <c r="A92" s="3464" t="s">
        <v>3817</v>
      </c>
      <c r="B92" s="3457" t="s">
        <v>4081</v>
      </c>
      <c r="C92" s="3407" t="s">
        <v>3739</v>
      </c>
      <c r="D92" s="3408" t="s">
        <v>3817</v>
      </c>
      <c r="E92" s="3465" t="s">
        <v>4086</v>
      </c>
      <c r="F92" s="3413"/>
      <c r="G92" s="3463"/>
      <c r="H92" s="3461"/>
      <c r="I92" s="3461"/>
      <c r="J92" s="3461">
        <v>2076</v>
      </c>
      <c r="K92" s="3461"/>
      <c r="L92" s="3461"/>
      <c r="M92" s="3312">
        <v>72677</v>
      </c>
      <c r="N92" s="3311">
        <v>72677</v>
      </c>
      <c r="O92" s="3493">
        <v>72677</v>
      </c>
      <c r="P92" s="3312"/>
      <c r="Q92" s="3312"/>
      <c r="R92" s="3461"/>
      <c r="S92" s="3311">
        <v>0</v>
      </c>
      <c r="T92" s="3312"/>
      <c r="BM92" s="3478"/>
    </row>
    <row r="93" spans="1:65" s="3477" customFormat="1" ht="16.5" hidden="1" customHeight="1" outlineLevel="1">
      <c r="A93" s="3464" t="s">
        <v>3819</v>
      </c>
      <c r="B93" s="3457" t="s">
        <v>4081</v>
      </c>
      <c r="C93" s="3407" t="s">
        <v>3739</v>
      </c>
      <c r="D93" s="3408" t="s">
        <v>3819</v>
      </c>
      <c r="E93" s="3465" t="s">
        <v>4087</v>
      </c>
      <c r="F93" s="3413"/>
      <c r="G93" s="3463"/>
      <c r="H93" s="3461"/>
      <c r="I93" s="3461"/>
      <c r="J93" s="3461">
        <v>7245</v>
      </c>
      <c r="K93" s="3461"/>
      <c r="L93" s="3461"/>
      <c r="M93" s="3312">
        <v>221513.44500000001</v>
      </c>
      <c r="N93" s="3311">
        <v>221513.44500000001</v>
      </c>
      <c r="O93" s="3312">
        <v>239079</v>
      </c>
      <c r="P93" s="3312"/>
      <c r="Q93" s="3312"/>
      <c r="R93" s="3461">
        <v>221513.44500000001</v>
      </c>
      <c r="S93" s="3311">
        <v>221513.44500000001</v>
      </c>
      <c r="T93" s="3312"/>
      <c r="BM93" s="3478"/>
    </row>
    <row r="94" spans="1:65" s="3477" customFormat="1" ht="16.5" hidden="1" customHeight="1" outlineLevel="1">
      <c r="A94" s="3464" t="s">
        <v>4038</v>
      </c>
      <c r="B94" s="3406" t="s">
        <v>4088</v>
      </c>
      <c r="C94" s="3458" t="s">
        <v>3000</v>
      </c>
      <c r="D94" s="3459" t="s">
        <v>4038</v>
      </c>
      <c r="E94" s="3465" t="s">
        <v>4089</v>
      </c>
      <c r="F94" s="3413">
        <v>365.10977777777799</v>
      </c>
      <c r="G94" s="3460" t="s">
        <v>4041</v>
      </c>
      <c r="H94" s="3505">
        <v>45.638722222222199</v>
      </c>
      <c r="I94" s="3505">
        <v>182.554888888889</v>
      </c>
      <c r="J94" s="3461">
        <v>222</v>
      </c>
      <c r="K94" s="3461">
        <v>16429.939999999999</v>
      </c>
      <c r="L94" s="3461">
        <v>4928.982</v>
      </c>
      <c r="M94" s="3312">
        <v>1642.95</v>
      </c>
      <c r="N94" s="3311">
        <v>18072.89</v>
      </c>
      <c r="O94" s="3312">
        <v>10953</v>
      </c>
      <c r="P94" s="3312">
        <v>27383</v>
      </c>
      <c r="Q94" s="3312">
        <v>16429.939999999999</v>
      </c>
      <c r="R94" s="3461"/>
      <c r="S94" s="3311">
        <v>16429.939999999999</v>
      </c>
      <c r="T94" s="3312">
        <v>16429.939999999999</v>
      </c>
      <c r="BM94" s="3478"/>
    </row>
    <row r="95" spans="1:65" s="3477" customFormat="1" ht="16.5" hidden="1" customHeight="1" outlineLevel="1">
      <c r="A95" s="3464" t="s">
        <v>4090</v>
      </c>
      <c r="B95" s="3495" t="s">
        <v>4088</v>
      </c>
      <c r="C95" s="3496" t="s">
        <v>3000</v>
      </c>
      <c r="D95" s="3497" t="s">
        <v>4090</v>
      </c>
      <c r="E95" s="3465" t="s">
        <v>4091</v>
      </c>
      <c r="F95" s="3413">
        <v>408.62222222222198</v>
      </c>
      <c r="G95" s="3463">
        <v>3.1</v>
      </c>
      <c r="H95" s="3461">
        <v>51.077777777777797</v>
      </c>
      <c r="I95" s="3461">
        <v>204.31111111111099</v>
      </c>
      <c r="J95" s="3461">
        <v>204.31111111111099</v>
      </c>
      <c r="K95" s="3461">
        <v>18388</v>
      </c>
      <c r="L95" s="3461">
        <v>3677.6</v>
      </c>
      <c r="M95" s="3312">
        <v>2537.9499999999998</v>
      </c>
      <c r="N95" s="3311">
        <v>20925.95</v>
      </c>
      <c r="O95" s="3312">
        <v>11033</v>
      </c>
      <c r="P95" s="3312">
        <v>14583</v>
      </c>
      <c r="Q95" s="3312">
        <v>18388</v>
      </c>
      <c r="R95" s="3461"/>
      <c r="S95" s="3311">
        <v>18388</v>
      </c>
      <c r="T95" s="3312">
        <v>18388</v>
      </c>
      <c r="BM95" s="3478"/>
    </row>
    <row r="96" spans="1:65" s="3477" customFormat="1" ht="16.5" hidden="1" customHeight="1" outlineLevel="1">
      <c r="A96" s="3464" t="s">
        <v>4059</v>
      </c>
      <c r="B96" s="3495" t="s">
        <v>4088</v>
      </c>
      <c r="C96" s="3496" t="s">
        <v>3000</v>
      </c>
      <c r="D96" s="3497" t="s">
        <v>4059</v>
      </c>
      <c r="E96" s="3465" t="s">
        <v>4092</v>
      </c>
      <c r="F96" s="3413">
        <v>3</v>
      </c>
      <c r="G96" s="3460">
        <v>3.3</v>
      </c>
      <c r="H96" s="3461">
        <v>1</v>
      </c>
      <c r="I96" s="3461">
        <v>1</v>
      </c>
      <c r="J96" s="3461">
        <v>48</v>
      </c>
      <c r="K96" s="3461">
        <v>4320</v>
      </c>
      <c r="L96" s="3461"/>
      <c r="M96" s="3312"/>
      <c r="N96" s="3311">
        <v>4320</v>
      </c>
      <c r="O96" s="3312">
        <v>1440</v>
      </c>
      <c r="P96" s="3312">
        <v>6480</v>
      </c>
      <c r="Q96" s="3312">
        <v>4320</v>
      </c>
      <c r="R96" s="3461"/>
      <c r="S96" s="3311">
        <v>4320</v>
      </c>
      <c r="T96" s="3312">
        <v>4320</v>
      </c>
      <c r="BM96" s="3478"/>
    </row>
    <row r="97" spans="1:65" s="3477" customFormat="1" ht="16.5" hidden="1" customHeight="1" outlineLevel="1">
      <c r="A97" s="3464" t="s">
        <v>4044</v>
      </c>
      <c r="B97" s="3406" t="s">
        <v>4088</v>
      </c>
      <c r="C97" s="3407" t="s">
        <v>3000</v>
      </c>
      <c r="D97" s="3408" t="s">
        <v>4044</v>
      </c>
      <c r="E97" s="3465" t="s">
        <v>4093</v>
      </c>
      <c r="F97" s="3510">
        <v>14.212300000000001</v>
      </c>
      <c r="G97" s="3460">
        <v>5.0999999999999996</v>
      </c>
      <c r="H97" s="3461">
        <v>2.40146869724932</v>
      </c>
      <c r="I97" s="3461">
        <v>3</v>
      </c>
      <c r="J97" s="3461">
        <v>444</v>
      </c>
      <c r="K97" s="3461">
        <v>14212.3</v>
      </c>
      <c r="L97" s="3461"/>
      <c r="M97" s="3312">
        <v>887.72550000000001</v>
      </c>
      <c r="N97" s="3311">
        <v>15100.0255</v>
      </c>
      <c r="O97" s="3312">
        <v>5918.17</v>
      </c>
      <c r="P97" s="3312">
        <v>14795.42</v>
      </c>
      <c r="Q97" s="3312">
        <v>14212.3</v>
      </c>
      <c r="R97" s="3461"/>
      <c r="S97" s="3311">
        <v>14212.3</v>
      </c>
      <c r="T97" s="3312">
        <v>14212.3</v>
      </c>
      <c r="BM97" s="3478"/>
    </row>
    <row r="98" spans="1:65" s="3477" customFormat="1" ht="16.5" hidden="1" customHeight="1" outlineLevel="1">
      <c r="A98" s="3464" t="s">
        <v>4094</v>
      </c>
      <c r="B98" s="3406" t="s">
        <v>4088</v>
      </c>
      <c r="C98" s="3407" t="s">
        <v>3000</v>
      </c>
      <c r="D98" s="3408" t="s">
        <v>4094</v>
      </c>
      <c r="E98" s="3465" t="s">
        <v>4095</v>
      </c>
      <c r="F98" s="3413">
        <v>6</v>
      </c>
      <c r="G98" s="3460">
        <v>3.3</v>
      </c>
      <c r="H98" s="3461">
        <v>1</v>
      </c>
      <c r="I98" s="3461">
        <v>1</v>
      </c>
      <c r="J98" s="3461"/>
      <c r="K98" s="3461">
        <v>15000</v>
      </c>
      <c r="L98" s="3461"/>
      <c r="M98" s="3312">
        <v>375</v>
      </c>
      <c r="N98" s="3311">
        <v>15375</v>
      </c>
      <c r="O98" s="3312">
        <v>2500</v>
      </c>
      <c r="P98" s="3312">
        <v>6250</v>
      </c>
      <c r="Q98" s="3408">
        <v>15000</v>
      </c>
      <c r="R98" s="3461"/>
      <c r="S98" s="3311">
        <v>15000</v>
      </c>
      <c r="T98" s="3312">
        <v>15000</v>
      </c>
      <c r="BM98" s="3478"/>
    </row>
    <row r="99" spans="1:65" s="3477" customFormat="1" ht="16.5" hidden="1" customHeight="1" outlineLevel="1">
      <c r="A99" s="3464" t="s">
        <v>4042</v>
      </c>
      <c r="B99" s="3406" t="s">
        <v>4088</v>
      </c>
      <c r="C99" s="3407" t="s">
        <v>3000</v>
      </c>
      <c r="D99" s="3408" t="s">
        <v>4042</v>
      </c>
      <c r="E99" s="3465" t="s">
        <v>4096</v>
      </c>
      <c r="F99" s="3413">
        <v>30</v>
      </c>
      <c r="G99" s="3460">
        <v>3.3</v>
      </c>
      <c r="H99" s="3507">
        <v>2</v>
      </c>
      <c r="I99" s="3507">
        <v>2</v>
      </c>
      <c r="J99" s="3511">
        <v>1150.922</v>
      </c>
      <c r="K99" s="3507">
        <v>46036.88</v>
      </c>
      <c r="L99" s="3507"/>
      <c r="M99" s="3508">
        <v>3900.3</v>
      </c>
      <c r="N99" s="3311">
        <v>49937.18</v>
      </c>
      <c r="O99" s="3508">
        <v>26002</v>
      </c>
      <c r="P99" s="3508">
        <v>39179.99</v>
      </c>
      <c r="Q99" s="3508">
        <v>46036.88</v>
      </c>
      <c r="R99" s="3461"/>
      <c r="S99" s="3311">
        <v>46036.88</v>
      </c>
      <c r="T99" s="3508">
        <v>46036.88</v>
      </c>
      <c r="BM99" s="3478"/>
    </row>
    <row r="100" spans="1:65" s="3477" customFormat="1" ht="16.5" hidden="1" customHeight="1" outlineLevel="1">
      <c r="A100" s="3464" t="s">
        <v>3817</v>
      </c>
      <c r="B100" s="3406" t="s">
        <v>4088</v>
      </c>
      <c r="C100" s="3407" t="s">
        <v>3739</v>
      </c>
      <c r="D100" s="3408" t="s">
        <v>3817</v>
      </c>
      <c r="E100" s="3465" t="s">
        <v>4097</v>
      </c>
      <c r="F100" s="3413"/>
      <c r="G100" s="3463"/>
      <c r="H100" s="3461"/>
      <c r="I100" s="3461"/>
      <c r="J100" s="3507">
        <v>458.16216216216202</v>
      </c>
      <c r="K100" s="3461"/>
      <c r="L100" s="3461"/>
      <c r="M100" s="3508">
        <v>16952</v>
      </c>
      <c r="N100" s="3311">
        <v>16952</v>
      </c>
      <c r="O100" s="3508">
        <v>16952</v>
      </c>
      <c r="P100" s="3312"/>
      <c r="Q100" s="3312"/>
      <c r="R100" s="3461"/>
      <c r="S100" s="3311">
        <v>0</v>
      </c>
      <c r="T100" s="3312"/>
      <c r="BM100" s="3478"/>
    </row>
    <row r="101" spans="1:65" s="3477" customFormat="1" ht="16.5" hidden="1" customHeight="1" outlineLevel="1">
      <c r="A101" s="3464" t="s">
        <v>3819</v>
      </c>
      <c r="B101" s="3406" t="s">
        <v>4088</v>
      </c>
      <c r="C101" s="3407" t="s">
        <v>3739</v>
      </c>
      <c r="D101" s="3408" t="s">
        <v>3819</v>
      </c>
      <c r="E101" s="3465" t="s">
        <v>4098</v>
      </c>
      <c r="F101" s="3413"/>
      <c r="G101" s="3463"/>
      <c r="H101" s="3461"/>
      <c r="I101" s="3461"/>
      <c r="J101" s="3507">
        <v>531.83783783783804</v>
      </c>
      <c r="K101" s="3461"/>
      <c r="L101" s="3461"/>
      <c r="M101" s="3508">
        <v>9265.0745000000006</v>
      </c>
      <c r="N101" s="3311">
        <v>9265.0745000000006</v>
      </c>
      <c r="O101" s="3508">
        <v>18609</v>
      </c>
      <c r="P101" s="3312"/>
      <c r="Q101" s="3312"/>
      <c r="R101" s="3509">
        <v>15955.1351351351</v>
      </c>
      <c r="S101" s="3311">
        <v>15955.1351351351</v>
      </c>
      <c r="T101" s="3312"/>
      <c r="BM101" s="3478"/>
    </row>
    <row r="102" spans="1:65" s="3477" customFormat="1" ht="16.5" hidden="1" customHeight="1" outlineLevel="1">
      <c r="A102" s="3464" t="s">
        <v>4099</v>
      </c>
      <c r="B102" s="3457" t="s">
        <v>4100</v>
      </c>
      <c r="C102" s="3458" t="s">
        <v>3826</v>
      </c>
      <c r="D102" s="3459" t="s">
        <v>4099</v>
      </c>
      <c r="E102" s="3465" t="s">
        <v>4101</v>
      </c>
      <c r="F102" s="3413"/>
      <c r="G102" s="3463"/>
      <c r="H102" s="3461"/>
      <c r="I102" s="3461"/>
      <c r="J102" s="3461"/>
      <c r="K102" s="3461">
        <v>6387.6</v>
      </c>
      <c r="L102" s="3461"/>
      <c r="M102" s="3312"/>
      <c r="N102" s="3311">
        <v>6387.6</v>
      </c>
      <c r="O102" s="3312">
        <v>5500</v>
      </c>
      <c r="P102" s="3312">
        <v>10646</v>
      </c>
      <c r="Q102" s="3312"/>
      <c r="R102" s="3461"/>
      <c r="S102" s="3311">
        <v>0</v>
      </c>
      <c r="T102" s="3312">
        <v>6387.6</v>
      </c>
      <c r="BM102" s="3478"/>
    </row>
    <row r="103" spans="1:65" s="3477" customFormat="1" ht="16.5" hidden="1" customHeight="1" outlineLevel="1">
      <c r="A103" s="3464" t="s">
        <v>3817</v>
      </c>
      <c r="B103" s="3457" t="s">
        <v>4100</v>
      </c>
      <c r="C103" s="3407" t="s">
        <v>3739</v>
      </c>
      <c r="D103" s="3408" t="s">
        <v>3817</v>
      </c>
      <c r="E103" s="3465" t="s">
        <v>4102</v>
      </c>
      <c r="F103" s="3413"/>
      <c r="G103" s="3463"/>
      <c r="H103" s="3461"/>
      <c r="I103" s="3461"/>
      <c r="J103" s="3461"/>
      <c r="K103" s="3461"/>
      <c r="L103" s="3461"/>
      <c r="M103" s="3312"/>
      <c r="N103" s="3311">
        <v>0</v>
      </c>
      <c r="O103" s="3312"/>
      <c r="P103" s="3312"/>
      <c r="Q103" s="3312"/>
      <c r="R103" s="3461"/>
      <c r="S103" s="3311">
        <v>0</v>
      </c>
      <c r="T103" s="3312"/>
      <c r="BM103" s="3478"/>
    </row>
    <row r="104" spans="1:65" s="3477" customFormat="1" ht="16.5" hidden="1" customHeight="1" outlineLevel="1">
      <c r="A104" s="3464" t="s">
        <v>3819</v>
      </c>
      <c r="B104" s="3457" t="s">
        <v>4100</v>
      </c>
      <c r="C104" s="3407" t="s">
        <v>3739</v>
      </c>
      <c r="D104" s="3408" t="s">
        <v>3819</v>
      </c>
      <c r="E104" s="3465" t="s">
        <v>4103</v>
      </c>
      <c r="F104" s="3413"/>
      <c r="G104" s="3463"/>
      <c r="H104" s="3461"/>
      <c r="I104" s="3461"/>
      <c r="J104" s="3461"/>
      <c r="K104" s="3461"/>
      <c r="L104" s="3461"/>
      <c r="M104" s="3312"/>
      <c r="N104" s="3311">
        <v>0</v>
      </c>
      <c r="O104" s="3312"/>
      <c r="P104" s="3312"/>
      <c r="Q104" s="3312"/>
      <c r="R104" s="3461"/>
      <c r="S104" s="3311">
        <v>0</v>
      </c>
      <c r="T104" s="3312"/>
      <c r="BM104" s="3478"/>
    </row>
    <row r="105" spans="1:65" s="3477" customFormat="1" ht="16.5" hidden="1" customHeight="1" outlineLevel="1">
      <c r="A105" s="3464"/>
      <c r="B105" s="3407"/>
      <c r="C105" s="3407"/>
      <c r="D105" s="3408"/>
      <c r="E105" s="3465"/>
      <c r="F105" s="3413"/>
      <c r="G105" s="3463"/>
      <c r="H105" s="3461"/>
      <c r="I105" s="3461"/>
      <c r="J105" s="3461"/>
      <c r="K105" s="3461"/>
      <c r="L105" s="3461"/>
      <c r="M105" s="3312"/>
      <c r="N105" s="3311">
        <v>0</v>
      </c>
      <c r="O105" s="3312"/>
      <c r="P105" s="3312"/>
      <c r="Q105" s="3312"/>
      <c r="R105" s="3461"/>
      <c r="S105" s="3311"/>
      <c r="T105" s="3312"/>
      <c r="BM105" s="3478"/>
    </row>
    <row r="106" spans="1:65" s="3477" customFormat="1" ht="16.5" hidden="1" customHeight="1" outlineLevel="1">
      <c r="A106" s="3464"/>
      <c r="B106" s="3406"/>
      <c r="C106" s="3407"/>
      <c r="D106" s="3408"/>
      <c r="E106" s="3465" t="s">
        <v>3453</v>
      </c>
      <c r="F106" s="3413"/>
      <c r="G106" s="3463"/>
      <c r="H106" s="3461"/>
      <c r="I106" s="3461"/>
      <c r="J106" s="3461"/>
      <c r="K106" s="3461"/>
      <c r="L106" s="3461"/>
      <c r="M106" s="3312"/>
      <c r="N106" s="3311">
        <v>0</v>
      </c>
      <c r="O106" s="3312"/>
      <c r="P106" s="3312"/>
      <c r="Q106" s="3312"/>
      <c r="R106" s="3461"/>
      <c r="S106" s="3311">
        <v>0</v>
      </c>
      <c r="T106" s="3312"/>
      <c r="BM106" s="3478"/>
    </row>
    <row r="107" spans="1:65" s="3477" customFormat="1" ht="16.5" hidden="1" customHeight="1" outlineLevel="1">
      <c r="A107" s="3464" t="s">
        <v>3749</v>
      </c>
      <c r="B107" s="3457" t="s">
        <v>4104</v>
      </c>
      <c r="C107" s="3458" t="s">
        <v>913</v>
      </c>
      <c r="D107" s="3459" t="s">
        <v>3749</v>
      </c>
      <c r="E107" s="3465" t="s">
        <v>4105</v>
      </c>
      <c r="F107" s="3413">
        <v>2926</v>
      </c>
      <c r="G107" s="3463">
        <v>3</v>
      </c>
      <c r="H107" s="3461">
        <v>90</v>
      </c>
      <c r="I107" s="3461">
        <v>113</v>
      </c>
      <c r="J107" s="3461">
        <v>11704</v>
      </c>
      <c r="K107" s="3461">
        <v>1303397.1000000001</v>
      </c>
      <c r="L107" s="3312">
        <v>51497.796000000002</v>
      </c>
      <c r="M107" s="3312">
        <v>9217.35</v>
      </c>
      <c r="N107" s="3311">
        <v>1312614.45</v>
      </c>
      <c r="O107" s="3312">
        <v>61449</v>
      </c>
      <c r="P107" s="3312">
        <v>415304.81</v>
      </c>
      <c r="Q107" s="3461">
        <v>1287444.8999999999</v>
      </c>
      <c r="R107" s="3461"/>
      <c r="S107" s="3311">
        <v>1287444.8999999999</v>
      </c>
      <c r="T107" s="3312">
        <v>1294670.8999999999</v>
      </c>
      <c r="BM107" s="3478"/>
    </row>
    <row r="108" spans="1:65" s="3477" customFormat="1" ht="16.5" hidden="1" customHeight="1" outlineLevel="1">
      <c r="A108" s="3464" t="s">
        <v>3736</v>
      </c>
      <c r="B108" s="3457" t="s">
        <v>4104</v>
      </c>
      <c r="C108" s="3407" t="s">
        <v>913</v>
      </c>
      <c r="D108" s="3408" t="s">
        <v>3736</v>
      </c>
      <c r="E108" s="3465" t="s">
        <v>4106</v>
      </c>
      <c r="F108" s="3413">
        <v>99</v>
      </c>
      <c r="G108" s="3463">
        <v>3.3</v>
      </c>
      <c r="H108" s="3461">
        <v>8</v>
      </c>
      <c r="I108" s="3461">
        <v>15</v>
      </c>
      <c r="J108" s="3461">
        <v>198</v>
      </c>
      <c r="K108" s="3461">
        <v>23711.5</v>
      </c>
      <c r="L108" s="3312">
        <v>2371.15</v>
      </c>
      <c r="M108" s="3312">
        <v>480</v>
      </c>
      <c r="N108" s="3311">
        <v>24191.5</v>
      </c>
      <c r="O108" s="3312">
        <v>3200</v>
      </c>
      <c r="P108" s="3312">
        <v>20485.189999999999</v>
      </c>
      <c r="Q108" s="3461">
        <v>23711.5</v>
      </c>
      <c r="R108" s="3461"/>
      <c r="S108" s="3311">
        <v>23711.5</v>
      </c>
      <c r="T108" s="3312">
        <v>23711.5</v>
      </c>
      <c r="BM108" s="3478"/>
    </row>
    <row r="109" spans="1:65" s="3477" customFormat="1" ht="16.5" hidden="1" customHeight="1" outlineLevel="1">
      <c r="A109" s="3464" t="s">
        <v>3737</v>
      </c>
      <c r="B109" s="3457" t="s">
        <v>4104</v>
      </c>
      <c r="C109" s="3407" t="s">
        <v>913</v>
      </c>
      <c r="D109" s="3408" t="s">
        <v>3737</v>
      </c>
      <c r="E109" s="3465" t="s">
        <v>4107</v>
      </c>
      <c r="F109" s="3413">
        <v>129</v>
      </c>
      <c r="G109" s="3463">
        <v>3.1</v>
      </c>
      <c r="H109" s="3461">
        <v>10</v>
      </c>
      <c r="I109" s="3461">
        <v>33</v>
      </c>
      <c r="J109" s="3461">
        <v>129</v>
      </c>
      <c r="K109" s="3461">
        <v>19296</v>
      </c>
      <c r="L109" s="3312">
        <v>3859.2</v>
      </c>
      <c r="M109" s="3312">
        <v>1026</v>
      </c>
      <c r="N109" s="3311">
        <v>20322</v>
      </c>
      <c r="O109" s="3312">
        <v>6840</v>
      </c>
      <c r="P109" s="3312">
        <v>19296</v>
      </c>
      <c r="Q109" s="3461">
        <v>19296</v>
      </c>
      <c r="R109" s="3461"/>
      <c r="S109" s="3311">
        <v>19296</v>
      </c>
      <c r="T109" s="3312">
        <v>19296</v>
      </c>
      <c r="BM109" s="3478"/>
    </row>
    <row r="110" spans="1:65" s="3477" customFormat="1" ht="16.5" hidden="1" customHeight="1" outlineLevel="1">
      <c r="A110" s="3464" t="s">
        <v>4021</v>
      </c>
      <c r="B110" s="3457" t="s">
        <v>4104</v>
      </c>
      <c r="C110" s="3407" t="s">
        <v>3000</v>
      </c>
      <c r="D110" s="3408" t="s">
        <v>4021</v>
      </c>
      <c r="E110" s="3465" t="s">
        <v>4108</v>
      </c>
      <c r="F110" s="3413">
        <v>34</v>
      </c>
      <c r="G110" s="3463">
        <v>5.0999999999999996</v>
      </c>
      <c r="H110" s="3461">
        <v>17</v>
      </c>
      <c r="I110" s="3461">
        <v>17</v>
      </c>
      <c r="J110" s="3461">
        <v>338</v>
      </c>
      <c r="K110" s="3461">
        <v>13512</v>
      </c>
      <c r="L110" s="3461"/>
      <c r="M110" s="3312">
        <v>2026.8</v>
      </c>
      <c r="N110" s="3311">
        <v>15538.8</v>
      </c>
      <c r="O110" s="3312">
        <v>13512</v>
      </c>
      <c r="P110" s="3312">
        <v>13512</v>
      </c>
      <c r="Q110" s="3461">
        <v>13512</v>
      </c>
      <c r="R110" s="3461"/>
      <c r="S110" s="3311">
        <v>13512</v>
      </c>
      <c r="T110" s="3312">
        <v>13512</v>
      </c>
      <c r="BM110" s="3478"/>
    </row>
    <row r="111" spans="1:65" s="3477" customFormat="1" ht="16.5" hidden="1" customHeight="1" outlineLevel="1">
      <c r="A111" s="3464" t="s">
        <v>3817</v>
      </c>
      <c r="B111" s="3457" t="s">
        <v>4104</v>
      </c>
      <c r="C111" s="3407" t="s">
        <v>3739</v>
      </c>
      <c r="D111" s="3408" t="s">
        <v>3817</v>
      </c>
      <c r="E111" s="3465" t="s">
        <v>4109</v>
      </c>
      <c r="F111" s="3413"/>
      <c r="G111" s="3463"/>
      <c r="H111" s="3461"/>
      <c r="I111" s="3461"/>
      <c r="J111" s="3461">
        <v>2990.9428571428598</v>
      </c>
      <c r="K111" s="3461"/>
      <c r="L111" s="3461"/>
      <c r="M111" s="3312">
        <v>104683</v>
      </c>
      <c r="N111" s="3311">
        <v>104683</v>
      </c>
      <c r="O111" s="3312">
        <v>104683</v>
      </c>
      <c r="P111" s="3312"/>
      <c r="Q111" s="3461"/>
      <c r="R111" s="3461"/>
      <c r="S111" s="3311">
        <v>0</v>
      </c>
      <c r="T111" s="3312"/>
      <c r="BM111" s="3478"/>
    </row>
    <row r="112" spans="1:65" s="3477" customFormat="1" ht="16.5" hidden="1" customHeight="1" outlineLevel="1">
      <c r="A112" s="3464" t="s">
        <v>3819</v>
      </c>
      <c r="B112" s="3457" t="s">
        <v>4104</v>
      </c>
      <c r="C112" s="3407" t="s">
        <v>3739</v>
      </c>
      <c r="D112" s="3408" t="s">
        <v>3819</v>
      </c>
      <c r="E112" s="3465" t="s">
        <v>4110</v>
      </c>
      <c r="F112" s="3413"/>
      <c r="G112" s="3463"/>
      <c r="H112" s="3461"/>
      <c r="I112" s="3461"/>
      <c r="J112" s="3461">
        <v>7869.0571428571402</v>
      </c>
      <c r="K112" s="3461"/>
      <c r="L112" s="3461"/>
      <c r="M112" s="3312">
        <v>246931.85</v>
      </c>
      <c r="N112" s="3311">
        <v>246931.85</v>
      </c>
      <c r="O112" s="3312">
        <v>259682</v>
      </c>
      <c r="P112" s="3312"/>
      <c r="Q112" s="3461"/>
      <c r="R112" s="3461">
        <v>246931.85</v>
      </c>
      <c r="S112" s="3311">
        <v>246931.85</v>
      </c>
      <c r="T112" s="3312"/>
      <c r="BM112" s="3478"/>
    </row>
    <row r="113" spans="1:65" s="3477" customFormat="1" ht="16.5" hidden="1" customHeight="1" outlineLevel="1">
      <c r="A113" s="3464" t="s">
        <v>4044</v>
      </c>
      <c r="B113" s="3406" t="s">
        <v>4111</v>
      </c>
      <c r="C113" s="3458" t="s">
        <v>3000</v>
      </c>
      <c r="D113" s="3459" t="s">
        <v>4044</v>
      </c>
      <c r="E113" s="3465" t="s">
        <v>4112</v>
      </c>
      <c r="F113" s="3413">
        <v>2</v>
      </c>
      <c r="G113" s="3460">
        <v>5.0999999999999996</v>
      </c>
      <c r="H113" s="3505">
        <v>1.49999972924193</v>
      </c>
      <c r="I113" s="3461">
        <v>1</v>
      </c>
      <c r="J113" s="3461">
        <v>693</v>
      </c>
      <c r="K113" s="3461">
        <v>27700</v>
      </c>
      <c r="L113" s="3461"/>
      <c r="M113" s="3312">
        <v>2770.0005000000001</v>
      </c>
      <c r="N113" s="3311">
        <v>30470.000499999998</v>
      </c>
      <c r="O113" s="3312">
        <v>18466.669999999998</v>
      </c>
      <c r="P113" s="3312">
        <v>46166.67</v>
      </c>
      <c r="Q113" s="3312">
        <v>27700</v>
      </c>
      <c r="R113" s="3461"/>
      <c r="S113" s="3311">
        <v>27700</v>
      </c>
      <c r="T113" s="3312">
        <v>27700</v>
      </c>
      <c r="BM113" s="3478"/>
    </row>
    <row r="114" spans="1:65" s="3477" customFormat="1" ht="16.5" hidden="1" customHeight="1" outlineLevel="1">
      <c r="A114" s="3464" t="s">
        <v>4113</v>
      </c>
      <c r="B114" s="3406" t="s">
        <v>4111</v>
      </c>
      <c r="C114" s="3407" t="s">
        <v>3000</v>
      </c>
      <c r="D114" s="3497" t="s">
        <v>4113</v>
      </c>
      <c r="E114" s="3465" t="s">
        <v>4114</v>
      </c>
      <c r="F114" s="3413">
        <v>3</v>
      </c>
      <c r="G114" s="3460">
        <v>5.0999999999999996</v>
      </c>
      <c r="H114" s="3461">
        <v>1</v>
      </c>
      <c r="I114" s="3461">
        <v>1</v>
      </c>
      <c r="J114" s="3461"/>
      <c r="K114" s="3461">
        <v>60000</v>
      </c>
      <c r="L114" s="3461"/>
      <c r="M114" s="3312">
        <v>3000</v>
      </c>
      <c r="N114" s="3311">
        <v>63000</v>
      </c>
      <c r="O114" s="3312">
        <v>20000</v>
      </c>
      <c r="P114" s="3312">
        <v>40000</v>
      </c>
      <c r="Q114" s="3508">
        <v>60000</v>
      </c>
      <c r="R114" s="3461"/>
      <c r="S114" s="3311">
        <v>60000</v>
      </c>
      <c r="T114" s="3312">
        <v>60000</v>
      </c>
      <c r="BM114" s="3478"/>
    </row>
    <row r="115" spans="1:65" s="3477" customFormat="1" ht="16.5" hidden="1" customHeight="1" outlineLevel="1">
      <c r="A115" s="3464" t="s">
        <v>4042</v>
      </c>
      <c r="B115" s="3406" t="s">
        <v>4111</v>
      </c>
      <c r="C115" s="3407" t="s">
        <v>3000</v>
      </c>
      <c r="D115" s="3408" t="s">
        <v>4042</v>
      </c>
      <c r="E115" s="3465" t="s">
        <v>4115</v>
      </c>
      <c r="F115" s="3413">
        <v>300</v>
      </c>
      <c r="G115" s="3463">
        <v>3.3</v>
      </c>
      <c r="H115" s="3505">
        <v>5</v>
      </c>
      <c r="I115" s="3461">
        <v>5</v>
      </c>
      <c r="J115" s="3511">
        <v>12289.5455</v>
      </c>
      <c r="K115" s="3507">
        <v>491581.82</v>
      </c>
      <c r="L115" s="3461"/>
      <c r="M115" s="3508">
        <v>7313.8410000000003</v>
      </c>
      <c r="N115" s="3311">
        <v>498895.66100000002</v>
      </c>
      <c r="O115" s="3508">
        <v>48758.94</v>
      </c>
      <c r="P115" s="3508">
        <v>119715.76</v>
      </c>
      <c r="Q115" s="3508">
        <v>491581.82</v>
      </c>
      <c r="R115" s="3461"/>
      <c r="S115" s="3311">
        <v>491581.82</v>
      </c>
      <c r="T115" s="3508">
        <v>491581.82</v>
      </c>
      <c r="BM115" s="3478"/>
    </row>
    <row r="116" spans="1:65" s="3477" customFormat="1" ht="16.5" hidden="1" customHeight="1" outlineLevel="1">
      <c r="A116" s="3464" t="s">
        <v>3817</v>
      </c>
      <c r="B116" s="3406" t="s">
        <v>4111</v>
      </c>
      <c r="C116" s="3407" t="s">
        <v>3739</v>
      </c>
      <c r="D116" s="3408" t="s">
        <v>3817</v>
      </c>
      <c r="E116" s="3465" t="s">
        <v>4116</v>
      </c>
      <c r="F116" s="3413"/>
      <c r="G116" s="3463"/>
      <c r="H116" s="3461"/>
      <c r="I116" s="3461"/>
      <c r="J116" s="3507">
        <v>2357.45945945946</v>
      </c>
      <c r="K116" s="3512"/>
      <c r="L116" s="3507"/>
      <c r="M116" s="3508">
        <v>87226</v>
      </c>
      <c r="N116" s="3311">
        <v>87226</v>
      </c>
      <c r="O116" s="3508">
        <v>87226</v>
      </c>
      <c r="P116" s="3312"/>
      <c r="Q116" s="3312"/>
      <c r="R116" s="3461"/>
      <c r="S116" s="3311">
        <v>0</v>
      </c>
      <c r="T116" s="3312"/>
      <c r="BM116" s="3478"/>
    </row>
    <row r="117" spans="1:65" s="3477" customFormat="1" ht="16.5" hidden="1" customHeight="1" outlineLevel="1">
      <c r="A117" s="3464" t="s">
        <v>3819</v>
      </c>
      <c r="B117" s="3406" t="s">
        <v>4111</v>
      </c>
      <c r="C117" s="3407" t="s">
        <v>3739</v>
      </c>
      <c r="D117" s="3408" t="s">
        <v>3819</v>
      </c>
      <c r="E117" s="3465" t="s">
        <v>4117</v>
      </c>
      <c r="F117" s="3413"/>
      <c r="G117" s="3463"/>
      <c r="H117" s="3461"/>
      <c r="I117" s="3461"/>
      <c r="J117" s="3507">
        <v>2276.54054054054</v>
      </c>
      <c r="K117" s="3507"/>
      <c r="L117" s="3507"/>
      <c r="M117" s="3508">
        <v>66604.158500000005</v>
      </c>
      <c r="N117" s="3311">
        <v>66604.158500000005</v>
      </c>
      <c r="O117" s="3508">
        <v>79688</v>
      </c>
      <c r="P117" s="3312"/>
      <c r="Q117" s="3312"/>
      <c r="R117" s="3507">
        <v>66604.158500000005</v>
      </c>
      <c r="S117" s="3311">
        <v>66604.158500000005</v>
      </c>
      <c r="T117" s="3312"/>
      <c r="BM117" s="3478"/>
    </row>
    <row r="118" spans="1:65" s="3477" customFormat="1" ht="16.5" hidden="1" customHeight="1" outlineLevel="1">
      <c r="A118" s="3464" t="s">
        <v>4118</v>
      </c>
      <c r="B118" s="3457" t="s">
        <v>4119</v>
      </c>
      <c r="C118" s="3458" t="s">
        <v>3826</v>
      </c>
      <c r="D118" s="3459" t="s">
        <v>4118</v>
      </c>
      <c r="E118" s="3465" t="s">
        <v>4120</v>
      </c>
      <c r="F118" s="3413"/>
      <c r="G118" s="3463"/>
      <c r="H118" s="3461"/>
      <c r="I118" s="3461"/>
      <c r="J118" s="3461"/>
      <c r="K118" s="3461"/>
      <c r="L118" s="3461"/>
      <c r="M118" s="3312"/>
      <c r="N118" s="3311">
        <v>0</v>
      </c>
      <c r="O118" s="3312"/>
      <c r="P118" s="3312">
        <v>11437</v>
      </c>
      <c r="Q118" s="3312"/>
      <c r="R118" s="3461"/>
      <c r="S118" s="3311">
        <v>0</v>
      </c>
      <c r="T118" s="3312">
        <v>0</v>
      </c>
      <c r="BM118" s="3478"/>
    </row>
    <row r="119" spans="1:65" s="3477" customFormat="1" ht="16.5" hidden="1" customHeight="1" outlineLevel="1">
      <c r="A119" s="3464" t="s">
        <v>4025</v>
      </c>
      <c r="B119" s="3457" t="s">
        <v>4119</v>
      </c>
      <c r="C119" s="3407" t="s">
        <v>3826</v>
      </c>
      <c r="D119" s="3408" t="s">
        <v>4025</v>
      </c>
      <c r="E119" s="3465" t="s">
        <v>4121</v>
      </c>
      <c r="F119" s="3413">
        <v>3.37622857142857</v>
      </c>
      <c r="G119" s="3463">
        <v>3.3</v>
      </c>
      <c r="H119" s="3461">
        <v>1</v>
      </c>
      <c r="I119" s="3461">
        <v>1</v>
      </c>
      <c r="J119" s="3461"/>
      <c r="K119" s="3461">
        <v>23633.599999999999</v>
      </c>
      <c r="L119" s="3461"/>
      <c r="M119" s="3312"/>
      <c r="N119" s="3311">
        <v>23633.599999999999</v>
      </c>
      <c r="O119" s="3312">
        <v>7000</v>
      </c>
      <c r="P119" s="3312">
        <v>29542</v>
      </c>
      <c r="Q119" s="3312"/>
      <c r="R119" s="3461"/>
      <c r="S119" s="3311">
        <v>0</v>
      </c>
      <c r="T119" s="3312">
        <v>23633.599999999999</v>
      </c>
      <c r="BM119" s="3478"/>
    </row>
    <row r="120" spans="1:65" s="3477" customFormat="1" ht="16.5" hidden="1" customHeight="1" outlineLevel="1">
      <c r="A120" s="3464" t="s">
        <v>4122</v>
      </c>
      <c r="B120" s="3457" t="s">
        <v>4119</v>
      </c>
      <c r="C120" s="3407" t="s">
        <v>3826</v>
      </c>
      <c r="D120" s="3408" t="s">
        <v>4122</v>
      </c>
      <c r="E120" s="3465" t="s">
        <v>4123</v>
      </c>
      <c r="F120" s="3413"/>
      <c r="G120" s="3463"/>
      <c r="H120" s="3461"/>
      <c r="I120" s="3461"/>
      <c r="J120" s="3461"/>
      <c r="K120" s="3461"/>
      <c r="L120" s="3461"/>
      <c r="M120" s="3312"/>
      <c r="N120" s="3311">
        <v>0</v>
      </c>
      <c r="O120" s="3312"/>
      <c r="P120" s="3312">
        <v>3202</v>
      </c>
      <c r="Q120" s="3312"/>
      <c r="R120" s="3461"/>
      <c r="S120" s="3311">
        <v>0</v>
      </c>
      <c r="T120" s="3312">
        <v>0</v>
      </c>
      <c r="BM120" s="3478"/>
    </row>
    <row r="121" spans="1:65" s="3477" customFormat="1" ht="16.5" hidden="1" customHeight="1" outlineLevel="1">
      <c r="A121" s="3464" t="s">
        <v>4124</v>
      </c>
      <c r="B121" s="3457" t="s">
        <v>4119</v>
      </c>
      <c r="C121" s="3407" t="s">
        <v>3826</v>
      </c>
      <c r="D121" s="3408" t="s">
        <v>4124</v>
      </c>
      <c r="E121" s="3465" t="s">
        <v>4125</v>
      </c>
      <c r="F121" s="3413">
        <v>3.3110588235294101</v>
      </c>
      <c r="G121" s="3463">
        <v>3.3</v>
      </c>
      <c r="H121" s="3461">
        <v>1</v>
      </c>
      <c r="I121" s="3461">
        <v>1</v>
      </c>
      <c r="J121" s="3461"/>
      <c r="K121" s="3461">
        <v>22515.200000000001</v>
      </c>
      <c r="L121" s="3461"/>
      <c r="M121" s="3312"/>
      <c r="N121" s="3311">
        <v>22515.200000000001</v>
      </c>
      <c r="O121" s="3312">
        <v>6800</v>
      </c>
      <c r="P121" s="3312">
        <v>28144</v>
      </c>
      <c r="Q121" s="3312"/>
      <c r="R121" s="3461"/>
      <c r="S121" s="3311">
        <v>0</v>
      </c>
      <c r="T121" s="3312">
        <v>22515.200000000001</v>
      </c>
      <c r="BM121" s="3478"/>
    </row>
    <row r="122" spans="1:65" s="3477" customFormat="1" ht="16.5" hidden="1" customHeight="1" outlineLevel="1">
      <c r="A122" s="3464" t="s">
        <v>3817</v>
      </c>
      <c r="B122" s="3457" t="s">
        <v>4119</v>
      </c>
      <c r="C122" s="3407" t="s">
        <v>3739</v>
      </c>
      <c r="D122" s="3408" t="s">
        <v>3817</v>
      </c>
      <c r="E122" s="3465" t="s">
        <v>4126</v>
      </c>
      <c r="F122" s="3413"/>
      <c r="G122" s="3463"/>
      <c r="H122" s="3461"/>
      <c r="I122" s="3461"/>
      <c r="J122" s="3461"/>
      <c r="K122" s="3461"/>
      <c r="L122" s="3461"/>
      <c r="M122" s="3312"/>
      <c r="N122" s="3311">
        <v>0</v>
      </c>
      <c r="O122" s="3312"/>
      <c r="P122" s="3312"/>
      <c r="Q122" s="3312"/>
      <c r="R122" s="3461"/>
      <c r="S122" s="3311">
        <v>0</v>
      </c>
      <c r="T122" s="3312"/>
      <c r="BM122" s="3478"/>
    </row>
    <row r="123" spans="1:65" s="3477" customFormat="1" ht="16.5" hidden="1" customHeight="1" outlineLevel="1">
      <c r="A123" s="3464" t="s">
        <v>3819</v>
      </c>
      <c r="B123" s="3457" t="s">
        <v>4119</v>
      </c>
      <c r="C123" s="3407" t="s">
        <v>3739</v>
      </c>
      <c r="D123" s="3408" t="s">
        <v>3819</v>
      </c>
      <c r="E123" s="3465" t="s">
        <v>4127</v>
      </c>
      <c r="F123" s="3413"/>
      <c r="G123" s="3463"/>
      <c r="H123" s="3461"/>
      <c r="I123" s="3461"/>
      <c r="J123" s="3461"/>
      <c r="K123" s="3461"/>
      <c r="L123" s="3461"/>
      <c r="M123" s="3312"/>
      <c r="N123" s="3311">
        <v>0</v>
      </c>
      <c r="O123" s="3312"/>
      <c r="P123" s="3312"/>
      <c r="Q123" s="3312"/>
      <c r="R123" s="3461"/>
      <c r="S123" s="3311">
        <v>0</v>
      </c>
      <c r="T123" s="3312"/>
      <c r="BM123" s="3478"/>
    </row>
    <row r="124" spans="1:65" s="3477" customFormat="1" ht="16.5" hidden="1" customHeight="1" outlineLevel="1">
      <c r="A124" s="3464"/>
      <c r="B124" s="3406"/>
      <c r="C124" s="3407"/>
      <c r="D124" s="3408"/>
      <c r="E124" s="3465"/>
      <c r="F124" s="3413"/>
      <c r="G124" s="3463"/>
      <c r="H124" s="3461"/>
      <c r="I124" s="3461"/>
      <c r="J124" s="3461"/>
      <c r="K124" s="3461"/>
      <c r="L124" s="3461"/>
      <c r="M124" s="3312"/>
      <c r="N124" s="3311"/>
      <c r="O124" s="3312"/>
      <c r="P124" s="3312"/>
      <c r="Q124" s="3312"/>
      <c r="R124" s="3461"/>
      <c r="S124" s="3311"/>
      <c r="T124" s="3312"/>
      <c r="BM124" s="3478"/>
    </row>
    <row r="125" spans="1:65" s="3477" customFormat="1" ht="16.5" hidden="1" customHeight="1" outlineLevel="1">
      <c r="A125" s="3464"/>
      <c r="B125" s="3406"/>
      <c r="C125" s="3407"/>
      <c r="D125" s="3408"/>
      <c r="E125" s="3465" t="s">
        <v>3453</v>
      </c>
      <c r="F125" s="3413"/>
      <c r="G125" s="3463"/>
      <c r="H125" s="3461"/>
      <c r="I125" s="3461"/>
      <c r="J125" s="3461"/>
      <c r="K125" s="3461"/>
      <c r="L125" s="3461"/>
      <c r="M125" s="3312"/>
      <c r="N125" s="3311">
        <v>0</v>
      </c>
      <c r="O125" s="3312"/>
      <c r="P125" s="3312"/>
      <c r="Q125" s="3312"/>
      <c r="R125" s="3461"/>
      <c r="S125" s="3311">
        <v>0</v>
      </c>
      <c r="T125" s="3312"/>
      <c r="BM125" s="3478"/>
    </row>
    <row r="126" spans="1:65" s="3477" customFormat="1" ht="16.5" hidden="1" customHeight="1" outlineLevel="1">
      <c r="A126" s="3464" t="s">
        <v>4038</v>
      </c>
      <c r="B126" s="3406" t="s">
        <v>4128</v>
      </c>
      <c r="C126" s="3458" t="s">
        <v>3000</v>
      </c>
      <c r="D126" s="3459" t="s">
        <v>4038</v>
      </c>
      <c r="E126" s="3465" t="s">
        <v>4129</v>
      </c>
      <c r="F126" s="3413">
        <v>476</v>
      </c>
      <c r="G126" s="3463" t="s">
        <v>4041</v>
      </c>
      <c r="H126" s="3461">
        <v>20</v>
      </c>
      <c r="I126" s="3461">
        <v>60</v>
      </c>
      <c r="J126" s="3461">
        <v>238</v>
      </c>
      <c r="K126" s="3461">
        <v>17439.25</v>
      </c>
      <c r="L126" s="3461"/>
      <c r="M126" s="3312">
        <v>1743.9255000000001</v>
      </c>
      <c r="N126" s="3311">
        <v>19183.175500000001</v>
      </c>
      <c r="O126" s="3312">
        <v>11626.17</v>
      </c>
      <c r="P126" s="3312">
        <v>31902.02</v>
      </c>
      <c r="Q126" s="3461">
        <v>17439.25</v>
      </c>
      <c r="R126" s="3461"/>
      <c r="S126" s="3311">
        <v>17439.25</v>
      </c>
      <c r="T126" s="3312">
        <v>17439.25</v>
      </c>
      <c r="BM126" s="3478"/>
    </row>
    <row r="127" spans="1:65" s="3477" customFormat="1" ht="16.5" hidden="1" customHeight="1" outlineLevel="1">
      <c r="A127" s="3464" t="s">
        <v>4042</v>
      </c>
      <c r="B127" s="3406" t="s">
        <v>4128</v>
      </c>
      <c r="C127" s="3407" t="s">
        <v>3000</v>
      </c>
      <c r="D127" s="3408" t="s">
        <v>4042</v>
      </c>
      <c r="E127" s="3465" t="s">
        <v>4130</v>
      </c>
      <c r="F127" s="3413">
        <v>248</v>
      </c>
      <c r="G127" s="3463">
        <v>3.3</v>
      </c>
      <c r="H127" s="3461">
        <v>13</v>
      </c>
      <c r="I127" s="3461">
        <v>13</v>
      </c>
      <c r="J127" s="3461">
        <v>4959</v>
      </c>
      <c r="K127" s="3461">
        <v>198953</v>
      </c>
      <c r="L127" s="3461"/>
      <c r="M127" s="3312">
        <v>1636.4145000000001</v>
      </c>
      <c r="N127" s="3311">
        <v>200589.41450000001</v>
      </c>
      <c r="O127" s="3312">
        <v>10909.43</v>
      </c>
      <c r="P127" s="3312">
        <v>49588.31</v>
      </c>
      <c r="Q127" s="3461">
        <v>198953</v>
      </c>
      <c r="R127" s="3461"/>
      <c r="S127" s="3311">
        <v>198953</v>
      </c>
      <c r="T127" s="3312">
        <v>198953</v>
      </c>
      <c r="BM127" s="3478"/>
    </row>
    <row r="128" spans="1:65" s="3477" customFormat="1" ht="16.5" hidden="1" customHeight="1" outlineLevel="1">
      <c r="A128" s="3464" t="s">
        <v>3000</v>
      </c>
      <c r="B128" s="3406" t="s">
        <v>4128</v>
      </c>
      <c r="C128" s="3407" t="s">
        <v>3000</v>
      </c>
      <c r="D128" s="3408" t="s">
        <v>3000</v>
      </c>
      <c r="E128" s="3465" t="s">
        <v>4131</v>
      </c>
      <c r="F128" s="3413">
        <v>2</v>
      </c>
      <c r="G128" s="3463">
        <v>1</v>
      </c>
      <c r="H128" s="3461">
        <v>1</v>
      </c>
      <c r="I128" s="3461">
        <v>1</v>
      </c>
      <c r="J128" s="3461"/>
      <c r="K128" s="3461">
        <v>4000</v>
      </c>
      <c r="L128" s="3461"/>
      <c r="M128" s="3312"/>
      <c r="N128" s="3311">
        <v>4000</v>
      </c>
      <c r="O128" s="3312">
        <v>2000</v>
      </c>
      <c r="P128" s="3312">
        <v>6666.67</v>
      </c>
      <c r="Q128" s="3461">
        <v>4000</v>
      </c>
      <c r="R128" s="3461"/>
      <c r="S128" s="3311">
        <v>4000</v>
      </c>
      <c r="T128" s="3312">
        <v>4000</v>
      </c>
      <c r="BM128" s="3478"/>
    </row>
    <row r="129" spans="1:65" s="3477" customFormat="1" ht="16.5" hidden="1" customHeight="1" outlineLevel="1">
      <c r="A129" s="3464" t="s">
        <v>3817</v>
      </c>
      <c r="B129" s="3406" t="s">
        <v>4128</v>
      </c>
      <c r="C129" s="3407" t="s">
        <v>3739</v>
      </c>
      <c r="D129" s="3408" t="s">
        <v>3817</v>
      </c>
      <c r="E129" s="3465" t="s">
        <v>4132</v>
      </c>
      <c r="F129" s="3413"/>
      <c r="G129" s="3463"/>
      <c r="H129" s="3461"/>
      <c r="I129" s="3461"/>
      <c r="J129" s="3461">
        <v>663.13513513513499</v>
      </c>
      <c r="K129" s="3461"/>
      <c r="L129" s="3461"/>
      <c r="M129" s="3312">
        <v>24536</v>
      </c>
      <c r="N129" s="3311">
        <v>24536</v>
      </c>
      <c r="O129" s="3312">
        <v>24536</v>
      </c>
      <c r="P129" s="3312"/>
      <c r="Q129" s="3461"/>
      <c r="R129" s="3461"/>
      <c r="S129" s="3311">
        <v>0</v>
      </c>
      <c r="T129" s="3312"/>
      <c r="BM129" s="3478"/>
    </row>
    <row r="130" spans="1:65" s="3477" customFormat="1" ht="16.5" hidden="1" customHeight="1" outlineLevel="1">
      <c r="A130" s="3464" t="s">
        <v>3819</v>
      </c>
      <c r="B130" s="3406" t="s">
        <v>4128</v>
      </c>
      <c r="C130" s="3407" t="s">
        <v>3739</v>
      </c>
      <c r="D130" s="3408" t="s">
        <v>3819</v>
      </c>
      <c r="E130" s="3465" t="s">
        <v>4133</v>
      </c>
      <c r="F130" s="3413"/>
      <c r="G130" s="3463"/>
      <c r="H130" s="3461"/>
      <c r="I130" s="3461"/>
      <c r="J130" s="3461">
        <v>2483.86486486487</v>
      </c>
      <c r="K130" s="3461"/>
      <c r="L130" s="3461"/>
      <c r="M130" s="3312">
        <v>83584.66</v>
      </c>
      <c r="N130" s="3311">
        <v>83584.66</v>
      </c>
      <c r="O130" s="3312">
        <v>86965</v>
      </c>
      <c r="P130" s="3312"/>
      <c r="Q130" s="3461"/>
      <c r="R130" s="3461">
        <v>83584.66</v>
      </c>
      <c r="S130" s="3311">
        <v>83584.66</v>
      </c>
      <c r="T130" s="3312"/>
      <c r="BM130" s="3478"/>
    </row>
    <row r="131" spans="1:65" s="3477" customFormat="1" ht="16.5" hidden="1" customHeight="1" outlineLevel="1">
      <c r="A131" s="3464" t="s">
        <v>4134</v>
      </c>
      <c r="B131" s="3406" t="s">
        <v>4135</v>
      </c>
      <c r="C131" s="3407" t="s">
        <v>3826</v>
      </c>
      <c r="D131" s="3408" t="s">
        <v>4134</v>
      </c>
      <c r="E131" s="3465" t="s">
        <v>4136</v>
      </c>
      <c r="F131" s="3413"/>
      <c r="G131" s="3463"/>
      <c r="H131" s="3461"/>
      <c r="I131" s="3461"/>
      <c r="J131" s="3461"/>
      <c r="K131" s="3461"/>
      <c r="L131" s="3461"/>
      <c r="M131" s="3312"/>
      <c r="N131" s="3311">
        <v>0</v>
      </c>
      <c r="O131" s="3312"/>
      <c r="P131" s="3312">
        <v>1147096.0155</v>
      </c>
      <c r="Q131" s="3312"/>
      <c r="R131" s="3461"/>
      <c r="S131" s="3311">
        <v>0</v>
      </c>
      <c r="T131" s="3312"/>
      <c r="BM131" s="3478"/>
    </row>
    <row r="132" spans="1:65" s="3477" customFormat="1" ht="16.5" hidden="1" customHeight="1" outlineLevel="1">
      <c r="A132" s="3464" t="s">
        <v>4137</v>
      </c>
      <c r="B132" s="3406" t="s">
        <v>4135</v>
      </c>
      <c r="C132" s="3407" t="s">
        <v>3826</v>
      </c>
      <c r="D132" s="3408" t="s">
        <v>4137</v>
      </c>
      <c r="E132" s="3465" t="s">
        <v>4138</v>
      </c>
      <c r="F132" s="3413"/>
      <c r="G132" s="3463"/>
      <c r="H132" s="3461"/>
      <c r="I132" s="3461"/>
      <c r="J132" s="3461"/>
      <c r="K132" s="3461"/>
      <c r="L132" s="3461"/>
      <c r="M132" s="3312"/>
      <c r="N132" s="3311">
        <v>0</v>
      </c>
      <c r="O132" s="3312"/>
      <c r="P132" s="3312">
        <v>799380.71</v>
      </c>
      <c r="Q132" s="3312"/>
      <c r="R132" s="3461"/>
      <c r="S132" s="3311">
        <v>0</v>
      </c>
      <c r="T132" s="3312"/>
      <c r="BM132" s="3478"/>
    </row>
    <row r="133" spans="1:65" s="3477" customFormat="1" ht="16.5" hidden="1" customHeight="1" outlineLevel="1">
      <c r="A133" s="3464" t="s">
        <v>4139</v>
      </c>
      <c r="B133" s="3406" t="s">
        <v>4140</v>
      </c>
      <c r="C133" s="3407" t="s">
        <v>3000</v>
      </c>
      <c r="D133" s="3408" t="s">
        <v>4139</v>
      </c>
      <c r="E133" s="3465" t="s">
        <v>4141</v>
      </c>
      <c r="F133" s="3413">
        <v>425</v>
      </c>
      <c r="G133" s="3513" t="s">
        <v>4142</v>
      </c>
      <c r="H133" s="3513">
        <v>261</v>
      </c>
      <c r="I133" s="3513">
        <v>261</v>
      </c>
      <c r="J133" s="3514">
        <v>318</v>
      </c>
      <c r="K133" s="3513">
        <v>35959.31</v>
      </c>
      <c r="L133" s="3515">
        <v>2345.4</v>
      </c>
      <c r="M133" s="3516">
        <v>1850</v>
      </c>
      <c r="N133" s="3517">
        <v>37809.31</v>
      </c>
      <c r="O133" s="3319">
        <v>26826.39</v>
      </c>
      <c r="P133" s="3319">
        <v>106053.32</v>
      </c>
      <c r="Q133" s="3513">
        <v>32803.050000000003</v>
      </c>
      <c r="R133" s="3518"/>
      <c r="S133" s="3517">
        <v>32803.050000000003</v>
      </c>
      <c r="T133" s="3513">
        <v>32803.050000000003</v>
      </c>
      <c r="BM133" s="3478"/>
    </row>
    <row r="134" spans="1:65" s="3477" customFormat="1" ht="16.5" hidden="1" customHeight="1" outlineLevel="1">
      <c r="A134" s="3464" t="s">
        <v>4090</v>
      </c>
      <c r="B134" s="3406" t="s">
        <v>4140</v>
      </c>
      <c r="C134" s="3407" t="s">
        <v>3000</v>
      </c>
      <c r="D134" s="3408" t="s">
        <v>4090</v>
      </c>
      <c r="E134" s="3465" t="s">
        <v>4143</v>
      </c>
      <c r="F134" s="3413">
        <v>14</v>
      </c>
      <c r="G134" s="3519" t="s">
        <v>4144</v>
      </c>
      <c r="H134" s="3520">
        <v>7</v>
      </c>
      <c r="I134" s="3520">
        <v>7</v>
      </c>
      <c r="J134" s="3521">
        <v>156</v>
      </c>
      <c r="K134" s="3520">
        <v>9218.6</v>
      </c>
      <c r="L134" s="3318">
        <v>386</v>
      </c>
      <c r="M134" s="3516">
        <v>750</v>
      </c>
      <c r="N134" s="3517">
        <v>9968.6</v>
      </c>
      <c r="O134" s="3319">
        <v>5863</v>
      </c>
      <c r="P134" s="3319">
        <v>10766</v>
      </c>
      <c r="Q134" s="3520">
        <v>9038.6</v>
      </c>
      <c r="R134" s="3522"/>
      <c r="S134" s="3517">
        <v>9038.6</v>
      </c>
      <c r="T134" s="3520">
        <v>9038.6</v>
      </c>
      <c r="BM134" s="3478"/>
    </row>
    <row r="135" spans="1:65" s="3477" customFormat="1" ht="16.5" hidden="1" customHeight="1" outlineLevel="1">
      <c r="A135" s="3464" t="s">
        <v>4044</v>
      </c>
      <c r="B135" s="3406" t="s">
        <v>4140</v>
      </c>
      <c r="C135" s="3407" t="s">
        <v>3000</v>
      </c>
      <c r="D135" s="3408" t="s">
        <v>4044</v>
      </c>
      <c r="E135" s="3465" t="s">
        <v>4145</v>
      </c>
      <c r="F135" s="3413">
        <v>40</v>
      </c>
      <c r="G135" s="3520" t="s">
        <v>4144</v>
      </c>
      <c r="H135" s="3520">
        <v>25</v>
      </c>
      <c r="I135" s="3520">
        <v>25</v>
      </c>
      <c r="J135" s="3521">
        <v>224</v>
      </c>
      <c r="K135" s="3520">
        <v>24122.34</v>
      </c>
      <c r="L135" s="3318">
        <v>0</v>
      </c>
      <c r="M135" s="3516">
        <v>1900</v>
      </c>
      <c r="N135" s="3517">
        <v>26022.34</v>
      </c>
      <c r="O135" s="3319">
        <v>7378.4</v>
      </c>
      <c r="P135" s="3319">
        <v>27800</v>
      </c>
      <c r="Q135" s="3520">
        <v>21856.95</v>
      </c>
      <c r="R135" s="3319"/>
      <c r="S135" s="3517">
        <v>21856.95</v>
      </c>
      <c r="T135" s="3520">
        <v>21856.95</v>
      </c>
      <c r="BM135" s="3478"/>
    </row>
    <row r="136" spans="1:65" s="3477" customFormat="1" ht="16.5" hidden="1" customHeight="1" outlineLevel="1">
      <c r="A136" s="3464" t="s">
        <v>4146</v>
      </c>
      <c r="B136" s="3406" t="s">
        <v>4140</v>
      </c>
      <c r="C136" s="3407" t="s">
        <v>3000</v>
      </c>
      <c r="D136" s="3408" t="s">
        <v>4146</v>
      </c>
      <c r="E136" s="3465" t="s">
        <v>4147</v>
      </c>
      <c r="F136" s="3413">
        <v>13</v>
      </c>
      <c r="G136" s="3513">
        <v>6</v>
      </c>
      <c r="H136" s="3513">
        <v>13</v>
      </c>
      <c r="I136" s="3513">
        <v>13</v>
      </c>
      <c r="J136" s="3514">
        <v>167</v>
      </c>
      <c r="K136" s="3513">
        <v>5881.76</v>
      </c>
      <c r="L136" s="3515">
        <v>0</v>
      </c>
      <c r="M136" s="3516"/>
      <c r="N136" s="3517">
        <v>5881.76</v>
      </c>
      <c r="O136" s="3319">
        <v>5796.74</v>
      </c>
      <c r="P136" s="3319">
        <v>8710.2000000000007</v>
      </c>
      <c r="Q136" s="3513">
        <v>5881.76</v>
      </c>
      <c r="R136" s="3518"/>
      <c r="S136" s="3517">
        <v>5881.76</v>
      </c>
      <c r="T136" s="3513">
        <v>5881.76</v>
      </c>
      <c r="BM136" s="3478"/>
    </row>
    <row r="137" spans="1:65" s="3477" customFormat="1" ht="16.5" hidden="1" customHeight="1" outlineLevel="1">
      <c r="A137" s="3464" t="s">
        <v>4148</v>
      </c>
      <c r="B137" s="3406" t="s">
        <v>4140</v>
      </c>
      <c r="C137" s="3407" t="s">
        <v>3000</v>
      </c>
      <c r="D137" s="3408" t="s">
        <v>4148</v>
      </c>
      <c r="E137" s="3465" t="s">
        <v>4149</v>
      </c>
      <c r="F137" s="3413">
        <v>150</v>
      </c>
      <c r="G137" s="3513">
        <v>4.2</v>
      </c>
      <c r="H137" s="3513">
        <v>9</v>
      </c>
      <c r="I137" s="3513">
        <v>9</v>
      </c>
      <c r="J137" s="3514">
        <v>3107.2545</v>
      </c>
      <c r="K137" s="3513">
        <v>127450.65</v>
      </c>
      <c r="L137" s="3513">
        <v>0</v>
      </c>
      <c r="M137" s="3516">
        <v>8266.65</v>
      </c>
      <c r="N137" s="3517">
        <v>135717.29999999999</v>
      </c>
      <c r="O137" s="3319">
        <v>6442.25</v>
      </c>
      <c r="P137" s="3319">
        <v>25176.18</v>
      </c>
      <c r="Q137" s="3513">
        <v>124290.18</v>
      </c>
      <c r="R137" s="3518"/>
      <c r="S137" s="3517">
        <v>124290.18</v>
      </c>
      <c r="T137" s="3513">
        <v>124290.18</v>
      </c>
      <c r="BM137" s="3478"/>
    </row>
    <row r="138" spans="1:65" s="3477" customFormat="1" ht="16.5" hidden="1" customHeight="1" outlineLevel="1">
      <c r="A138" s="3464" t="s">
        <v>4150</v>
      </c>
      <c r="B138" s="3406" t="s">
        <v>4140</v>
      </c>
      <c r="C138" s="3407" t="s">
        <v>3000</v>
      </c>
      <c r="D138" s="3408" t="s">
        <v>4150</v>
      </c>
      <c r="E138" s="3465" t="s">
        <v>4151</v>
      </c>
      <c r="F138" s="3413">
        <v>328</v>
      </c>
      <c r="G138" s="3513">
        <v>3.2</v>
      </c>
      <c r="H138" s="3513">
        <v>17</v>
      </c>
      <c r="I138" s="3513">
        <v>17</v>
      </c>
      <c r="J138" s="3514">
        <v>5515.5775000000003</v>
      </c>
      <c r="K138" s="3513">
        <v>269555.7</v>
      </c>
      <c r="L138" s="3513">
        <v>0</v>
      </c>
      <c r="M138" s="3516">
        <v>5340.72</v>
      </c>
      <c r="N138" s="3517">
        <v>274896.42</v>
      </c>
      <c r="O138" s="3319">
        <v>11351.69</v>
      </c>
      <c r="P138" s="3319">
        <v>54061.9</v>
      </c>
      <c r="Q138" s="3513">
        <v>264747.71999999997</v>
      </c>
      <c r="R138" s="3518"/>
      <c r="S138" s="3517">
        <v>264747.71999999997</v>
      </c>
      <c r="T138" s="3513">
        <v>264747.71999999997</v>
      </c>
      <c r="BM138" s="3478"/>
    </row>
    <row r="139" spans="1:65" s="3477" customFormat="1" ht="16.5" hidden="1" customHeight="1" outlineLevel="1">
      <c r="A139" s="3464" t="s">
        <v>4152</v>
      </c>
      <c r="B139" s="3406" t="s">
        <v>4140</v>
      </c>
      <c r="C139" s="3407" t="s">
        <v>3000</v>
      </c>
      <c r="D139" s="3408" t="s">
        <v>4152</v>
      </c>
      <c r="E139" s="3465" t="s">
        <v>4153</v>
      </c>
      <c r="F139" s="3413">
        <v>60</v>
      </c>
      <c r="G139" s="3513" t="s">
        <v>4154</v>
      </c>
      <c r="H139" s="3513">
        <v>20</v>
      </c>
      <c r="I139" s="3513">
        <v>20</v>
      </c>
      <c r="J139" s="3514">
        <v>249</v>
      </c>
      <c r="K139" s="3513">
        <v>15991.91</v>
      </c>
      <c r="L139" s="3513">
        <v>172.04</v>
      </c>
      <c r="M139" s="3516"/>
      <c r="N139" s="3517">
        <v>15991.91</v>
      </c>
      <c r="O139" s="3319">
        <v>7860</v>
      </c>
      <c r="P139" s="3319">
        <v>17430.400000000001</v>
      </c>
      <c r="Q139" s="3513">
        <v>15702.91</v>
      </c>
      <c r="R139" s="3518"/>
      <c r="S139" s="3517">
        <v>15702.91</v>
      </c>
      <c r="T139" s="3513">
        <v>15702.91</v>
      </c>
      <c r="BM139" s="3478"/>
    </row>
    <row r="140" spans="1:65" s="3477" customFormat="1" ht="16.5" hidden="1" customHeight="1" outlineLevel="1">
      <c r="A140" s="3464" t="s">
        <v>4155</v>
      </c>
      <c r="B140" s="3406" t="s">
        <v>4140</v>
      </c>
      <c r="C140" s="3407" t="s">
        <v>3000</v>
      </c>
      <c r="D140" s="3408" t="s">
        <v>4155</v>
      </c>
      <c r="E140" s="3465" t="s">
        <v>4156</v>
      </c>
      <c r="F140" s="3413">
        <v>8</v>
      </c>
      <c r="G140" s="3513">
        <v>5.0999999999999996</v>
      </c>
      <c r="H140" s="3513">
        <v>8</v>
      </c>
      <c r="I140" s="3513">
        <v>8</v>
      </c>
      <c r="J140" s="3514">
        <v>8</v>
      </c>
      <c r="K140" s="3513">
        <v>922.8</v>
      </c>
      <c r="L140" s="3513">
        <v>0</v>
      </c>
      <c r="M140" s="3516"/>
      <c r="N140" s="3517">
        <v>922.8</v>
      </c>
      <c r="O140" s="3319">
        <v>922.8</v>
      </c>
      <c r="P140" s="3319">
        <v>1680</v>
      </c>
      <c r="Q140" s="3513">
        <v>922.8</v>
      </c>
      <c r="R140" s="3518"/>
      <c r="S140" s="3517">
        <v>922.8</v>
      </c>
      <c r="T140" s="3513">
        <v>922.8</v>
      </c>
      <c r="BM140" s="3478"/>
    </row>
    <row r="141" spans="1:65" s="3477" customFormat="1" ht="16.5" hidden="1" customHeight="1" outlineLevel="1">
      <c r="A141" s="3464" t="s">
        <v>4157</v>
      </c>
      <c r="B141" s="3406" t="s">
        <v>4140</v>
      </c>
      <c r="C141" s="3407" t="s">
        <v>3000</v>
      </c>
      <c r="D141" s="3408" t="s">
        <v>4157</v>
      </c>
      <c r="E141" s="3465" t="s">
        <v>4158</v>
      </c>
      <c r="F141" s="3513">
        <v>6</v>
      </c>
      <c r="G141" s="3513" t="s">
        <v>4159</v>
      </c>
      <c r="H141" s="3513">
        <v>6</v>
      </c>
      <c r="I141" s="3513">
        <v>6</v>
      </c>
      <c r="J141" s="3514">
        <v>124</v>
      </c>
      <c r="K141" s="3513">
        <v>9721.23</v>
      </c>
      <c r="L141" s="3513">
        <v>0</v>
      </c>
      <c r="M141" s="3516"/>
      <c r="N141" s="3517">
        <v>9721.23</v>
      </c>
      <c r="O141" s="3319">
        <v>5288.11</v>
      </c>
      <c r="P141" s="3319">
        <v>17600</v>
      </c>
      <c r="Q141" s="3513">
        <v>9521.23</v>
      </c>
      <c r="R141" s="3518"/>
      <c r="S141" s="3517">
        <v>9521.23</v>
      </c>
      <c r="T141" s="3513">
        <v>9521.23</v>
      </c>
      <c r="BM141" s="3478"/>
    </row>
    <row r="142" spans="1:65" s="3477" customFormat="1" ht="16.5" hidden="1" customHeight="1" outlineLevel="1">
      <c r="A142" s="3464" t="s">
        <v>4160</v>
      </c>
      <c r="B142" s="3406" t="s">
        <v>4140</v>
      </c>
      <c r="C142" s="3407" t="s">
        <v>3000</v>
      </c>
      <c r="D142" s="3408" t="s">
        <v>4160</v>
      </c>
      <c r="E142" s="3465" t="s">
        <v>4161</v>
      </c>
      <c r="F142" s="3413">
        <v>1</v>
      </c>
      <c r="G142" s="3513">
        <v>7.05</v>
      </c>
      <c r="H142" s="3513">
        <v>1</v>
      </c>
      <c r="I142" s="3513">
        <v>1</v>
      </c>
      <c r="J142" s="3514">
        <v>1</v>
      </c>
      <c r="K142" s="3513">
        <v>1625.2</v>
      </c>
      <c r="L142" s="3513">
        <v>0</v>
      </c>
      <c r="M142" s="3516"/>
      <c r="N142" s="3517">
        <v>1625.2</v>
      </c>
      <c r="O142" s="3319">
        <v>777.6</v>
      </c>
      <c r="P142" s="3319">
        <v>900</v>
      </c>
      <c r="Q142" s="3513">
        <v>1555.2</v>
      </c>
      <c r="R142" s="3518"/>
      <c r="S142" s="3517">
        <v>1555.2</v>
      </c>
      <c r="T142" s="3513">
        <v>1555.2</v>
      </c>
      <c r="BM142" s="3478"/>
    </row>
    <row r="143" spans="1:65" s="3477" customFormat="1" ht="16.5" hidden="1" customHeight="1" outlineLevel="1">
      <c r="A143" s="3464" t="s">
        <v>3817</v>
      </c>
      <c r="B143" s="3406" t="s">
        <v>4140</v>
      </c>
      <c r="C143" s="3407" t="s">
        <v>3739</v>
      </c>
      <c r="D143" s="3408" t="s">
        <v>3817</v>
      </c>
      <c r="E143" s="3465" t="s">
        <v>4162</v>
      </c>
      <c r="F143" s="3413">
        <v>1</v>
      </c>
      <c r="G143" s="3513">
        <v>3.5</v>
      </c>
      <c r="H143" s="3513">
        <v>1</v>
      </c>
      <c r="I143" s="3513">
        <v>1</v>
      </c>
      <c r="J143" s="3514">
        <v>818.461538461538</v>
      </c>
      <c r="K143" s="3513"/>
      <c r="L143" s="3513"/>
      <c r="M143" s="3516">
        <v>31920</v>
      </c>
      <c r="N143" s="3517">
        <v>31920</v>
      </c>
      <c r="O143" s="3319"/>
      <c r="P143" s="3319"/>
      <c r="Q143" s="3319"/>
      <c r="R143" s="3518"/>
      <c r="S143" s="3517">
        <v>0</v>
      </c>
      <c r="T143" s="3319"/>
      <c r="BM143" s="3478"/>
    </row>
    <row r="144" spans="1:65" s="3477" customFormat="1" ht="16.5" hidden="1" customHeight="1" outlineLevel="1">
      <c r="A144" s="3464" t="s">
        <v>3819</v>
      </c>
      <c r="B144" s="3406" t="s">
        <v>4140</v>
      </c>
      <c r="C144" s="3407" t="s">
        <v>3739</v>
      </c>
      <c r="D144" s="3408" t="s">
        <v>3819</v>
      </c>
      <c r="E144" s="3465" t="s">
        <v>4163</v>
      </c>
      <c r="F144" s="3413">
        <v>1</v>
      </c>
      <c r="G144" s="3513">
        <v>3.5</v>
      </c>
      <c r="H144" s="3513">
        <v>1</v>
      </c>
      <c r="I144" s="3513">
        <v>1</v>
      </c>
      <c r="J144" s="3514">
        <v>636.538461538462</v>
      </c>
      <c r="K144" s="3513"/>
      <c r="L144" s="3513"/>
      <c r="M144" s="3516">
        <v>5246.63</v>
      </c>
      <c r="N144" s="3517">
        <v>5246.63</v>
      </c>
      <c r="O144" s="3319"/>
      <c r="P144" s="3319"/>
      <c r="Q144" s="3319"/>
      <c r="R144" s="3518">
        <v>23354</v>
      </c>
      <c r="S144" s="3517">
        <v>23354</v>
      </c>
      <c r="T144" s="3319"/>
      <c r="BM144" s="3478"/>
    </row>
    <row r="145" spans="1:27" s="3526" customFormat="1" ht="15.75" customHeight="1" collapsed="1">
      <c r="A145" s="3523">
        <v>0</v>
      </c>
      <c r="B145" s="3714" t="s">
        <v>3827</v>
      </c>
      <c r="C145" s="3715"/>
      <c r="D145" s="3715"/>
      <c r="E145" s="3716"/>
      <c r="F145" s="3524"/>
      <c r="G145" s="3525"/>
      <c r="H145" s="3320">
        <f t="shared" ref="H145:T145" si="0">SUM(H4:H144)</f>
        <v>1596.0509015746393</v>
      </c>
      <c r="I145" s="3320">
        <f t="shared" si="0"/>
        <v>3413.8818220370372</v>
      </c>
      <c r="J145" s="3320">
        <f t="shared" si="0"/>
        <v>169243.55325000006</v>
      </c>
      <c r="K145" s="3320">
        <f t="shared" si="0"/>
        <v>8620842.1699999981</v>
      </c>
      <c r="L145" s="3320">
        <f t="shared" si="0"/>
        <v>418089.2844</v>
      </c>
      <c r="M145" s="3320">
        <f t="shared" si="0"/>
        <v>2317143.2680000006</v>
      </c>
      <c r="N145" s="3320">
        <f t="shared" si="0"/>
        <v>10937985.438000001</v>
      </c>
      <c r="O145" s="3320">
        <f t="shared" si="0"/>
        <v>3114916.6929999995</v>
      </c>
      <c r="P145" s="3320">
        <f t="shared" si="0"/>
        <v>5779611.0155000007</v>
      </c>
      <c r="Q145" s="3320">
        <f t="shared" si="0"/>
        <v>8059347.5099999988</v>
      </c>
      <c r="R145" s="3320">
        <f t="shared" si="0"/>
        <v>1325989.9145878376</v>
      </c>
      <c r="S145" s="3320">
        <f t="shared" si="0"/>
        <v>9385337.4245878384</v>
      </c>
      <c r="T145" s="3320">
        <f t="shared" si="0"/>
        <v>8488603.4099999983</v>
      </c>
      <c r="U145" s="3478"/>
      <c r="V145" s="3478"/>
      <c r="W145" s="3478"/>
      <c r="X145" s="3478"/>
      <c r="Y145" s="3478"/>
    </row>
    <row r="146" spans="1:27" s="3529" customFormat="1" ht="15.75" customHeight="1">
      <c r="A146" s="3523">
        <v>0</v>
      </c>
      <c r="B146" s="3721" t="s">
        <v>3828</v>
      </c>
      <c r="C146" s="3722"/>
      <c r="D146" s="3722"/>
      <c r="E146" s="3527">
        <v>1</v>
      </c>
      <c r="F146" s="3528">
        <v>2</v>
      </c>
      <c r="G146" s="3528">
        <v>3</v>
      </c>
      <c r="H146" s="3528">
        <v>4</v>
      </c>
      <c r="I146" s="3528">
        <v>5</v>
      </c>
      <c r="J146" s="3528">
        <v>6</v>
      </c>
      <c r="K146" s="3528">
        <v>7</v>
      </c>
      <c r="L146" s="3528">
        <v>8</v>
      </c>
      <c r="M146" s="3528">
        <v>10</v>
      </c>
      <c r="N146" s="3528">
        <v>10937985.437999999</v>
      </c>
      <c r="O146" s="3528">
        <v>19</v>
      </c>
      <c r="P146" s="3528" t="s">
        <v>4164</v>
      </c>
      <c r="Q146" s="3528">
        <v>22</v>
      </c>
      <c r="R146" s="3528">
        <v>23</v>
      </c>
      <c r="S146" s="3528">
        <v>24</v>
      </c>
      <c r="T146" s="3528"/>
      <c r="U146" s="3550"/>
      <c r="V146" s="3550"/>
      <c r="W146" s="3550"/>
      <c r="X146" s="3550"/>
      <c r="Y146" s="3550"/>
    </row>
    <row r="147" spans="1:27" ht="15.75" customHeight="1">
      <c r="N147" s="3309">
        <v>10937985.437999999</v>
      </c>
      <c r="T147" s="3309">
        <v>4426516.62</v>
      </c>
    </row>
    <row r="148" spans="1:27" s="3468" customFormat="1" ht="24" customHeight="1">
      <c r="A148" s="3401"/>
      <c r="B148" s="3532" t="s">
        <v>3829</v>
      </c>
      <c r="C148" s="3533" t="s">
        <v>3807</v>
      </c>
      <c r="D148" s="3534" t="s">
        <v>3808</v>
      </c>
      <c r="E148" s="3534" t="s">
        <v>3969</v>
      </c>
      <c r="F148" s="3533" t="s">
        <v>3970</v>
      </c>
      <c r="G148" s="3533" t="s">
        <v>3971</v>
      </c>
      <c r="H148" s="3533" t="s">
        <v>3972</v>
      </c>
      <c r="I148" s="3533" t="s">
        <v>3973</v>
      </c>
      <c r="J148" s="3533" t="s">
        <v>3974</v>
      </c>
      <c r="K148" s="3533" t="s">
        <v>3809</v>
      </c>
      <c r="L148" s="3535" t="s">
        <v>3975</v>
      </c>
      <c r="M148" s="3321" t="s">
        <v>3810</v>
      </c>
      <c r="N148" s="3321" t="s">
        <v>2905</v>
      </c>
      <c r="O148" s="3535" t="s">
        <v>3976</v>
      </c>
      <c r="P148" s="3321" t="s">
        <v>3977</v>
      </c>
      <c r="Q148" s="3321" t="s">
        <v>3811</v>
      </c>
      <c r="R148" s="3321" t="s">
        <v>3812</v>
      </c>
      <c r="S148" s="3321" t="s">
        <v>3804</v>
      </c>
      <c r="T148" s="3321" t="s">
        <v>3813</v>
      </c>
      <c r="U148" s="3549"/>
      <c r="V148" s="3549"/>
      <c r="W148" s="3549"/>
      <c r="X148" s="3549"/>
      <c r="Y148" s="3549"/>
    </row>
    <row r="149" spans="1:27" s="3466" customFormat="1" ht="15.75" customHeight="1" outlineLevel="1">
      <c r="A149" s="3536"/>
      <c r="B149" s="3537" t="s">
        <v>3978</v>
      </c>
      <c r="C149" s="3710" t="s">
        <v>913</v>
      </c>
      <c r="D149" s="3710"/>
      <c r="E149" s="3366"/>
      <c r="F149" s="3322"/>
      <c r="G149" s="3322"/>
      <c r="H149" s="3322">
        <f t="shared" ref="H149:T149" si="1">SUM(H4:H5)</f>
        <v>8</v>
      </c>
      <c r="I149" s="3322">
        <f t="shared" si="1"/>
        <v>13</v>
      </c>
      <c r="J149" s="3322">
        <f t="shared" si="1"/>
        <v>588</v>
      </c>
      <c r="K149" s="3322">
        <f t="shared" si="1"/>
        <v>61548.28</v>
      </c>
      <c r="L149" s="3322">
        <f t="shared" si="1"/>
        <v>8120.62</v>
      </c>
      <c r="M149" s="3322">
        <f t="shared" si="1"/>
        <v>2232.5</v>
      </c>
      <c r="N149" s="3322">
        <f t="shared" si="1"/>
        <v>63780.78</v>
      </c>
      <c r="O149" s="3322">
        <f t="shared" si="1"/>
        <v>6295.74</v>
      </c>
      <c r="P149" s="3322">
        <f t="shared" si="1"/>
        <v>32575.31</v>
      </c>
      <c r="Q149" s="3322">
        <f t="shared" si="1"/>
        <v>59725.1</v>
      </c>
      <c r="R149" s="3322">
        <f t="shared" si="1"/>
        <v>0</v>
      </c>
      <c r="S149" s="3322">
        <f t="shared" si="1"/>
        <v>59725.1</v>
      </c>
      <c r="T149" s="3322">
        <f t="shared" si="1"/>
        <v>60261.45</v>
      </c>
      <c r="V149" s="3466" t="s">
        <v>4166</v>
      </c>
      <c r="W149" s="3466" t="s">
        <v>4167</v>
      </c>
      <c r="X149" s="3466" t="s">
        <v>4168</v>
      </c>
      <c r="Y149" s="3551">
        <f>Q41</f>
        <v>315128.59999999998</v>
      </c>
    </row>
    <row r="150" spans="1:27" s="3466" customFormat="1" ht="15.75" customHeight="1" outlineLevel="1">
      <c r="A150" s="3536"/>
      <c r="B150" s="3538" t="s">
        <v>3978</v>
      </c>
      <c r="C150" s="3709" t="s">
        <v>3000</v>
      </c>
      <c r="D150" s="3709"/>
      <c r="E150" s="3367"/>
      <c r="F150" s="3323"/>
      <c r="G150" s="3323"/>
      <c r="H150" s="3323">
        <f t="shared" ref="H150:T150" si="2">SUM(H20)</f>
        <v>1</v>
      </c>
      <c r="I150" s="3323">
        <f t="shared" si="2"/>
        <v>1</v>
      </c>
      <c r="J150" s="3323">
        <f t="shared" si="2"/>
        <v>10</v>
      </c>
      <c r="K150" s="3323">
        <f t="shared" si="2"/>
        <v>408.09</v>
      </c>
      <c r="L150" s="3323">
        <f t="shared" si="2"/>
        <v>0</v>
      </c>
      <c r="M150" s="3323">
        <f t="shared" si="2"/>
        <v>0</v>
      </c>
      <c r="N150" s="3323">
        <f t="shared" si="2"/>
        <v>408.09</v>
      </c>
      <c r="O150" s="3323">
        <f t="shared" si="2"/>
        <v>487.77</v>
      </c>
      <c r="P150" s="3323">
        <f t="shared" si="2"/>
        <v>1130</v>
      </c>
      <c r="Q150" s="3323">
        <f t="shared" si="2"/>
        <v>408.09</v>
      </c>
      <c r="R150" s="3323">
        <f t="shared" si="2"/>
        <v>0</v>
      </c>
      <c r="S150" s="3323">
        <f t="shared" si="2"/>
        <v>408.09</v>
      </c>
      <c r="T150" s="3323">
        <f t="shared" si="2"/>
        <v>408.09</v>
      </c>
      <c r="X150" s="3466" t="s">
        <v>4169</v>
      </c>
      <c r="Y150" s="3551">
        <f>Q42</f>
        <v>100265.36</v>
      </c>
    </row>
    <row r="151" spans="1:27" s="3466" customFormat="1" ht="15.75" customHeight="1" outlineLevel="1">
      <c r="A151" s="3536"/>
      <c r="B151" s="3538" t="s">
        <v>3978</v>
      </c>
      <c r="C151" s="3709" t="s">
        <v>3739</v>
      </c>
      <c r="D151" s="3709"/>
      <c r="E151" s="3367"/>
      <c r="F151" s="3323"/>
      <c r="G151" s="3323"/>
      <c r="H151" s="3323">
        <f t="shared" ref="H151:T151" si="3">SUM(H6:H7)</f>
        <v>0</v>
      </c>
      <c r="I151" s="3323">
        <f t="shared" si="3"/>
        <v>0</v>
      </c>
      <c r="J151" s="3323">
        <f t="shared" si="3"/>
        <v>439</v>
      </c>
      <c r="K151" s="3323">
        <f t="shared" si="3"/>
        <v>0</v>
      </c>
      <c r="L151" s="3323">
        <f t="shared" si="3"/>
        <v>0</v>
      </c>
      <c r="M151" s="3323">
        <f t="shared" si="3"/>
        <v>14057.16</v>
      </c>
      <c r="N151" s="3323">
        <f t="shared" si="3"/>
        <v>14057.16</v>
      </c>
      <c r="O151" s="3323">
        <f t="shared" si="3"/>
        <v>16148.41</v>
      </c>
      <c r="P151" s="3323">
        <f t="shared" si="3"/>
        <v>0</v>
      </c>
      <c r="Q151" s="3323">
        <f t="shared" si="3"/>
        <v>0</v>
      </c>
      <c r="R151" s="3323">
        <f t="shared" si="3"/>
        <v>8657.01</v>
      </c>
      <c r="S151" s="3323">
        <f t="shared" si="3"/>
        <v>8657.01</v>
      </c>
      <c r="T151" s="3323">
        <f t="shared" si="3"/>
        <v>0</v>
      </c>
      <c r="X151" s="3466" t="s">
        <v>4170</v>
      </c>
      <c r="Y151" s="3551">
        <f>Q43</f>
        <v>54590</v>
      </c>
    </row>
    <row r="152" spans="1:27" s="3466" customFormat="1" ht="12" customHeight="1" outlineLevel="1">
      <c r="B152" s="3539" t="s">
        <v>3978</v>
      </c>
      <c r="C152" s="3723" t="s">
        <v>3826</v>
      </c>
      <c r="D152" s="3723"/>
      <c r="E152" s="3369"/>
      <c r="F152" s="3324"/>
      <c r="G152" s="3324"/>
      <c r="H152" s="3324">
        <f t="shared" ref="H152:T152" si="4">SUM(H31:H36)</f>
        <v>0</v>
      </c>
      <c r="I152" s="3324">
        <f t="shared" si="4"/>
        <v>0</v>
      </c>
      <c r="J152" s="3324">
        <f t="shared" si="4"/>
        <v>0</v>
      </c>
      <c r="K152" s="3324">
        <f t="shared" si="4"/>
        <v>145782.20000000001</v>
      </c>
      <c r="L152" s="3324">
        <f t="shared" si="4"/>
        <v>0</v>
      </c>
      <c r="M152" s="3324">
        <f t="shared" si="4"/>
        <v>5046.4080000000004</v>
      </c>
      <c r="N152" s="3324">
        <f t="shared" si="4"/>
        <v>150828.60799999998</v>
      </c>
      <c r="O152" s="3324">
        <f t="shared" si="4"/>
        <v>33642.720000000001</v>
      </c>
      <c r="P152" s="3324">
        <f t="shared" si="4"/>
        <v>109557</v>
      </c>
      <c r="Q152" s="3324">
        <f t="shared" si="4"/>
        <v>0</v>
      </c>
      <c r="R152" s="3324">
        <f t="shared" si="4"/>
        <v>0</v>
      </c>
      <c r="S152" s="3324">
        <f t="shared" si="4"/>
        <v>0</v>
      </c>
      <c r="T152" s="3324">
        <f t="shared" si="4"/>
        <v>145782.20000000001</v>
      </c>
      <c r="W152" s="3466" t="s">
        <v>4178</v>
      </c>
      <c r="Y152" s="3551">
        <f>SUM(Y149:Y151)</f>
        <v>469983.95999999996</v>
      </c>
    </row>
    <row r="153" spans="1:27" s="3540" customFormat="1" ht="15.75" customHeight="1">
      <c r="B153" s="3541" t="s">
        <v>3978</v>
      </c>
      <c r="C153" s="3708" t="s">
        <v>27</v>
      </c>
      <c r="D153" s="3708"/>
      <c r="E153" s="3368"/>
      <c r="F153" s="3368"/>
      <c r="G153" s="3325"/>
      <c r="H153" s="3325">
        <f t="shared" ref="H153:T153" si="5">SUM(H149:H152)</f>
        <v>9</v>
      </c>
      <c r="I153" s="3325">
        <f t="shared" si="5"/>
        <v>14</v>
      </c>
      <c r="J153" s="3325">
        <f t="shared" si="5"/>
        <v>1037</v>
      </c>
      <c r="K153" s="3325">
        <f t="shared" si="5"/>
        <v>207738.57</v>
      </c>
      <c r="L153" s="3325">
        <f t="shared" si="5"/>
        <v>8120.62</v>
      </c>
      <c r="M153" s="3325">
        <f t="shared" si="5"/>
        <v>21336.067999999999</v>
      </c>
      <c r="N153" s="3325">
        <f t="shared" si="5"/>
        <v>229074.63799999998</v>
      </c>
      <c r="O153" s="3325">
        <f t="shared" si="5"/>
        <v>56574.64</v>
      </c>
      <c r="P153" s="3325">
        <f t="shared" si="5"/>
        <v>143262.31</v>
      </c>
      <c r="Q153" s="3325">
        <f t="shared" si="5"/>
        <v>60133.189999999995</v>
      </c>
      <c r="R153" s="3325">
        <f t="shared" si="5"/>
        <v>8657.01</v>
      </c>
      <c r="S153" s="3325">
        <f t="shared" si="5"/>
        <v>68790.2</v>
      </c>
      <c r="T153" s="3325">
        <f t="shared" si="5"/>
        <v>206451.74</v>
      </c>
      <c r="U153" s="3466"/>
      <c r="V153" s="3466"/>
      <c r="W153" s="3466" t="s">
        <v>4171</v>
      </c>
      <c r="X153" s="3466" t="s">
        <v>4172</v>
      </c>
      <c r="Y153" s="3551">
        <f>Q44</f>
        <v>4773.83</v>
      </c>
    </row>
    <row r="154" spans="1:27" s="3466" customFormat="1" ht="15.75" customHeight="1" outlineLevel="1">
      <c r="B154" s="3537" t="s">
        <v>3983</v>
      </c>
      <c r="C154" s="3710" t="s">
        <v>913</v>
      </c>
      <c r="D154" s="3710"/>
      <c r="E154" s="3542"/>
      <c r="F154" s="3322"/>
      <c r="G154" s="3322"/>
      <c r="H154" s="3322">
        <f t="shared" ref="H154:T154" si="6">SUM(H8:H9)</f>
        <v>18</v>
      </c>
      <c r="I154" s="3322">
        <f t="shared" si="6"/>
        <v>30</v>
      </c>
      <c r="J154" s="3322">
        <f t="shared" si="6"/>
        <v>1631</v>
      </c>
      <c r="K154" s="3322">
        <f t="shared" si="6"/>
        <v>160219.1</v>
      </c>
      <c r="L154" s="3322">
        <f t="shared" si="6"/>
        <v>21849.54</v>
      </c>
      <c r="M154" s="3322">
        <f t="shared" si="6"/>
        <v>7033.4800000000005</v>
      </c>
      <c r="N154" s="3322">
        <f t="shared" si="6"/>
        <v>167252.57999999999</v>
      </c>
      <c r="O154" s="3322">
        <f t="shared" si="6"/>
        <v>12735.75</v>
      </c>
      <c r="P154" s="3322">
        <f t="shared" si="6"/>
        <v>62243.6</v>
      </c>
      <c r="Q154" s="3322">
        <f t="shared" si="6"/>
        <v>156808.97</v>
      </c>
      <c r="R154" s="3322">
        <f t="shared" si="6"/>
        <v>0</v>
      </c>
      <c r="S154" s="3322">
        <f t="shared" si="6"/>
        <v>156808.97</v>
      </c>
      <c r="T154" s="3322">
        <f t="shared" si="6"/>
        <v>157838.11000000002</v>
      </c>
      <c r="W154" s="3466" t="s">
        <v>4173</v>
      </c>
      <c r="Y154" s="3551">
        <f>T41-S41+T47</f>
        <v>29388</v>
      </c>
    </row>
    <row r="155" spans="1:27" s="3466" customFormat="1" ht="15.75" customHeight="1" outlineLevel="1">
      <c r="B155" s="3538" t="s">
        <v>3983</v>
      </c>
      <c r="C155" s="3709" t="s">
        <v>3000</v>
      </c>
      <c r="D155" s="3709"/>
      <c r="E155" s="3367"/>
      <c r="F155" s="3323"/>
      <c r="G155" s="3323"/>
      <c r="H155" s="3323">
        <f t="shared" ref="H155:T155" si="7">SUM(H21)</f>
        <v>2</v>
      </c>
      <c r="I155" s="3323">
        <f t="shared" si="7"/>
        <v>2</v>
      </c>
      <c r="J155" s="3323">
        <f t="shared" si="7"/>
        <v>27</v>
      </c>
      <c r="K155" s="3323">
        <f t="shared" si="7"/>
        <v>1069.97</v>
      </c>
      <c r="L155" s="3323">
        <f t="shared" si="7"/>
        <v>0</v>
      </c>
      <c r="M155" s="3323">
        <f t="shared" si="7"/>
        <v>0</v>
      </c>
      <c r="N155" s="3323">
        <f t="shared" si="7"/>
        <v>1069.97</v>
      </c>
      <c r="O155" s="3323">
        <f t="shared" si="7"/>
        <v>1197.67</v>
      </c>
      <c r="P155" s="3323">
        <f t="shared" si="7"/>
        <v>1345</v>
      </c>
      <c r="Q155" s="3323">
        <f t="shared" si="7"/>
        <v>1069.97</v>
      </c>
      <c r="R155" s="3323">
        <f t="shared" si="7"/>
        <v>0</v>
      </c>
      <c r="S155" s="3323">
        <f t="shared" si="7"/>
        <v>1069.97</v>
      </c>
      <c r="T155" s="3323">
        <f t="shared" si="7"/>
        <v>1069.97</v>
      </c>
      <c r="W155" s="3466" t="s">
        <v>4174</v>
      </c>
      <c r="Y155" s="3551">
        <f>K41-T41</f>
        <v>10453</v>
      </c>
    </row>
    <row r="156" spans="1:27" s="3466" customFormat="1" ht="15.75" customHeight="1" outlineLevel="1">
      <c r="B156" s="3538" t="s">
        <v>3983</v>
      </c>
      <c r="C156" s="3709" t="s">
        <v>3739</v>
      </c>
      <c r="D156" s="3709"/>
      <c r="E156" s="3367"/>
      <c r="F156" s="3323"/>
      <c r="G156" s="3323"/>
      <c r="H156" s="3323">
        <f t="shared" ref="H156:T156" si="8">SUM(H10:H11)</f>
        <v>0</v>
      </c>
      <c r="I156" s="3323">
        <f t="shared" si="8"/>
        <v>0</v>
      </c>
      <c r="J156" s="3323">
        <f t="shared" si="8"/>
        <v>1173</v>
      </c>
      <c r="K156" s="3323">
        <f t="shared" si="8"/>
        <v>0</v>
      </c>
      <c r="L156" s="3323">
        <f t="shared" si="8"/>
        <v>0</v>
      </c>
      <c r="M156" s="3323">
        <f t="shared" si="8"/>
        <v>34712.720000000001</v>
      </c>
      <c r="N156" s="3323">
        <f t="shared" si="8"/>
        <v>34712.720000000001</v>
      </c>
      <c r="O156" s="3323">
        <f t="shared" si="8"/>
        <v>36411.24</v>
      </c>
      <c r="P156" s="3323">
        <f t="shared" si="8"/>
        <v>0</v>
      </c>
      <c r="Q156" s="3323">
        <f t="shared" si="8"/>
        <v>0</v>
      </c>
      <c r="R156" s="3323">
        <f t="shared" si="8"/>
        <v>19598.89</v>
      </c>
      <c r="S156" s="3323">
        <f t="shared" si="8"/>
        <v>19598.89</v>
      </c>
      <c r="T156" s="3323">
        <f t="shared" si="8"/>
        <v>0</v>
      </c>
      <c r="W156" s="3552" t="s">
        <v>4179</v>
      </c>
      <c r="X156" s="3552"/>
      <c r="Y156" s="3553">
        <f>SUM(Y152:Y155)</f>
        <v>514598.79</v>
      </c>
    </row>
    <row r="157" spans="1:27" s="3466" customFormat="1" ht="15.75" customHeight="1" outlineLevel="1">
      <c r="B157" s="3538" t="s">
        <v>3983</v>
      </c>
      <c r="C157" s="3709" t="s">
        <v>3826</v>
      </c>
      <c r="D157" s="3709"/>
      <c r="E157" s="3367"/>
      <c r="F157" s="3323"/>
      <c r="G157" s="3323"/>
      <c r="H157" s="3324">
        <v>0</v>
      </c>
      <c r="I157" s="3324"/>
      <c r="J157" s="3324"/>
      <c r="K157" s="3324"/>
      <c r="L157" s="3324"/>
      <c r="M157" s="3324"/>
      <c r="N157" s="3324"/>
      <c r="O157" s="3324"/>
      <c r="P157" s="3324"/>
      <c r="Q157" s="3324"/>
      <c r="R157" s="3324"/>
      <c r="S157" s="3324"/>
      <c r="T157" s="3324"/>
      <c r="V157" s="3466" t="s">
        <v>4175</v>
      </c>
      <c r="W157" s="3466" t="s">
        <v>4176</v>
      </c>
      <c r="Y157" s="3551">
        <f>ROUND(S46,2)</f>
        <v>87346.35</v>
      </c>
      <c r="Z157" s="3551">
        <f>ROUND(J46,0)</f>
        <v>2892</v>
      </c>
      <c r="AA157" s="3557">
        <f>Y157/Z157</f>
        <v>30.202748962655605</v>
      </c>
    </row>
    <row r="158" spans="1:27" s="3540" customFormat="1" ht="15.75" customHeight="1">
      <c r="B158" s="3541" t="s">
        <v>3983</v>
      </c>
      <c r="C158" s="3708" t="s">
        <v>27</v>
      </c>
      <c r="D158" s="3708"/>
      <c r="E158" s="3368"/>
      <c r="F158" s="3325"/>
      <c r="G158" s="3325"/>
      <c r="H158" s="3325">
        <f t="shared" ref="H158:T158" si="9">SUM(H154:H157)</f>
        <v>20</v>
      </c>
      <c r="I158" s="3325">
        <f t="shared" si="9"/>
        <v>32</v>
      </c>
      <c r="J158" s="3325">
        <f t="shared" si="9"/>
        <v>2831</v>
      </c>
      <c r="K158" s="3325">
        <f t="shared" si="9"/>
        <v>161289.07</v>
      </c>
      <c r="L158" s="3325">
        <f t="shared" si="9"/>
        <v>21849.54</v>
      </c>
      <c r="M158" s="3325">
        <f t="shared" si="9"/>
        <v>41746.200000000004</v>
      </c>
      <c r="N158" s="3325">
        <f t="shared" si="9"/>
        <v>203035.27</v>
      </c>
      <c r="O158" s="3325">
        <f t="shared" si="9"/>
        <v>50344.659999999996</v>
      </c>
      <c r="P158" s="3325">
        <f t="shared" si="9"/>
        <v>63588.6</v>
      </c>
      <c r="Q158" s="3325">
        <f t="shared" si="9"/>
        <v>157878.94</v>
      </c>
      <c r="R158" s="3325">
        <f t="shared" si="9"/>
        <v>19598.89</v>
      </c>
      <c r="S158" s="3325">
        <f t="shared" si="9"/>
        <v>177477.83000000002</v>
      </c>
      <c r="T158" s="3325">
        <f t="shared" si="9"/>
        <v>158908.08000000002</v>
      </c>
      <c r="U158" s="3466"/>
      <c r="V158" s="3466"/>
      <c r="W158" s="3466" t="s">
        <v>4177</v>
      </c>
      <c r="X158" s="3466"/>
      <c r="Y158" s="3551">
        <f>N45</f>
        <v>33087</v>
      </c>
    </row>
    <row r="159" spans="1:27" s="3466" customFormat="1" ht="15.75" customHeight="1" outlineLevel="1">
      <c r="B159" s="3537" t="s">
        <v>3988</v>
      </c>
      <c r="C159" s="3710" t="s">
        <v>913</v>
      </c>
      <c r="D159" s="3710"/>
      <c r="E159" s="3366"/>
      <c r="F159" s="3322"/>
      <c r="G159" s="3322"/>
      <c r="H159" s="3322">
        <f t="shared" ref="H159:T159" si="10">SUM(H12:H13,H22:H23)</f>
        <v>43</v>
      </c>
      <c r="I159" s="3322">
        <f t="shared" si="10"/>
        <v>83</v>
      </c>
      <c r="J159" s="3322">
        <f t="shared" si="10"/>
        <v>3664</v>
      </c>
      <c r="K159" s="3322">
        <f t="shared" si="10"/>
        <v>397286.91000000003</v>
      </c>
      <c r="L159" s="3322">
        <f t="shared" si="10"/>
        <v>49409.209999999992</v>
      </c>
      <c r="M159" s="3322">
        <f t="shared" si="10"/>
        <v>15794.95</v>
      </c>
      <c r="N159" s="3322">
        <f t="shared" si="10"/>
        <v>413081.86</v>
      </c>
      <c r="O159" s="3322">
        <f t="shared" si="10"/>
        <v>25410.71</v>
      </c>
      <c r="P159" s="3322">
        <f t="shared" si="10"/>
        <v>132001.03</v>
      </c>
      <c r="Q159" s="3322">
        <f t="shared" si="10"/>
        <v>371540.3</v>
      </c>
      <c r="R159" s="3322">
        <f t="shared" si="10"/>
        <v>0</v>
      </c>
      <c r="S159" s="3322">
        <f t="shared" si="10"/>
        <v>371540.3</v>
      </c>
      <c r="T159" s="3322">
        <f t="shared" si="10"/>
        <v>373598.22</v>
      </c>
      <c r="W159" s="3466" t="s">
        <v>4173</v>
      </c>
    </row>
    <row r="160" spans="1:27" s="3466" customFormat="1" ht="15.75" customHeight="1" outlineLevel="1">
      <c r="B160" s="3538" t="s">
        <v>3988</v>
      </c>
      <c r="C160" s="3709" t="s">
        <v>3000</v>
      </c>
      <c r="D160" s="3709"/>
      <c r="E160" s="3367"/>
      <c r="F160" s="3323"/>
      <c r="G160" s="3323"/>
      <c r="H160" s="3323">
        <f t="shared" ref="H160:T160" si="11">SUM(H24)</f>
        <v>1</v>
      </c>
      <c r="I160" s="3323">
        <f t="shared" si="11"/>
        <v>1</v>
      </c>
      <c r="J160" s="3323">
        <f t="shared" si="11"/>
        <v>36</v>
      </c>
      <c r="K160" s="3323">
        <f t="shared" si="11"/>
        <v>1351.78</v>
      </c>
      <c r="L160" s="3323">
        <f t="shared" si="11"/>
        <v>0</v>
      </c>
      <c r="M160" s="3323">
        <f t="shared" si="11"/>
        <v>0</v>
      </c>
      <c r="N160" s="3323">
        <f t="shared" si="11"/>
        <v>1351.78</v>
      </c>
      <c r="O160" s="3323">
        <f t="shared" si="11"/>
        <v>1652.85</v>
      </c>
      <c r="P160" s="3323">
        <f t="shared" si="11"/>
        <v>1851.42</v>
      </c>
      <c r="Q160" s="3323">
        <f t="shared" si="11"/>
        <v>1351.78</v>
      </c>
      <c r="R160" s="3323">
        <f t="shared" si="11"/>
        <v>0</v>
      </c>
      <c r="S160" s="3323">
        <f t="shared" si="11"/>
        <v>1351.78</v>
      </c>
      <c r="T160" s="3323">
        <f t="shared" si="11"/>
        <v>1351.78</v>
      </c>
      <c r="W160" s="3466" t="s">
        <v>4174</v>
      </c>
      <c r="Y160" s="3551">
        <f>ROUND(M41+M42+M43+M44,2)</f>
        <v>8092.65</v>
      </c>
    </row>
    <row r="161" spans="2:35" s="3466" customFormat="1" ht="15.75" customHeight="1" outlineLevel="1">
      <c r="B161" s="3538" t="s">
        <v>3988</v>
      </c>
      <c r="C161" s="3709" t="s">
        <v>3739</v>
      </c>
      <c r="D161" s="3709"/>
      <c r="E161" s="3367"/>
      <c r="F161" s="3323"/>
      <c r="G161" s="3323"/>
      <c r="H161" s="3323">
        <f t="shared" ref="H161:T161" si="12">SUM(H14:H15)</f>
        <v>0</v>
      </c>
      <c r="I161" s="3323">
        <f t="shared" si="12"/>
        <v>0</v>
      </c>
      <c r="J161" s="3323">
        <f t="shared" si="12"/>
        <v>2805</v>
      </c>
      <c r="K161" s="3323">
        <f t="shared" si="12"/>
        <v>0</v>
      </c>
      <c r="L161" s="3323">
        <f t="shared" si="12"/>
        <v>0</v>
      </c>
      <c r="M161" s="3323">
        <f t="shared" si="12"/>
        <v>82429.05</v>
      </c>
      <c r="N161" s="3323">
        <f t="shared" si="12"/>
        <v>82429.05</v>
      </c>
      <c r="O161" s="3323">
        <f t="shared" si="12"/>
        <v>0</v>
      </c>
      <c r="P161" s="3323">
        <f t="shared" si="12"/>
        <v>0</v>
      </c>
      <c r="Q161" s="3323">
        <f t="shared" si="12"/>
        <v>0</v>
      </c>
      <c r="R161" s="3323">
        <f t="shared" si="12"/>
        <v>56008.05</v>
      </c>
      <c r="S161" s="3323">
        <f t="shared" si="12"/>
        <v>56008.05</v>
      </c>
      <c r="T161" s="3323">
        <f t="shared" si="12"/>
        <v>0</v>
      </c>
      <c r="V161" s="3552"/>
      <c r="W161" s="3552" t="s">
        <v>4179</v>
      </c>
      <c r="X161" s="3552"/>
      <c r="Y161" s="3553">
        <f>SUM(Y157:Y160)</f>
        <v>128526</v>
      </c>
    </row>
    <row r="162" spans="2:35" s="3466" customFormat="1" ht="15.75" customHeight="1" outlineLevel="1">
      <c r="B162" s="3538" t="s">
        <v>3988</v>
      </c>
      <c r="C162" s="3709" t="s">
        <v>3826</v>
      </c>
      <c r="D162" s="3709"/>
      <c r="E162" s="3367"/>
      <c r="F162" s="3323"/>
      <c r="G162" s="3323"/>
      <c r="H162" s="3324">
        <v>0</v>
      </c>
      <c r="I162" s="3324"/>
      <c r="J162" s="3324"/>
      <c r="K162" s="3324"/>
      <c r="L162" s="3324"/>
      <c r="M162" s="3324"/>
      <c r="N162" s="3324"/>
      <c r="O162" s="3324"/>
      <c r="P162" s="3324"/>
      <c r="Q162" s="3324"/>
      <c r="R162" s="3324"/>
      <c r="S162" s="3324"/>
      <c r="T162" s="3324"/>
      <c r="V162" s="3552" t="s">
        <v>4179</v>
      </c>
      <c r="W162" s="3552"/>
      <c r="X162" s="3552"/>
      <c r="Y162" s="3553">
        <f>Y156+Y161</f>
        <v>643124.79</v>
      </c>
    </row>
    <row r="163" spans="2:35" s="3540" customFormat="1" ht="15.75" customHeight="1">
      <c r="B163" s="3541" t="s">
        <v>3988</v>
      </c>
      <c r="C163" s="3708" t="s">
        <v>27</v>
      </c>
      <c r="D163" s="3708"/>
      <c r="E163" s="3368"/>
      <c r="F163" s="3325"/>
      <c r="G163" s="3325"/>
      <c r="H163" s="3325">
        <f t="shared" ref="H163:T163" si="13">SUM(H159:H162)</f>
        <v>44</v>
      </c>
      <c r="I163" s="3325">
        <f t="shared" si="13"/>
        <v>84</v>
      </c>
      <c r="J163" s="3325">
        <f t="shared" si="13"/>
        <v>6505</v>
      </c>
      <c r="K163" s="3325">
        <f t="shared" si="13"/>
        <v>398638.69000000006</v>
      </c>
      <c r="L163" s="3325">
        <f t="shared" si="13"/>
        <v>49409.209999999992</v>
      </c>
      <c r="M163" s="3325">
        <f t="shared" si="13"/>
        <v>98224</v>
      </c>
      <c r="N163" s="3325">
        <f t="shared" si="13"/>
        <v>496862.69</v>
      </c>
      <c r="O163" s="3325">
        <f t="shared" si="13"/>
        <v>27063.559999999998</v>
      </c>
      <c r="P163" s="3325">
        <f t="shared" si="13"/>
        <v>133852.45000000001</v>
      </c>
      <c r="Q163" s="3325">
        <f t="shared" si="13"/>
        <v>372892.08</v>
      </c>
      <c r="R163" s="3325">
        <f t="shared" si="13"/>
        <v>56008.05</v>
      </c>
      <c r="S163" s="3325">
        <f t="shared" si="13"/>
        <v>428900.13</v>
      </c>
      <c r="T163" s="3325">
        <f t="shared" si="13"/>
        <v>374950</v>
      </c>
      <c r="U163" s="3466"/>
      <c r="V163" s="3466"/>
      <c r="W163" s="3466"/>
      <c r="X163" s="3466"/>
      <c r="Y163" s="3466"/>
    </row>
    <row r="164" spans="2:35" s="3466" customFormat="1" ht="15.75" customHeight="1" outlineLevel="1">
      <c r="B164" s="3537" t="s">
        <v>3993</v>
      </c>
      <c r="C164" s="3710" t="s">
        <v>913</v>
      </c>
      <c r="D164" s="3710"/>
      <c r="E164" s="3366"/>
      <c r="F164" s="3322"/>
      <c r="G164" s="3322"/>
      <c r="H164" s="3322">
        <f t="shared" ref="H164:T164" si="14">SUM(H16:H17,H25)</f>
        <v>23</v>
      </c>
      <c r="I164" s="3322">
        <f t="shared" si="14"/>
        <v>58</v>
      </c>
      <c r="J164" s="3322">
        <f t="shared" si="14"/>
        <v>733</v>
      </c>
      <c r="K164" s="3322">
        <f t="shared" si="14"/>
        <v>121732.45000000001</v>
      </c>
      <c r="L164" s="3322">
        <f t="shared" si="14"/>
        <v>11195.52</v>
      </c>
      <c r="M164" s="3322">
        <f t="shared" si="14"/>
        <v>7464.2340000000004</v>
      </c>
      <c r="N164" s="3322">
        <f t="shared" si="14"/>
        <v>129196.68399999999</v>
      </c>
      <c r="O164" s="3322">
        <f t="shared" si="14"/>
        <v>13307.17</v>
      </c>
      <c r="P164" s="3322">
        <f t="shared" si="14"/>
        <v>51570.41</v>
      </c>
      <c r="Q164" s="3322">
        <f t="shared" si="14"/>
        <v>95861.91</v>
      </c>
      <c r="R164" s="3322">
        <f t="shared" si="14"/>
        <v>0</v>
      </c>
      <c r="S164" s="3322">
        <f t="shared" si="14"/>
        <v>95861.91</v>
      </c>
      <c r="T164" s="3322">
        <f t="shared" si="14"/>
        <v>96582.399999999994</v>
      </c>
      <c r="V164" s="3466" t="s">
        <v>11118</v>
      </c>
      <c r="Y164" s="3466">
        <f>SUM(T41:T47)/'数据-汇总表'!D3</f>
        <v>2.3516003260129374</v>
      </c>
    </row>
    <row r="165" spans="2:35" s="3466" customFormat="1" ht="15.75" customHeight="1" outlineLevel="1">
      <c r="B165" s="3538" t="s">
        <v>3993</v>
      </c>
      <c r="C165" s="3709" t="s">
        <v>3000</v>
      </c>
      <c r="D165" s="3709"/>
      <c r="E165" s="3367"/>
      <c r="F165" s="3323"/>
      <c r="G165" s="3323"/>
      <c r="H165" s="3323"/>
      <c r="I165" s="3323"/>
      <c r="J165" s="3323"/>
      <c r="K165" s="3323"/>
      <c r="L165" s="3323"/>
      <c r="M165" s="3323"/>
      <c r="N165" s="3323"/>
      <c r="O165" s="3323"/>
      <c r="P165" s="3323"/>
      <c r="Q165" s="3323"/>
      <c r="R165" s="3323"/>
      <c r="S165" s="3323"/>
      <c r="T165" s="3323"/>
    </row>
    <row r="166" spans="2:35" s="3466" customFormat="1" ht="15.75" customHeight="1" outlineLevel="1">
      <c r="B166" s="3538" t="s">
        <v>3993</v>
      </c>
      <c r="C166" s="3709" t="s">
        <v>3739</v>
      </c>
      <c r="D166" s="3709"/>
      <c r="E166" s="3367"/>
      <c r="F166" s="3323"/>
      <c r="G166" s="3323"/>
      <c r="H166" s="3323">
        <f t="shared" ref="H166:T166" si="15">SUM(H18:H19,H37:H38)</f>
        <v>0</v>
      </c>
      <c r="I166" s="3323">
        <f t="shared" si="15"/>
        <v>0</v>
      </c>
      <c r="J166" s="3323">
        <f t="shared" si="15"/>
        <v>2797</v>
      </c>
      <c r="K166" s="3323">
        <f t="shared" si="15"/>
        <v>0</v>
      </c>
      <c r="L166" s="3323">
        <f t="shared" si="15"/>
        <v>0</v>
      </c>
      <c r="M166" s="3323">
        <f t="shared" si="15"/>
        <v>92713.766000000003</v>
      </c>
      <c r="N166" s="3323">
        <f t="shared" si="15"/>
        <v>92713.766000000003</v>
      </c>
      <c r="O166" s="3323">
        <f t="shared" si="15"/>
        <v>75063.407999999996</v>
      </c>
      <c r="P166" s="3323">
        <f t="shared" si="15"/>
        <v>0</v>
      </c>
      <c r="Q166" s="3323">
        <f t="shared" si="15"/>
        <v>0</v>
      </c>
      <c r="R166" s="3323">
        <f t="shared" si="15"/>
        <v>8904.1859999999997</v>
      </c>
      <c r="S166" s="3323">
        <f t="shared" si="15"/>
        <v>8904.1859999999997</v>
      </c>
      <c r="T166" s="3323">
        <f t="shared" si="15"/>
        <v>0</v>
      </c>
    </row>
    <row r="167" spans="2:35" s="3466" customFormat="1" ht="15.75" customHeight="1" outlineLevel="1">
      <c r="B167" s="3538" t="s">
        <v>3993</v>
      </c>
      <c r="C167" s="3709" t="s">
        <v>3826</v>
      </c>
      <c r="D167" s="3709"/>
      <c r="E167" s="3367"/>
      <c r="F167" s="3323"/>
      <c r="G167" s="3323"/>
      <c r="H167" s="3324"/>
      <c r="I167" s="3324"/>
      <c r="J167" s="3324"/>
      <c r="K167" s="3324"/>
      <c r="L167" s="3324"/>
      <c r="M167" s="3324"/>
      <c r="N167" s="3324"/>
      <c r="O167" s="3324"/>
      <c r="P167" s="3324"/>
      <c r="Q167" s="3324"/>
      <c r="R167" s="3324"/>
      <c r="S167" s="3324"/>
      <c r="T167" s="3324"/>
    </row>
    <row r="168" spans="2:35" s="3540" customFormat="1" ht="15.75" customHeight="1">
      <c r="B168" s="3541" t="s">
        <v>3993</v>
      </c>
      <c r="C168" s="3708" t="s">
        <v>27</v>
      </c>
      <c r="D168" s="3708"/>
      <c r="E168" s="3368"/>
      <c r="F168" s="3325"/>
      <c r="G168" s="3325"/>
      <c r="H168" s="3325">
        <f t="shared" ref="H168:N168" si="16">SUM(H164:H167)</f>
        <v>23</v>
      </c>
      <c r="I168" s="3325">
        <f t="shared" si="16"/>
        <v>58</v>
      </c>
      <c r="J168" s="3325">
        <f t="shared" si="16"/>
        <v>3530</v>
      </c>
      <c r="K168" s="3325">
        <f t="shared" si="16"/>
        <v>121732.45000000001</v>
      </c>
      <c r="L168" s="3325">
        <f t="shared" si="16"/>
        <v>11195.52</v>
      </c>
      <c r="M168" s="3325">
        <f t="shared" si="16"/>
        <v>100178</v>
      </c>
      <c r="N168" s="3325">
        <f t="shared" si="16"/>
        <v>221910.45</v>
      </c>
      <c r="O168" s="3325">
        <f t="shared" ref="O168:T168" si="17">SUM(O164:O167)</f>
        <v>88370.577999999994</v>
      </c>
      <c r="P168" s="3325">
        <f t="shared" si="17"/>
        <v>51570.41</v>
      </c>
      <c r="Q168" s="3325">
        <f t="shared" si="17"/>
        <v>95861.91</v>
      </c>
      <c r="R168" s="3325">
        <f t="shared" si="17"/>
        <v>8904.1859999999997</v>
      </c>
      <c r="S168" s="3325">
        <f t="shared" si="17"/>
        <v>104766.09600000001</v>
      </c>
      <c r="T168" s="3325">
        <f t="shared" si="17"/>
        <v>96582.399999999994</v>
      </c>
      <c r="U168" s="3466"/>
      <c r="V168" s="3612" t="s">
        <v>4184</v>
      </c>
      <c r="W168" s="3613" t="s">
        <v>11198</v>
      </c>
      <c r="X168" s="3614" t="s">
        <v>11199</v>
      </c>
      <c r="Y168" s="3615" t="s">
        <v>11200</v>
      </c>
      <c r="Z168" s="3615" t="s">
        <v>11201</v>
      </c>
      <c r="AA168" s="3615" t="s">
        <v>11202</v>
      </c>
      <c r="AB168" s="3615" t="s">
        <v>11203</v>
      </c>
      <c r="AC168" s="3615" t="s">
        <v>11204</v>
      </c>
      <c r="AD168" s="3615" t="s">
        <v>11205</v>
      </c>
      <c r="AE168" s="3615" t="s">
        <v>11206</v>
      </c>
      <c r="AF168" s="3615" t="s">
        <v>11207</v>
      </c>
      <c r="AG168" s="3615" t="s">
        <v>11208</v>
      </c>
      <c r="AH168" s="3615" t="s">
        <v>11209</v>
      </c>
    </row>
    <row r="169" spans="2:35" s="3466" customFormat="1" ht="15.75" customHeight="1" outlineLevel="1">
      <c r="B169" s="3537" t="s">
        <v>4017</v>
      </c>
      <c r="C169" s="3710" t="s">
        <v>913</v>
      </c>
      <c r="D169" s="3710"/>
      <c r="E169" s="3366"/>
      <c r="F169" s="3322"/>
      <c r="G169" s="3322"/>
      <c r="H169" s="3322">
        <f t="shared" ref="H169:T169" si="18">SUM(H41:H43)</f>
        <v>90</v>
      </c>
      <c r="I169" s="3322">
        <f t="shared" si="18"/>
        <v>179</v>
      </c>
      <c r="J169" s="3322">
        <f t="shared" si="18"/>
        <v>4065</v>
      </c>
      <c r="K169" s="3322">
        <f t="shared" si="18"/>
        <v>483061.95999999996</v>
      </c>
      <c r="L169" s="3322">
        <f t="shared" si="18"/>
        <v>33549.68</v>
      </c>
      <c r="M169" s="3322">
        <f t="shared" si="18"/>
        <v>7376.58</v>
      </c>
      <c r="N169" s="3322">
        <f t="shared" si="18"/>
        <v>490438.54000000004</v>
      </c>
      <c r="O169" s="3322">
        <f t="shared" si="18"/>
        <v>49177.2</v>
      </c>
      <c r="P169" s="3322">
        <f t="shared" si="18"/>
        <v>215000.16999999998</v>
      </c>
      <c r="Q169" s="3322">
        <f t="shared" si="18"/>
        <v>469983.95999999996</v>
      </c>
      <c r="R169" s="3322">
        <f t="shared" si="18"/>
        <v>0</v>
      </c>
      <c r="S169" s="3322">
        <f t="shared" si="18"/>
        <v>469983.95999999996</v>
      </c>
      <c r="T169" s="3322">
        <f t="shared" si="18"/>
        <v>472608.95999999996</v>
      </c>
      <c r="V169" s="3616" t="s">
        <v>4017</v>
      </c>
      <c r="W169" s="3617">
        <v>514154.92282137997</v>
      </c>
      <c r="X169" s="3618">
        <v>68569.487999999998</v>
      </c>
      <c r="Y169" s="3611">
        <v>4279.090435321993</v>
      </c>
      <c r="Z169" s="3611">
        <v>8455.2700618606868</v>
      </c>
      <c r="AA169" s="3611">
        <v>165823.62976728991</v>
      </c>
      <c r="AB169" s="3611">
        <v>20291.039851704078</v>
      </c>
      <c r="AC169" s="3611">
        <v>2596.9381942354544</v>
      </c>
      <c r="AD169" s="3611">
        <v>0</v>
      </c>
      <c r="AE169" s="3611">
        <v>0</v>
      </c>
      <c r="AF169" s="3611">
        <v>5339.5014785864905</v>
      </c>
      <c r="AG169" s="3611">
        <v>548.64134499879458</v>
      </c>
      <c r="AH169" s="3611">
        <v>275903.59913399734</v>
      </c>
    </row>
    <row r="170" spans="2:35" s="3466" customFormat="1" ht="15.75" customHeight="1" outlineLevel="1">
      <c r="B170" s="3538" t="s">
        <v>4017</v>
      </c>
      <c r="C170" s="3709" t="s">
        <v>3000</v>
      </c>
      <c r="D170" s="3709"/>
      <c r="E170" s="3367"/>
      <c r="F170" s="3323"/>
      <c r="G170" s="3323"/>
      <c r="H170" s="3323">
        <f t="shared" ref="H170:N170" si="19">SUM(H44)</f>
        <v>6</v>
      </c>
      <c r="I170" s="3323">
        <f t="shared" si="19"/>
        <v>6</v>
      </c>
      <c r="J170" s="3323">
        <f t="shared" si="19"/>
        <v>119</v>
      </c>
      <c r="K170" s="3323">
        <f t="shared" si="19"/>
        <v>4773.83</v>
      </c>
      <c r="L170" s="3323">
        <f t="shared" si="19"/>
        <v>0</v>
      </c>
      <c r="M170" s="3323">
        <f t="shared" si="19"/>
        <v>716.07449999999994</v>
      </c>
      <c r="N170" s="3323">
        <f t="shared" si="19"/>
        <v>5489.9044999999996</v>
      </c>
      <c r="O170" s="3323">
        <f t="shared" ref="O170:T170" si="20">SUM(O44)</f>
        <v>4773.83</v>
      </c>
      <c r="P170" s="3323">
        <f t="shared" si="20"/>
        <v>4773.83</v>
      </c>
      <c r="Q170" s="3323">
        <f t="shared" si="20"/>
        <v>4773.83</v>
      </c>
      <c r="R170" s="3323">
        <f t="shared" si="20"/>
        <v>0</v>
      </c>
      <c r="S170" s="3323">
        <f t="shared" si="20"/>
        <v>4773.83</v>
      </c>
      <c r="T170" s="3323">
        <f t="shared" si="20"/>
        <v>4773.83</v>
      </c>
      <c r="V170" s="3616" t="s">
        <v>4026</v>
      </c>
      <c r="W170" s="3617">
        <v>0</v>
      </c>
      <c r="X170" s="3618">
        <v>0</v>
      </c>
      <c r="Y170" s="3611">
        <v>0</v>
      </c>
      <c r="Z170" s="3611">
        <v>0</v>
      </c>
      <c r="AA170" s="3611">
        <v>12136.82152</v>
      </c>
      <c r="AB170" s="3611">
        <v>0</v>
      </c>
      <c r="AC170" s="3611">
        <v>0</v>
      </c>
      <c r="AD170" s="3611">
        <v>0</v>
      </c>
      <c r="AE170" s="3611">
        <v>0</v>
      </c>
      <c r="AF170" s="3611">
        <v>0</v>
      </c>
      <c r="AG170" s="3611">
        <v>0</v>
      </c>
      <c r="AH170" s="3611">
        <v>12136.82152</v>
      </c>
    </row>
    <row r="171" spans="2:35" s="3466" customFormat="1" ht="15.75" customHeight="1" outlineLevel="1">
      <c r="B171" s="3538" t="s">
        <v>4017</v>
      </c>
      <c r="C171" s="3709" t="s">
        <v>3739</v>
      </c>
      <c r="D171" s="3709"/>
      <c r="E171" s="3367"/>
      <c r="F171" s="3323"/>
      <c r="G171" s="3323"/>
      <c r="H171" s="3323">
        <f t="shared" ref="H171:T171" si="21">SUM(H45,H46,H48,H49)</f>
        <v>0</v>
      </c>
      <c r="I171" s="3323">
        <f t="shared" si="21"/>
        <v>0</v>
      </c>
      <c r="J171" s="3323">
        <f t="shared" si="21"/>
        <v>3836.9999999999973</v>
      </c>
      <c r="K171" s="3323">
        <f t="shared" si="21"/>
        <v>0</v>
      </c>
      <c r="L171" s="3323">
        <f t="shared" si="21"/>
        <v>0</v>
      </c>
      <c r="M171" s="3323">
        <f t="shared" si="21"/>
        <v>120433.3455</v>
      </c>
      <c r="N171" s="3323">
        <f t="shared" si="21"/>
        <v>120433.3455</v>
      </c>
      <c r="O171" s="3323">
        <f t="shared" si="21"/>
        <v>128526</v>
      </c>
      <c r="P171" s="3323">
        <f t="shared" si="21"/>
        <v>0</v>
      </c>
      <c r="Q171" s="3323">
        <f t="shared" si="21"/>
        <v>0</v>
      </c>
      <c r="R171" s="3323">
        <f t="shared" si="21"/>
        <v>87346.345499999996</v>
      </c>
      <c r="S171" s="3323">
        <f t="shared" si="21"/>
        <v>87346.345499999996</v>
      </c>
      <c r="T171" s="3323">
        <f t="shared" si="21"/>
        <v>0</v>
      </c>
    </row>
    <row r="172" spans="2:35" s="3466" customFormat="1" ht="15.75" customHeight="1" outlineLevel="1">
      <c r="B172" s="3538" t="s">
        <v>4017</v>
      </c>
      <c r="C172" s="3709" t="s">
        <v>3826</v>
      </c>
      <c r="D172" s="3709"/>
      <c r="E172" s="3367"/>
      <c r="F172" s="3323"/>
      <c r="G172" s="3323"/>
      <c r="H172" s="3324">
        <f t="shared" ref="H172:M172" si="22">SUM(H47)</f>
        <v>0</v>
      </c>
      <c r="I172" s="3324">
        <f t="shared" si="22"/>
        <v>0</v>
      </c>
      <c r="J172" s="3324">
        <f t="shared" si="22"/>
        <v>0</v>
      </c>
      <c r="K172" s="3324">
        <f t="shared" si="22"/>
        <v>26763</v>
      </c>
      <c r="L172" s="3324">
        <f t="shared" si="22"/>
        <v>0</v>
      </c>
      <c r="M172" s="3324">
        <f t="shared" si="22"/>
        <v>0</v>
      </c>
      <c r="N172" s="3324">
        <f t="shared" ref="N172:T172" si="23">SUM(N47)</f>
        <v>26763</v>
      </c>
      <c r="O172" s="3324">
        <f t="shared" si="23"/>
        <v>7561</v>
      </c>
      <c r="P172" s="3324">
        <f t="shared" si="23"/>
        <v>33409</v>
      </c>
      <c r="Q172" s="3324">
        <f t="shared" si="23"/>
        <v>0</v>
      </c>
      <c r="R172" s="3324">
        <f t="shared" si="23"/>
        <v>0</v>
      </c>
      <c r="S172" s="3324">
        <f t="shared" si="23"/>
        <v>0</v>
      </c>
      <c r="T172" s="3324">
        <f t="shared" si="23"/>
        <v>26763</v>
      </c>
      <c r="V172" s="3466" t="s">
        <v>11210</v>
      </c>
      <c r="W172" s="3551">
        <f>SUM(T41:T49)</f>
        <v>504145.79</v>
      </c>
      <c r="Z172" s="3619">
        <f>Z169/$W$172*10000</f>
        <v>167.71478071572685</v>
      </c>
      <c r="AA172" s="3619">
        <f t="shared" ref="AA172:AC172" si="24">AA169/$W$172*10000</f>
        <v>3289.1999309820662</v>
      </c>
      <c r="AB172" s="3619">
        <f t="shared" si="24"/>
        <v>402.48357229570598</v>
      </c>
      <c r="AC172" s="3619">
        <f t="shared" si="24"/>
        <v>51.511650910254644</v>
      </c>
    </row>
    <row r="173" spans="2:35" s="3540" customFormat="1" ht="15.75" customHeight="1">
      <c r="B173" s="3541" t="s">
        <v>4017</v>
      </c>
      <c r="C173" s="3708" t="s">
        <v>27</v>
      </c>
      <c r="D173" s="3708"/>
      <c r="E173" s="3368"/>
      <c r="F173" s="3325"/>
      <c r="G173" s="3325"/>
      <c r="H173" s="3325">
        <f t="shared" ref="H173:N173" si="25">SUM(H169:H172)</f>
        <v>96</v>
      </c>
      <c r="I173" s="3325">
        <f t="shared" si="25"/>
        <v>185</v>
      </c>
      <c r="J173" s="3325">
        <f t="shared" si="25"/>
        <v>8020.9999999999973</v>
      </c>
      <c r="K173" s="3325">
        <f t="shared" si="25"/>
        <v>514598.79</v>
      </c>
      <c r="L173" s="3325">
        <f t="shared" si="25"/>
        <v>33549.68</v>
      </c>
      <c r="M173" s="3325">
        <f t="shared" si="25"/>
        <v>128526</v>
      </c>
      <c r="N173" s="3325">
        <f t="shared" si="25"/>
        <v>643124.79</v>
      </c>
      <c r="O173" s="3325">
        <f t="shared" ref="O173:T173" si="26">SUM(O169:O172)</f>
        <v>190038.03</v>
      </c>
      <c r="P173" s="3325">
        <f t="shared" si="26"/>
        <v>253182.99999999997</v>
      </c>
      <c r="Q173" s="3325">
        <f t="shared" si="26"/>
        <v>474757.79</v>
      </c>
      <c r="R173" s="3325">
        <f t="shared" si="26"/>
        <v>87346.345499999996</v>
      </c>
      <c r="S173" s="3325">
        <f t="shared" si="26"/>
        <v>562104.13549999997</v>
      </c>
      <c r="T173" s="3325">
        <f t="shared" si="26"/>
        <v>504145.79</v>
      </c>
      <c r="U173" s="3466"/>
      <c r="V173" s="3466"/>
      <c r="W173" s="3466"/>
      <c r="X173" s="3466"/>
      <c r="Y173" s="3466"/>
      <c r="Z173" s="3466"/>
      <c r="AA173" s="3466"/>
      <c r="AB173" s="3466"/>
      <c r="AC173" s="3466"/>
      <c r="AD173" s="3466"/>
      <c r="AE173" s="3466"/>
      <c r="AF173" s="3466"/>
      <c r="AG173" s="3466"/>
      <c r="AH173" s="3466"/>
      <c r="AI173" s="3466"/>
    </row>
    <row r="174" spans="2:35" s="3540" customFormat="1" ht="15.75" customHeight="1" outlineLevel="1">
      <c r="B174" s="3537" t="s">
        <v>4031</v>
      </c>
      <c r="C174" s="3710" t="s">
        <v>913</v>
      </c>
      <c r="D174" s="3710"/>
      <c r="E174" s="3366"/>
      <c r="F174" s="3322"/>
      <c r="G174" s="3322"/>
      <c r="H174" s="3322">
        <f t="shared" ref="H174:T174" si="27">SUM(H52:H54)</f>
        <v>147.5</v>
      </c>
      <c r="I174" s="3322">
        <f t="shared" si="27"/>
        <v>338</v>
      </c>
      <c r="J174" s="3322">
        <f t="shared" si="27"/>
        <v>6400</v>
      </c>
      <c r="K174" s="3322">
        <f t="shared" si="27"/>
        <v>805257.64500000002</v>
      </c>
      <c r="L174" s="3322">
        <f t="shared" si="27"/>
        <v>59571.398399999998</v>
      </c>
      <c r="M174" s="3322">
        <f t="shared" si="27"/>
        <v>14991</v>
      </c>
      <c r="N174" s="3322">
        <f t="shared" si="27"/>
        <v>820248.64500000002</v>
      </c>
      <c r="O174" s="3322">
        <f t="shared" si="27"/>
        <v>99940</v>
      </c>
      <c r="P174" s="3322">
        <f t="shared" si="27"/>
        <v>369680.07999999996</v>
      </c>
      <c r="Q174" s="3322">
        <f t="shared" si="27"/>
        <v>784894.84500000009</v>
      </c>
      <c r="R174" s="3322">
        <f t="shared" si="27"/>
        <v>0</v>
      </c>
      <c r="S174" s="3322">
        <f t="shared" si="27"/>
        <v>784894.84500000009</v>
      </c>
      <c r="T174" s="3322">
        <f t="shared" si="27"/>
        <v>790227.84500000009</v>
      </c>
      <c r="U174" s="3466"/>
      <c r="V174" s="3466"/>
      <c r="W174" s="3466"/>
      <c r="X174" s="3466"/>
      <c r="Y174" s="3466"/>
      <c r="Z174" s="3466"/>
      <c r="AA174" s="3466"/>
      <c r="AB174" s="3466"/>
      <c r="AC174" s="3466"/>
      <c r="AD174" s="3466"/>
      <c r="AE174" s="3466"/>
      <c r="AF174" s="3466"/>
      <c r="AG174" s="3466"/>
      <c r="AH174" s="3466"/>
      <c r="AI174" s="3466"/>
    </row>
    <row r="175" spans="2:35" s="3540" customFormat="1" ht="15.75" customHeight="1" outlineLevel="1">
      <c r="B175" s="3538" t="s">
        <v>4031</v>
      </c>
      <c r="C175" s="3709" t="s">
        <v>3000</v>
      </c>
      <c r="D175" s="3709"/>
      <c r="E175" s="3367"/>
      <c r="F175" s="3323"/>
      <c r="G175" s="3323"/>
      <c r="H175" s="3323">
        <f t="shared" ref="H175:T175" si="28">SUM(H55,H58,H59,H60,H69)</f>
        <v>75</v>
      </c>
      <c r="I175" s="3323">
        <f t="shared" si="28"/>
        <v>171</v>
      </c>
      <c r="J175" s="3323">
        <f t="shared" si="28"/>
        <v>4388</v>
      </c>
      <c r="K175" s="3323">
        <f t="shared" si="28"/>
        <v>185323.91500000001</v>
      </c>
      <c r="L175" s="3323">
        <f t="shared" si="28"/>
        <v>3476.7</v>
      </c>
      <c r="M175" s="3323">
        <f t="shared" si="28"/>
        <v>4843.7497499999999</v>
      </c>
      <c r="N175" s="3323">
        <f t="shared" si="28"/>
        <v>190167.66475</v>
      </c>
      <c r="O175" s="3323">
        <f t="shared" si="28"/>
        <v>33731.665000000001</v>
      </c>
      <c r="P175" s="3323">
        <f t="shared" si="28"/>
        <v>78968.92</v>
      </c>
      <c r="Q175" s="3323">
        <f t="shared" si="28"/>
        <v>185323.91500000001</v>
      </c>
      <c r="R175" s="3323">
        <f t="shared" si="28"/>
        <v>0</v>
      </c>
      <c r="S175" s="3323">
        <f t="shared" si="28"/>
        <v>185323.91500000001</v>
      </c>
      <c r="T175" s="3323">
        <f t="shared" si="28"/>
        <v>185323.91500000001</v>
      </c>
      <c r="U175" s="3466"/>
      <c r="V175" s="3466"/>
      <c r="W175" s="3466"/>
      <c r="X175" s="3466"/>
      <c r="Y175" s="3466"/>
      <c r="Z175" s="3466"/>
      <c r="AA175" s="3466"/>
      <c r="AB175" s="3466"/>
      <c r="AC175" s="3466"/>
      <c r="AD175" s="3466"/>
      <c r="AE175" s="3466"/>
      <c r="AF175" s="3466"/>
      <c r="AG175" s="3466"/>
      <c r="AH175" s="3466"/>
      <c r="AI175" s="3466"/>
    </row>
    <row r="176" spans="2:35" s="3540" customFormat="1" ht="15.75" customHeight="1" outlineLevel="1">
      <c r="B176" s="3538" t="s">
        <v>4031</v>
      </c>
      <c r="C176" s="3709" t="s">
        <v>3739</v>
      </c>
      <c r="D176" s="3709"/>
      <c r="E176" s="3367"/>
      <c r="F176" s="3323"/>
      <c r="G176" s="3323"/>
      <c r="H176" s="3323">
        <f t="shared" ref="H176:T176" si="29">SUM(H56,H57,H61,H62,H67,H68)</f>
        <v>0</v>
      </c>
      <c r="I176" s="3323">
        <f t="shared" si="29"/>
        <v>0</v>
      </c>
      <c r="J176" s="3323">
        <f t="shared" si="29"/>
        <v>9081.4</v>
      </c>
      <c r="K176" s="3323">
        <f t="shared" si="29"/>
        <v>0</v>
      </c>
      <c r="L176" s="3323">
        <f t="shared" si="29"/>
        <v>0</v>
      </c>
      <c r="M176" s="3323">
        <f t="shared" si="29"/>
        <v>290737.25025000004</v>
      </c>
      <c r="N176" s="3323">
        <f t="shared" si="29"/>
        <v>290737.25025000004</v>
      </c>
      <c r="O176" s="3323">
        <f t="shared" si="29"/>
        <v>259462</v>
      </c>
      <c r="P176" s="3323">
        <f t="shared" si="29"/>
        <v>0</v>
      </c>
      <c r="Q176" s="3323">
        <f t="shared" si="29"/>
        <v>0</v>
      </c>
      <c r="R176" s="3323">
        <f t="shared" si="29"/>
        <v>159869.25025000001</v>
      </c>
      <c r="S176" s="3323">
        <f t="shared" si="29"/>
        <v>159869.25025000001</v>
      </c>
      <c r="T176" s="3323">
        <f t="shared" si="29"/>
        <v>0</v>
      </c>
      <c r="U176" s="3466"/>
      <c r="V176" s="3466"/>
      <c r="W176" s="3466"/>
      <c r="X176" s="3466"/>
      <c r="Y176" s="3466"/>
      <c r="Z176" s="3466"/>
      <c r="AA176" s="3466"/>
      <c r="AB176" s="3466"/>
      <c r="AC176" s="3466"/>
      <c r="AD176" s="3466"/>
      <c r="AE176" s="3466"/>
      <c r="AF176" s="3466"/>
      <c r="AG176" s="3466"/>
      <c r="AH176" s="3466"/>
      <c r="AI176" s="3466"/>
    </row>
    <row r="177" spans="2:25" s="3540" customFormat="1" ht="15.75" customHeight="1" outlineLevel="1">
      <c r="B177" s="3538" t="s">
        <v>4031</v>
      </c>
      <c r="C177" s="3709" t="s">
        <v>3826</v>
      </c>
      <c r="D177" s="3709"/>
      <c r="E177" s="3367"/>
      <c r="F177" s="3323"/>
      <c r="G177" s="3323"/>
      <c r="H177" s="3324">
        <f t="shared" ref="H177:M177" si="30">SUM(H63:H66)</f>
        <v>0</v>
      </c>
      <c r="I177" s="3324">
        <f t="shared" si="30"/>
        <v>0</v>
      </c>
      <c r="J177" s="3324">
        <f t="shared" si="30"/>
        <v>0</v>
      </c>
      <c r="K177" s="3324">
        <f t="shared" si="30"/>
        <v>72551.600000000006</v>
      </c>
      <c r="L177" s="3324">
        <f t="shared" si="30"/>
        <v>0</v>
      </c>
      <c r="M177" s="3324">
        <f t="shared" si="30"/>
        <v>0</v>
      </c>
      <c r="N177" s="3324">
        <f t="shared" ref="N177:T177" si="31">SUM(N63:N66)</f>
        <v>72551.600000000006</v>
      </c>
      <c r="O177" s="3324">
        <f t="shared" si="31"/>
        <v>14930</v>
      </c>
      <c r="P177" s="3324">
        <f t="shared" si="31"/>
        <v>65552</v>
      </c>
      <c r="Q177" s="3324">
        <f t="shared" si="31"/>
        <v>0</v>
      </c>
      <c r="R177" s="3324">
        <f t="shared" si="31"/>
        <v>0</v>
      </c>
      <c r="S177" s="3324">
        <f t="shared" si="31"/>
        <v>0</v>
      </c>
      <c r="T177" s="3324">
        <f t="shared" si="31"/>
        <v>72551.600000000006</v>
      </c>
      <c r="U177" s="3466"/>
      <c r="V177" s="3466"/>
      <c r="W177" s="3466"/>
      <c r="X177" s="3466"/>
      <c r="Y177" s="3466"/>
    </row>
    <row r="178" spans="2:25" s="3540" customFormat="1" ht="15.75" customHeight="1">
      <c r="B178" s="3541" t="s">
        <v>4031</v>
      </c>
      <c r="C178" s="3708" t="s">
        <v>27</v>
      </c>
      <c r="D178" s="3708"/>
      <c r="E178" s="3368"/>
      <c r="F178" s="3325"/>
      <c r="G178" s="3325"/>
      <c r="H178" s="3325">
        <f t="shared" ref="H178:T178" si="32">SUM(H174:H177)</f>
        <v>222.5</v>
      </c>
      <c r="I178" s="3325">
        <f t="shared" si="32"/>
        <v>509</v>
      </c>
      <c r="J178" s="3325">
        <f t="shared" si="32"/>
        <v>19869.400000000001</v>
      </c>
      <c r="K178" s="3325">
        <f t="shared" si="32"/>
        <v>1063133.1600000001</v>
      </c>
      <c r="L178" s="3325">
        <f t="shared" si="32"/>
        <v>63048.098399999995</v>
      </c>
      <c r="M178" s="3325">
        <f t="shared" si="32"/>
        <v>310572.00000000006</v>
      </c>
      <c r="N178" s="3325">
        <f t="shared" si="32"/>
        <v>1373705.1600000001</v>
      </c>
      <c r="O178" s="3325">
        <f t="shared" si="32"/>
        <v>408063.66500000004</v>
      </c>
      <c r="P178" s="3325">
        <f t="shared" si="32"/>
        <v>514200.99999999994</v>
      </c>
      <c r="Q178" s="3325">
        <f t="shared" si="32"/>
        <v>970218.76000000013</v>
      </c>
      <c r="R178" s="3325">
        <f t="shared" si="32"/>
        <v>159869.25025000001</v>
      </c>
      <c r="S178" s="3325">
        <f t="shared" si="32"/>
        <v>1130088.0102500001</v>
      </c>
      <c r="T178" s="3325">
        <f t="shared" si="32"/>
        <v>1048103.3600000001</v>
      </c>
      <c r="U178" s="3466"/>
      <c r="V178" s="3466"/>
      <c r="W178" s="3466"/>
      <c r="X178" s="3466"/>
      <c r="Y178" s="3466"/>
    </row>
    <row r="179" spans="2:25" s="3540" customFormat="1" ht="15.75" customHeight="1" outlineLevel="1">
      <c r="B179" s="3537" t="s">
        <v>4061</v>
      </c>
      <c r="C179" s="3710" t="s">
        <v>913</v>
      </c>
      <c r="D179" s="3710"/>
      <c r="E179" s="3366"/>
      <c r="F179" s="3322"/>
      <c r="G179" s="3322"/>
      <c r="H179" s="3322">
        <f t="shared" ref="H179:T179" si="33">SUM(H71:H73)</f>
        <v>149</v>
      </c>
      <c r="I179" s="3322">
        <f t="shared" si="33"/>
        <v>284</v>
      </c>
      <c r="J179" s="3322">
        <f t="shared" si="33"/>
        <v>11915</v>
      </c>
      <c r="K179" s="3322">
        <f t="shared" si="33"/>
        <v>1353894.61</v>
      </c>
      <c r="L179" s="3322">
        <f t="shared" si="33"/>
        <v>71159.096000000005</v>
      </c>
      <c r="M179" s="3322">
        <f t="shared" si="33"/>
        <v>13272.42</v>
      </c>
      <c r="N179" s="3322">
        <f t="shared" si="33"/>
        <v>1367167.03</v>
      </c>
      <c r="O179" s="3322">
        <f t="shared" si="33"/>
        <v>88482.8</v>
      </c>
      <c r="P179" s="3322">
        <f t="shared" si="33"/>
        <v>497632.47</v>
      </c>
      <c r="Q179" s="3322">
        <f t="shared" si="33"/>
        <v>1338699.6100000001</v>
      </c>
      <c r="R179" s="3322">
        <f t="shared" si="33"/>
        <v>0</v>
      </c>
      <c r="S179" s="3322">
        <f t="shared" si="33"/>
        <v>1338699.6100000001</v>
      </c>
      <c r="T179" s="3322">
        <f t="shared" si="33"/>
        <v>1345191.61</v>
      </c>
      <c r="U179" s="3466"/>
      <c r="V179" s="3466"/>
      <c r="W179" s="3466"/>
      <c r="X179" s="3466"/>
      <c r="Y179" s="3466"/>
    </row>
    <row r="180" spans="2:25" s="3540" customFormat="1" ht="15.75" customHeight="1" outlineLevel="1">
      <c r="B180" s="3537" t="s">
        <v>4061</v>
      </c>
      <c r="C180" s="3709" t="s">
        <v>3000</v>
      </c>
      <c r="D180" s="3709"/>
      <c r="E180" s="3367"/>
      <c r="F180" s="3323"/>
      <c r="G180" s="3323"/>
      <c r="H180" s="3323">
        <f t="shared" ref="H180:T180" si="34">SUM(H74,H77,H78,H79)</f>
        <v>208.93293314814809</v>
      </c>
      <c r="I180" s="3323">
        <f t="shared" si="34"/>
        <v>907.01582203703708</v>
      </c>
      <c r="J180" s="3323">
        <f t="shared" si="34"/>
        <v>16218.542638888888</v>
      </c>
      <c r="K180" s="3323">
        <f t="shared" si="34"/>
        <v>692183.64</v>
      </c>
      <c r="L180" s="3323">
        <f t="shared" si="34"/>
        <v>23465.238000000001</v>
      </c>
      <c r="M180" s="3323">
        <f t="shared" si="34"/>
        <v>23401.549499999997</v>
      </c>
      <c r="N180" s="3323">
        <f t="shared" si="34"/>
        <v>715585.18949999998</v>
      </c>
      <c r="O180" s="3323">
        <f t="shared" si="34"/>
        <v>156010.33000000002</v>
      </c>
      <c r="P180" s="3323">
        <f t="shared" si="34"/>
        <v>369644.12999999995</v>
      </c>
      <c r="Q180" s="3323">
        <f t="shared" si="34"/>
        <v>692183.64</v>
      </c>
      <c r="R180" s="3323">
        <f t="shared" si="34"/>
        <v>0</v>
      </c>
      <c r="S180" s="3323">
        <f t="shared" si="34"/>
        <v>692183.64</v>
      </c>
      <c r="T180" s="3323">
        <f t="shared" si="34"/>
        <v>692183.64</v>
      </c>
      <c r="U180" s="3466"/>
      <c r="V180" s="3466"/>
      <c r="W180" s="3466"/>
      <c r="X180" s="3466"/>
      <c r="Y180" s="3466"/>
    </row>
    <row r="181" spans="2:25" s="3540" customFormat="1" ht="15.75" customHeight="1" outlineLevel="1">
      <c r="B181" s="3537" t="s">
        <v>4061</v>
      </c>
      <c r="C181" s="3709" t="s">
        <v>3739</v>
      </c>
      <c r="D181" s="3709"/>
      <c r="E181" s="3367"/>
      <c r="F181" s="3323"/>
      <c r="G181" s="3323"/>
      <c r="H181" s="3323">
        <f t="shared" ref="H181:T181" si="35">SUM(H76,H80,H81,H84,H85,H75)</f>
        <v>0</v>
      </c>
      <c r="I181" s="3323">
        <f t="shared" si="35"/>
        <v>0</v>
      </c>
      <c r="J181" s="3323">
        <f t="shared" si="35"/>
        <v>16611</v>
      </c>
      <c r="K181" s="3323">
        <f t="shared" si="35"/>
        <v>0</v>
      </c>
      <c r="L181" s="3323">
        <f t="shared" si="35"/>
        <v>0</v>
      </c>
      <c r="M181" s="3323">
        <f t="shared" si="35"/>
        <v>534516.03049999999</v>
      </c>
      <c r="N181" s="3323">
        <f t="shared" si="35"/>
        <v>534516.03049999999</v>
      </c>
      <c r="O181" s="3323">
        <f t="shared" si="35"/>
        <v>571190</v>
      </c>
      <c r="P181" s="3323">
        <f t="shared" si="35"/>
        <v>0</v>
      </c>
      <c r="Q181" s="3323">
        <f t="shared" si="35"/>
        <v>0</v>
      </c>
      <c r="R181" s="3323">
        <f t="shared" si="35"/>
        <v>327662.93420270272</v>
      </c>
      <c r="S181" s="3323">
        <f t="shared" si="35"/>
        <v>327662.93420270272</v>
      </c>
      <c r="T181" s="3323">
        <f t="shared" si="35"/>
        <v>0</v>
      </c>
      <c r="U181" s="3466"/>
      <c r="V181" s="3466"/>
      <c r="W181" s="3466"/>
      <c r="X181" s="3466"/>
      <c r="Y181" s="3466"/>
    </row>
    <row r="182" spans="2:25" s="3540" customFormat="1" ht="15.75" customHeight="1" outlineLevel="1">
      <c r="B182" s="3537" t="s">
        <v>4061</v>
      </c>
      <c r="C182" s="3709" t="s">
        <v>3826</v>
      </c>
      <c r="D182" s="3709"/>
      <c r="E182" s="3367"/>
      <c r="F182" s="3323"/>
      <c r="G182" s="3323"/>
      <c r="H182" s="3324">
        <f t="shared" ref="H182:M182" si="36">SUM(H82:H83)</f>
        <v>2</v>
      </c>
      <c r="I182" s="3324">
        <f t="shared" si="36"/>
        <v>2</v>
      </c>
      <c r="J182" s="3324">
        <f t="shared" si="36"/>
        <v>0</v>
      </c>
      <c r="K182" s="3324">
        <f t="shared" si="36"/>
        <v>98782.8</v>
      </c>
      <c r="L182" s="3324">
        <f t="shared" si="36"/>
        <v>0</v>
      </c>
      <c r="M182" s="3324">
        <f t="shared" si="36"/>
        <v>0</v>
      </c>
      <c r="N182" s="3324">
        <f t="shared" ref="N182:T182" si="37">SUM(N82:N83)</f>
        <v>98782.8</v>
      </c>
      <c r="O182" s="3324">
        <f t="shared" si="37"/>
        <v>19162.370000000003</v>
      </c>
      <c r="P182" s="3324">
        <f t="shared" si="37"/>
        <v>108375</v>
      </c>
      <c r="Q182" s="3324">
        <f t="shared" si="37"/>
        <v>0</v>
      </c>
      <c r="R182" s="3324">
        <f t="shared" si="37"/>
        <v>0</v>
      </c>
      <c r="S182" s="3324">
        <f t="shared" si="37"/>
        <v>0</v>
      </c>
      <c r="T182" s="3324">
        <f t="shared" si="37"/>
        <v>98782.8</v>
      </c>
      <c r="U182" s="3466"/>
      <c r="V182" s="3466"/>
      <c r="W182" s="3466"/>
      <c r="X182" s="3466"/>
      <c r="Y182" s="3466"/>
    </row>
    <row r="183" spans="2:25" s="3540" customFormat="1" ht="15.75" customHeight="1">
      <c r="B183" s="3541" t="s">
        <v>4061</v>
      </c>
      <c r="C183" s="3708" t="s">
        <v>27</v>
      </c>
      <c r="D183" s="3708"/>
      <c r="E183" s="3368"/>
      <c r="F183" s="3325"/>
      <c r="G183" s="3325"/>
      <c r="H183" s="3325">
        <f t="shared" ref="H183:T183" si="38">SUM(H179:H182)</f>
        <v>359.93293314814809</v>
      </c>
      <c r="I183" s="3325">
        <f t="shared" si="38"/>
        <v>1193.0158220370372</v>
      </c>
      <c r="J183" s="3325">
        <f t="shared" si="38"/>
        <v>44744.542638888888</v>
      </c>
      <c r="K183" s="3325">
        <f t="shared" si="38"/>
        <v>2144861.0499999998</v>
      </c>
      <c r="L183" s="3325">
        <f t="shared" si="38"/>
        <v>94624.334000000003</v>
      </c>
      <c r="M183" s="3325">
        <f t="shared" si="38"/>
        <v>571190</v>
      </c>
      <c r="N183" s="3325">
        <f t="shared" si="38"/>
        <v>2716051.05</v>
      </c>
      <c r="O183" s="3325">
        <f t="shared" si="38"/>
        <v>834845.5</v>
      </c>
      <c r="P183" s="3325">
        <f t="shared" si="38"/>
        <v>975651.59999999986</v>
      </c>
      <c r="Q183" s="3325">
        <f t="shared" si="38"/>
        <v>2030883.25</v>
      </c>
      <c r="R183" s="3325">
        <f t="shared" si="38"/>
        <v>327662.93420270272</v>
      </c>
      <c r="S183" s="3325">
        <f t="shared" si="38"/>
        <v>2358546.1842027027</v>
      </c>
      <c r="T183" s="3325">
        <f t="shared" si="38"/>
        <v>2136158.0499999998</v>
      </c>
      <c r="U183" s="3466"/>
      <c r="V183" s="3466"/>
      <c r="W183" s="3466"/>
      <c r="X183" s="3466"/>
      <c r="Y183" s="3466"/>
    </row>
    <row r="184" spans="2:25" s="3540" customFormat="1" ht="15.75" customHeight="1" outlineLevel="1">
      <c r="B184" s="3537" t="s">
        <v>4081</v>
      </c>
      <c r="C184" s="3710" t="s">
        <v>913</v>
      </c>
      <c r="D184" s="3710"/>
      <c r="E184" s="3366"/>
      <c r="F184" s="3322"/>
      <c r="G184" s="3322"/>
      <c r="H184" s="3322">
        <f t="shared" ref="H184:T184" si="39">SUM(H88:H90)</f>
        <v>153</v>
      </c>
      <c r="I184" s="3322">
        <f t="shared" si="39"/>
        <v>287</v>
      </c>
      <c r="J184" s="3322">
        <f t="shared" si="39"/>
        <v>9521</v>
      </c>
      <c r="K184" s="3322">
        <f t="shared" si="39"/>
        <v>1170293.6000000001</v>
      </c>
      <c r="L184" s="3322">
        <f t="shared" si="39"/>
        <v>67054.114000000001</v>
      </c>
      <c r="M184" s="3322">
        <f t="shared" si="39"/>
        <v>15826.59</v>
      </c>
      <c r="N184" s="3322">
        <f t="shared" si="39"/>
        <v>1186120.19</v>
      </c>
      <c r="O184" s="3322">
        <f t="shared" si="39"/>
        <v>105510.6</v>
      </c>
      <c r="P184" s="3322">
        <f t="shared" si="39"/>
        <v>461773.98000000004</v>
      </c>
      <c r="Q184" s="3322">
        <f t="shared" si="39"/>
        <v>1140782.6000000001</v>
      </c>
      <c r="R184" s="3322">
        <f t="shared" si="39"/>
        <v>0</v>
      </c>
      <c r="S184" s="3322">
        <f t="shared" si="39"/>
        <v>1140782.6000000001</v>
      </c>
      <c r="T184" s="3322">
        <f t="shared" si="39"/>
        <v>1147602.6000000001</v>
      </c>
      <c r="U184" s="3466"/>
      <c r="V184" s="3466"/>
      <c r="W184" s="3466"/>
      <c r="X184" s="3466"/>
      <c r="Y184" s="3466"/>
    </row>
    <row r="185" spans="2:25" s="3540" customFormat="1" ht="15.75" customHeight="1" outlineLevel="1">
      <c r="B185" s="3537" t="s">
        <v>4081</v>
      </c>
      <c r="C185" s="3709" t="s">
        <v>3000</v>
      </c>
      <c r="D185" s="3709"/>
      <c r="E185" s="3367"/>
      <c r="F185" s="3323"/>
      <c r="G185" s="3323"/>
      <c r="H185" s="3323">
        <f t="shared" ref="H185:T185" si="40">SUM(H91,H94,H95,H96,H97,H98,H99)</f>
        <v>131.11796869724932</v>
      </c>
      <c r="I185" s="3323">
        <f t="shared" si="40"/>
        <v>421.86599999999999</v>
      </c>
      <c r="J185" s="3323">
        <f t="shared" si="40"/>
        <v>2359.2331111111112</v>
      </c>
      <c r="K185" s="3323">
        <f t="shared" si="40"/>
        <v>125980.22</v>
      </c>
      <c r="L185" s="3323">
        <f t="shared" si="40"/>
        <v>8606.5820000000003</v>
      </c>
      <c r="M185" s="3323">
        <f t="shared" si="40"/>
        <v>11082.890500000001</v>
      </c>
      <c r="N185" s="3323">
        <f t="shared" si="40"/>
        <v>137063.11050000001</v>
      </c>
      <c r="O185" s="3323">
        <f t="shared" si="40"/>
        <v>69439.26999999999</v>
      </c>
      <c r="P185" s="3323">
        <f t="shared" si="40"/>
        <v>120264.51000000001</v>
      </c>
      <c r="Q185" s="3323">
        <f t="shared" si="40"/>
        <v>125980.12</v>
      </c>
      <c r="R185" s="3323">
        <f t="shared" si="40"/>
        <v>0</v>
      </c>
      <c r="S185" s="3323">
        <f t="shared" si="40"/>
        <v>125980.12</v>
      </c>
      <c r="T185" s="3323">
        <f t="shared" si="40"/>
        <v>125980.12</v>
      </c>
      <c r="U185" s="3466"/>
      <c r="V185" s="3466"/>
      <c r="W185" s="3466"/>
      <c r="X185" s="3466"/>
      <c r="Y185" s="3466"/>
    </row>
    <row r="186" spans="2:25" s="3540" customFormat="1" ht="15.75" customHeight="1" outlineLevel="1">
      <c r="B186" s="3537" t="s">
        <v>4081</v>
      </c>
      <c r="C186" s="3709" t="s">
        <v>3739</v>
      </c>
      <c r="D186" s="3709"/>
      <c r="E186" s="3367"/>
      <c r="F186" s="3323"/>
      <c r="G186" s="3323"/>
      <c r="H186" s="3323">
        <f t="shared" ref="H186:T186" si="41">SUM(H92,H93,H100,H101,H103,H104)</f>
        <v>0</v>
      </c>
      <c r="I186" s="3323">
        <f t="shared" si="41"/>
        <v>0</v>
      </c>
      <c r="J186" s="3323">
        <f t="shared" si="41"/>
        <v>10311</v>
      </c>
      <c r="K186" s="3323">
        <f t="shared" si="41"/>
        <v>0</v>
      </c>
      <c r="L186" s="3323">
        <f t="shared" si="41"/>
        <v>0</v>
      </c>
      <c r="M186" s="3323">
        <f t="shared" si="41"/>
        <v>320407.51949999999</v>
      </c>
      <c r="N186" s="3323">
        <f t="shared" si="41"/>
        <v>320407.51949999999</v>
      </c>
      <c r="O186" s="3323">
        <f t="shared" si="41"/>
        <v>347317</v>
      </c>
      <c r="P186" s="3323">
        <f t="shared" si="41"/>
        <v>0</v>
      </c>
      <c r="Q186" s="3323">
        <f t="shared" si="41"/>
        <v>0</v>
      </c>
      <c r="R186" s="3323">
        <f t="shared" si="41"/>
        <v>237468.5801351351</v>
      </c>
      <c r="S186" s="3323">
        <f t="shared" si="41"/>
        <v>237468.5801351351</v>
      </c>
      <c r="T186" s="3323">
        <f t="shared" si="41"/>
        <v>0</v>
      </c>
      <c r="U186" s="3466"/>
      <c r="V186" s="3466"/>
      <c r="W186" s="3466"/>
      <c r="X186" s="3466"/>
      <c r="Y186" s="3466"/>
    </row>
    <row r="187" spans="2:25" s="3540" customFormat="1" ht="15.75" customHeight="1" outlineLevel="1">
      <c r="B187" s="3537" t="s">
        <v>4081</v>
      </c>
      <c r="C187" s="3709" t="s">
        <v>3826</v>
      </c>
      <c r="D187" s="3709"/>
      <c r="E187" s="3367"/>
      <c r="F187" s="3323"/>
      <c r="G187" s="3323"/>
      <c r="H187" s="3324">
        <f t="shared" ref="H187:M187" si="42">SUM(H102)</f>
        <v>0</v>
      </c>
      <c r="I187" s="3324">
        <f t="shared" si="42"/>
        <v>0</v>
      </c>
      <c r="J187" s="3324">
        <f t="shared" si="42"/>
        <v>0</v>
      </c>
      <c r="K187" s="3324">
        <f t="shared" si="42"/>
        <v>6387.6</v>
      </c>
      <c r="L187" s="3324">
        <f t="shared" si="42"/>
        <v>0</v>
      </c>
      <c r="M187" s="3324">
        <f t="shared" si="42"/>
        <v>0</v>
      </c>
      <c r="N187" s="3324">
        <f t="shared" ref="N187:T187" si="43">SUM(N102)</f>
        <v>6387.6</v>
      </c>
      <c r="O187" s="3324">
        <f t="shared" si="43"/>
        <v>5500</v>
      </c>
      <c r="P187" s="3324">
        <f t="shared" si="43"/>
        <v>10646</v>
      </c>
      <c r="Q187" s="3324">
        <f t="shared" si="43"/>
        <v>0</v>
      </c>
      <c r="R187" s="3324">
        <f t="shared" si="43"/>
        <v>0</v>
      </c>
      <c r="S187" s="3324">
        <f t="shared" si="43"/>
        <v>0</v>
      </c>
      <c r="T187" s="3324">
        <f t="shared" si="43"/>
        <v>6387.6</v>
      </c>
      <c r="U187" s="3466"/>
      <c r="V187" s="3466"/>
      <c r="W187" s="3466"/>
      <c r="X187" s="3466"/>
      <c r="Y187" s="3466"/>
    </row>
    <row r="188" spans="2:25" s="3540" customFormat="1" ht="15.75" customHeight="1">
      <c r="B188" s="3541" t="s">
        <v>4081</v>
      </c>
      <c r="C188" s="3708" t="s">
        <v>27</v>
      </c>
      <c r="D188" s="3708"/>
      <c r="E188" s="3368"/>
      <c r="F188" s="3325"/>
      <c r="G188" s="3325"/>
      <c r="H188" s="3325">
        <f t="shared" ref="H188:N188" si="44">SUM(H184:H187)</f>
        <v>284.11796869724935</v>
      </c>
      <c r="I188" s="3325">
        <f t="shared" si="44"/>
        <v>708.86599999999999</v>
      </c>
      <c r="J188" s="3325">
        <f t="shared" si="44"/>
        <v>22191.233111111113</v>
      </c>
      <c r="K188" s="3325">
        <f t="shared" si="44"/>
        <v>1302661.4200000002</v>
      </c>
      <c r="L188" s="3325">
        <f t="shared" si="44"/>
        <v>75660.695999999996</v>
      </c>
      <c r="M188" s="3325">
        <f t="shared" si="44"/>
        <v>347317</v>
      </c>
      <c r="N188" s="3325">
        <f t="shared" si="44"/>
        <v>1649978.42</v>
      </c>
      <c r="O188" s="3325">
        <f t="shared" ref="O188:T188" si="45">SUM(O184:O187)</f>
        <v>527766.87</v>
      </c>
      <c r="P188" s="3325">
        <f t="shared" si="45"/>
        <v>592684.49</v>
      </c>
      <c r="Q188" s="3325">
        <f t="shared" si="45"/>
        <v>1266762.7200000002</v>
      </c>
      <c r="R188" s="3325">
        <f t="shared" si="45"/>
        <v>237468.5801351351</v>
      </c>
      <c r="S188" s="3325">
        <f t="shared" si="45"/>
        <v>1504231.3001351352</v>
      </c>
      <c r="T188" s="3325">
        <f t="shared" si="45"/>
        <v>1279970.3200000003</v>
      </c>
      <c r="U188" s="3466"/>
      <c r="V188" s="3466"/>
      <c r="W188" s="3466"/>
      <c r="X188" s="3466"/>
      <c r="Y188" s="3466"/>
    </row>
    <row r="189" spans="2:25" s="3540" customFormat="1" ht="15.75" customHeight="1" outlineLevel="1">
      <c r="B189" s="3537" t="s">
        <v>4104</v>
      </c>
      <c r="C189" s="3710" t="s">
        <v>913</v>
      </c>
      <c r="D189" s="3710"/>
      <c r="E189" s="3366"/>
      <c r="F189" s="3322"/>
      <c r="G189" s="3322"/>
      <c r="H189" s="3322">
        <f t="shared" ref="H189:T189" si="46">SUM(H107:H109)</f>
        <v>108</v>
      </c>
      <c r="I189" s="3322">
        <f t="shared" si="46"/>
        <v>161</v>
      </c>
      <c r="J189" s="3322">
        <f t="shared" si="46"/>
        <v>12031</v>
      </c>
      <c r="K189" s="3322">
        <f t="shared" si="46"/>
        <v>1346404.6</v>
      </c>
      <c r="L189" s="3322">
        <f t="shared" si="46"/>
        <v>57728.146000000001</v>
      </c>
      <c r="M189" s="3322">
        <f t="shared" si="46"/>
        <v>10723.35</v>
      </c>
      <c r="N189" s="3322">
        <f t="shared" si="46"/>
        <v>1357127.95</v>
      </c>
      <c r="O189" s="3322">
        <f t="shared" si="46"/>
        <v>71489</v>
      </c>
      <c r="P189" s="3322">
        <f t="shared" si="46"/>
        <v>455086</v>
      </c>
      <c r="Q189" s="3322">
        <f t="shared" si="46"/>
        <v>1330452.3999999999</v>
      </c>
      <c r="R189" s="3322">
        <f t="shared" si="46"/>
        <v>0</v>
      </c>
      <c r="S189" s="3322">
        <f t="shared" si="46"/>
        <v>1330452.3999999999</v>
      </c>
      <c r="T189" s="3322">
        <f t="shared" si="46"/>
        <v>1337678.3999999999</v>
      </c>
      <c r="U189" s="3466"/>
      <c r="V189" s="3466"/>
      <c r="W189" s="3466"/>
      <c r="X189" s="3466"/>
      <c r="Y189" s="3466"/>
    </row>
    <row r="190" spans="2:25" s="3540" customFormat="1" ht="15.75" customHeight="1" outlineLevel="1">
      <c r="B190" s="3537" t="s">
        <v>4104</v>
      </c>
      <c r="C190" s="3709" t="s">
        <v>3000</v>
      </c>
      <c r="D190" s="3709"/>
      <c r="E190" s="3367"/>
      <c r="F190" s="3323"/>
      <c r="G190" s="3323"/>
      <c r="H190" s="3323">
        <f t="shared" ref="H190:T190" si="47">SUM(H110,H113,H114,H115)</f>
        <v>24.499999729241932</v>
      </c>
      <c r="I190" s="3323">
        <f t="shared" si="47"/>
        <v>24</v>
      </c>
      <c r="J190" s="3323">
        <f t="shared" si="47"/>
        <v>13320.5455</v>
      </c>
      <c r="K190" s="3323">
        <f t="shared" si="47"/>
        <v>592793.82000000007</v>
      </c>
      <c r="L190" s="3323">
        <f t="shared" si="47"/>
        <v>0</v>
      </c>
      <c r="M190" s="3323">
        <f t="shared" si="47"/>
        <v>15110.641500000002</v>
      </c>
      <c r="N190" s="3323">
        <f t="shared" si="47"/>
        <v>607904.46149999998</v>
      </c>
      <c r="O190" s="3323">
        <f t="shared" si="47"/>
        <v>100737.61</v>
      </c>
      <c r="P190" s="3323">
        <f t="shared" si="47"/>
        <v>219394.43</v>
      </c>
      <c r="Q190" s="3323">
        <f t="shared" si="47"/>
        <v>592793.82000000007</v>
      </c>
      <c r="R190" s="3323">
        <f t="shared" si="47"/>
        <v>0</v>
      </c>
      <c r="S190" s="3323">
        <f t="shared" si="47"/>
        <v>592793.82000000007</v>
      </c>
      <c r="T190" s="3323">
        <f t="shared" si="47"/>
        <v>592793.82000000007</v>
      </c>
      <c r="U190" s="3466"/>
      <c r="V190" s="3466"/>
      <c r="W190" s="3466"/>
      <c r="X190" s="3466"/>
      <c r="Y190" s="3466"/>
    </row>
    <row r="191" spans="2:25" s="3540" customFormat="1" ht="15.75" customHeight="1" outlineLevel="1">
      <c r="B191" s="3537" t="s">
        <v>4104</v>
      </c>
      <c r="C191" s="3709" t="s">
        <v>3739</v>
      </c>
      <c r="D191" s="3709"/>
      <c r="E191" s="3367"/>
      <c r="F191" s="3323"/>
      <c r="G191" s="3323"/>
      <c r="H191" s="3323">
        <f t="shared" ref="H191:T191" si="48">SUM(H111,H112,H116,H117,H122,H123)</f>
        <v>0</v>
      </c>
      <c r="I191" s="3323">
        <f t="shared" si="48"/>
        <v>0</v>
      </c>
      <c r="J191" s="3323">
        <f t="shared" si="48"/>
        <v>15494</v>
      </c>
      <c r="K191" s="3323">
        <f t="shared" si="48"/>
        <v>0</v>
      </c>
      <c r="L191" s="3323">
        <f t="shared" si="48"/>
        <v>0</v>
      </c>
      <c r="M191" s="3323">
        <f t="shared" si="48"/>
        <v>505445.0085</v>
      </c>
      <c r="N191" s="3323">
        <f t="shared" si="48"/>
        <v>505445.0085</v>
      </c>
      <c r="O191" s="3323">
        <f t="shared" si="48"/>
        <v>531279</v>
      </c>
      <c r="P191" s="3323">
        <f t="shared" si="48"/>
        <v>0</v>
      </c>
      <c r="Q191" s="3323">
        <f t="shared" si="48"/>
        <v>0</v>
      </c>
      <c r="R191" s="3323">
        <f t="shared" si="48"/>
        <v>313536.0085</v>
      </c>
      <c r="S191" s="3323">
        <f t="shared" si="48"/>
        <v>313536.0085</v>
      </c>
      <c r="T191" s="3323">
        <f t="shared" si="48"/>
        <v>0</v>
      </c>
      <c r="U191" s="3466"/>
      <c r="V191" s="3466"/>
      <c r="W191" s="3466"/>
      <c r="X191" s="3466"/>
      <c r="Y191" s="3466"/>
    </row>
    <row r="192" spans="2:25" s="3540" customFormat="1" ht="15.75" customHeight="1" outlineLevel="1">
      <c r="B192" s="3537" t="s">
        <v>4104</v>
      </c>
      <c r="C192" s="3709" t="s">
        <v>3826</v>
      </c>
      <c r="D192" s="3709"/>
      <c r="E192" s="3367"/>
      <c r="F192" s="3323"/>
      <c r="G192" s="3323"/>
      <c r="H192" s="3324">
        <f t="shared" ref="H192:M192" si="49">SUM(H118:H121)</f>
        <v>2</v>
      </c>
      <c r="I192" s="3324">
        <f t="shared" si="49"/>
        <v>2</v>
      </c>
      <c r="J192" s="3324">
        <f t="shared" si="49"/>
        <v>0</v>
      </c>
      <c r="K192" s="3324">
        <f t="shared" si="49"/>
        <v>46148.800000000003</v>
      </c>
      <c r="L192" s="3324">
        <f t="shared" si="49"/>
        <v>0</v>
      </c>
      <c r="M192" s="3324">
        <f t="shared" si="49"/>
        <v>0</v>
      </c>
      <c r="N192" s="3324">
        <f t="shared" ref="N192:T192" si="50">SUM(N118:N121)</f>
        <v>46148.800000000003</v>
      </c>
      <c r="O192" s="3324">
        <f t="shared" si="50"/>
        <v>13800</v>
      </c>
      <c r="P192" s="3324">
        <f t="shared" si="50"/>
        <v>72325</v>
      </c>
      <c r="Q192" s="3324">
        <f t="shared" si="50"/>
        <v>0</v>
      </c>
      <c r="R192" s="3324">
        <f t="shared" si="50"/>
        <v>0</v>
      </c>
      <c r="S192" s="3324">
        <f t="shared" si="50"/>
        <v>0</v>
      </c>
      <c r="T192" s="3324">
        <f t="shared" si="50"/>
        <v>46148.800000000003</v>
      </c>
      <c r="U192" s="3466"/>
      <c r="V192" s="3466"/>
      <c r="W192" s="3466"/>
      <c r="X192" s="3466"/>
      <c r="Y192" s="3466"/>
    </row>
    <row r="193" spans="2:34" s="3540" customFormat="1" ht="15.75" customHeight="1">
      <c r="B193" s="3541" t="s">
        <v>4104</v>
      </c>
      <c r="C193" s="3708" t="s">
        <v>27</v>
      </c>
      <c r="D193" s="3708"/>
      <c r="E193" s="3368"/>
      <c r="F193" s="3325"/>
      <c r="G193" s="3325"/>
      <c r="H193" s="3325">
        <f t="shared" ref="H193:T193" si="51">SUM(H189:H192)</f>
        <v>134.49999972924192</v>
      </c>
      <c r="I193" s="3325">
        <f t="shared" si="51"/>
        <v>187</v>
      </c>
      <c r="J193" s="3325">
        <f t="shared" si="51"/>
        <v>40845.5455</v>
      </c>
      <c r="K193" s="3325">
        <f t="shared" si="51"/>
        <v>1985347.2200000002</v>
      </c>
      <c r="L193" s="3325">
        <f t="shared" si="51"/>
        <v>57728.146000000001</v>
      </c>
      <c r="M193" s="3325">
        <f t="shared" si="51"/>
        <v>531279</v>
      </c>
      <c r="N193" s="3325">
        <f t="shared" si="51"/>
        <v>2516626.2199999997</v>
      </c>
      <c r="O193" s="3325">
        <f t="shared" si="51"/>
        <v>717305.61</v>
      </c>
      <c r="P193" s="3325">
        <f t="shared" si="51"/>
        <v>746805.42999999993</v>
      </c>
      <c r="Q193" s="3325">
        <f t="shared" si="51"/>
        <v>1923246.22</v>
      </c>
      <c r="R193" s="3325">
        <f t="shared" si="51"/>
        <v>313536.0085</v>
      </c>
      <c r="S193" s="3325">
        <f t="shared" si="51"/>
        <v>2236782.2285000002</v>
      </c>
      <c r="T193" s="3325">
        <f t="shared" si="51"/>
        <v>1976621.02</v>
      </c>
      <c r="U193" s="3466"/>
      <c r="V193" s="3466"/>
      <c r="W193" s="3466"/>
      <c r="X193" s="3466"/>
      <c r="Y193" s="3466"/>
    </row>
    <row r="194" spans="2:34" s="3540" customFormat="1" ht="15.75" customHeight="1" outlineLevel="1">
      <c r="B194" s="3537" t="s">
        <v>4165</v>
      </c>
      <c r="C194" s="3710" t="s">
        <v>913</v>
      </c>
      <c r="D194" s="3710"/>
      <c r="E194" s="3366"/>
      <c r="F194" s="3322"/>
      <c r="G194" s="3322"/>
      <c r="H194" s="3322"/>
      <c r="I194" s="3322"/>
      <c r="J194" s="3322"/>
      <c r="K194" s="3322"/>
      <c r="L194" s="3322"/>
      <c r="M194" s="3322"/>
      <c r="N194" s="3322"/>
      <c r="O194" s="3322"/>
      <c r="P194" s="3322"/>
      <c r="Q194" s="3322"/>
      <c r="R194" s="3322"/>
      <c r="S194" s="3322"/>
      <c r="T194" s="3322"/>
      <c r="U194" s="3466"/>
      <c r="V194" s="3466"/>
      <c r="W194" s="3466"/>
      <c r="X194" s="3466"/>
      <c r="Y194" s="3466"/>
    </row>
    <row r="195" spans="2:34" s="3540" customFormat="1" ht="15.75" customHeight="1" outlineLevel="1">
      <c r="B195" s="3537" t="s">
        <v>4165</v>
      </c>
      <c r="C195" s="3709" t="s">
        <v>3000</v>
      </c>
      <c r="D195" s="3709"/>
      <c r="E195" s="3367"/>
      <c r="F195" s="3323"/>
      <c r="G195" s="3323"/>
      <c r="H195" s="3323">
        <f t="shared" ref="H195:T195" si="52">SUM(H126:H128)</f>
        <v>34</v>
      </c>
      <c r="I195" s="3323">
        <f t="shared" si="52"/>
        <v>74</v>
      </c>
      <c r="J195" s="3323">
        <f t="shared" si="52"/>
        <v>5197</v>
      </c>
      <c r="K195" s="3323">
        <f t="shared" si="52"/>
        <v>220392.25</v>
      </c>
      <c r="L195" s="3323">
        <f t="shared" si="52"/>
        <v>0</v>
      </c>
      <c r="M195" s="3323">
        <f t="shared" si="52"/>
        <v>3380.34</v>
      </c>
      <c r="N195" s="3323">
        <f t="shared" si="52"/>
        <v>223772.59000000003</v>
      </c>
      <c r="O195" s="3323">
        <f t="shared" si="52"/>
        <v>24535.599999999999</v>
      </c>
      <c r="P195" s="3323">
        <f t="shared" si="52"/>
        <v>88157</v>
      </c>
      <c r="Q195" s="3323">
        <f t="shared" si="52"/>
        <v>220392.25</v>
      </c>
      <c r="R195" s="3323">
        <f t="shared" si="52"/>
        <v>0</v>
      </c>
      <c r="S195" s="3323">
        <f t="shared" si="52"/>
        <v>220392.25</v>
      </c>
      <c r="T195" s="3323">
        <f t="shared" si="52"/>
        <v>220392.25</v>
      </c>
      <c r="U195" s="3466"/>
      <c r="V195" s="3466"/>
      <c r="W195" s="3466"/>
      <c r="X195" s="3466"/>
      <c r="Y195" s="3466"/>
    </row>
    <row r="196" spans="2:34" s="3540" customFormat="1" ht="15.75" customHeight="1" outlineLevel="1">
      <c r="B196" s="3537" t="s">
        <v>4165</v>
      </c>
      <c r="C196" s="3709" t="s">
        <v>3739</v>
      </c>
      <c r="D196" s="3709"/>
      <c r="E196" s="3367"/>
      <c r="F196" s="3323"/>
      <c r="G196" s="3323"/>
      <c r="H196" s="3323">
        <f t="shared" ref="H196:T196" si="53">SUM(H129:H130)</f>
        <v>0</v>
      </c>
      <c r="I196" s="3323">
        <f t="shared" si="53"/>
        <v>0</v>
      </c>
      <c r="J196" s="3323">
        <f t="shared" si="53"/>
        <v>3147.000000000005</v>
      </c>
      <c r="K196" s="3323">
        <f t="shared" si="53"/>
        <v>0</v>
      </c>
      <c r="L196" s="3323">
        <f t="shared" si="53"/>
        <v>0</v>
      </c>
      <c r="M196" s="3323">
        <f t="shared" si="53"/>
        <v>108120.66</v>
      </c>
      <c r="N196" s="3323">
        <f t="shared" si="53"/>
        <v>108120.66</v>
      </c>
      <c r="O196" s="3323">
        <f t="shared" si="53"/>
        <v>111501</v>
      </c>
      <c r="P196" s="3323">
        <f t="shared" si="53"/>
        <v>0</v>
      </c>
      <c r="Q196" s="3323">
        <f t="shared" si="53"/>
        <v>0</v>
      </c>
      <c r="R196" s="3323">
        <f t="shared" si="53"/>
        <v>83584.66</v>
      </c>
      <c r="S196" s="3323">
        <f t="shared" si="53"/>
        <v>83584.66</v>
      </c>
      <c r="T196" s="3323">
        <f t="shared" si="53"/>
        <v>0</v>
      </c>
      <c r="U196" s="3466"/>
      <c r="V196" s="3466"/>
      <c r="W196" s="3466"/>
      <c r="X196" s="3466"/>
      <c r="Y196" s="3466"/>
    </row>
    <row r="197" spans="2:34" s="3540" customFormat="1" ht="15.75" customHeight="1" outlineLevel="1">
      <c r="B197" s="3537" t="s">
        <v>4165</v>
      </c>
      <c r="C197" s="3709" t="s">
        <v>3826</v>
      </c>
      <c r="D197" s="3709"/>
      <c r="E197" s="3367"/>
      <c r="F197" s="3323"/>
      <c r="G197" s="3323"/>
      <c r="H197" s="3324">
        <f t="shared" ref="H197:T197" si="54">SUM(H131:H132)</f>
        <v>0</v>
      </c>
      <c r="I197" s="3324">
        <f t="shared" si="54"/>
        <v>0</v>
      </c>
      <c r="J197" s="3324">
        <f t="shared" si="54"/>
        <v>0</v>
      </c>
      <c r="K197" s="3324">
        <f t="shared" si="54"/>
        <v>0</v>
      </c>
      <c r="L197" s="3324">
        <f t="shared" si="54"/>
        <v>0</v>
      </c>
      <c r="M197" s="3324">
        <f t="shared" si="54"/>
        <v>0</v>
      </c>
      <c r="N197" s="3324">
        <f t="shared" si="54"/>
        <v>0</v>
      </c>
      <c r="O197" s="3324">
        <f t="shared" si="54"/>
        <v>0</v>
      </c>
      <c r="P197" s="3324">
        <f t="shared" si="54"/>
        <v>1946476.7254999999</v>
      </c>
      <c r="Q197" s="3324">
        <f t="shared" si="54"/>
        <v>0</v>
      </c>
      <c r="R197" s="3324">
        <f t="shared" si="54"/>
        <v>0</v>
      </c>
      <c r="S197" s="3324">
        <f t="shared" si="54"/>
        <v>0</v>
      </c>
      <c r="T197" s="3324">
        <f t="shared" si="54"/>
        <v>0</v>
      </c>
      <c r="U197" s="3466"/>
      <c r="V197" s="3466"/>
      <c r="W197" s="3466"/>
      <c r="X197" s="3466"/>
      <c r="Y197" s="3466"/>
    </row>
    <row r="198" spans="2:34" s="3540" customFormat="1" ht="15.75" customHeight="1">
      <c r="B198" s="3541" t="s">
        <v>4165</v>
      </c>
      <c r="C198" s="3708" t="s">
        <v>27</v>
      </c>
      <c r="D198" s="3708"/>
      <c r="E198" s="3368"/>
      <c r="F198" s="3325"/>
      <c r="G198" s="3325"/>
      <c r="H198" s="3325">
        <f t="shared" ref="H198:T198" si="55">SUM(H194:H197)</f>
        <v>34</v>
      </c>
      <c r="I198" s="3325">
        <f t="shared" si="55"/>
        <v>74</v>
      </c>
      <c r="J198" s="3325">
        <f t="shared" si="55"/>
        <v>8344.0000000000055</v>
      </c>
      <c r="K198" s="3325">
        <f t="shared" si="55"/>
        <v>220392.25</v>
      </c>
      <c r="L198" s="3325">
        <f t="shared" si="55"/>
        <v>0</v>
      </c>
      <c r="M198" s="3325">
        <f t="shared" si="55"/>
        <v>111501</v>
      </c>
      <c r="N198" s="3325">
        <f t="shared" si="55"/>
        <v>331893.25</v>
      </c>
      <c r="O198" s="3325">
        <f t="shared" si="55"/>
        <v>136036.6</v>
      </c>
      <c r="P198" s="3325">
        <f t="shared" si="55"/>
        <v>2034633.7254999999</v>
      </c>
      <c r="Q198" s="3325">
        <f t="shared" si="55"/>
        <v>220392.25</v>
      </c>
      <c r="R198" s="3325">
        <f t="shared" si="55"/>
        <v>83584.66</v>
      </c>
      <c r="S198" s="3325">
        <f t="shared" si="55"/>
        <v>303976.91000000003</v>
      </c>
      <c r="T198" s="3325">
        <f t="shared" si="55"/>
        <v>220392.25</v>
      </c>
      <c r="U198" s="3466"/>
      <c r="V198" s="3466"/>
      <c r="W198" s="3466"/>
      <c r="X198" s="3466"/>
      <c r="Y198" s="3466"/>
    </row>
    <row r="199" spans="2:34" s="3540" customFormat="1" ht="15.75" customHeight="1" outlineLevel="1">
      <c r="B199" s="3537" t="s">
        <v>4140</v>
      </c>
      <c r="C199" s="3710" t="s">
        <v>913</v>
      </c>
      <c r="D199" s="3710"/>
      <c r="E199" s="3366"/>
      <c r="F199" s="3322"/>
      <c r="G199" s="3322"/>
      <c r="H199" s="3322"/>
      <c r="I199" s="3322"/>
      <c r="J199" s="3322"/>
      <c r="K199" s="3322"/>
      <c r="L199" s="3322"/>
      <c r="M199" s="3322"/>
      <c r="N199" s="3322"/>
      <c r="O199" s="3322"/>
      <c r="P199" s="3322"/>
      <c r="Q199" s="3322"/>
      <c r="R199" s="3322"/>
      <c r="S199" s="3322"/>
      <c r="T199" s="3322"/>
      <c r="U199" s="3466"/>
      <c r="V199" s="3466"/>
      <c r="W199" s="3466"/>
      <c r="X199" s="3466"/>
      <c r="Y199" s="3466"/>
    </row>
    <row r="200" spans="2:34" s="3540" customFormat="1" ht="15.75" customHeight="1" outlineLevel="1">
      <c r="B200" s="3537" t="s">
        <v>4140</v>
      </c>
      <c r="C200" s="3709" t="s">
        <v>3000</v>
      </c>
      <c r="D200" s="3709"/>
      <c r="E200" s="3367"/>
      <c r="F200" s="3323"/>
      <c r="G200" s="3323"/>
      <c r="H200" s="3323">
        <f t="shared" ref="H200:T200" si="56">SUM(H133:H142)</f>
        <v>367</v>
      </c>
      <c r="I200" s="3323">
        <f t="shared" si="56"/>
        <v>367</v>
      </c>
      <c r="J200" s="3323">
        <f t="shared" si="56"/>
        <v>9869.8320000000003</v>
      </c>
      <c r="K200" s="3323">
        <f t="shared" si="56"/>
        <v>500449.49999999994</v>
      </c>
      <c r="L200" s="3323">
        <f t="shared" si="56"/>
        <v>2903.44</v>
      </c>
      <c r="M200" s="3323">
        <f t="shared" si="56"/>
        <v>18107.37</v>
      </c>
      <c r="N200" s="3323">
        <f t="shared" si="56"/>
        <v>518556.86999999994</v>
      </c>
      <c r="O200" s="3323">
        <f t="shared" si="56"/>
        <v>78506.98000000001</v>
      </c>
      <c r="P200" s="3323">
        <f t="shared" si="56"/>
        <v>270178</v>
      </c>
      <c r="Q200" s="3323">
        <f t="shared" si="56"/>
        <v>486320.39999999991</v>
      </c>
      <c r="R200" s="3323">
        <f t="shared" si="56"/>
        <v>0</v>
      </c>
      <c r="S200" s="3323">
        <f t="shared" si="56"/>
        <v>486320.39999999991</v>
      </c>
      <c r="T200" s="3323">
        <f t="shared" si="56"/>
        <v>486320.39999999991</v>
      </c>
      <c r="U200" s="3466"/>
      <c r="V200" s="3466"/>
      <c r="W200" s="3466"/>
      <c r="X200" s="3466"/>
      <c r="Y200" s="3466"/>
    </row>
    <row r="201" spans="2:34" s="3540" customFormat="1" ht="15.75" customHeight="1" outlineLevel="1">
      <c r="B201" s="3537" t="s">
        <v>4140</v>
      </c>
      <c r="C201" s="3709" t="s">
        <v>3739</v>
      </c>
      <c r="D201" s="3709"/>
      <c r="E201" s="3367"/>
      <c r="F201" s="3323"/>
      <c r="G201" s="3323"/>
      <c r="H201" s="3323">
        <f t="shared" ref="H201:T201" si="57">SUM(H143:H144)</f>
        <v>2</v>
      </c>
      <c r="I201" s="3323">
        <f t="shared" si="57"/>
        <v>2</v>
      </c>
      <c r="J201" s="3323">
        <f t="shared" si="57"/>
        <v>1455</v>
      </c>
      <c r="K201" s="3323">
        <f t="shared" si="57"/>
        <v>0</v>
      </c>
      <c r="L201" s="3323">
        <f t="shared" si="57"/>
        <v>0</v>
      </c>
      <c r="M201" s="3323">
        <f t="shared" si="57"/>
        <v>37166.629999999997</v>
      </c>
      <c r="N201" s="3323">
        <f t="shared" si="57"/>
        <v>37166.629999999997</v>
      </c>
      <c r="O201" s="3323">
        <f t="shared" si="57"/>
        <v>0</v>
      </c>
      <c r="P201" s="3323">
        <f t="shared" si="57"/>
        <v>0</v>
      </c>
      <c r="Q201" s="3323">
        <f t="shared" si="57"/>
        <v>0</v>
      </c>
      <c r="R201" s="3323">
        <f t="shared" si="57"/>
        <v>23354</v>
      </c>
      <c r="S201" s="3323">
        <f t="shared" si="57"/>
        <v>23354</v>
      </c>
      <c r="T201" s="3323">
        <f t="shared" si="57"/>
        <v>0</v>
      </c>
      <c r="U201" s="3466"/>
      <c r="V201" s="3466"/>
      <c r="W201" s="3466"/>
      <c r="X201" s="3466"/>
      <c r="Y201" s="3466"/>
    </row>
    <row r="202" spans="2:34" s="3540" customFormat="1" ht="15.75" customHeight="1" outlineLevel="1">
      <c r="B202" s="3537" t="s">
        <v>4140</v>
      </c>
      <c r="C202" s="3709" t="s">
        <v>3826</v>
      </c>
      <c r="D202" s="3709"/>
      <c r="E202" s="3367"/>
      <c r="F202" s="3323"/>
      <c r="G202" s="3323"/>
      <c r="H202" s="3324"/>
      <c r="I202" s="3324"/>
      <c r="J202" s="3324"/>
      <c r="K202" s="3324"/>
      <c r="L202" s="3324"/>
      <c r="M202" s="3324"/>
      <c r="N202" s="3324"/>
      <c r="O202" s="3324"/>
      <c r="P202" s="3324"/>
      <c r="Q202" s="3324"/>
      <c r="R202" s="3324"/>
      <c r="S202" s="3324"/>
      <c r="T202" s="3324"/>
      <c r="U202" s="3466"/>
      <c r="V202" s="3466"/>
      <c r="W202" s="3466"/>
      <c r="X202" s="3466"/>
      <c r="Y202" s="3466"/>
    </row>
    <row r="203" spans="2:34" s="3540" customFormat="1" ht="15.75" customHeight="1">
      <c r="B203" s="3541" t="s">
        <v>4140</v>
      </c>
      <c r="C203" s="3708" t="s">
        <v>27</v>
      </c>
      <c r="D203" s="3708"/>
      <c r="E203" s="3368"/>
      <c r="F203" s="3325"/>
      <c r="G203" s="3325"/>
      <c r="H203" s="3325">
        <f t="shared" ref="H203:T203" si="58">SUM(H199:H202)</f>
        <v>369</v>
      </c>
      <c r="I203" s="3325">
        <f t="shared" si="58"/>
        <v>369</v>
      </c>
      <c r="J203" s="3325">
        <f t="shared" si="58"/>
        <v>11324.832</v>
      </c>
      <c r="K203" s="3325">
        <f t="shared" si="58"/>
        <v>500449.49999999994</v>
      </c>
      <c r="L203" s="3325">
        <f t="shared" si="58"/>
        <v>2903.44</v>
      </c>
      <c r="M203" s="3325">
        <f t="shared" si="58"/>
        <v>55274</v>
      </c>
      <c r="N203" s="3325">
        <f t="shared" si="58"/>
        <v>555723.49999999988</v>
      </c>
      <c r="O203" s="3325">
        <f t="shared" si="58"/>
        <v>78506.98000000001</v>
      </c>
      <c r="P203" s="3325">
        <f t="shared" si="58"/>
        <v>270178</v>
      </c>
      <c r="Q203" s="3325">
        <f t="shared" si="58"/>
        <v>486320.39999999991</v>
      </c>
      <c r="R203" s="3325">
        <f t="shared" si="58"/>
        <v>23354</v>
      </c>
      <c r="S203" s="3325">
        <f t="shared" si="58"/>
        <v>509674.39999999991</v>
      </c>
      <c r="T203" s="3325">
        <f t="shared" si="58"/>
        <v>486320.39999999991</v>
      </c>
      <c r="U203" s="3466"/>
      <c r="V203" s="3466"/>
      <c r="W203" s="3466"/>
      <c r="X203" s="3466"/>
      <c r="Y203" s="3466"/>
      <c r="Z203" s="3466"/>
      <c r="AA203" s="3466"/>
      <c r="AB203" s="3466"/>
      <c r="AC203" s="3466"/>
      <c r="AD203" s="3466"/>
      <c r="AE203" s="3466"/>
      <c r="AF203" s="3466"/>
      <c r="AG203" s="3466"/>
      <c r="AH203" s="3466"/>
    </row>
    <row r="204" spans="2:34" s="3466" customFormat="1" ht="15.75" customHeight="1">
      <c r="B204" s="3537" t="s">
        <v>3830</v>
      </c>
      <c r="C204" s="3709" t="s">
        <v>913</v>
      </c>
      <c r="D204" s="3709"/>
      <c r="E204" s="3367"/>
      <c r="F204" s="3323"/>
      <c r="G204" s="3323"/>
      <c r="H204" s="3323">
        <f t="shared" ref="H204:T207" si="59">SUM(H149,H154,H159,H164,H169,H174,H179,H184,H189,H194,H199)</f>
        <v>739.5</v>
      </c>
      <c r="I204" s="3323">
        <f t="shared" si="59"/>
        <v>1433</v>
      </c>
      <c r="J204" s="3323">
        <f t="shared" si="59"/>
        <v>50548</v>
      </c>
      <c r="K204" s="3323">
        <f t="shared" si="59"/>
        <v>5899699.1549999993</v>
      </c>
      <c r="L204" s="3323">
        <f t="shared" si="59"/>
        <v>379637.32440000004</v>
      </c>
      <c r="M204" s="3323">
        <f t="shared" si="59"/>
        <v>94715.104000000007</v>
      </c>
      <c r="N204" s="3323">
        <f t="shared" si="59"/>
        <v>5994414.2590000005</v>
      </c>
      <c r="O204" s="3323">
        <f t="shared" si="59"/>
        <v>472348.97</v>
      </c>
      <c r="P204" s="3323">
        <f t="shared" si="59"/>
        <v>2277563.0499999998</v>
      </c>
      <c r="Q204" s="3323">
        <f t="shared" si="59"/>
        <v>5748749.6950000003</v>
      </c>
      <c r="R204" s="3323">
        <f t="shared" si="59"/>
        <v>0</v>
      </c>
      <c r="S204" s="3323">
        <f t="shared" si="59"/>
        <v>5748749.6950000003</v>
      </c>
      <c r="T204" s="3323">
        <f t="shared" si="59"/>
        <v>5781589.5950000007</v>
      </c>
    </row>
    <row r="205" spans="2:34" s="3466" customFormat="1" ht="15.75" customHeight="1">
      <c r="B205" s="3538" t="s">
        <v>3830</v>
      </c>
      <c r="C205" s="3709" t="s">
        <v>3000</v>
      </c>
      <c r="D205" s="3709"/>
      <c r="E205" s="3367"/>
      <c r="F205" s="3323"/>
      <c r="G205" s="3323"/>
      <c r="H205" s="3323">
        <f t="shared" si="59"/>
        <v>850.5509015746394</v>
      </c>
      <c r="I205" s="3323">
        <f t="shared" si="59"/>
        <v>1974.8818220370372</v>
      </c>
      <c r="J205" s="3323">
        <f t="shared" si="59"/>
        <v>51545.153250000003</v>
      </c>
      <c r="K205" s="3323">
        <f t="shared" si="59"/>
        <v>2324727.0150000001</v>
      </c>
      <c r="L205" s="3323">
        <f t="shared" si="59"/>
        <v>38451.960000000006</v>
      </c>
      <c r="M205" s="3323">
        <f t="shared" si="59"/>
        <v>76642.615749999997</v>
      </c>
      <c r="N205" s="3323">
        <f t="shared" si="59"/>
        <v>2401369.63075</v>
      </c>
      <c r="O205" s="3323">
        <f t="shared" si="59"/>
        <v>471073.57499999995</v>
      </c>
      <c r="P205" s="3323">
        <f t="shared" si="59"/>
        <v>1155707.24</v>
      </c>
      <c r="Q205" s="3323">
        <f t="shared" si="59"/>
        <v>2310597.8149999999</v>
      </c>
      <c r="R205" s="3323">
        <f t="shared" si="59"/>
        <v>0</v>
      </c>
      <c r="S205" s="3323">
        <f t="shared" si="59"/>
        <v>2310597.8149999999</v>
      </c>
      <c r="T205" s="3323">
        <f t="shared" si="59"/>
        <v>2310597.8149999999</v>
      </c>
    </row>
    <row r="206" spans="2:34" s="3466" customFormat="1" ht="15.75" customHeight="1">
      <c r="B206" s="3538" t="s">
        <v>3830</v>
      </c>
      <c r="C206" s="3709" t="s">
        <v>3739</v>
      </c>
      <c r="D206" s="3709"/>
      <c r="E206" s="3367"/>
      <c r="F206" s="3323"/>
      <c r="G206" s="3323"/>
      <c r="H206" s="3323">
        <f t="shared" si="59"/>
        <v>2</v>
      </c>
      <c r="I206" s="3323">
        <f t="shared" si="59"/>
        <v>2</v>
      </c>
      <c r="J206" s="3323">
        <f t="shared" si="59"/>
        <v>67150.399999999994</v>
      </c>
      <c r="K206" s="3323">
        <f t="shared" si="59"/>
        <v>0</v>
      </c>
      <c r="L206" s="3323">
        <f t="shared" si="59"/>
        <v>0</v>
      </c>
      <c r="M206" s="3323">
        <f t="shared" si="59"/>
        <v>2140739.1402500002</v>
      </c>
      <c r="N206" s="3323">
        <f t="shared" si="59"/>
        <v>2140739.1402500002</v>
      </c>
      <c r="O206" s="3323">
        <f t="shared" si="59"/>
        <v>2076898.058</v>
      </c>
      <c r="P206" s="3323">
        <f t="shared" si="59"/>
        <v>0</v>
      </c>
      <c r="Q206" s="3323">
        <f t="shared" si="59"/>
        <v>0</v>
      </c>
      <c r="R206" s="3323">
        <f t="shared" si="59"/>
        <v>1325989.9145878379</v>
      </c>
      <c r="S206" s="3323">
        <f t="shared" si="59"/>
        <v>1325989.9145878379</v>
      </c>
      <c r="T206" s="3323">
        <f t="shared" si="59"/>
        <v>0</v>
      </c>
    </row>
    <row r="207" spans="2:34" s="3466" customFormat="1" ht="15.75" customHeight="1">
      <c r="B207" s="3538" t="s">
        <v>3830</v>
      </c>
      <c r="C207" s="3709" t="s">
        <v>3826</v>
      </c>
      <c r="D207" s="3709"/>
      <c r="E207" s="3367"/>
      <c r="F207" s="3323"/>
      <c r="G207" s="3323"/>
      <c r="H207" s="3323">
        <f t="shared" si="59"/>
        <v>4</v>
      </c>
      <c r="I207" s="3323">
        <f t="shared" si="59"/>
        <v>4</v>
      </c>
      <c r="J207" s="3323">
        <f t="shared" si="59"/>
        <v>0</v>
      </c>
      <c r="K207" s="3323">
        <f t="shared" si="59"/>
        <v>396416</v>
      </c>
      <c r="L207" s="3323">
        <f t="shared" si="59"/>
        <v>0</v>
      </c>
      <c r="M207" s="3323">
        <f t="shared" si="59"/>
        <v>5046.4080000000004</v>
      </c>
      <c r="N207" s="3323">
        <f t="shared" si="59"/>
        <v>401462.40799999994</v>
      </c>
      <c r="O207" s="3323">
        <f t="shared" si="59"/>
        <v>94596.09</v>
      </c>
      <c r="P207" s="3323">
        <f t="shared" si="59"/>
        <v>2346340.7254999997</v>
      </c>
      <c r="Q207" s="3323">
        <f t="shared" si="59"/>
        <v>0</v>
      </c>
      <c r="R207" s="3323">
        <f t="shared" si="59"/>
        <v>0</v>
      </c>
      <c r="S207" s="3323">
        <f t="shared" si="59"/>
        <v>0</v>
      </c>
      <c r="T207" s="3323">
        <f t="shared" si="59"/>
        <v>396416</v>
      </c>
      <c r="Z207" s="3540"/>
      <c r="AA207" s="3540"/>
      <c r="AB207" s="3540"/>
      <c r="AC207" s="3540"/>
      <c r="AD207" s="3540"/>
      <c r="AE207" s="3540"/>
      <c r="AF207" s="3540"/>
      <c r="AG207" s="3540"/>
      <c r="AH207" s="3540"/>
    </row>
    <row r="208" spans="2:34" s="3540" customFormat="1" ht="15.75" customHeight="1">
      <c r="B208" s="3541" t="s">
        <v>3830</v>
      </c>
      <c r="C208" s="3708" t="s">
        <v>3827</v>
      </c>
      <c r="D208" s="3708"/>
      <c r="E208" s="3368"/>
      <c r="F208" s="3325"/>
      <c r="G208" s="3325"/>
      <c r="H208" s="3325">
        <f t="shared" ref="H208:N208" si="60">SUM(H204:H207)</f>
        <v>1596.0509015746393</v>
      </c>
      <c r="I208" s="3325">
        <f t="shared" si="60"/>
        <v>3413.8818220370372</v>
      </c>
      <c r="J208" s="3325">
        <f t="shared" si="60"/>
        <v>169243.55325</v>
      </c>
      <c r="K208" s="3325">
        <f t="shared" si="60"/>
        <v>8620842.1699999999</v>
      </c>
      <c r="L208" s="3325">
        <f t="shared" si="60"/>
        <v>418089.28440000006</v>
      </c>
      <c r="M208" s="3325">
        <f t="shared" si="60"/>
        <v>2317143.2680000002</v>
      </c>
      <c r="N208" s="3325">
        <f t="shared" si="60"/>
        <v>10937985.438000001</v>
      </c>
      <c r="O208" s="3325">
        <f t="shared" ref="O208:T208" si="61">SUM(O204:O207)</f>
        <v>3114916.693</v>
      </c>
      <c r="P208" s="3325">
        <f t="shared" si="61"/>
        <v>5779611.0154999997</v>
      </c>
      <c r="Q208" s="3325">
        <f t="shared" si="61"/>
        <v>8059347.5099999998</v>
      </c>
      <c r="R208" s="3325">
        <f t="shared" si="61"/>
        <v>1325989.9145878379</v>
      </c>
      <c r="S208" s="3325">
        <f t="shared" si="61"/>
        <v>9385337.4245878384</v>
      </c>
      <c r="T208" s="3325">
        <f t="shared" si="61"/>
        <v>8488603.4100000001</v>
      </c>
      <c r="U208" s="3466"/>
      <c r="V208" s="3466"/>
      <c r="W208" s="3466"/>
      <c r="X208" s="3466"/>
      <c r="Y208" s="3466"/>
      <c r="Z208" s="3543"/>
      <c r="AA208" s="3543"/>
      <c r="AB208" s="3543"/>
      <c r="AC208" s="3543"/>
      <c r="AD208" s="3543"/>
      <c r="AE208" s="3543"/>
      <c r="AF208" s="3543"/>
      <c r="AG208" s="3543"/>
      <c r="AH208" s="3543"/>
    </row>
    <row r="209" spans="1:34" s="3543" customFormat="1" ht="15.75" customHeight="1">
      <c r="C209" s="3544"/>
      <c r="D209" s="3544"/>
      <c r="E209" s="3544"/>
      <c r="F209" s="3544"/>
      <c r="G209" s="3544"/>
      <c r="H209" s="3544"/>
      <c r="I209" s="3544"/>
      <c r="J209" s="3544"/>
      <c r="V209" s="3466"/>
      <c r="W209" s="3466"/>
      <c r="X209" s="3466"/>
      <c r="Y209" s="3466"/>
    </row>
    <row r="210" spans="1:34" s="3543" customFormat="1" ht="15.75" customHeight="1">
      <c r="C210" s="3544"/>
      <c r="D210" s="3544"/>
      <c r="E210" s="3544"/>
      <c r="F210" s="3544"/>
      <c r="G210" s="3544"/>
      <c r="H210" s="3544"/>
      <c r="I210" s="3544"/>
      <c r="J210" s="3544"/>
    </row>
    <row r="211" spans="1:34" s="3543" customFormat="1" ht="15.75" customHeight="1">
      <c r="A211" s="3544"/>
      <c r="F211" s="3545"/>
      <c r="G211" s="3545"/>
      <c r="H211" s="3545"/>
      <c r="I211" s="3545"/>
      <c r="J211" s="3545"/>
      <c r="Z211" s="3466"/>
      <c r="AA211" s="3466"/>
      <c r="AB211" s="3466"/>
      <c r="AC211" s="3466"/>
      <c r="AD211" s="3466"/>
      <c r="AE211" s="3466"/>
      <c r="AF211" s="3466"/>
      <c r="AG211" s="3466"/>
      <c r="AH211" s="3466"/>
    </row>
    <row r="212" spans="1:34" s="3466" customFormat="1" ht="15.75" customHeight="1">
      <c r="A212" s="3536"/>
      <c r="D212" s="3543"/>
      <c r="E212" s="3543"/>
      <c r="F212" s="3546"/>
      <c r="G212" s="3546"/>
      <c r="H212" s="3546"/>
      <c r="I212" s="3546"/>
      <c r="J212" s="3546"/>
      <c r="V212" s="3543"/>
      <c r="W212" s="3543"/>
      <c r="X212" s="3543"/>
      <c r="Y212" s="3543"/>
    </row>
    <row r="213" spans="1:34" s="3466" customFormat="1" ht="15.75" customHeight="1">
      <c r="A213" s="3536"/>
      <c r="D213" s="3543"/>
      <c r="E213" s="3543"/>
      <c r="F213" s="3546"/>
      <c r="G213" s="3546"/>
      <c r="H213" s="3546"/>
      <c r="I213" s="3546"/>
      <c r="J213" s="3546"/>
    </row>
    <row r="214" spans="1:34" s="3466" customFormat="1" ht="15.75" customHeight="1">
      <c r="A214" s="3536"/>
      <c r="D214" s="3543"/>
      <c r="E214" s="3543"/>
      <c r="F214" s="3546"/>
      <c r="G214" s="3546"/>
      <c r="H214" s="3546"/>
      <c r="I214" s="3546"/>
      <c r="J214" s="3546"/>
    </row>
    <row r="215" spans="1:34" s="3466" customFormat="1" ht="15.75" customHeight="1">
      <c r="A215" s="3536"/>
      <c r="D215" s="3543"/>
      <c r="E215" s="3543"/>
      <c r="F215" s="3546"/>
      <c r="G215" s="3546"/>
      <c r="H215" s="3546"/>
      <c r="I215" s="3546"/>
      <c r="J215" s="3546"/>
    </row>
    <row r="216" spans="1:34" s="3466" customFormat="1" ht="15.75" customHeight="1">
      <c r="A216" s="3536"/>
      <c r="D216" s="3543"/>
      <c r="E216" s="3543"/>
      <c r="F216" s="3546"/>
      <c r="G216" s="3546"/>
      <c r="H216" s="3546"/>
      <c r="I216" s="3546"/>
      <c r="J216" s="3546"/>
    </row>
    <row r="217" spans="1:34" s="3466" customFormat="1" ht="15.75" customHeight="1">
      <c r="A217" s="3536"/>
      <c r="D217" s="3543"/>
      <c r="E217" s="3543"/>
      <c r="F217" s="3546"/>
      <c r="G217" s="3546"/>
      <c r="H217" s="3546"/>
      <c r="I217" s="3546"/>
      <c r="J217" s="3546"/>
    </row>
    <row r="218" spans="1:34" s="3466" customFormat="1" ht="15.75" customHeight="1">
      <c r="A218" s="3536"/>
      <c r="D218" s="3543"/>
      <c r="E218" s="3543"/>
      <c r="F218" s="3546"/>
      <c r="G218" s="3546"/>
      <c r="H218" s="3546"/>
      <c r="I218" s="3546"/>
      <c r="J218" s="3546"/>
    </row>
    <row r="219" spans="1:34" s="3466" customFormat="1" ht="15.75" customHeight="1">
      <c r="A219" s="3536"/>
      <c r="D219" s="3543"/>
      <c r="E219" s="3543"/>
      <c r="F219" s="3546"/>
      <c r="G219" s="3546"/>
      <c r="H219" s="3546"/>
      <c r="I219" s="3546"/>
      <c r="J219" s="3546"/>
    </row>
    <row r="220" spans="1:34" s="3466" customFormat="1" ht="15.75" customHeight="1">
      <c r="A220" s="3536"/>
      <c r="D220" s="3543"/>
      <c r="E220" s="3543"/>
      <c r="F220" s="3546"/>
      <c r="G220" s="3546"/>
      <c r="H220" s="3546"/>
      <c r="I220" s="3546"/>
      <c r="J220" s="3546"/>
    </row>
    <row r="221" spans="1:34" s="3466" customFormat="1" ht="15.75" customHeight="1">
      <c r="A221" s="3536"/>
      <c r="D221" s="3543"/>
      <c r="E221" s="3543"/>
      <c r="F221" s="3546"/>
      <c r="G221" s="3546"/>
      <c r="H221" s="3546"/>
      <c r="I221" s="3546"/>
      <c r="J221" s="3546"/>
    </row>
    <row r="222" spans="1:34" s="3466" customFormat="1" ht="15.75" customHeight="1">
      <c r="A222" s="3536"/>
      <c r="D222" s="3543"/>
      <c r="E222" s="3543"/>
      <c r="F222" s="3546"/>
      <c r="G222" s="3546"/>
      <c r="H222" s="3546"/>
      <c r="I222" s="3546"/>
      <c r="J222" s="3546"/>
    </row>
    <row r="223" spans="1:34" s="3466" customFormat="1" ht="15.75" customHeight="1">
      <c r="A223" s="3536"/>
      <c r="D223" s="3543"/>
      <c r="E223" s="3543"/>
      <c r="F223" s="3546"/>
      <c r="G223" s="3546"/>
      <c r="H223" s="3546"/>
      <c r="I223" s="3546"/>
      <c r="J223" s="3546"/>
    </row>
    <row r="224" spans="1:34" s="3466" customFormat="1" ht="15.75" customHeight="1">
      <c r="A224" s="3536"/>
      <c r="D224" s="3543"/>
      <c r="E224" s="3543"/>
      <c r="F224" s="3546"/>
      <c r="G224" s="3546"/>
      <c r="H224" s="3546"/>
      <c r="I224" s="3546"/>
      <c r="J224" s="3546"/>
    </row>
    <row r="225" spans="1:10" s="3466" customFormat="1" ht="15.75" customHeight="1">
      <c r="A225" s="3536"/>
      <c r="D225" s="3543"/>
      <c r="E225" s="3543"/>
      <c r="F225" s="3546"/>
      <c r="G225" s="3546"/>
      <c r="H225" s="3546"/>
      <c r="I225" s="3546"/>
      <c r="J225" s="3546"/>
    </row>
    <row r="226" spans="1:10" s="3466" customFormat="1" ht="15.75" customHeight="1">
      <c r="A226" s="3536"/>
      <c r="D226" s="3543"/>
      <c r="E226" s="3543"/>
      <c r="F226" s="3546"/>
      <c r="G226" s="3546"/>
      <c r="H226" s="3546"/>
      <c r="I226" s="3546"/>
      <c r="J226" s="3546"/>
    </row>
    <row r="227" spans="1:10" s="3466" customFormat="1" ht="15.75" customHeight="1">
      <c r="A227" s="3536"/>
      <c r="D227" s="3543"/>
      <c r="E227" s="3543"/>
      <c r="F227" s="3546"/>
      <c r="G227" s="3546"/>
      <c r="H227" s="3546"/>
      <c r="I227" s="3546"/>
      <c r="J227" s="3546"/>
    </row>
    <row r="228" spans="1:10" s="3466" customFormat="1" ht="15.75" customHeight="1">
      <c r="A228" s="3536"/>
      <c r="D228" s="3543"/>
      <c r="E228" s="3543"/>
      <c r="F228" s="3546"/>
      <c r="G228" s="3546"/>
      <c r="H228" s="3546"/>
      <c r="I228" s="3546"/>
      <c r="J228" s="3546"/>
    </row>
    <row r="229" spans="1:10" s="3466" customFormat="1" ht="15.75" customHeight="1">
      <c r="A229" s="3536"/>
      <c r="D229" s="3543"/>
      <c r="E229" s="3543"/>
      <c r="F229" s="3546"/>
      <c r="G229" s="3546"/>
      <c r="H229" s="3546"/>
      <c r="I229" s="3546"/>
      <c r="J229" s="3546"/>
    </row>
    <row r="230" spans="1:10" s="3466" customFormat="1" ht="15.75" customHeight="1">
      <c r="A230" s="3536"/>
      <c r="D230" s="3543"/>
      <c r="E230" s="3543"/>
      <c r="F230" s="3546"/>
      <c r="G230" s="3546"/>
      <c r="H230" s="3546"/>
      <c r="I230" s="3546"/>
      <c r="J230" s="3546"/>
    </row>
    <row r="231" spans="1:10" s="3466" customFormat="1" ht="15.75" customHeight="1">
      <c r="A231" s="3536"/>
      <c r="D231" s="3543"/>
      <c r="E231" s="3543"/>
      <c r="F231" s="3546"/>
      <c r="G231" s="3546"/>
      <c r="H231" s="3546"/>
      <c r="I231" s="3546"/>
      <c r="J231" s="3546"/>
    </row>
    <row r="232" spans="1:10" s="3466" customFormat="1" ht="15.75" customHeight="1">
      <c r="A232" s="3536"/>
      <c r="D232" s="3543"/>
      <c r="E232" s="3543"/>
      <c r="F232" s="3546"/>
      <c r="G232" s="3546"/>
      <c r="H232" s="3546"/>
      <c r="I232" s="3546"/>
      <c r="J232" s="3546"/>
    </row>
    <row r="233" spans="1:10" s="3466" customFormat="1" ht="15.75" customHeight="1">
      <c r="A233" s="3536"/>
      <c r="D233" s="3543"/>
      <c r="E233" s="3543"/>
      <c r="F233" s="3546"/>
      <c r="G233" s="3546"/>
      <c r="H233" s="3546"/>
      <c r="I233" s="3546"/>
      <c r="J233" s="3546"/>
    </row>
    <row r="234" spans="1:10" s="3466" customFormat="1" ht="15.75" customHeight="1">
      <c r="A234" s="3536"/>
      <c r="D234" s="3543"/>
      <c r="E234" s="3543"/>
      <c r="F234" s="3546"/>
      <c r="G234" s="3546"/>
      <c r="H234" s="3546"/>
      <c r="I234" s="3546"/>
      <c r="J234" s="3546"/>
    </row>
    <row r="235" spans="1:10" s="3466" customFormat="1" ht="15.75" customHeight="1">
      <c r="A235" s="3536"/>
      <c r="D235" s="3543"/>
      <c r="E235" s="3543"/>
      <c r="F235" s="3546"/>
      <c r="G235" s="3546"/>
      <c r="H235" s="3546"/>
      <c r="I235" s="3546"/>
      <c r="J235" s="3546"/>
    </row>
    <row r="236" spans="1:10" s="3466" customFormat="1" ht="15.75" customHeight="1">
      <c r="A236" s="3536"/>
      <c r="D236" s="3543"/>
      <c r="E236" s="3543"/>
      <c r="F236" s="3546"/>
      <c r="G236" s="3546"/>
      <c r="H236" s="3546"/>
      <c r="I236" s="3546"/>
      <c r="J236" s="3546"/>
    </row>
    <row r="237" spans="1:10" s="3466" customFormat="1" ht="15.75" customHeight="1">
      <c r="A237" s="3536"/>
      <c r="D237" s="3543"/>
      <c r="E237" s="3543"/>
      <c r="F237" s="3546"/>
      <c r="G237" s="3546"/>
      <c r="H237" s="3546"/>
      <c r="I237" s="3546"/>
      <c r="J237" s="3546"/>
    </row>
    <row r="238" spans="1:10" s="3466" customFormat="1" ht="15.75" customHeight="1">
      <c r="A238" s="3536"/>
      <c r="D238" s="3543"/>
      <c r="E238" s="3543"/>
      <c r="F238" s="3546"/>
      <c r="G238" s="3546"/>
      <c r="H238" s="3546"/>
      <c r="I238" s="3546"/>
      <c r="J238" s="3546"/>
    </row>
    <row r="239" spans="1:10" s="3466" customFormat="1" ht="15.75" customHeight="1">
      <c r="A239" s="3536"/>
      <c r="D239" s="3543"/>
      <c r="E239" s="3543"/>
      <c r="F239" s="3546"/>
      <c r="G239" s="3546"/>
      <c r="H239" s="3546"/>
      <c r="I239" s="3546"/>
      <c r="J239" s="3546"/>
    </row>
    <row r="240" spans="1:10" s="3466" customFormat="1" ht="15.75" customHeight="1">
      <c r="A240" s="3536"/>
      <c r="D240" s="3543"/>
      <c r="E240" s="3543"/>
      <c r="F240" s="3546"/>
      <c r="G240" s="3546"/>
      <c r="H240" s="3546"/>
      <c r="I240" s="3546"/>
      <c r="J240" s="3546"/>
    </row>
    <row r="241" spans="1:10" s="3466" customFormat="1" ht="15.75" customHeight="1">
      <c r="A241" s="3536"/>
      <c r="D241" s="3543"/>
      <c r="E241" s="3543"/>
      <c r="F241" s="3546"/>
      <c r="G241" s="3546"/>
      <c r="H241" s="3546"/>
      <c r="I241" s="3546"/>
      <c r="J241" s="3546"/>
    </row>
    <row r="242" spans="1:10" s="3466" customFormat="1" ht="15.75" customHeight="1">
      <c r="A242" s="3536"/>
      <c r="D242" s="3543"/>
      <c r="E242" s="3543"/>
      <c r="F242" s="3546"/>
      <c r="G242" s="3546"/>
      <c r="H242" s="3546"/>
      <c r="I242" s="3546"/>
      <c r="J242" s="3546"/>
    </row>
    <row r="243" spans="1:10" s="3466" customFormat="1" ht="15.75" customHeight="1">
      <c r="A243" s="3536"/>
      <c r="D243" s="3543"/>
      <c r="E243" s="3543"/>
      <c r="F243" s="3546"/>
      <c r="G243" s="3546"/>
      <c r="H243" s="3546"/>
      <c r="I243" s="3546"/>
      <c r="J243" s="3546"/>
    </row>
    <row r="244" spans="1:10" s="3466" customFormat="1" ht="15.75" customHeight="1">
      <c r="A244" s="3536"/>
      <c r="D244" s="3543"/>
      <c r="E244" s="3543"/>
      <c r="F244" s="3546"/>
      <c r="G244" s="3546"/>
      <c r="H244" s="3546"/>
      <c r="I244" s="3546"/>
      <c r="J244" s="3546"/>
    </row>
    <row r="245" spans="1:10" s="3466" customFormat="1" ht="15.75" customHeight="1">
      <c r="A245" s="3536"/>
      <c r="D245" s="3543"/>
      <c r="E245" s="3543"/>
      <c r="F245" s="3546"/>
      <c r="G245" s="3546"/>
      <c r="H245" s="3546"/>
      <c r="I245" s="3546"/>
      <c r="J245" s="3546"/>
    </row>
    <row r="246" spans="1:10" s="3466" customFormat="1" ht="15.75" customHeight="1">
      <c r="A246" s="3536"/>
      <c r="D246" s="3543"/>
      <c r="E246" s="3543"/>
      <c r="F246" s="3546"/>
      <c r="G246" s="3546"/>
      <c r="H246" s="3546"/>
      <c r="I246" s="3546"/>
      <c r="J246" s="3546"/>
    </row>
    <row r="247" spans="1:10" s="3466" customFormat="1" ht="15.75" customHeight="1">
      <c r="A247" s="3536"/>
      <c r="D247" s="3543"/>
      <c r="E247" s="3543"/>
      <c r="F247" s="3546"/>
      <c r="G247" s="3546"/>
      <c r="H247" s="3546"/>
      <c r="I247" s="3546"/>
      <c r="J247" s="3546"/>
    </row>
    <row r="248" spans="1:10" s="3466" customFormat="1" ht="15.75" customHeight="1">
      <c r="A248" s="3536"/>
      <c r="D248" s="3543"/>
      <c r="E248" s="3543"/>
      <c r="F248" s="3546"/>
      <c r="G248" s="3546"/>
      <c r="H248" s="3546"/>
      <c r="I248" s="3546"/>
      <c r="J248" s="3546"/>
    </row>
    <row r="249" spans="1:10" s="3466" customFormat="1" ht="15.75" customHeight="1">
      <c r="A249" s="3536"/>
      <c r="D249" s="3543"/>
      <c r="E249" s="3543"/>
      <c r="F249" s="3546"/>
      <c r="G249" s="3546"/>
      <c r="H249" s="3546"/>
      <c r="I249" s="3546"/>
      <c r="J249" s="3546"/>
    </row>
    <row r="250" spans="1:10" s="3466" customFormat="1" ht="15.75" customHeight="1">
      <c r="A250" s="3536"/>
      <c r="D250" s="3543"/>
      <c r="E250" s="3543"/>
      <c r="F250" s="3546"/>
      <c r="G250" s="3546"/>
      <c r="H250" s="3546"/>
      <c r="I250" s="3546"/>
      <c r="J250" s="3546"/>
    </row>
    <row r="251" spans="1:10" s="3466" customFormat="1" ht="15.75" customHeight="1">
      <c r="A251" s="3536"/>
      <c r="D251" s="3543"/>
      <c r="E251" s="3543"/>
      <c r="F251" s="3546"/>
      <c r="G251" s="3546"/>
      <c r="H251" s="3546"/>
      <c r="I251" s="3546"/>
      <c r="J251" s="3546"/>
    </row>
    <row r="252" spans="1:10" s="3466" customFormat="1" ht="15.75" customHeight="1">
      <c r="A252" s="3536"/>
      <c r="D252" s="3543"/>
      <c r="E252" s="3543"/>
      <c r="F252" s="3546"/>
      <c r="G252" s="3546"/>
      <c r="H252" s="3546"/>
      <c r="I252" s="3546"/>
      <c r="J252" s="3546"/>
    </row>
    <row r="253" spans="1:10" s="3466" customFormat="1" ht="15.75" customHeight="1">
      <c r="A253" s="3536"/>
      <c r="D253" s="3543"/>
      <c r="E253" s="3543"/>
      <c r="F253" s="3546"/>
      <c r="G253" s="3546"/>
      <c r="H253" s="3546"/>
      <c r="I253" s="3546"/>
      <c r="J253" s="3546"/>
    </row>
    <row r="254" spans="1:10" s="3466" customFormat="1" ht="15.75" customHeight="1">
      <c r="A254" s="3536"/>
      <c r="D254" s="3543"/>
      <c r="E254" s="3543"/>
      <c r="F254" s="3546"/>
      <c r="G254" s="3546"/>
      <c r="H254" s="3546"/>
      <c r="I254" s="3546"/>
      <c r="J254" s="3546"/>
    </row>
    <row r="255" spans="1:10" s="3466" customFormat="1" ht="15.75" customHeight="1">
      <c r="A255" s="3536"/>
      <c r="D255" s="3543"/>
      <c r="E255" s="3543"/>
      <c r="F255" s="3546"/>
      <c r="G255" s="3546"/>
      <c r="H255" s="3546"/>
      <c r="I255" s="3546"/>
      <c r="J255" s="3546"/>
    </row>
    <row r="256" spans="1:10" s="3466" customFormat="1" ht="15.75" customHeight="1">
      <c r="A256" s="3536"/>
      <c r="D256" s="3543"/>
      <c r="E256" s="3543"/>
      <c r="F256" s="3546"/>
      <c r="G256" s="3546"/>
      <c r="H256" s="3546"/>
      <c r="I256" s="3546"/>
      <c r="J256" s="3546"/>
    </row>
    <row r="257" spans="1:34" s="3466" customFormat="1" ht="15.75" customHeight="1">
      <c r="A257" s="3536"/>
      <c r="D257" s="3543"/>
      <c r="E257" s="3543"/>
      <c r="F257" s="3546"/>
      <c r="G257" s="3546"/>
      <c r="H257" s="3546"/>
      <c r="I257" s="3546"/>
      <c r="J257" s="3546"/>
    </row>
    <row r="258" spans="1:34" s="3466" customFormat="1" ht="15.75" customHeight="1">
      <c r="A258" s="3536"/>
      <c r="D258" s="3543"/>
      <c r="E258" s="3543"/>
      <c r="F258" s="3546"/>
      <c r="G258" s="3546"/>
      <c r="H258" s="3546"/>
      <c r="I258" s="3546"/>
      <c r="J258" s="3546"/>
    </row>
    <row r="259" spans="1:34" s="3466" customFormat="1" ht="15.75" customHeight="1">
      <c r="A259" s="3536"/>
      <c r="D259" s="3543"/>
      <c r="E259" s="3543"/>
      <c r="F259" s="3546"/>
      <c r="G259" s="3546"/>
      <c r="H259" s="3546"/>
      <c r="I259" s="3546"/>
      <c r="J259" s="3546"/>
    </row>
    <row r="260" spans="1:34" s="3466" customFormat="1" ht="15.75" customHeight="1">
      <c r="A260" s="3536"/>
      <c r="D260" s="3543"/>
      <c r="E260" s="3543"/>
      <c r="F260" s="3546"/>
      <c r="G260" s="3546"/>
      <c r="H260" s="3546"/>
      <c r="I260" s="3546"/>
      <c r="J260" s="3546"/>
    </row>
    <row r="261" spans="1:34" s="3466" customFormat="1" ht="15.75" customHeight="1">
      <c r="A261" s="3536"/>
      <c r="D261" s="3543"/>
      <c r="E261" s="3543"/>
      <c r="F261" s="3546"/>
      <c r="G261" s="3546"/>
      <c r="H261" s="3546"/>
      <c r="I261" s="3546"/>
      <c r="J261" s="3546"/>
    </row>
    <row r="262" spans="1:34" s="3466" customFormat="1" ht="15.75" customHeight="1">
      <c r="A262" s="3536"/>
      <c r="D262" s="3543"/>
      <c r="E262" s="3543"/>
      <c r="F262" s="3546"/>
      <c r="G262" s="3546"/>
      <c r="H262" s="3546"/>
      <c r="I262" s="3546"/>
      <c r="J262" s="3546"/>
    </row>
    <row r="263" spans="1:34" s="3466" customFormat="1" ht="15.75" customHeight="1">
      <c r="A263" s="3536"/>
      <c r="D263" s="3543"/>
      <c r="E263" s="3543"/>
      <c r="F263" s="3546"/>
      <c r="G263" s="3546"/>
      <c r="H263" s="3546"/>
      <c r="I263" s="3546"/>
      <c r="J263" s="3546"/>
      <c r="Z263" s="3309"/>
      <c r="AA263" s="3309"/>
      <c r="AB263" s="3309"/>
      <c r="AC263" s="3309"/>
      <c r="AD263" s="3309"/>
      <c r="AE263" s="3309"/>
      <c r="AF263" s="3309"/>
      <c r="AG263" s="3309"/>
      <c r="AH263" s="3309"/>
    </row>
    <row r="264" spans="1:34" ht="15.75" customHeight="1">
      <c r="V264" s="3466"/>
      <c r="W264" s="3466"/>
      <c r="X264" s="3466"/>
      <c r="Y264" s="3466"/>
    </row>
  </sheetData>
  <sheetProtection formatCells="0" formatColumns="0" formatRows="0"/>
  <autoFilter ref="B1:T213"/>
  <mergeCells count="67">
    <mergeCell ref="Q2:S2"/>
    <mergeCell ref="B145:E145"/>
    <mergeCell ref="C153:D153"/>
    <mergeCell ref="B2:E2"/>
    <mergeCell ref="F2:J2"/>
    <mergeCell ref="K2:N2"/>
    <mergeCell ref="O2:P2"/>
    <mergeCell ref="B146:D146"/>
    <mergeCell ref="C149:D149"/>
    <mergeCell ref="C150:D150"/>
    <mergeCell ref="C151:D151"/>
    <mergeCell ref="C152:D152"/>
    <mergeCell ref="C165:D165"/>
    <mergeCell ref="C154:D154"/>
    <mergeCell ref="C155:D155"/>
    <mergeCell ref="C156:D156"/>
    <mergeCell ref="C157:D157"/>
    <mergeCell ref="C158:D158"/>
    <mergeCell ref="C159:D159"/>
    <mergeCell ref="C160:D160"/>
    <mergeCell ref="C161:D161"/>
    <mergeCell ref="C162:D162"/>
    <mergeCell ref="C163:D163"/>
    <mergeCell ref="C164:D164"/>
    <mergeCell ref="C177:D177"/>
    <mergeCell ref="C166:D166"/>
    <mergeCell ref="C167:D167"/>
    <mergeCell ref="C168:D168"/>
    <mergeCell ref="C169:D169"/>
    <mergeCell ref="C170:D170"/>
    <mergeCell ref="C171:D171"/>
    <mergeCell ref="C172:D172"/>
    <mergeCell ref="C173:D173"/>
    <mergeCell ref="C174:D174"/>
    <mergeCell ref="C175:D175"/>
    <mergeCell ref="C176:D176"/>
    <mergeCell ref="C189:D189"/>
    <mergeCell ref="C178:D178"/>
    <mergeCell ref="C179:D179"/>
    <mergeCell ref="C180:D180"/>
    <mergeCell ref="C181:D181"/>
    <mergeCell ref="C182:D182"/>
    <mergeCell ref="C183:D183"/>
    <mergeCell ref="C184:D184"/>
    <mergeCell ref="C185:D185"/>
    <mergeCell ref="C186:D186"/>
    <mergeCell ref="C187:D187"/>
    <mergeCell ref="C188:D188"/>
    <mergeCell ref="C201:D201"/>
    <mergeCell ref="C190:D190"/>
    <mergeCell ref="C191:D191"/>
    <mergeCell ref="C192:D192"/>
    <mergeCell ref="C193:D193"/>
    <mergeCell ref="C194:D194"/>
    <mergeCell ref="C195:D195"/>
    <mergeCell ref="C196:D196"/>
    <mergeCell ref="C197:D197"/>
    <mergeCell ref="C198:D198"/>
    <mergeCell ref="C199:D199"/>
    <mergeCell ref="C200:D200"/>
    <mergeCell ref="C208:D208"/>
    <mergeCell ref="C202:D202"/>
    <mergeCell ref="C203:D203"/>
    <mergeCell ref="C204:D204"/>
    <mergeCell ref="C205:D205"/>
    <mergeCell ref="C206:D206"/>
    <mergeCell ref="C207:D207"/>
  </mergeCells>
  <phoneticPr fontId="228" type="noConversion"/>
  <conditionalFormatting sqref="AD169:AH170">
    <cfRule type="cellIs" dxfId="219" priority="14" stopIfTrue="1" operator="equal">
      <formula>0</formula>
    </cfRule>
  </conditionalFormatting>
  <conditionalFormatting sqref="V169:V170 X169:AB170">
    <cfRule type="cellIs" dxfId="218" priority="13" stopIfTrue="1" operator="equal">
      <formula>0</formula>
    </cfRule>
  </conditionalFormatting>
  <conditionalFormatting sqref="W169:W170">
    <cfRule type="cellIs" dxfId="217" priority="12" stopIfTrue="1" operator="equal">
      <formula>0</formula>
    </cfRule>
  </conditionalFormatting>
  <conditionalFormatting sqref="AC169:AC170">
    <cfRule type="cellIs" dxfId="216" priority="8" stopIfTrue="1" operator="equal">
      <formula>0</formula>
    </cfRule>
  </conditionalFormatting>
  <dataValidations disablePrompts="1" count="2">
    <dataValidation type="list" allowBlank="1" showInputMessage="1" showErrorMessage="1" sqref="C76:C80">
      <formula1>"住宅,商业,车库,配套"</formula1>
    </dataValidation>
    <dataValidation type="list" allowBlank="1" showInputMessage="1" showErrorMessage="1" sqref="B87 B106">
      <formula1>#REF!</formula1>
    </dataValidation>
  </dataValidations>
  <pageMargins left="0.69930555555555596" right="0.69930555555555596" top="0.75" bottom="0.75" header="0.3" footer="0.3"/>
  <pageSetup paperSize="9" orientation="portrait"/>
  <legacy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F27" sqref="F27"/>
    </sheetView>
  </sheetViews>
  <sheetFormatPr defaultColWidth="9.25" defaultRowHeight="14.25"/>
  <cols>
    <col min="1" max="1" width="8.25" style="1884" customWidth="1"/>
    <col min="2" max="2" width="10.25" style="1884" customWidth="1"/>
    <col min="3" max="3" width="18.5" style="1884" customWidth="1"/>
    <col min="4" max="4" width="11.125" style="1884" customWidth="1"/>
    <col min="5" max="5" width="13.375" style="1884" customWidth="1"/>
    <col min="6" max="8" width="11.5" style="1884" customWidth="1"/>
    <col min="9" max="9" width="10.375" style="1884" customWidth="1"/>
    <col min="10" max="10" width="3.125" style="1884" customWidth="1"/>
    <col min="11" max="16" width="11.625" style="1884" customWidth="1"/>
    <col min="17" max="17" width="3.375" style="1884" customWidth="1"/>
    <col min="18" max="16384" width="9.25" style="1884"/>
  </cols>
  <sheetData>
    <row r="1" spans="1:16" ht="18.75">
      <c r="A1" s="104" t="s">
        <v>202</v>
      </c>
      <c r="B1" s="1883"/>
      <c r="C1" s="1883"/>
      <c r="D1" s="1883"/>
      <c r="E1" s="1883"/>
      <c r="F1" s="1883"/>
      <c r="G1" s="1883"/>
      <c r="H1" s="1883"/>
      <c r="I1" s="1883"/>
      <c r="J1" s="1883"/>
      <c r="K1" s="1883"/>
      <c r="L1" s="1883"/>
      <c r="M1" s="1883"/>
      <c r="N1" s="1883"/>
      <c r="O1" s="1883"/>
      <c r="P1" s="1883"/>
    </row>
    <row r="2" spans="1:16" ht="15">
      <c r="A2" s="3733" t="s">
        <v>203</v>
      </c>
      <c r="B2" s="3733"/>
      <c r="C2" s="3733"/>
      <c r="D2" s="1874" t="s">
        <v>204</v>
      </c>
      <c r="E2" s="106" t="s">
        <v>205</v>
      </c>
      <c r="F2" s="3067"/>
      <c r="G2" s="1172"/>
      <c r="H2" s="1173"/>
      <c r="I2" s="1174" t="s">
        <v>848</v>
      </c>
      <c r="J2" s="3067"/>
      <c r="K2" s="3067"/>
      <c r="L2" s="3067"/>
      <c r="M2" s="3067"/>
      <c r="N2" s="3067"/>
      <c r="O2" s="3067"/>
      <c r="P2" s="3067"/>
    </row>
    <row r="3" spans="1:16" ht="15.75" thickBot="1">
      <c r="A3" s="3734" t="s">
        <v>206</v>
      </c>
      <c r="B3" s="3734"/>
      <c r="C3" s="3734"/>
      <c r="D3" s="107">
        <f>'数据-基础表'!AY6</f>
        <v>214384.13</v>
      </c>
      <c r="E3" s="107">
        <f>'数据-基础表'!AZ5</f>
        <v>461591.08999999997</v>
      </c>
      <c r="F3" s="3067"/>
      <c r="G3" s="270" t="s">
        <v>849</v>
      </c>
      <c r="H3" s="265" t="s">
        <v>850</v>
      </c>
      <c r="I3" s="1875">
        <f>ROUND('数据-基础表'!B3/'数据-基础表'!A3,2)</f>
        <v>2.15</v>
      </c>
      <c r="J3" s="3067"/>
      <c r="K3" s="3067"/>
      <c r="L3" s="3067"/>
      <c r="M3" s="3067"/>
      <c r="N3" s="3067"/>
      <c r="O3" s="3067"/>
      <c r="P3" s="3067"/>
    </row>
    <row r="4" spans="1:16" ht="15">
      <c r="A4" s="3735"/>
      <c r="B4" s="3736"/>
      <c r="C4" s="3737"/>
      <c r="D4" s="108" t="s">
        <v>204</v>
      </c>
      <c r="E4" s="109" t="s">
        <v>205</v>
      </c>
      <c r="F4" s="3067"/>
      <c r="G4" s="1175"/>
      <c r="H4" s="265" t="s">
        <v>851</v>
      </c>
      <c r="I4" s="1875">
        <f>ROUND(SUMIF('数据-基础表'!I9:AS9,"地上",'数据-基础表'!I5:AS5)/'数据-基础表'!A3,2)</f>
        <v>2.15</v>
      </c>
      <c r="J4" s="3067"/>
      <c r="K4" s="3067"/>
      <c r="L4" s="3067"/>
      <c r="M4" s="3067"/>
      <c r="N4" s="3067"/>
      <c r="O4" s="3067"/>
      <c r="P4" s="3067"/>
    </row>
    <row r="5" spans="1:16">
      <c r="A5" s="110" t="s">
        <v>207</v>
      </c>
      <c r="B5" s="3738" t="s">
        <v>230</v>
      </c>
      <c r="C5" s="3738"/>
      <c r="D5" s="111">
        <f>ROUND($D$3*E5/$E$3,2)</f>
        <v>199093.21</v>
      </c>
      <c r="E5" s="112">
        <f>SUMIF('数据-基础表'!$11:$11,"住宅",'数据-基础表'!$5:$5)</f>
        <v>428668.15999999997</v>
      </c>
      <c r="F5" s="3067"/>
      <c r="G5" s="270" t="s">
        <v>852</v>
      </c>
      <c r="H5" s="265" t="s">
        <v>850</v>
      </c>
      <c r="I5" s="1875">
        <f>ROUND(E31/D31,2)</f>
        <v>2.15</v>
      </c>
      <c r="J5" s="3067"/>
      <c r="K5" s="3067"/>
      <c r="L5" s="3067"/>
      <c r="M5" s="3067"/>
      <c r="N5" s="3067"/>
      <c r="O5" s="3067"/>
      <c r="P5" s="3067"/>
    </row>
    <row r="6" spans="1:16" ht="15" thickBot="1">
      <c r="A6" s="113"/>
      <c r="B6" s="3738" t="s">
        <v>208</v>
      </c>
      <c r="C6" s="3738"/>
      <c r="D6" s="111">
        <f>ROUND($D$3*E6/$E$3,2)</f>
        <v>15290.92</v>
      </c>
      <c r="E6" s="112">
        <f>E3-E5</f>
        <v>32922.929999999993</v>
      </c>
      <c r="F6" s="3067"/>
      <c r="G6" s="1175"/>
      <c r="H6" s="265" t="s">
        <v>851</v>
      </c>
      <c r="I6" s="1875">
        <f>ROUND(F31/D31,2)</f>
        <v>2.15</v>
      </c>
      <c r="J6" s="3067"/>
      <c r="K6" s="3067"/>
      <c r="L6" s="3067"/>
      <c r="M6" s="3067"/>
      <c r="N6" s="3067"/>
      <c r="O6" s="3067"/>
      <c r="P6" s="3067"/>
    </row>
    <row r="7" spans="1:16" ht="15">
      <c r="A7" s="3730"/>
      <c r="B7" s="3731"/>
      <c r="C7" s="3732"/>
      <c r="D7" s="108" t="s">
        <v>204</v>
      </c>
      <c r="E7" s="114" t="s">
        <v>231</v>
      </c>
      <c r="F7" s="3067"/>
      <c r="G7" s="1130" t="s">
        <v>1635</v>
      </c>
      <c r="H7" s="1131"/>
      <c r="I7" s="1745"/>
      <c r="J7" s="3067"/>
      <c r="K7" s="3067"/>
      <c r="L7" s="3067"/>
      <c r="M7" s="3067"/>
      <c r="N7" s="3067"/>
      <c r="O7" s="3067"/>
      <c r="P7" s="3067"/>
    </row>
    <row r="8" spans="1:16">
      <c r="A8" s="110" t="s">
        <v>209</v>
      </c>
      <c r="B8" s="115" t="s">
        <v>210</v>
      </c>
      <c r="C8" s="111" t="s">
        <v>211</v>
      </c>
      <c r="D8" s="111">
        <f t="shared" ref="D8:D15" si="0">ROUND($D$3*E8/$E$3,2)</f>
        <v>214384.13</v>
      </c>
      <c r="E8" s="116">
        <f>SUMIF('数据-基础表'!BB10:BK10,"地上",'数据-基础表'!BB5:BK5)</f>
        <v>461591.08999999997</v>
      </c>
      <c r="F8" s="3067"/>
      <c r="G8" s="3068"/>
      <c r="H8" s="3068"/>
      <c r="I8" s="3067"/>
      <c r="J8" s="3067"/>
      <c r="K8" s="3067"/>
      <c r="L8" s="3067"/>
      <c r="M8" s="3067"/>
      <c r="N8" s="3067"/>
      <c r="O8" s="3067"/>
      <c r="P8" s="3067"/>
    </row>
    <row r="9" spans="1:16">
      <c r="A9" s="117"/>
      <c r="B9" s="118"/>
      <c r="C9" s="111" t="s">
        <v>212</v>
      </c>
      <c r="D9" s="111">
        <f t="shared" si="0"/>
        <v>0</v>
      </c>
      <c r="E9" s="119">
        <v>0</v>
      </c>
      <c r="F9" s="3067"/>
      <c r="G9" s="3068"/>
      <c r="H9" s="3068"/>
      <c r="I9" s="3067"/>
      <c r="J9" s="3067"/>
      <c r="K9" s="3067"/>
      <c r="L9" s="3067"/>
      <c r="M9" s="3067"/>
      <c r="N9" s="3067"/>
      <c r="O9" s="3067"/>
      <c r="P9" s="3067"/>
    </row>
    <row r="10" spans="1:16">
      <c r="A10" s="117"/>
      <c r="B10" s="118"/>
      <c r="C10" s="111" t="s">
        <v>213</v>
      </c>
      <c r="D10" s="111">
        <f t="shared" si="0"/>
        <v>0</v>
      </c>
      <c r="E10" s="116">
        <f>SUMPRODUCT(('数据-基础表'!BB10:BK10="地下")*('数据-基础表'!BB11:BK11="商业")*('数据-基础表'!BB5:BK5))</f>
        <v>0</v>
      </c>
      <c r="F10" s="3067"/>
      <c r="G10" s="3068"/>
      <c r="H10" s="3068"/>
      <c r="I10" s="3067"/>
      <c r="J10" s="3067"/>
      <c r="K10" s="3067"/>
      <c r="L10" s="3067"/>
      <c r="M10" s="3067"/>
      <c r="N10" s="3067"/>
      <c r="O10" s="3067"/>
      <c r="P10" s="3067"/>
    </row>
    <row r="11" spans="1:16">
      <c r="A11" s="117"/>
      <c r="B11" s="118"/>
      <c r="C11" s="2196" t="s">
        <v>2309</v>
      </c>
      <c r="D11" s="111">
        <f t="shared" si="0"/>
        <v>0</v>
      </c>
      <c r="E11" s="116">
        <f>SUMPRODUCT(('数据-基础表'!BB10:BK10="地下")*('数据-基础表'!BB11:BK11="办公")*('数据-基础表'!BB5:BK5))+'数据-基础表'!AJ5</f>
        <v>0</v>
      </c>
      <c r="F11" s="3067"/>
      <c r="G11" s="3068"/>
      <c r="H11" s="3068"/>
      <c r="I11" s="3067"/>
      <c r="J11" s="3067"/>
      <c r="K11" s="3067"/>
      <c r="L11" s="3067"/>
      <c r="M11" s="3067"/>
      <c r="N11" s="3067"/>
      <c r="O11" s="3067"/>
      <c r="P11" s="3067"/>
    </row>
    <row r="12" spans="1:16">
      <c r="A12" s="117"/>
      <c r="B12" s="118"/>
      <c r="C12" s="111" t="s">
        <v>214</v>
      </c>
      <c r="D12" s="111">
        <f t="shared" si="0"/>
        <v>0</v>
      </c>
      <c r="E12" s="116">
        <f>SUMPRODUCT(('数据-基础表'!BB10:BK10="地下")*('数据-基础表'!BB11:BK11="仓储")*('数据-基础表'!BB5:BK5))</f>
        <v>0</v>
      </c>
      <c r="F12" s="3067"/>
      <c r="G12" s="3068"/>
      <c r="H12" s="3068"/>
      <c r="I12" s="3067"/>
      <c r="J12" s="3067"/>
      <c r="K12" s="3067"/>
      <c r="L12" s="3067"/>
      <c r="M12" s="3067"/>
      <c r="N12" s="3067"/>
      <c r="O12" s="3067"/>
      <c r="P12" s="3067"/>
    </row>
    <row r="13" spans="1:16">
      <c r="A13" s="117"/>
      <c r="B13" s="118"/>
      <c r="C13" s="2196" t="s">
        <v>2316</v>
      </c>
      <c r="D13" s="111">
        <f t="shared" si="0"/>
        <v>0</v>
      </c>
      <c r="E13" s="116">
        <f>SUMPRODUCT(('数据-基础表'!BB10:BK10="地下")*('数据-基础表'!BB11:BK11="车库")*('数据-基础表'!BB5:BK5))</f>
        <v>0</v>
      </c>
      <c r="F13" s="3067"/>
      <c r="G13" s="3068"/>
      <c r="H13" s="3068"/>
      <c r="I13" s="3067"/>
      <c r="J13" s="3067"/>
      <c r="K13" s="3067"/>
      <c r="L13" s="3067"/>
      <c r="M13" s="3067"/>
      <c r="N13" s="3067"/>
      <c r="O13" s="3067"/>
      <c r="P13" s="3067"/>
    </row>
    <row r="14" spans="1:16">
      <c r="A14" s="117"/>
      <c r="B14" s="118"/>
      <c r="C14" s="111" t="s">
        <v>232</v>
      </c>
      <c r="D14" s="111">
        <f t="shared" si="0"/>
        <v>0</v>
      </c>
      <c r="E14" s="116">
        <f>SUMPRODUCT(('数据-基础表'!BB10:BK10="地下")*('数据-基础表'!BB11:BK11="车库—商业")*('数据-基础表'!BB5:BK5))</f>
        <v>0</v>
      </c>
      <c r="F14" s="3067"/>
      <c r="G14" s="3068"/>
      <c r="H14" s="3068"/>
      <c r="I14" s="3067"/>
      <c r="J14" s="3067"/>
      <c r="K14" s="3067"/>
      <c r="L14" s="3067"/>
      <c r="M14" s="3067"/>
      <c r="N14" s="3067"/>
      <c r="O14" s="3067"/>
      <c r="P14" s="3067"/>
    </row>
    <row r="15" spans="1:16" ht="15" thickBot="1">
      <c r="A15" s="117"/>
      <c r="B15" s="118"/>
      <c r="C15" s="111" t="s">
        <v>233</v>
      </c>
      <c r="D15" s="111">
        <f t="shared" si="0"/>
        <v>0</v>
      </c>
      <c r="E15" s="116">
        <f>SUMPRODUCT(('数据-基础表'!BB10:BK10="地下")*('数据-基础表'!BB11:BK11="车库—办公")*('数据-基础表'!BB5:BK5))</f>
        <v>0</v>
      </c>
      <c r="F15" s="3067"/>
      <c r="G15" s="3068"/>
      <c r="H15" s="3068"/>
      <c r="I15" s="3067"/>
      <c r="J15" s="3067"/>
      <c r="K15" s="3067"/>
      <c r="L15" s="3067"/>
      <c r="M15" s="3067"/>
      <c r="N15" s="3067"/>
      <c r="O15" s="3067"/>
      <c r="P15" s="3067"/>
    </row>
    <row r="16" spans="1:16" ht="15.75" thickBot="1">
      <c r="A16" s="113"/>
      <c r="B16" s="118"/>
      <c r="C16" s="115" t="s">
        <v>215</v>
      </c>
      <c r="D16" s="115">
        <f>SUM(D8:D15)</f>
        <v>214384.13</v>
      </c>
      <c r="E16" s="120">
        <f>SUM(E8:E15)</f>
        <v>461591.08999999997</v>
      </c>
      <c r="F16" s="3067"/>
      <c r="G16" s="3068"/>
      <c r="H16" s="947" t="s">
        <v>219</v>
      </c>
      <c r="I16" s="948"/>
      <c r="J16" s="1883"/>
      <c r="K16" s="3724" t="s">
        <v>2542</v>
      </c>
      <c r="L16" s="3725"/>
      <c r="M16" s="3725"/>
      <c r="N16" s="3725"/>
      <c r="O16" s="3725"/>
      <c r="P16" s="3726"/>
    </row>
    <row r="17" spans="1:19" ht="15">
      <c r="A17" s="121" t="s">
        <v>216</v>
      </c>
      <c r="B17" s="122" t="s">
        <v>217</v>
      </c>
      <c r="C17" s="2163" t="s">
        <v>2297</v>
      </c>
      <c r="D17" s="108" t="s">
        <v>204</v>
      </c>
      <c r="E17" s="124" t="s">
        <v>205</v>
      </c>
      <c r="F17" s="125"/>
      <c r="G17" s="1308"/>
      <c r="H17" s="949" t="s">
        <v>218</v>
      </c>
      <c r="I17" s="950" t="s">
        <v>2296</v>
      </c>
      <c r="J17" s="1883"/>
      <c r="K17" s="3727" t="s">
        <v>2543</v>
      </c>
      <c r="L17" s="3728"/>
      <c r="M17" s="3729"/>
      <c r="N17" s="3727" t="s">
        <v>2544</v>
      </c>
      <c r="O17" s="3728"/>
      <c r="P17" s="3729"/>
      <c r="R17" s="2164" t="s">
        <v>2295</v>
      </c>
      <c r="S17" s="142"/>
    </row>
    <row r="18" spans="1:19" ht="15">
      <c r="A18" s="117"/>
      <c r="B18" s="128"/>
      <c r="C18" s="129"/>
      <c r="D18" s="2469"/>
      <c r="E18" s="130" t="s">
        <v>220</v>
      </c>
      <c r="F18" s="131" t="s">
        <v>221</v>
      </c>
      <c r="G18" s="1309" t="s">
        <v>222</v>
      </c>
      <c r="H18" s="951" t="s">
        <v>223</v>
      </c>
      <c r="I18" s="952" t="s">
        <v>224</v>
      </c>
      <c r="J18" s="1883"/>
      <c r="K18" s="2434" t="s">
        <v>2545</v>
      </c>
      <c r="L18" s="2435" t="s">
        <v>2546</v>
      </c>
      <c r="M18" s="2436" t="s">
        <v>2547</v>
      </c>
      <c r="N18" s="2434" t="s">
        <v>2545</v>
      </c>
      <c r="O18" s="2435" t="s">
        <v>2546</v>
      </c>
      <c r="P18" s="2436" t="s">
        <v>2547</v>
      </c>
      <c r="R18" s="2165" t="s">
        <v>2293</v>
      </c>
      <c r="S18" s="2165" t="s">
        <v>2294</v>
      </c>
    </row>
    <row r="19" spans="1:19">
      <c r="A19" s="133"/>
      <c r="B19" s="115" t="s">
        <v>225</v>
      </c>
      <c r="C19" s="2723" t="s">
        <v>3741</v>
      </c>
      <c r="D19" s="111">
        <f t="shared" ref="D19:D26" si="1">ROUND($D$3*E19/$E$3,2)</f>
        <v>199093.21</v>
      </c>
      <c r="E19" s="134">
        <f t="shared" ref="E19:E26" si="2">SUM(F19:G19)</f>
        <v>428668.15999999997</v>
      </c>
      <c r="F19" s="3069">
        <f>'数据-基础表'!I13</f>
        <v>428668.15999999997</v>
      </c>
      <c r="G19" s="3070"/>
      <c r="H19" s="953">
        <f>ROUND($D$3*I19/$E$3,2)</f>
        <v>0</v>
      </c>
      <c r="I19" s="116">
        <f>IF($I$17="自定义",P19,M19)</f>
        <v>0</v>
      </c>
      <c r="J19" s="1883"/>
      <c r="K19" s="2437">
        <f t="shared" ref="K19:K26" si="3">ROUND(E$28*E19/E$27,2)</f>
        <v>0</v>
      </c>
      <c r="L19" s="265">
        <f t="shared" ref="L19:L26" si="4">ROUND(IF(COUNTIF(C19,"*住宅*")&gt;0,E$29*E19/E$32,0),2)</f>
        <v>0</v>
      </c>
      <c r="M19" s="2438">
        <f>K19+L19</f>
        <v>0</v>
      </c>
      <c r="N19" s="2439"/>
      <c r="O19" s="2440"/>
      <c r="P19" s="2441">
        <f>N19+O19</f>
        <v>0</v>
      </c>
      <c r="R19" s="265">
        <f t="shared" ref="R19:S26" si="5">D19+H19</f>
        <v>199093.21</v>
      </c>
      <c r="S19" s="2166">
        <f t="shared" si="5"/>
        <v>428668.15999999997</v>
      </c>
    </row>
    <row r="20" spans="1:19">
      <c r="A20" s="137"/>
      <c r="B20" s="115" t="s">
        <v>226</v>
      </c>
      <c r="C20" s="2723" t="s">
        <v>3852</v>
      </c>
      <c r="D20" s="111">
        <f t="shared" si="1"/>
        <v>0</v>
      </c>
      <c r="E20" s="134">
        <f t="shared" si="2"/>
        <v>0</v>
      </c>
      <c r="F20" s="3069">
        <f>'数据-基础表'!K13</f>
        <v>0</v>
      </c>
      <c r="G20" s="3070"/>
      <c r="H20" s="953">
        <f t="shared" ref="H20:H26" si="6">ROUND($D$3*I20/$E$3,2)</f>
        <v>0</v>
      </c>
      <c r="I20" s="116">
        <f t="shared" ref="I20:I26" si="7">IF($I$17="自定义",P20,M20)</f>
        <v>0</v>
      </c>
      <c r="J20" s="1883"/>
      <c r="K20" s="2437">
        <f t="shared" si="3"/>
        <v>0</v>
      </c>
      <c r="L20" s="265">
        <f t="shared" si="4"/>
        <v>0</v>
      </c>
      <c r="M20" s="2438">
        <f t="shared" ref="M20:M26" si="8">K20+L20</f>
        <v>0</v>
      </c>
      <c r="N20" s="2439"/>
      <c r="O20" s="2440"/>
      <c r="P20" s="2441">
        <f t="shared" ref="P20:P26" si="9">N20+O20</f>
        <v>0</v>
      </c>
      <c r="R20" s="265">
        <f t="shared" si="5"/>
        <v>0</v>
      </c>
      <c r="S20" s="2166">
        <f t="shared" si="5"/>
        <v>0</v>
      </c>
    </row>
    <row r="21" spans="1:19">
      <c r="A21" s="137"/>
      <c r="B21" s="115" t="s">
        <v>226</v>
      </c>
      <c r="C21" s="2723" t="s">
        <v>3853</v>
      </c>
      <c r="D21" s="111">
        <f t="shared" si="1"/>
        <v>0</v>
      </c>
      <c r="E21" s="134">
        <f t="shared" si="2"/>
        <v>0</v>
      </c>
      <c r="F21" s="3069">
        <f>'数据-基础表'!M13</f>
        <v>0</v>
      </c>
      <c r="G21" s="3070"/>
      <c r="H21" s="953">
        <f t="shared" si="6"/>
        <v>0</v>
      </c>
      <c r="I21" s="116">
        <f t="shared" si="7"/>
        <v>0</v>
      </c>
      <c r="J21" s="1883"/>
      <c r="K21" s="2437">
        <f t="shared" si="3"/>
        <v>0</v>
      </c>
      <c r="L21" s="265">
        <f t="shared" si="4"/>
        <v>0</v>
      </c>
      <c r="M21" s="2438">
        <f t="shared" si="8"/>
        <v>0</v>
      </c>
      <c r="N21" s="2439"/>
      <c r="O21" s="2440"/>
      <c r="P21" s="2441">
        <f t="shared" si="9"/>
        <v>0</v>
      </c>
      <c r="R21" s="265">
        <f t="shared" si="5"/>
        <v>0</v>
      </c>
      <c r="S21" s="2166">
        <f t="shared" si="5"/>
        <v>0</v>
      </c>
    </row>
    <row r="22" spans="1:19">
      <c r="A22" s="137"/>
      <c r="B22" s="115" t="s">
        <v>226</v>
      </c>
      <c r="C22" s="2723" t="s">
        <v>3854</v>
      </c>
      <c r="D22" s="111">
        <f t="shared" si="1"/>
        <v>0</v>
      </c>
      <c r="E22" s="134">
        <f t="shared" si="2"/>
        <v>0</v>
      </c>
      <c r="F22" s="3071">
        <f>'数据-基础表'!O13</f>
        <v>0</v>
      </c>
      <c r="G22" s="3072"/>
      <c r="H22" s="953">
        <f t="shared" si="6"/>
        <v>0</v>
      </c>
      <c r="I22" s="116">
        <f t="shared" si="7"/>
        <v>0</v>
      </c>
      <c r="J22" s="1883"/>
      <c r="K22" s="2437">
        <f t="shared" si="3"/>
        <v>0</v>
      </c>
      <c r="L22" s="265">
        <f t="shared" si="4"/>
        <v>0</v>
      </c>
      <c r="M22" s="2438">
        <f t="shared" si="8"/>
        <v>0</v>
      </c>
      <c r="N22" s="2439"/>
      <c r="O22" s="2440"/>
      <c r="P22" s="2441">
        <f t="shared" si="9"/>
        <v>0</v>
      </c>
      <c r="R22" s="265">
        <f t="shared" si="5"/>
        <v>0</v>
      </c>
      <c r="S22" s="2166">
        <f t="shared" si="5"/>
        <v>0</v>
      </c>
    </row>
    <row r="23" spans="1:19">
      <c r="A23" s="137"/>
      <c r="B23" s="115" t="s">
        <v>226</v>
      </c>
      <c r="C23" s="2723" t="s">
        <v>3855</v>
      </c>
      <c r="D23" s="111">
        <f>ROUND($D$3*E23/$E$3,2)</f>
        <v>15290.92</v>
      </c>
      <c r="E23" s="134">
        <f>SUM(F23:G23)</f>
        <v>32922.93</v>
      </c>
      <c r="F23" s="3071">
        <f>'数据-基础表'!Q13</f>
        <v>32922.93</v>
      </c>
      <c r="G23" s="3072"/>
      <c r="H23" s="953">
        <f>ROUND($D$3*I23/$E$3,2)</f>
        <v>0</v>
      </c>
      <c r="I23" s="116">
        <f t="shared" si="7"/>
        <v>0</v>
      </c>
      <c r="J23" s="1883"/>
      <c r="K23" s="2437">
        <f t="shared" si="3"/>
        <v>0</v>
      </c>
      <c r="L23" s="265">
        <f t="shared" si="4"/>
        <v>0</v>
      </c>
      <c r="M23" s="2438">
        <f t="shared" si="8"/>
        <v>0</v>
      </c>
      <c r="N23" s="2439"/>
      <c r="O23" s="2440"/>
      <c r="P23" s="2441">
        <f t="shared" si="9"/>
        <v>0</v>
      </c>
      <c r="R23" s="265">
        <f t="shared" si="5"/>
        <v>15290.92</v>
      </c>
      <c r="S23" s="2166">
        <f t="shared" si="5"/>
        <v>32922.93</v>
      </c>
    </row>
    <row r="24" spans="1:19">
      <c r="A24" s="137"/>
      <c r="B24" s="115" t="s">
        <v>226</v>
      </c>
      <c r="C24" s="2723" t="s">
        <v>3856</v>
      </c>
      <c r="D24" s="111">
        <f>ROUND($D$3*E24/$E$3,2)</f>
        <v>0</v>
      </c>
      <c r="E24" s="134">
        <f>SUM(F24:G24)</f>
        <v>0</v>
      </c>
      <c r="F24" s="3071"/>
      <c r="G24" s="3072">
        <f>'数据-基础表'!S13</f>
        <v>0</v>
      </c>
      <c r="H24" s="953">
        <f>ROUND($D$3*I24/$E$3,2)</f>
        <v>0</v>
      </c>
      <c r="I24" s="116">
        <f t="shared" si="7"/>
        <v>0</v>
      </c>
      <c r="J24" s="1883"/>
      <c r="K24" s="2437">
        <f t="shared" si="3"/>
        <v>0</v>
      </c>
      <c r="L24" s="265">
        <f t="shared" si="4"/>
        <v>0</v>
      </c>
      <c r="M24" s="2438">
        <f t="shared" si="8"/>
        <v>0</v>
      </c>
      <c r="N24" s="2439"/>
      <c r="O24" s="2440"/>
      <c r="P24" s="2441">
        <f t="shared" si="9"/>
        <v>0</v>
      </c>
      <c r="R24" s="265">
        <f t="shared" si="5"/>
        <v>0</v>
      </c>
      <c r="S24" s="2166">
        <f t="shared" si="5"/>
        <v>0</v>
      </c>
    </row>
    <row r="25" spans="1:19">
      <c r="A25" s="137"/>
      <c r="B25" s="115" t="s">
        <v>226</v>
      </c>
      <c r="C25" s="138"/>
      <c r="D25" s="111">
        <f t="shared" si="1"/>
        <v>0</v>
      </c>
      <c r="E25" s="134">
        <f t="shared" si="2"/>
        <v>0</v>
      </c>
      <c r="F25" s="3071"/>
      <c r="G25" s="3072"/>
      <c r="H25" s="110">
        <f t="shared" si="6"/>
        <v>0</v>
      </c>
      <c r="I25" s="116">
        <f t="shared" si="7"/>
        <v>0</v>
      </c>
      <c r="J25" s="1883"/>
      <c r="K25" s="2437">
        <f t="shared" si="3"/>
        <v>0</v>
      </c>
      <c r="L25" s="265">
        <f t="shared" si="4"/>
        <v>0</v>
      </c>
      <c r="M25" s="2438">
        <f t="shared" si="8"/>
        <v>0</v>
      </c>
      <c r="N25" s="2439"/>
      <c r="O25" s="2440"/>
      <c r="P25" s="2441">
        <f t="shared" si="9"/>
        <v>0</v>
      </c>
      <c r="R25" s="265">
        <f t="shared" si="5"/>
        <v>0</v>
      </c>
      <c r="S25" s="2166">
        <f t="shared" si="5"/>
        <v>0</v>
      </c>
    </row>
    <row r="26" spans="1:19">
      <c r="A26" s="137"/>
      <c r="B26" s="115" t="s">
        <v>226</v>
      </c>
      <c r="C26" s="140"/>
      <c r="D26" s="111">
        <f t="shared" si="1"/>
        <v>0</v>
      </c>
      <c r="E26" s="134">
        <f t="shared" si="2"/>
        <v>0</v>
      </c>
      <c r="F26" s="3071"/>
      <c r="G26" s="3072"/>
      <c r="H26" s="110">
        <f t="shared" si="6"/>
        <v>0</v>
      </c>
      <c r="I26" s="116">
        <f t="shared" si="7"/>
        <v>0</v>
      </c>
      <c r="J26" s="1883"/>
      <c r="K26" s="2442">
        <f t="shared" si="3"/>
        <v>0</v>
      </c>
      <c r="L26" s="270">
        <f t="shared" si="4"/>
        <v>0</v>
      </c>
      <c r="M26" s="144">
        <f t="shared" si="8"/>
        <v>0</v>
      </c>
      <c r="N26" s="2443"/>
      <c r="O26" s="2444"/>
      <c r="P26" s="2445">
        <f t="shared" si="9"/>
        <v>0</v>
      </c>
      <c r="R26" s="265">
        <f t="shared" si="5"/>
        <v>0</v>
      </c>
      <c r="S26" s="2166">
        <f t="shared" si="5"/>
        <v>0</v>
      </c>
    </row>
    <row r="27" spans="1:19" ht="15.75" thickBot="1">
      <c r="A27" s="137"/>
      <c r="B27" s="111"/>
      <c r="C27" s="127" t="s">
        <v>215</v>
      </c>
      <c r="D27" s="134">
        <f>SUM(D19:D26)</f>
        <v>214384.13</v>
      </c>
      <c r="E27" s="141">
        <f>IF(SUM(E19:E26)='数据-基础表'!BA5,SUM(E19:E26),IF(F27="地上面积有误","面积有误","地下面积有误"))</f>
        <v>461591.08999999997</v>
      </c>
      <c r="F27" s="134">
        <f>IF(SUM(F19:F26)=E8,SUM(F19:F26),"地上面积有误")</f>
        <v>461591.08999999997</v>
      </c>
      <c r="G27" s="112">
        <f>SUM(G19:G26)</f>
        <v>0</v>
      </c>
      <c r="H27" s="954">
        <f>SUM(H19:H26)</f>
        <v>0</v>
      </c>
      <c r="I27" s="955">
        <f>SUM(I19:I26)</f>
        <v>0</v>
      </c>
      <c r="J27" s="1883"/>
      <c r="K27" s="2446">
        <f>SUM(K19:K26)</f>
        <v>0</v>
      </c>
      <c r="L27" s="2447">
        <f>SUM(L19:L26)</f>
        <v>0</v>
      </c>
      <c r="M27" s="2448">
        <f>SUM(M19:M26)</f>
        <v>0</v>
      </c>
      <c r="N27" s="2446">
        <f t="shared" ref="N27:O27" si="10">SUM(N19:N26)</f>
        <v>0</v>
      </c>
      <c r="O27" s="2447">
        <f t="shared" si="10"/>
        <v>0</v>
      </c>
      <c r="P27" s="2449">
        <f>SUM(P19:P26)</f>
        <v>0</v>
      </c>
      <c r="R27" s="2170">
        <f>IF(SUM(R19:R26)=$D$3,SUM(R19:R26),SUM(R19:R26)&amp;"误差"&amp;ROUND(SUM(R19:R26)-$D$3,2))</f>
        <v>214384.13</v>
      </c>
      <c r="S27" s="265">
        <f>IF(SUM(S19:S26)=$E$3,SUM(S19:S26),SUM(S19:S26)&amp;"误差"&amp;ROUND(SUM(S19:S26)-E3,2))</f>
        <v>461591.08999999997</v>
      </c>
    </row>
    <row r="28" spans="1:19">
      <c r="A28" s="137"/>
      <c r="B28" s="115" t="s">
        <v>227</v>
      </c>
      <c r="C28" s="135" t="s">
        <v>228</v>
      </c>
      <c r="D28" s="111">
        <f>ROUND($D$3*E28/$E$3,2)</f>
        <v>0</v>
      </c>
      <c r="E28" s="134">
        <f>SUM(F28:G28)</f>
        <v>0</v>
      </c>
      <c r="F28" s="142">
        <f>'数据-基础表'!BQ5+'数据-基础表'!BS5</f>
        <v>0</v>
      </c>
      <c r="G28" s="143">
        <f>'数据-基础表'!BR5+'数据-基础表'!BT5</f>
        <v>0</v>
      </c>
      <c r="H28" s="3067"/>
      <c r="I28" s="3067"/>
      <c r="J28" s="3067"/>
      <c r="K28" s="3067"/>
      <c r="L28" s="3067"/>
      <c r="M28" s="3067"/>
      <c r="N28" s="3067"/>
      <c r="O28" s="3067"/>
      <c r="P28" s="3067"/>
    </row>
    <row r="29" spans="1:19">
      <c r="A29" s="137"/>
      <c r="B29" s="115" t="s">
        <v>227</v>
      </c>
      <c r="C29" s="2178" t="s">
        <v>2304</v>
      </c>
      <c r="D29" s="111">
        <f>ROUND($D$3*E29/$E$3,2)</f>
        <v>0</v>
      </c>
      <c r="E29" s="134">
        <f>SUM(F29:G29)</f>
        <v>0</v>
      </c>
      <c r="F29" s="142">
        <f>'数据-基础表'!BM5+'数据-基础表'!BO5</f>
        <v>0</v>
      </c>
      <c r="G29" s="144">
        <f>'数据-基础表'!BN5+'数据-基础表'!BP5</f>
        <v>0</v>
      </c>
      <c r="H29" s="3067"/>
      <c r="I29" s="3067"/>
      <c r="J29" s="3067"/>
      <c r="K29" s="3067"/>
      <c r="L29" s="3067"/>
      <c r="M29" s="3067"/>
      <c r="N29" s="3067"/>
      <c r="O29" s="3067"/>
      <c r="P29" s="3067"/>
    </row>
    <row r="30" spans="1:19">
      <c r="A30" s="137"/>
      <c r="B30" s="111"/>
      <c r="C30" s="145" t="s">
        <v>215</v>
      </c>
      <c r="D30" s="134">
        <f>SUM(D28:D29)</f>
        <v>0</v>
      </c>
      <c r="E30" s="134">
        <f>SUM(E28:E29)</f>
        <v>0</v>
      </c>
      <c r="F30" s="134">
        <f>SUM(F28:F29)</f>
        <v>0</v>
      </c>
      <c r="G30" s="112">
        <f>SUM(G28:G29)</f>
        <v>0</v>
      </c>
      <c r="H30" s="3067"/>
      <c r="I30" s="3067"/>
      <c r="J30" s="3067"/>
      <c r="K30" s="3067"/>
      <c r="L30" s="3067"/>
      <c r="M30" s="3067"/>
      <c r="N30" s="3067"/>
      <c r="O30" s="3067"/>
      <c r="P30" s="3067"/>
    </row>
    <row r="31" spans="1:19" ht="32.25" customHeight="1" thickBot="1">
      <c r="A31" s="1310"/>
      <c r="B31" s="1311" t="s">
        <v>229</v>
      </c>
      <c r="C31" s="2195" t="s">
        <v>2306</v>
      </c>
      <c r="D31" s="1312">
        <f>D27+D30</f>
        <v>214384.13</v>
      </c>
      <c r="E31" s="1312">
        <f>E27+E30</f>
        <v>461591.08999999997</v>
      </c>
      <c r="F31" s="1313">
        <f>F27+F30</f>
        <v>461591.08999999997</v>
      </c>
      <c r="G31" s="1314">
        <f>G27+G30</f>
        <v>0</v>
      </c>
      <c r="H31" s="3067"/>
      <c r="I31" s="3067"/>
      <c r="J31" s="3067"/>
      <c r="K31" s="3067"/>
      <c r="L31" s="3067"/>
      <c r="M31" s="3067"/>
      <c r="N31" s="3067"/>
      <c r="O31" s="3067"/>
      <c r="P31" s="3067"/>
    </row>
    <row r="32" spans="1:19">
      <c r="A32" s="1883"/>
      <c r="B32" s="2207" t="s">
        <v>2305</v>
      </c>
      <c r="C32" s="2474"/>
      <c r="D32" s="1175"/>
      <c r="E32" s="1175">
        <f>SUMIF(C19:C26,"*住宅*",E19:E26)</f>
        <v>428668.15999999997</v>
      </c>
      <c r="F32" s="1175"/>
      <c r="G32" s="1175"/>
      <c r="H32" s="3067"/>
      <c r="I32" s="3067"/>
      <c r="J32" s="3067"/>
      <c r="K32" s="3067"/>
      <c r="L32" s="3067"/>
      <c r="M32" s="3067"/>
      <c r="N32" s="3067"/>
      <c r="O32" s="3067"/>
      <c r="P32" s="3067"/>
    </row>
    <row r="33" spans="4:4">
      <c r="D33" s="188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15" priority="1" stopIfTrue="1" operator="containsText" text="面积有误">
      <formula>NOT(ISERROR(SEARCH("面积有误",E27)))</formula>
    </cfRule>
    <cfRule type="cellIs" dxfId="214" priority="3" stopIfTrue="1" operator="equal">
      <formula>"地下面积有误"</formula>
    </cfRule>
  </conditionalFormatting>
  <conditionalFormatting sqref="F27">
    <cfRule type="cellIs" dxfId="213"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115" zoomScaleNormal="115" workbookViewId="0">
      <pane xSplit="3" ySplit="5" topLeftCell="J30" activePane="bottomRight" state="frozen"/>
      <selection pane="topRight" activeCell="D1" sqref="D1"/>
      <selection pane="bottomLeft" activeCell="A4" sqref="A4"/>
      <selection pane="bottomRight" activeCell="C37" sqref="C37"/>
    </sheetView>
  </sheetViews>
  <sheetFormatPr defaultRowHeight="12.75"/>
  <cols>
    <col min="1" max="1" width="20.875" style="1190" customWidth="1"/>
    <col min="2" max="3" width="12" style="1177" customWidth="1"/>
    <col min="4" max="4" width="9.125" style="1191" customWidth="1"/>
    <col min="5" max="5" width="15" style="1177" bestFit="1" customWidth="1"/>
    <col min="6" max="10" width="8.875" style="1177" customWidth="1"/>
    <col min="11" max="12" width="12.375" style="1192" customWidth="1"/>
    <col min="13" max="13" width="8.625" style="1177" customWidth="1"/>
    <col min="14" max="14" width="9.75" style="1177" customWidth="1"/>
    <col min="15" max="16" width="9.625" style="1177" customWidth="1"/>
    <col min="17" max="17" width="10.875" style="1177" customWidth="1"/>
    <col min="18" max="19" width="12.5" style="1177" customWidth="1"/>
    <col min="20" max="20" width="12.125" style="1177" customWidth="1"/>
    <col min="21" max="21" width="7.5" style="1177" customWidth="1"/>
    <col min="22" max="22" width="6.375" style="1177" customWidth="1"/>
    <col min="23" max="24" width="6.75" style="1177" customWidth="1"/>
    <col min="25" max="25" width="8.125" style="1177" customWidth="1"/>
    <col min="26" max="30" width="6.75" style="1177" customWidth="1"/>
    <col min="31" max="31" width="6.5" style="1177" customWidth="1"/>
    <col min="32" max="34" width="7.25" style="1177" customWidth="1"/>
    <col min="35" max="39" width="8" style="1177" customWidth="1"/>
    <col min="40" max="41" width="13.75" style="1893"/>
    <col min="42" max="42" width="13.75" style="1893" customWidth="1"/>
    <col min="43" max="83" width="9" style="1893"/>
    <col min="84" max="16384" width="9" style="1177"/>
  </cols>
  <sheetData>
    <row r="1" spans="1:83" ht="19.5" thickBot="1">
      <c r="A1" s="146" t="s">
        <v>234</v>
      </c>
      <c r="B1" s="1176"/>
      <c r="C1" s="1886"/>
      <c r="D1" s="1887"/>
      <c r="E1" s="1886"/>
      <c r="F1" s="1886"/>
      <c r="G1" s="1886"/>
      <c r="H1" s="1886"/>
      <c r="I1" s="1886"/>
      <c r="J1" s="1886"/>
      <c r="K1" s="1888"/>
      <c r="L1" s="1888"/>
      <c r="M1" s="1886"/>
      <c r="N1" s="1886"/>
      <c r="O1" s="1886"/>
      <c r="P1" s="1886"/>
      <c r="Q1" s="1886"/>
      <c r="R1" s="1886"/>
      <c r="S1" s="1886"/>
      <c r="T1" s="1886"/>
      <c r="U1" s="1886"/>
      <c r="V1" s="1886"/>
      <c r="W1" s="1886"/>
      <c r="X1" s="1886"/>
      <c r="Y1" s="1886"/>
      <c r="Z1" s="1886"/>
      <c r="AA1" s="1886"/>
      <c r="AB1" s="1886"/>
      <c r="AC1" s="1886"/>
      <c r="AD1" s="1886"/>
      <c r="AE1" s="1886"/>
      <c r="AF1" s="1886"/>
      <c r="AG1" s="1886"/>
      <c r="AH1" s="1886"/>
      <c r="AI1" s="1886"/>
      <c r="AJ1" s="1886"/>
      <c r="AK1" s="1886"/>
      <c r="AL1" s="1886"/>
      <c r="AM1" s="1886"/>
      <c r="AN1" s="3074"/>
      <c r="AO1" s="3074"/>
      <c r="AP1" s="3074"/>
      <c r="AQ1" s="3074"/>
      <c r="AR1" s="3074"/>
      <c r="AS1" s="3074"/>
      <c r="AT1" s="3074"/>
      <c r="AU1" s="3074"/>
      <c r="AV1" s="3074"/>
      <c r="AW1" s="3074"/>
      <c r="AX1" s="3074"/>
      <c r="AY1" s="3074"/>
      <c r="AZ1" s="3074"/>
    </row>
    <row r="2" spans="1:83" s="1180" customFormat="1" ht="15.75" thickBot="1">
      <c r="A2" s="147" t="s">
        <v>235</v>
      </c>
      <c r="B2" s="2203">
        <f>项目基本情况!D3</f>
        <v>44191</v>
      </c>
      <c r="C2" s="1889"/>
      <c r="D2" s="1890"/>
      <c r="E2" s="1889"/>
      <c r="F2" s="1889"/>
      <c r="G2" s="1889"/>
      <c r="H2" s="1889"/>
      <c r="I2" s="1889"/>
      <c r="J2" s="1889"/>
      <c r="K2" s="1891"/>
      <c r="L2" s="1891"/>
      <c r="M2" s="1889"/>
      <c r="N2" s="1889"/>
      <c r="O2" s="1889"/>
      <c r="P2" s="1889"/>
      <c r="Q2" s="1889"/>
      <c r="R2" s="1889"/>
      <c r="S2" s="1889"/>
      <c r="T2" s="1889"/>
      <c r="U2" s="1889"/>
      <c r="V2" s="1889"/>
      <c r="W2" s="1889"/>
      <c r="X2" s="1889"/>
      <c r="Y2" s="1889"/>
      <c r="Z2" s="1889"/>
      <c r="AA2" s="1889"/>
      <c r="AB2" s="1889"/>
      <c r="AC2" s="1889"/>
      <c r="AD2" s="1889"/>
      <c r="AE2" s="1889"/>
      <c r="AF2" s="1889"/>
      <c r="AG2" s="1889"/>
      <c r="AH2" s="1889"/>
      <c r="AI2" s="1889"/>
      <c r="AJ2" s="1889"/>
      <c r="AK2" s="1889"/>
      <c r="AL2" s="1889"/>
      <c r="AM2" s="1889"/>
      <c r="AN2" s="3077"/>
      <c r="AO2" s="3077"/>
      <c r="AP2" s="3077"/>
      <c r="AQ2" s="3077"/>
      <c r="AR2" s="3077"/>
      <c r="AS2" s="3077"/>
      <c r="AT2" s="3077"/>
      <c r="AU2" s="3077"/>
      <c r="AV2" s="3077"/>
      <c r="AW2" s="3077"/>
      <c r="AX2" s="3077"/>
      <c r="AY2" s="3077"/>
      <c r="AZ2" s="3077"/>
      <c r="BA2" s="1895"/>
      <c r="BB2" s="1895"/>
      <c r="BC2" s="1895"/>
      <c r="BD2" s="1895"/>
      <c r="BE2" s="1895"/>
      <c r="BF2" s="1895"/>
      <c r="BG2" s="1895"/>
      <c r="BH2" s="1895"/>
      <c r="BI2" s="1895"/>
      <c r="BJ2" s="1895"/>
      <c r="BK2" s="1895"/>
      <c r="BL2" s="1895"/>
      <c r="BM2" s="1895"/>
      <c r="BN2" s="1895"/>
      <c r="BO2" s="1895"/>
      <c r="BP2" s="1895"/>
      <c r="BQ2" s="1895"/>
      <c r="BR2" s="1895"/>
      <c r="BS2" s="1895"/>
      <c r="BT2" s="1895"/>
      <c r="BU2" s="1895"/>
      <c r="BV2" s="1895"/>
      <c r="BW2" s="1895"/>
      <c r="BX2" s="1895"/>
      <c r="BY2" s="1895"/>
      <c r="BZ2" s="1895"/>
      <c r="CA2" s="1895"/>
      <c r="CB2" s="1895"/>
      <c r="CC2" s="1895"/>
      <c r="CD2" s="1895"/>
      <c r="CE2" s="1895"/>
    </row>
    <row r="3" spans="1:83" s="1180" customFormat="1" ht="15" thickBot="1">
      <c r="A3" s="1181"/>
      <c r="B3" s="1178"/>
      <c r="C3" s="1889"/>
      <c r="D3" s="1890"/>
      <c r="E3" s="1889"/>
      <c r="F3" s="1889"/>
      <c r="G3" s="1889"/>
      <c r="H3" s="1889"/>
      <c r="I3" s="1889"/>
      <c r="J3" s="1889"/>
      <c r="K3" s="1891"/>
      <c r="L3" s="1891"/>
      <c r="M3" s="1889"/>
      <c r="N3" s="1889"/>
      <c r="O3" s="1889"/>
      <c r="P3" s="1889"/>
      <c r="Q3" s="1889"/>
      <c r="R3" s="1889"/>
      <c r="S3" s="1889"/>
      <c r="T3" s="1889"/>
      <c r="U3" s="1889"/>
      <c r="V3" s="1889"/>
      <c r="W3" s="1889"/>
      <c r="X3" s="1889"/>
      <c r="Y3" s="1889"/>
      <c r="Z3" s="1889"/>
      <c r="AA3" s="1889"/>
      <c r="AB3" s="1889"/>
      <c r="AC3" s="1889"/>
      <c r="AD3" s="1889"/>
      <c r="AE3" s="1889"/>
      <c r="AF3" s="1889"/>
      <c r="AG3" s="1889"/>
      <c r="AH3" s="1889"/>
      <c r="AI3" s="1889"/>
      <c r="AJ3" s="1889"/>
      <c r="AK3" s="1889"/>
      <c r="AL3" s="1889"/>
      <c r="AM3" s="1889"/>
      <c r="AN3" s="3077"/>
      <c r="AO3" s="3077"/>
      <c r="AP3" s="3077"/>
      <c r="AQ3" s="3077"/>
      <c r="AR3" s="3077"/>
      <c r="AS3" s="3077"/>
      <c r="AT3" s="3077"/>
      <c r="AU3" s="3077"/>
      <c r="AV3" s="3077"/>
      <c r="AW3" s="3077"/>
      <c r="AX3" s="3077"/>
      <c r="AY3" s="3077"/>
      <c r="AZ3" s="3077"/>
      <c r="BA3" s="1895"/>
      <c r="BB3" s="1895"/>
      <c r="BC3" s="1895"/>
      <c r="BD3" s="1895"/>
      <c r="BE3" s="1895"/>
      <c r="BF3" s="1895"/>
      <c r="BG3" s="1895"/>
      <c r="BH3" s="1895"/>
      <c r="BI3" s="1895"/>
      <c r="BJ3" s="1895"/>
      <c r="BK3" s="1895"/>
      <c r="BL3" s="1895"/>
      <c r="BM3" s="1895"/>
      <c r="BN3" s="1895"/>
      <c r="BO3" s="1895"/>
      <c r="BP3" s="1895"/>
      <c r="BQ3" s="1895"/>
      <c r="BR3" s="1895"/>
      <c r="BS3" s="1895"/>
      <c r="BT3" s="1895"/>
      <c r="BU3" s="1895"/>
      <c r="BV3" s="1895"/>
      <c r="BW3" s="1895"/>
      <c r="BX3" s="1895"/>
      <c r="BY3" s="1895"/>
      <c r="BZ3" s="1895"/>
      <c r="CA3" s="1895"/>
      <c r="CB3" s="1895"/>
      <c r="CC3" s="1895"/>
      <c r="CD3" s="1895"/>
      <c r="CE3" s="1895"/>
    </row>
    <row r="4" spans="1:83" s="1180" customFormat="1" ht="15" thickBot="1">
      <c r="A4" s="148" t="s">
        <v>855</v>
      </c>
      <c r="B4" s="150"/>
      <c r="C4" s="151"/>
      <c r="D4" s="1182"/>
      <c r="E4" s="1183" t="s">
        <v>856</v>
      </c>
      <c r="F4" s="151"/>
      <c r="G4" s="151"/>
      <c r="H4" s="151"/>
      <c r="I4" s="151"/>
      <c r="J4" s="152"/>
      <c r="K4" s="1184"/>
      <c r="L4" s="1185"/>
      <c r="M4" s="151"/>
      <c r="N4" s="1183" t="s">
        <v>857</v>
      </c>
      <c r="O4" s="151"/>
      <c r="P4" s="151"/>
      <c r="Q4" s="151"/>
      <c r="R4" s="151"/>
      <c r="S4" s="152"/>
      <c r="T4" s="956" t="str">
        <f>'数据-汇总表'!I17</f>
        <v>按面积比例</v>
      </c>
      <c r="U4" s="150" t="s">
        <v>858</v>
      </c>
      <c r="V4" s="151"/>
      <c r="W4" s="151"/>
      <c r="X4" s="151"/>
      <c r="Y4" s="152"/>
      <c r="Z4" s="123" t="s">
        <v>859</v>
      </c>
      <c r="AA4" s="123"/>
      <c r="AB4" s="123"/>
      <c r="AC4" s="123"/>
      <c r="AD4" s="123"/>
      <c r="AE4" s="121" t="s">
        <v>860</v>
      </c>
      <c r="AF4" s="123"/>
      <c r="AG4" s="153"/>
      <c r="AH4" s="150"/>
      <c r="AI4" s="151"/>
      <c r="AJ4" s="151"/>
      <c r="AK4" s="151"/>
      <c r="AL4" s="151"/>
      <c r="AM4" s="152"/>
      <c r="AN4" s="3077"/>
      <c r="AO4" s="3077"/>
      <c r="AP4" s="3077"/>
      <c r="AQ4" s="3077"/>
      <c r="AR4" s="3077"/>
      <c r="AS4" s="3077"/>
      <c r="AT4" s="3077"/>
      <c r="AU4" s="3077"/>
      <c r="AV4" s="3077"/>
      <c r="AW4" s="3077"/>
      <c r="AX4" s="3077"/>
      <c r="AY4" s="3077"/>
      <c r="AZ4" s="3077"/>
      <c r="BA4" s="1895"/>
      <c r="BB4" s="1895"/>
      <c r="BC4" s="1895"/>
      <c r="BD4" s="1895"/>
      <c r="BE4" s="1895"/>
      <c r="BF4" s="1895"/>
      <c r="BG4" s="1895"/>
      <c r="BH4" s="1895"/>
      <c r="BI4" s="1895"/>
      <c r="BJ4" s="1895"/>
      <c r="BK4" s="1895"/>
      <c r="BL4" s="1895"/>
      <c r="BM4" s="1895"/>
      <c r="BN4" s="1895"/>
      <c r="BO4" s="1895"/>
      <c r="BP4" s="1895"/>
      <c r="BQ4" s="1895"/>
      <c r="BR4" s="1895"/>
      <c r="BS4" s="1895"/>
      <c r="BT4" s="1895"/>
      <c r="BU4" s="1895"/>
      <c r="BV4" s="1895"/>
      <c r="BW4" s="1895"/>
      <c r="BX4" s="1895"/>
      <c r="BY4" s="1895"/>
      <c r="BZ4" s="1895"/>
      <c r="CA4" s="1895"/>
      <c r="CB4" s="1895"/>
      <c r="CC4" s="1895"/>
      <c r="CD4" s="1895"/>
      <c r="CE4" s="1895"/>
    </row>
    <row r="5" spans="1:83" s="1186" customFormat="1" ht="54">
      <c r="A5" s="2169" t="s">
        <v>2308</v>
      </c>
      <c r="B5" s="154" t="s">
        <v>236</v>
      </c>
      <c r="C5" s="155" t="s">
        <v>237</v>
      </c>
      <c r="D5" s="156" t="s">
        <v>238</v>
      </c>
      <c r="E5" s="157" t="s">
        <v>239</v>
      </c>
      <c r="F5" s="158" t="s">
        <v>240</v>
      </c>
      <c r="G5" s="157" t="s">
        <v>241</v>
      </c>
      <c r="H5" s="157" t="s">
        <v>853</v>
      </c>
      <c r="I5" s="157" t="s">
        <v>854</v>
      </c>
      <c r="J5" s="159" t="s">
        <v>242</v>
      </c>
      <c r="K5" s="160" t="s">
        <v>243</v>
      </c>
      <c r="L5" s="161" t="s">
        <v>244</v>
      </c>
      <c r="M5" s="162" t="s">
        <v>245</v>
      </c>
      <c r="N5" s="1193" t="s">
        <v>2801</v>
      </c>
      <c r="O5" s="161" t="s">
        <v>246</v>
      </c>
      <c r="P5" s="163" t="s">
        <v>247</v>
      </c>
      <c r="Q5" s="164" t="s">
        <v>248</v>
      </c>
      <c r="R5" s="165" t="s">
        <v>249</v>
      </c>
      <c r="S5" s="2450" t="s">
        <v>2548</v>
      </c>
      <c r="T5" s="166" t="s">
        <v>250</v>
      </c>
      <c r="U5" s="167" t="s">
        <v>251</v>
      </c>
      <c r="V5" s="157" t="s">
        <v>252</v>
      </c>
      <c r="W5" s="157" t="s">
        <v>253</v>
      </c>
      <c r="X5" s="1718"/>
      <c r="Y5" s="168" t="s">
        <v>254</v>
      </c>
      <c r="Z5" s="169" t="s">
        <v>255</v>
      </c>
      <c r="AA5" s="157" t="s">
        <v>252</v>
      </c>
      <c r="AB5" s="157" t="s">
        <v>253</v>
      </c>
      <c r="AC5" s="1719"/>
      <c r="AD5" s="170" t="s">
        <v>254</v>
      </c>
      <c r="AE5" s="1" t="s">
        <v>861</v>
      </c>
      <c r="AF5" s="157" t="s">
        <v>256</v>
      </c>
      <c r="AG5" s="168" t="s">
        <v>257</v>
      </c>
      <c r="AH5" s="1719" t="s">
        <v>2307</v>
      </c>
      <c r="AI5" s="169" t="s">
        <v>2277</v>
      </c>
      <c r="AJ5" s="169" t="s">
        <v>258</v>
      </c>
      <c r="AK5" s="157" t="s">
        <v>259</v>
      </c>
      <c r="AL5" s="157" t="s">
        <v>260</v>
      </c>
      <c r="AM5" s="170" t="s">
        <v>261</v>
      </c>
      <c r="AN5" s="2231" t="s">
        <v>2352</v>
      </c>
      <c r="AO5" s="3088"/>
      <c r="AP5" s="3073" t="s">
        <v>2965</v>
      </c>
      <c r="AQ5" s="3088"/>
      <c r="AR5" s="3088"/>
      <c r="AS5" s="3088"/>
      <c r="AT5" s="3088"/>
      <c r="AU5" s="3088"/>
      <c r="AV5" s="3088"/>
      <c r="AW5" s="3088"/>
      <c r="AX5" s="3088"/>
      <c r="AY5" s="3088"/>
      <c r="AZ5" s="3088"/>
      <c r="BA5" s="1896"/>
      <c r="BB5" s="1896"/>
      <c r="BC5" s="1896"/>
      <c r="BD5" s="1896"/>
      <c r="BE5" s="1896"/>
      <c r="BF5" s="1896"/>
      <c r="BG5" s="1896"/>
      <c r="BH5" s="1896"/>
      <c r="BI5" s="1896"/>
      <c r="BJ5" s="1896"/>
      <c r="BK5" s="1896"/>
      <c r="BL5" s="1896"/>
      <c r="BM5" s="1896"/>
      <c r="BN5" s="1896"/>
      <c r="BO5" s="1896"/>
      <c r="BP5" s="1896"/>
      <c r="BQ5" s="1896"/>
      <c r="BR5" s="1896"/>
      <c r="BS5" s="1896"/>
      <c r="BT5" s="1896"/>
      <c r="BU5" s="1896"/>
      <c r="BV5" s="1896"/>
      <c r="BW5" s="1896"/>
      <c r="BX5" s="1896"/>
      <c r="BY5" s="1896"/>
      <c r="BZ5" s="1896"/>
      <c r="CA5" s="1896"/>
      <c r="CB5" s="1896"/>
      <c r="CC5" s="1896"/>
      <c r="CD5" s="1896"/>
      <c r="CE5" s="1896"/>
    </row>
    <row r="6" spans="1:83" s="1180" customFormat="1" ht="14.25">
      <c r="A6" s="2167" t="str">
        <f>'数据-汇总表'!C19</f>
        <v>住宅-高层</v>
      </c>
      <c r="B6" s="2202" t="str">
        <f>IF(A6=0,"","经营性")</f>
        <v>经营性</v>
      </c>
      <c r="C6" s="171" t="s">
        <v>913</v>
      </c>
      <c r="D6" s="2173">
        <f>SUMIF(项目基本情况!D$15:I$15,C6,项目基本情况!D$18:I$18)</f>
        <v>70</v>
      </c>
      <c r="E6" s="2174">
        <f>IF(B6="","",SUMIF(项目基本情况!D$15:I$15,C6,项目基本情况!D$17:I$17))</f>
        <v>69757</v>
      </c>
      <c r="F6" s="172">
        <f>SUMIF(项目基本情况!D$15:I$15,C6,项目基本情况!D$19:I$19)</f>
        <v>70</v>
      </c>
      <c r="G6" s="173">
        <f>IF(ISERROR(ROUND(POWER(1+H6,D6-F6)*(POWER(1+H6,F6)-1)/(POWER(1+H6,D6)-1),3)),0,ROUND(POWER(1+H6,D6-F6)*(POWER(1+H6,F6)-1)/(POWER(1+H6,D6)-1),3))</f>
        <v>1</v>
      </c>
      <c r="H6" s="2724">
        <v>4.4999999999999998E-2</v>
      </c>
      <c r="I6" s="2724">
        <v>0.05</v>
      </c>
      <c r="J6" s="174"/>
      <c r="K6" s="177">
        <f>SUMIF('数据-汇总表'!C$19:C$33,'数据-取费表'!A6,'数据-汇总表'!E$19:E$33)</f>
        <v>428668.15999999997</v>
      </c>
      <c r="L6" s="3559">
        <v>3500</v>
      </c>
      <c r="M6" s="175">
        <f t="shared" ref="M6:M14" si="0">ROUND(K6*L6/10000,0)</f>
        <v>150034</v>
      </c>
      <c r="N6" s="2725">
        <v>0</v>
      </c>
      <c r="O6" s="175">
        <f>IF($N$5="成新度","——",ROUND(M6*N6,0))</f>
        <v>0</v>
      </c>
      <c r="P6" s="176">
        <f>IF($N$5="成新度","——",M6-O6)</f>
        <v>150034</v>
      </c>
      <c r="Q6" s="2726">
        <v>0.15</v>
      </c>
      <c r="R6" s="177">
        <f>SUMIF('数据-汇总表'!C$19:C$33,A6,'数据-汇总表'!R$19:R$33)</f>
        <v>199093.21</v>
      </c>
      <c r="S6" s="132">
        <f>IF('数据-汇总表'!$I$17="按面积比例",SUMIF('数据-汇总表'!C$19:C$33,A6,'数据-汇总表'!K$19:K$33),SUMIF('数据-汇总表'!C$19:C$33,A6,'数据-汇总表'!N$19:N$33))</f>
        <v>0</v>
      </c>
      <c r="T6" s="2099" t="str">
        <f>IF($T$4="按面积比例",IF(ISERROR(ROUND($M$14*S6/S$16,0)),"0",ROUND($M$14*S6/S$16,0)),"需自行计算录入")</f>
        <v>0</v>
      </c>
      <c r="U6" s="178"/>
      <c r="V6" s="179"/>
      <c r="W6" s="179"/>
      <c r="X6" s="2186"/>
      <c r="Y6" s="180"/>
      <c r="Z6" s="181"/>
      <c r="AA6" s="174"/>
      <c r="AB6" s="174"/>
      <c r="AC6" s="2189"/>
      <c r="AD6" s="182"/>
      <c r="AE6" s="951">
        <f ca="1">IF(AN6="",0,SUMIF(INDIRECT("'"&amp;AN6&amp;"'"&amp;"!E:E"),$AE$5,INDIRECT("'"&amp;AN6&amp;"'"&amp;"!F:F")))</f>
        <v>0</v>
      </c>
      <c r="AF6" s="139"/>
      <c r="AG6" s="1187">
        <f>IF(AF6="",0,AE6-AF6)</f>
        <v>0</v>
      </c>
      <c r="AH6" s="139"/>
      <c r="AI6" s="185"/>
      <c r="AJ6" s="186"/>
      <c r="AK6" s="187"/>
      <c r="AL6" s="188"/>
      <c r="AM6" s="2737"/>
      <c r="AN6" s="2232"/>
      <c r="AO6" s="3077"/>
      <c r="AP6" s="1178">
        <f>ROUND(1-1/(1+H6)^F6,3)</f>
        <v>0.95399999999999996</v>
      </c>
      <c r="AQ6" s="3077"/>
      <c r="AR6" s="3077"/>
      <c r="AS6" s="3077"/>
      <c r="AT6" s="3077"/>
      <c r="AU6" s="3077"/>
      <c r="AV6" s="3077"/>
      <c r="AW6" s="3077"/>
      <c r="AX6" s="3077"/>
      <c r="AY6" s="3077"/>
      <c r="AZ6" s="3077"/>
      <c r="BA6" s="1895"/>
      <c r="BB6" s="1895"/>
      <c r="BC6" s="1895"/>
      <c r="BD6" s="1895"/>
      <c r="BE6" s="1895"/>
      <c r="BF6" s="1895"/>
      <c r="BG6" s="1895"/>
      <c r="BH6" s="1895"/>
      <c r="BI6" s="1895"/>
      <c r="BJ6" s="1895"/>
      <c r="BK6" s="1895"/>
      <c r="BL6" s="1895"/>
      <c r="BM6" s="1895"/>
      <c r="BN6" s="1895"/>
      <c r="BO6" s="1895"/>
      <c r="BP6" s="1895"/>
      <c r="BQ6" s="1895"/>
      <c r="BR6" s="1895"/>
      <c r="BS6" s="1895"/>
      <c r="BT6" s="1895"/>
      <c r="BU6" s="1895"/>
      <c r="BV6" s="1895"/>
      <c r="BW6" s="1895"/>
      <c r="BX6" s="1895"/>
      <c r="BY6" s="1895"/>
      <c r="BZ6" s="1895"/>
      <c r="CA6" s="1895"/>
      <c r="CB6" s="1895"/>
      <c r="CC6" s="1895"/>
      <c r="CD6" s="1895"/>
      <c r="CE6" s="1895"/>
    </row>
    <row r="7" spans="1:83" s="1180" customFormat="1" ht="14.25">
      <c r="A7" s="2167" t="str">
        <f>'数据-汇总表'!C20</f>
        <v>住宅-小高层</v>
      </c>
      <c r="B7" s="2202" t="str">
        <f t="shared" ref="B7:B13" si="1">IF(A7=0,"","经营性")</f>
        <v>经营性</v>
      </c>
      <c r="C7" s="171" t="s">
        <v>913</v>
      </c>
      <c r="D7" s="2173">
        <f>SUMIF(项目基本情况!D$15:I$15,C7,项目基本情况!D$18:I$18)</f>
        <v>70</v>
      </c>
      <c r="E7" s="2174">
        <f>IF(B7="","",SUMIF(项目基本情况!D$15:I$15,C7,项目基本情况!D$17:I$17))</f>
        <v>69757</v>
      </c>
      <c r="F7" s="172">
        <f>SUMIF(项目基本情况!D$15:I$15,C7,项目基本情况!D$19:I$19)</f>
        <v>70</v>
      </c>
      <c r="G7" s="173">
        <f t="shared" ref="G7:G11" si="2">IF(ISERROR(ROUND(POWER(1+H7,D7-F7)*(POWER(1+H7,F7)-1)/(POWER(1+H7,D7)-1),3)),0,ROUND(POWER(1+H7,D7-F7)*(POWER(1+H7,F7)-1)/(POWER(1+H7,D7)-1),3))</f>
        <v>1</v>
      </c>
      <c r="H7" s="2724">
        <v>4.4999999999999998E-2</v>
      </c>
      <c r="I7" s="2724">
        <v>0.05</v>
      </c>
      <c r="J7" s="174"/>
      <c r="K7" s="177">
        <f>SUMIF('数据-汇总表'!C$19:C$33,'数据-取费表'!A7,'数据-汇总表'!E$19:E$33)</f>
        <v>0</v>
      </c>
      <c r="L7" s="3559"/>
      <c r="M7" s="175">
        <f t="shared" si="0"/>
        <v>0</v>
      </c>
      <c r="N7" s="2725">
        <v>0</v>
      </c>
      <c r="O7" s="175">
        <f t="shared" ref="O7:O14" si="3">IF($N$5="成新度","——",ROUND(M7*N7,0))</f>
        <v>0</v>
      </c>
      <c r="P7" s="176">
        <f t="shared" ref="P7:P14" si="4">IF($N$5="成新度","——",M7-O7)</f>
        <v>0</v>
      </c>
      <c r="Q7" s="2726">
        <v>0.15</v>
      </c>
      <c r="R7" s="177">
        <f>SUMIF('数据-汇总表'!C$19:C$33,A7,'数据-汇总表'!R$19:R$33)</f>
        <v>0</v>
      </c>
      <c r="S7" s="132">
        <f>IF('数据-汇总表'!$I$17="按面积比例",SUMIF('数据-汇总表'!C$19:C$33,A7,'数据-汇总表'!K$19:K$33),SUMIF('数据-汇总表'!C$19:C$33,A7,'数据-汇总表'!N$19:N$33))</f>
        <v>0</v>
      </c>
      <c r="T7" s="2099" t="str">
        <f t="shared" ref="T7:T13" si="5">IF($T$4="按面积比例",IF(ISERROR(ROUND($M$14*S7/S$16,0)),"0",ROUND($M$14*S7/S$16,0)),"需自行计算录入")</f>
        <v>0</v>
      </c>
      <c r="U7" s="178"/>
      <c r="V7" s="179"/>
      <c r="W7" s="179"/>
      <c r="X7" s="2186"/>
      <c r="Y7" s="180"/>
      <c r="Z7" s="181"/>
      <c r="AA7" s="174"/>
      <c r="AB7" s="174"/>
      <c r="AC7" s="2189"/>
      <c r="AD7" s="182"/>
      <c r="AE7" s="951">
        <f t="shared" ref="AE7:AE13" ca="1" si="6">IF(AN7="",0,SUMIF(INDIRECT("'"&amp;AN7&amp;"'"&amp;"!E:E"),$AE$5,INDIRECT("'"&amp;AN7&amp;"'"&amp;"!F:F")))</f>
        <v>0</v>
      </c>
      <c r="AF7" s="139"/>
      <c r="AG7" s="1187">
        <f t="shared" ref="AG7:AG13" si="7">IF(AF7="",0,AE7-AF7)</f>
        <v>0</v>
      </c>
      <c r="AH7" s="139"/>
      <c r="AI7" s="185"/>
      <c r="AJ7" s="186"/>
      <c r="AK7" s="187"/>
      <c r="AL7" s="188"/>
      <c r="AM7" s="2230"/>
      <c r="AN7" s="2232"/>
      <c r="AO7" s="3077"/>
      <c r="AP7" s="1178">
        <f t="shared" ref="AP7:AP13" si="8">ROUND(1-1/(1+H7)^F7,3)</f>
        <v>0.95399999999999996</v>
      </c>
      <c r="AQ7" s="3077"/>
      <c r="AR7" s="3077"/>
      <c r="AS7" s="3077"/>
      <c r="AT7" s="3077"/>
      <c r="AU7" s="3077"/>
      <c r="AV7" s="3077"/>
      <c r="AW7" s="3077"/>
      <c r="AX7" s="3077"/>
      <c r="AY7" s="3077"/>
      <c r="AZ7" s="3077"/>
      <c r="BA7" s="1895"/>
      <c r="BB7" s="1895"/>
      <c r="BC7" s="1895"/>
      <c r="BD7" s="1895"/>
      <c r="BE7" s="1895"/>
      <c r="BF7" s="1895"/>
      <c r="BG7" s="1895"/>
      <c r="BH7" s="1895"/>
      <c r="BI7" s="1895"/>
      <c r="BJ7" s="1895"/>
      <c r="BK7" s="1895"/>
      <c r="BL7" s="1895"/>
      <c r="BM7" s="1895"/>
      <c r="BN7" s="1895"/>
      <c r="BO7" s="1895"/>
      <c r="BP7" s="1895"/>
      <c r="BQ7" s="1895"/>
      <c r="BR7" s="1895"/>
      <c r="BS7" s="1895"/>
      <c r="BT7" s="1895"/>
      <c r="BU7" s="1895"/>
      <c r="BV7" s="1895"/>
      <c r="BW7" s="1895"/>
      <c r="BX7" s="1895"/>
      <c r="BY7" s="1895"/>
      <c r="BZ7" s="1895"/>
      <c r="CA7" s="1895"/>
      <c r="CB7" s="1895"/>
      <c r="CC7" s="1895"/>
      <c r="CD7" s="1895"/>
      <c r="CE7" s="1895"/>
    </row>
    <row r="8" spans="1:83" s="1180" customFormat="1" ht="14.25">
      <c r="A8" s="2167" t="str">
        <f>'数据-汇总表'!C21</f>
        <v>住宅-洋房</v>
      </c>
      <c r="B8" s="2202" t="str">
        <f t="shared" si="1"/>
        <v>经营性</v>
      </c>
      <c r="C8" s="171" t="s">
        <v>913</v>
      </c>
      <c r="D8" s="2173">
        <f>SUMIF(项目基本情况!D$15:I$15,C8,项目基本情况!D$18:I$18)</f>
        <v>70</v>
      </c>
      <c r="E8" s="2174">
        <f>IF(B8="","",SUMIF(项目基本情况!D$15:I$15,C8,项目基本情况!D$17:I$17))</f>
        <v>69757</v>
      </c>
      <c r="F8" s="172">
        <f>SUMIF(项目基本情况!D$15:I$15,C8,项目基本情况!D$19:I$19)</f>
        <v>70</v>
      </c>
      <c r="G8" s="173">
        <f t="shared" si="2"/>
        <v>1</v>
      </c>
      <c r="H8" s="2724">
        <v>4.4999999999999998E-2</v>
      </c>
      <c r="I8" s="2724">
        <v>0.05</v>
      </c>
      <c r="J8" s="174"/>
      <c r="K8" s="177">
        <f>SUMIF('数据-汇总表'!C$19:C$33,'数据-取费表'!A8,'数据-汇总表'!E$19:E$33)</f>
        <v>0</v>
      </c>
      <c r="L8" s="3559"/>
      <c r="M8" s="175">
        <f>ROUND(K8*L8/10000,0)</f>
        <v>0</v>
      </c>
      <c r="N8" s="2725">
        <v>0</v>
      </c>
      <c r="O8" s="175">
        <f t="shared" si="3"/>
        <v>0</v>
      </c>
      <c r="P8" s="176">
        <f t="shared" si="4"/>
        <v>0</v>
      </c>
      <c r="Q8" s="2726">
        <v>0.15</v>
      </c>
      <c r="R8" s="177">
        <f>SUMIF('数据-汇总表'!C$19:C$33,A8,'数据-汇总表'!R$19:R$33)</f>
        <v>0</v>
      </c>
      <c r="S8" s="132">
        <f>IF('数据-汇总表'!$I$17="按面积比例",SUMIF('数据-汇总表'!C$19:C$33,A8,'数据-汇总表'!K$19:K$33),SUMIF('数据-汇总表'!C$19:C$33,A8,'数据-汇总表'!N$19:N$33))</f>
        <v>0</v>
      </c>
      <c r="T8" s="2099" t="str">
        <f t="shared" si="5"/>
        <v>0</v>
      </c>
      <c r="U8" s="178"/>
      <c r="V8" s="179"/>
      <c r="W8" s="179"/>
      <c r="X8" s="2186"/>
      <c r="Y8" s="180"/>
      <c r="Z8" s="181"/>
      <c r="AA8" s="174"/>
      <c r="AB8" s="174"/>
      <c r="AC8" s="2189"/>
      <c r="AD8" s="182"/>
      <c r="AE8" s="951">
        <f t="shared" ca="1" si="6"/>
        <v>0</v>
      </c>
      <c r="AF8" s="139"/>
      <c r="AG8" s="1187">
        <f t="shared" si="7"/>
        <v>0</v>
      </c>
      <c r="AH8" s="139"/>
      <c r="AI8" s="185"/>
      <c r="AJ8" s="186"/>
      <c r="AK8" s="187"/>
      <c r="AL8" s="188"/>
      <c r="AM8" s="2230"/>
      <c r="AN8" s="2232"/>
      <c r="AO8" s="3077"/>
      <c r="AP8" s="1178">
        <f t="shared" si="8"/>
        <v>0.95399999999999996</v>
      </c>
      <c r="AQ8" s="3077"/>
      <c r="AR8" s="3077"/>
      <c r="AS8" s="3077"/>
      <c r="AT8" s="3077"/>
      <c r="AU8" s="3077"/>
      <c r="AV8" s="3077"/>
      <c r="AW8" s="3077"/>
      <c r="AX8" s="3077"/>
      <c r="AY8" s="3077"/>
      <c r="AZ8" s="3077"/>
      <c r="BA8" s="1895"/>
      <c r="BB8" s="1895"/>
      <c r="BC8" s="1895"/>
      <c r="BD8" s="1895"/>
      <c r="BE8" s="1895"/>
      <c r="BF8" s="1895"/>
      <c r="BG8" s="1895"/>
      <c r="BH8" s="1895"/>
      <c r="BI8" s="1895"/>
      <c r="BJ8" s="1895"/>
      <c r="BK8" s="1895"/>
      <c r="BL8" s="1895"/>
      <c r="BM8" s="1895"/>
      <c r="BN8" s="1895"/>
      <c r="BO8" s="1895"/>
      <c r="BP8" s="1895"/>
      <c r="BQ8" s="1895"/>
      <c r="BR8" s="1895"/>
      <c r="BS8" s="1895"/>
      <c r="BT8" s="1895"/>
      <c r="BU8" s="1895"/>
      <c r="BV8" s="1895"/>
      <c r="BW8" s="1895"/>
      <c r="BX8" s="1895"/>
      <c r="BY8" s="1895"/>
      <c r="BZ8" s="1895"/>
      <c r="CA8" s="1895"/>
      <c r="CB8" s="1895"/>
      <c r="CC8" s="1895"/>
      <c r="CD8" s="1895"/>
      <c r="CE8" s="1895"/>
    </row>
    <row r="9" spans="1:83" s="1180" customFormat="1" ht="14.25">
      <c r="A9" s="2167" t="str">
        <f>'数据-汇总表'!C22</f>
        <v>住宅-叠拼</v>
      </c>
      <c r="B9" s="2202" t="str">
        <f t="shared" si="1"/>
        <v>经营性</v>
      </c>
      <c r="C9" s="171" t="s">
        <v>913</v>
      </c>
      <c r="D9" s="2173">
        <f>SUMIF(项目基本情况!D$15:I$15,C9,项目基本情况!D$18:I$18)</f>
        <v>70</v>
      </c>
      <c r="E9" s="2174">
        <f>IF(B9="","",SUMIF(项目基本情况!D$15:I$15,C9,项目基本情况!D$17:I$17))</f>
        <v>69757</v>
      </c>
      <c r="F9" s="172">
        <f>SUMIF(项目基本情况!D$15:I$15,C9,项目基本情况!D$19:I$19)</f>
        <v>70</v>
      </c>
      <c r="G9" s="173">
        <f t="shared" si="2"/>
        <v>1</v>
      </c>
      <c r="H9" s="2724">
        <v>4.4999999999999998E-2</v>
      </c>
      <c r="I9" s="2724">
        <v>0.05</v>
      </c>
      <c r="J9" s="174"/>
      <c r="K9" s="177">
        <f>SUMIF('数据-汇总表'!C$19:C$33,'数据-取费表'!A9,'数据-汇总表'!E$19:E$33)</f>
        <v>0</v>
      </c>
      <c r="L9" s="3560"/>
      <c r="M9" s="175">
        <f t="shared" si="0"/>
        <v>0</v>
      </c>
      <c r="N9" s="2725">
        <v>0</v>
      </c>
      <c r="O9" s="175">
        <f t="shared" si="3"/>
        <v>0</v>
      </c>
      <c r="P9" s="176">
        <f t="shared" si="4"/>
        <v>0</v>
      </c>
      <c r="Q9" s="2726">
        <v>0.2</v>
      </c>
      <c r="R9" s="177">
        <f>SUMIF('数据-汇总表'!C$19:C$33,A9,'数据-汇总表'!R$19:R$33)</f>
        <v>0</v>
      </c>
      <c r="S9" s="132">
        <f>IF('数据-汇总表'!$I$17="按面积比例",SUMIF('数据-汇总表'!C$19:C$33,A9,'数据-汇总表'!K$19:K$33),SUMIF('数据-汇总表'!C$19:C$33,A9,'数据-汇总表'!N$19:N$33))</f>
        <v>0</v>
      </c>
      <c r="T9" s="2099" t="str">
        <f t="shared" si="5"/>
        <v>0</v>
      </c>
      <c r="U9" s="178"/>
      <c r="V9" s="179"/>
      <c r="W9" s="179"/>
      <c r="X9" s="2186"/>
      <c r="Y9" s="180"/>
      <c r="Z9" s="181"/>
      <c r="AA9" s="174"/>
      <c r="AB9" s="174"/>
      <c r="AC9" s="2189"/>
      <c r="AD9" s="182"/>
      <c r="AE9" s="951">
        <f t="shared" ca="1" si="6"/>
        <v>0</v>
      </c>
      <c r="AF9" s="139"/>
      <c r="AG9" s="1187">
        <f t="shared" si="7"/>
        <v>0</v>
      </c>
      <c r="AH9" s="139"/>
      <c r="AI9" s="185"/>
      <c r="AJ9" s="186"/>
      <c r="AK9" s="187"/>
      <c r="AL9" s="188"/>
      <c r="AM9" s="2230"/>
      <c r="AN9" s="2232"/>
      <c r="AO9" s="3077"/>
      <c r="AP9" s="1178">
        <f t="shared" si="8"/>
        <v>0.95399999999999996</v>
      </c>
      <c r="AQ9" s="3077"/>
      <c r="AR9" s="3077"/>
      <c r="AS9" s="3077"/>
      <c r="AT9" s="3077"/>
      <c r="AU9" s="3077"/>
      <c r="AV9" s="3077"/>
      <c r="AW9" s="3077"/>
      <c r="AX9" s="3077"/>
      <c r="AY9" s="3077"/>
      <c r="AZ9" s="3077"/>
      <c r="BA9" s="1895"/>
      <c r="BB9" s="1895"/>
      <c r="BC9" s="1895"/>
      <c r="BD9" s="1895"/>
      <c r="BE9" s="1895"/>
      <c r="BF9" s="1895"/>
      <c r="BG9" s="1895"/>
      <c r="BH9" s="1895"/>
      <c r="BI9" s="1895"/>
      <c r="BJ9" s="1895"/>
      <c r="BK9" s="1895"/>
      <c r="BL9" s="1895"/>
      <c r="BM9" s="1895"/>
      <c r="BN9" s="1895"/>
      <c r="BO9" s="1895"/>
      <c r="BP9" s="1895"/>
      <c r="BQ9" s="1895"/>
      <c r="BR9" s="1895"/>
      <c r="BS9" s="1895"/>
      <c r="BT9" s="1895"/>
      <c r="BU9" s="1895"/>
      <c r="BV9" s="1895"/>
      <c r="BW9" s="1895"/>
      <c r="BX9" s="1895"/>
      <c r="BY9" s="1895"/>
      <c r="BZ9" s="1895"/>
      <c r="CA9" s="1895"/>
      <c r="CB9" s="1895"/>
      <c r="CC9" s="1895"/>
      <c r="CD9" s="1895"/>
      <c r="CE9" s="1895"/>
    </row>
    <row r="10" spans="1:83" s="1180" customFormat="1" ht="14.25">
      <c r="A10" s="2167" t="str">
        <f>'数据-汇总表'!C23</f>
        <v>商业</v>
      </c>
      <c r="B10" s="2202" t="str">
        <f t="shared" si="1"/>
        <v>经营性</v>
      </c>
      <c r="C10" s="171" t="s">
        <v>3000</v>
      </c>
      <c r="D10" s="2173">
        <f>SUMIF(项目基本情况!D$15:I$15,C10,项目基本情况!D$18:I$18)</f>
        <v>40</v>
      </c>
      <c r="E10" s="2174">
        <f>IF(B10="","",SUMIF(项目基本情况!D$15:I$15,C10,项目基本情况!D$17:I$17))</f>
        <v>58800</v>
      </c>
      <c r="F10" s="172">
        <f>SUMIF(项目基本情况!D$15:I$15,C10,项目基本情况!D$19:I$19)</f>
        <v>40</v>
      </c>
      <c r="G10" s="173">
        <f t="shared" si="2"/>
        <v>1</v>
      </c>
      <c r="H10" s="2724">
        <v>0.05</v>
      </c>
      <c r="I10" s="2724">
        <v>5.5E-2</v>
      </c>
      <c r="J10" s="174"/>
      <c r="K10" s="177">
        <f>SUMIF('数据-汇总表'!C$19:C$33,'数据-取费表'!A10,'数据-汇总表'!E$19:E$33)</f>
        <v>32922.93</v>
      </c>
      <c r="L10" s="3560">
        <f>L6</f>
        <v>3500</v>
      </c>
      <c r="M10" s="175">
        <f t="shared" si="0"/>
        <v>11523</v>
      </c>
      <c r="N10" s="2725">
        <v>0</v>
      </c>
      <c r="O10" s="175">
        <f t="shared" si="3"/>
        <v>0</v>
      </c>
      <c r="P10" s="176">
        <f t="shared" si="4"/>
        <v>11523</v>
      </c>
      <c r="Q10" s="2726">
        <v>0.15</v>
      </c>
      <c r="R10" s="177">
        <f>SUMIF('数据-汇总表'!C$19:C$33,A10,'数据-汇总表'!R$19:R$33)</f>
        <v>15290.92</v>
      </c>
      <c r="S10" s="132">
        <f>IF('数据-汇总表'!$I$17="按面积比例",SUMIF('数据-汇总表'!C$19:C$33,A10,'数据-汇总表'!K$19:K$33),SUMIF('数据-汇总表'!C$19:C$33,A10,'数据-汇总表'!N$19:N$33))</f>
        <v>0</v>
      </c>
      <c r="T10" s="2099" t="str">
        <f t="shared" si="5"/>
        <v>0</v>
      </c>
      <c r="U10" s="178">
        <v>1.8</v>
      </c>
      <c r="V10" s="179">
        <v>0.03</v>
      </c>
      <c r="W10" s="179">
        <v>0.1</v>
      </c>
      <c r="X10" s="2186"/>
      <c r="Y10" s="180">
        <v>1</v>
      </c>
      <c r="Z10" s="181"/>
      <c r="AA10" s="174"/>
      <c r="AB10" s="174"/>
      <c r="AC10" s="2189"/>
      <c r="AD10" s="182"/>
      <c r="AE10" s="951">
        <f t="shared" ca="1" si="6"/>
        <v>37</v>
      </c>
      <c r="AF10" s="139"/>
      <c r="AG10" s="1187">
        <f t="shared" si="7"/>
        <v>0</v>
      </c>
      <c r="AH10" s="3269"/>
      <c r="AI10" s="185">
        <v>365</v>
      </c>
      <c r="AJ10" s="186"/>
      <c r="AK10" s="187">
        <v>0.01</v>
      </c>
      <c r="AL10" s="188">
        <v>1E-3</v>
      </c>
      <c r="AM10" s="2230">
        <v>0.01</v>
      </c>
      <c r="AN10" s="2232" t="s">
        <v>3758</v>
      </c>
      <c r="AO10" s="3077"/>
      <c r="AP10" s="1178">
        <f t="shared" si="8"/>
        <v>0.85799999999999998</v>
      </c>
      <c r="AQ10" s="3077"/>
      <c r="AR10" s="3077"/>
      <c r="AS10" s="3077"/>
      <c r="AT10" s="3077"/>
      <c r="AU10" s="3077"/>
      <c r="AV10" s="3077"/>
      <c r="AW10" s="3077"/>
      <c r="AX10" s="3077"/>
      <c r="AY10" s="3077"/>
      <c r="AZ10" s="3077"/>
      <c r="BA10" s="1895"/>
      <c r="BB10" s="1895"/>
      <c r="BC10" s="1895"/>
      <c r="BD10" s="1895"/>
      <c r="BE10" s="1895"/>
      <c r="BF10" s="1895"/>
      <c r="BG10" s="1895"/>
      <c r="BH10" s="1895"/>
      <c r="BI10" s="1895"/>
      <c r="BJ10" s="1895"/>
      <c r="BK10" s="1895"/>
      <c r="BL10" s="1895"/>
      <c r="BM10" s="1895"/>
      <c r="BN10" s="1895"/>
      <c r="BO10" s="1895"/>
      <c r="BP10" s="1895"/>
      <c r="BQ10" s="1895"/>
      <c r="BR10" s="1895"/>
      <c r="BS10" s="1895"/>
      <c r="BT10" s="1895"/>
      <c r="BU10" s="1895"/>
      <c r="BV10" s="1895"/>
      <c r="BW10" s="1895"/>
      <c r="BX10" s="1895"/>
      <c r="BY10" s="1895"/>
      <c r="BZ10" s="1895"/>
      <c r="CA10" s="1895"/>
      <c r="CB10" s="1895"/>
      <c r="CC10" s="1895"/>
      <c r="CD10" s="1895"/>
      <c r="CE10" s="1895"/>
    </row>
    <row r="11" spans="1:83" s="1180" customFormat="1" ht="14.25">
      <c r="A11" s="2167" t="str">
        <f>'数据-汇总表'!C24</f>
        <v>地下车库</v>
      </c>
      <c r="B11" s="2202" t="str">
        <f t="shared" si="1"/>
        <v>经营性</v>
      </c>
      <c r="C11" s="171" t="s">
        <v>3739</v>
      </c>
      <c r="D11" s="2173">
        <f>SUMIF(项目基本情况!D$15:I$15,C11,项目基本情况!D$18:I$18)</f>
        <v>40</v>
      </c>
      <c r="E11" s="2174">
        <f>IF(B11="","",SUMIF(项目基本情况!D$15:I$15,C11,项目基本情况!D$17:I$17))</f>
        <v>58800</v>
      </c>
      <c r="F11" s="172">
        <f>SUMIF(项目基本情况!D$15:I$15,C11,项目基本情况!D$19:I$19)</f>
        <v>40</v>
      </c>
      <c r="G11" s="173">
        <f t="shared" si="2"/>
        <v>1</v>
      </c>
      <c r="H11" s="2724">
        <v>4.4999999999999998E-2</v>
      </c>
      <c r="I11" s="2724">
        <v>0.05</v>
      </c>
      <c r="J11" s="174"/>
      <c r="K11" s="177">
        <f>SUMIF('数据-汇总表'!C$19:C$33,'数据-取费表'!A11,'数据-汇总表'!E$19:E$33)</f>
        <v>0</v>
      </c>
      <c r="L11" s="3560"/>
      <c r="M11" s="175">
        <f t="shared" si="0"/>
        <v>0</v>
      </c>
      <c r="N11" s="2725">
        <v>0</v>
      </c>
      <c r="O11" s="175">
        <f t="shared" si="3"/>
        <v>0</v>
      </c>
      <c r="P11" s="176">
        <f t="shared" si="4"/>
        <v>0</v>
      </c>
      <c r="Q11" s="2726">
        <v>0.03</v>
      </c>
      <c r="R11" s="177">
        <f>SUMIF('数据-汇总表'!C$19:C$33,A11,'数据-汇总表'!R$19:R$33)</f>
        <v>0</v>
      </c>
      <c r="S11" s="132">
        <f>IF('数据-汇总表'!$I$17="按面积比例",SUMIF('数据-汇总表'!C$19:C$33,A11,'数据-汇总表'!K$19:K$33),SUMIF('数据-汇总表'!C$19:C$33,A11,'数据-汇总表'!N$19:N$33))</f>
        <v>0</v>
      </c>
      <c r="T11" s="2099" t="str">
        <f t="shared" si="5"/>
        <v>0</v>
      </c>
      <c r="U11" s="178">
        <v>340</v>
      </c>
      <c r="V11" s="179">
        <v>2.5000000000000001E-2</v>
      </c>
      <c r="W11" s="179">
        <v>0.1</v>
      </c>
      <c r="X11" s="2189"/>
      <c r="Y11" s="180">
        <v>1</v>
      </c>
      <c r="Z11" s="190"/>
      <c r="AA11" s="174"/>
      <c r="AB11" s="174"/>
      <c r="AC11" s="2189"/>
      <c r="AD11" s="182"/>
      <c r="AE11" s="951">
        <f t="shared" ca="1" si="6"/>
        <v>37</v>
      </c>
      <c r="AF11" s="139"/>
      <c r="AG11" s="1187">
        <f t="shared" si="7"/>
        <v>0</v>
      </c>
      <c r="AH11" s="3269"/>
      <c r="AI11" s="185">
        <v>12</v>
      </c>
      <c r="AJ11" s="186"/>
      <c r="AK11" s="187">
        <v>0.01</v>
      </c>
      <c r="AL11" s="188">
        <v>1E-3</v>
      </c>
      <c r="AM11" s="2230">
        <v>0.01</v>
      </c>
      <c r="AN11" s="2232" t="s">
        <v>3759</v>
      </c>
      <c r="AO11" s="3077"/>
      <c r="AP11" s="1178">
        <f t="shared" si="8"/>
        <v>0.82799999999999996</v>
      </c>
      <c r="AQ11" s="3077"/>
      <c r="AR11" s="3077"/>
      <c r="AS11" s="3077"/>
      <c r="AT11" s="3077"/>
      <c r="AU11" s="3077"/>
      <c r="AV11" s="3077"/>
      <c r="AW11" s="3077"/>
      <c r="AX11" s="3077"/>
      <c r="AY11" s="3077"/>
      <c r="AZ11" s="3077"/>
      <c r="BA11" s="1895"/>
      <c r="BB11" s="1895"/>
      <c r="BC11" s="1895"/>
      <c r="BD11" s="1895"/>
      <c r="BE11" s="1895"/>
      <c r="BF11" s="1895"/>
      <c r="BG11" s="1895"/>
      <c r="BH11" s="1895"/>
      <c r="BI11" s="1895"/>
      <c r="BJ11" s="1895"/>
      <c r="BK11" s="1895"/>
      <c r="BL11" s="1895"/>
      <c r="BM11" s="1895"/>
      <c r="BN11" s="1895"/>
      <c r="BO11" s="1895"/>
      <c r="BP11" s="1895"/>
      <c r="BQ11" s="1895"/>
      <c r="BR11" s="1895"/>
      <c r="BS11" s="1895"/>
      <c r="BT11" s="1895"/>
      <c r="BU11" s="1895"/>
      <c r="BV11" s="1895"/>
      <c r="BW11" s="1895"/>
      <c r="BX11" s="1895"/>
      <c r="BY11" s="1895"/>
      <c r="BZ11" s="1895"/>
      <c r="CA11" s="1895"/>
      <c r="CB11" s="1895"/>
      <c r="CC11" s="1895"/>
      <c r="CD11" s="1895"/>
      <c r="CE11" s="1895"/>
    </row>
    <row r="12" spans="1:83" s="1180" customFormat="1" ht="14.25">
      <c r="A12" s="2167">
        <f>'数据-汇总表'!C25</f>
        <v>0</v>
      </c>
      <c r="B12" s="2202" t="str">
        <f t="shared" si="1"/>
        <v/>
      </c>
      <c r="C12" s="171"/>
      <c r="D12" s="2173">
        <f>SUMIF(项目基本情况!D$15:I$15,C12,项目基本情况!D$18:I$18)</f>
        <v>0</v>
      </c>
      <c r="E12" s="2174"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3560"/>
      <c r="M12" s="175">
        <f>ROUND(K12*L12/10000,0)</f>
        <v>0</v>
      </c>
      <c r="N12" s="2725">
        <v>0</v>
      </c>
      <c r="O12" s="175">
        <f t="shared" si="3"/>
        <v>0</v>
      </c>
      <c r="P12" s="176">
        <f t="shared" si="4"/>
        <v>0</v>
      </c>
      <c r="Q12" s="2726"/>
      <c r="R12" s="177">
        <f>SUMIF('数据-汇总表'!C$19:C$33,A12,'数据-汇总表'!R$19:R$33)</f>
        <v>0</v>
      </c>
      <c r="S12" s="132">
        <f>IF('数据-汇总表'!$I$17="按面积比例",SUMIF('数据-汇总表'!C$19:C$33,A12,'数据-汇总表'!K$19:K$33),SUMIF('数据-汇总表'!C$19:C$33,A12,'数据-汇总表'!N$19:N$33))</f>
        <v>0</v>
      </c>
      <c r="T12" s="2099" t="str">
        <f t="shared" si="5"/>
        <v>0</v>
      </c>
      <c r="U12" s="183"/>
      <c r="V12" s="174"/>
      <c r="W12" s="174"/>
      <c r="X12" s="2189"/>
      <c r="Y12" s="180"/>
      <c r="Z12" s="190"/>
      <c r="AA12" s="174"/>
      <c r="AB12" s="174"/>
      <c r="AC12" s="2189"/>
      <c r="AD12" s="182"/>
      <c r="AE12" s="951">
        <f t="shared" ca="1" si="6"/>
        <v>0</v>
      </c>
      <c r="AF12" s="139"/>
      <c r="AG12" s="1187">
        <f t="shared" si="7"/>
        <v>0</v>
      </c>
      <c r="AH12" s="139"/>
      <c r="AI12" s="185"/>
      <c r="AJ12" s="186"/>
      <c r="AK12" s="191"/>
      <c r="AL12" s="192"/>
      <c r="AM12" s="1717"/>
      <c r="AN12" s="2232"/>
      <c r="AO12" s="3077"/>
      <c r="AP12" s="1178">
        <f t="shared" si="8"/>
        <v>0</v>
      </c>
      <c r="AQ12" s="3077"/>
      <c r="AR12" s="3077"/>
      <c r="AS12" s="3077"/>
      <c r="AT12" s="3077"/>
      <c r="AU12" s="3077"/>
      <c r="AV12" s="3077"/>
      <c r="AW12" s="3077"/>
      <c r="AX12" s="3077"/>
      <c r="AY12" s="3077"/>
      <c r="AZ12" s="3077"/>
      <c r="BA12" s="1895"/>
      <c r="BB12" s="1895"/>
      <c r="BC12" s="1895"/>
      <c r="BD12" s="1895"/>
      <c r="BE12" s="1895"/>
      <c r="BF12" s="1895"/>
      <c r="BG12" s="1895"/>
      <c r="BH12" s="1895"/>
      <c r="BI12" s="1895"/>
      <c r="BJ12" s="1895"/>
      <c r="BK12" s="1895"/>
      <c r="BL12" s="1895"/>
      <c r="BM12" s="1895"/>
      <c r="BN12" s="1895"/>
      <c r="BO12" s="1895"/>
      <c r="BP12" s="1895"/>
      <c r="BQ12" s="1895"/>
      <c r="BR12" s="1895"/>
      <c r="BS12" s="1895"/>
      <c r="BT12" s="1895"/>
      <c r="BU12" s="1895"/>
      <c r="BV12" s="1895"/>
      <c r="BW12" s="1895"/>
      <c r="BX12" s="1895"/>
      <c r="BY12" s="1895"/>
      <c r="BZ12" s="1895"/>
      <c r="CA12" s="1895"/>
      <c r="CB12" s="1895"/>
      <c r="CC12" s="1895"/>
      <c r="CD12" s="1895"/>
      <c r="CE12" s="1895"/>
    </row>
    <row r="13" spans="1:83" s="1180" customFormat="1" ht="14.25">
      <c r="A13" s="2167">
        <f>'数据-汇总表'!C26</f>
        <v>0</v>
      </c>
      <c r="B13" s="2202" t="str">
        <f t="shared" si="1"/>
        <v/>
      </c>
      <c r="C13" s="171"/>
      <c r="D13" s="2173">
        <f>SUMIF(项目基本情况!D$15:I$15,C13,项目基本情况!D$18:I$18)</f>
        <v>0</v>
      </c>
      <c r="E13" s="2174"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3560"/>
      <c r="M13" s="175">
        <f>ROUND(K13*L13/10000,0)</f>
        <v>0</v>
      </c>
      <c r="N13" s="2725">
        <v>0</v>
      </c>
      <c r="O13" s="175">
        <f t="shared" si="3"/>
        <v>0</v>
      </c>
      <c r="P13" s="176">
        <f t="shared" si="4"/>
        <v>0</v>
      </c>
      <c r="Q13" s="2726"/>
      <c r="R13" s="177">
        <f>SUMIF('数据-汇总表'!C$19:C$33,A13,'数据-汇总表'!R$19:R$33)</f>
        <v>0</v>
      </c>
      <c r="S13" s="132">
        <f>IF('数据-汇总表'!$I$17="按面积比例",SUMIF('数据-汇总表'!C$19:C$33,A13,'数据-汇总表'!K$19:K$33),SUMIF('数据-汇总表'!C$19:C$33,A13,'数据-汇总表'!N$19:N$33))</f>
        <v>0</v>
      </c>
      <c r="T13" s="2099" t="str">
        <f t="shared" si="5"/>
        <v>0</v>
      </c>
      <c r="U13" s="178"/>
      <c r="V13" s="179"/>
      <c r="W13" s="179"/>
      <c r="X13" s="2186"/>
      <c r="Y13" s="180"/>
      <c r="Z13" s="181"/>
      <c r="AA13" s="174"/>
      <c r="AB13" s="174"/>
      <c r="AC13" s="2189"/>
      <c r="AD13" s="182"/>
      <c r="AE13" s="951">
        <f t="shared" ca="1" si="6"/>
        <v>0</v>
      </c>
      <c r="AF13" s="139"/>
      <c r="AG13" s="1187">
        <f t="shared" si="7"/>
        <v>0</v>
      </c>
      <c r="AH13" s="139"/>
      <c r="AI13" s="185"/>
      <c r="AJ13" s="186"/>
      <c r="AK13" s="187"/>
      <c r="AL13" s="188"/>
      <c r="AM13" s="2230"/>
      <c r="AN13" s="2232"/>
      <c r="AO13" s="3077"/>
      <c r="AP13" s="1178">
        <f t="shared" si="8"/>
        <v>0</v>
      </c>
      <c r="AQ13" s="3077"/>
      <c r="AR13" s="3077"/>
      <c r="AS13" s="3077"/>
      <c r="AT13" s="3077"/>
      <c r="AU13" s="3077"/>
      <c r="AV13" s="3077"/>
      <c r="AW13" s="3077"/>
      <c r="AX13" s="3077"/>
      <c r="AY13" s="3077"/>
      <c r="AZ13" s="3077"/>
      <c r="BA13" s="1895"/>
      <c r="BB13" s="1895"/>
      <c r="BC13" s="1895"/>
      <c r="BD13" s="1895"/>
      <c r="BE13" s="1895"/>
      <c r="BF13" s="1895"/>
      <c r="BG13" s="1895"/>
      <c r="BH13" s="1895"/>
      <c r="BI13" s="1895"/>
      <c r="BJ13" s="1895"/>
      <c r="BK13" s="1895"/>
      <c r="BL13" s="1895"/>
      <c r="BM13" s="1895"/>
      <c r="BN13" s="1895"/>
      <c r="BO13" s="1895"/>
      <c r="BP13" s="1895"/>
      <c r="BQ13" s="1895"/>
      <c r="BR13" s="1895"/>
      <c r="BS13" s="1895"/>
      <c r="BT13" s="1895"/>
      <c r="BU13" s="1895"/>
      <c r="BV13" s="1895"/>
      <c r="BW13" s="1895"/>
      <c r="BX13" s="1895"/>
      <c r="BY13" s="1895"/>
      <c r="BZ13" s="1895"/>
      <c r="CA13" s="1895"/>
      <c r="CB13" s="1895"/>
      <c r="CC13" s="1895"/>
      <c r="CD13" s="1895"/>
      <c r="CE13" s="1895"/>
    </row>
    <row r="14" spans="1:83" s="1180" customFormat="1" ht="14.25">
      <c r="A14" s="2168" t="s">
        <v>2298</v>
      </c>
      <c r="B14" s="2171" t="s">
        <v>1669</v>
      </c>
      <c r="C14" s="2172" t="s">
        <v>2298</v>
      </c>
      <c r="D14" s="2173"/>
      <c r="E14" s="2174"/>
      <c r="F14" s="172"/>
      <c r="G14" s="173"/>
      <c r="H14" s="2175"/>
      <c r="I14" s="2175"/>
      <c r="J14" s="2175"/>
      <c r="K14" s="177">
        <f>SUMIF('数据-汇总表'!C$19:C$33,'数据-取费表'!A14,'数据-汇总表'!E$19:E$33)</f>
        <v>0</v>
      </c>
      <c r="L14" s="3560"/>
      <c r="M14" s="175">
        <f t="shared" si="0"/>
        <v>0</v>
      </c>
      <c r="N14" s="2725">
        <v>0</v>
      </c>
      <c r="O14" s="175">
        <f t="shared" si="3"/>
        <v>0</v>
      </c>
      <c r="P14" s="176">
        <f t="shared" si="4"/>
        <v>0</v>
      </c>
      <c r="Q14" s="2183"/>
      <c r="R14" s="177"/>
      <c r="S14" s="132"/>
      <c r="T14" s="2182"/>
      <c r="U14" s="953"/>
      <c r="V14" s="2185"/>
      <c r="W14" s="2185"/>
      <c r="X14" s="2186"/>
      <c r="Y14" s="2187"/>
      <c r="Z14" s="135"/>
      <c r="AA14" s="2188"/>
      <c r="AB14" s="2188"/>
      <c r="AC14" s="2189"/>
      <c r="AD14" s="2186"/>
      <c r="AE14" s="951"/>
      <c r="AF14" s="2161"/>
      <c r="AG14" s="1187"/>
      <c r="AH14" s="2161"/>
      <c r="AI14" s="1493"/>
      <c r="AJ14" s="1493"/>
      <c r="AK14" s="2190"/>
      <c r="AL14" s="2191"/>
      <c r="AM14" s="2192"/>
      <c r="AN14" s="3077"/>
      <c r="AO14" s="3077"/>
      <c r="AP14" s="3077"/>
      <c r="AQ14" s="3077"/>
      <c r="AR14" s="3077"/>
      <c r="AS14" s="3077"/>
      <c r="AT14" s="3077"/>
      <c r="AU14" s="3077"/>
      <c r="AV14" s="3077"/>
      <c r="AW14" s="3077"/>
      <c r="AX14" s="3077"/>
      <c r="AY14" s="3077"/>
      <c r="AZ14" s="3077"/>
      <c r="BA14" s="1895"/>
      <c r="BB14" s="1895"/>
      <c r="BC14" s="1895"/>
      <c r="BD14" s="1895"/>
      <c r="BE14" s="1895"/>
      <c r="BF14" s="1895"/>
      <c r="BG14" s="1895"/>
      <c r="BH14" s="1895"/>
      <c r="BI14" s="1895"/>
      <c r="BJ14" s="1895"/>
      <c r="BK14" s="1895"/>
      <c r="BL14" s="1895"/>
      <c r="BM14" s="1895"/>
      <c r="BN14" s="1895"/>
      <c r="BO14" s="1895"/>
      <c r="BP14" s="1895"/>
      <c r="BQ14" s="1895"/>
      <c r="BR14" s="1895"/>
      <c r="BS14" s="1895"/>
      <c r="BT14" s="1895"/>
      <c r="BU14" s="1895"/>
      <c r="BV14" s="1895"/>
      <c r="BW14" s="1895"/>
      <c r="BX14" s="1895"/>
      <c r="BY14" s="1895"/>
      <c r="BZ14" s="1895"/>
      <c r="CA14" s="1895"/>
      <c r="CB14" s="1895"/>
      <c r="CC14" s="1895"/>
      <c r="CD14" s="1895"/>
      <c r="CE14" s="1895"/>
    </row>
    <row r="15" spans="1:83" s="1180" customFormat="1" ht="27">
      <c r="A15" s="2177" t="s">
        <v>2300</v>
      </c>
      <c r="B15" s="2171" t="s">
        <v>1669</v>
      </c>
      <c r="C15" s="2172" t="s">
        <v>2299</v>
      </c>
      <c r="D15" s="2173"/>
      <c r="E15" s="2174"/>
      <c r="F15" s="172"/>
      <c r="G15" s="173"/>
      <c r="H15" s="2175"/>
      <c r="I15" s="2175"/>
      <c r="J15" s="2175"/>
      <c r="K15" s="177">
        <f>SUMIF('数据-汇总表'!C$19:C$33,'数据-取费表'!A15,'数据-汇总表'!E$19:E$33)</f>
        <v>0</v>
      </c>
      <c r="L15" s="2181"/>
      <c r="M15" s="175"/>
      <c r="N15" s="2184"/>
      <c r="O15" s="175"/>
      <c r="P15" s="176"/>
      <c r="Q15" s="2183"/>
      <c r="R15" s="177"/>
      <c r="S15" s="132"/>
      <c r="T15" s="2182"/>
      <c r="U15" s="953"/>
      <c r="V15" s="2185"/>
      <c r="W15" s="2185"/>
      <c r="X15" s="2186"/>
      <c r="Y15" s="2187"/>
      <c r="Z15" s="135"/>
      <c r="AA15" s="2188"/>
      <c r="AB15" s="2188"/>
      <c r="AC15" s="2189"/>
      <c r="AD15" s="2186"/>
      <c r="AE15" s="951"/>
      <c r="AF15" s="2161"/>
      <c r="AG15" s="1187"/>
      <c r="AH15" s="2161"/>
      <c r="AI15" s="1493"/>
      <c r="AJ15" s="1493"/>
      <c r="AK15" s="2190"/>
      <c r="AL15" s="2191"/>
      <c r="AM15" s="2192"/>
      <c r="AN15" s="3077"/>
      <c r="AO15" s="3077"/>
      <c r="AP15" s="3077"/>
      <c r="AQ15" s="3077"/>
      <c r="AR15" s="3077"/>
      <c r="AS15" s="3077"/>
      <c r="AT15" s="3077"/>
      <c r="AU15" s="3077"/>
      <c r="AV15" s="3077"/>
      <c r="AW15" s="3077"/>
      <c r="AX15" s="3077"/>
      <c r="AY15" s="3077"/>
      <c r="AZ15" s="3077"/>
      <c r="BA15" s="1895"/>
      <c r="BB15" s="1895"/>
      <c r="BC15" s="1895"/>
      <c r="BD15" s="1895"/>
      <c r="BE15" s="1895"/>
      <c r="BF15" s="1895"/>
      <c r="BG15" s="1895"/>
      <c r="BH15" s="1895"/>
      <c r="BI15" s="1895"/>
      <c r="BJ15" s="1895"/>
      <c r="BK15" s="1895"/>
      <c r="BL15" s="1895"/>
      <c r="BM15" s="1895"/>
      <c r="BN15" s="1895"/>
      <c r="BO15" s="1895"/>
      <c r="BP15" s="1895"/>
      <c r="BQ15" s="1895"/>
      <c r="BR15" s="1895"/>
      <c r="BS15" s="1895"/>
      <c r="BT15" s="1895"/>
      <c r="BU15" s="1895"/>
      <c r="BV15" s="1895"/>
      <c r="BW15" s="1895"/>
      <c r="BX15" s="1895"/>
      <c r="BY15" s="1895"/>
      <c r="BZ15" s="1895"/>
      <c r="CA15" s="1895"/>
      <c r="CB15" s="1895"/>
      <c r="CC15" s="1895"/>
      <c r="CD15" s="1895"/>
      <c r="CE15" s="1895"/>
    </row>
    <row r="16" spans="1:83" s="1180" customFormat="1" ht="15.75" thickBot="1">
      <c r="A16" s="193" t="s">
        <v>262</v>
      </c>
      <c r="B16" s="194"/>
      <c r="C16" s="195"/>
      <c r="D16" s="196"/>
      <c r="E16" s="194"/>
      <c r="F16" s="194"/>
      <c r="G16" s="197">
        <f>ROUND(SUMPRODUCT(G6:G13,K6:K13)/SUMPRODUCT((G6:G13&gt;0)*(K6:K13)),3)</f>
        <v>1</v>
      </c>
      <c r="H16" s="198">
        <f>ROUND(SUMPRODUCT(H6:H13,K6:K13)/SUMPRODUCT((H6:H13&gt;0)*(K6:K13)),3)</f>
        <v>4.4999999999999998E-2</v>
      </c>
      <c r="I16" s="199"/>
      <c r="J16" s="199"/>
      <c r="K16" s="200">
        <f>SUM(K6:K15)</f>
        <v>461591.08999999997</v>
      </c>
      <c r="L16" s="201">
        <f>ROUND(M16*10000/SUM(K6:K14),0)</f>
        <v>3500</v>
      </c>
      <c r="M16" s="201">
        <f>SUM(M6:M14)</f>
        <v>161557</v>
      </c>
      <c r="N16" s="202">
        <f>ROUND(SUMPRODUCT(M6:M14,N6:N14)/M16,3)</f>
        <v>0</v>
      </c>
      <c r="O16" s="201">
        <f>SUM(O6:O14)</f>
        <v>0</v>
      </c>
      <c r="P16" s="201">
        <f>SUM(P6:P14)</f>
        <v>161557</v>
      </c>
      <c r="Q16" s="203">
        <f>ROUND(SUMPRODUCT(Q6:Q13,K6:K13)/SUMPRODUCT((Q6:Q13&gt;0)*(K6:K13)),2)</f>
        <v>0.15</v>
      </c>
      <c r="R16" s="2176">
        <f>SUM(R6:R13)</f>
        <v>214384.13</v>
      </c>
      <c r="S16" s="204">
        <f>SUM(S6:S13)</f>
        <v>0</v>
      </c>
      <c r="T16" s="205">
        <f>IF(SUMIF(T6:T13,"&lt;9E307")=M14,SUMIF(T6:T13,"&lt;9E307"),"有误，请检查")</f>
        <v>0</v>
      </c>
      <c r="U16" s="206"/>
      <c r="V16" s="207"/>
      <c r="W16" s="207"/>
      <c r="X16" s="210"/>
      <c r="Y16" s="208"/>
      <c r="Z16" s="209"/>
      <c r="AA16" s="207"/>
      <c r="AB16" s="207"/>
      <c r="AC16" s="210"/>
      <c r="AD16" s="210"/>
      <c r="AE16" s="206"/>
      <c r="AF16" s="207"/>
      <c r="AG16" s="208"/>
      <c r="AH16" s="207"/>
      <c r="AI16" s="209"/>
      <c r="AJ16" s="209"/>
      <c r="AK16" s="207"/>
      <c r="AL16" s="207"/>
      <c r="AM16" s="208"/>
      <c r="AN16" s="3077"/>
      <c r="AO16" s="3077"/>
      <c r="AP16" s="1178">
        <f>ROUND(SUMPRODUCT(AP6:AP13,K6:K13)/SUMPRODUCT((AP6:AP13&gt;0)*(K6:K13)),3)</f>
        <v>0.94699999999999995</v>
      </c>
      <c r="AQ16" s="3077"/>
      <c r="AR16" s="3077"/>
      <c r="AS16" s="3077"/>
      <c r="AT16" s="3077"/>
      <c r="AU16" s="3077"/>
      <c r="AV16" s="3077"/>
      <c r="AW16" s="3077"/>
      <c r="AX16" s="3077"/>
      <c r="AY16" s="3077"/>
      <c r="AZ16" s="3077"/>
      <c r="BA16" s="1895"/>
      <c r="BB16" s="1895"/>
      <c r="BC16" s="1895"/>
      <c r="BD16" s="1895"/>
      <c r="BE16" s="1895"/>
      <c r="BF16" s="1895"/>
      <c r="BG16" s="1895"/>
      <c r="BH16" s="1895"/>
      <c r="BI16" s="1895"/>
      <c r="BJ16" s="1895"/>
      <c r="BK16" s="1895"/>
      <c r="BL16" s="1895"/>
      <c r="BM16" s="1895"/>
      <c r="BN16" s="1895"/>
      <c r="BO16" s="1895"/>
      <c r="BP16" s="1895"/>
      <c r="BQ16" s="1895"/>
      <c r="BR16" s="1895"/>
      <c r="BS16" s="1895"/>
      <c r="BT16" s="1895"/>
      <c r="BU16" s="1895"/>
      <c r="BV16" s="1895"/>
      <c r="BW16" s="1895"/>
      <c r="BX16" s="1895"/>
      <c r="BY16" s="1895"/>
      <c r="BZ16" s="1895"/>
      <c r="CA16" s="1895"/>
      <c r="CB16" s="1895"/>
      <c r="CC16" s="1895"/>
      <c r="CD16" s="1895"/>
      <c r="CE16" s="1895"/>
    </row>
    <row r="17" spans="1:83" ht="13.5" thickBot="1">
      <c r="A17" s="1188"/>
      <c r="B17" s="3074"/>
      <c r="C17" s="3074"/>
      <c r="D17" s="3075"/>
      <c r="E17" s="3075"/>
      <c r="F17" s="3074"/>
      <c r="G17" s="3074"/>
      <c r="H17" s="3074"/>
      <c r="I17" s="3074"/>
      <c r="J17" s="3074"/>
      <c r="K17" s="3076"/>
      <c r="L17" s="3076"/>
      <c r="M17" s="3074"/>
      <c r="N17" s="3074"/>
      <c r="O17" s="3074"/>
      <c r="P17" s="3074"/>
      <c r="Q17" s="3074"/>
      <c r="R17" s="3074"/>
      <c r="S17" s="3074"/>
      <c r="T17" s="3074"/>
      <c r="U17" s="3074"/>
      <c r="V17" s="3074"/>
      <c r="W17" s="3074"/>
      <c r="X17" s="3074"/>
      <c r="Y17" s="3074"/>
      <c r="Z17" s="3074"/>
      <c r="AA17" s="3074"/>
      <c r="AB17" s="3074"/>
      <c r="AC17" s="3074"/>
      <c r="AD17" s="3074"/>
      <c r="AE17" s="3074"/>
      <c r="AF17" s="3074"/>
      <c r="AG17" s="3074"/>
      <c r="AH17" s="3074"/>
      <c r="AI17" s="3074"/>
      <c r="AJ17" s="3074"/>
      <c r="AK17" s="3074"/>
      <c r="AL17" s="3074"/>
      <c r="AM17" s="3074"/>
      <c r="AN17" s="3074"/>
      <c r="AO17" s="3074"/>
      <c r="AP17" s="3074"/>
      <c r="AQ17" s="3074"/>
      <c r="AR17" s="3074"/>
      <c r="AS17" s="3074"/>
      <c r="AT17" s="3074"/>
      <c r="AU17" s="3074"/>
      <c r="AV17" s="3074"/>
      <c r="AW17" s="3074"/>
      <c r="AX17" s="3074"/>
      <c r="AY17" s="3074"/>
      <c r="AZ17" s="3074"/>
    </row>
    <row r="18" spans="1:83" ht="15" thickBot="1">
      <c r="A18" s="148" t="s">
        <v>263</v>
      </c>
      <c r="B18" s="3077"/>
      <c r="C18" s="3077"/>
      <c r="D18" s="3078"/>
      <c r="E18" s="3583" t="s">
        <v>11181</v>
      </c>
      <c r="F18" s="3077"/>
      <c r="G18" s="3077"/>
      <c r="H18" s="3077"/>
      <c r="I18" s="3077"/>
      <c r="J18" s="3077"/>
      <c r="K18" s="3739" t="s">
        <v>3744</v>
      </c>
      <c r="L18" s="3741" t="s">
        <v>3745</v>
      </c>
      <c r="M18" s="3742"/>
      <c r="N18" s="3743"/>
      <c r="O18" s="3739" t="s">
        <v>3746</v>
      </c>
      <c r="P18" s="3077"/>
      <c r="Q18" s="3296">
        <f>Q16/B20</f>
        <v>4.9999999999999996E-2</v>
      </c>
      <c r="R18" s="3074"/>
      <c r="S18" s="3074"/>
      <c r="T18" s="3074"/>
      <c r="U18" s="3074"/>
      <c r="V18" s="3074"/>
      <c r="W18" s="3074"/>
      <c r="X18" s="3074"/>
      <c r="Y18" s="3074"/>
      <c r="Z18" s="3074"/>
      <c r="AA18" s="3074"/>
      <c r="AB18" s="3074"/>
      <c r="AC18" s="3074"/>
      <c r="AD18" s="3074"/>
      <c r="AE18" s="3074"/>
      <c r="AF18" s="3074"/>
      <c r="AG18" s="3074"/>
      <c r="AH18" s="3074"/>
      <c r="AI18" s="3074"/>
      <c r="AJ18" s="3074"/>
      <c r="AK18" s="3074"/>
      <c r="AL18" s="3074"/>
      <c r="AM18" s="3074"/>
      <c r="AN18" s="3074"/>
      <c r="AO18" s="3074"/>
      <c r="AP18" s="3074"/>
      <c r="AQ18" s="3074"/>
      <c r="AR18" s="3074"/>
      <c r="AS18" s="3074"/>
      <c r="AT18" s="3074"/>
      <c r="AU18" s="3074"/>
      <c r="AV18" s="3074"/>
      <c r="AW18" s="3074"/>
      <c r="AX18" s="3074"/>
      <c r="AY18" s="3074"/>
      <c r="AZ18" s="3074"/>
    </row>
    <row r="19" spans="1:83" ht="14.25">
      <c r="A19" s="212" t="s">
        <v>264</v>
      </c>
      <c r="B19" s="213">
        <v>0</v>
      </c>
      <c r="C19" s="3089" t="s">
        <v>2978</v>
      </c>
      <c r="D19" s="3078"/>
      <c r="E19" s="3082"/>
      <c r="F19" s="3077"/>
      <c r="G19" s="3077"/>
      <c r="H19" s="3077"/>
      <c r="I19" s="3077"/>
      <c r="J19" s="3077"/>
      <c r="K19" s="3740"/>
      <c r="L19" s="3601" t="s">
        <v>3747</v>
      </c>
      <c r="M19" s="3601" t="s">
        <v>3748</v>
      </c>
      <c r="N19" s="3601" t="s">
        <v>3749</v>
      </c>
      <c r="O19" s="3740"/>
      <c r="P19" s="3077"/>
      <c r="Q19" s="3074"/>
      <c r="R19" s="3074"/>
      <c r="S19" s="3074"/>
      <c r="T19" s="3074"/>
      <c r="U19" s="3074"/>
      <c r="V19" s="3074"/>
      <c r="W19" s="3074"/>
      <c r="X19" s="3074"/>
      <c r="Y19" s="3074"/>
      <c r="Z19" s="3074"/>
      <c r="AA19" s="3074"/>
      <c r="AB19" s="3074"/>
      <c r="AC19" s="3074"/>
      <c r="AD19" s="3074"/>
      <c r="AE19" s="3074"/>
      <c r="AF19" s="3074"/>
      <c r="AG19" s="3074"/>
      <c r="AH19" s="3074"/>
      <c r="AI19" s="3074"/>
      <c r="AJ19" s="3074"/>
      <c r="AK19" s="3074"/>
      <c r="AL19" s="3074"/>
      <c r="AM19" s="3074"/>
      <c r="AN19" s="3074"/>
      <c r="AO19" s="3074"/>
      <c r="AP19" s="3074"/>
      <c r="AQ19" s="3074"/>
      <c r="AR19" s="3074"/>
      <c r="AS19" s="3074"/>
      <c r="AT19" s="3074"/>
      <c r="AU19" s="3074"/>
      <c r="AV19" s="3074"/>
      <c r="AW19" s="3074"/>
      <c r="AX19" s="3074"/>
      <c r="AY19" s="3074"/>
      <c r="AZ19" s="3074"/>
    </row>
    <row r="20" spans="1:83" ht="15" customHeight="1">
      <c r="A20" s="214" t="s">
        <v>265</v>
      </c>
      <c r="B20" s="215">
        <v>3</v>
      </c>
      <c r="C20" s="3089" t="s">
        <v>2317</v>
      </c>
      <c r="D20" s="3078"/>
      <c r="E20" s="3584">
        <v>3.5</v>
      </c>
      <c r="F20" s="3077"/>
      <c r="G20" s="3077"/>
      <c r="H20" s="3077"/>
      <c r="I20" s="3077"/>
      <c r="J20" s="3077"/>
      <c r="K20" s="3602" t="s">
        <v>11194</v>
      </c>
      <c r="L20" s="3602" t="s">
        <v>3750</v>
      </c>
      <c r="M20" s="3602" t="s">
        <v>3751</v>
      </c>
      <c r="N20" s="3602" t="s">
        <v>3752</v>
      </c>
      <c r="O20" s="3602" t="s">
        <v>11195</v>
      </c>
      <c r="P20" s="3077" t="s">
        <v>3753</v>
      </c>
      <c r="Q20" s="3074"/>
      <c r="R20" s="3074"/>
      <c r="S20" s="3074"/>
      <c r="T20" s="3074"/>
      <c r="U20" s="3074"/>
      <c r="V20" s="3074"/>
      <c r="W20" s="3074"/>
      <c r="X20" s="3074"/>
      <c r="Y20" s="3074"/>
      <c r="Z20" s="3074"/>
      <c r="AA20" s="3074"/>
      <c r="AB20" s="3074"/>
      <c r="AC20" s="3074"/>
      <c r="AD20" s="3074"/>
      <c r="AE20" s="3074"/>
      <c r="AF20" s="3074"/>
      <c r="AG20" s="3074"/>
      <c r="AH20" s="3074"/>
      <c r="AI20" s="3074"/>
      <c r="AJ20" s="3074"/>
      <c r="AK20" s="3074"/>
      <c r="AL20" s="3074"/>
      <c r="AM20" s="3074"/>
      <c r="AN20" s="3074"/>
      <c r="AO20" s="3074"/>
      <c r="AP20" s="3074"/>
      <c r="AQ20" s="3074"/>
      <c r="AR20" s="3074"/>
      <c r="AS20" s="3074"/>
      <c r="AT20" s="3074"/>
      <c r="AU20" s="3074"/>
      <c r="AV20" s="3074"/>
      <c r="AW20" s="3074"/>
      <c r="AX20" s="3074"/>
      <c r="AY20" s="3074"/>
      <c r="AZ20" s="3074"/>
    </row>
    <row r="21" spans="1:83" ht="15" customHeight="1">
      <c r="A21" s="216" t="s">
        <v>266</v>
      </c>
      <c r="B21" s="215">
        <v>0</v>
      </c>
      <c r="C21" s="3077"/>
      <c r="D21" s="3078"/>
      <c r="E21" s="3082"/>
      <c r="F21" s="3077"/>
      <c r="G21" s="3077"/>
      <c r="H21" s="3077"/>
      <c r="I21" s="3077"/>
      <c r="J21" s="3077"/>
      <c r="K21" s="3602"/>
      <c r="L21" s="3602">
        <v>1392</v>
      </c>
      <c r="M21" s="3602">
        <v>1495</v>
      </c>
      <c r="N21" s="3602">
        <v>1649</v>
      </c>
      <c r="O21" s="3602" t="s">
        <v>11196</v>
      </c>
      <c r="P21" s="3077" t="s">
        <v>3754</v>
      </c>
      <c r="Q21" s="3074"/>
      <c r="R21" s="3074"/>
      <c r="S21" s="3074"/>
      <c r="T21" s="3074"/>
      <c r="U21" s="3074"/>
      <c r="V21" s="3074"/>
      <c r="W21" s="3074"/>
      <c r="X21" s="3074"/>
      <c r="Y21" s="3074"/>
      <c r="Z21" s="3074"/>
      <c r="AA21" s="3074"/>
      <c r="AB21" s="3074"/>
      <c r="AC21" s="3074"/>
      <c r="AD21" s="3074"/>
      <c r="AE21" s="3074"/>
      <c r="AF21" s="3074"/>
      <c r="AG21" s="3074"/>
      <c r="AH21" s="3074"/>
      <c r="AI21" s="3074"/>
      <c r="AJ21" s="3074"/>
      <c r="AK21" s="3074"/>
      <c r="AL21" s="3074"/>
      <c r="AM21" s="3074"/>
      <c r="AN21" s="3074"/>
      <c r="AO21" s="3074"/>
      <c r="AP21" s="3074"/>
      <c r="AQ21" s="3074"/>
      <c r="AR21" s="3074"/>
      <c r="AS21" s="3074"/>
      <c r="AT21" s="3074"/>
      <c r="AU21" s="3074"/>
      <c r="AV21" s="3074"/>
      <c r="AW21" s="3074"/>
      <c r="AX21" s="3074"/>
      <c r="AY21" s="3074"/>
      <c r="AZ21" s="3074"/>
    </row>
    <row r="22" spans="1:83" ht="14.25">
      <c r="A22" s="214" t="s">
        <v>267</v>
      </c>
      <c r="B22" s="217">
        <f>B19+B20</f>
        <v>3</v>
      </c>
      <c r="C22" s="3077"/>
      <c r="D22" s="3078"/>
      <c r="E22" s="3082"/>
      <c r="F22" s="3077"/>
      <c r="G22" s="3077"/>
      <c r="H22" s="3077"/>
      <c r="I22" s="3077"/>
      <c r="J22" s="3077"/>
      <c r="K22" s="3076"/>
      <c r="L22" s="3076"/>
      <c r="M22" s="3074"/>
      <c r="N22" s="3074"/>
      <c r="O22" s="3074"/>
      <c r="P22" s="3074"/>
      <c r="Q22" s="3074"/>
      <c r="R22" s="3074"/>
      <c r="S22" s="3074"/>
      <c r="T22" s="3074"/>
      <c r="U22" s="3074"/>
      <c r="V22" s="3074"/>
      <c r="W22" s="3074"/>
      <c r="X22" s="3074"/>
      <c r="Y22" s="3074"/>
      <c r="Z22" s="3074"/>
      <c r="AA22" s="3074"/>
      <c r="AB22" s="3074"/>
      <c r="AC22" s="3074"/>
      <c r="AD22" s="3074"/>
      <c r="AE22" s="3074"/>
      <c r="AF22" s="3074"/>
      <c r="AG22" s="3074"/>
      <c r="AH22" s="3074"/>
      <c r="AI22" s="3074"/>
      <c r="AJ22" s="3074"/>
      <c r="AK22" s="3074"/>
      <c r="AL22" s="3074"/>
      <c r="AM22" s="3074"/>
      <c r="AN22" s="3074"/>
      <c r="AO22" s="3074"/>
      <c r="AP22" s="3074"/>
      <c r="AQ22" s="3074"/>
      <c r="AR22" s="3074"/>
      <c r="AS22" s="3074"/>
      <c r="AT22" s="3074"/>
      <c r="AU22" s="3074"/>
      <c r="AV22" s="3074"/>
      <c r="AW22" s="3074"/>
      <c r="AX22" s="3074"/>
      <c r="AY22" s="3074"/>
      <c r="AZ22" s="3074"/>
    </row>
    <row r="23" spans="1:83" ht="14.25">
      <c r="A23" s="216" t="s">
        <v>268</v>
      </c>
      <c r="B23" s="217">
        <f>B19+B21</f>
        <v>0</v>
      </c>
      <c r="C23" s="3077"/>
      <c r="D23" s="3078"/>
      <c r="E23" s="3082"/>
      <c r="F23" s="3077"/>
      <c r="G23" s="3077"/>
      <c r="H23" s="3077"/>
      <c r="I23" s="3077"/>
      <c r="J23" s="3556"/>
      <c r="K23" s="3608"/>
      <c r="L23" s="3609" t="s">
        <v>11197</v>
      </c>
      <c r="M23" s="3610"/>
      <c r="N23" s="3610"/>
      <c r="O23" s="3074"/>
      <c r="P23" s="3074"/>
      <c r="Q23" s="3074"/>
      <c r="R23" s="3074"/>
      <c r="S23" s="3074"/>
      <c r="T23" s="3074"/>
      <c r="U23" s="3074"/>
      <c r="V23" s="3074"/>
      <c r="W23" s="3074"/>
      <c r="X23" s="3074"/>
      <c r="Y23" s="3074"/>
      <c r="Z23" s="3074"/>
      <c r="AA23" s="3074"/>
      <c r="AB23" s="3074"/>
      <c r="AC23" s="3074"/>
      <c r="AD23" s="3074"/>
      <c r="AE23" s="3074"/>
      <c r="AF23" s="3074"/>
      <c r="AG23" s="3074"/>
      <c r="AH23" s="3074"/>
      <c r="AI23" s="3074"/>
      <c r="AJ23" s="3074"/>
      <c r="AK23" s="3074"/>
      <c r="AL23" s="3074"/>
      <c r="AM23" s="3074"/>
      <c r="AN23" s="3074"/>
      <c r="AO23" s="3074"/>
      <c r="AP23" s="3074"/>
      <c r="AQ23" s="3074"/>
      <c r="AR23" s="3074"/>
      <c r="AS23" s="3074"/>
      <c r="AT23" s="3074"/>
      <c r="AU23" s="3074"/>
      <c r="AV23" s="3074"/>
      <c r="AW23" s="3074"/>
      <c r="AX23" s="3074"/>
      <c r="AY23" s="3074"/>
      <c r="AZ23" s="3074"/>
    </row>
    <row r="24" spans="1:83" ht="15" thickBot="1">
      <c r="A24" s="218" t="s">
        <v>269</v>
      </c>
      <c r="B24" s="219">
        <f>B20-B21</f>
        <v>3</v>
      </c>
      <c r="C24" s="3077"/>
      <c r="D24" s="3078"/>
      <c r="E24" s="3082"/>
      <c r="F24" s="3077"/>
      <c r="G24" s="3077"/>
      <c r="H24" s="3077"/>
      <c r="I24" s="3077"/>
      <c r="J24" s="3556"/>
      <c r="K24" s="3607" t="s">
        <v>3740</v>
      </c>
      <c r="L24" s="3603">
        <v>605314.46000000008</v>
      </c>
      <c r="M24" s="3633">
        <v>2600</v>
      </c>
      <c r="N24" s="3604">
        <f>L24*M24/10000</f>
        <v>157381.75960000002</v>
      </c>
      <c r="O24" s="3074"/>
      <c r="P24" s="3074"/>
      <c r="Q24" s="3074"/>
      <c r="R24" s="3074"/>
      <c r="S24" s="3074"/>
      <c r="T24" s="3074"/>
      <c r="U24" s="3074"/>
      <c r="V24" s="3074"/>
      <c r="W24" s="3074"/>
      <c r="X24" s="3074"/>
      <c r="Y24" s="3074"/>
      <c r="Z24" s="3074"/>
      <c r="AA24" s="3074"/>
      <c r="AB24" s="3074"/>
      <c r="AC24" s="3074"/>
      <c r="AD24" s="3074"/>
      <c r="AE24" s="3074"/>
      <c r="AF24" s="3074"/>
      <c r="AG24" s="3074"/>
      <c r="AH24" s="3074"/>
      <c r="AI24" s="3074"/>
      <c r="AJ24" s="3074"/>
      <c r="AK24" s="3074"/>
      <c r="AL24" s="3074"/>
      <c r="AM24" s="3074"/>
      <c r="AN24" s="3074"/>
      <c r="AO24" s="3074"/>
      <c r="AP24" s="3074"/>
      <c r="AQ24" s="3074"/>
      <c r="AR24" s="3074"/>
      <c r="AS24" s="3074"/>
      <c r="AT24" s="3074"/>
      <c r="AU24" s="3074"/>
      <c r="AV24" s="3074"/>
      <c r="AW24" s="3074"/>
      <c r="AX24" s="3074"/>
      <c r="AY24" s="3074"/>
      <c r="AZ24" s="3074"/>
    </row>
    <row r="25" spans="1:83" ht="15" thickBot="1">
      <c r="A25" s="1181"/>
      <c r="B25" s="1178"/>
      <c r="C25" s="3077"/>
      <c r="D25" s="3078"/>
      <c r="E25" s="3082"/>
      <c r="F25" s="3077"/>
      <c r="G25" s="3077"/>
      <c r="H25" s="3077"/>
      <c r="I25" s="3077"/>
      <c r="J25" s="3077"/>
      <c r="K25" s="3607" t="s">
        <v>3799</v>
      </c>
      <c r="L25" s="3603">
        <v>0</v>
      </c>
      <c r="M25" s="3603">
        <v>2600</v>
      </c>
      <c r="N25" s="3604">
        <f t="shared" ref="N25:N32" si="9">L25*M25/10000</f>
        <v>0</v>
      </c>
      <c r="O25" s="3074"/>
      <c r="P25" s="3074"/>
      <c r="Q25" s="3074"/>
      <c r="R25" s="3074"/>
      <c r="S25" s="3074"/>
      <c r="T25" s="3074"/>
      <c r="U25" s="3074"/>
      <c r="V25" s="3074"/>
      <c r="W25" s="3074"/>
      <c r="X25" s="3074"/>
      <c r="Y25" s="3074"/>
      <c r="Z25" s="3074"/>
      <c r="AA25" s="3074"/>
      <c r="AB25" s="3074"/>
      <c r="AC25" s="3074"/>
      <c r="AD25" s="3074"/>
      <c r="AE25" s="3074"/>
      <c r="AF25" s="3074"/>
      <c r="AG25" s="3074"/>
      <c r="AH25" s="3074"/>
      <c r="AI25" s="3074"/>
      <c r="AJ25" s="3074"/>
      <c r="AK25" s="3074"/>
      <c r="AL25" s="3074"/>
      <c r="AM25" s="3074"/>
      <c r="AN25" s="3074"/>
      <c r="AO25" s="3074"/>
      <c r="AP25" s="3074"/>
      <c r="AQ25" s="3074"/>
      <c r="AR25" s="3074"/>
      <c r="AS25" s="3074"/>
      <c r="AT25" s="3074"/>
      <c r="AU25" s="3074"/>
      <c r="AV25" s="3074"/>
      <c r="AW25" s="3074"/>
      <c r="AX25" s="3074"/>
      <c r="AY25" s="3074"/>
      <c r="AZ25" s="3074"/>
    </row>
    <row r="26" spans="1:83" ht="15" thickBot="1">
      <c r="A26" s="147" t="s">
        <v>270</v>
      </c>
      <c r="B26" s="220" t="s">
        <v>271</v>
      </c>
      <c r="C26" s="3079" t="s">
        <v>272</v>
      </c>
      <c r="D26" s="3078"/>
      <c r="E26" s="3082"/>
      <c r="F26" s="3077"/>
      <c r="G26" s="3077"/>
      <c r="H26" s="3077"/>
      <c r="I26" s="3077"/>
      <c r="J26" s="3077"/>
      <c r="K26" s="3607" t="s">
        <v>3742</v>
      </c>
      <c r="L26" s="3603">
        <v>2714.28</v>
      </c>
      <c r="M26" s="3603">
        <v>2600</v>
      </c>
      <c r="N26" s="3604">
        <f t="shared" si="9"/>
        <v>705.71280000000013</v>
      </c>
      <c r="O26" s="3074"/>
      <c r="P26" s="3074"/>
      <c r="Q26" s="3074"/>
      <c r="R26" s="3074"/>
      <c r="S26" s="3074"/>
      <c r="T26" s="3074"/>
      <c r="U26" s="3074"/>
      <c r="V26" s="3074"/>
      <c r="W26" s="3074"/>
      <c r="X26" s="3074"/>
      <c r="Y26" s="3074"/>
      <c r="Z26" s="3074"/>
      <c r="AA26" s="3074"/>
      <c r="AB26" s="3074"/>
      <c r="AC26" s="3074"/>
      <c r="AD26" s="3074"/>
      <c r="AE26" s="3074"/>
      <c r="AF26" s="3074"/>
      <c r="AG26" s="3074"/>
      <c r="AH26" s="3074"/>
      <c r="AI26" s="3074"/>
      <c r="AJ26" s="3074"/>
      <c r="AK26" s="3074"/>
      <c r="AL26" s="3074"/>
      <c r="AM26" s="3074"/>
      <c r="AN26" s="3074"/>
      <c r="AO26" s="3074"/>
      <c r="AP26" s="3074"/>
      <c r="AQ26" s="3074"/>
      <c r="AR26" s="3074"/>
      <c r="AS26" s="3074"/>
      <c r="AT26" s="3074"/>
      <c r="AU26" s="3074"/>
      <c r="AV26" s="3074"/>
      <c r="AW26" s="3074"/>
      <c r="AX26" s="3074"/>
      <c r="AY26" s="3074"/>
      <c r="AZ26" s="3074"/>
    </row>
    <row r="27" spans="1:83" s="1189" customFormat="1" ht="27.75">
      <c r="A27" s="221" t="s">
        <v>2319</v>
      </c>
      <c r="B27" s="3588">
        <v>35</v>
      </c>
      <c r="C27" s="3090" t="s">
        <v>2979</v>
      </c>
      <c r="D27" s="3081"/>
      <c r="E27" s="3082"/>
      <c r="F27" s="3082"/>
      <c r="G27" s="3077"/>
      <c r="H27" s="3077"/>
      <c r="I27" s="3077"/>
      <c r="J27" s="3077"/>
      <c r="K27" s="3607" t="s">
        <v>3743</v>
      </c>
      <c r="L27" s="3603">
        <v>75907.540000000008</v>
      </c>
      <c r="M27" s="3603">
        <v>2800</v>
      </c>
      <c r="N27" s="3604">
        <f t="shared" si="9"/>
        <v>21254.111200000003</v>
      </c>
      <c r="O27" s="3074"/>
      <c r="P27" s="3074"/>
      <c r="Q27" s="3074"/>
      <c r="R27" s="3074"/>
      <c r="S27" s="3074"/>
      <c r="T27" s="3074"/>
      <c r="U27" s="3074"/>
      <c r="V27" s="3074"/>
      <c r="W27" s="3074"/>
      <c r="X27" s="3074"/>
      <c r="Y27" s="3074"/>
      <c r="Z27" s="3074"/>
      <c r="AA27" s="3074"/>
      <c r="AB27" s="3074"/>
      <c r="AC27" s="3074"/>
      <c r="AD27" s="3074"/>
      <c r="AE27" s="3074"/>
      <c r="AF27" s="3074"/>
      <c r="AG27" s="3074"/>
      <c r="AH27" s="3074"/>
      <c r="AI27" s="3074"/>
      <c r="AJ27" s="3074"/>
      <c r="AK27" s="3074"/>
      <c r="AL27" s="3074"/>
      <c r="AM27" s="3074"/>
      <c r="AN27" s="3074"/>
      <c r="AO27" s="3074"/>
      <c r="AP27" s="3074"/>
      <c r="AQ27" s="3074"/>
      <c r="AR27" s="3074"/>
      <c r="AS27" s="3074"/>
      <c r="AT27" s="3074"/>
      <c r="AU27" s="3074"/>
      <c r="AV27" s="3074"/>
      <c r="AW27" s="3074"/>
      <c r="AX27" s="3074"/>
      <c r="AY27" s="3074"/>
      <c r="AZ27" s="3074"/>
      <c r="BA27" s="1892"/>
      <c r="BB27" s="1892"/>
      <c r="BC27" s="1892"/>
      <c r="BD27" s="1892"/>
      <c r="BE27" s="1892"/>
      <c r="BF27" s="1892"/>
      <c r="BG27" s="1892"/>
      <c r="BH27" s="1892"/>
      <c r="BI27" s="1892"/>
      <c r="BJ27" s="1892"/>
      <c r="BK27" s="1892"/>
      <c r="BL27" s="1892"/>
      <c r="BM27" s="1892"/>
      <c r="BN27" s="1892"/>
      <c r="BO27" s="1892"/>
      <c r="BP27" s="1892"/>
      <c r="BQ27" s="1892"/>
      <c r="BR27" s="1892"/>
      <c r="BS27" s="1892"/>
      <c r="BT27" s="1892"/>
      <c r="BU27" s="1892"/>
      <c r="BV27" s="1892"/>
      <c r="BW27" s="1892"/>
      <c r="BX27" s="1892"/>
      <c r="BY27" s="1892"/>
      <c r="BZ27" s="1892"/>
      <c r="CA27" s="1892"/>
      <c r="CB27" s="1892"/>
      <c r="CC27" s="1892"/>
      <c r="CD27" s="1892"/>
      <c r="CE27" s="1892"/>
    </row>
    <row r="28" spans="1:83" s="1189" customFormat="1" ht="27.75">
      <c r="A28" s="222" t="s">
        <v>2320</v>
      </c>
      <c r="B28" s="223">
        <v>35</v>
      </c>
      <c r="C28" s="3083"/>
      <c r="D28" s="3081"/>
      <c r="E28" s="3082"/>
      <c r="F28" s="3082"/>
      <c r="G28" s="3077"/>
      <c r="H28" s="3077"/>
      <c r="I28" s="3077"/>
      <c r="J28" s="3077"/>
      <c r="K28" s="3607" t="s">
        <v>3000</v>
      </c>
      <c r="L28" s="3603">
        <v>2829.84</v>
      </c>
      <c r="M28" s="3603">
        <v>2800</v>
      </c>
      <c r="N28" s="3604">
        <f t="shared" si="9"/>
        <v>792.35519999999997</v>
      </c>
      <c r="O28" s="3074"/>
      <c r="P28" s="3074"/>
      <c r="Q28" s="3074"/>
      <c r="R28" s="3074"/>
      <c r="S28" s="3074"/>
      <c r="T28" s="3074"/>
      <c r="U28" s="3074"/>
      <c r="V28" s="3074"/>
      <c r="W28" s="3074"/>
      <c r="X28" s="3074"/>
      <c r="Y28" s="3074"/>
      <c r="Z28" s="3074"/>
      <c r="AA28" s="3074"/>
      <c r="AB28" s="3074"/>
      <c r="AC28" s="3074"/>
      <c r="AD28" s="3074"/>
      <c r="AE28" s="3074"/>
      <c r="AF28" s="3074"/>
      <c r="AG28" s="3074"/>
      <c r="AH28" s="3074"/>
      <c r="AI28" s="3074"/>
      <c r="AJ28" s="3074"/>
      <c r="AK28" s="3074"/>
      <c r="AL28" s="3074"/>
      <c r="AM28" s="3074"/>
      <c r="AN28" s="3074"/>
      <c r="AO28" s="3074"/>
      <c r="AP28" s="3074"/>
      <c r="AQ28" s="3074"/>
      <c r="AR28" s="3074"/>
      <c r="AS28" s="3074"/>
      <c r="AT28" s="3074"/>
      <c r="AU28" s="3074"/>
      <c r="AV28" s="3074"/>
      <c r="AW28" s="3074"/>
      <c r="AX28" s="3074"/>
      <c r="AY28" s="3074"/>
      <c r="AZ28" s="3074"/>
      <c r="BA28" s="1892"/>
      <c r="BB28" s="1892"/>
      <c r="BC28" s="1892"/>
      <c r="BD28" s="1892"/>
      <c r="BE28" s="1892"/>
      <c r="BF28" s="1892"/>
      <c r="BG28" s="1892"/>
      <c r="BH28" s="1892"/>
      <c r="BI28" s="1892"/>
      <c r="BJ28" s="1892"/>
      <c r="BK28" s="1892"/>
      <c r="BL28" s="1892"/>
      <c r="BM28" s="1892"/>
      <c r="BN28" s="1892"/>
      <c r="BO28" s="1892"/>
      <c r="BP28" s="1892"/>
      <c r="BQ28" s="1892"/>
      <c r="BR28" s="1892"/>
      <c r="BS28" s="1892"/>
      <c r="BT28" s="1892"/>
      <c r="BU28" s="1892"/>
      <c r="BV28" s="1892"/>
      <c r="BW28" s="1892"/>
      <c r="BX28" s="1892"/>
      <c r="BY28" s="1892"/>
      <c r="BZ28" s="1892"/>
      <c r="CA28" s="1892"/>
      <c r="CB28" s="1892"/>
      <c r="CC28" s="1892"/>
      <c r="CD28" s="1892"/>
      <c r="CE28" s="1892"/>
    </row>
    <row r="29" spans="1:83" s="1189" customFormat="1" ht="28.5" thickBot="1">
      <c r="A29" s="225" t="s">
        <v>2318</v>
      </c>
      <c r="B29" s="226"/>
      <c r="C29" s="3091" t="s">
        <v>2321</v>
      </c>
      <c r="D29" s="3081"/>
      <c r="E29" s="3082"/>
      <c r="F29" s="3082"/>
      <c r="G29" s="3077"/>
      <c r="H29" s="3077"/>
      <c r="I29" s="3077"/>
      <c r="J29" s="3077"/>
      <c r="K29" s="3607" t="s">
        <v>35</v>
      </c>
      <c r="L29" s="3603">
        <v>93168.14</v>
      </c>
      <c r="M29" s="3603">
        <v>2600</v>
      </c>
      <c r="N29" s="3604">
        <f t="shared" si="9"/>
        <v>24223.716400000001</v>
      </c>
      <c r="O29" s="3074"/>
      <c r="P29" s="3074"/>
      <c r="Q29" s="3074"/>
      <c r="R29" s="3074"/>
      <c r="S29" s="3074"/>
      <c r="T29" s="3074"/>
      <c r="U29" s="3074"/>
      <c r="V29" s="3074"/>
      <c r="W29" s="3074"/>
      <c r="X29" s="3074"/>
      <c r="Y29" s="3074"/>
      <c r="Z29" s="3074"/>
      <c r="AA29" s="3074"/>
      <c r="AB29" s="3074"/>
      <c r="AC29" s="3074"/>
      <c r="AD29" s="3074"/>
      <c r="AE29" s="3074"/>
      <c r="AF29" s="3074"/>
      <c r="AG29" s="3074"/>
      <c r="AH29" s="3074"/>
      <c r="AI29" s="3074"/>
      <c r="AJ29" s="3074"/>
      <c r="AK29" s="3074"/>
      <c r="AL29" s="3074"/>
      <c r="AM29" s="3074"/>
      <c r="AN29" s="3074"/>
      <c r="AO29" s="3074"/>
      <c r="AP29" s="3074"/>
      <c r="AQ29" s="3074"/>
      <c r="AR29" s="3074"/>
      <c r="AS29" s="3074"/>
      <c r="AT29" s="3074"/>
      <c r="AU29" s="3074"/>
      <c r="AV29" s="3074"/>
      <c r="AW29" s="3074"/>
      <c r="AX29" s="3074"/>
      <c r="AY29" s="3074"/>
      <c r="AZ29" s="3074"/>
      <c r="BA29" s="1892"/>
      <c r="BB29" s="1892"/>
      <c r="BC29" s="1892"/>
      <c r="BD29" s="1892"/>
      <c r="BE29" s="1892"/>
      <c r="BF29" s="1892"/>
      <c r="BG29" s="1892"/>
      <c r="BH29" s="1892"/>
      <c r="BI29" s="1892"/>
      <c r="BJ29" s="1892"/>
      <c r="BK29" s="1892"/>
      <c r="BL29" s="1892"/>
      <c r="BM29" s="1892"/>
      <c r="BN29" s="1892"/>
      <c r="BO29" s="1892"/>
      <c r="BP29" s="1892"/>
      <c r="BQ29" s="1892"/>
      <c r="BR29" s="1892"/>
      <c r="BS29" s="1892"/>
      <c r="BT29" s="1892"/>
      <c r="BU29" s="1892"/>
      <c r="BV29" s="1892"/>
      <c r="BW29" s="1892"/>
      <c r="BX29" s="1892"/>
      <c r="BY29" s="1892"/>
      <c r="BZ29" s="1892"/>
      <c r="CA29" s="1892"/>
      <c r="CB29" s="1892"/>
      <c r="CC29" s="1892"/>
      <c r="CD29" s="1892"/>
      <c r="CE29" s="1892"/>
    </row>
    <row r="30" spans="1:83" s="1189" customFormat="1" ht="27">
      <c r="A30" s="229" t="s">
        <v>273</v>
      </c>
      <c r="B30" s="957">
        <v>250</v>
      </c>
      <c r="C30" s="3083"/>
      <c r="D30" s="3081"/>
      <c r="E30" s="3082"/>
      <c r="F30" s="3082"/>
      <c r="G30" s="3077"/>
      <c r="H30" s="3077"/>
      <c r="I30" s="3077"/>
      <c r="J30" s="3077"/>
      <c r="K30" s="3607">
        <v>0</v>
      </c>
      <c r="L30" s="3603">
        <v>0</v>
      </c>
      <c r="M30" s="3603"/>
      <c r="N30" s="3604">
        <f t="shared" si="9"/>
        <v>0</v>
      </c>
      <c r="O30" s="3074"/>
      <c r="P30" s="3074"/>
      <c r="Q30" s="3074"/>
      <c r="R30" s="3074"/>
      <c r="S30" s="3074"/>
      <c r="T30" s="3074"/>
      <c r="U30" s="3074"/>
      <c r="V30" s="3074"/>
      <c r="W30" s="3074"/>
      <c r="X30" s="3074"/>
      <c r="Y30" s="3074"/>
      <c r="Z30" s="3074"/>
      <c r="AA30" s="3074"/>
      <c r="AB30" s="3074"/>
      <c r="AC30" s="3074"/>
      <c r="AD30" s="3074"/>
      <c r="AE30" s="3074"/>
      <c r="AF30" s="3074"/>
      <c r="AG30" s="3074"/>
      <c r="AH30" s="3074"/>
      <c r="AI30" s="3074"/>
      <c r="AJ30" s="3074"/>
      <c r="AK30" s="3074"/>
      <c r="AL30" s="3074"/>
      <c r="AM30" s="3074"/>
      <c r="AN30" s="3074"/>
      <c r="AO30" s="3074"/>
      <c r="AP30" s="3074"/>
      <c r="AQ30" s="3074"/>
      <c r="AR30" s="3074"/>
      <c r="AS30" s="3074"/>
      <c r="AT30" s="3074"/>
      <c r="AU30" s="3074"/>
      <c r="AV30" s="3074"/>
      <c r="AW30" s="3074"/>
      <c r="AX30" s="3074"/>
      <c r="AY30" s="3074"/>
      <c r="AZ30" s="3074"/>
      <c r="BA30" s="1892"/>
      <c r="BB30" s="1892"/>
      <c r="BC30" s="1892"/>
      <c r="BD30" s="1892"/>
      <c r="BE30" s="1892"/>
      <c r="BF30" s="1892"/>
      <c r="BG30" s="1892"/>
      <c r="BH30" s="1892"/>
      <c r="BI30" s="1892"/>
      <c r="BJ30" s="1892"/>
      <c r="BK30" s="1892"/>
      <c r="BL30" s="1892"/>
      <c r="BM30" s="1892"/>
      <c r="BN30" s="1892"/>
      <c r="BO30" s="1892"/>
      <c r="BP30" s="1892"/>
      <c r="BQ30" s="1892"/>
      <c r="BR30" s="1892"/>
      <c r="BS30" s="1892"/>
      <c r="BT30" s="1892"/>
      <c r="BU30" s="1892"/>
      <c r="BV30" s="1892"/>
      <c r="BW30" s="1892"/>
      <c r="BX30" s="1892"/>
      <c r="BY30" s="1892"/>
      <c r="BZ30" s="1892"/>
      <c r="CA30" s="1892"/>
      <c r="CB30" s="1892"/>
      <c r="CC30" s="1892"/>
      <c r="CD30" s="1892"/>
      <c r="CE30" s="1892"/>
    </row>
    <row r="31" spans="1:83" s="1189" customFormat="1" ht="27">
      <c r="A31" s="222" t="s">
        <v>274</v>
      </c>
      <c r="B31" s="224">
        <f>B30-B32</f>
        <v>50</v>
      </c>
      <c r="C31" s="3080"/>
      <c r="D31" s="3081"/>
      <c r="E31" s="3082"/>
      <c r="F31" s="3082"/>
      <c r="G31" s="3077"/>
      <c r="H31" s="3077"/>
      <c r="I31" s="3077"/>
      <c r="J31" s="3077"/>
      <c r="K31" s="3606">
        <v>0</v>
      </c>
      <c r="L31" s="3603">
        <v>0</v>
      </c>
      <c r="M31" s="3603"/>
      <c r="N31" s="3604">
        <f t="shared" si="9"/>
        <v>0</v>
      </c>
      <c r="O31" s="3074"/>
      <c r="P31" s="3074"/>
      <c r="Q31" s="3074"/>
      <c r="R31" s="3074"/>
      <c r="S31" s="3074"/>
      <c r="T31" s="3074"/>
      <c r="U31" s="3074"/>
      <c r="V31" s="3074"/>
      <c r="W31" s="3074"/>
      <c r="X31" s="3074"/>
      <c r="Y31" s="3074"/>
      <c r="Z31" s="3074"/>
      <c r="AA31" s="3074"/>
      <c r="AB31" s="3074"/>
      <c r="AC31" s="3074"/>
      <c r="AD31" s="3074"/>
      <c r="AE31" s="3074"/>
      <c r="AF31" s="3074"/>
      <c r="AG31" s="3074"/>
      <c r="AH31" s="3074"/>
      <c r="AI31" s="3074"/>
      <c r="AJ31" s="3074"/>
      <c r="AK31" s="3074"/>
      <c r="AL31" s="3074"/>
      <c r="AM31" s="3074"/>
      <c r="AN31" s="3074"/>
      <c r="AO31" s="3074"/>
      <c r="AP31" s="3074"/>
      <c r="AQ31" s="3074"/>
      <c r="AR31" s="3074"/>
      <c r="AS31" s="3074"/>
      <c r="AT31" s="3074"/>
      <c r="AU31" s="3074"/>
      <c r="AV31" s="3074"/>
      <c r="AW31" s="3074"/>
      <c r="AX31" s="3074"/>
      <c r="AY31" s="3074"/>
      <c r="AZ31" s="3074"/>
      <c r="BA31" s="1892"/>
      <c r="BB31" s="1892"/>
      <c r="BC31" s="1892"/>
      <c r="BD31" s="1892"/>
      <c r="BE31" s="1892"/>
      <c r="BF31" s="1892"/>
      <c r="BG31" s="1892"/>
      <c r="BH31" s="1892"/>
      <c r="BI31" s="1892"/>
      <c r="BJ31" s="1892"/>
      <c r="BK31" s="1892"/>
      <c r="BL31" s="1892"/>
      <c r="BM31" s="1892"/>
      <c r="BN31" s="1892"/>
      <c r="BO31" s="1892"/>
      <c r="BP31" s="1892"/>
      <c r="BQ31" s="1892"/>
      <c r="BR31" s="1892"/>
      <c r="BS31" s="1892"/>
      <c r="BT31" s="1892"/>
      <c r="BU31" s="1892"/>
      <c r="BV31" s="1892"/>
      <c r="BW31" s="1892"/>
      <c r="BX31" s="1892"/>
      <c r="BY31" s="1892"/>
      <c r="BZ31" s="1892"/>
      <c r="CA31" s="1892"/>
      <c r="CB31" s="1892"/>
      <c r="CC31" s="1892"/>
      <c r="CD31" s="1892"/>
      <c r="CE31" s="1892"/>
    </row>
    <row r="32" spans="1:83" s="1189" customFormat="1" ht="27.75" thickBot="1">
      <c r="A32" s="230" t="s">
        <v>275</v>
      </c>
      <c r="B32" s="1316">
        <v>200</v>
      </c>
      <c r="C32" s="3083"/>
      <c r="D32" s="3078"/>
      <c r="E32" s="3082"/>
      <c r="F32" s="3077"/>
      <c r="G32" s="3077"/>
      <c r="H32" s="3077"/>
      <c r="I32" s="3077"/>
      <c r="J32" s="3077"/>
      <c r="K32" s="3607" t="s">
        <v>2298</v>
      </c>
      <c r="L32" s="3603">
        <v>83547.989999999816</v>
      </c>
      <c r="M32" s="3603">
        <v>2800</v>
      </c>
      <c r="N32" s="3604">
        <f t="shared" si="9"/>
        <v>23393.437199999949</v>
      </c>
      <c r="O32" s="3074"/>
      <c r="P32" s="3074"/>
      <c r="Q32" s="3074"/>
      <c r="R32" s="3074"/>
      <c r="S32" s="3074"/>
      <c r="T32" s="3074"/>
      <c r="U32" s="3074"/>
      <c r="V32" s="3074"/>
      <c r="W32" s="3074"/>
      <c r="X32" s="3074"/>
      <c r="Y32" s="3074"/>
      <c r="Z32" s="3074"/>
      <c r="AA32" s="3074"/>
      <c r="AB32" s="3074"/>
      <c r="AC32" s="3074"/>
      <c r="AD32" s="3074"/>
      <c r="AE32" s="3074"/>
      <c r="AF32" s="3074"/>
      <c r="AG32" s="3074"/>
      <c r="AH32" s="3074"/>
      <c r="AI32" s="3074"/>
      <c r="AJ32" s="3074"/>
      <c r="AK32" s="3074"/>
      <c r="AL32" s="3074"/>
      <c r="AM32" s="3074"/>
      <c r="AN32" s="3074"/>
      <c r="AO32" s="3074"/>
      <c r="AP32" s="3074"/>
      <c r="AQ32" s="3074"/>
      <c r="AR32" s="3074"/>
      <c r="AS32" s="3074"/>
      <c r="AT32" s="3074"/>
      <c r="AU32" s="3074"/>
      <c r="AV32" s="3074"/>
      <c r="AW32" s="3074"/>
      <c r="AX32" s="3074"/>
      <c r="AY32" s="3074"/>
      <c r="AZ32" s="3074"/>
      <c r="BA32" s="1892"/>
      <c r="BB32" s="1892"/>
      <c r="BC32" s="1892"/>
      <c r="BD32" s="1892"/>
      <c r="BE32" s="1892"/>
      <c r="BF32" s="1892"/>
      <c r="BG32" s="1892"/>
      <c r="BH32" s="1892"/>
      <c r="BI32" s="1892"/>
      <c r="BJ32" s="1892"/>
      <c r="BK32" s="1892"/>
      <c r="BL32" s="1892"/>
      <c r="BM32" s="1892"/>
      <c r="BN32" s="1892"/>
      <c r="BO32" s="1892"/>
      <c r="BP32" s="1892"/>
      <c r="BQ32" s="1892"/>
      <c r="BR32" s="1892"/>
      <c r="BS32" s="1892"/>
      <c r="BT32" s="1892"/>
      <c r="BU32" s="1892"/>
      <c r="BV32" s="1892"/>
      <c r="BW32" s="1892"/>
      <c r="BX32" s="1892"/>
      <c r="BY32" s="1892"/>
      <c r="BZ32" s="1892"/>
      <c r="CA32" s="1892"/>
      <c r="CB32" s="1892"/>
      <c r="CC32" s="1892"/>
      <c r="CD32" s="1892"/>
      <c r="CE32" s="1892"/>
    </row>
    <row r="33" spans="1:83" s="1189" customFormat="1" ht="14.25">
      <c r="A33" s="221" t="s">
        <v>278</v>
      </c>
      <c r="B33" s="1317">
        <v>0.05</v>
      </c>
      <c r="C33" s="3092" t="s">
        <v>2966</v>
      </c>
      <c r="D33" s="3081"/>
      <c r="E33" s="3082"/>
      <c r="F33" s="3082"/>
      <c r="G33" s="3077"/>
      <c r="H33" s="3077"/>
      <c r="I33" s="3077"/>
      <c r="J33" s="3077"/>
      <c r="K33" s="3607"/>
      <c r="L33" s="3603">
        <v>871016.53</v>
      </c>
      <c r="M33" s="3605">
        <f>N33/L33*10000</f>
        <v>2614.7734808201626</v>
      </c>
      <c r="N33" s="3604">
        <f>SUM(N24:N32)</f>
        <v>227751.09239999999</v>
      </c>
      <c r="O33" s="3074"/>
      <c r="P33" s="3074"/>
      <c r="Q33" s="3074"/>
      <c r="R33" s="3074"/>
      <c r="S33" s="3074"/>
      <c r="T33" s="3074"/>
      <c r="U33" s="3074"/>
      <c r="V33" s="3074"/>
      <c r="W33" s="3074"/>
      <c r="X33" s="3074"/>
      <c r="Y33" s="3074"/>
      <c r="Z33" s="3074"/>
      <c r="AA33" s="3074"/>
      <c r="AB33" s="3074"/>
      <c r="AC33" s="3074"/>
      <c r="AD33" s="3074"/>
      <c r="AE33" s="3074"/>
      <c r="AF33" s="3074"/>
      <c r="AG33" s="3074"/>
      <c r="AH33" s="3074"/>
      <c r="AI33" s="3074"/>
      <c r="AJ33" s="3074"/>
      <c r="AK33" s="3074"/>
      <c r="AL33" s="3074"/>
      <c r="AM33" s="3074"/>
      <c r="AN33" s="3074"/>
      <c r="AO33" s="3074"/>
      <c r="AP33" s="3074"/>
      <c r="AQ33" s="3074"/>
      <c r="AR33" s="3074"/>
      <c r="AS33" s="3074"/>
      <c r="AT33" s="3074"/>
      <c r="AU33" s="3074"/>
      <c r="AV33" s="3074"/>
      <c r="AW33" s="3074"/>
      <c r="AX33" s="3074"/>
      <c r="AY33" s="3074"/>
      <c r="AZ33" s="3074"/>
      <c r="BA33" s="1892"/>
      <c r="BB33" s="1892"/>
      <c r="BC33" s="1892"/>
      <c r="BD33" s="1892"/>
      <c r="BE33" s="1892"/>
      <c r="BF33" s="1892"/>
      <c r="BG33" s="1892"/>
      <c r="BH33" s="1892"/>
      <c r="BI33" s="1892"/>
      <c r="BJ33" s="1892"/>
      <c r="BK33" s="1892"/>
      <c r="BL33" s="1892"/>
      <c r="BM33" s="1892"/>
      <c r="BN33" s="1892"/>
      <c r="BO33" s="1892"/>
      <c r="BP33" s="1892"/>
      <c r="BQ33" s="1892"/>
      <c r="BR33" s="1892"/>
      <c r="BS33" s="1892"/>
      <c r="BT33" s="1892"/>
      <c r="BU33" s="1892"/>
      <c r="BV33" s="1892"/>
      <c r="BW33" s="1892"/>
      <c r="BX33" s="1892"/>
      <c r="BY33" s="1892"/>
      <c r="BZ33" s="1892"/>
      <c r="CA33" s="1892"/>
      <c r="CB33" s="1892"/>
      <c r="CC33" s="1892"/>
      <c r="CD33" s="1892"/>
      <c r="CE33" s="1892"/>
    </row>
    <row r="34" spans="1:83" ht="14.25">
      <c r="A34" s="222" t="s">
        <v>279</v>
      </c>
      <c r="B34" s="227">
        <v>0.05</v>
      </c>
      <c r="C34" s="3092" t="s">
        <v>2967</v>
      </c>
      <c r="D34" s="3093" t="s">
        <v>2975</v>
      </c>
      <c r="E34" s="3585">
        <v>0.08</v>
      </c>
      <c r="F34" s="3077"/>
      <c r="G34" s="3077"/>
      <c r="H34" s="3077"/>
      <c r="I34" s="3077"/>
      <c r="J34" s="3077"/>
      <c r="K34" s="3076"/>
      <c r="L34" s="3076"/>
      <c r="M34" s="3074"/>
      <c r="N34" s="3074"/>
      <c r="O34" s="3074"/>
      <c r="P34" s="3074"/>
      <c r="Q34" s="3074"/>
      <c r="R34" s="3074"/>
      <c r="S34" s="3074"/>
      <c r="T34" s="3074"/>
      <c r="U34" s="3074"/>
      <c r="V34" s="3074"/>
      <c r="W34" s="3074"/>
      <c r="X34" s="3074"/>
      <c r="Y34" s="3074"/>
      <c r="Z34" s="3074"/>
      <c r="AA34" s="3074"/>
      <c r="AB34" s="3074"/>
      <c r="AC34" s="3074"/>
      <c r="AD34" s="3074"/>
      <c r="AE34" s="3074"/>
      <c r="AF34" s="3074"/>
      <c r="AG34" s="3074"/>
      <c r="AH34" s="3074"/>
      <c r="AI34" s="3074"/>
      <c r="AJ34" s="3074"/>
      <c r="AK34" s="3074"/>
      <c r="AL34" s="3074"/>
      <c r="AM34" s="3074"/>
      <c r="AN34" s="3074"/>
      <c r="AO34" s="3074"/>
      <c r="AP34" s="3074"/>
      <c r="AQ34" s="3074"/>
      <c r="AR34" s="3074"/>
      <c r="AS34" s="3074"/>
      <c r="AT34" s="3074"/>
      <c r="AU34" s="3074"/>
      <c r="AV34" s="3074"/>
      <c r="AW34" s="3074"/>
      <c r="AX34" s="3074"/>
      <c r="AY34" s="3074"/>
      <c r="AZ34" s="3074"/>
    </row>
    <row r="35" spans="1:83" ht="14.25">
      <c r="A35" s="222" t="s">
        <v>276</v>
      </c>
      <c r="B35" s="223">
        <v>200</v>
      </c>
      <c r="C35" s="3092" t="s">
        <v>2968</v>
      </c>
      <c r="D35" s="3078"/>
      <c r="E35" s="3082"/>
      <c r="F35" s="3077"/>
      <c r="G35" s="3077"/>
      <c r="H35" s="3077"/>
      <c r="I35" s="3077"/>
      <c r="J35" s="3077"/>
      <c r="K35" s="3076"/>
      <c r="L35" s="3076"/>
      <c r="M35" s="3631" t="s">
        <v>11226</v>
      </c>
      <c r="N35" s="3632">
        <f>N33/SUM(L24:L28)*10000</f>
        <v>3316.2831678417674</v>
      </c>
      <c r="O35" s="3074"/>
      <c r="P35" s="3074"/>
      <c r="Q35" s="3074"/>
      <c r="R35" s="3074"/>
      <c r="S35" s="3074"/>
      <c r="T35" s="3074"/>
      <c r="U35" s="3074"/>
      <c r="V35" s="3074"/>
      <c r="W35" s="3074"/>
      <c r="X35" s="3074"/>
      <c r="Y35" s="3074"/>
      <c r="Z35" s="3074"/>
      <c r="AA35" s="3074"/>
      <c r="AB35" s="3074"/>
      <c r="AC35" s="3074"/>
      <c r="AD35" s="3074"/>
      <c r="AE35" s="3074"/>
      <c r="AF35" s="3074"/>
      <c r="AG35" s="3074"/>
      <c r="AH35" s="3074"/>
      <c r="AI35" s="3074"/>
      <c r="AJ35" s="3074"/>
      <c r="AK35" s="3074"/>
      <c r="AL35" s="3074"/>
      <c r="AM35" s="3074"/>
      <c r="AN35" s="3074"/>
      <c r="AO35" s="3074"/>
      <c r="AP35" s="3074"/>
      <c r="AQ35" s="3074"/>
      <c r="AR35" s="3074"/>
      <c r="AS35" s="3074"/>
      <c r="AT35" s="3074"/>
      <c r="AU35" s="3074"/>
      <c r="AV35" s="3074"/>
      <c r="AW35" s="3074"/>
      <c r="AX35" s="3074"/>
      <c r="AY35" s="3074"/>
      <c r="AZ35" s="3074"/>
    </row>
    <row r="36" spans="1:83" ht="15" thickBot="1">
      <c r="A36" s="225" t="s">
        <v>277</v>
      </c>
      <c r="B36" s="228">
        <v>1.4999999999999999E-2</v>
      </c>
      <c r="C36" s="3092" t="s">
        <v>2969</v>
      </c>
      <c r="D36" s="3075"/>
      <c r="E36" s="3076"/>
      <c r="F36" s="3077"/>
      <c r="G36" s="3077"/>
      <c r="H36" s="3077"/>
      <c r="I36" s="3077"/>
      <c r="J36" s="3077"/>
      <c r="K36" s="3076"/>
      <c r="L36" s="3076"/>
      <c r="M36" s="3631"/>
      <c r="N36" s="3632"/>
      <c r="O36" s="3074"/>
      <c r="P36" s="3074"/>
      <c r="Q36" s="3074"/>
      <c r="R36" s="3074"/>
      <c r="S36" s="3074"/>
      <c r="T36" s="3074"/>
      <c r="U36" s="3074"/>
      <c r="V36" s="3074"/>
      <c r="W36" s="3074"/>
      <c r="X36" s="3074"/>
      <c r="Y36" s="3074"/>
      <c r="Z36" s="3074"/>
      <c r="AA36" s="3074"/>
      <c r="AB36" s="3074"/>
      <c r="AC36" s="3074"/>
      <c r="AD36" s="3074"/>
      <c r="AE36" s="3074"/>
      <c r="AF36" s="3074"/>
      <c r="AG36" s="3074"/>
      <c r="AH36" s="3074"/>
      <c r="AI36" s="3074"/>
      <c r="AJ36" s="3074"/>
      <c r="AK36" s="3074"/>
      <c r="AL36" s="3074"/>
      <c r="AM36" s="3074"/>
      <c r="AN36" s="3074"/>
      <c r="AO36" s="3074"/>
      <c r="AP36" s="3074"/>
      <c r="AQ36" s="3074"/>
      <c r="AR36" s="3074"/>
      <c r="AS36" s="3074"/>
      <c r="AT36" s="3074"/>
      <c r="AU36" s="3074"/>
      <c r="AV36" s="3074"/>
      <c r="AW36" s="3074"/>
      <c r="AX36" s="3074"/>
      <c r="AY36" s="3074"/>
      <c r="AZ36" s="3074"/>
    </row>
    <row r="37" spans="1:83" ht="14.25">
      <c r="A37" s="229" t="s">
        <v>280</v>
      </c>
      <c r="B37" s="3587">
        <v>0.02</v>
      </c>
      <c r="C37" s="3092" t="s">
        <v>2970</v>
      </c>
      <c r="D37" s="3078"/>
      <c r="E37" s="3586">
        <v>0.03</v>
      </c>
      <c r="F37" s="3077"/>
      <c r="G37" s="3077"/>
      <c r="H37" s="3077"/>
      <c r="I37" s="3077"/>
      <c r="J37" s="3077"/>
      <c r="K37" s="3076"/>
      <c r="L37" s="3076"/>
      <c r="M37" s="3074"/>
      <c r="N37" s="3074"/>
      <c r="O37" s="3074"/>
      <c r="P37" s="3074"/>
      <c r="Q37" s="3074"/>
      <c r="R37" s="3074"/>
      <c r="S37" s="3074"/>
      <c r="T37" s="3074"/>
      <c r="U37" s="3074"/>
      <c r="V37" s="3074"/>
      <c r="W37" s="3074"/>
      <c r="X37" s="3074"/>
      <c r="Y37" s="3074"/>
      <c r="Z37" s="3074"/>
      <c r="AA37" s="3074"/>
      <c r="AB37" s="3074"/>
      <c r="AC37" s="3074"/>
      <c r="AD37" s="3074"/>
      <c r="AE37" s="3074"/>
      <c r="AF37" s="3074"/>
      <c r="AG37" s="3074"/>
      <c r="AH37" s="3074"/>
      <c r="AI37" s="3074"/>
      <c r="AJ37" s="3074"/>
      <c r="AK37" s="3074"/>
      <c r="AL37" s="3074"/>
      <c r="AM37" s="3074"/>
      <c r="AN37" s="3074"/>
      <c r="AO37" s="3074"/>
      <c r="AP37" s="3074"/>
      <c r="AQ37" s="3074"/>
      <c r="AR37" s="3074"/>
      <c r="AS37" s="3074"/>
      <c r="AT37" s="3074"/>
      <c r="AU37" s="3074"/>
      <c r="AV37" s="3074"/>
      <c r="AW37" s="3074"/>
      <c r="AX37" s="3074"/>
      <c r="AY37" s="3074"/>
      <c r="AZ37" s="3074"/>
    </row>
    <row r="38" spans="1:83" ht="14.25">
      <c r="A38" s="222" t="s">
        <v>281</v>
      </c>
      <c r="B38" s="227">
        <v>0.05</v>
      </c>
      <c r="C38" s="3092" t="s">
        <v>2970</v>
      </c>
      <c r="D38" s="3078"/>
      <c r="E38" s="3586">
        <v>3.5000000000000003E-2</v>
      </c>
      <c r="F38" s="3077"/>
      <c r="G38" s="3077"/>
      <c r="H38" s="3077"/>
      <c r="I38" s="3077"/>
      <c r="J38" s="3077"/>
      <c r="K38" s="3076"/>
      <c r="L38" s="3076"/>
      <c r="M38" s="3074"/>
      <c r="N38" s="3074"/>
      <c r="O38" s="3074"/>
      <c r="P38" s="3074"/>
      <c r="Q38" s="3074"/>
      <c r="R38" s="3074"/>
      <c r="S38" s="3074"/>
      <c r="T38" s="3074"/>
      <c r="U38" s="3074"/>
      <c r="V38" s="3074"/>
      <c r="W38" s="3074"/>
      <c r="X38" s="3074"/>
      <c r="Y38" s="3074"/>
      <c r="Z38" s="3074"/>
      <c r="AA38" s="3074"/>
      <c r="AB38" s="3074"/>
      <c r="AC38" s="3074"/>
      <c r="AD38" s="3074"/>
      <c r="AE38" s="3074"/>
      <c r="AF38" s="3074"/>
      <c r="AG38" s="3074"/>
      <c r="AH38" s="3074"/>
      <c r="AI38" s="3074"/>
      <c r="AJ38" s="3074"/>
      <c r="AK38" s="3074"/>
      <c r="AL38" s="3074"/>
      <c r="AM38" s="3074"/>
      <c r="AN38" s="3074"/>
      <c r="AO38" s="3074"/>
      <c r="AP38" s="3074"/>
      <c r="AQ38" s="3074"/>
      <c r="AR38" s="3074"/>
      <c r="AS38" s="3074"/>
      <c r="AT38" s="3074"/>
      <c r="AU38" s="3074"/>
      <c r="AV38" s="3074"/>
      <c r="AW38" s="3074"/>
      <c r="AX38" s="3074"/>
      <c r="AY38" s="3074"/>
      <c r="AZ38" s="3074"/>
    </row>
    <row r="39" spans="1:83" ht="14.25">
      <c r="A39" s="2327" t="s">
        <v>2432</v>
      </c>
      <c r="B39" s="782">
        <f ca="1">存贷款利率!C4</f>
        <v>1.4999999999999999E-2</v>
      </c>
      <c r="C39" s="3084"/>
      <c r="D39" s="3078"/>
      <c r="E39" s="3082"/>
      <c r="F39" s="3077"/>
      <c r="G39" s="3077"/>
      <c r="H39" s="3077"/>
      <c r="I39" s="3077"/>
      <c r="J39" s="3077"/>
      <c r="K39" s="3076"/>
      <c r="L39" s="3076"/>
      <c r="M39" s="3074"/>
      <c r="N39" s="3074"/>
      <c r="O39" s="3074"/>
      <c r="P39" s="3074"/>
      <c r="Q39" s="3074"/>
      <c r="R39" s="3074"/>
      <c r="S39" s="3074"/>
      <c r="T39" s="3074"/>
      <c r="U39" s="3074"/>
      <c r="V39" s="3074"/>
      <c r="W39" s="3074"/>
      <c r="X39" s="3074"/>
      <c r="Y39" s="3074"/>
      <c r="Z39" s="3074"/>
      <c r="AA39" s="3074"/>
      <c r="AB39" s="3074"/>
      <c r="AC39" s="3074"/>
      <c r="AD39" s="3074"/>
      <c r="AE39" s="3074"/>
      <c r="AF39" s="3074"/>
      <c r="AG39" s="3074"/>
      <c r="AH39" s="3074"/>
      <c r="AI39" s="3074"/>
      <c r="AJ39" s="3074"/>
      <c r="AK39" s="3074"/>
      <c r="AL39" s="3074"/>
      <c r="AM39" s="3074"/>
      <c r="AN39" s="3074"/>
      <c r="AO39" s="3074"/>
      <c r="AP39" s="3074"/>
      <c r="AQ39" s="3074"/>
      <c r="AR39" s="3074"/>
      <c r="AS39" s="3074"/>
      <c r="AT39" s="3074"/>
      <c r="AU39" s="3074"/>
      <c r="AV39" s="3074"/>
      <c r="AW39" s="3074"/>
      <c r="AX39" s="3074"/>
      <c r="AY39" s="3074"/>
      <c r="AZ39" s="3074"/>
    </row>
    <row r="40" spans="1:83" ht="15" thickBot="1">
      <c r="A40" s="2327" t="s">
        <v>2433</v>
      </c>
      <c r="B40" s="2319">
        <f ca="1">存贷款利率!E2</f>
        <v>4.7500000000000001E-2</v>
      </c>
      <c r="C40" s="3092" t="s">
        <v>2971</v>
      </c>
      <c r="D40" s="3078"/>
      <c r="E40" s="3082"/>
      <c r="F40" s="3077"/>
      <c r="G40" s="3077"/>
      <c r="H40" s="3077"/>
      <c r="I40" s="3077"/>
      <c r="J40" s="3077"/>
      <c r="K40" s="3076"/>
      <c r="L40" s="3076"/>
      <c r="M40" s="3074"/>
      <c r="N40" s="3074"/>
      <c r="O40" s="3074"/>
      <c r="P40" s="3074"/>
      <c r="Q40" s="3074"/>
      <c r="R40" s="3074"/>
      <c r="S40" s="3074"/>
      <c r="T40" s="3074"/>
      <c r="U40" s="3074"/>
      <c r="V40" s="3074"/>
      <c r="W40" s="3074"/>
      <c r="X40" s="3074"/>
      <c r="Y40" s="3074"/>
      <c r="Z40" s="3074"/>
      <c r="AA40" s="3074"/>
      <c r="AB40" s="3074"/>
      <c r="AC40" s="3074"/>
      <c r="AD40" s="3074"/>
      <c r="AE40" s="3074"/>
      <c r="AF40" s="3074"/>
      <c r="AG40" s="3074"/>
      <c r="AH40" s="3074"/>
      <c r="AI40" s="3074"/>
      <c r="AJ40" s="3074"/>
      <c r="AK40" s="3074"/>
      <c r="AL40" s="3074"/>
      <c r="AM40" s="3074"/>
      <c r="AN40" s="3074"/>
      <c r="AO40" s="3074"/>
      <c r="AP40" s="3074"/>
      <c r="AQ40" s="3074"/>
      <c r="AR40" s="3074"/>
      <c r="AS40" s="3074"/>
      <c r="AT40" s="3074"/>
      <c r="AU40" s="3074"/>
      <c r="AV40" s="3074"/>
      <c r="AW40" s="3074"/>
      <c r="AX40" s="3074"/>
      <c r="AY40" s="3074"/>
      <c r="AZ40" s="3074"/>
    </row>
    <row r="41" spans="1:83" ht="14.25">
      <c r="A41" s="221" t="s">
        <v>282</v>
      </c>
      <c r="B41" s="231">
        <f>B42+B43</f>
        <v>5.5000000000000007E-2</v>
      </c>
      <c r="C41" s="3080"/>
      <c r="D41" s="3078"/>
      <c r="E41" s="3082"/>
      <c r="F41" s="3077"/>
      <c r="G41" s="3077"/>
      <c r="H41" s="3077"/>
      <c r="I41" s="3077"/>
      <c r="J41" s="3077"/>
      <c r="K41" s="3076"/>
      <c r="L41" s="3076"/>
      <c r="M41" s="3074"/>
      <c r="N41" s="3074"/>
      <c r="O41" s="3074"/>
      <c r="P41" s="3074"/>
      <c r="Q41" s="3074"/>
      <c r="R41" s="3074"/>
      <c r="S41" s="3074"/>
      <c r="T41" s="3074"/>
      <c r="U41" s="3074"/>
      <c r="V41" s="3074"/>
      <c r="W41" s="3074"/>
      <c r="X41" s="3074"/>
      <c r="Y41" s="3074"/>
      <c r="Z41" s="3074"/>
      <c r="AA41" s="3074"/>
      <c r="AB41" s="3074"/>
      <c r="AC41" s="3074"/>
      <c r="AD41" s="3074"/>
      <c r="AE41" s="3074"/>
      <c r="AF41" s="3074"/>
      <c r="AG41" s="3074"/>
      <c r="AH41" s="3074"/>
      <c r="AI41" s="3074"/>
      <c r="AJ41" s="3074"/>
      <c r="AK41" s="3074"/>
      <c r="AL41" s="3074"/>
      <c r="AM41" s="3074"/>
      <c r="AN41" s="3074"/>
      <c r="AO41" s="3074"/>
      <c r="AP41" s="3074"/>
      <c r="AQ41" s="3074"/>
      <c r="AR41" s="3074"/>
      <c r="AS41" s="3074"/>
      <c r="AT41" s="3074"/>
      <c r="AU41" s="3074"/>
      <c r="AV41" s="3074"/>
      <c r="AW41" s="3074"/>
      <c r="AX41" s="3074"/>
      <c r="AY41" s="3074"/>
      <c r="AZ41" s="3074"/>
    </row>
    <row r="42" spans="1:83" ht="14.25">
      <c r="A42" s="958" t="s">
        <v>283</v>
      </c>
      <c r="B42" s="233">
        <v>0.05</v>
      </c>
      <c r="C42" s="3094">
        <f>IF(B2&lt;DATE(2016,5,1),0,B42)</f>
        <v>0.05</v>
      </c>
      <c r="D42" s="3078"/>
      <c r="E42" s="3082"/>
      <c r="F42" s="3077"/>
      <c r="G42" s="3077"/>
      <c r="H42" s="3077"/>
      <c r="I42" s="3077"/>
      <c r="J42" s="3077"/>
      <c r="K42" s="3076"/>
      <c r="L42" s="3076"/>
      <c r="M42" s="3074"/>
      <c r="N42" s="3074"/>
      <c r="O42" s="3074"/>
      <c r="P42" s="3074"/>
      <c r="Q42" s="3074"/>
      <c r="R42" s="3074"/>
      <c r="S42" s="3074"/>
      <c r="T42" s="3074"/>
      <c r="U42" s="3074"/>
      <c r="V42" s="3074"/>
      <c r="W42" s="3074"/>
      <c r="X42" s="3074"/>
      <c r="Y42" s="3074"/>
      <c r="Z42" s="3074"/>
      <c r="AA42" s="3074"/>
      <c r="AB42" s="3074"/>
      <c r="AC42" s="3074"/>
      <c r="AD42" s="3074"/>
      <c r="AE42" s="3074"/>
      <c r="AF42" s="3074"/>
      <c r="AG42" s="3074"/>
      <c r="AH42" s="3074"/>
      <c r="AI42" s="3074"/>
      <c r="AJ42" s="3074"/>
      <c r="AK42" s="3074"/>
      <c r="AL42" s="3074"/>
      <c r="AM42" s="3074"/>
      <c r="AN42" s="3074"/>
      <c r="AO42" s="3074"/>
      <c r="AP42" s="3074"/>
      <c r="AQ42" s="3074"/>
      <c r="AR42" s="3074"/>
      <c r="AS42" s="3074"/>
      <c r="AT42" s="3074"/>
      <c r="AU42" s="3074"/>
      <c r="AV42" s="3074"/>
      <c r="AW42" s="3074"/>
      <c r="AX42" s="3074"/>
      <c r="AY42" s="3074"/>
      <c r="AZ42" s="3074"/>
    </row>
    <row r="43" spans="1:83" ht="14.25">
      <c r="A43" s="958" t="s">
        <v>284</v>
      </c>
      <c r="B43" s="234">
        <f>B42*(B44+B45+B46)+B47</f>
        <v>5.000000000000001E-3</v>
      </c>
      <c r="C43" s="3080"/>
      <c r="D43" s="3078"/>
      <c r="E43" s="3082"/>
      <c r="F43" s="3077"/>
      <c r="G43" s="3077"/>
      <c r="H43" s="3077"/>
      <c r="I43" s="3077"/>
      <c r="J43" s="3077"/>
      <c r="K43" s="3076"/>
      <c r="L43" s="3076"/>
      <c r="M43" s="3074"/>
      <c r="N43" s="3074"/>
      <c r="O43" s="3074"/>
      <c r="P43" s="3074"/>
      <c r="Q43" s="3074"/>
      <c r="R43" s="3074"/>
      <c r="S43" s="3074"/>
      <c r="T43" s="3074"/>
      <c r="U43" s="3074"/>
      <c r="V43" s="3074"/>
      <c r="W43" s="3074"/>
      <c r="X43" s="3074"/>
      <c r="Y43" s="3074"/>
      <c r="Z43" s="3074"/>
      <c r="AA43" s="3074"/>
      <c r="AB43" s="3074"/>
      <c r="AC43" s="3074"/>
      <c r="AD43" s="3074"/>
      <c r="AE43" s="3074"/>
      <c r="AF43" s="3074"/>
      <c r="AG43" s="3074"/>
      <c r="AH43" s="3074"/>
      <c r="AI43" s="3074"/>
      <c r="AJ43" s="3074"/>
      <c r="AK43" s="3074"/>
      <c r="AL43" s="3074"/>
      <c r="AM43" s="3074"/>
      <c r="AN43" s="3074"/>
      <c r="AO43" s="3074"/>
      <c r="AP43" s="3074"/>
      <c r="AQ43" s="3074"/>
      <c r="AR43" s="3074"/>
      <c r="AS43" s="3074"/>
      <c r="AT43" s="3074"/>
      <c r="AU43" s="3074"/>
      <c r="AV43" s="3074"/>
      <c r="AW43" s="3074"/>
      <c r="AX43" s="3074"/>
      <c r="AY43" s="3074"/>
      <c r="AZ43" s="3074"/>
    </row>
    <row r="44" spans="1:83" ht="14.25">
      <c r="A44" s="232" t="s">
        <v>285</v>
      </c>
      <c r="B44" s="3351">
        <v>0.05</v>
      </c>
      <c r="C44" s="3092" t="s">
        <v>2976</v>
      </c>
      <c r="D44" s="3078"/>
      <c r="E44" s="3082"/>
      <c r="F44" s="3077"/>
      <c r="G44" s="3077"/>
      <c r="H44" s="3077"/>
      <c r="I44" s="3077"/>
      <c r="J44" s="3077"/>
      <c r="K44" s="3076"/>
      <c r="L44" s="3076"/>
      <c r="M44" s="3074"/>
      <c r="N44" s="3074"/>
      <c r="O44" s="3074"/>
      <c r="P44" s="3074"/>
      <c r="Q44" s="3074"/>
      <c r="R44" s="3074"/>
      <c r="S44" s="3074"/>
      <c r="T44" s="3074"/>
      <c r="U44" s="3074"/>
      <c r="V44" s="3074"/>
      <c r="W44" s="3074"/>
      <c r="X44" s="3074"/>
      <c r="Y44" s="3074"/>
      <c r="Z44" s="3074"/>
      <c r="AA44" s="3074"/>
      <c r="AB44" s="3074"/>
      <c r="AC44" s="3074"/>
      <c r="AD44" s="3074"/>
      <c r="AE44" s="3074"/>
      <c r="AF44" s="3074"/>
      <c r="AG44" s="3074"/>
      <c r="AH44" s="3074"/>
      <c r="AI44" s="3074"/>
      <c r="AJ44" s="3074"/>
      <c r="AK44" s="3074"/>
      <c r="AL44" s="3074"/>
      <c r="AM44" s="3074"/>
      <c r="AN44" s="3074"/>
      <c r="AO44" s="3074"/>
      <c r="AP44" s="3074"/>
      <c r="AQ44" s="3074"/>
      <c r="AR44" s="3074"/>
      <c r="AS44" s="3074"/>
      <c r="AT44" s="3074"/>
      <c r="AU44" s="3074"/>
      <c r="AV44" s="3074"/>
      <c r="AW44" s="3074"/>
      <c r="AX44" s="3074"/>
      <c r="AY44" s="3074"/>
      <c r="AZ44" s="3074"/>
    </row>
    <row r="45" spans="1:83" ht="14.25">
      <c r="A45" s="232" t="s">
        <v>286</v>
      </c>
      <c r="B45" s="3352">
        <v>0.03</v>
      </c>
      <c r="C45" s="3095" t="s">
        <v>2972</v>
      </c>
      <c r="D45" s="3078"/>
      <c r="E45" s="3082"/>
      <c r="F45" s="3077"/>
      <c r="G45" s="3077"/>
      <c r="H45" s="3077"/>
      <c r="I45" s="3077"/>
      <c r="J45" s="3077"/>
      <c r="K45" s="3076"/>
      <c r="L45" s="3076"/>
      <c r="M45" s="3074"/>
      <c r="N45" s="3074"/>
      <c r="O45" s="3074"/>
      <c r="P45" s="3074"/>
      <c r="Q45" s="3074"/>
      <c r="R45" s="3074"/>
      <c r="S45" s="3074"/>
      <c r="T45" s="3074"/>
      <c r="U45" s="3074"/>
      <c r="V45" s="3074"/>
      <c r="W45" s="3074"/>
      <c r="X45" s="3074"/>
      <c r="Y45" s="3074"/>
      <c r="Z45" s="3074"/>
      <c r="AA45" s="3074"/>
      <c r="AB45" s="3074"/>
      <c r="AC45" s="3074"/>
      <c r="AD45" s="3074"/>
      <c r="AE45" s="3074"/>
      <c r="AF45" s="3074"/>
      <c r="AG45" s="3074"/>
      <c r="AH45" s="3074"/>
      <c r="AI45" s="3074"/>
      <c r="AJ45" s="3074"/>
      <c r="AK45" s="3074"/>
      <c r="AL45" s="3074"/>
      <c r="AM45" s="3074"/>
      <c r="AN45" s="3074"/>
      <c r="AO45" s="3074"/>
      <c r="AP45" s="3074"/>
      <c r="AQ45" s="3074"/>
      <c r="AR45" s="3074"/>
      <c r="AS45" s="3074"/>
      <c r="AT45" s="3074"/>
      <c r="AU45" s="3074"/>
      <c r="AV45" s="3074"/>
      <c r="AW45" s="3074"/>
      <c r="AX45" s="3074"/>
      <c r="AY45" s="3074"/>
      <c r="AZ45" s="3074"/>
    </row>
    <row r="46" spans="1:83" ht="14.25">
      <c r="A46" s="232" t="s">
        <v>287</v>
      </c>
      <c r="B46" s="3352">
        <v>0.02</v>
      </c>
      <c r="C46" s="3095" t="s">
        <v>2973</v>
      </c>
      <c r="D46" s="3078"/>
      <c r="E46" s="3082"/>
      <c r="F46" s="3077"/>
      <c r="G46" s="3077"/>
      <c r="H46" s="3077"/>
      <c r="I46" s="3077"/>
      <c r="J46" s="3077"/>
      <c r="K46" s="3076"/>
      <c r="L46" s="3076"/>
      <c r="M46" s="3074"/>
      <c r="N46" s="3074"/>
      <c r="O46" s="3074"/>
      <c r="P46" s="3074"/>
      <c r="Q46" s="3074"/>
      <c r="R46" s="3074"/>
      <c r="S46" s="3074"/>
      <c r="T46" s="3074"/>
      <c r="U46" s="3074"/>
      <c r="V46" s="3074"/>
      <c r="W46" s="3074"/>
      <c r="X46" s="3074"/>
      <c r="Y46" s="3074"/>
      <c r="Z46" s="3074"/>
      <c r="AA46" s="3074"/>
      <c r="AB46" s="3074"/>
      <c r="AC46" s="3074"/>
      <c r="AD46" s="3074"/>
      <c r="AE46" s="3074"/>
      <c r="AF46" s="3074"/>
      <c r="AG46" s="3074"/>
      <c r="AH46" s="3074"/>
      <c r="AI46" s="3074"/>
      <c r="AJ46" s="3074"/>
      <c r="AK46" s="3074"/>
      <c r="AL46" s="3074"/>
      <c r="AM46" s="3074"/>
      <c r="AN46" s="3074"/>
      <c r="AO46" s="3074"/>
      <c r="AP46" s="3074"/>
      <c r="AQ46" s="3074"/>
      <c r="AR46" s="3074"/>
      <c r="AS46" s="3074"/>
      <c r="AT46" s="3074"/>
      <c r="AU46" s="3074"/>
      <c r="AV46" s="3074"/>
      <c r="AW46" s="3074"/>
      <c r="AX46" s="3074"/>
      <c r="AY46" s="3074"/>
      <c r="AZ46" s="3074"/>
    </row>
    <row r="47" spans="1:83" ht="15" thickBot="1">
      <c r="A47" s="235" t="s">
        <v>288</v>
      </c>
      <c r="B47" s="3353"/>
      <c r="C47" s="3090" t="s">
        <v>2980</v>
      </c>
      <c r="D47" s="3078"/>
      <c r="E47" s="3082"/>
      <c r="F47" s="3077"/>
      <c r="G47" s="3077"/>
      <c r="H47" s="3077"/>
      <c r="I47" s="3077"/>
      <c r="J47" s="3077"/>
      <c r="K47" s="3076"/>
      <c r="L47" s="3076"/>
      <c r="M47" s="3074"/>
      <c r="N47" s="3074"/>
      <c r="O47" s="3074"/>
      <c r="P47" s="3074"/>
      <c r="Q47" s="3074"/>
      <c r="R47" s="3074"/>
      <c r="S47" s="3074"/>
      <c r="T47" s="3074"/>
      <c r="U47" s="3074"/>
      <c r="V47" s="3074"/>
      <c r="W47" s="3074"/>
      <c r="X47" s="3074"/>
      <c r="Y47" s="3074"/>
      <c r="Z47" s="3074"/>
      <c r="AA47" s="3074"/>
      <c r="AB47" s="3074"/>
      <c r="AC47" s="3074"/>
      <c r="AD47" s="3074"/>
      <c r="AE47" s="3074"/>
      <c r="AF47" s="3074"/>
      <c r="AG47" s="3074"/>
      <c r="AH47" s="3074"/>
      <c r="AI47" s="3074"/>
      <c r="AJ47" s="3074"/>
      <c r="AK47" s="3074"/>
      <c r="AL47" s="3074"/>
      <c r="AM47" s="3074"/>
      <c r="AN47" s="3074"/>
      <c r="AO47" s="3074"/>
      <c r="AP47" s="3074"/>
      <c r="AQ47" s="3074"/>
      <c r="AR47" s="3074"/>
      <c r="AS47" s="3074"/>
      <c r="AT47" s="3074"/>
      <c r="AU47" s="3074"/>
      <c r="AV47" s="3074"/>
      <c r="AW47" s="3074"/>
      <c r="AX47" s="3074"/>
      <c r="AY47" s="3074"/>
      <c r="AZ47" s="3074"/>
    </row>
    <row r="48" spans="1:83" ht="14.25">
      <c r="A48" s="236" t="s">
        <v>289</v>
      </c>
      <c r="B48" s="3354">
        <v>0.04</v>
      </c>
      <c r="C48" s="3095" t="s">
        <v>2972</v>
      </c>
      <c r="D48" s="3078"/>
      <c r="E48" s="3082"/>
      <c r="F48" s="3077"/>
      <c r="G48" s="3077"/>
      <c r="H48" s="3077"/>
      <c r="I48" s="3077"/>
      <c r="J48" s="3077"/>
      <c r="K48" s="3076"/>
      <c r="L48" s="3076"/>
      <c r="M48" s="3074"/>
      <c r="N48" s="3074"/>
      <c r="O48" s="3074"/>
      <c r="P48" s="3074"/>
      <c r="Q48" s="3074"/>
      <c r="R48" s="3074"/>
      <c r="S48" s="3074"/>
      <c r="T48" s="3074"/>
      <c r="U48" s="3074"/>
      <c r="V48" s="3074"/>
      <c r="W48" s="3074"/>
      <c r="X48" s="3074"/>
      <c r="Y48" s="3074"/>
      <c r="Z48" s="3074"/>
      <c r="AA48" s="3074"/>
      <c r="AB48" s="3074"/>
      <c r="AC48" s="3074"/>
      <c r="AD48" s="3074"/>
      <c r="AE48" s="3074"/>
      <c r="AF48" s="3074"/>
      <c r="AG48" s="3074"/>
      <c r="AH48" s="3074"/>
      <c r="AI48" s="3074"/>
      <c r="AJ48" s="3074"/>
      <c r="AK48" s="3074"/>
      <c r="AL48" s="3074"/>
      <c r="AM48" s="3074"/>
      <c r="AN48" s="3074"/>
      <c r="AO48" s="3074"/>
      <c r="AP48" s="3074"/>
      <c r="AQ48" s="3074"/>
      <c r="AR48" s="3074"/>
      <c r="AS48" s="3074"/>
      <c r="AT48" s="3074"/>
      <c r="AU48" s="3074"/>
      <c r="AV48" s="3074"/>
      <c r="AW48" s="3074"/>
      <c r="AX48" s="3074"/>
      <c r="AY48" s="3074"/>
      <c r="AZ48" s="3074"/>
    </row>
    <row r="49" spans="1:52" ht="15" thickBot="1">
      <c r="A49" s="230" t="s">
        <v>290</v>
      </c>
      <c r="B49" s="3352">
        <v>5.0000000000000001E-4</v>
      </c>
      <c r="C49" s="3095" t="s">
        <v>2974</v>
      </c>
      <c r="D49" s="3078"/>
      <c r="E49" s="3082"/>
      <c r="F49" s="3077"/>
      <c r="G49" s="3077"/>
      <c r="H49" s="3077"/>
      <c r="I49" s="3077"/>
      <c r="J49" s="3077"/>
      <c r="K49" s="3076"/>
      <c r="L49" s="3076"/>
      <c r="M49" s="3074"/>
      <c r="N49" s="3074"/>
      <c r="O49" s="3074"/>
      <c r="P49" s="3074"/>
      <c r="Q49" s="3074"/>
      <c r="R49" s="3074"/>
      <c r="S49" s="3074"/>
      <c r="T49" s="3074"/>
      <c r="U49" s="3074"/>
      <c r="V49" s="3074"/>
      <c r="W49" s="3074"/>
      <c r="X49" s="3074"/>
      <c r="Y49" s="3074"/>
      <c r="Z49" s="3074"/>
      <c r="AA49" s="3074"/>
      <c r="AB49" s="3074"/>
      <c r="AC49" s="3074"/>
      <c r="AD49" s="3074"/>
      <c r="AE49" s="3074"/>
      <c r="AF49" s="3074"/>
      <c r="AG49" s="3074"/>
      <c r="AH49" s="3074"/>
      <c r="AI49" s="3074"/>
      <c r="AJ49" s="3074"/>
      <c r="AK49" s="3074"/>
      <c r="AL49" s="3074"/>
      <c r="AM49" s="3074"/>
      <c r="AN49" s="3074"/>
      <c r="AO49" s="3074"/>
      <c r="AP49" s="3074"/>
      <c r="AQ49" s="3074"/>
      <c r="AR49" s="3074"/>
      <c r="AS49" s="3074"/>
      <c r="AT49" s="3074"/>
      <c r="AU49" s="3074"/>
      <c r="AV49" s="3074"/>
      <c r="AW49" s="3074"/>
      <c r="AX49" s="3074"/>
      <c r="AY49" s="3074"/>
      <c r="AZ49" s="3074"/>
    </row>
    <row r="50" spans="1:52" ht="14.25">
      <c r="A50" s="237" t="s">
        <v>291</v>
      </c>
      <c r="B50" s="238">
        <v>1.2E-2</v>
      </c>
      <c r="C50" s="3083"/>
      <c r="D50" s="3078"/>
      <c r="E50" s="3082"/>
      <c r="F50" s="3077"/>
      <c r="G50" s="3077"/>
      <c r="H50" s="3077"/>
      <c r="I50" s="3077"/>
      <c r="J50" s="3077"/>
      <c r="K50" s="3076"/>
      <c r="L50" s="3076"/>
      <c r="M50" s="3074"/>
      <c r="N50" s="3074"/>
      <c r="O50" s="3074"/>
      <c r="P50" s="3074"/>
      <c r="Q50" s="3074"/>
      <c r="R50" s="3074"/>
      <c r="S50" s="3074"/>
      <c r="T50" s="3074"/>
      <c r="U50" s="3074"/>
      <c r="V50" s="3074"/>
      <c r="W50" s="3074"/>
      <c r="X50" s="3074"/>
      <c r="Y50" s="3074"/>
      <c r="Z50" s="3074"/>
      <c r="AA50" s="3074"/>
      <c r="AB50" s="3074"/>
      <c r="AC50" s="3074"/>
      <c r="AD50" s="3074"/>
      <c r="AE50" s="3074"/>
      <c r="AF50" s="3074"/>
      <c r="AG50" s="3074"/>
      <c r="AH50" s="3074"/>
      <c r="AI50" s="3074"/>
      <c r="AJ50" s="3074"/>
      <c r="AK50" s="3074"/>
      <c r="AL50" s="3074"/>
      <c r="AM50" s="3074"/>
      <c r="AN50" s="3074"/>
      <c r="AO50" s="3074"/>
      <c r="AP50" s="3074"/>
      <c r="AQ50" s="3074"/>
      <c r="AR50" s="3074"/>
      <c r="AS50" s="3074"/>
      <c r="AT50" s="3074"/>
      <c r="AU50" s="3074"/>
      <c r="AV50" s="3074"/>
      <c r="AW50" s="3074"/>
      <c r="AX50" s="3074"/>
      <c r="AY50" s="3074"/>
      <c r="AZ50" s="3074"/>
    </row>
    <row r="51" spans="1:52" ht="15" thickBot="1">
      <c r="A51" s="225" t="s">
        <v>292</v>
      </c>
      <c r="B51" s="239">
        <v>0.12</v>
      </c>
      <c r="C51" s="3083"/>
      <c r="D51" s="3078"/>
      <c r="E51" s="3082"/>
      <c r="F51" s="3077"/>
      <c r="G51" s="3077"/>
      <c r="H51" s="3077"/>
      <c r="I51" s="3077"/>
      <c r="J51" s="3077"/>
      <c r="K51" s="3076"/>
      <c r="L51" s="3076"/>
      <c r="M51" s="3074"/>
      <c r="N51" s="3074"/>
      <c r="O51" s="3074"/>
      <c r="P51" s="3074"/>
      <c r="Q51" s="3074"/>
      <c r="R51" s="3074"/>
      <c r="S51" s="3074"/>
      <c r="T51" s="3074"/>
      <c r="U51" s="3074"/>
      <c r="V51" s="3074"/>
      <c r="W51" s="3074"/>
      <c r="X51" s="3074"/>
      <c r="Y51" s="3074"/>
      <c r="Z51" s="3074"/>
      <c r="AA51" s="3074"/>
      <c r="AB51" s="3074"/>
      <c r="AC51" s="3074"/>
      <c r="AD51" s="3074"/>
      <c r="AE51" s="3074"/>
      <c r="AF51" s="3074"/>
      <c r="AG51" s="3074"/>
      <c r="AH51" s="3074"/>
      <c r="AI51" s="3074"/>
      <c r="AJ51" s="3074"/>
      <c r="AK51" s="3074"/>
      <c r="AL51" s="3074"/>
      <c r="AM51" s="3074"/>
      <c r="AN51" s="3074"/>
      <c r="AO51" s="3074"/>
      <c r="AP51" s="3074"/>
      <c r="AQ51" s="3074"/>
      <c r="AR51" s="3074"/>
      <c r="AS51" s="3074"/>
      <c r="AT51" s="3074"/>
      <c r="AU51" s="3074"/>
      <c r="AV51" s="3074"/>
      <c r="AW51" s="3074"/>
      <c r="AX51" s="3074"/>
      <c r="AY51" s="3074"/>
      <c r="AZ51" s="3074"/>
    </row>
    <row r="52" spans="1:52" ht="14.25">
      <c r="A52" s="237" t="s">
        <v>293</v>
      </c>
      <c r="B52" s="240">
        <f>SUMIF(A54:A63,B53,B54:B63)</f>
        <v>12</v>
      </c>
      <c r="C52" s="3083"/>
      <c r="D52" s="3078"/>
      <c r="E52" s="3082"/>
      <c r="F52" s="3077"/>
      <c r="G52" s="3077"/>
      <c r="H52" s="3077"/>
      <c r="I52" s="3077"/>
      <c r="J52" s="3077"/>
      <c r="K52" s="3076"/>
      <c r="L52" s="3076"/>
      <c r="M52" s="3074"/>
      <c r="N52" s="3074"/>
      <c r="O52" s="3074"/>
      <c r="P52" s="3074"/>
      <c r="Q52" s="3074"/>
      <c r="R52" s="3074"/>
      <c r="S52" s="3074"/>
      <c r="T52" s="3074"/>
      <c r="U52" s="3074"/>
      <c r="V52" s="3074"/>
      <c r="W52" s="3074"/>
      <c r="X52" s="3074"/>
      <c r="Y52" s="3074"/>
      <c r="Z52" s="3074"/>
      <c r="AA52" s="3074"/>
      <c r="AB52" s="3074"/>
      <c r="AC52" s="3074"/>
      <c r="AD52" s="3074"/>
      <c r="AE52" s="3074"/>
      <c r="AF52" s="3074"/>
      <c r="AG52" s="3074"/>
      <c r="AH52" s="3074"/>
      <c r="AI52" s="3074"/>
      <c r="AJ52" s="3074"/>
      <c r="AK52" s="3074"/>
      <c r="AL52" s="3074"/>
      <c r="AM52" s="3074"/>
      <c r="AN52" s="3074"/>
      <c r="AO52" s="3074"/>
      <c r="AP52" s="3074"/>
      <c r="AQ52" s="3074"/>
      <c r="AR52" s="3074"/>
      <c r="AS52" s="3074"/>
      <c r="AT52" s="3074"/>
      <c r="AU52" s="3074"/>
      <c r="AV52" s="3074"/>
      <c r="AW52" s="3074"/>
      <c r="AX52" s="3074"/>
      <c r="AY52" s="3074"/>
      <c r="AZ52" s="3074"/>
    </row>
    <row r="53" spans="1:52" ht="27">
      <c r="A53" s="222" t="s">
        <v>294</v>
      </c>
      <c r="B53" s="241" t="s">
        <v>1086</v>
      </c>
      <c r="C53" s="3085" t="s">
        <v>2863</v>
      </c>
      <c r="D53" s="3096" t="s">
        <v>2977</v>
      </c>
      <c r="E53" s="3082"/>
      <c r="F53" s="3077"/>
      <c r="G53" s="3077"/>
      <c r="H53" s="3077"/>
      <c r="I53" s="3077"/>
      <c r="J53" s="3077"/>
      <c r="K53" s="3076"/>
      <c r="L53" s="3076"/>
      <c r="M53" s="3074"/>
      <c r="N53" s="3074"/>
      <c r="O53" s="3074"/>
      <c r="P53" s="3074"/>
      <c r="Q53" s="3074"/>
      <c r="R53" s="3074"/>
      <c r="S53" s="3074"/>
      <c r="T53" s="3074"/>
      <c r="U53" s="3074"/>
      <c r="V53" s="3074"/>
      <c r="W53" s="3074"/>
      <c r="X53" s="3074"/>
      <c r="Y53" s="3074"/>
      <c r="Z53" s="3074"/>
      <c r="AA53" s="3074"/>
      <c r="AB53" s="3074"/>
      <c r="AC53" s="3074"/>
      <c r="AD53" s="3074"/>
      <c r="AE53" s="3074"/>
      <c r="AF53" s="3074"/>
      <c r="AG53" s="3074"/>
      <c r="AH53" s="3074"/>
      <c r="AI53" s="3074"/>
      <c r="AJ53" s="3074"/>
      <c r="AK53" s="3074"/>
      <c r="AL53" s="3074"/>
      <c r="AM53" s="3074"/>
      <c r="AN53" s="3074"/>
      <c r="AO53" s="3074"/>
      <c r="AP53" s="3074"/>
      <c r="AQ53" s="3074"/>
      <c r="AR53" s="3074"/>
      <c r="AS53" s="3074"/>
      <c r="AT53" s="3074"/>
      <c r="AU53" s="3074"/>
      <c r="AV53" s="3074"/>
      <c r="AW53" s="3074"/>
      <c r="AX53" s="3074"/>
      <c r="AY53" s="3074"/>
      <c r="AZ53" s="3074"/>
    </row>
    <row r="54" spans="1:52" ht="14.25">
      <c r="A54" s="2759" t="s">
        <v>2864</v>
      </c>
      <c r="B54" s="3358">
        <v>12</v>
      </c>
      <c r="C54" s="3082">
        <v>30</v>
      </c>
      <c r="D54" s="3086"/>
      <c r="E54" s="3082"/>
      <c r="F54" s="3077"/>
      <c r="G54" s="3077"/>
      <c r="H54" s="3077"/>
      <c r="I54" s="3077"/>
      <c r="J54" s="3077"/>
      <c r="K54" s="3076"/>
      <c r="L54" s="3076"/>
      <c r="M54" s="3074"/>
      <c r="N54" s="3074"/>
      <c r="O54" s="3074"/>
      <c r="P54" s="3074"/>
      <c r="Q54" s="3074"/>
      <c r="R54" s="3074"/>
      <c r="S54" s="3074"/>
      <c r="T54" s="3074"/>
      <c r="U54" s="3074"/>
      <c r="V54" s="3074"/>
      <c r="W54" s="3074"/>
      <c r="X54" s="3074"/>
      <c r="Y54" s="3074"/>
      <c r="Z54" s="3074"/>
      <c r="AA54" s="3074"/>
      <c r="AB54" s="3074"/>
      <c r="AC54" s="3074"/>
      <c r="AD54" s="3074"/>
      <c r="AE54" s="3074"/>
      <c r="AF54" s="3074"/>
      <c r="AG54" s="3074"/>
      <c r="AH54" s="3074"/>
      <c r="AI54" s="3074"/>
      <c r="AJ54" s="3074"/>
      <c r="AK54" s="3074"/>
      <c r="AL54" s="3074"/>
      <c r="AM54" s="3074"/>
      <c r="AN54" s="3074"/>
      <c r="AO54" s="3074"/>
      <c r="AP54" s="3074"/>
      <c r="AQ54" s="3074"/>
      <c r="AR54" s="3074"/>
      <c r="AS54" s="3074"/>
      <c r="AT54" s="3074"/>
      <c r="AU54" s="3074"/>
      <c r="AV54" s="3074"/>
      <c r="AW54" s="3074"/>
      <c r="AX54" s="3074"/>
      <c r="AY54" s="3074"/>
      <c r="AZ54" s="3074"/>
    </row>
    <row r="55" spans="1:52" ht="14.25">
      <c r="A55" s="2759" t="s">
        <v>2865</v>
      </c>
      <c r="B55" s="184"/>
      <c r="C55" s="3082">
        <v>24</v>
      </c>
      <c r="D55" s="3086"/>
      <c r="E55" s="3082"/>
      <c r="F55" s="3077"/>
      <c r="G55" s="3077"/>
      <c r="H55" s="3077"/>
      <c r="I55" s="3087"/>
      <c r="J55" s="3077"/>
      <c r="K55" s="3076"/>
      <c r="L55" s="3076"/>
      <c r="M55" s="3074"/>
      <c r="N55" s="3074"/>
      <c r="O55" s="3074"/>
      <c r="P55" s="3074"/>
      <c r="Q55" s="3074"/>
      <c r="R55" s="3074"/>
      <c r="S55" s="3074"/>
      <c r="T55" s="3074"/>
      <c r="U55" s="3074"/>
      <c r="V55" s="3074"/>
      <c r="W55" s="3074"/>
      <c r="X55" s="3074"/>
      <c r="Y55" s="3074"/>
      <c r="Z55" s="3074"/>
      <c r="AA55" s="3074"/>
      <c r="AB55" s="3074"/>
      <c r="AC55" s="3074"/>
      <c r="AD55" s="3074"/>
      <c r="AE55" s="3074"/>
      <c r="AF55" s="3074"/>
      <c r="AG55" s="3074"/>
      <c r="AH55" s="3074"/>
      <c r="AI55" s="3074"/>
      <c r="AJ55" s="3074"/>
      <c r="AK55" s="3074"/>
      <c r="AL55" s="3074"/>
      <c r="AM55" s="3074"/>
      <c r="AN55" s="3074"/>
      <c r="AO55" s="3074"/>
      <c r="AP55" s="3074"/>
      <c r="AQ55" s="3074"/>
      <c r="AR55" s="3074"/>
      <c r="AS55" s="3074"/>
      <c r="AT55" s="3074"/>
      <c r="AU55" s="3074"/>
      <c r="AV55" s="3074"/>
      <c r="AW55" s="3074"/>
      <c r="AX55" s="3074"/>
      <c r="AY55" s="3074"/>
      <c r="AZ55" s="3074"/>
    </row>
    <row r="56" spans="1:52" ht="14.25">
      <c r="A56" s="2759" t="s">
        <v>2866</v>
      </c>
      <c r="B56" s="184"/>
      <c r="C56" s="3082">
        <v>18</v>
      </c>
      <c r="D56" s="3086"/>
      <c r="E56" s="3082"/>
      <c r="F56" s="3077"/>
      <c r="G56" s="3077"/>
      <c r="H56" s="3077"/>
      <c r="I56" s="3077"/>
      <c r="J56" s="3077"/>
      <c r="K56" s="3076"/>
      <c r="L56" s="3076"/>
      <c r="M56" s="3074"/>
      <c r="N56" s="3074"/>
      <c r="O56" s="3074"/>
      <c r="P56" s="3074"/>
      <c r="Q56" s="3074"/>
      <c r="R56" s="3074"/>
      <c r="S56" s="3074"/>
      <c r="T56" s="3074"/>
      <c r="U56" s="3074"/>
      <c r="V56" s="3074"/>
      <c r="W56" s="3074"/>
      <c r="X56" s="3074"/>
      <c r="Y56" s="3074"/>
      <c r="Z56" s="3074"/>
      <c r="AA56" s="3074"/>
      <c r="AB56" s="3074"/>
      <c r="AC56" s="3074"/>
      <c r="AD56" s="3074"/>
      <c r="AE56" s="3074"/>
      <c r="AF56" s="3074"/>
      <c r="AG56" s="3074"/>
      <c r="AH56" s="3074"/>
      <c r="AI56" s="3074"/>
      <c r="AJ56" s="3074"/>
      <c r="AK56" s="3074"/>
      <c r="AL56" s="3074"/>
      <c r="AM56" s="3074"/>
      <c r="AN56" s="3074"/>
      <c r="AO56" s="3074"/>
      <c r="AP56" s="3074"/>
      <c r="AQ56" s="3074"/>
      <c r="AR56" s="3074"/>
      <c r="AS56" s="3074"/>
      <c r="AT56" s="3074"/>
      <c r="AU56" s="3074"/>
      <c r="AV56" s="3074"/>
      <c r="AW56" s="3074"/>
      <c r="AX56" s="3074"/>
      <c r="AY56" s="3074"/>
      <c r="AZ56" s="3074"/>
    </row>
    <row r="57" spans="1:52" ht="14.25">
      <c r="A57" s="2759" t="s">
        <v>2867</v>
      </c>
      <c r="B57" s="184"/>
      <c r="C57" s="3082">
        <v>12</v>
      </c>
      <c r="D57" s="3086"/>
      <c r="E57" s="3082"/>
      <c r="F57" s="3077"/>
      <c r="G57" s="3077"/>
      <c r="H57" s="3077"/>
      <c r="I57" s="3077"/>
      <c r="J57" s="3077"/>
      <c r="K57" s="3076"/>
      <c r="L57" s="3076"/>
      <c r="M57" s="3074"/>
      <c r="N57" s="3074"/>
      <c r="O57" s="3074"/>
      <c r="P57" s="3074"/>
      <c r="Q57" s="3074"/>
      <c r="R57" s="3074"/>
      <c r="S57" s="3074"/>
      <c r="T57" s="3074"/>
      <c r="U57" s="3074"/>
      <c r="V57" s="3074"/>
      <c r="W57" s="3074"/>
      <c r="X57" s="3074"/>
      <c r="Y57" s="3074"/>
      <c r="Z57" s="3074"/>
      <c r="AA57" s="3074"/>
      <c r="AB57" s="3074"/>
      <c r="AC57" s="3074"/>
      <c r="AD57" s="3074"/>
      <c r="AE57" s="3074"/>
      <c r="AF57" s="3074"/>
      <c r="AG57" s="3074"/>
      <c r="AH57" s="3074"/>
      <c r="AI57" s="3074"/>
      <c r="AJ57" s="3074"/>
      <c r="AK57" s="3074"/>
      <c r="AL57" s="3074"/>
      <c r="AM57" s="3074"/>
      <c r="AN57" s="3074"/>
      <c r="AO57" s="3074"/>
      <c r="AP57" s="3074"/>
      <c r="AQ57" s="3074"/>
      <c r="AR57" s="3074"/>
      <c r="AS57" s="3074"/>
      <c r="AT57" s="3074"/>
      <c r="AU57" s="3074"/>
      <c r="AV57" s="3074"/>
      <c r="AW57" s="3074"/>
      <c r="AX57" s="3074"/>
      <c r="AY57" s="3074"/>
      <c r="AZ57" s="3074"/>
    </row>
    <row r="58" spans="1:52" ht="14.25">
      <c r="A58" s="2759" t="s">
        <v>2868</v>
      </c>
      <c r="B58" s="184"/>
      <c r="C58" s="3082">
        <v>3</v>
      </c>
      <c r="D58" s="3086"/>
      <c r="E58" s="3082"/>
      <c r="F58" s="3077"/>
      <c r="G58" s="3077"/>
      <c r="H58" s="3077"/>
      <c r="I58" s="3077"/>
      <c r="J58" s="3077"/>
      <c r="K58" s="3076"/>
      <c r="L58" s="3076"/>
      <c r="M58" s="3074"/>
      <c r="N58" s="3074"/>
      <c r="O58" s="3074"/>
      <c r="P58" s="3074"/>
      <c r="Q58" s="3074"/>
      <c r="R58" s="3074"/>
      <c r="S58" s="3074"/>
      <c r="T58" s="3074"/>
      <c r="U58" s="3074"/>
      <c r="V58" s="3074"/>
      <c r="W58" s="3074"/>
      <c r="X58" s="3074"/>
      <c r="Y58" s="3074"/>
      <c r="Z58" s="3074"/>
      <c r="AA58" s="3074"/>
      <c r="AB58" s="3074"/>
      <c r="AC58" s="3074"/>
      <c r="AD58" s="3074"/>
      <c r="AE58" s="3074"/>
      <c r="AF58" s="3074"/>
      <c r="AG58" s="3074"/>
      <c r="AH58" s="3074"/>
      <c r="AI58" s="3074"/>
      <c r="AJ58" s="3074"/>
      <c r="AK58" s="3074"/>
      <c r="AL58" s="3074"/>
      <c r="AM58" s="3074"/>
      <c r="AN58" s="3074"/>
      <c r="AO58" s="3074"/>
      <c r="AP58" s="3074"/>
      <c r="AQ58" s="3074"/>
      <c r="AR58" s="3074"/>
      <c r="AS58" s="3074"/>
      <c r="AT58" s="3074"/>
      <c r="AU58" s="3074"/>
      <c r="AV58" s="3074"/>
      <c r="AW58" s="3074"/>
      <c r="AX58" s="3074"/>
      <c r="AY58" s="3074"/>
      <c r="AZ58" s="3074"/>
    </row>
    <row r="59" spans="1:52" ht="14.25">
      <c r="A59" s="2759" t="s">
        <v>2869</v>
      </c>
      <c r="B59" s="184"/>
      <c r="C59" s="3082">
        <v>1.5</v>
      </c>
      <c r="D59" s="3086"/>
      <c r="E59" s="3082"/>
      <c r="F59" s="3077"/>
      <c r="G59" s="3077"/>
      <c r="H59" s="3077"/>
      <c r="I59" s="3077"/>
      <c r="J59" s="3077"/>
      <c r="K59" s="3076"/>
      <c r="L59" s="3076"/>
      <c r="M59" s="3074"/>
      <c r="N59" s="3074"/>
      <c r="O59" s="3074"/>
      <c r="P59" s="3074"/>
      <c r="Q59" s="3074"/>
      <c r="R59" s="3074"/>
      <c r="S59" s="3074"/>
      <c r="T59" s="3074"/>
      <c r="U59" s="3074"/>
      <c r="V59" s="3074"/>
      <c r="W59" s="3074"/>
      <c r="X59" s="3074"/>
      <c r="Y59" s="3074"/>
      <c r="Z59" s="3074"/>
      <c r="AA59" s="3074"/>
      <c r="AB59" s="3074"/>
      <c r="AC59" s="3074"/>
      <c r="AD59" s="3074"/>
      <c r="AE59" s="3074"/>
      <c r="AF59" s="3074"/>
      <c r="AG59" s="3074"/>
      <c r="AH59" s="3074"/>
      <c r="AI59" s="3074"/>
      <c r="AJ59" s="3074"/>
      <c r="AK59" s="3074"/>
      <c r="AL59" s="3074"/>
      <c r="AM59" s="3074"/>
      <c r="AN59" s="3074"/>
      <c r="AO59" s="3074"/>
      <c r="AP59" s="3074"/>
      <c r="AQ59" s="3074"/>
      <c r="AR59" s="3074"/>
      <c r="AS59" s="3074"/>
      <c r="AT59" s="3074"/>
      <c r="AU59" s="3074"/>
      <c r="AV59" s="3074"/>
      <c r="AW59" s="3074"/>
      <c r="AX59" s="3074"/>
      <c r="AY59" s="3074"/>
      <c r="AZ59" s="3074"/>
    </row>
    <row r="60" spans="1:52" ht="14.25">
      <c r="A60" s="2759" t="s">
        <v>2870</v>
      </c>
      <c r="B60" s="184"/>
      <c r="C60" s="3077"/>
      <c r="D60" s="3078"/>
      <c r="E60" s="3082"/>
      <c r="F60" s="3077"/>
      <c r="G60" s="3077"/>
      <c r="H60" s="3077"/>
      <c r="I60" s="3077"/>
      <c r="J60" s="3077"/>
      <c r="K60" s="3076"/>
      <c r="L60" s="3076"/>
      <c r="M60" s="3074"/>
      <c r="N60" s="3074"/>
      <c r="O60" s="3074"/>
      <c r="P60" s="3074"/>
      <c r="Q60" s="3074"/>
      <c r="R60" s="3074"/>
      <c r="S60" s="3074"/>
      <c r="T60" s="3074"/>
      <c r="U60" s="3074"/>
      <c r="V60" s="3074"/>
      <c r="W60" s="3074"/>
      <c r="X60" s="3074"/>
      <c r="Y60" s="3074"/>
      <c r="Z60" s="3074"/>
      <c r="AA60" s="3074"/>
      <c r="AB60" s="3074"/>
      <c r="AC60" s="3074"/>
      <c r="AD60" s="3074"/>
      <c r="AE60" s="3074"/>
      <c r="AF60" s="3074"/>
      <c r="AG60" s="3074"/>
      <c r="AH60" s="3074"/>
      <c r="AI60" s="3074"/>
      <c r="AJ60" s="3074"/>
      <c r="AK60" s="3074"/>
      <c r="AL60" s="3074"/>
      <c r="AM60" s="3074"/>
      <c r="AN60" s="3074"/>
      <c r="AO60" s="3074"/>
      <c r="AP60" s="3074"/>
      <c r="AQ60" s="3074"/>
      <c r="AR60" s="3074"/>
      <c r="AS60" s="3074"/>
      <c r="AT60" s="3074"/>
      <c r="AU60" s="3074"/>
      <c r="AV60" s="3074"/>
      <c r="AW60" s="3074"/>
      <c r="AX60" s="3074"/>
      <c r="AY60" s="3074"/>
      <c r="AZ60" s="3074"/>
    </row>
    <row r="61" spans="1:52" ht="14.25">
      <c r="A61" s="2759" t="s">
        <v>2871</v>
      </c>
      <c r="B61" s="184"/>
      <c r="C61" s="3077"/>
      <c r="D61" s="3078"/>
      <c r="E61" s="3082"/>
      <c r="F61" s="3077"/>
      <c r="G61" s="3077"/>
      <c r="H61" s="3077"/>
      <c r="I61" s="3077"/>
      <c r="J61" s="3077"/>
      <c r="K61" s="3076"/>
      <c r="L61" s="3076"/>
      <c r="M61" s="3074"/>
      <c r="N61" s="3074"/>
      <c r="O61" s="3074"/>
      <c r="P61" s="3074"/>
      <c r="Q61" s="3074"/>
      <c r="R61" s="3074"/>
      <c r="S61" s="3074"/>
      <c r="T61" s="3074"/>
      <c r="U61" s="3074"/>
      <c r="V61" s="3074"/>
      <c r="W61" s="3074"/>
      <c r="X61" s="3074"/>
      <c r="Y61" s="3074"/>
      <c r="Z61" s="3074"/>
      <c r="AA61" s="3074"/>
      <c r="AB61" s="3074"/>
      <c r="AC61" s="3074"/>
      <c r="AD61" s="3074"/>
      <c r="AE61" s="3074"/>
      <c r="AF61" s="3074"/>
      <c r="AG61" s="3074"/>
      <c r="AH61" s="3074"/>
      <c r="AI61" s="3074"/>
      <c r="AJ61" s="3074"/>
      <c r="AK61" s="3074"/>
      <c r="AL61" s="3074"/>
      <c r="AM61" s="3074"/>
      <c r="AN61" s="3074"/>
      <c r="AO61" s="3074"/>
      <c r="AP61" s="3074"/>
      <c r="AQ61" s="3074"/>
      <c r="AR61" s="3074"/>
      <c r="AS61" s="3074"/>
      <c r="AT61" s="3074"/>
      <c r="AU61" s="3074"/>
      <c r="AV61" s="3074"/>
      <c r="AW61" s="3074"/>
      <c r="AX61" s="3074"/>
      <c r="AY61" s="3074"/>
      <c r="AZ61" s="3074"/>
    </row>
    <row r="62" spans="1:52" ht="14.25">
      <c r="A62" s="2759" t="s">
        <v>2872</v>
      </c>
      <c r="B62" s="184"/>
      <c r="C62" s="3359" t="s">
        <v>3850</v>
      </c>
      <c r="D62" s="3078"/>
      <c r="E62" s="3082"/>
      <c r="F62" s="3077"/>
      <c r="G62" s="3077"/>
      <c r="H62" s="3077"/>
      <c r="I62" s="3077"/>
      <c r="J62" s="3077"/>
      <c r="K62" s="3076"/>
      <c r="L62" s="3076"/>
      <c r="M62" s="3074"/>
      <c r="N62" s="3074"/>
      <c r="O62" s="3074"/>
      <c r="P62" s="3074"/>
      <c r="Q62" s="3074"/>
      <c r="R62" s="3074"/>
      <c r="S62" s="3074"/>
      <c r="T62" s="3074"/>
      <c r="U62" s="3074"/>
      <c r="V62" s="3074"/>
      <c r="W62" s="3074"/>
      <c r="X62" s="3074"/>
      <c r="Y62" s="3074"/>
      <c r="Z62" s="3074"/>
      <c r="AA62" s="3074"/>
      <c r="AB62" s="3074"/>
      <c r="AC62" s="3074"/>
      <c r="AD62" s="3074"/>
      <c r="AE62" s="3074"/>
      <c r="AF62" s="3074"/>
      <c r="AG62" s="3074"/>
      <c r="AH62" s="3074"/>
      <c r="AI62" s="3074"/>
      <c r="AJ62" s="3074"/>
      <c r="AK62" s="3074"/>
      <c r="AL62" s="3074"/>
      <c r="AM62" s="3074"/>
      <c r="AN62" s="3074"/>
      <c r="AO62" s="3074"/>
      <c r="AP62" s="3074"/>
      <c r="AQ62" s="3074"/>
      <c r="AR62" s="3074"/>
      <c r="AS62" s="3074"/>
      <c r="AT62" s="3074"/>
      <c r="AU62" s="3074"/>
      <c r="AV62" s="3074"/>
      <c r="AW62" s="3074"/>
      <c r="AX62" s="3074"/>
      <c r="AY62" s="3074"/>
      <c r="AZ62" s="3074"/>
    </row>
    <row r="63" spans="1:52" ht="15" thickBot="1">
      <c r="A63" s="2760" t="s">
        <v>2873</v>
      </c>
      <c r="B63" s="242"/>
      <c r="C63" s="3077"/>
      <c r="D63" s="3078"/>
      <c r="E63" s="3082"/>
      <c r="F63" s="3077"/>
      <c r="G63" s="3077"/>
      <c r="H63" s="3077"/>
      <c r="I63" s="3077"/>
      <c r="J63" s="3077"/>
      <c r="K63" s="3076"/>
      <c r="L63" s="3076"/>
      <c r="M63" s="3074"/>
      <c r="N63" s="3074"/>
      <c r="O63" s="3074"/>
      <c r="P63" s="3074"/>
      <c r="Q63" s="3074"/>
      <c r="R63" s="3074"/>
      <c r="S63" s="3074"/>
      <c r="T63" s="3074"/>
      <c r="U63" s="3074"/>
      <c r="V63" s="3074"/>
      <c r="W63" s="3074"/>
      <c r="X63" s="3074"/>
      <c r="Y63" s="3074"/>
      <c r="Z63" s="3074"/>
      <c r="AA63" s="3074"/>
      <c r="AB63" s="3074"/>
      <c r="AC63" s="3074"/>
      <c r="AD63" s="3074"/>
      <c r="AE63" s="3074"/>
      <c r="AF63" s="3074"/>
      <c r="AG63" s="3074"/>
      <c r="AH63" s="3074"/>
      <c r="AI63" s="3074"/>
      <c r="AJ63" s="3074"/>
      <c r="AK63" s="3074"/>
      <c r="AL63" s="3074"/>
      <c r="AM63" s="3074"/>
      <c r="AN63" s="3074"/>
      <c r="AO63" s="3074"/>
      <c r="AP63" s="3074"/>
      <c r="AQ63" s="3074"/>
      <c r="AR63" s="3074"/>
      <c r="AS63" s="3074"/>
      <c r="AT63" s="3074"/>
      <c r="AU63" s="3074"/>
      <c r="AV63" s="3074"/>
      <c r="AW63" s="3074"/>
      <c r="AX63" s="3074"/>
      <c r="AY63" s="3074"/>
      <c r="AZ63" s="3074"/>
    </row>
    <row r="64" spans="1:52" s="1893" customFormat="1">
      <c r="A64" s="243"/>
      <c r="D64" s="1894"/>
      <c r="K64" s="57"/>
      <c r="L64" s="57"/>
    </row>
    <row r="65" spans="1:12" s="1893" customFormat="1">
      <c r="A65" s="243"/>
      <c r="D65" s="1894"/>
      <c r="K65" s="57"/>
      <c r="L65" s="57"/>
    </row>
    <row r="66" spans="1:12" s="1893" customFormat="1">
      <c r="A66" s="243"/>
      <c r="D66" s="1894"/>
      <c r="K66" s="57"/>
      <c r="L66" s="57"/>
    </row>
    <row r="67" spans="1:12" s="1893" customFormat="1">
      <c r="A67" s="243"/>
      <c r="D67" s="1894"/>
      <c r="K67" s="57"/>
      <c r="L67" s="57"/>
    </row>
    <row r="68" spans="1:12" s="1893" customFormat="1">
      <c r="A68" s="243"/>
      <c r="D68" s="1894"/>
      <c r="K68" s="57"/>
      <c r="L68" s="57"/>
    </row>
    <row r="69" spans="1:12" s="1893" customFormat="1">
      <c r="A69" s="243"/>
      <c r="D69" s="1894"/>
      <c r="K69" s="57"/>
      <c r="L69" s="57"/>
    </row>
    <row r="70" spans="1:12" s="1893" customFormat="1">
      <c r="A70" s="243"/>
      <c r="D70" s="1894"/>
      <c r="K70" s="57"/>
      <c r="L70" s="57"/>
    </row>
    <row r="71" spans="1:12" s="1893" customFormat="1">
      <c r="A71" s="243"/>
      <c r="D71" s="1894"/>
      <c r="K71" s="57"/>
      <c r="L71" s="57"/>
    </row>
    <row r="72" spans="1:12" s="1893" customFormat="1">
      <c r="A72" s="243"/>
      <c r="D72" s="1894"/>
      <c r="K72" s="57"/>
      <c r="L72" s="57"/>
    </row>
    <row r="73" spans="1:12" s="1893" customFormat="1">
      <c r="A73" s="243"/>
      <c r="D73" s="1894"/>
      <c r="K73" s="57"/>
      <c r="L73" s="57"/>
    </row>
    <row r="74" spans="1:12" s="1893" customFormat="1">
      <c r="A74" s="243"/>
      <c r="D74" s="1894"/>
      <c r="K74" s="57"/>
      <c r="L74" s="57"/>
    </row>
    <row r="75" spans="1:12" s="1893" customFormat="1">
      <c r="A75" s="243"/>
      <c r="D75" s="1894"/>
      <c r="K75" s="57"/>
      <c r="L75" s="57"/>
    </row>
    <row r="76" spans="1:12" s="1893" customFormat="1">
      <c r="A76" s="243"/>
      <c r="D76" s="1894"/>
      <c r="K76" s="57"/>
      <c r="L76" s="57"/>
    </row>
    <row r="77" spans="1:12" s="1893" customFormat="1">
      <c r="A77" s="243"/>
      <c r="D77" s="1894"/>
      <c r="K77" s="57"/>
      <c r="L77" s="57"/>
    </row>
    <row r="78" spans="1:12" s="1893" customFormat="1">
      <c r="A78" s="243"/>
      <c r="D78" s="1894"/>
      <c r="K78" s="57"/>
      <c r="L78" s="57"/>
    </row>
    <row r="79" spans="1:12" s="1893" customFormat="1">
      <c r="A79" s="243"/>
      <c r="D79" s="1894"/>
      <c r="K79" s="57"/>
      <c r="L79" s="57"/>
    </row>
    <row r="80" spans="1:12" s="1893" customFormat="1">
      <c r="A80" s="243"/>
      <c r="D80" s="1894"/>
      <c r="K80" s="57"/>
      <c r="L80" s="57"/>
    </row>
    <row r="81" spans="1:12" s="1893" customFormat="1">
      <c r="A81" s="243"/>
      <c r="D81" s="1894"/>
      <c r="K81" s="57"/>
      <c r="L81" s="57"/>
    </row>
    <row r="82" spans="1:12" s="1893" customFormat="1">
      <c r="A82" s="243"/>
      <c r="D82" s="1894"/>
      <c r="K82" s="57"/>
      <c r="L82" s="57"/>
    </row>
    <row r="83" spans="1:12" s="1893" customFormat="1">
      <c r="A83" s="243"/>
      <c r="D83" s="1894"/>
      <c r="K83" s="57"/>
      <c r="L83" s="57"/>
    </row>
    <row r="84" spans="1:12" s="1893" customFormat="1">
      <c r="A84" s="243"/>
      <c r="D84" s="1894"/>
      <c r="K84" s="57"/>
      <c r="L84" s="57"/>
    </row>
    <row r="85" spans="1:12" s="1893" customFormat="1">
      <c r="A85" s="243"/>
      <c r="D85" s="1894"/>
      <c r="K85" s="57"/>
      <c r="L85" s="57"/>
    </row>
    <row r="86" spans="1:12" s="1893" customFormat="1">
      <c r="A86" s="243"/>
      <c r="D86" s="1894"/>
      <c r="K86" s="57"/>
      <c r="L86" s="57"/>
    </row>
    <row r="87" spans="1:12" s="1893" customFormat="1">
      <c r="A87" s="243"/>
      <c r="D87" s="1894"/>
      <c r="K87" s="57"/>
      <c r="L87" s="57"/>
    </row>
    <row r="88" spans="1:12" s="1893" customFormat="1">
      <c r="A88" s="243"/>
      <c r="D88" s="1894"/>
      <c r="K88" s="57"/>
      <c r="L88" s="57"/>
    </row>
    <row r="89" spans="1:12" s="1893" customFormat="1">
      <c r="A89" s="243"/>
      <c r="D89" s="1894"/>
      <c r="K89" s="57"/>
      <c r="L89" s="57"/>
    </row>
    <row r="90" spans="1:12" s="1893" customFormat="1">
      <c r="A90" s="243"/>
      <c r="D90" s="1894"/>
      <c r="K90" s="57"/>
      <c r="L90" s="57"/>
    </row>
    <row r="91" spans="1:12" s="1893" customFormat="1">
      <c r="A91" s="243"/>
      <c r="D91" s="1894"/>
      <c r="K91" s="57"/>
      <c r="L91" s="57"/>
    </row>
    <row r="92" spans="1:12" s="1893" customFormat="1">
      <c r="A92" s="243"/>
      <c r="D92" s="1894"/>
      <c r="K92" s="57"/>
      <c r="L92" s="57"/>
    </row>
    <row r="93" spans="1:12" s="1893" customFormat="1">
      <c r="A93" s="243"/>
      <c r="D93" s="1894"/>
      <c r="K93" s="57"/>
      <c r="L93" s="57"/>
    </row>
    <row r="94" spans="1:12" s="1893" customFormat="1">
      <c r="A94" s="243"/>
      <c r="D94" s="1894"/>
      <c r="K94" s="57"/>
      <c r="L94" s="57"/>
    </row>
    <row r="95" spans="1:12" s="1893" customFormat="1">
      <c r="A95" s="243"/>
      <c r="D95" s="1894"/>
      <c r="K95" s="57"/>
      <c r="L95" s="57"/>
    </row>
    <row r="96" spans="1:12" s="1893" customFormat="1">
      <c r="A96" s="243"/>
      <c r="D96" s="1894"/>
      <c r="K96" s="57"/>
      <c r="L96" s="57"/>
    </row>
    <row r="97" spans="1:12" s="1893" customFormat="1">
      <c r="A97" s="243"/>
      <c r="D97" s="1894"/>
      <c r="K97" s="57"/>
      <c r="L97" s="57"/>
    </row>
    <row r="98" spans="1:12" s="1893" customFormat="1">
      <c r="A98" s="243"/>
      <c r="D98" s="1894"/>
      <c r="K98" s="57"/>
      <c r="L98" s="57"/>
    </row>
    <row r="99" spans="1:12" s="1893" customFormat="1">
      <c r="A99" s="243"/>
      <c r="D99" s="1894"/>
      <c r="K99" s="57"/>
      <c r="L99" s="57"/>
    </row>
    <row r="100" spans="1:12" s="1893" customFormat="1">
      <c r="A100" s="243"/>
      <c r="D100" s="1894"/>
      <c r="K100" s="57"/>
      <c r="L100" s="57"/>
    </row>
    <row r="101" spans="1:12" s="1893" customFormat="1">
      <c r="A101" s="243"/>
      <c r="D101" s="1894"/>
      <c r="K101" s="57"/>
      <c r="L101" s="57"/>
    </row>
    <row r="102" spans="1:12" s="1893" customFormat="1">
      <c r="A102" s="243"/>
      <c r="D102" s="1894"/>
      <c r="K102" s="57"/>
      <c r="L102" s="57"/>
    </row>
    <row r="103" spans="1:12" s="1893" customFormat="1">
      <c r="A103" s="243"/>
      <c r="D103" s="1894"/>
      <c r="K103" s="57"/>
      <c r="L103" s="57"/>
    </row>
    <row r="104" spans="1:12" s="1893" customFormat="1">
      <c r="A104" s="243"/>
      <c r="D104" s="1894"/>
      <c r="K104" s="57"/>
      <c r="L104" s="57"/>
    </row>
    <row r="105" spans="1:12" s="1893" customFormat="1">
      <c r="A105" s="243"/>
      <c r="D105" s="1894"/>
      <c r="K105" s="57"/>
      <c r="L105" s="57"/>
    </row>
    <row r="106" spans="1:12" s="1893" customFormat="1">
      <c r="A106" s="243"/>
      <c r="D106" s="1894"/>
      <c r="K106" s="57"/>
      <c r="L106" s="57"/>
    </row>
    <row r="107" spans="1:12" s="1893" customFormat="1">
      <c r="A107" s="243"/>
      <c r="D107" s="1894"/>
      <c r="K107" s="57"/>
      <c r="L107" s="57"/>
    </row>
    <row r="108" spans="1:12" s="1893" customFormat="1">
      <c r="A108" s="243"/>
      <c r="D108" s="1894"/>
      <c r="K108" s="57"/>
      <c r="L108" s="57"/>
    </row>
    <row r="109" spans="1:12" s="1893" customFormat="1">
      <c r="A109" s="243"/>
      <c r="D109" s="1894"/>
      <c r="K109" s="57"/>
      <c r="L109" s="57"/>
    </row>
    <row r="110" spans="1:12" s="1893" customFormat="1">
      <c r="A110" s="243"/>
      <c r="D110" s="1894"/>
      <c r="K110" s="57"/>
      <c r="L110" s="57"/>
    </row>
    <row r="111" spans="1:12" s="1893" customFormat="1">
      <c r="A111" s="243"/>
      <c r="D111" s="1894"/>
      <c r="K111" s="57"/>
      <c r="L111" s="57"/>
    </row>
    <row r="112" spans="1:12" s="1893" customFormat="1">
      <c r="A112" s="243"/>
      <c r="D112" s="1894"/>
      <c r="K112" s="57"/>
      <c r="L112" s="57"/>
    </row>
    <row r="113" spans="1:12" s="1893" customFormat="1">
      <c r="A113" s="243"/>
      <c r="D113" s="1894"/>
      <c r="K113" s="57"/>
      <c r="L113" s="57"/>
    </row>
    <row r="114" spans="1:12" s="1893" customFormat="1">
      <c r="A114" s="243"/>
      <c r="D114" s="1894"/>
      <c r="K114" s="57"/>
      <c r="L114" s="57"/>
    </row>
    <row r="115" spans="1:12" s="1893" customFormat="1">
      <c r="A115" s="243"/>
      <c r="D115" s="1894"/>
      <c r="K115" s="57"/>
      <c r="L115" s="57"/>
    </row>
    <row r="116" spans="1:12" s="1893" customFormat="1">
      <c r="A116" s="243"/>
      <c r="D116" s="1894"/>
      <c r="K116" s="57"/>
      <c r="L116" s="57"/>
    </row>
    <row r="117" spans="1:12" s="1893" customFormat="1">
      <c r="A117" s="243"/>
      <c r="D117" s="1894"/>
      <c r="K117" s="57"/>
      <c r="L117" s="57"/>
    </row>
    <row r="118" spans="1:12" s="1893" customFormat="1">
      <c r="A118" s="243"/>
      <c r="D118" s="1894"/>
      <c r="K118" s="57"/>
      <c r="L118" s="57"/>
    </row>
    <row r="119" spans="1:12" s="1893" customFormat="1">
      <c r="A119" s="243"/>
      <c r="D119" s="1894"/>
      <c r="K119" s="57"/>
      <c r="L119" s="57"/>
    </row>
    <row r="120" spans="1:12" s="1893" customFormat="1">
      <c r="A120" s="243"/>
      <c r="D120" s="1894"/>
      <c r="K120" s="57"/>
      <c r="L120" s="57"/>
    </row>
    <row r="121" spans="1:12" s="1893" customFormat="1">
      <c r="A121" s="243"/>
      <c r="D121" s="1894"/>
      <c r="K121" s="57"/>
      <c r="L121" s="57"/>
    </row>
    <row r="122" spans="1:12" s="1893" customFormat="1">
      <c r="A122" s="243"/>
      <c r="D122" s="1894"/>
      <c r="K122" s="57"/>
      <c r="L122" s="57"/>
    </row>
    <row r="123" spans="1:12" s="1893" customFormat="1">
      <c r="A123" s="243"/>
      <c r="D123" s="1894"/>
      <c r="K123" s="57"/>
      <c r="L123" s="57"/>
    </row>
    <row r="124" spans="1:12" s="1893" customFormat="1">
      <c r="A124" s="243"/>
      <c r="D124" s="1894"/>
      <c r="K124" s="57"/>
      <c r="L124" s="57"/>
    </row>
    <row r="125" spans="1:12" s="1893" customFormat="1">
      <c r="A125" s="243"/>
      <c r="D125" s="1894"/>
      <c r="K125" s="57"/>
      <c r="L125" s="57"/>
    </row>
    <row r="126" spans="1:12" s="1893" customFormat="1">
      <c r="A126" s="243"/>
      <c r="D126" s="1894"/>
      <c r="K126" s="57"/>
      <c r="L126" s="57"/>
    </row>
    <row r="127" spans="1:12" s="1893" customFormat="1">
      <c r="A127" s="243"/>
      <c r="D127" s="1894"/>
      <c r="K127" s="57"/>
      <c r="L127" s="57"/>
    </row>
    <row r="128" spans="1:12" s="1893" customFormat="1">
      <c r="A128" s="243"/>
      <c r="D128" s="1894"/>
      <c r="K128" s="57"/>
      <c r="L128" s="57"/>
    </row>
    <row r="129" spans="1:12" s="1893" customFormat="1">
      <c r="A129" s="243"/>
      <c r="D129" s="1894"/>
      <c r="K129" s="57"/>
      <c r="L129" s="57"/>
    </row>
    <row r="130" spans="1:12" s="1893" customFormat="1">
      <c r="A130" s="243"/>
      <c r="D130" s="1894"/>
      <c r="K130" s="57"/>
      <c r="L130" s="57"/>
    </row>
    <row r="131" spans="1:12" s="1893" customFormat="1">
      <c r="A131" s="243"/>
      <c r="D131" s="1894"/>
      <c r="K131" s="57"/>
      <c r="L131" s="57"/>
    </row>
    <row r="132" spans="1:12" s="1893" customFormat="1">
      <c r="A132" s="243"/>
      <c r="D132" s="1894"/>
      <c r="K132" s="57"/>
      <c r="L132" s="57"/>
    </row>
    <row r="133" spans="1:12" s="1893" customFormat="1">
      <c r="A133" s="243"/>
      <c r="D133" s="1894"/>
      <c r="K133" s="57"/>
      <c r="L133" s="57"/>
    </row>
    <row r="134" spans="1:12" s="1893" customFormat="1">
      <c r="A134" s="243"/>
      <c r="D134" s="1894"/>
      <c r="K134" s="57"/>
      <c r="L134" s="57"/>
    </row>
    <row r="135" spans="1:12" s="1893" customFormat="1">
      <c r="A135" s="243"/>
      <c r="D135" s="1894"/>
      <c r="K135" s="57"/>
      <c r="L135" s="57"/>
    </row>
    <row r="136" spans="1:12" s="1893" customFormat="1">
      <c r="A136" s="243"/>
      <c r="D136" s="1894"/>
      <c r="K136" s="57"/>
      <c r="L136" s="57"/>
    </row>
    <row r="137" spans="1:12" s="1893" customFormat="1">
      <c r="A137" s="243"/>
      <c r="D137" s="1894"/>
      <c r="K137" s="57"/>
      <c r="L137" s="57"/>
    </row>
    <row r="138" spans="1:12" s="1893" customFormat="1">
      <c r="A138" s="243"/>
      <c r="D138" s="1894"/>
      <c r="K138" s="57"/>
      <c r="L138" s="57"/>
    </row>
    <row r="139" spans="1:12" s="1893" customFormat="1">
      <c r="A139" s="243"/>
      <c r="D139" s="1894"/>
      <c r="K139" s="57"/>
      <c r="L139" s="57"/>
    </row>
    <row r="140" spans="1:12" s="1893" customFormat="1">
      <c r="A140" s="243"/>
      <c r="D140" s="1894"/>
      <c r="K140" s="57"/>
      <c r="L140" s="57"/>
    </row>
    <row r="141" spans="1:12" s="1893" customFormat="1">
      <c r="A141" s="243"/>
      <c r="D141" s="1894"/>
      <c r="K141" s="57"/>
      <c r="L141" s="57"/>
    </row>
    <row r="142" spans="1:12" s="1893" customFormat="1">
      <c r="A142" s="243"/>
      <c r="D142" s="1894"/>
      <c r="K142" s="57"/>
      <c r="L142" s="57"/>
    </row>
    <row r="143" spans="1:12" s="1893" customFormat="1">
      <c r="A143" s="243"/>
      <c r="D143" s="1894"/>
      <c r="K143" s="57"/>
      <c r="L143" s="57"/>
    </row>
    <row r="144" spans="1:12" s="1893" customFormat="1">
      <c r="A144" s="243"/>
      <c r="D144" s="1894"/>
      <c r="K144" s="57"/>
      <c r="L144" s="57"/>
    </row>
    <row r="145" spans="1:12" s="1893" customFormat="1">
      <c r="A145" s="243"/>
      <c r="D145" s="1894"/>
      <c r="K145" s="57"/>
      <c r="L145" s="57"/>
    </row>
    <row r="146" spans="1:12" s="1893" customFormat="1">
      <c r="A146" s="243"/>
      <c r="D146" s="1894"/>
      <c r="K146" s="57"/>
      <c r="L146" s="57"/>
    </row>
    <row r="147" spans="1:12" s="1893" customFormat="1">
      <c r="A147" s="243"/>
      <c r="D147" s="1894"/>
      <c r="K147" s="57"/>
      <c r="L147" s="57"/>
    </row>
    <row r="148" spans="1:12" s="1893" customFormat="1">
      <c r="A148" s="243"/>
      <c r="D148" s="1894"/>
      <c r="K148" s="57"/>
      <c r="L148" s="57"/>
    </row>
    <row r="149" spans="1:12" s="1893" customFormat="1">
      <c r="A149" s="243"/>
      <c r="D149" s="1894"/>
      <c r="K149" s="57"/>
      <c r="L149" s="57"/>
    </row>
    <row r="150" spans="1:12" s="1893" customFormat="1">
      <c r="A150" s="243"/>
      <c r="D150" s="1894"/>
      <c r="K150" s="57"/>
      <c r="L150" s="57"/>
    </row>
    <row r="151" spans="1:12" s="1893" customFormat="1">
      <c r="A151" s="243"/>
      <c r="D151" s="1894"/>
      <c r="K151" s="57"/>
      <c r="L151" s="57"/>
    </row>
    <row r="152" spans="1:12" s="1893" customFormat="1">
      <c r="A152" s="243"/>
      <c r="D152" s="1894"/>
      <c r="K152" s="57"/>
      <c r="L152" s="57"/>
    </row>
    <row r="153" spans="1:12" s="1893" customFormat="1">
      <c r="A153" s="243"/>
      <c r="D153" s="1894"/>
      <c r="K153" s="57"/>
      <c r="L153" s="57"/>
    </row>
    <row r="154" spans="1:12" s="1893" customFormat="1">
      <c r="A154" s="243"/>
      <c r="D154" s="1894"/>
      <c r="K154" s="57"/>
      <c r="L154" s="57"/>
    </row>
    <row r="155" spans="1:12" s="1893" customFormat="1">
      <c r="A155" s="243"/>
      <c r="D155" s="1894"/>
      <c r="K155" s="57"/>
      <c r="L155" s="57"/>
    </row>
    <row r="156" spans="1:12" s="1893" customFormat="1">
      <c r="A156" s="243"/>
      <c r="D156" s="1894"/>
      <c r="K156" s="57"/>
      <c r="L156" s="57"/>
    </row>
    <row r="157" spans="1:12" s="1893" customFormat="1">
      <c r="A157" s="243"/>
      <c r="D157" s="1894"/>
      <c r="K157" s="57"/>
      <c r="L157" s="57"/>
    </row>
    <row r="158" spans="1:12" s="1893" customFormat="1">
      <c r="A158" s="243"/>
      <c r="D158" s="1894"/>
      <c r="K158" s="57"/>
      <c r="L158" s="57"/>
    </row>
    <row r="159" spans="1:12" s="1893" customFormat="1">
      <c r="A159" s="243"/>
      <c r="D159" s="1894"/>
      <c r="K159" s="57"/>
      <c r="L159" s="57"/>
    </row>
    <row r="160" spans="1:12" s="1893" customFormat="1">
      <c r="A160" s="243"/>
      <c r="D160" s="1894"/>
      <c r="K160" s="57"/>
      <c r="L160" s="57"/>
    </row>
    <row r="161" spans="1:12" s="1893" customFormat="1">
      <c r="A161" s="243"/>
      <c r="D161" s="1894"/>
      <c r="K161" s="57"/>
      <c r="L161" s="57"/>
    </row>
    <row r="162" spans="1:12" s="1893" customFormat="1">
      <c r="A162" s="243"/>
      <c r="D162" s="1894"/>
      <c r="K162" s="57"/>
      <c r="L162" s="57"/>
    </row>
    <row r="163" spans="1:12" s="1893" customFormat="1">
      <c r="A163" s="243"/>
      <c r="D163" s="1894"/>
      <c r="K163" s="57"/>
      <c r="L163" s="57"/>
    </row>
    <row r="164" spans="1:12" s="1893" customFormat="1">
      <c r="A164" s="243"/>
      <c r="D164" s="1894"/>
      <c r="K164" s="57"/>
      <c r="L164" s="57"/>
    </row>
    <row r="165" spans="1:12" s="1893" customFormat="1">
      <c r="A165" s="243"/>
      <c r="D165" s="1894"/>
      <c r="K165" s="57"/>
      <c r="L165" s="57"/>
    </row>
    <row r="166" spans="1:12" s="1893" customFormat="1">
      <c r="A166" s="243"/>
      <c r="D166" s="1894"/>
      <c r="K166" s="57"/>
      <c r="L166" s="57"/>
    </row>
    <row r="167" spans="1:12" s="1893" customFormat="1">
      <c r="A167" s="243"/>
      <c r="D167" s="1894"/>
      <c r="K167" s="57"/>
      <c r="L167" s="57"/>
    </row>
    <row r="168" spans="1:12" s="1893" customFormat="1">
      <c r="A168" s="243"/>
      <c r="D168" s="1894"/>
      <c r="K168" s="57"/>
      <c r="L168" s="57"/>
    </row>
    <row r="169" spans="1:12" s="1893" customFormat="1">
      <c r="A169" s="243"/>
      <c r="D169" s="1894"/>
      <c r="K169" s="57"/>
      <c r="L169" s="57"/>
    </row>
    <row r="170" spans="1:12" s="1893" customFormat="1">
      <c r="A170" s="243"/>
      <c r="D170" s="1894"/>
      <c r="K170" s="57"/>
      <c r="L170" s="57"/>
    </row>
    <row r="171" spans="1:12" s="1893" customFormat="1">
      <c r="A171" s="243"/>
      <c r="D171" s="1894"/>
      <c r="K171" s="57"/>
      <c r="L171" s="57"/>
    </row>
    <row r="172" spans="1:12" s="1893" customFormat="1">
      <c r="A172" s="243"/>
      <c r="D172" s="1894"/>
      <c r="K172" s="57"/>
      <c r="L172" s="57"/>
    </row>
    <row r="173" spans="1:12" s="1893" customFormat="1">
      <c r="A173" s="243"/>
      <c r="D173" s="1894"/>
      <c r="K173" s="57"/>
      <c r="L173" s="57"/>
    </row>
    <row r="174" spans="1:12" s="1893" customFormat="1">
      <c r="A174" s="243"/>
      <c r="D174" s="1894"/>
      <c r="K174" s="57"/>
      <c r="L174" s="57"/>
    </row>
    <row r="175" spans="1:12" s="1893" customFormat="1">
      <c r="A175" s="243"/>
      <c r="D175" s="1894"/>
      <c r="K175" s="57"/>
      <c r="L175" s="57"/>
    </row>
    <row r="176" spans="1:12" s="1893" customFormat="1">
      <c r="A176" s="243"/>
      <c r="D176" s="1894"/>
      <c r="K176" s="57"/>
      <c r="L176" s="57"/>
    </row>
    <row r="177" spans="1:12" s="1893" customFormat="1">
      <c r="A177" s="243"/>
      <c r="D177" s="1894"/>
      <c r="K177" s="57"/>
      <c r="L177" s="57"/>
    </row>
    <row r="178" spans="1:12" s="1893" customFormat="1">
      <c r="A178" s="243"/>
      <c r="D178" s="1894"/>
      <c r="K178" s="57"/>
      <c r="L178" s="57"/>
    </row>
    <row r="179" spans="1:12" s="1893" customFormat="1">
      <c r="A179" s="243"/>
      <c r="D179" s="1894"/>
      <c r="K179" s="57"/>
      <c r="L179" s="57"/>
    </row>
    <row r="180" spans="1:12" s="1893" customFormat="1">
      <c r="A180" s="243"/>
      <c r="D180" s="1894"/>
      <c r="K180" s="57"/>
      <c r="L180" s="57"/>
    </row>
    <row r="181" spans="1:12" s="1893" customFormat="1">
      <c r="A181" s="243"/>
      <c r="D181" s="1894"/>
      <c r="K181" s="57"/>
      <c r="L181" s="57"/>
    </row>
    <row r="182" spans="1:12" s="1893" customFormat="1">
      <c r="A182" s="243"/>
      <c r="D182" s="1894"/>
      <c r="K182" s="57"/>
      <c r="L182" s="57"/>
    </row>
    <row r="183" spans="1:12" s="1893" customFormat="1">
      <c r="A183" s="243"/>
      <c r="D183" s="1894"/>
      <c r="K183" s="57"/>
      <c r="L183" s="57"/>
    </row>
    <row r="184" spans="1:12" s="1893" customFormat="1">
      <c r="A184" s="243"/>
      <c r="D184" s="1894"/>
      <c r="K184" s="57"/>
      <c r="L184" s="57"/>
    </row>
    <row r="185" spans="1:12" s="1893" customFormat="1">
      <c r="A185" s="243"/>
      <c r="D185" s="1894"/>
      <c r="K185" s="57"/>
      <c r="L185" s="57"/>
    </row>
    <row r="186" spans="1:12" s="1893" customFormat="1">
      <c r="A186" s="243"/>
      <c r="D186" s="1894"/>
      <c r="K186" s="57"/>
      <c r="L186" s="57"/>
    </row>
    <row r="187" spans="1:12" s="1893" customFormat="1">
      <c r="A187" s="243"/>
      <c r="D187" s="1894"/>
      <c r="K187" s="57"/>
      <c r="L187" s="57"/>
    </row>
    <row r="188" spans="1:12" s="1893" customFormat="1">
      <c r="A188" s="243"/>
      <c r="D188" s="1894"/>
      <c r="K188" s="57"/>
      <c r="L188" s="57"/>
    </row>
    <row r="189" spans="1:12" s="1893" customFormat="1">
      <c r="A189" s="243"/>
      <c r="D189" s="1894"/>
      <c r="K189" s="57"/>
      <c r="L189" s="57"/>
    </row>
    <row r="190" spans="1:12" s="1893" customFormat="1">
      <c r="A190" s="243"/>
      <c r="D190" s="1894"/>
      <c r="K190" s="57"/>
      <c r="L190" s="57"/>
    </row>
    <row r="191" spans="1:12" s="1893" customFormat="1">
      <c r="A191" s="243"/>
      <c r="D191" s="1894"/>
      <c r="K191" s="57"/>
      <c r="L191" s="57"/>
    </row>
    <row r="192" spans="1:12" s="1893" customFormat="1">
      <c r="A192" s="243"/>
      <c r="D192" s="1894"/>
      <c r="K192" s="57"/>
      <c r="L192" s="57"/>
    </row>
  </sheetData>
  <sheetProtection password="CEE9" sheet="1" objects="1" scenarios="1" formatCells="0" formatColumns="0" formatRows="0"/>
  <dataConsolidate/>
  <mergeCells count="3">
    <mergeCell ref="K18:K19"/>
    <mergeCell ref="L18:N18"/>
    <mergeCell ref="O18:O19"/>
  </mergeCells>
  <phoneticPr fontId="3" type="noConversion"/>
  <conditionalFormatting sqref="T6:T15">
    <cfRule type="containsText" dxfId="212" priority="12" stopIfTrue="1" operator="containsText" text="自行计算">
      <formula>NOT(ISERROR(SEARCH("自行计算",T6)))</formula>
    </cfRule>
    <cfRule type="containsText" dxfId="211" priority="13" stopIfTrue="1" operator="containsText" text="自行计算">
      <formula>NOT(ISERROR(SEARCH("自行计算",T6)))</formula>
    </cfRule>
  </conditionalFormatting>
  <conditionalFormatting sqref="T6:T13">
    <cfRule type="containsText" dxfId="210" priority="10" stopIfTrue="1" operator="containsText" text="自行计算">
      <formula>NOT(ISERROR(SEARCH("自行计算",T6)))</formula>
    </cfRule>
    <cfRule type="containsText" dxfId="209" priority="11" stopIfTrue="1" operator="containsText" text="自行计算">
      <formula>NOT(ISERROR(SEARCH("自行计算",T6)))</formula>
    </cfRule>
  </conditionalFormatting>
  <conditionalFormatting sqref="T12:T13">
    <cfRule type="containsText" dxfId="208" priority="4" stopIfTrue="1" operator="containsText" text="自行计算">
      <formula>NOT(ISERROR(SEARCH("自行计算",T12)))</formula>
    </cfRule>
    <cfRule type="containsText" dxfId="207" priority="5" stopIfTrue="1" operator="containsText" text="自行计算">
      <formula>NOT(ISERROR(SEARCH("自行计算",T12)))</formula>
    </cfRule>
  </conditionalFormatting>
  <conditionalFormatting sqref="T12:T13">
    <cfRule type="containsText" dxfId="206" priority="2" stopIfTrue="1" operator="containsText" text="自行计算">
      <formula>NOT(ISERROR(SEARCH("自行计算",T12)))</formula>
    </cfRule>
    <cfRule type="containsText" dxfId="205" priority="3" stopIfTrue="1" operator="containsText" text="自行计算">
      <formula>NOT(ISERROR(SEARCH("自行计算",T12)))</formula>
    </cfRule>
  </conditionalFormatting>
  <conditionalFormatting sqref="T6:T15">
    <cfRule type="expression" dxfId="204"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08" customWidth="1"/>
    <col min="2" max="2" width="23.5" style="3143" customWidth="1"/>
    <col min="3" max="3" width="32.25" style="3145" customWidth="1"/>
    <col min="4" max="4" width="2.625" style="3145" customWidth="1"/>
    <col min="5" max="5" width="5.875" style="3145" customWidth="1"/>
    <col min="6" max="6" width="23.625" style="3143" customWidth="1"/>
    <col min="7" max="7" width="33.375" style="3144" customWidth="1"/>
    <col min="8" max="8" width="11.875" style="3143" customWidth="1"/>
    <col min="9" max="9" width="16.75" style="3144" customWidth="1"/>
    <col min="10" max="10" width="2.625" style="3145" customWidth="1"/>
    <col min="11" max="11" width="11.875" style="3143" customWidth="1"/>
    <col min="12" max="12" width="16.75" style="3144" customWidth="1"/>
    <col min="13" max="13" width="2.625" style="3145" customWidth="1"/>
    <col min="14" max="14" width="11.875" style="3143" customWidth="1"/>
    <col min="15" max="15" width="16.75" style="3144" customWidth="1"/>
    <col min="16" max="16" width="2.625" style="3145" customWidth="1"/>
    <col min="17" max="17" width="11.875" style="3143" customWidth="1"/>
    <col min="18" max="18" width="16.75" style="3146" customWidth="1"/>
    <col min="19" max="16384" width="9" style="3108"/>
  </cols>
  <sheetData>
    <row r="1" spans="1:18" s="3102" customFormat="1" ht="19.5" thickBot="1">
      <c r="A1" s="3744" t="s">
        <v>1653</v>
      </c>
      <c r="B1" s="3745"/>
      <c r="C1" s="3745"/>
      <c r="D1" s="3745"/>
      <c r="E1" s="3745"/>
      <c r="F1" s="3745"/>
      <c r="G1" s="3745"/>
      <c r="H1" s="3097"/>
      <c r="I1" s="3098"/>
      <c r="J1" s="3099"/>
      <c r="K1" s="3097"/>
      <c r="L1" s="3098"/>
      <c r="M1" s="3099"/>
      <c r="N1" s="3097"/>
      <c r="O1" s="3098"/>
      <c r="P1" s="3099"/>
      <c r="Q1" s="3100"/>
      <c r="R1" s="3101"/>
    </row>
    <row r="2" spans="1:18" ht="14.25" thickBot="1">
      <c r="A2" s="3103"/>
      <c r="B2" s="3104"/>
      <c r="C2" s="3105" t="s">
        <v>1654</v>
      </c>
      <c r="D2" s="3106"/>
      <c r="E2" s="3103"/>
      <c r="F2" s="3107"/>
      <c r="G2" s="3105" t="s">
        <v>1655</v>
      </c>
      <c r="H2" s="3108"/>
      <c r="I2" s="3108"/>
      <c r="J2" s="3108"/>
      <c r="K2" s="3108"/>
      <c r="L2" s="3108"/>
      <c r="M2" s="3108"/>
      <c r="N2" s="3108"/>
      <c r="O2" s="3108"/>
      <c r="P2" s="3108"/>
      <c r="Q2" s="3108"/>
      <c r="R2" s="3108"/>
    </row>
    <row r="3" spans="1:18" ht="40.5">
      <c r="A3" s="3109" t="s">
        <v>1656</v>
      </c>
      <c r="B3" s="3110" t="s">
        <v>1643</v>
      </c>
      <c r="C3" s="3111" t="s">
        <v>2880</v>
      </c>
      <c r="D3" s="3112"/>
      <c r="E3" s="3113" t="s">
        <v>1656</v>
      </c>
      <c r="F3" s="3114" t="s">
        <v>1644</v>
      </c>
      <c r="G3" s="3115" t="s">
        <v>2879</v>
      </c>
      <c r="H3" s="3108"/>
      <c r="I3" s="3108"/>
      <c r="J3" s="3108"/>
      <c r="K3" s="3108"/>
      <c r="L3" s="3108"/>
      <c r="M3" s="3108"/>
      <c r="N3" s="3108"/>
      <c r="O3" s="3108"/>
      <c r="P3" s="3108"/>
      <c r="Q3" s="3108"/>
      <c r="R3" s="3108"/>
    </row>
    <row r="4" spans="1:18" ht="40.5">
      <c r="A4" s="3113"/>
      <c r="B4" s="3116" t="s">
        <v>1657</v>
      </c>
      <c r="C4" s="3117" t="s">
        <v>2881</v>
      </c>
      <c r="D4" s="3112"/>
      <c r="E4" s="3118"/>
      <c r="F4" s="3119" t="s">
        <v>1658</v>
      </c>
      <c r="G4" s="3120" t="s">
        <v>2876</v>
      </c>
      <c r="H4" s="3108"/>
      <c r="I4" s="3108"/>
      <c r="J4" s="3108"/>
      <c r="K4" s="3108"/>
      <c r="L4" s="3108"/>
      <c r="M4" s="3108"/>
      <c r="N4" s="3108"/>
      <c r="O4" s="3108"/>
      <c r="P4" s="3108"/>
      <c r="Q4" s="3108"/>
      <c r="R4" s="3108"/>
    </row>
    <row r="5" spans="1:18" ht="41.25">
      <c r="A5" s="3113"/>
      <c r="B5" s="3116" t="s">
        <v>1659</v>
      </c>
      <c r="C5" s="3117" t="s">
        <v>2882</v>
      </c>
      <c r="D5" s="3112"/>
      <c r="E5" s="3118"/>
      <c r="F5" s="3116" t="s">
        <v>2522</v>
      </c>
      <c r="G5" s="3120" t="s">
        <v>2877</v>
      </c>
      <c r="H5" s="3108"/>
      <c r="I5" s="3108"/>
      <c r="J5" s="3108"/>
      <c r="K5" s="3108"/>
      <c r="L5" s="3108"/>
      <c r="M5" s="3108"/>
      <c r="N5" s="3108"/>
      <c r="O5" s="3108"/>
      <c r="P5" s="3108"/>
      <c r="Q5" s="3108"/>
      <c r="R5" s="3108"/>
    </row>
    <row r="6" spans="1:18" ht="40.5">
      <c r="A6" s="3113"/>
      <c r="B6" s="3116" t="s">
        <v>1645</v>
      </c>
      <c r="C6" s="3120" t="s">
        <v>2876</v>
      </c>
      <c r="D6" s="3112"/>
      <c r="E6" s="3118"/>
      <c r="F6" s="3116" t="s">
        <v>2523</v>
      </c>
      <c r="G6" s="3120" t="s">
        <v>2874</v>
      </c>
      <c r="H6" s="3108"/>
      <c r="I6" s="3108"/>
      <c r="J6" s="3108"/>
      <c r="K6" s="3108"/>
      <c r="L6" s="3108"/>
      <c r="M6" s="3108"/>
      <c r="N6" s="3108"/>
      <c r="O6" s="3108"/>
      <c r="P6" s="3108"/>
      <c r="Q6" s="3108"/>
      <c r="R6" s="3108"/>
    </row>
    <row r="7" spans="1:18" ht="27.75" thickBot="1">
      <c r="A7" s="3113"/>
      <c r="B7" s="3116" t="s">
        <v>2522</v>
      </c>
      <c r="C7" s="3120" t="s">
        <v>2877</v>
      </c>
      <c r="D7" s="3121"/>
      <c r="E7" s="3122"/>
      <c r="F7" s="3123" t="s">
        <v>1660</v>
      </c>
      <c r="G7" s="3124" t="s">
        <v>2878</v>
      </c>
      <c r="H7" s="3108"/>
      <c r="I7" s="3108"/>
      <c r="J7" s="3108"/>
      <c r="K7" s="3108"/>
      <c r="L7" s="3108"/>
      <c r="M7" s="3108"/>
      <c r="N7" s="3108"/>
      <c r="O7" s="3108"/>
      <c r="P7" s="3108"/>
      <c r="Q7" s="3108"/>
      <c r="R7" s="3108"/>
    </row>
    <row r="8" spans="1:18">
      <c r="A8" s="3113"/>
      <c r="B8" s="3116" t="s">
        <v>2523</v>
      </c>
      <c r="C8" s="3120" t="s">
        <v>2874</v>
      </c>
      <c r="D8" s="3121"/>
      <c r="E8" s="3121"/>
      <c r="F8" s="3125"/>
      <c r="G8" s="3125"/>
      <c r="H8" s="3108"/>
      <c r="I8" s="3108"/>
      <c r="J8" s="3108"/>
      <c r="K8" s="3108"/>
      <c r="L8" s="3108"/>
      <c r="M8" s="3108"/>
      <c r="N8" s="3108"/>
      <c r="O8" s="3108"/>
      <c r="P8" s="3108"/>
      <c r="Q8" s="3108"/>
      <c r="R8" s="3108"/>
    </row>
    <row r="9" spans="1:18" ht="27">
      <c r="A9" s="3113"/>
      <c r="B9" s="3116" t="s">
        <v>1646</v>
      </c>
      <c r="C9" s="3117" t="s">
        <v>2875</v>
      </c>
      <c r="D9" s="3112"/>
      <c r="E9" s="3121"/>
      <c r="F9" s="3125"/>
      <c r="G9" s="3125"/>
      <c r="H9" s="3108"/>
      <c r="I9" s="3108"/>
      <c r="J9" s="3108"/>
      <c r="K9" s="3108"/>
      <c r="L9" s="3108"/>
      <c r="M9" s="3108"/>
      <c r="N9" s="3108"/>
      <c r="O9" s="3108"/>
      <c r="P9" s="3108"/>
      <c r="Q9" s="3108"/>
      <c r="R9" s="3108"/>
    </row>
    <row r="10" spans="1:18" s="3132" customFormat="1" ht="15" thickBot="1">
      <c r="A10" s="3126"/>
      <c r="B10" s="3127" t="s">
        <v>1661</v>
      </c>
      <c r="C10" s="3128"/>
      <c r="D10" s="3112"/>
      <c r="E10" s="3112"/>
      <c r="F10" s="3125"/>
      <c r="G10" s="3125"/>
      <c r="H10" s="3129"/>
      <c r="I10" s="3130"/>
      <c r="J10" s="3131"/>
      <c r="K10" s="3129"/>
      <c r="L10" s="3130"/>
      <c r="M10" s="3131"/>
      <c r="N10" s="3129"/>
      <c r="O10" s="3130"/>
      <c r="P10" s="3131"/>
      <c r="Q10" s="3129"/>
      <c r="R10" s="3130"/>
    </row>
    <row r="11" spans="1:18" s="3132" customFormat="1">
      <c r="A11" s="3133"/>
      <c r="B11" s="3121"/>
      <c r="C11" s="3112"/>
      <c r="D11" s="3112"/>
      <c r="E11" s="3112"/>
      <c r="F11" s="3121"/>
      <c r="G11" s="3134"/>
      <c r="H11" s="3129"/>
      <c r="I11" s="3130"/>
      <c r="J11" s="3131"/>
      <c r="K11" s="3129"/>
      <c r="L11" s="3130"/>
      <c r="M11" s="3131"/>
      <c r="N11" s="3129"/>
      <c r="O11" s="3130"/>
      <c r="P11" s="3131"/>
      <c r="Q11" s="3129"/>
      <c r="R11" s="3130"/>
    </row>
    <row r="12" spans="1:18" s="3102" customFormat="1" ht="18.75">
      <c r="A12" s="3133"/>
      <c r="B12" s="3121"/>
      <c r="C12" s="3112"/>
      <c r="D12" s="3135"/>
      <c r="E12" s="3112"/>
      <c r="F12" s="3121"/>
      <c r="G12" s="3134"/>
      <c r="H12" s="3136"/>
      <c r="I12" s="3137"/>
      <c r="J12" s="3136"/>
      <c r="K12" s="3136"/>
      <c r="L12" s="3138"/>
      <c r="M12" s="3136"/>
      <c r="N12" s="3139"/>
      <c r="O12" s="3140"/>
      <c r="P12" s="3141"/>
      <c r="Q12" s="3139"/>
      <c r="R12" s="3101"/>
    </row>
    <row r="13" spans="1:18" ht="19.5" thickBot="1">
      <c r="A13" s="3142" t="s">
        <v>1662</v>
      </c>
      <c r="B13" s="3135"/>
      <c r="C13" s="3135"/>
      <c r="D13" s="3106"/>
      <c r="E13" s="3135"/>
      <c r="F13" s="3135"/>
      <c r="G13" s="3135"/>
    </row>
    <row r="14" spans="1:18" ht="14.25" thickBot="1">
      <c r="A14" s="3147"/>
      <c r="B14" s="3147"/>
      <c r="C14" s="3148" t="s">
        <v>1654</v>
      </c>
      <c r="D14" s="3112"/>
      <c r="E14" s="3149"/>
      <c r="F14" s="3149"/>
      <c r="G14" s="3105" t="s">
        <v>1655</v>
      </c>
    </row>
    <row r="15" spans="1:18" ht="40.5">
      <c r="A15" s="3150" t="s">
        <v>1647</v>
      </c>
      <c r="B15" s="3151" t="s">
        <v>1643</v>
      </c>
      <c r="C15" s="3152" t="str">
        <f>C3</f>
        <v>估价对象周边居住用地比例、居住小区规模和社区发展完善程度，综合评价居住社区成熟度一般</v>
      </c>
      <c r="D15" s="3112"/>
      <c r="E15" s="3153" t="s">
        <v>1648</v>
      </c>
      <c r="F15" s="3151" t="s">
        <v>1663</v>
      </c>
      <c r="G15" s="3154" t="str">
        <f>G3</f>
        <v>估价对象位于XX开发区，园区建设成熟度XX，产业集聚程度XX</v>
      </c>
    </row>
    <row r="16" spans="1:18" ht="40.5">
      <c r="A16" s="3155"/>
      <c r="B16" s="3156" t="s">
        <v>1657</v>
      </c>
      <c r="C16" s="3157" t="str">
        <f>C4</f>
        <v>估价对象位于XX商圈，周边商业氛围成熟，人流量大，商业繁华度好</v>
      </c>
      <c r="D16" s="3112"/>
      <c r="E16" s="3158"/>
      <c r="F16" s="3159" t="s">
        <v>1658</v>
      </c>
      <c r="G16" s="3160" t="str">
        <f>G4</f>
        <v>估价对象周边道路状况、公共交通通达情况、停车便捷程度，综合评价交通便捷度较好</v>
      </c>
    </row>
    <row r="17" spans="1:7" ht="40.5">
      <c r="A17" s="3155"/>
      <c r="B17" s="3156" t="s">
        <v>1659</v>
      </c>
      <c r="C17" s="3157" t="str">
        <f>C5</f>
        <v>估价对象位于XX商圈，周边办公楼项目较多，入驻率高，办公集聚程度较好</v>
      </c>
      <c r="D17" s="3121"/>
      <c r="E17" s="3158"/>
      <c r="F17" s="3159" t="s">
        <v>1664</v>
      </c>
      <c r="G17" s="3161"/>
    </row>
    <row r="18" spans="1:7" ht="40.5">
      <c r="A18" s="3155"/>
      <c r="B18" s="3159" t="s">
        <v>1645</v>
      </c>
      <c r="C18" s="3160" t="str">
        <f>C6</f>
        <v>估价对象周边道路状况、公共交通通达情况、停车便捷程度，综合评价交通便捷度较好</v>
      </c>
      <c r="D18" s="3121"/>
      <c r="E18" s="3158"/>
      <c r="F18" s="3159" t="s">
        <v>1660</v>
      </c>
      <c r="G18" s="3160" t="str">
        <f>G7</f>
        <v>该园区内是否有污染型企业，绿化情况，卫生条件，整体环境状况判断</v>
      </c>
    </row>
    <row r="19" spans="1:7" ht="27">
      <c r="A19" s="3155"/>
      <c r="B19" s="3159" t="s">
        <v>1649</v>
      </c>
      <c r="C19" s="3161"/>
      <c r="D19" s="3112"/>
      <c r="E19" s="3158"/>
      <c r="F19" s="3116" t="s">
        <v>2522</v>
      </c>
      <c r="G19" s="3160" t="str">
        <f>G5</f>
        <v>估价对象所在区域公共配套设施齐备情况</v>
      </c>
    </row>
    <row r="20" spans="1:7" ht="27">
      <c r="A20" s="3155"/>
      <c r="B20" s="3159" t="s">
        <v>1650</v>
      </c>
      <c r="C20" s="3157" t="str">
        <f>C9</f>
        <v>区域自然环境：；人文环境；综合评价环境状况一般</v>
      </c>
      <c r="D20" s="3121"/>
      <c r="E20" s="3158"/>
      <c r="F20" s="3116" t="s">
        <v>2523</v>
      </c>
      <c r="G20" s="3160" t="str">
        <f>G6</f>
        <v>估价对象所在区域基础设施水平</v>
      </c>
    </row>
    <row r="21" spans="1:7" ht="27">
      <c r="A21" s="3155"/>
      <c r="B21" s="3116" t="s">
        <v>2522</v>
      </c>
      <c r="C21" s="3160" t="str">
        <f>C7</f>
        <v>估价对象所在区域公共配套设施齐备情况</v>
      </c>
      <c r="D21" s="3112"/>
      <c r="E21" s="3158"/>
      <c r="F21" s="3159" t="s">
        <v>1651</v>
      </c>
      <c r="G21" s="3162"/>
    </row>
    <row r="22" spans="1:7" ht="14.25">
      <c r="A22" s="3155"/>
      <c r="B22" s="3116" t="s">
        <v>2523</v>
      </c>
      <c r="C22" s="3160" t="str">
        <f>C8</f>
        <v>估价对象所在区域基础设施水平</v>
      </c>
      <c r="D22" s="3112"/>
      <c r="E22" s="3158"/>
      <c r="F22" s="3159" t="s">
        <v>1661</v>
      </c>
      <c r="G22" s="3161"/>
    </row>
    <row r="23" spans="1:7" ht="15" thickBot="1">
      <c r="A23" s="3155"/>
      <c r="B23" s="3159" t="s">
        <v>1651</v>
      </c>
      <c r="C23" s="3162"/>
      <c r="E23" s="3163"/>
      <c r="F23" s="3164" t="s">
        <v>1665</v>
      </c>
      <c r="G23" s="3165"/>
    </row>
    <row r="24" spans="1:7" ht="14.25" thickBot="1">
      <c r="A24" s="3166"/>
      <c r="B24" s="3164" t="s">
        <v>1652</v>
      </c>
      <c r="C24" s="3167">
        <f>C10</f>
        <v>0</v>
      </c>
      <c r="E24" s="3168"/>
      <c r="F24" s="3168"/>
      <c r="G24" s="3169"/>
    </row>
    <row r="25" spans="1:7">
      <c r="E25" s="3108"/>
      <c r="F25" s="3108"/>
      <c r="G25" s="3108"/>
    </row>
    <row r="26" spans="1:7">
      <c r="E26" s="3108"/>
      <c r="F26" s="3108"/>
      <c r="G26" s="3108"/>
    </row>
    <row r="27" spans="1:7">
      <c r="E27" s="3108"/>
      <c r="F27" s="3108"/>
      <c r="G27" s="3108"/>
    </row>
    <row r="28" spans="1:7">
      <c r="E28" s="3108"/>
      <c r="F28" s="3108"/>
      <c r="G28" s="3108"/>
    </row>
    <row r="29" spans="1:7">
      <c r="E29" s="3108"/>
      <c r="F29" s="3108"/>
      <c r="G29" s="3108"/>
    </row>
    <row r="30" spans="1:7">
      <c r="E30" s="3108"/>
      <c r="F30" s="3108"/>
      <c r="G30" s="3108"/>
    </row>
    <row r="31" spans="1:7">
      <c r="E31" s="3108"/>
      <c r="F31" s="3108"/>
      <c r="G31" s="3108"/>
    </row>
    <row r="32" spans="1:7">
      <c r="E32" s="3108"/>
      <c r="F32" s="3108"/>
      <c r="G32" s="3108"/>
    </row>
    <row r="33" spans="5:7">
      <c r="E33" s="3108"/>
      <c r="F33" s="3108"/>
      <c r="G33" s="3108"/>
    </row>
    <row r="34" spans="5:7">
      <c r="E34" s="3108"/>
      <c r="F34" s="3108"/>
      <c r="G34" s="3108"/>
    </row>
    <row r="35" spans="5:7">
      <c r="E35" s="3108"/>
      <c r="F35" s="3108"/>
      <c r="G35" s="3108"/>
    </row>
    <row r="36" spans="5:7">
      <c r="E36" s="3108"/>
      <c r="F36" s="3108"/>
      <c r="G36" s="3108"/>
    </row>
    <row r="37" spans="5:7">
      <c r="E37" s="3108"/>
      <c r="F37" s="3108"/>
      <c r="G37" s="3108"/>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topLeftCell="A4" zoomScaleNormal="80" zoomScaleSheetLayoutView="100" workbookViewId="0">
      <selection activeCell="G31" sqref="G31"/>
    </sheetView>
  </sheetViews>
  <sheetFormatPr defaultColWidth="14.625" defaultRowHeight="13.5"/>
  <cols>
    <col min="1" max="1" width="24.375" style="3171" customWidth="1"/>
    <col min="2" max="4" width="14.625" style="3171"/>
    <col min="5" max="9" width="14.625" style="3171" customWidth="1"/>
    <col min="10" max="16384" width="14.625" style="3171"/>
  </cols>
  <sheetData>
    <row r="1" spans="1:10" ht="16.5">
      <c r="A1" s="3170" t="s">
        <v>2817</v>
      </c>
      <c r="B1" s="3170">
        <f>SUM(B14:B23)</f>
        <v>461591.08999999997</v>
      </c>
      <c r="C1" s="3179"/>
      <c r="D1" s="3179"/>
      <c r="E1" s="3179"/>
      <c r="F1" s="3179"/>
      <c r="G1" s="3180"/>
      <c r="H1" s="3180"/>
      <c r="I1" s="3180"/>
      <c r="J1" s="3180"/>
    </row>
    <row r="2" spans="1:10" ht="16.5">
      <c r="A2" s="3170" t="s">
        <v>2818</v>
      </c>
      <c r="B2" s="3170">
        <f>SUM(C14:C23)</f>
        <v>214384.13</v>
      </c>
      <c r="C2" s="3179"/>
      <c r="D2" s="3179"/>
      <c r="E2" s="3179"/>
      <c r="F2" s="3179"/>
      <c r="G2" s="3180"/>
      <c r="H2" s="3180"/>
      <c r="I2" s="3180"/>
      <c r="J2" s="3180"/>
    </row>
    <row r="3" spans="1:10" ht="16.5">
      <c r="A3" s="3170" t="s">
        <v>2819</v>
      </c>
      <c r="B3" s="3172">
        <f>项目基本情况!D3</f>
        <v>44191</v>
      </c>
      <c r="C3" s="3179"/>
      <c r="D3" s="3179"/>
      <c r="E3" s="3179"/>
      <c r="F3" s="3179"/>
      <c r="G3" s="3180"/>
      <c r="H3" s="3180"/>
      <c r="I3" s="3180"/>
      <c r="J3" s="3180"/>
    </row>
    <row r="4" spans="1:10" ht="33">
      <c r="A4" s="3170" t="s">
        <v>2820</v>
      </c>
      <c r="B4" s="3170" t="s">
        <v>2821</v>
      </c>
      <c r="C4" s="3170" t="s">
        <v>2822</v>
      </c>
      <c r="D4" s="3170" t="s">
        <v>2823</v>
      </c>
      <c r="E4" s="3179"/>
      <c r="F4" s="3179"/>
      <c r="G4" s="3180"/>
      <c r="H4" s="3180"/>
      <c r="I4" s="3180"/>
      <c r="J4" s="3180"/>
    </row>
    <row r="5" spans="1:10" ht="16.5">
      <c r="A5" s="3170" t="s">
        <v>2824</v>
      </c>
      <c r="B5" s="3170">
        <f ca="1">SUM(D14:D23)</f>
        <v>101401</v>
      </c>
      <c r="C5" s="3170">
        <f ca="1">ROUND(B5*10000/$B$1,0)</f>
        <v>2197</v>
      </c>
      <c r="D5" s="3170">
        <f ca="1">ROUND(B5*10000/$B$2,0)</f>
        <v>4730</v>
      </c>
      <c r="E5" s="3179"/>
      <c r="F5" s="3179"/>
      <c r="G5" s="3180"/>
      <c r="H5" s="3180"/>
      <c r="I5" s="3180"/>
      <c r="J5" s="3180"/>
    </row>
    <row r="6" spans="1:10" ht="16.5">
      <c r="A6" s="3170" t="s">
        <v>2825</v>
      </c>
      <c r="B6" s="3170">
        <f>SUM(G14:G23)</f>
        <v>0</v>
      </c>
      <c r="C6" s="3170">
        <f t="shared" ref="C6:C8" si="0">ROUND(B6*10000/$B$1,0)</f>
        <v>0</v>
      </c>
      <c r="D6" s="3170">
        <f t="shared" ref="D6:D8" si="1">ROUND(B6*10000/$B$2,0)</f>
        <v>0</v>
      </c>
      <c r="E6" s="3179"/>
      <c r="F6" s="3179"/>
      <c r="G6" s="3180"/>
      <c r="H6" s="3180"/>
      <c r="I6" s="3180"/>
      <c r="J6" s="3180"/>
    </row>
    <row r="7" spans="1:10" ht="16.5">
      <c r="A7" s="3170" t="s">
        <v>2826</v>
      </c>
      <c r="B7" s="3170">
        <f ca="1">SUM(H14:H23)</f>
        <v>101401</v>
      </c>
      <c r="C7" s="3170">
        <f t="shared" ca="1" si="0"/>
        <v>2197</v>
      </c>
      <c r="D7" s="3170">
        <f t="shared" ca="1" si="1"/>
        <v>4730</v>
      </c>
      <c r="E7" s="3179"/>
      <c r="F7" s="3179"/>
      <c r="G7" s="3180"/>
      <c r="H7" s="3180"/>
      <c r="I7" s="3180"/>
      <c r="J7" s="3180"/>
    </row>
    <row r="8" spans="1:10" ht="16.5">
      <c r="A8" s="3170" t="s">
        <v>2827</v>
      </c>
      <c r="B8" s="3170">
        <f>SUM(I14:I23)</f>
        <v>0</v>
      </c>
      <c r="C8" s="3170">
        <f t="shared" si="0"/>
        <v>0</v>
      </c>
      <c r="D8" s="3170">
        <f t="shared" si="1"/>
        <v>0</v>
      </c>
      <c r="E8" s="3179"/>
      <c r="F8" s="3179"/>
      <c r="G8" s="3180"/>
      <c r="H8" s="3180"/>
      <c r="I8" s="3180"/>
      <c r="J8" s="3180"/>
    </row>
    <row r="9" spans="1:10" ht="16.5">
      <c r="A9" s="3170" t="s">
        <v>2828</v>
      </c>
      <c r="B9" s="3178"/>
      <c r="C9" s="3179"/>
      <c r="D9" s="3179"/>
      <c r="E9" s="3179"/>
      <c r="F9" s="3179"/>
      <c r="G9" s="3180"/>
      <c r="H9" s="3180"/>
      <c r="I9" s="3180"/>
      <c r="J9" s="3180"/>
    </row>
    <row r="10" spans="1:10" ht="16.5">
      <c r="A10" s="3170" t="s">
        <v>2829</v>
      </c>
      <c r="B10" s="3178"/>
      <c r="C10" s="3179"/>
      <c r="D10" s="3179"/>
      <c r="E10" s="3179"/>
      <c r="F10" s="3179"/>
      <c r="G10" s="3180"/>
      <c r="H10" s="3180"/>
      <c r="I10" s="3180"/>
      <c r="J10" s="3180"/>
    </row>
    <row r="11" spans="1:10" ht="16.5">
      <c r="A11" s="3170" t="s">
        <v>2846</v>
      </c>
      <c r="B11" s="3178"/>
      <c r="C11" s="3179"/>
      <c r="D11" s="3179"/>
      <c r="E11" s="3179"/>
      <c r="F11" s="3179"/>
      <c r="G11" s="3180"/>
      <c r="H11" s="3180"/>
      <c r="I11" s="3180"/>
      <c r="J11" s="3180"/>
    </row>
    <row r="12" spans="1:10" ht="16.5">
      <c r="A12" s="3179"/>
      <c r="B12" s="3179"/>
      <c r="C12" s="3179"/>
      <c r="D12" s="3179"/>
      <c r="E12" s="3179"/>
      <c r="F12" s="3179"/>
      <c r="G12" s="3180"/>
      <c r="H12" s="3180"/>
      <c r="I12" s="3180"/>
      <c r="J12" s="3180"/>
    </row>
    <row r="13" spans="1:10" ht="33">
      <c r="A13" s="3173" t="s">
        <v>2845</v>
      </c>
      <c r="B13" s="3174" t="s">
        <v>2817</v>
      </c>
      <c r="C13" s="3174" t="s">
        <v>2818</v>
      </c>
      <c r="D13" s="3174" t="s">
        <v>2830</v>
      </c>
      <c r="E13" s="3170" t="s">
        <v>2844</v>
      </c>
      <c r="F13" s="3170" t="s">
        <v>2823</v>
      </c>
      <c r="G13" s="3174" t="s">
        <v>2831</v>
      </c>
      <c r="H13" s="3174" t="s">
        <v>2832</v>
      </c>
      <c r="I13" s="3174" t="s">
        <v>2833</v>
      </c>
      <c r="J13" s="3180">
        <f ca="1">SUM(J14:J23)</f>
        <v>55770.55</v>
      </c>
    </row>
    <row r="14" spans="1:10" ht="16.5">
      <c r="A14" s="3175" t="s">
        <v>2843</v>
      </c>
      <c r="B14" s="3176">
        <f>结果表!L38</f>
        <v>461591.08999999997</v>
      </c>
      <c r="C14" s="3176">
        <f>结果表!K38</f>
        <v>214384.13</v>
      </c>
      <c r="D14" s="3176">
        <f ca="1">结果表!C42</f>
        <v>101401</v>
      </c>
      <c r="E14" s="3176">
        <f ca="1">ROUND(D14*10000/B14,0)</f>
        <v>2197</v>
      </c>
      <c r="F14" s="3176">
        <f ca="1">ROUND(D14*10000/C14,0)</f>
        <v>4730</v>
      </c>
      <c r="G14" s="3176" t="str">
        <f>结果表!C44</f>
        <v>——</v>
      </c>
      <c r="H14" s="3176">
        <f ca="1">结果表!C45</f>
        <v>101401</v>
      </c>
      <c r="I14" s="3176" t="str">
        <f>结果表!C46</f>
        <v>——</v>
      </c>
      <c r="J14" s="3180">
        <f ca="1">D14*0.55</f>
        <v>55770.55</v>
      </c>
    </row>
    <row r="15" spans="1:10" ht="16.5">
      <c r="A15" s="3175" t="s">
        <v>2834</v>
      </c>
      <c r="B15" s="3177"/>
      <c r="C15" s="3177"/>
      <c r="D15" s="3177"/>
      <c r="E15" s="3176" t="e">
        <f t="shared" ref="E15:E23" si="2">ROUND(D15*10000/B15,0)</f>
        <v>#DIV/0!</v>
      </c>
      <c r="F15" s="3176" t="e">
        <f t="shared" ref="F15:F23" si="3">ROUND(D15*10000/C15,0)</f>
        <v>#DIV/0!</v>
      </c>
      <c r="G15" s="2742"/>
      <c r="H15" s="2742"/>
      <c r="I15" s="3177"/>
      <c r="J15" s="3180">
        <f t="shared" ref="J15:J23" si="4">D15*0.55</f>
        <v>0</v>
      </c>
    </row>
    <row r="16" spans="1:10" ht="16.5">
      <c r="A16" s="3175" t="s">
        <v>2835</v>
      </c>
      <c r="B16" s="3177"/>
      <c r="C16" s="3177"/>
      <c r="D16" s="3177"/>
      <c r="E16" s="3176" t="e">
        <f t="shared" si="2"/>
        <v>#DIV/0!</v>
      </c>
      <c r="F16" s="3176" t="e">
        <f t="shared" si="3"/>
        <v>#DIV/0!</v>
      </c>
      <c r="G16" s="2742"/>
      <c r="H16" s="2742"/>
      <c r="I16" s="3177"/>
      <c r="J16" s="3180">
        <f t="shared" si="4"/>
        <v>0</v>
      </c>
    </row>
    <row r="17" spans="1:10" ht="16.5">
      <c r="A17" s="3175" t="s">
        <v>2836</v>
      </c>
      <c r="B17" s="3177"/>
      <c r="C17" s="3177"/>
      <c r="D17" s="3177"/>
      <c r="E17" s="3176" t="e">
        <f t="shared" si="2"/>
        <v>#DIV/0!</v>
      </c>
      <c r="F17" s="3176" t="e">
        <f t="shared" si="3"/>
        <v>#DIV/0!</v>
      </c>
      <c r="G17" s="2742"/>
      <c r="H17" s="2742"/>
      <c r="I17" s="3177"/>
      <c r="J17" s="3180">
        <f t="shared" si="4"/>
        <v>0</v>
      </c>
    </row>
    <row r="18" spans="1:10" ht="16.5">
      <c r="A18" s="3175" t="s">
        <v>2837</v>
      </c>
      <c r="B18" s="3177"/>
      <c r="C18" s="3177"/>
      <c r="D18" s="3177"/>
      <c r="E18" s="3176" t="e">
        <f t="shared" si="2"/>
        <v>#DIV/0!</v>
      </c>
      <c r="F18" s="3176" t="e">
        <f t="shared" si="3"/>
        <v>#DIV/0!</v>
      </c>
      <c r="G18" s="3177"/>
      <c r="H18" s="3177"/>
      <c r="I18" s="3177"/>
      <c r="J18" s="3180">
        <f t="shared" si="4"/>
        <v>0</v>
      </c>
    </row>
    <row r="19" spans="1:10" ht="16.5">
      <c r="A19" s="3175" t="s">
        <v>2838</v>
      </c>
      <c r="B19" s="3177"/>
      <c r="C19" s="3177"/>
      <c r="D19" s="3177"/>
      <c r="E19" s="3176" t="e">
        <f t="shared" si="2"/>
        <v>#DIV/0!</v>
      </c>
      <c r="F19" s="3176" t="e">
        <f t="shared" si="3"/>
        <v>#DIV/0!</v>
      </c>
      <c r="G19" s="3177"/>
      <c r="H19" s="3177"/>
      <c r="I19" s="3177"/>
      <c r="J19" s="3180">
        <f t="shared" si="4"/>
        <v>0</v>
      </c>
    </row>
    <row r="20" spans="1:10" ht="16.5">
      <c r="A20" s="3175" t="s">
        <v>2839</v>
      </c>
      <c r="B20" s="3177"/>
      <c r="C20" s="3177"/>
      <c r="D20" s="3177"/>
      <c r="E20" s="3176" t="e">
        <f t="shared" si="2"/>
        <v>#DIV/0!</v>
      </c>
      <c r="F20" s="3176" t="e">
        <f t="shared" si="3"/>
        <v>#DIV/0!</v>
      </c>
      <c r="G20" s="3177"/>
      <c r="H20" s="3177"/>
      <c r="I20" s="3177"/>
      <c r="J20" s="3180">
        <f t="shared" si="4"/>
        <v>0</v>
      </c>
    </row>
    <row r="21" spans="1:10" ht="16.5">
      <c r="A21" s="3175" t="s">
        <v>2840</v>
      </c>
      <c r="B21" s="3177"/>
      <c r="C21" s="3177"/>
      <c r="D21" s="3177"/>
      <c r="E21" s="3176" t="e">
        <f t="shared" si="2"/>
        <v>#DIV/0!</v>
      </c>
      <c r="F21" s="3176" t="e">
        <f t="shared" si="3"/>
        <v>#DIV/0!</v>
      </c>
      <c r="G21" s="3177"/>
      <c r="H21" s="3177"/>
      <c r="I21" s="3177"/>
      <c r="J21" s="3180">
        <f t="shared" si="4"/>
        <v>0</v>
      </c>
    </row>
    <row r="22" spans="1:10" ht="16.5">
      <c r="A22" s="3175" t="s">
        <v>2841</v>
      </c>
      <c r="B22" s="3177"/>
      <c r="C22" s="3177"/>
      <c r="D22" s="3177"/>
      <c r="E22" s="3176" t="e">
        <f t="shared" si="2"/>
        <v>#DIV/0!</v>
      </c>
      <c r="F22" s="3176" t="e">
        <f t="shared" si="3"/>
        <v>#DIV/0!</v>
      </c>
      <c r="G22" s="3177"/>
      <c r="H22" s="3177"/>
      <c r="I22" s="3177"/>
      <c r="J22" s="3180">
        <f t="shared" si="4"/>
        <v>0</v>
      </c>
    </row>
    <row r="23" spans="1:10" ht="16.5">
      <c r="A23" s="3175" t="s">
        <v>2842</v>
      </c>
      <c r="B23" s="3177"/>
      <c r="C23" s="3177"/>
      <c r="D23" s="3177"/>
      <c r="E23" s="3178" t="e">
        <f t="shared" si="2"/>
        <v>#DIV/0!</v>
      </c>
      <c r="F23" s="3178" t="e">
        <f t="shared" si="3"/>
        <v>#DIV/0!</v>
      </c>
      <c r="G23" s="3177"/>
      <c r="H23" s="3177"/>
      <c r="I23" s="3177"/>
      <c r="J23" s="3180">
        <f t="shared" si="4"/>
        <v>0</v>
      </c>
    </row>
    <row r="24" spans="1:10">
      <c r="A24" s="3180"/>
      <c r="B24" s="3180"/>
      <c r="C24" s="3180"/>
      <c r="D24" s="3180"/>
      <c r="E24" s="3180"/>
      <c r="F24" s="3180"/>
      <c r="G24" s="3180"/>
      <c r="H24" s="3180"/>
      <c r="I24" s="3180"/>
      <c r="J24" s="3180"/>
    </row>
    <row r="25" spans="1:10">
      <c r="A25" s="3180"/>
      <c r="B25" s="3180"/>
      <c r="C25" s="3180"/>
      <c r="D25" s="3180"/>
      <c r="E25" s="3180"/>
      <c r="F25" s="3180"/>
      <c r="G25" s="3180"/>
      <c r="H25" s="3180"/>
      <c r="I25" s="3180"/>
      <c r="J25" s="3180"/>
    </row>
    <row r="26" spans="1:10">
      <c r="A26" s="3180"/>
      <c r="B26" s="3180"/>
      <c r="C26" s="3180"/>
      <c r="D26" s="3180"/>
      <c r="E26" s="3180"/>
      <c r="F26" s="3180"/>
      <c r="G26" s="3180"/>
      <c r="H26" s="3180"/>
      <c r="I26" s="3180"/>
      <c r="J26" s="3180"/>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115" zoomScaleNormal="115" workbookViewId="0">
      <pane ySplit="24" topLeftCell="A25" activePane="bottomLeft" state="frozen"/>
      <selection activeCell="C24" sqref="C24:C524"/>
      <selection pane="bottomLeft" activeCell="R24" sqref="R24"/>
    </sheetView>
  </sheetViews>
  <sheetFormatPr defaultColWidth="9" defaultRowHeight="12.75"/>
  <cols>
    <col min="1" max="1" width="11.5" style="1195" customWidth="1"/>
    <col min="2" max="2" width="9.25" style="1192" customWidth="1"/>
    <col min="3" max="3" width="5" style="1192" customWidth="1"/>
    <col min="4" max="4" width="9" style="1192"/>
    <col min="5" max="5" width="5" style="1192" customWidth="1"/>
    <col min="6" max="6" width="9" style="1192"/>
    <col min="7" max="7" width="5" style="1192" customWidth="1"/>
    <col min="8" max="8" width="9" style="1192"/>
    <col min="9" max="9" width="5" style="1192" customWidth="1"/>
    <col min="10" max="10" width="9" style="1192"/>
    <col min="11" max="11" width="5" style="1192" customWidth="1"/>
    <col min="12" max="12" width="9" style="1192"/>
    <col min="13" max="13" width="5" style="1192" customWidth="1"/>
    <col min="14" max="14" width="9" style="1192"/>
    <col min="15" max="15" width="5" style="1192" customWidth="1"/>
    <col min="16" max="16" width="9" style="1192"/>
    <col min="17" max="17" width="5" style="1192" customWidth="1"/>
    <col min="18" max="18" width="9" style="1532"/>
    <col min="19" max="19" width="9" style="1195"/>
    <col min="20" max="35" width="9" style="247"/>
    <col min="36" max="16384" width="9" style="1195"/>
  </cols>
  <sheetData>
    <row r="1" spans="1:45" s="247" customFormat="1" ht="14.25" customHeight="1" thickBot="1">
      <c r="A1" s="355"/>
      <c r="B1" s="2100" t="s">
        <v>2288</v>
      </c>
      <c r="C1" s="3749" t="s">
        <v>2289</v>
      </c>
      <c r="D1" s="3750"/>
      <c r="E1" s="3750"/>
      <c r="F1" s="3750"/>
      <c r="G1" s="3750"/>
      <c r="H1" s="3750"/>
      <c r="I1" s="3750"/>
      <c r="J1" s="3750"/>
      <c r="K1" s="3750"/>
      <c r="L1" s="3750"/>
      <c r="M1" s="3750"/>
      <c r="N1" s="3750"/>
      <c r="O1" s="3750"/>
      <c r="P1" s="3750"/>
      <c r="Q1" s="3750"/>
      <c r="R1" s="3750"/>
      <c r="S1" s="3751"/>
      <c r="T1" s="2100" t="s">
        <v>2290</v>
      </c>
      <c r="U1" s="1910"/>
      <c r="V1" s="1910"/>
      <c r="W1" s="1910"/>
      <c r="X1" s="1910"/>
      <c r="Y1" s="1910"/>
      <c r="Z1" s="1910"/>
      <c r="AA1" s="1910"/>
      <c r="AB1" s="1910"/>
      <c r="AC1" s="1910"/>
      <c r="AD1" s="1910"/>
      <c r="AE1" s="1910"/>
      <c r="AF1" s="1910"/>
      <c r="AG1" s="1910"/>
      <c r="AH1" s="1910"/>
      <c r="AI1" s="1910"/>
      <c r="AJ1" s="1910"/>
      <c r="AK1" s="1910"/>
      <c r="AL1" s="1910"/>
      <c r="AM1" s="1910"/>
      <c r="AN1" s="1910"/>
      <c r="AO1" s="1910"/>
      <c r="AP1" s="1910"/>
      <c r="AQ1" s="1910"/>
      <c r="AR1" s="1910"/>
      <c r="AS1" s="1910"/>
    </row>
    <row r="2" spans="1:45" s="1870" customFormat="1" ht="25.5">
      <c r="A2" s="2101"/>
      <c r="B2" s="2845" t="s">
        <v>3765</v>
      </c>
      <c r="C2" s="930" t="str">
        <f t="shared" ref="C2:L2" si="0">C3&amp;"(含)"&amp;"-"&amp;D3</f>
        <v>0(含)-0</v>
      </c>
      <c r="D2" s="931" t="str">
        <f t="shared" si="0"/>
        <v>0(含)-0</v>
      </c>
      <c r="E2" s="931" t="str">
        <f t="shared" si="0"/>
        <v>0(含)-0</v>
      </c>
      <c r="F2" s="931" t="str">
        <f t="shared" si="0"/>
        <v>0(含)-</v>
      </c>
      <c r="G2" s="931" t="str">
        <f t="shared" si="0"/>
        <v>(含)-</v>
      </c>
      <c r="H2" s="931" t="str">
        <f t="shared" si="0"/>
        <v>(含)-</v>
      </c>
      <c r="I2" s="931" t="str">
        <f t="shared" si="0"/>
        <v>(含)-</v>
      </c>
      <c r="J2" s="931" t="str">
        <f t="shared" si="0"/>
        <v>(含)-</v>
      </c>
      <c r="K2" s="931" t="str">
        <f t="shared" si="0"/>
        <v>(含)-</v>
      </c>
      <c r="L2" s="931" t="str">
        <f t="shared" si="0"/>
        <v>(含)-</v>
      </c>
      <c r="M2" s="931" t="str">
        <f t="shared" ref="M2" si="1">M3&amp;"(含)"&amp;"-"&amp;N3</f>
        <v>(含)-</v>
      </c>
      <c r="N2" s="931" t="str">
        <f t="shared" ref="N2" si="2">N3&amp;"(含)"&amp;"-"&amp;O3</f>
        <v>(含)-</v>
      </c>
      <c r="O2" s="931" t="str">
        <f t="shared" ref="O2" si="3">O3&amp;"(含)"&amp;"-"&amp;P3</f>
        <v>(含)-</v>
      </c>
      <c r="P2" s="931" t="str">
        <f t="shared" ref="P2" si="4">P3&amp;"(含)"&amp;"-"&amp;Q3</f>
        <v>(含)-</v>
      </c>
      <c r="Q2" s="931" t="str">
        <f t="shared" ref="Q2" si="5">Q3&amp;"(含)"&amp;"-"&amp;R3</f>
        <v>(含)-</v>
      </c>
      <c r="R2" s="931" t="str">
        <f t="shared" ref="R2" si="6">R3&amp;"(含)"&amp;"-"&amp;S3</f>
        <v>(含)-</v>
      </c>
      <c r="S2" s="2102" t="str">
        <f>S3&amp;"(含)"&amp;"-"</f>
        <v>(含)-</v>
      </c>
      <c r="T2" s="932"/>
      <c r="U2" s="2103"/>
      <c r="V2" s="2103"/>
      <c r="W2" s="2103"/>
      <c r="X2" s="2103"/>
      <c r="Y2" s="2103"/>
      <c r="Z2" s="2103"/>
      <c r="AA2" s="2103"/>
      <c r="AB2" s="2103"/>
      <c r="AC2" s="2103"/>
      <c r="AD2" s="2103"/>
      <c r="AE2" s="2103"/>
      <c r="AF2" s="2103"/>
      <c r="AG2" s="2103"/>
      <c r="AH2" s="2103"/>
      <c r="AI2" s="2103"/>
      <c r="AJ2" s="2103"/>
      <c r="AK2" s="2103"/>
      <c r="AL2" s="2103"/>
      <c r="AM2" s="2103"/>
      <c r="AN2" s="2103"/>
      <c r="AO2" s="2103"/>
      <c r="AP2" s="2103"/>
      <c r="AQ2" s="2103"/>
      <c r="AR2" s="2103"/>
      <c r="AS2" s="2103"/>
    </row>
    <row r="3" spans="1:45" s="1871" customFormat="1">
      <c r="A3" s="2104"/>
      <c r="B3" s="933"/>
      <c r="C3" s="934">
        <f>'比较法-住宅、综合'!C119</f>
        <v>0</v>
      </c>
      <c r="D3" s="935">
        <f>'比较法-住宅、综合'!D119</f>
        <v>0</v>
      </c>
      <c r="E3" s="935">
        <f>'比较法-住宅、综合'!E119</f>
        <v>0</v>
      </c>
      <c r="F3" s="935">
        <f>'比较法-住宅、综合'!F119</f>
        <v>0</v>
      </c>
      <c r="G3" s="935"/>
      <c r="H3" s="935"/>
      <c r="I3" s="935"/>
      <c r="J3" s="936"/>
      <c r="K3" s="936"/>
      <c r="L3" s="937"/>
      <c r="M3" s="2105"/>
      <c r="N3" s="2106"/>
      <c r="O3" s="935"/>
      <c r="P3" s="935"/>
      <c r="Q3" s="935"/>
      <c r="R3" s="935"/>
      <c r="S3" s="2107"/>
      <c r="T3" s="938"/>
      <c r="U3" s="2108"/>
      <c r="V3" s="2108"/>
      <c r="W3" s="2108"/>
      <c r="X3" s="2108"/>
      <c r="Y3" s="2108"/>
      <c r="Z3" s="2108"/>
      <c r="AA3" s="2108"/>
      <c r="AB3" s="2108"/>
      <c r="AC3" s="2108"/>
      <c r="AD3" s="2108"/>
      <c r="AE3" s="2108"/>
      <c r="AF3" s="2108"/>
      <c r="AG3" s="2108"/>
      <c r="AH3" s="2108"/>
      <c r="AI3" s="2108"/>
      <c r="AJ3" s="2108"/>
      <c r="AK3" s="2108"/>
      <c r="AL3" s="2108"/>
      <c r="AM3" s="2108"/>
      <c r="AN3" s="2108"/>
      <c r="AO3" s="2108"/>
      <c r="AP3" s="2108"/>
      <c r="AQ3" s="2108"/>
      <c r="AR3" s="2108"/>
      <c r="AS3" s="2108"/>
    </row>
    <row r="4" spans="1:45" s="1871" customFormat="1" ht="13.5" thickBot="1">
      <c r="A4" s="2109"/>
      <c r="B4" s="2110"/>
      <c r="C4" s="2111">
        <f>'比较法-住宅、综合'!C120</f>
        <v>0</v>
      </c>
      <c r="D4" s="2112">
        <f>'比较法-住宅、综合'!D120</f>
        <v>0</v>
      </c>
      <c r="E4" s="2112">
        <f>'比较法-住宅、综合'!E120</f>
        <v>0</v>
      </c>
      <c r="F4" s="2112">
        <f>'比较法-住宅、综合'!F120</f>
        <v>0</v>
      </c>
      <c r="G4" s="2112"/>
      <c r="H4" s="2112"/>
      <c r="I4" s="2112"/>
      <c r="J4" s="2112"/>
      <c r="K4" s="2112"/>
      <c r="L4" s="2112"/>
      <c r="M4" s="2113"/>
      <c r="N4" s="2114"/>
      <c r="O4" s="2112"/>
      <c r="P4" s="2112"/>
      <c r="Q4" s="2112"/>
      <c r="R4" s="2112"/>
      <c r="S4" s="2115"/>
      <c r="T4" s="2116"/>
      <c r="U4" s="2108"/>
      <c r="V4" s="2108"/>
      <c r="W4" s="2108"/>
      <c r="X4" s="2108"/>
      <c r="Y4" s="2108"/>
      <c r="Z4" s="2108"/>
      <c r="AA4" s="2108"/>
      <c r="AB4" s="2108"/>
      <c r="AC4" s="2108"/>
      <c r="AD4" s="2108"/>
      <c r="AE4" s="2108"/>
      <c r="AF4" s="2108"/>
      <c r="AG4" s="2108"/>
      <c r="AH4" s="2108"/>
      <c r="AI4" s="2108"/>
      <c r="AJ4" s="2108"/>
      <c r="AK4" s="2108"/>
      <c r="AL4" s="2108"/>
      <c r="AM4" s="2108"/>
      <c r="AN4" s="2108"/>
      <c r="AO4" s="2108"/>
      <c r="AP4" s="2108"/>
      <c r="AQ4" s="2108"/>
      <c r="AR4" s="2108"/>
      <c r="AS4" s="2108"/>
    </row>
    <row r="5" spans="1:45" s="1872" customFormat="1" ht="38.25">
      <c r="A5" s="2117"/>
      <c r="B5" s="3299" t="s">
        <v>3766</v>
      </c>
      <c r="C5" s="2118" t="str">
        <f>'比较法-住宅、综合'!C81</f>
        <v>1（含）-2</v>
      </c>
      <c r="D5" s="2119" t="str">
        <f>'比较法-住宅、综合'!D81</f>
        <v>2（含）-3</v>
      </c>
      <c r="E5" s="2119" t="str">
        <f>'比较法-住宅、综合'!E81</f>
        <v>3（含）-</v>
      </c>
      <c r="F5" s="2119" t="str">
        <f>'比较法-住宅、综合'!F81</f>
        <v>（含）-</v>
      </c>
      <c r="G5" s="2119" t="str">
        <f>'比较法-住宅、综合'!G81</f>
        <v>（含）-</v>
      </c>
      <c r="H5" s="2119"/>
      <c r="I5" s="2119"/>
      <c r="J5" s="2119"/>
      <c r="K5" s="2119"/>
      <c r="L5" s="2120"/>
      <c r="M5" s="2121"/>
      <c r="N5" s="2121"/>
      <c r="O5" s="2119"/>
      <c r="P5" s="2119"/>
      <c r="Q5" s="2119"/>
      <c r="R5" s="2119"/>
      <c r="S5" s="2122"/>
      <c r="T5" s="2123">
        <f>'比较法-住宅、综合'!K13</f>
        <v>2</v>
      </c>
      <c r="U5" s="2124"/>
      <c r="V5" s="2124"/>
      <c r="W5" s="2124"/>
      <c r="X5" s="2124"/>
      <c r="Y5" s="2124"/>
      <c r="Z5" s="2124"/>
      <c r="AA5" s="2124"/>
      <c r="AB5" s="2124"/>
      <c r="AC5" s="2124"/>
      <c r="AD5" s="2124"/>
      <c r="AE5" s="2124"/>
      <c r="AF5" s="2124"/>
      <c r="AG5" s="2124"/>
      <c r="AH5" s="2124"/>
      <c r="AI5" s="2124"/>
      <c r="AJ5" s="2124"/>
      <c r="AK5" s="2124"/>
      <c r="AL5" s="2124"/>
      <c r="AM5" s="2124"/>
      <c r="AN5" s="2124"/>
      <c r="AO5" s="2124"/>
      <c r="AP5" s="2124"/>
      <c r="AQ5" s="2124"/>
      <c r="AR5" s="2124"/>
      <c r="AS5" s="2124"/>
    </row>
    <row r="6" spans="1:45" s="1872" customFormat="1" ht="13.5" thickBot="1">
      <c r="A6" s="2117"/>
      <c r="B6" s="1864"/>
      <c r="C6" s="1868">
        <v>100</v>
      </c>
      <c r="D6" s="1869">
        <f>C6-$T5</f>
        <v>98</v>
      </c>
      <c r="E6" s="1869">
        <f t="shared" ref="E6:S6" si="7">D6-$T5</f>
        <v>96</v>
      </c>
      <c r="F6" s="1869">
        <f t="shared" si="7"/>
        <v>94</v>
      </c>
      <c r="G6" s="1869">
        <f t="shared" si="7"/>
        <v>92</v>
      </c>
      <c r="H6" s="1869">
        <f t="shared" si="7"/>
        <v>90</v>
      </c>
      <c r="I6" s="1869">
        <f t="shared" si="7"/>
        <v>88</v>
      </c>
      <c r="J6" s="1869">
        <f t="shared" si="7"/>
        <v>86</v>
      </c>
      <c r="K6" s="1869">
        <f t="shared" si="7"/>
        <v>84</v>
      </c>
      <c r="L6" s="1869">
        <f t="shared" si="7"/>
        <v>82</v>
      </c>
      <c r="M6" s="1869">
        <f t="shared" si="7"/>
        <v>80</v>
      </c>
      <c r="N6" s="1869">
        <f t="shared" si="7"/>
        <v>78</v>
      </c>
      <c r="O6" s="1869">
        <f t="shared" si="7"/>
        <v>76</v>
      </c>
      <c r="P6" s="1869">
        <f t="shared" si="7"/>
        <v>74</v>
      </c>
      <c r="Q6" s="1869">
        <f t="shared" si="7"/>
        <v>72</v>
      </c>
      <c r="R6" s="1869">
        <f t="shared" si="7"/>
        <v>70</v>
      </c>
      <c r="S6" s="1869">
        <f t="shared" si="7"/>
        <v>68</v>
      </c>
      <c r="T6" s="1867"/>
      <c r="U6" s="2124"/>
      <c r="V6" s="2124"/>
      <c r="W6" s="2124"/>
      <c r="X6" s="2124"/>
      <c r="Y6" s="2124"/>
      <c r="Z6" s="2124"/>
      <c r="AA6" s="2124"/>
      <c r="AB6" s="2124"/>
      <c r="AC6" s="2124"/>
      <c r="AD6" s="2124"/>
      <c r="AE6" s="2124"/>
      <c r="AF6" s="2124"/>
      <c r="AG6" s="2124"/>
      <c r="AH6" s="2124"/>
      <c r="AI6" s="2124"/>
      <c r="AJ6" s="2124"/>
      <c r="AK6" s="2124"/>
      <c r="AL6" s="2124"/>
      <c r="AM6" s="2124"/>
      <c r="AN6" s="2124"/>
      <c r="AO6" s="2124"/>
      <c r="AP6" s="2124"/>
      <c r="AQ6" s="2124"/>
      <c r="AR6" s="2124"/>
      <c r="AS6" s="2124"/>
    </row>
    <row r="7" spans="1:45" s="1872" customFormat="1">
      <c r="A7" s="2117"/>
      <c r="B7" s="2764" t="s">
        <v>2886</v>
      </c>
      <c r="C7" s="1861"/>
      <c r="D7" s="1862"/>
      <c r="E7" s="1862"/>
      <c r="F7" s="1862"/>
      <c r="G7" s="1862"/>
      <c r="H7" s="1862"/>
      <c r="I7" s="1862"/>
      <c r="J7" s="1862"/>
      <c r="K7" s="1862"/>
      <c r="L7" s="1862"/>
      <c r="M7" s="2125"/>
      <c r="N7" s="2126"/>
      <c r="O7" s="2127"/>
      <c r="P7" s="2128"/>
      <c r="Q7" s="2129"/>
      <c r="R7" s="2130"/>
      <c r="S7" s="2131"/>
      <c r="T7" s="939"/>
      <c r="U7" s="2124"/>
      <c r="V7" s="2124"/>
      <c r="W7" s="2124"/>
      <c r="X7" s="2124"/>
      <c r="Y7" s="2124"/>
      <c r="Z7" s="2124"/>
      <c r="AA7" s="2124"/>
      <c r="AB7" s="2124"/>
      <c r="AC7" s="2124"/>
      <c r="AD7" s="2124"/>
      <c r="AE7" s="2124"/>
      <c r="AF7" s="2124"/>
      <c r="AG7" s="2124"/>
      <c r="AH7" s="2124"/>
      <c r="AI7" s="2124"/>
      <c r="AJ7" s="2124"/>
      <c r="AK7" s="2124"/>
      <c r="AL7" s="2124"/>
      <c r="AM7" s="2124"/>
      <c r="AN7" s="2124"/>
      <c r="AO7" s="2124"/>
      <c r="AP7" s="2124"/>
      <c r="AQ7" s="2124"/>
      <c r="AR7" s="2124"/>
      <c r="AS7" s="2124"/>
    </row>
    <row r="8" spans="1:45" s="1872" customFormat="1" ht="13.5" thickBot="1">
      <c r="A8" s="2117"/>
      <c r="B8" s="1864"/>
      <c r="C8" s="1868">
        <v>100</v>
      </c>
      <c r="D8" s="1869">
        <f>C8-$T7</f>
        <v>100</v>
      </c>
      <c r="E8" s="1869">
        <f t="shared" ref="E8:S8" si="8">D8-$T7</f>
        <v>100</v>
      </c>
      <c r="F8" s="1869">
        <f t="shared" si="8"/>
        <v>100</v>
      </c>
      <c r="G8" s="1869">
        <f t="shared" si="8"/>
        <v>100</v>
      </c>
      <c r="H8" s="1869">
        <f t="shared" si="8"/>
        <v>100</v>
      </c>
      <c r="I8" s="1869">
        <f t="shared" si="8"/>
        <v>100</v>
      </c>
      <c r="J8" s="1869">
        <f t="shared" si="8"/>
        <v>100</v>
      </c>
      <c r="K8" s="1869">
        <f t="shared" si="8"/>
        <v>100</v>
      </c>
      <c r="L8" s="1869">
        <f t="shared" si="8"/>
        <v>100</v>
      </c>
      <c r="M8" s="1869">
        <f t="shared" si="8"/>
        <v>100</v>
      </c>
      <c r="N8" s="1869">
        <f t="shared" si="8"/>
        <v>100</v>
      </c>
      <c r="O8" s="1869">
        <f t="shared" si="8"/>
        <v>100</v>
      </c>
      <c r="P8" s="1869">
        <f t="shared" si="8"/>
        <v>100</v>
      </c>
      <c r="Q8" s="1869">
        <f t="shared" si="8"/>
        <v>100</v>
      </c>
      <c r="R8" s="1869">
        <f t="shared" si="8"/>
        <v>100</v>
      </c>
      <c r="S8" s="1869">
        <f t="shared" si="8"/>
        <v>100</v>
      </c>
      <c r="T8" s="1867"/>
      <c r="U8" s="2124"/>
      <c r="V8" s="2124"/>
      <c r="W8" s="2124"/>
      <c r="X8" s="2124"/>
      <c r="Y8" s="2124"/>
      <c r="Z8" s="2124"/>
      <c r="AA8" s="2124"/>
      <c r="AB8" s="2124"/>
      <c r="AC8" s="2124"/>
      <c r="AD8" s="2124"/>
      <c r="AE8" s="2124"/>
      <c r="AF8" s="2124"/>
      <c r="AG8" s="2124"/>
      <c r="AH8" s="2124"/>
      <c r="AI8" s="2124"/>
      <c r="AJ8" s="2124"/>
      <c r="AK8" s="2124"/>
      <c r="AL8" s="2124"/>
      <c r="AM8" s="2124"/>
      <c r="AN8" s="2124"/>
      <c r="AO8" s="2124"/>
      <c r="AP8" s="2124"/>
      <c r="AQ8" s="2124"/>
      <c r="AR8" s="2124"/>
      <c r="AS8" s="2124"/>
    </row>
    <row r="9" spans="1:45" s="1872" customFormat="1">
      <c r="A9" s="2117"/>
      <c r="B9" s="2764" t="s">
        <v>2885</v>
      </c>
      <c r="C9" s="1861"/>
      <c r="D9" s="1862"/>
      <c r="E9" s="1862"/>
      <c r="F9" s="1862"/>
      <c r="G9" s="1862"/>
      <c r="H9" s="1862"/>
      <c r="I9" s="1862"/>
      <c r="J9" s="1862"/>
      <c r="K9" s="1862"/>
      <c r="L9" s="1863"/>
      <c r="M9" s="2125"/>
      <c r="N9" s="2126"/>
      <c r="O9" s="2127"/>
      <c r="P9" s="2128"/>
      <c r="Q9" s="2129"/>
      <c r="R9" s="2130"/>
      <c r="S9" s="2131"/>
      <c r="T9" s="939"/>
      <c r="U9" s="2124"/>
      <c r="V9" s="2124"/>
      <c r="W9" s="2124"/>
      <c r="X9" s="2124"/>
      <c r="Y9" s="2124"/>
      <c r="Z9" s="2124"/>
      <c r="AA9" s="2124"/>
      <c r="AB9" s="2124"/>
      <c r="AC9" s="2124"/>
      <c r="AD9" s="2124"/>
      <c r="AE9" s="2124"/>
      <c r="AF9" s="2124"/>
      <c r="AG9" s="2124"/>
      <c r="AH9" s="2124"/>
      <c r="AI9" s="2124"/>
      <c r="AJ9" s="2124"/>
      <c r="AK9" s="2124"/>
      <c r="AL9" s="2124"/>
      <c r="AM9" s="2124"/>
      <c r="AN9" s="2124"/>
      <c r="AO9" s="2124"/>
      <c r="AP9" s="2124"/>
      <c r="AQ9" s="2124"/>
      <c r="AR9" s="2124"/>
      <c r="AS9" s="2124"/>
    </row>
    <row r="10" spans="1:45" s="1872" customFormat="1" ht="13.5" thickBot="1">
      <c r="A10" s="2117"/>
      <c r="B10" s="2763"/>
      <c r="C10" s="2132">
        <v>100</v>
      </c>
      <c r="D10" s="2133">
        <f>C10-$T9</f>
        <v>100</v>
      </c>
      <c r="E10" s="2133">
        <f t="shared" ref="E10:S10" si="9">D10-$T9</f>
        <v>100</v>
      </c>
      <c r="F10" s="2133">
        <f t="shared" si="9"/>
        <v>100</v>
      </c>
      <c r="G10" s="2133">
        <f t="shared" si="9"/>
        <v>100</v>
      </c>
      <c r="H10" s="2133">
        <f t="shared" si="9"/>
        <v>100</v>
      </c>
      <c r="I10" s="2133">
        <f t="shared" si="9"/>
        <v>100</v>
      </c>
      <c r="J10" s="2133">
        <f t="shared" si="9"/>
        <v>100</v>
      </c>
      <c r="K10" s="2133">
        <f t="shared" si="9"/>
        <v>100</v>
      </c>
      <c r="L10" s="2133">
        <f t="shared" si="9"/>
        <v>100</v>
      </c>
      <c r="M10" s="2133">
        <f t="shared" si="9"/>
        <v>100</v>
      </c>
      <c r="N10" s="2133">
        <f t="shared" si="9"/>
        <v>100</v>
      </c>
      <c r="O10" s="2133">
        <f t="shared" si="9"/>
        <v>100</v>
      </c>
      <c r="P10" s="2133">
        <f t="shared" si="9"/>
        <v>100</v>
      </c>
      <c r="Q10" s="2133">
        <f t="shared" si="9"/>
        <v>100</v>
      </c>
      <c r="R10" s="2133">
        <f t="shared" si="9"/>
        <v>100</v>
      </c>
      <c r="S10" s="2133">
        <f t="shared" si="9"/>
        <v>100</v>
      </c>
      <c r="T10" s="2116"/>
      <c r="U10" s="2124"/>
      <c r="V10" s="2124"/>
      <c r="W10" s="2124"/>
      <c r="X10" s="2124"/>
      <c r="Y10" s="2124"/>
      <c r="Z10" s="2124"/>
      <c r="AA10" s="2124"/>
      <c r="AB10" s="2124"/>
      <c r="AC10" s="2124"/>
      <c r="AD10" s="2124"/>
      <c r="AE10" s="2124"/>
      <c r="AF10" s="2124"/>
      <c r="AG10" s="2124"/>
      <c r="AH10" s="2124"/>
      <c r="AI10" s="2124"/>
      <c r="AJ10" s="2124"/>
      <c r="AK10" s="2124"/>
      <c r="AL10" s="2124"/>
      <c r="AM10" s="2124"/>
      <c r="AN10" s="2124"/>
      <c r="AO10" s="2124"/>
      <c r="AP10" s="2124"/>
      <c r="AQ10" s="2124"/>
      <c r="AR10" s="2124"/>
      <c r="AS10" s="2124"/>
    </row>
    <row r="11" spans="1:45" s="1872" customFormat="1">
      <c r="A11" s="2117"/>
      <c r="B11" s="2762" t="s">
        <v>2897</v>
      </c>
      <c r="C11" s="2118"/>
      <c r="D11" s="2119"/>
      <c r="E11" s="2119"/>
      <c r="F11" s="2119"/>
      <c r="G11" s="2119"/>
      <c r="H11" s="2119"/>
      <c r="I11" s="2119"/>
      <c r="J11" s="2119"/>
      <c r="K11" s="2119"/>
      <c r="L11" s="2119"/>
      <c r="M11" s="2121"/>
      <c r="N11" s="2134"/>
      <c r="O11" s="2135"/>
      <c r="P11" s="2136"/>
      <c r="Q11" s="2137"/>
      <c r="R11" s="2138"/>
      <c r="S11" s="2139"/>
      <c r="T11" s="2123"/>
      <c r="U11" s="2124"/>
      <c r="V11" s="2124"/>
      <c r="W11" s="2124"/>
      <c r="X11" s="2124"/>
      <c r="Y11" s="2124"/>
      <c r="Z11" s="2124"/>
      <c r="AA11" s="2124"/>
      <c r="AB11" s="2124"/>
      <c r="AC11" s="2124"/>
      <c r="AD11" s="2124"/>
      <c r="AE11" s="2124"/>
      <c r="AF11" s="2124"/>
      <c r="AG11" s="2124"/>
      <c r="AH11" s="2124"/>
      <c r="AI11" s="2124"/>
      <c r="AJ11" s="2124"/>
      <c r="AK11" s="2124"/>
      <c r="AL11" s="2124"/>
      <c r="AM11" s="2124"/>
      <c r="AN11" s="2124"/>
      <c r="AO11" s="2124"/>
      <c r="AP11" s="2124"/>
      <c r="AQ11" s="2124"/>
      <c r="AR11" s="2124"/>
      <c r="AS11" s="2124"/>
    </row>
    <row r="12" spans="1:45" s="1872" customFormat="1" ht="13.5" thickBot="1">
      <c r="A12" s="2117"/>
      <c r="B12" s="1864"/>
      <c r="C12" s="1868">
        <v>100</v>
      </c>
      <c r="D12" s="1869">
        <f>C12-$T11</f>
        <v>100</v>
      </c>
      <c r="E12" s="1869">
        <f t="shared" ref="E12:S12" si="10">D12-$T11</f>
        <v>100</v>
      </c>
      <c r="F12" s="1869">
        <f t="shared" si="10"/>
        <v>100</v>
      </c>
      <c r="G12" s="1869">
        <f t="shared" si="10"/>
        <v>100</v>
      </c>
      <c r="H12" s="1869">
        <f t="shared" si="10"/>
        <v>100</v>
      </c>
      <c r="I12" s="1869">
        <f t="shared" si="10"/>
        <v>100</v>
      </c>
      <c r="J12" s="1869">
        <f t="shared" si="10"/>
        <v>100</v>
      </c>
      <c r="K12" s="1869">
        <f t="shared" si="10"/>
        <v>100</v>
      </c>
      <c r="L12" s="1869">
        <f t="shared" si="10"/>
        <v>100</v>
      </c>
      <c r="M12" s="1869">
        <f t="shared" si="10"/>
        <v>100</v>
      </c>
      <c r="N12" s="1869">
        <f t="shared" si="10"/>
        <v>100</v>
      </c>
      <c r="O12" s="1869">
        <f t="shared" si="10"/>
        <v>100</v>
      </c>
      <c r="P12" s="1869">
        <f t="shared" si="10"/>
        <v>100</v>
      </c>
      <c r="Q12" s="1869">
        <f t="shared" si="10"/>
        <v>100</v>
      </c>
      <c r="R12" s="1869">
        <f t="shared" si="10"/>
        <v>100</v>
      </c>
      <c r="S12" s="1869">
        <f t="shared" si="10"/>
        <v>100</v>
      </c>
      <c r="T12" s="1867"/>
      <c r="U12" s="2124"/>
      <c r="V12" s="2124"/>
      <c r="W12" s="2124"/>
      <c r="X12" s="2124"/>
      <c r="Y12" s="2124"/>
      <c r="Z12" s="2124"/>
      <c r="AA12" s="2124"/>
      <c r="AB12" s="2124"/>
      <c r="AC12" s="2124"/>
      <c r="AD12" s="2124"/>
      <c r="AE12" s="2124"/>
      <c r="AF12" s="2124"/>
      <c r="AG12" s="2124"/>
      <c r="AH12" s="2124"/>
      <c r="AI12" s="2124"/>
      <c r="AJ12" s="2124"/>
      <c r="AK12" s="2124"/>
      <c r="AL12" s="2124"/>
      <c r="AM12" s="2124"/>
      <c r="AN12" s="2124"/>
      <c r="AO12" s="2124"/>
      <c r="AP12" s="2124"/>
      <c r="AQ12" s="2124"/>
      <c r="AR12" s="2124"/>
      <c r="AS12" s="2124"/>
    </row>
    <row r="13" spans="1:45" s="1872" customFormat="1">
      <c r="A13" s="2117"/>
      <c r="B13" s="2762" t="s">
        <v>2884</v>
      </c>
      <c r="C13" s="2118"/>
      <c r="D13" s="2119"/>
      <c r="E13" s="2119"/>
      <c r="F13" s="2119"/>
      <c r="G13" s="2119"/>
      <c r="H13" s="2119"/>
      <c r="I13" s="2119"/>
      <c r="J13" s="2119"/>
      <c r="K13" s="2119"/>
      <c r="L13" s="2119"/>
      <c r="M13" s="2121"/>
      <c r="N13" s="2134"/>
      <c r="O13" s="2135"/>
      <c r="P13" s="2136"/>
      <c r="Q13" s="2137"/>
      <c r="R13" s="2138"/>
      <c r="S13" s="2139"/>
      <c r="T13" s="2140"/>
      <c r="U13" s="2124"/>
      <c r="V13" s="2124"/>
      <c r="W13" s="2124"/>
      <c r="X13" s="2124"/>
      <c r="Y13" s="2124"/>
      <c r="Z13" s="2124"/>
      <c r="AA13" s="2124"/>
      <c r="AB13" s="2124"/>
      <c r="AC13" s="2124"/>
      <c r="AD13" s="2124"/>
      <c r="AE13" s="2124"/>
      <c r="AF13" s="2124"/>
      <c r="AG13" s="2124"/>
      <c r="AH13" s="2124"/>
      <c r="AI13" s="2124"/>
      <c r="AJ13" s="2124"/>
      <c r="AK13" s="2124"/>
      <c r="AL13" s="2124"/>
      <c r="AM13" s="2124"/>
      <c r="AN13" s="2124"/>
      <c r="AO13" s="2124"/>
      <c r="AP13" s="2124"/>
      <c r="AQ13" s="2124"/>
      <c r="AR13" s="2124"/>
      <c r="AS13" s="2124"/>
    </row>
    <row r="14" spans="1:45" s="1872" customFormat="1" ht="13.5" thickBot="1">
      <c r="A14" s="2117"/>
      <c r="B14" s="1864"/>
      <c r="C14" s="1865"/>
      <c r="D14" s="1866"/>
      <c r="E14" s="1866"/>
      <c r="F14" s="1866"/>
      <c r="G14" s="1866"/>
      <c r="H14" s="1866"/>
      <c r="I14" s="1866"/>
      <c r="J14" s="1866"/>
      <c r="K14" s="1866"/>
      <c r="L14" s="1866"/>
      <c r="M14" s="2141"/>
      <c r="N14" s="2141"/>
      <c r="O14" s="1866"/>
      <c r="P14" s="1866"/>
      <c r="Q14" s="1866"/>
      <c r="R14" s="1866"/>
      <c r="S14" s="2142"/>
      <c r="T14" s="1867"/>
      <c r="U14" s="2124"/>
      <c r="V14" s="2124"/>
      <c r="W14" s="2124"/>
      <c r="X14" s="2124"/>
      <c r="Y14" s="2124"/>
      <c r="Z14" s="2124"/>
      <c r="AA14" s="2124"/>
      <c r="AB14" s="2124"/>
      <c r="AC14" s="2124"/>
      <c r="AD14" s="2124"/>
      <c r="AE14" s="2124"/>
      <c r="AF14" s="2124"/>
      <c r="AG14" s="2124"/>
      <c r="AH14" s="2124"/>
      <c r="AI14" s="2124"/>
      <c r="AJ14" s="2124"/>
      <c r="AK14" s="2124"/>
      <c r="AL14" s="2124"/>
      <c r="AM14" s="2124"/>
      <c r="AN14" s="2124"/>
      <c r="AO14" s="2124"/>
      <c r="AP14" s="2124"/>
      <c r="AQ14" s="2124"/>
      <c r="AR14" s="2124"/>
      <c r="AS14" s="2124"/>
    </row>
    <row r="15" spans="1:45" s="1872" customFormat="1">
      <c r="A15" s="2117"/>
      <c r="B15" s="2762" t="s">
        <v>2883</v>
      </c>
      <c r="C15" s="2118"/>
      <c r="D15" s="2119"/>
      <c r="E15" s="2119"/>
      <c r="F15" s="2119"/>
      <c r="G15" s="2119"/>
      <c r="H15" s="2119"/>
      <c r="I15" s="2119"/>
      <c r="J15" s="2119"/>
      <c r="K15" s="2119"/>
      <c r="L15" s="2119"/>
      <c r="M15" s="2121"/>
      <c r="N15" s="2134"/>
      <c r="O15" s="2135"/>
      <c r="P15" s="2136"/>
      <c r="Q15" s="2137"/>
      <c r="R15" s="2138"/>
      <c r="S15" s="2139"/>
      <c r="T15" s="2140"/>
      <c r="U15" s="2124"/>
      <c r="V15" s="2124"/>
      <c r="W15" s="2124"/>
      <c r="X15" s="2124"/>
      <c r="Y15" s="2124"/>
      <c r="Z15" s="2124"/>
      <c r="AA15" s="2124"/>
      <c r="AB15" s="2124"/>
      <c r="AC15" s="2124"/>
      <c r="AD15" s="2124"/>
      <c r="AE15" s="2124"/>
      <c r="AF15" s="2124"/>
      <c r="AG15" s="2124"/>
      <c r="AH15" s="2124"/>
      <c r="AI15" s="2124"/>
      <c r="AJ15" s="2124"/>
      <c r="AK15" s="2124"/>
      <c r="AL15" s="2124"/>
      <c r="AM15" s="2124"/>
      <c r="AN15" s="2124"/>
      <c r="AO15" s="2124"/>
      <c r="AP15" s="2124"/>
      <c r="AQ15" s="2124"/>
      <c r="AR15" s="2124"/>
      <c r="AS15" s="2124"/>
    </row>
    <row r="16" spans="1:45" s="1872" customFormat="1" ht="13.5" thickBot="1">
      <c r="A16" s="2117"/>
      <c r="B16" s="2110"/>
      <c r="C16" s="2111"/>
      <c r="D16" s="2112"/>
      <c r="E16" s="2112"/>
      <c r="F16" s="2112"/>
      <c r="G16" s="2112"/>
      <c r="H16" s="2112"/>
      <c r="I16" s="2112"/>
      <c r="J16" s="2112"/>
      <c r="K16" s="2112"/>
      <c r="L16" s="2112"/>
      <c r="M16" s="2113"/>
      <c r="N16" s="2113"/>
      <c r="O16" s="2112"/>
      <c r="P16" s="2112"/>
      <c r="Q16" s="2112"/>
      <c r="R16" s="2112"/>
      <c r="S16" s="2115"/>
      <c r="T16" s="2116"/>
      <c r="U16" s="2124"/>
      <c r="V16" s="2124"/>
      <c r="W16" s="2124"/>
      <c r="X16" s="2124"/>
      <c r="Y16" s="2124"/>
      <c r="Z16" s="2124"/>
      <c r="AA16" s="2124"/>
      <c r="AB16" s="2124"/>
      <c r="AC16" s="2124"/>
      <c r="AD16" s="2124"/>
      <c r="AE16" s="2124"/>
      <c r="AF16" s="2124"/>
      <c r="AG16" s="2124"/>
      <c r="AH16" s="2124"/>
      <c r="AI16" s="2124"/>
      <c r="AJ16" s="2124"/>
      <c r="AK16" s="2124"/>
      <c r="AL16" s="2124"/>
      <c r="AM16" s="2124"/>
      <c r="AN16" s="2124"/>
      <c r="AO16" s="2124"/>
      <c r="AP16" s="2124"/>
      <c r="AQ16" s="2124"/>
      <c r="AR16" s="2124"/>
      <c r="AS16" s="2124"/>
    </row>
    <row r="17" spans="1:45" s="1870" customFormat="1">
      <c r="A17" s="2143" t="s">
        <v>2291</v>
      </c>
      <c r="B17" s="2144" t="s">
        <v>2292</v>
      </c>
      <c r="C17" s="2145"/>
      <c r="D17" s="2146"/>
      <c r="E17" s="2146"/>
      <c r="F17" s="2146"/>
      <c r="G17" s="2146"/>
      <c r="H17" s="2146"/>
      <c r="I17" s="2146"/>
      <c r="J17" s="2146"/>
      <c r="K17" s="2146"/>
      <c r="L17" s="2147"/>
      <c r="M17" s="2148"/>
      <c r="N17" s="2149"/>
      <c r="O17" s="2150"/>
      <c r="P17" s="2151"/>
      <c r="Q17" s="2152"/>
      <c r="R17" s="2153"/>
      <c r="S17" s="2154"/>
      <c r="T17" s="2154"/>
      <c r="U17" s="2154"/>
      <c r="V17" s="2154"/>
      <c r="W17" s="2154"/>
      <c r="X17" s="2154"/>
      <c r="Y17" s="2154"/>
      <c r="Z17" s="2154"/>
      <c r="AA17" s="2154"/>
      <c r="AB17" s="2154"/>
      <c r="AC17" s="2154"/>
      <c r="AD17" s="2154"/>
      <c r="AE17" s="2154"/>
      <c r="AF17" s="2154"/>
      <c r="AG17" s="2154"/>
      <c r="AH17" s="2154"/>
      <c r="AI17" s="2154"/>
      <c r="AJ17" s="2154"/>
      <c r="AK17" s="2154"/>
      <c r="AL17" s="2154"/>
      <c r="AM17" s="2154"/>
      <c r="AN17" s="2154"/>
      <c r="AO17" s="2154"/>
      <c r="AP17" s="2154"/>
      <c r="AQ17" s="2154"/>
      <c r="AR17" s="2103"/>
      <c r="AS17" s="2103"/>
    </row>
    <row r="18" spans="1:45" s="1870" customFormat="1" ht="13.5" thickBot="1">
      <c r="A18" s="2155"/>
      <c r="B18" s="2156"/>
      <c r="C18" s="2157"/>
      <c r="D18" s="2158"/>
      <c r="E18" s="2158"/>
      <c r="F18" s="2158"/>
      <c r="G18" s="2158"/>
      <c r="H18" s="2158"/>
      <c r="I18" s="2158"/>
      <c r="J18" s="2158"/>
      <c r="K18" s="2158"/>
      <c r="L18" s="2158"/>
      <c r="M18" s="2159"/>
      <c r="N18" s="2159"/>
      <c r="O18" s="2158"/>
      <c r="P18" s="2158"/>
      <c r="Q18" s="2158"/>
      <c r="R18" s="2158"/>
      <c r="S18" s="2160"/>
      <c r="T18" s="2160"/>
      <c r="U18" s="2160"/>
      <c r="V18" s="2160"/>
      <c r="W18" s="2160"/>
      <c r="X18" s="2160"/>
      <c r="Y18" s="2160"/>
      <c r="Z18" s="2160"/>
      <c r="AA18" s="2160"/>
      <c r="AB18" s="2160"/>
      <c r="AC18" s="2160"/>
      <c r="AD18" s="2160"/>
      <c r="AE18" s="2160"/>
      <c r="AF18" s="2160"/>
      <c r="AG18" s="2160"/>
      <c r="AH18" s="2160"/>
      <c r="AI18" s="2160"/>
      <c r="AJ18" s="2160"/>
      <c r="AK18" s="2160"/>
      <c r="AL18" s="2160"/>
      <c r="AM18" s="2160"/>
      <c r="AN18" s="2160"/>
      <c r="AO18" s="2160"/>
      <c r="AP18" s="2160"/>
      <c r="AQ18" s="2160"/>
      <c r="AR18" s="2103"/>
      <c r="AS18" s="2103"/>
    </row>
    <row r="19" spans="1:45">
      <c r="A19" s="301"/>
      <c r="B19" s="929"/>
      <c r="C19" s="1888"/>
      <c r="D19" s="1888"/>
      <c r="E19" s="1888"/>
      <c r="F19" s="1888"/>
      <c r="G19" s="1888"/>
      <c r="H19" s="1888"/>
      <c r="I19" s="1888"/>
      <c r="J19" s="1888"/>
      <c r="K19" s="1888"/>
      <c r="L19" s="1888"/>
      <c r="M19" s="1888"/>
      <c r="N19" s="1888"/>
      <c r="O19" s="1888"/>
      <c r="P19" s="1888"/>
      <c r="Q19" s="1888"/>
      <c r="R19" s="2091"/>
      <c r="S19" s="1897"/>
    </row>
    <row r="20" spans="1:45" ht="15.75">
      <c r="A20" s="940" t="s">
        <v>822</v>
      </c>
      <c r="B20" s="757">
        <f>S22</f>
        <v>0</v>
      </c>
      <c r="C20" s="1888"/>
      <c r="D20" s="1888"/>
      <c r="E20" s="1888"/>
      <c r="F20" s="1888"/>
      <c r="G20" s="1888"/>
      <c r="H20" s="1888"/>
      <c r="I20" s="1888"/>
      <c r="J20" s="1888"/>
      <c r="K20" s="1888"/>
      <c r="L20" s="1888"/>
      <c r="M20" s="1888"/>
      <c r="N20" s="1888"/>
      <c r="O20" s="1888"/>
      <c r="P20" s="1888"/>
      <c r="Q20" s="1888"/>
      <c r="R20" s="2091"/>
      <c r="S20" s="1897"/>
    </row>
    <row r="21" spans="1:45" ht="15.75">
      <c r="A21" s="940" t="str">
        <f>IF(B23="土地面积","地面单价","楼面单价")</f>
        <v>地面单价</v>
      </c>
      <c r="B21" s="757">
        <f>R22</f>
        <v>0</v>
      </c>
      <c r="C21" s="1888"/>
      <c r="D21" s="1888"/>
      <c r="E21" s="1888"/>
      <c r="F21" s="1888"/>
      <c r="G21" s="1888"/>
      <c r="H21" s="1888"/>
      <c r="I21" s="1888"/>
      <c r="J21" s="1888"/>
      <c r="K21" s="1888"/>
      <c r="L21" s="1888"/>
      <c r="M21" s="1888"/>
      <c r="N21" s="1888"/>
      <c r="O21" s="1888"/>
      <c r="P21" s="1888"/>
      <c r="Q21" s="1888"/>
      <c r="R21" s="2091"/>
      <c r="S21" s="1897"/>
    </row>
    <row r="22" spans="1:45">
      <c r="A22" s="781" t="s">
        <v>823</v>
      </c>
      <c r="B22" s="53">
        <f>SUM(B24:B10000)</f>
        <v>463483.38</v>
      </c>
      <c r="C22" s="3746" t="s">
        <v>20</v>
      </c>
      <c r="D22" s="3747"/>
      <c r="E22" s="3747"/>
      <c r="F22" s="3747"/>
      <c r="G22" s="3747"/>
      <c r="H22" s="3747"/>
      <c r="I22" s="3747"/>
      <c r="J22" s="3747"/>
      <c r="K22" s="3747"/>
      <c r="L22" s="3747"/>
      <c r="M22" s="3747"/>
      <c r="N22" s="3747"/>
      <c r="O22" s="3747"/>
      <c r="P22" s="3747"/>
      <c r="Q22" s="3748"/>
      <c r="R22" s="476">
        <f>ROUND(S22*10000/B22,0)</f>
        <v>0</v>
      </c>
      <c r="S22" s="53">
        <f>SUM(S24:S10000)</f>
        <v>0</v>
      </c>
    </row>
    <row r="23" spans="1:45" s="1530" customFormat="1" ht="24">
      <c r="A23" s="17" t="s">
        <v>824</v>
      </c>
      <c r="B23" s="2846" t="s">
        <v>3765</v>
      </c>
      <c r="C23" s="17" t="s">
        <v>825</v>
      </c>
      <c r="D23" s="17" t="str">
        <f>B5</f>
        <v>容积率</v>
      </c>
      <c r="E23" s="17" t="s">
        <v>825</v>
      </c>
      <c r="F23" s="17" t="str">
        <f>B7</f>
        <v>修正项3</v>
      </c>
      <c r="G23" s="17" t="s">
        <v>825</v>
      </c>
      <c r="H23" s="17" t="str">
        <f>B9</f>
        <v>修正项4</v>
      </c>
      <c r="I23" s="17" t="s">
        <v>825</v>
      </c>
      <c r="J23" s="17" t="str">
        <f>B11</f>
        <v>修正项5</v>
      </c>
      <c r="K23" s="17" t="s">
        <v>825</v>
      </c>
      <c r="L23" s="17" t="str">
        <f>B13</f>
        <v>修正项6</v>
      </c>
      <c r="M23" s="17" t="s">
        <v>825</v>
      </c>
      <c r="N23" s="17" t="str">
        <f>B15</f>
        <v>修正项7</v>
      </c>
      <c r="O23" s="17" t="s">
        <v>825</v>
      </c>
      <c r="P23" s="17" t="str">
        <f>B17</f>
        <v>楼层</v>
      </c>
      <c r="Q23" s="17" t="s">
        <v>825</v>
      </c>
      <c r="R23" s="477" t="s">
        <v>826</v>
      </c>
      <c r="S23" s="17" t="s">
        <v>827</v>
      </c>
      <c r="T23" s="18"/>
      <c r="U23" s="3300" t="s">
        <v>3771</v>
      </c>
      <c r="V23" s="18"/>
      <c r="W23" s="18"/>
      <c r="X23" s="18"/>
      <c r="Y23" s="18"/>
      <c r="Z23" s="18"/>
      <c r="AA23" s="18"/>
      <c r="AB23" s="18"/>
      <c r="AC23" s="18"/>
      <c r="AD23" s="18"/>
      <c r="AE23" s="18"/>
      <c r="AF23" s="18"/>
      <c r="AG23" s="18"/>
      <c r="AH23" s="18"/>
      <c r="AI23" s="18"/>
    </row>
    <row r="24" spans="1:45" s="1531" customFormat="1">
      <c r="A24" s="3301" t="s">
        <v>3767</v>
      </c>
      <c r="B24" s="3303">
        <f>'数据-汇总表'!D3</f>
        <v>214384.13</v>
      </c>
      <c r="C24" s="3261">
        <v>1</v>
      </c>
      <c r="D24" s="3262" t="s">
        <v>3772</v>
      </c>
      <c r="E24" s="3261">
        <v>1</v>
      </c>
      <c r="F24" s="3262"/>
      <c r="G24" s="3261">
        <v>1</v>
      </c>
      <c r="H24" s="3262"/>
      <c r="I24" s="3261">
        <v>1</v>
      </c>
      <c r="J24" s="3262"/>
      <c r="K24" s="3261">
        <v>1</v>
      </c>
      <c r="L24" s="3262"/>
      <c r="M24" s="3261">
        <v>1</v>
      </c>
      <c r="N24" s="3262"/>
      <c r="O24" s="3261">
        <v>1</v>
      </c>
      <c r="P24" s="3262"/>
      <c r="Q24" s="3261">
        <v>1</v>
      </c>
      <c r="R24" s="943"/>
      <c r="S24" s="941">
        <f t="shared" ref="S24:S54" si="11">ROUND(R24*B24/10000,0)</f>
        <v>0</v>
      </c>
      <c r="T24" s="1873"/>
      <c r="U24" s="1873">
        <v>1.8</v>
      </c>
      <c r="V24" s="1873"/>
      <c r="W24" s="1873"/>
      <c r="X24" s="1873"/>
      <c r="Y24" s="1873"/>
      <c r="Z24" s="1873"/>
      <c r="AA24" s="1873"/>
      <c r="AB24" s="1873"/>
      <c r="AC24" s="1873"/>
      <c r="AD24" s="1873"/>
      <c r="AE24" s="1873"/>
      <c r="AF24" s="1873"/>
      <c r="AG24" s="1873"/>
      <c r="AH24" s="1873"/>
      <c r="AI24" s="1873"/>
    </row>
    <row r="25" spans="1:45">
      <c r="A25" s="3302" t="s">
        <v>3768</v>
      </c>
      <c r="B25" s="3304">
        <v>63945.8</v>
      </c>
      <c r="C25" s="53">
        <f>IF(B25="",1,(LOOKUP(B25,$3:$3,$4:$4)-LOOKUP($B$24,$3:$3,$4:$4)+100)/100)</f>
        <v>1</v>
      </c>
      <c r="D25" s="942" t="s">
        <v>3773</v>
      </c>
      <c r="E25" s="53">
        <f>(SUMIF($5:$5,D25,$6:$6)-SUMIF($5:$5,$D$24,$6:$6)+100)/100</f>
        <v>1</v>
      </c>
      <c r="F25" s="942"/>
      <c r="G25" s="53">
        <f>(SUMIF($7:$7,F25,$8:$8)-SUMIF($7:$7,$F$24,$8:$8)+100)/100</f>
        <v>1</v>
      </c>
      <c r="H25" s="942"/>
      <c r="I25" s="53">
        <f>(SUMIF($9:$9,H25,$10:$10)-SUMIF($9:$9,$H$24,$10:$10)+100)/100</f>
        <v>1</v>
      </c>
      <c r="J25" s="942"/>
      <c r="K25" s="53">
        <f>(SUMIF($11:$11,J25,$12:$12)-SUMIF($11:$11,$J$24,$12:$12)+100)/100</f>
        <v>1</v>
      </c>
      <c r="L25" s="942"/>
      <c r="M25" s="53">
        <f>(SUMIF($13:$13,L25,$14:$14)-SUMIF($13:$13,$L$24,$14:$14)+100)/100</f>
        <v>1</v>
      </c>
      <c r="N25" s="942"/>
      <c r="O25" s="53">
        <f>(SUMIF($15:$15,N25,$16:$16)-SUMIF($15:$15,$N$24,$16:$16)+100)/100</f>
        <v>1</v>
      </c>
      <c r="P25" s="942"/>
      <c r="Q25" s="53">
        <f>(SUMIF($17:$17,P25,$18:$18)-SUMIF($17:$17,$P$24,$18:$18)+100)/100</f>
        <v>1</v>
      </c>
      <c r="R25" s="476">
        <f>IF(B25="",0,ROUND($R$24*C25*E25*G25*I25*K25*M25*O25*Q25,0))</f>
        <v>0</v>
      </c>
      <c r="S25" s="781">
        <f t="shared" si="11"/>
        <v>0</v>
      </c>
      <c r="U25" s="247">
        <v>2.5</v>
      </c>
    </row>
    <row r="26" spans="1:45">
      <c r="A26" s="3302" t="s">
        <v>3769</v>
      </c>
      <c r="B26" s="3304">
        <v>133582.45000000001</v>
      </c>
      <c r="C26" s="53">
        <f t="shared" ref="C26:C89" si="12">IF(B26="",1,(LOOKUP(B26,$3:$3,$4:$4)-LOOKUP($B$24,$3:$3,$4:$4)+100)/100)</f>
        <v>1</v>
      </c>
      <c r="D26" s="942" t="s">
        <v>3773</v>
      </c>
      <c r="E26" s="53">
        <f t="shared" ref="E26:E89" si="13">(SUMIF($5:$5,D26,$6:$6)-SUMIF($5:$5,$D$24,$6:$6)+100)/100</f>
        <v>1</v>
      </c>
      <c r="F26" s="942"/>
      <c r="G26" s="53">
        <f t="shared" ref="G26:G89" si="14">(SUMIF($7:$7,F26,$8:$8)-SUMIF($7:$7,$F$24,$8:$8)+100)/100</f>
        <v>1</v>
      </c>
      <c r="H26" s="942"/>
      <c r="I26" s="53">
        <f t="shared" ref="I26:I89" si="15">(SUMIF($9:$9,H26,$10:$10)-SUMIF($9:$9,$H$24,$10:$10)+100)/100</f>
        <v>1</v>
      </c>
      <c r="J26" s="942"/>
      <c r="K26" s="53">
        <f t="shared" ref="K26:K89" si="16">(SUMIF($11:$11,J26,$12:$12)-SUMIF($11:$11,$J$24,$12:$12)+100)/100</f>
        <v>1</v>
      </c>
      <c r="L26" s="942"/>
      <c r="M26" s="53">
        <f t="shared" ref="M26:M89" si="17">(SUMIF($13:$13,L26,$14:$14)-SUMIF($13:$13,$L$24,$14:$14)+100)/100</f>
        <v>1</v>
      </c>
      <c r="N26" s="942"/>
      <c r="O26" s="53">
        <f t="shared" ref="O26:O89" si="18">(SUMIF($15:$15,N26,$16:$16)-SUMIF($15:$15,$N$24,$16:$16)+100)/100</f>
        <v>1</v>
      </c>
      <c r="P26" s="942"/>
      <c r="Q26" s="53">
        <f t="shared" ref="Q26:Q89" si="19">(SUMIF($17:$17,P26,$18:$18)-SUMIF($17:$17,$P$24,$18:$18)+100)/100</f>
        <v>1</v>
      </c>
      <c r="R26" s="476">
        <f t="shared" ref="R26:R89" si="20">IF(B26="",0,ROUND($R$24*C26*E26*G26*I26*K26*M26*O26*Q26,0))</f>
        <v>0</v>
      </c>
      <c r="S26" s="781">
        <f t="shared" si="11"/>
        <v>0</v>
      </c>
      <c r="U26" s="247">
        <v>2.8</v>
      </c>
    </row>
    <row r="27" spans="1:45">
      <c r="A27" s="3302" t="s">
        <v>3770</v>
      </c>
      <c r="B27" s="3304">
        <v>51571</v>
      </c>
      <c r="C27" s="53">
        <f t="shared" si="12"/>
        <v>1</v>
      </c>
      <c r="D27" s="942" t="s">
        <v>3772</v>
      </c>
      <c r="E27" s="53">
        <f t="shared" si="13"/>
        <v>1</v>
      </c>
      <c r="F27" s="942"/>
      <c r="G27" s="53">
        <f t="shared" si="14"/>
        <v>1</v>
      </c>
      <c r="H27" s="942"/>
      <c r="I27" s="53">
        <f t="shared" si="15"/>
        <v>1</v>
      </c>
      <c r="J27" s="942"/>
      <c r="K27" s="53">
        <f t="shared" si="16"/>
        <v>1</v>
      </c>
      <c r="L27" s="942"/>
      <c r="M27" s="53">
        <f t="shared" si="17"/>
        <v>1</v>
      </c>
      <c r="N27" s="942"/>
      <c r="O27" s="53">
        <f t="shared" si="18"/>
        <v>1</v>
      </c>
      <c r="P27" s="942"/>
      <c r="Q27" s="53">
        <f t="shared" si="19"/>
        <v>1</v>
      </c>
      <c r="R27" s="476">
        <f t="shared" si="20"/>
        <v>0</v>
      </c>
      <c r="S27" s="781">
        <f t="shared" si="11"/>
        <v>0</v>
      </c>
      <c r="U27" s="247">
        <v>1.8</v>
      </c>
    </row>
    <row r="28" spans="1:45">
      <c r="A28" s="944"/>
      <c r="B28" s="136"/>
      <c r="C28" s="53">
        <f t="shared" si="12"/>
        <v>1</v>
      </c>
      <c r="D28" s="942"/>
      <c r="E28" s="53">
        <f t="shared" si="13"/>
        <v>1</v>
      </c>
      <c r="F28" s="942"/>
      <c r="G28" s="53">
        <f t="shared" si="14"/>
        <v>1</v>
      </c>
      <c r="H28" s="942"/>
      <c r="I28" s="53">
        <f t="shared" si="15"/>
        <v>1</v>
      </c>
      <c r="J28" s="942"/>
      <c r="K28" s="53">
        <f t="shared" si="16"/>
        <v>1</v>
      </c>
      <c r="L28" s="942"/>
      <c r="M28" s="53">
        <f t="shared" si="17"/>
        <v>1</v>
      </c>
      <c r="N28" s="942"/>
      <c r="O28" s="53">
        <f t="shared" si="18"/>
        <v>1</v>
      </c>
      <c r="P28" s="942"/>
      <c r="Q28" s="53">
        <f t="shared" si="19"/>
        <v>1</v>
      </c>
      <c r="R28" s="476">
        <f t="shared" si="20"/>
        <v>0</v>
      </c>
      <c r="S28" s="781">
        <f t="shared" si="11"/>
        <v>0</v>
      </c>
    </row>
    <row r="29" spans="1:45">
      <c r="A29" s="944"/>
      <c r="B29" s="136"/>
      <c r="C29" s="53">
        <f t="shared" si="12"/>
        <v>1</v>
      </c>
      <c r="D29" s="942"/>
      <c r="E29" s="53">
        <f t="shared" si="13"/>
        <v>1</v>
      </c>
      <c r="F29" s="942"/>
      <c r="G29" s="53">
        <f t="shared" si="14"/>
        <v>1</v>
      </c>
      <c r="H29" s="942"/>
      <c r="I29" s="53">
        <f t="shared" si="15"/>
        <v>1</v>
      </c>
      <c r="J29" s="942"/>
      <c r="K29" s="53">
        <f t="shared" si="16"/>
        <v>1</v>
      </c>
      <c r="L29" s="942"/>
      <c r="M29" s="53">
        <f t="shared" si="17"/>
        <v>1</v>
      </c>
      <c r="N29" s="942"/>
      <c r="O29" s="53">
        <f t="shared" si="18"/>
        <v>1</v>
      </c>
      <c r="P29" s="942"/>
      <c r="Q29" s="53">
        <f t="shared" si="19"/>
        <v>1</v>
      </c>
      <c r="R29" s="476">
        <f t="shared" si="20"/>
        <v>0</v>
      </c>
      <c r="S29" s="781">
        <f t="shared" si="11"/>
        <v>0</v>
      </c>
    </row>
    <row r="30" spans="1:45">
      <c r="A30" s="944"/>
      <c r="B30" s="136"/>
      <c r="C30" s="53">
        <f t="shared" si="12"/>
        <v>1</v>
      </c>
      <c r="D30" s="942"/>
      <c r="E30" s="53">
        <f t="shared" si="13"/>
        <v>1</v>
      </c>
      <c r="F30" s="942"/>
      <c r="G30" s="53">
        <f t="shared" si="14"/>
        <v>1</v>
      </c>
      <c r="H30" s="942"/>
      <c r="I30" s="53">
        <f t="shared" si="15"/>
        <v>1</v>
      </c>
      <c r="J30" s="942"/>
      <c r="K30" s="53">
        <f t="shared" si="16"/>
        <v>1</v>
      </c>
      <c r="L30" s="942"/>
      <c r="M30" s="53">
        <f t="shared" si="17"/>
        <v>1</v>
      </c>
      <c r="N30" s="942"/>
      <c r="O30" s="53">
        <f t="shared" si="18"/>
        <v>1</v>
      </c>
      <c r="P30" s="942"/>
      <c r="Q30" s="53">
        <f t="shared" si="19"/>
        <v>1</v>
      </c>
      <c r="R30" s="476">
        <f t="shared" si="20"/>
        <v>0</v>
      </c>
      <c r="S30" s="781">
        <f t="shared" si="11"/>
        <v>0</v>
      </c>
    </row>
    <row r="31" spans="1:45">
      <c r="A31" s="944"/>
      <c r="B31" s="136"/>
      <c r="C31" s="53">
        <f t="shared" si="12"/>
        <v>1</v>
      </c>
      <c r="D31" s="942"/>
      <c r="E31" s="53">
        <f t="shared" si="13"/>
        <v>1</v>
      </c>
      <c r="F31" s="942"/>
      <c r="G31" s="53">
        <f t="shared" si="14"/>
        <v>1</v>
      </c>
      <c r="H31" s="942"/>
      <c r="I31" s="53">
        <f t="shared" si="15"/>
        <v>1</v>
      </c>
      <c r="J31" s="942"/>
      <c r="K31" s="53">
        <f t="shared" si="16"/>
        <v>1</v>
      </c>
      <c r="L31" s="942"/>
      <c r="M31" s="53">
        <f t="shared" si="17"/>
        <v>1</v>
      </c>
      <c r="N31" s="942"/>
      <c r="O31" s="53">
        <f t="shared" si="18"/>
        <v>1</v>
      </c>
      <c r="P31" s="942"/>
      <c r="Q31" s="53">
        <f t="shared" si="19"/>
        <v>1</v>
      </c>
      <c r="R31" s="476">
        <f t="shared" si="20"/>
        <v>0</v>
      </c>
      <c r="S31" s="781">
        <f t="shared" si="11"/>
        <v>0</v>
      </c>
    </row>
    <row r="32" spans="1:45">
      <c r="A32" s="944"/>
      <c r="B32" s="136"/>
      <c r="C32" s="53">
        <f t="shared" si="12"/>
        <v>1</v>
      </c>
      <c r="D32" s="942"/>
      <c r="E32" s="53">
        <f t="shared" si="13"/>
        <v>1</v>
      </c>
      <c r="F32" s="942"/>
      <c r="G32" s="53">
        <f t="shared" si="14"/>
        <v>1</v>
      </c>
      <c r="H32" s="942"/>
      <c r="I32" s="53">
        <f t="shared" si="15"/>
        <v>1</v>
      </c>
      <c r="J32" s="942"/>
      <c r="K32" s="53">
        <f t="shared" si="16"/>
        <v>1</v>
      </c>
      <c r="L32" s="942"/>
      <c r="M32" s="53">
        <f t="shared" si="17"/>
        <v>1</v>
      </c>
      <c r="N32" s="942"/>
      <c r="O32" s="53">
        <f t="shared" si="18"/>
        <v>1</v>
      </c>
      <c r="P32" s="942"/>
      <c r="Q32" s="53">
        <f t="shared" si="19"/>
        <v>1</v>
      </c>
      <c r="R32" s="476">
        <f t="shared" si="20"/>
        <v>0</v>
      </c>
      <c r="S32" s="781">
        <f t="shared" si="11"/>
        <v>0</v>
      </c>
    </row>
    <row r="33" spans="1:19">
      <c r="A33" s="944"/>
      <c r="B33" s="136"/>
      <c r="C33" s="53">
        <f t="shared" si="12"/>
        <v>1</v>
      </c>
      <c r="D33" s="942"/>
      <c r="E33" s="53">
        <f t="shared" si="13"/>
        <v>1</v>
      </c>
      <c r="F33" s="942"/>
      <c r="G33" s="53">
        <f t="shared" si="14"/>
        <v>1</v>
      </c>
      <c r="H33" s="942"/>
      <c r="I33" s="53">
        <f t="shared" si="15"/>
        <v>1</v>
      </c>
      <c r="J33" s="942"/>
      <c r="K33" s="53">
        <f t="shared" si="16"/>
        <v>1</v>
      </c>
      <c r="L33" s="942"/>
      <c r="M33" s="53">
        <f t="shared" si="17"/>
        <v>1</v>
      </c>
      <c r="N33" s="942"/>
      <c r="O33" s="53">
        <f t="shared" si="18"/>
        <v>1</v>
      </c>
      <c r="P33" s="942"/>
      <c r="Q33" s="53">
        <f t="shared" si="19"/>
        <v>1</v>
      </c>
      <c r="R33" s="476">
        <f t="shared" si="20"/>
        <v>0</v>
      </c>
      <c r="S33" s="781">
        <f t="shared" si="11"/>
        <v>0</v>
      </c>
    </row>
    <row r="34" spans="1:19">
      <c r="A34" s="944"/>
      <c r="B34" s="136"/>
      <c r="C34" s="53">
        <f t="shared" si="12"/>
        <v>1</v>
      </c>
      <c r="D34" s="942"/>
      <c r="E34" s="53">
        <f t="shared" si="13"/>
        <v>1</v>
      </c>
      <c r="F34" s="942"/>
      <c r="G34" s="53">
        <f t="shared" si="14"/>
        <v>1</v>
      </c>
      <c r="H34" s="942"/>
      <c r="I34" s="53">
        <f t="shared" si="15"/>
        <v>1</v>
      </c>
      <c r="J34" s="942"/>
      <c r="K34" s="53">
        <f t="shared" si="16"/>
        <v>1</v>
      </c>
      <c r="L34" s="942"/>
      <c r="M34" s="53">
        <f t="shared" si="17"/>
        <v>1</v>
      </c>
      <c r="N34" s="942"/>
      <c r="O34" s="53">
        <f t="shared" si="18"/>
        <v>1</v>
      </c>
      <c r="P34" s="942"/>
      <c r="Q34" s="53">
        <f t="shared" si="19"/>
        <v>1</v>
      </c>
      <c r="R34" s="476">
        <f t="shared" si="20"/>
        <v>0</v>
      </c>
      <c r="S34" s="781">
        <f t="shared" si="11"/>
        <v>0</v>
      </c>
    </row>
    <row r="35" spans="1:19">
      <c r="A35" s="944"/>
      <c r="B35" s="136"/>
      <c r="C35" s="53">
        <f t="shared" si="12"/>
        <v>1</v>
      </c>
      <c r="D35" s="942"/>
      <c r="E35" s="53">
        <f t="shared" si="13"/>
        <v>1</v>
      </c>
      <c r="F35" s="942"/>
      <c r="G35" s="53">
        <f t="shared" si="14"/>
        <v>1</v>
      </c>
      <c r="H35" s="942"/>
      <c r="I35" s="53">
        <f t="shared" si="15"/>
        <v>1</v>
      </c>
      <c r="J35" s="942"/>
      <c r="K35" s="53">
        <f t="shared" si="16"/>
        <v>1</v>
      </c>
      <c r="L35" s="942"/>
      <c r="M35" s="53">
        <f t="shared" si="17"/>
        <v>1</v>
      </c>
      <c r="N35" s="942"/>
      <c r="O35" s="53">
        <f t="shared" si="18"/>
        <v>1</v>
      </c>
      <c r="P35" s="942"/>
      <c r="Q35" s="53">
        <f t="shared" si="19"/>
        <v>1</v>
      </c>
      <c r="R35" s="476">
        <f t="shared" si="20"/>
        <v>0</v>
      </c>
      <c r="S35" s="781">
        <f t="shared" si="11"/>
        <v>0</v>
      </c>
    </row>
    <row r="36" spans="1:19">
      <c r="A36" s="944"/>
      <c r="B36" s="136"/>
      <c r="C36" s="53">
        <f t="shared" si="12"/>
        <v>1</v>
      </c>
      <c r="D36" s="942"/>
      <c r="E36" s="53">
        <f t="shared" si="13"/>
        <v>1</v>
      </c>
      <c r="F36" s="942"/>
      <c r="G36" s="53">
        <f t="shared" si="14"/>
        <v>1</v>
      </c>
      <c r="H36" s="942"/>
      <c r="I36" s="53">
        <f t="shared" si="15"/>
        <v>1</v>
      </c>
      <c r="J36" s="942"/>
      <c r="K36" s="53">
        <f t="shared" si="16"/>
        <v>1</v>
      </c>
      <c r="L36" s="942"/>
      <c r="M36" s="53">
        <f t="shared" si="17"/>
        <v>1</v>
      </c>
      <c r="N36" s="942"/>
      <c r="O36" s="53">
        <f t="shared" si="18"/>
        <v>1</v>
      </c>
      <c r="P36" s="942"/>
      <c r="Q36" s="53">
        <f t="shared" si="19"/>
        <v>1</v>
      </c>
      <c r="R36" s="476">
        <f t="shared" si="20"/>
        <v>0</v>
      </c>
      <c r="S36" s="781">
        <f t="shared" si="11"/>
        <v>0</v>
      </c>
    </row>
    <row r="37" spans="1:19">
      <c r="A37" s="944"/>
      <c r="B37" s="136"/>
      <c r="C37" s="53">
        <f t="shared" si="12"/>
        <v>1</v>
      </c>
      <c r="D37" s="942"/>
      <c r="E37" s="53">
        <f t="shared" si="13"/>
        <v>1</v>
      </c>
      <c r="F37" s="942"/>
      <c r="G37" s="53">
        <f t="shared" si="14"/>
        <v>1</v>
      </c>
      <c r="H37" s="942"/>
      <c r="I37" s="53">
        <f t="shared" si="15"/>
        <v>1</v>
      </c>
      <c r="J37" s="942"/>
      <c r="K37" s="53">
        <f t="shared" si="16"/>
        <v>1</v>
      </c>
      <c r="L37" s="942"/>
      <c r="M37" s="53">
        <f t="shared" si="17"/>
        <v>1</v>
      </c>
      <c r="N37" s="942"/>
      <c r="O37" s="53">
        <f t="shared" si="18"/>
        <v>1</v>
      </c>
      <c r="P37" s="942"/>
      <c r="Q37" s="53">
        <f t="shared" si="19"/>
        <v>1</v>
      </c>
      <c r="R37" s="476">
        <f t="shared" si="20"/>
        <v>0</v>
      </c>
      <c r="S37" s="781">
        <f t="shared" si="11"/>
        <v>0</v>
      </c>
    </row>
    <row r="38" spans="1:19">
      <c r="A38" s="944"/>
      <c r="B38" s="136"/>
      <c r="C38" s="53">
        <f t="shared" si="12"/>
        <v>1</v>
      </c>
      <c r="D38" s="942"/>
      <c r="E38" s="53">
        <f t="shared" si="13"/>
        <v>1</v>
      </c>
      <c r="F38" s="942"/>
      <c r="G38" s="53">
        <f t="shared" si="14"/>
        <v>1</v>
      </c>
      <c r="H38" s="942"/>
      <c r="I38" s="53">
        <f t="shared" si="15"/>
        <v>1</v>
      </c>
      <c r="J38" s="942"/>
      <c r="K38" s="53">
        <f t="shared" si="16"/>
        <v>1</v>
      </c>
      <c r="L38" s="942"/>
      <c r="M38" s="53">
        <f t="shared" si="17"/>
        <v>1</v>
      </c>
      <c r="N38" s="942"/>
      <c r="O38" s="53">
        <f t="shared" si="18"/>
        <v>1</v>
      </c>
      <c r="P38" s="942"/>
      <c r="Q38" s="53">
        <f t="shared" si="19"/>
        <v>1</v>
      </c>
      <c r="R38" s="476">
        <f t="shared" si="20"/>
        <v>0</v>
      </c>
      <c r="S38" s="781">
        <f t="shared" si="11"/>
        <v>0</v>
      </c>
    </row>
    <row r="39" spans="1:19">
      <c r="A39" s="944"/>
      <c r="B39" s="136"/>
      <c r="C39" s="53">
        <f t="shared" si="12"/>
        <v>1</v>
      </c>
      <c r="D39" s="942"/>
      <c r="E39" s="53">
        <f t="shared" si="13"/>
        <v>1</v>
      </c>
      <c r="F39" s="942"/>
      <c r="G39" s="53">
        <f t="shared" si="14"/>
        <v>1</v>
      </c>
      <c r="H39" s="942"/>
      <c r="I39" s="53">
        <f t="shared" si="15"/>
        <v>1</v>
      </c>
      <c r="J39" s="942"/>
      <c r="K39" s="53">
        <f t="shared" si="16"/>
        <v>1</v>
      </c>
      <c r="L39" s="942"/>
      <c r="M39" s="53">
        <f t="shared" si="17"/>
        <v>1</v>
      </c>
      <c r="N39" s="942"/>
      <c r="O39" s="53">
        <f t="shared" si="18"/>
        <v>1</v>
      </c>
      <c r="P39" s="942"/>
      <c r="Q39" s="53">
        <f t="shared" si="19"/>
        <v>1</v>
      </c>
      <c r="R39" s="476">
        <f t="shared" si="20"/>
        <v>0</v>
      </c>
      <c r="S39" s="781">
        <f t="shared" si="11"/>
        <v>0</v>
      </c>
    </row>
    <row r="40" spans="1:19">
      <c r="A40" s="944"/>
      <c r="B40" s="136"/>
      <c r="C40" s="53">
        <f t="shared" si="12"/>
        <v>1</v>
      </c>
      <c r="D40" s="942"/>
      <c r="E40" s="53">
        <f t="shared" si="13"/>
        <v>1</v>
      </c>
      <c r="F40" s="942"/>
      <c r="G40" s="53">
        <f t="shared" si="14"/>
        <v>1</v>
      </c>
      <c r="H40" s="942"/>
      <c r="I40" s="53">
        <f t="shared" si="15"/>
        <v>1</v>
      </c>
      <c r="J40" s="942"/>
      <c r="K40" s="53">
        <f t="shared" si="16"/>
        <v>1</v>
      </c>
      <c r="L40" s="942"/>
      <c r="M40" s="53">
        <f t="shared" si="17"/>
        <v>1</v>
      </c>
      <c r="N40" s="942"/>
      <c r="O40" s="53">
        <f t="shared" si="18"/>
        <v>1</v>
      </c>
      <c r="P40" s="942"/>
      <c r="Q40" s="53">
        <f t="shared" si="19"/>
        <v>1</v>
      </c>
      <c r="R40" s="476">
        <f t="shared" si="20"/>
        <v>0</v>
      </c>
      <c r="S40" s="781">
        <f t="shared" si="11"/>
        <v>0</v>
      </c>
    </row>
    <row r="41" spans="1:19">
      <c r="A41" s="944"/>
      <c r="B41" s="136"/>
      <c r="C41" s="53">
        <f t="shared" si="12"/>
        <v>1</v>
      </c>
      <c r="D41" s="942"/>
      <c r="E41" s="53">
        <f t="shared" si="13"/>
        <v>1</v>
      </c>
      <c r="F41" s="942"/>
      <c r="G41" s="53">
        <f t="shared" si="14"/>
        <v>1</v>
      </c>
      <c r="H41" s="942"/>
      <c r="I41" s="53">
        <f t="shared" si="15"/>
        <v>1</v>
      </c>
      <c r="J41" s="942"/>
      <c r="K41" s="53">
        <f t="shared" si="16"/>
        <v>1</v>
      </c>
      <c r="L41" s="942"/>
      <c r="M41" s="53">
        <f t="shared" si="17"/>
        <v>1</v>
      </c>
      <c r="N41" s="942"/>
      <c r="O41" s="53">
        <f t="shared" si="18"/>
        <v>1</v>
      </c>
      <c r="P41" s="942"/>
      <c r="Q41" s="53">
        <f t="shared" si="19"/>
        <v>1</v>
      </c>
      <c r="R41" s="476">
        <f t="shared" si="20"/>
        <v>0</v>
      </c>
      <c r="S41" s="781">
        <f t="shared" si="11"/>
        <v>0</v>
      </c>
    </row>
    <row r="42" spans="1:19">
      <c r="A42" s="944"/>
      <c r="B42" s="136"/>
      <c r="C42" s="53">
        <f t="shared" si="12"/>
        <v>1</v>
      </c>
      <c r="D42" s="942"/>
      <c r="E42" s="53">
        <f t="shared" si="13"/>
        <v>1</v>
      </c>
      <c r="F42" s="942"/>
      <c r="G42" s="53">
        <f t="shared" si="14"/>
        <v>1</v>
      </c>
      <c r="H42" s="942"/>
      <c r="I42" s="53">
        <f t="shared" si="15"/>
        <v>1</v>
      </c>
      <c r="J42" s="942"/>
      <c r="K42" s="53">
        <f t="shared" si="16"/>
        <v>1</v>
      </c>
      <c r="L42" s="942"/>
      <c r="M42" s="53">
        <f t="shared" si="17"/>
        <v>1</v>
      </c>
      <c r="N42" s="942"/>
      <c r="O42" s="53">
        <f t="shared" si="18"/>
        <v>1</v>
      </c>
      <c r="P42" s="942"/>
      <c r="Q42" s="53">
        <f t="shared" si="19"/>
        <v>1</v>
      </c>
      <c r="R42" s="476">
        <f t="shared" si="20"/>
        <v>0</v>
      </c>
      <c r="S42" s="781">
        <f t="shared" si="11"/>
        <v>0</v>
      </c>
    </row>
    <row r="43" spans="1:19">
      <c r="A43" s="944"/>
      <c r="B43" s="136"/>
      <c r="C43" s="53">
        <f t="shared" si="12"/>
        <v>1</v>
      </c>
      <c r="D43" s="942"/>
      <c r="E43" s="53">
        <f t="shared" si="13"/>
        <v>1</v>
      </c>
      <c r="F43" s="942"/>
      <c r="G43" s="53">
        <f t="shared" si="14"/>
        <v>1</v>
      </c>
      <c r="H43" s="942"/>
      <c r="I43" s="53">
        <f t="shared" si="15"/>
        <v>1</v>
      </c>
      <c r="J43" s="942"/>
      <c r="K43" s="53">
        <f t="shared" si="16"/>
        <v>1</v>
      </c>
      <c r="L43" s="942"/>
      <c r="M43" s="53">
        <f t="shared" si="17"/>
        <v>1</v>
      </c>
      <c r="N43" s="942"/>
      <c r="O43" s="53">
        <f t="shared" si="18"/>
        <v>1</v>
      </c>
      <c r="P43" s="942"/>
      <c r="Q43" s="53">
        <f t="shared" si="19"/>
        <v>1</v>
      </c>
      <c r="R43" s="476">
        <f t="shared" si="20"/>
        <v>0</v>
      </c>
      <c r="S43" s="781">
        <f t="shared" si="11"/>
        <v>0</v>
      </c>
    </row>
    <row r="44" spans="1:19">
      <c r="A44" s="944"/>
      <c r="B44" s="136"/>
      <c r="C44" s="53">
        <f t="shared" si="12"/>
        <v>1</v>
      </c>
      <c r="D44" s="942"/>
      <c r="E44" s="53">
        <f t="shared" si="13"/>
        <v>1</v>
      </c>
      <c r="F44" s="942"/>
      <c r="G44" s="53">
        <f t="shared" si="14"/>
        <v>1</v>
      </c>
      <c r="H44" s="942"/>
      <c r="I44" s="53">
        <f t="shared" si="15"/>
        <v>1</v>
      </c>
      <c r="J44" s="942"/>
      <c r="K44" s="53">
        <f t="shared" si="16"/>
        <v>1</v>
      </c>
      <c r="L44" s="942"/>
      <c r="M44" s="53">
        <f t="shared" si="17"/>
        <v>1</v>
      </c>
      <c r="N44" s="942"/>
      <c r="O44" s="53">
        <f t="shared" si="18"/>
        <v>1</v>
      </c>
      <c r="P44" s="942"/>
      <c r="Q44" s="53">
        <f t="shared" si="19"/>
        <v>1</v>
      </c>
      <c r="R44" s="476">
        <f t="shared" si="20"/>
        <v>0</v>
      </c>
      <c r="S44" s="781">
        <f t="shared" si="11"/>
        <v>0</v>
      </c>
    </row>
    <row r="45" spans="1:19">
      <c r="A45" s="944"/>
      <c r="B45" s="136"/>
      <c r="C45" s="53">
        <f t="shared" si="12"/>
        <v>1</v>
      </c>
      <c r="D45" s="942"/>
      <c r="E45" s="53">
        <f t="shared" si="13"/>
        <v>1</v>
      </c>
      <c r="F45" s="942"/>
      <c r="G45" s="53">
        <f t="shared" si="14"/>
        <v>1</v>
      </c>
      <c r="H45" s="942"/>
      <c r="I45" s="53">
        <f t="shared" si="15"/>
        <v>1</v>
      </c>
      <c r="J45" s="942"/>
      <c r="K45" s="53">
        <f t="shared" si="16"/>
        <v>1</v>
      </c>
      <c r="L45" s="942"/>
      <c r="M45" s="53">
        <f t="shared" si="17"/>
        <v>1</v>
      </c>
      <c r="N45" s="942"/>
      <c r="O45" s="53">
        <f t="shared" si="18"/>
        <v>1</v>
      </c>
      <c r="P45" s="942"/>
      <c r="Q45" s="53">
        <f t="shared" si="19"/>
        <v>1</v>
      </c>
      <c r="R45" s="476">
        <f t="shared" si="20"/>
        <v>0</v>
      </c>
      <c r="S45" s="781">
        <f t="shared" si="11"/>
        <v>0</v>
      </c>
    </row>
    <row r="46" spans="1:19">
      <c r="A46" s="944"/>
      <c r="B46" s="136"/>
      <c r="C46" s="53">
        <f t="shared" si="12"/>
        <v>1</v>
      </c>
      <c r="D46" s="942"/>
      <c r="E46" s="53">
        <f t="shared" si="13"/>
        <v>1</v>
      </c>
      <c r="F46" s="942"/>
      <c r="G46" s="53">
        <f t="shared" si="14"/>
        <v>1</v>
      </c>
      <c r="H46" s="942"/>
      <c r="I46" s="53">
        <f t="shared" si="15"/>
        <v>1</v>
      </c>
      <c r="J46" s="942"/>
      <c r="K46" s="53">
        <f t="shared" si="16"/>
        <v>1</v>
      </c>
      <c r="L46" s="942"/>
      <c r="M46" s="53">
        <f t="shared" si="17"/>
        <v>1</v>
      </c>
      <c r="N46" s="942"/>
      <c r="O46" s="53">
        <f t="shared" si="18"/>
        <v>1</v>
      </c>
      <c r="P46" s="942"/>
      <c r="Q46" s="53">
        <f t="shared" si="19"/>
        <v>1</v>
      </c>
      <c r="R46" s="476">
        <f t="shared" si="20"/>
        <v>0</v>
      </c>
      <c r="S46" s="781">
        <f t="shared" si="11"/>
        <v>0</v>
      </c>
    </row>
    <row r="47" spans="1:19">
      <c r="A47" s="944"/>
      <c r="B47" s="136"/>
      <c r="C47" s="53">
        <f t="shared" si="12"/>
        <v>1</v>
      </c>
      <c r="D47" s="942"/>
      <c r="E47" s="53">
        <f t="shared" si="13"/>
        <v>1</v>
      </c>
      <c r="F47" s="942"/>
      <c r="G47" s="53">
        <f t="shared" si="14"/>
        <v>1</v>
      </c>
      <c r="H47" s="942"/>
      <c r="I47" s="53">
        <f t="shared" si="15"/>
        <v>1</v>
      </c>
      <c r="J47" s="942"/>
      <c r="K47" s="53">
        <f t="shared" si="16"/>
        <v>1</v>
      </c>
      <c r="L47" s="942"/>
      <c r="M47" s="53">
        <f t="shared" si="17"/>
        <v>1</v>
      </c>
      <c r="N47" s="942"/>
      <c r="O47" s="53">
        <f t="shared" si="18"/>
        <v>1</v>
      </c>
      <c r="P47" s="942"/>
      <c r="Q47" s="53">
        <f t="shared" si="19"/>
        <v>1</v>
      </c>
      <c r="R47" s="476">
        <f t="shared" si="20"/>
        <v>0</v>
      </c>
      <c r="S47" s="781">
        <f t="shared" si="11"/>
        <v>0</v>
      </c>
    </row>
    <row r="48" spans="1:19">
      <c r="A48" s="944"/>
      <c r="B48" s="136"/>
      <c r="C48" s="53">
        <f t="shared" si="12"/>
        <v>1</v>
      </c>
      <c r="D48" s="942"/>
      <c r="E48" s="53">
        <f t="shared" si="13"/>
        <v>1</v>
      </c>
      <c r="F48" s="942"/>
      <c r="G48" s="53">
        <f t="shared" si="14"/>
        <v>1</v>
      </c>
      <c r="H48" s="942"/>
      <c r="I48" s="53">
        <f t="shared" si="15"/>
        <v>1</v>
      </c>
      <c r="J48" s="942"/>
      <c r="K48" s="53">
        <f t="shared" si="16"/>
        <v>1</v>
      </c>
      <c r="L48" s="942"/>
      <c r="M48" s="53">
        <f t="shared" si="17"/>
        <v>1</v>
      </c>
      <c r="N48" s="942"/>
      <c r="O48" s="53">
        <f t="shared" si="18"/>
        <v>1</v>
      </c>
      <c r="P48" s="942"/>
      <c r="Q48" s="53">
        <f t="shared" si="19"/>
        <v>1</v>
      </c>
      <c r="R48" s="476">
        <f t="shared" si="20"/>
        <v>0</v>
      </c>
      <c r="S48" s="781">
        <f t="shared" si="11"/>
        <v>0</v>
      </c>
    </row>
    <row r="49" spans="1:19">
      <c r="A49" s="944"/>
      <c r="B49" s="136"/>
      <c r="C49" s="53">
        <f t="shared" si="12"/>
        <v>1</v>
      </c>
      <c r="D49" s="942"/>
      <c r="E49" s="53">
        <f t="shared" si="13"/>
        <v>1</v>
      </c>
      <c r="F49" s="942"/>
      <c r="G49" s="53">
        <f t="shared" si="14"/>
        <v>1</v>
      </c>
      <c r="H49" s="942"/>
      <c r="I49" s="53">
        <f t="shared" si="15"/>
        <v>1</v>
      </c>
      <c r="J49" s="942"/>
      <c r="K49" s="53">
        <f t="shared" si="16"/>
        <v>1</v>
      </c>
      <c r="L49" s="942"/>
      <c r="M49" s="53">
        <f t="shared" si="17"/>
        <v>1</v>
      </c>
      <c r="N49" s="942"/>
      <c r="O49" s="53">
        <f t="shared" si="18"/>
        <v>1</v>
      </c>
      <c r="P49" s="942"/>
      <c r="Q49" s="53">
        <f t="shared" si="19"/>
        <v>1</v>
      </c>
      <c r="R49" s="476">
        <f t="shared" si="20"/>
        <v>0</v>
      </c>
      <c r="S49" s="781">
        <f t="shared" si="11"/>
        <v>0</v>
      </c>
    </row>
    <row r="50" spans="1:19">
      <c r="A50" s="944"/>
      <c r="B50" s="136"/>
      <c r="C50" s="53">
        <f t="shared" si="12"/>
        <v>1</v>
      </c>
      <c r="D50" s="942"/>
      <c r="E50" s="53">
        <f t="shared" si="13"/>
        <v>1</v>
      </c>
      <c r="F50" s="942"/>
      <c r="G50" s="53">
        <f t="shared" si="14"/>
        <v>1</v>
      </c>
      <c r="H50" s="942"/>
      <c r="I50" s="53">
        <f t="shared" si="15"/>
        <v>1</v>
      </c>
      <c r="J50" s="942"/>
      <c r="K50" s="53">
        <f t="shared" si="16"/>
        <v>1</v>
      </c>
      <c r="L50" s="942"/>
      <c r="M50" s="53">
        <f t="shared" si="17"/>
        <v>1</v>
      </c>
      <c r="N50" s="942"/>
      <c r="O50" s="53">
        <f t="shared" si="18"/>
        <v>1</v>
      </c>
      <c r="P50" s="942"/>
      <c r="Q50" s="53">
        <f t="shared" si="19"/>
        <v>1</v>
      </c>
      <c r="R50" s="476">
        <f t="shared" si="20"/>
        <v>0</v>
      </c>
      <c r="S50" s="781">
        <f t="shared" si="11"/>
        <v>0</v>
      </c>
    </row>
    <row r="51" spans="1:19">
      <c r="A51" s="944"/>
      <c r="B51" s="136"/>
      <c r="C51" s="53">
        <f t="shared" si="12"/>
        <v>1</v>
      </c>
      <c r="D51" s="942"/>
      <c r="E51" s="53">
        <f t="shared" si="13"/>
        <v>1</v>
      </c>
      <c r="F51" s="942"/>
      <c r="G51" s="53">
        <f t="shared" si="14"/>
        <v>1</v>
      </c>
      <c r="H51" s="942"/>
      <c r="I51" s="53">
        <f t="shared" si="15"/>
        <v>1</v>
      </c>
      <c r="J51" s="942"/>
      <c r="K51" s="53">
        <f t="shared" si="16"/>
        <v>1</v>
      </c>
      <c r="L51" s="942"/>
      <c r="M51" s="53">
        <f t="shared" si="17"/>
        <v>1</v>
      </c>
      <c r="N51" s="942"/>
      <c r="O51" s="53">
        <f t="shared" si="18"/>
        <v>1</v>
      </c>
      <c r="P51" s="942"/>
      <c r="Q51" s="53">
        <f t="shared" si="19"/>
        <v>1</v>
      </c>
      <c r="R51" s="476">
        <f t="shared" si="20"/>
        <v>0</v>
      </c>
      <c r="S51" s="781">
        <f t="shared" si="11"/>
        <v>0</v>
      </c>
    </row>
    <row r="52" spans="1:19">
      <c r="A52" s="944"/>
      <c r="B52" s="136"/>
      <c r="C52" s="53">
        <f t="shared" si="12"/>
        <v>1</v>
      </c>
      <c r="D52" s="942"/>
      <c r="E52" s="53">
        <f t="shared" si="13"/>
        <v>1</v>
      </c>
      <c r="F52" s="942"/>
      <c r="G52" s="53">
        <f t="shared" si="14"/>
        <v>1</v>
      </c>
      <c r="H52" s="942"/>
      <c r="I52" s="53">
        <f t="shared" si="15"/>
        <v>1</v>
      </c>
      <c r="J52" s="942"/>
      <c r="K52" s="53">
        <f t="shared" si="16"/>
        <v>1</v>
      </c>
      <c r="L52" s="942"/>
      <c r="M52" s="53">
        <f t="shared" si="17"/>
        <v>1</v>
      </c>
      <c r="N52" s="942"/>
      <c r="O52" s="53">
        <f t="shared" si="18"/>
        <v>1</v>
      </c>
      <c r="P52" s="942"/>
      <c r="Q52" s="53">
        <f t="shared" si="19"/>
        <v>1</v>
      </c>
      <c r="R52" s="476">
        <f t="shared" si="20"/>
        <v>0</v>
      </c>
      <c r="S52" s="781">
        <f t="shared" si="11"/>
        <v>0</v>
      </c>
    </row>
    <row r="53" spans="1:19">
      <c r="A53" s="944"/>
      <c r="B53" s="136"/>
      <c r="C53" s="53">
        <f t="shared" si="12"/>
        <v>1</v>
      </c>
      <c r="D53" s="942"/>
      <c r="E53" s="53">
        <f t="shared" si="13"/>
        <v>1</v>
      </c>
      <c r="F53" s="942"/>
      <c r="G53" s="53">
        <f t="shared" si="14"/>
        <v>1</v>
      </c>
      <c r="H53" s="942"/>
      <c r="I53" s="53">
        <f t="shared" si="15"/>
        <v>1</v>
      </c>
      <c r="J53" s="942"/>
      <c r="K53" s="53">
        <f t="shared" si="16"/>
        <v>1</v>
      </c>
      <c r="L53" s="942"/>
      <c r="M53" s="53">
        <f t="shared" si="17"/>
        <v>1</v>
      </c>
      <c r="N53" s="942"/>
      <c r="O53" s="53">
        <f t="shared" si="18"/>
        <v>1</v>
      </c>
      <c r="P53" s="942"/>
      <c r="Q53" s="53">
        <f t="shared" si="19"/>
        <v>1</v>
      </c>
      <c r="R53" s="476">
        <f t="shared" si="20"/>
        <v>0</v>
      </c>
      <c r="S53" s="781">
        <f t="shared" si="11"/>
        <v>0</v>
      </c>
    </row>
    <row r="54" spans="1:19">
      <c r="A54" s="944"/>
      <c r="B54" s="136"/>
      <c r="C54" s="53">
        <f t="shared" si="12"/>
        <v>1</v>
      </c>
      <c r="D54" s="942"/>
      <c r="E54" s="53">
        <f t="shared" si="13"/>
        <v>1</v>
      </c>
      <c r="F54" s="942"/>
      <c r="G54" s="53">
        <f t="shared" si="14"/>
        <v>1</v>
      </c>
      <c r="H54" s="942"/>
      <c r="I54" s="53">
        <f t="shared" si="15"/>
        <v>1</v>
      </c>
      <c r="J54" s="942"/>
      <c r="K54" s="53">
        <f t="shared" si="16"/>
        <v>1</v>
      </c>
      <c r="L54" s="942"/>
      <c r="M54" s="53">
        <f t="shared" si="17"/>
        <v>1</v>
      </c>
      <c r="N54" s="942"/>
      <c r="O54" s="53">
        <f t="shared" si="18"/>
        <v>1</v>
      </c>
      <c r="P54" s="942"/>
      <c r="Q54" s="53">
        <f t="shared" si="19"/>
        <v>1</v>
      </c>
      <c r="R54" s="476">
        <f t="shared" si="20"/>
        <v>0</v>
      </c>
      <c r="S54" s="781">
        <f t="shared" si="11"/>
        <v>0</v>
      </c>
    </row>
    <row r="55" spans="1:19">
      <c r="A55" s="944"/>
      <c r="B55" s="136"/>
      <c r="C55" s="53">
        <f t="shared" si="12"/>
        <v>1</v>
      </c>
      <c r="D55" s="942"/>
      <c r="E55" s="53">
        <f t="shared" si="13"/>
        <v>1</v>
      </c>
      <c r="F55" s="942"/>
      <c r="G55" s="53">
        <f t="shared" si="14"/>
        <v>1</v>
      </c>
      <c r="H55" s="942"/>
      <c r="I55" s="53">
        <f t="shared" si="15"/>
        <v>1</v>
      </c>
      <c r="J55" s="942"/>
      <c r="K55" s="53">
        <f t="shared" si="16"/>
        <v>1</v>
      </c>
      <c r="L55" s="942"/>
      <c r="M55" s="53">
        <f t="shared" si="17"/>
        <v>1</v>
      </c>
      <c r="N55" s="942"/>
      <c r="O55" s="53">
        <f t="shared" si="18"/>
        <v>1</v>
      </c>
      <c r="P55" s="942"/>
      <c r="Q55" s="53">
        <f t="shared" si="19"/>
        <v>1</v>
      </c>
      <c r="R55" s="476">
        <f t="shared" si="20"/>
        <v>0</v>
      </c>
      <c r="S55" s="781">
        <f t="shared" ref="S55:S77" si="21">ROUND(R55*B55/10000,0)</f>
        <v>0</v>
      </c>
    </row>
    <row r="56" spans="1:19">
      <c r="A56" s="944"/>
      <c r="B56" s="136"/>
      <c r="C56" s="53">
        <f t="shared" si="12"/>
        <v>1</v>
      </c>
      <c r="D56" s="942"/>
      <c r="E56" s="53">
        <f t="shared" si="13"/>
        <v>1</v>
      </c>
      <c r="F56" s="942"/>
      <c r="G56" s="53">
        <f t="shared" si="14"/>
        <v>1</v>
      </c>
      <c r="H56" s="942"/>
      <c r="I56" s="53">
        <f t="shared" si="15"/>
        <v>1</v>
      </c>
      <c r="J56" s="942"/>
      <c r="K56" s="53">
        <f t="shared" si="16"/>
        <v>1</v>
      </c>
      <c r="L56" s="942"/>
      <c r="M56" s="53">
        <f t="shared" si="17"/>
        <v>1</v>
      </c>
      <c r="N56" s="942"/>
      <c r="O56" s="53">
        <f t="shared" si="18"/>
        <v>1</v>
      </c>
      <c r="P56" s="942"/>
      <c r="Q56" s="53">
        <f t="shared" si="19"/>
        <v>1</v>
      </c>
      <c r="R56" s="476">
        <f t="shared" si="20"/>
        <v>0</v>
      </c>
      <c r="S56" s="781">
        <f t="shared" si="21"/>
        <v>0</v>
      </c>
    </row>
    <row r="57" spans="1:19">
      <c r="A57" s="944"/>
      <c r="B57" s="136"/>
      <c r="C57" s="53">
        <f t="shared" si="12"/>
        <v>1</v>
      </c>
      <c r="D57" s="942"/>
      <c r="E57" s="53">
        <f t="shared" si="13"/>
        <v>1</v>
      </c>
      <c r="F57" s="942"/>
      <c r="G57" s="53">
        <f t="shared" si="14"/>
        <v>1</v>
      </c>
      <c r="H57" s="942"/>
      <c r="I57" s="53">
        <f t="shared" si="15"/>
        <v>1</v>
      </c>
      <c r="J57" s="942"/>
      <c r="K57" s="53">
        <f t="shared" si="16"/>
        <v>1</v>
      </c>
      <c r="L57" s="942"/>
      <c r="M57" s="53">
        <f t="shared" si="17"/>
        <v>1</v>
      </c>
      <c r="N57" s="942"/>
      <c r="O57" s="53">
        <f t="shared" si="18"/>
        <v>1</v>
      </c>
      <c r="P57" s="942"/>
      <c r="Q57" s="53">
        <f t="shared" si="19"/>
        <v>1</v>
      </c>
      <c r="R57" s="476">
        <f t="shared" si="20"/>
        <v>0</v>
      </c>
      <c r="S57" s="781">
        <f t="shared" si="21"/>
        <v>0</v>
      </c>
    </row>
    <row r="58" spans="1:19">
      <c r="A58" s="944"/>
      <c r="B58" s="136"/>
      <c r="C58" s="53">
        <f t="shared" si="12"/>
        <v>1</v>
      </c>
      <c r="D58" s="942"/>
      <c r="E58" s="53">
        <f t="shared" si="13"/>
        <v>1</v>
      </c>
      <c r="F58" s="942"/>
      <c r="G58" s="53">
        <f t="shared" si="14"/>
        <v>1</v>
      </c>
      <c r="H58" s="942"/>
      <c r="I58" s="53">
        <f t="shared" si="15"/>
        <v>1</v>
      </c>
      <c r="J58" s="942"/>
      <c r="K58" s="53">
        <f t="shared" si="16"/>
        <v>1</v>
      </c>
      <c r="L58" s="942"/>
      <c r="M58" s="53">
        <f t="shared" si="17"/>
        <v>1</v>
      </c>
      <c r="N58" s="942"/>
      <c r="O58" s="53">
        <f t="shared" si="18"/>
        <v>1</v>
      </c>
      <c r="P58" s="942"/>
      <c r="Q58" s="53">
        <f t="shared" si="19"/>
        <v>1</v>
      </c>
      <c r="R58" s="476">
        <f t="shared" si="20"/>
        <v>0</v>
      </c>
      <c r="S58" s="781">
        <f t="shared" si="21"/>
        <v>0</v>
      </c>
    </row>
    <row r="59" spans="1:19">
      <c r="A59" s="944"/>
      <c r="B59" s="136"/>
      <c r="C59" s="53">
        <f t="shared" si="12"/>
        <v>1</v>
      </c>
      <c r="D59" s="942"/>
      <c r="E59" s="53">
        <f t="shared" si="13"/>
        <v>1</v>
      </c>
      <c r="F59" s="942"/>
      <c r="G59" s="53">
        <f t="shared" si="14"/>
        <v>1</v>
      </c>
      <c r="H59" s="942"/>
      <c r="I59" s="53">
        <f t="shared" si="15"/>
        <v>1</v>
      </c>
      <c r="J59" s="942"/>
      <c r="K59" s="53">
        <f t="shared" si="16"/>
        <v>1</v>
      </c>
      <c r="L59" s="942"/>
      <c r="M59" s="53">
        <f t="shared" si="17"/>
        <v>1</v>
      </c>
      <c r="N59" s="942"/>
      <c r="O59" s="53">
        <f t="shared" si="18"/>
        <v>1</v>
      </c>
      <c r="P59" s="942"/>
      <c r="Q59" s="53">
        <f t="shared" si="19"/>
        <v>1</v>
      </c>
      <c r="R59" s="476">
        <f t="shared" si="20"/>
        <v>0</v>
      </c>
      <c r="S59" s="781">
        <f t="shared" si="21"/>
        <v>0</v>
      </c>
    </row>
    <row r="60" spans="1:19">
      <c r="A60" s="944"/>
      <c r="B60" s="136"/>
      <c r="C60" s="53">
        <f t="shared" si="12"/>
        <v>1</v>
      </c>
      <c r="D60" s="942"/>
      <c r="E60" s="53">
        <f t="shared" si="13"/>
        <v>1</v>
      </c>
      <c r="F60" s="942"/>
      <c r="G60" s="53">
        <f t="shared" si="14"/>
        <v>1</v>
      </c>
      <c r="H60" s="942"/>
      <c r="I60" s="53">
        <f t="shared" si="15"/>
        <v>1</v>
      </c>
      <c r="J60" s="942"/>
      <c r="K60" s="53">
        <f t="shared" si="16"/>
        <v>1</v>
      </c>
      <c r="L60" s="942"/>
      <c r="M60" s="53">
        <f t="shared" si="17"/>
        <v>1</v>
      </c>
      <c r="N60" s="942"/>
      <c r="O60" s="53">
        <f t="shared" si="18"/>
        <v>1</v>
      </c>
      <c r="P60" s="942"/>
      <c r="Q60" s="53">
        <f t="shared" si="19"/>
        <v>1</v>
      </c>
      <c r="R60" s="476">
        <f t="shared" si="20"/>
        <v>0</v>
      </c>
      <c r="S60" s="781">
        <f t="shared" si="21"/>
        <v>0</v>
      </c>
    </row>
    <row r="61" spans="1:19">
      <c r="A61" s="944"/>
      <c r="B61" s="136"/>
      <c r="C61" s="53">
        <f t="shared" si="12"/>
        <v>1</v>
      </c>
      <c r="D61" s="942"/>
      <c r="E61" s="53">
        <f t="shared" si="13"/>
        <v>1</v>
      </c>
      <c r="F61" s="942"/>
      <c r="G61" s="53">
        <f t="shared" si="14"/>
        <v>1</v>
      </c>
      <c r="H61" s="942"/>
      <c r="I61" s="53">
        <f t="shared" si="15"/>
        <v>1</v>
      </c>
      <c r="J61" s="942"/>
      <c r="K61" s="53">
        <f t="shared" si="16"/>
        <v>1</v>
      </c>
      <c r="L61" s="942"/>
      <c r="M61" s="53">
        <f t="shared" si="17"/>
        <v>1</v>
      </c>
      <c r="N61" s="942"/>
      <c r="O61" s="53">
        <f t="shared" si="18"/>
        <v>1</v>
      </c>
      <c r="P61" s="942"/>
      <c r="Q61" s="53">
        <f t="shared" si="19"/>
        <v>1</v>
      </c>
      <c r="R61" s="476">
        <f t="shared" si="20"/>
        <v>0</v>
      </c>
      <c r="S61" s="781">
        <f t="shared" si="21"/>
        <v>0</v>
      </c>
    </row>
    <row r="62" spans="1:19">
      <c r="A62" s="944"/>
      <c r="B62" s="136"/>
      <c r="C62" s="53">
        <f t="shared" si="12"/>
        <v>1</v>
      </c>
      <c r="D62" s="942"/>
      <c r="E62" s="53">
        <f t="shared" si="13"/>
        <v>1</v>
      </c>
      <c r="F62" s="942"/>
      <c r="G62" s="53">
        <f t="shared" si="14"/>
        <v>1</v>
      </c>
      <c r="H62" s="942"/>
      <c r="I62" s="53">
        <f t="shared" si="15"/>
        <v>1</v>
      </c>
      <c r="J62" s="942"/>
      <c r="K62" s="53">
        <f t="shared" si="16"/>
        <v>1</v>
      </c>
      <c r="L62" s="942"/>
      <c r="M62" s="53">
        <f t="shared" si="17"/>
        <v>1</v>
      </c>
      <c r="N62" s="942"/>
      <c r="O62" s="53">
        <f t="shared" si="18"/>
        <v>1</v>
      </c>
      <c r="P62" s="942"/>
      <c r="Q62" s="53">
        <f t="shared" si="19"/>
        <v>1</v>
      </c>
      <c r="R62" s="476">
        <f t="shared" si="20"/>
        <v>0</v>
      </c>
      <c r="S62" s="781">
        <f t="shared" si="21"/>
        <v>0</v>
      </c>
    </row>
    <row r="63" spans="1:19">
      <c r="A63" s="944"/>
      <c r="B63" s="136"/>
      <c r="C63" s="53">
        <f t="shared" si="12"/>
        <v>1</v>
      </c>
      <c r="D63" s="942"/>
      <c r="E63" s="53">
        <f t="shared" si="13"/>
        <v>1</v>
      </c>
      <c r="F63" s="942"/>
      <c r="G63" s="53">
        <f t="shared" si="14"/>
        <v>1</v>
      </c>
      <c r="H63" s="942"/>
      <c r="I63" s="53">
        <f t="shared" si="15"/>
        <v>1</v>
      </c>
      <c r="J63" s="942"/>
      <c r="K63" s="53">
        <f t="shared" si="16"/>
        <v>1</v>
      </c>
      <c r="L63" s="942"/>
      <c r="M63" s="53">
        <f t="shared" si="17"/>
        <v>1</v>
      </c>
      <c r="N63" s="942"/>
      <c r="O63" s="53">
        <f t="shared" si="18"/>
        <v>1</v>
      </c>
      <c r="P63" s="942"/>
      <c r="Q63" s="53">
        <f t="shared" si="19"/>
        <v>1</v>
      </c>
      <c r="R63" s="476">
        <f t="shared" si="20"/>
        <v>0</v>
      </c>
      <c r="S63" s="781">
        <f t="shared" si="21"/>
        <v>0</v>
      </c>
    </row>
    <row r="64" spans="1:19">
      <c r="A64" s="944"/>
      <c r="B64" s="136"/>
      <c r="C64" s="53">
        <f t="shared" si="12"/>
        <v>1</v>
      </c>
      <c r="D64" s="942"/>
      <c r="E64" s="53">
        <f t="shared" si="13"/>
        <v>1</v>
      </c>
      <c r="F64" s="942"/>
      <c r="G64" s="53">
        <f t="shared" si="14"/>
        <v>1</v>
      </c>
      <c r="H64" s="942"/>
      <c r="I64" s="53">
        <f t="shared" si="15"/>
        <v>1</v>
      </c>
      <c r="J64" s="942"/>
      <c r="K64" s="53">
        <f t="shared" si="16"/>
        <v>1</v>
      </c>
      <c r="L64" s="942"/>
      <c r="M64" s="53">
        <f t="shared" si="17"/>
        <v>1</v>
      </c>
      <c r="N64" s="942"/>
      <c r="O64" s="53">
        <f t="shared" si="18"/>
        <v>1</v>
      </c>
      <c r="P64" s="942"/>
      <c r="Q64" s="53">
        <f t="shared" si="19"/>
        <v>1</v>
      </c>
      <c r="R64" s="476">
        <f t="shared" si="20"/>
        <v>0</v>
      </c>
      <c r="S64" s="781">
        <f t="shared" si="21"/>
        <v>0</v>
      </c>
    </row>
    <row r="65" spans="1:19">
      <c r="A65" s="944"/>
      <c r="B65" s="136"/>
      <c r="C65" s="53">
        <f t="shared" si="12"/>
        <v>1</v>
      </c>
      <c r="D65" s="942"/>
      <c r="E65" s="53">
        <f t="shared" si="13"/>
        <v>1</v>
      </c>
      <c r="F65" s="942"/>
      <c r="G65" s="53">
        <f t="shared" si="14"/>
        <v>1</v>
      </c>
      <c r="H65" s="942"/>
      <c r="I65" s="53">
        <f t="shared" si="15"/>
        <v>1</v>
      </c>
      <c r="J65" s="942"/>
      <c r="K65" s="53">
        <f t="shared" si="16"/>
        <v>1</v>
      </c>
      <c r="L65" s="942"/>
      <c r="M65" s="53">
        <f t="shared" si="17"/>
        <v>1</v>
      </c>
      <c r="N65" s="942"/>
      <c r="O65" s="53">
        <f t="shared" si="18"/>
        <v>1</v>
      </c>
      <c r="P65" s="942"/>
      <c r="Q65" s="53">
        <f t="shared" si="19"/>
        <v>1</v>
      </c>
      <c r="R65" s="476">
        <f t="shared" si="20"/>
        <v>0</v>
      </c>
      <c r="S65" s="781">
        <f t="shared" si="21"/>
        <v>0</v>
      </c>
    </row>
    <row r="66" spans="1:19">
      <c r="A66" s="944"/>
      <c r="B66" s="136"/>
      <c r="C66" s="53">
        <f t="shared" si="12"/>
        <v>1</v>
      </c>
      <c r="D66" s="942"/>
      <c r="E66" s="53">
        <f t="shared" si="13"/>
        <v>1</v>
      </c>
      <c r="F66" s="942"/>
      <c r="G66" s="53">
        <f t="shared" si="14"/>
        <v>1</v>
      </c>
      <c r="H66" s="942"/>
      <c r="I66" s="53">
        <f t="shared" si="15"/>
        <v>1</v>
      </c>
      <c r="J66" s="942"/>
      <c r="K66" s="53">
        <f t="shared" si="16"/>
        <v>1</v>
      </c>
      <c r="L66" s="942"/>
      <c r="M66" s="53">
        <f t="shared" si="17"/>
        <v>1</v>
      </c>
      <c r="N66" s="942"/>
      <c r="O66" s="53">
        <f t="shared" si="18"/>
        <v>1</v>
      </c>
      <c r="P66" s="942"/>
      <c r="Q66" s="53">
        <f t="shared" si="19"/>
        <v>1</v>
      </c>
      <c r="R66" s="476">
        <f t="shared" si="20"/>
        <v>0</v>
      </c>
      <c r="S66" s="781">
        <f t="shared" si="21"/>
        <v>0</v>
      </c>
    </row>
    <row r="67" spans="1:19">
      <c r="A67" s="944"/>
      <c r="B67" s="136"/>
      <c r="C67" s="53">
        <f t="shared" si="12"/>
        <v>1</v>
      </c>
      <c r="D67" s="942"/>
      <c r="E67" s="53">
        <f t="shared" si="13"/>
        <v>1</v>
      </c>
      <c r="F67" s="942"/>
      <c r="G67" s="53">
        <f t="shared" si="14"/>
        <v>1</v>
      </c>
      <c r="H67" s="942"/>
      <c r="I67" s="53">
        <f t="shared" si="15"/>
        <v>1</v>
      </c>
      <c r="J67" s="942"/>
      <c r="K67" s="53">
        <f t="shared" si="16"/>
        <v>1</v>
      </c>
      <c r="L67" s="942"/>
      <c r="M67" s="53">
        <f t="shared" si="17"/>
        <v>1</v>
      </c>
      <c r="N67" s="942"/>
      <c r="O67" s="53">
        <f t="shared" si="18"/>
        <v>1</v>
      </c>
      <c r="P67" s="942"/>
      <c r="Q67" s="53">
        <f t="shared" si="19"/>
        <v>1</v>
      </c>
      <c r="R67" s="476">
        <f t="shared" si="20"/>
        <v>0</v>
      </c>
      <c r="S67" s="781">
        <f t="shared" si="21"/>
        <v>0</v>
      </c>
    </row>
    <row r="68" spans="1:19">
      <c r="A68" s="944"/>
      <c r="B68" s="136"/>
      <c r="C68" s="53">
        <f t="shared" si="12"/>
        <v>1</v>
      </c>
      <c r="D68" s="942"/>
      <c r="E68" s="53">
        <f t="shared" si="13"/>
        <v>1</v>
      </c>
      <c r="F68" s="942"/>
      <c r="G68" s="53">
        <f t="shared" si="14"/>
        <v>1</v>
      </c>
      <c r="H68" s="942"/>
      <c r="I68" s="53">
        <f t="shared" si="15"/>
        <v>1</v>
      </c>
      <c r="J68" s="942"/>
      <c r="K68" s="53">
        <f t="shared" si="16"/>
        <v>1</v>
      </c>
      <c r="L68" s="942"/>
      <c r="M68" s="53">
        <f t="shared" si="17"/>
        <v>1</v>
      </c>
      <c r="N68" s="942"/>
      <c r="O68" s="53">
        <f t="shared" si="18"/>
        <v>1</v>
      </c>
      <c r="P68" s="942"/>
      <c r="Q68" s="53">
        <f t="shared" si="19"/>
        <v>1</v>
      </c>
      <c r="R68" s="476">
        <f t="shared" si="20"/>
        <v>0</v>
      </c>
      <c r="S68" s="781">
        <f t="shared" si="21"/>
        <v>0</v>
      </c>
    </row>
    <row r="69" spans="1:19">
      <c r="A69" s="944"/>
      <c r="B69" s="136"/>
      <c r="C69" s="53">
        <f t="shared" si="12"/>
        <v>1</v>
      </c>
      <c r="D69" s="942"/>
      <c r="E69" s="53">
        <f t="shared" si="13"/>
        <v>1</v>
      </c>
      <c r="F69" s="942"/>
      <c r="G69" s="53">
        <f t="shared" si="14"/>
        <v>1</v>
      </c>
      <c r="H69" s="942"/>
      <c r="I69" s="53">
        <f t="shared" si="15"/>
        <v>1</v>
      </c>
      <c r="J69" s="942"/>
      <c r="K69" s="53">
        <f t="shared" si="16"/>
        <v>1</v>
      </c>
      <c r="L69" s="942"/>
      <c r="M69" s="53">
        <f t="shared" si="17"/>
        <v>1</v>
      </c>
      <c r="N69" s="942"/>
      <c r="O69" s="53">
        <f t="shared" si="18"/>
        <v>1</v>
      </c>
      <c r="P69" s="942"/>
      <c r="Q69" s="53">
        <f t="shared" si="19"/>
        <v>1</v>
      </c>
      <c r="R69" s="476">
        <f t="shared" si="20"/>
        <v>0</v>
      </c>
      <c r="S69" s="781">
        <f t="shared" si="21"/>
        <v>0</v>
      </c>
    </row>
    <row r="70" spans="1:19">
      <c r="A70" s="944"/>
      <c r="B70" s="136"/>
      <c r="C70" s="53">
        <f t="shared" si="12"/>
        <v>1</v>
      </c>
      <c r="D70" s="942"/>
      <c r="E70" s="53">
        <f t="shared" si="13"/>
        <v>1</v>
      </c>
      <c r="F70" s="942"/>
      <c r="G70" s="53">
        <f t="shared" si="14"/>
        <v>1</v>
      </c>
      <c r="H70" s="942"/>
      <c r="I70" s="53">
        <f t="shared" si="15"/>
        <v>1</v>
      </c>
      <c r="J70" s="942"/>
      <c r="K70" s="53">
        <f t="shared" si="16"/>
        <v>1</v>
      </c>
      <c r="L70" s="942"/>
      <c r="M70" s="53">
        <f t="shared" si="17"/>
        <v>1</v>
      </c>
      <c r="N70" s="942"/>
      <c r="O70" s="53">
        <f t="shared" si="18"/>
        <v>1</v>
      </c>
      <c r="P70" s="942"/>
      <c r="Q70" s="53">
        <f t="shared" si="19"/>
        <v>1</v>
      </c>
      <c r="R70" s="476">
        <f t="shared" si="20"/>
        <v>0</v>
      </c>
      <c r="S70" s="781">
        <f t="shared" si="21"/>
        <v>0</v>
      </c>
    </row>
    <row r="71" spans="1:19">
      <c r="A71" s="944"/>
      <c r="B71" s="136"/>
      <c r="C71" s="53">
        <f t="shared" si="12"/>
        <v>1</v>
      </c>
      <c r="D71" s="942"/>
      <c r="E71" s="53">
        <f t="shared" si="13"/>
        <v>1</v>
      </c>
      <c r="F71" s="942"/>
      <c r="G71" s="53">
        <f t="shared" si="14"/>
        <v>1</v>
      </c>
      <c r="H71" s="942"/>
      <c r="I71" s="53">
        <f t="shared" si="15"/>
        <v>1</v>
      </c>
      <c r="J71" s="942"/>
      <c r="K71" s="53">
        <f t="shared" si="16"/>
        <v>1</v>
      </c>
      <c r="L71" s="942"/>
      <c r="M71" s="53">
        <f t="shared" si="17"/>
        <v>1</v>
      </c>
      <c r="N71" s="942"/>
      <c r="O71" s="53">
        <f t="shared" si="18"/>
        <v>1</v>
      </c>
      <c r="P71" s="942"/>
      <c r="Q71" s="53">
        <f t="shared" si="19"/>
        <v>1</v>
      </c>
      <c r="R71" s="476">
        <f t="shared" si="20"/>
        <v>0</v>
      </c>
      <c r="S71" s="781">
        <f t="shared" si="21"/>
        <v>0</v>
      </c>
    </row>
    <row r="72" spans="1:19">
      <c r="A72" s="944"/>
      <c r="B72" s="136"/>
      <c r="C72" s="53">
        <f t="shared" si="12"/>
        <v>1</v>
      </c>
      <c r="D72" s="942"/>
      <c r="E72" s="53">
        <f t="shared" si="13"/>
        <v>1</v>
      </c>
      <c r="F72" s="942"/>
      <c r="G72" s="53">
        <f t="shared" si="14"/>
        <v>1</v>
      </c>
      <c r="H72" s="942"/>
      <c r="I72" s="53">
        <f t="shared" si="15"/>
        <v>1</v>
      </c>
      <c r="J72" s="942"/>
      <c r="K72" s="53">
        <f t="shared" si="16"/>
        <v>1</v>
      </c>
      <c r="L72" s="942"/>
      <c r="M72" s="53">
        <f t="shared" si="17"/>
        <v>1</v>
      </c>
      <c r="N72" s="942"/>
      <c r="O72" s="53">
        <f t="shared" si="18"/>
        <v>1</v>
      </c>
      <c r="P72" s="942"/>
      <c r="Q72" s="53">
        <f t="shared" si="19"/>
        <v>1</v>
      </c>
      <c r="R72" s="476">
        <f t="shared" si="20"/>
        <v>0</v>
      </c>
      <c r="S72" s="781">
        <f t="shared" si="21"/>
        <v>0</v>
      </c>
    </row>
    <row r="73" spans="1:19">
      <c r="A73" s="944"/>
      <c r="B73" s="136"/>
      <c r="C73" s="53">
        <f t="shared" si="12"/>
        <v>1</v>
      </c>
      <c r="D73" s="942"/>
      <c r="E73" s="53">
        <f t="shared" si="13"/>
        <v>1</v>
      </c>
      <c r="F73" s="942"/>
      <c r="G73" s="53">
        <f t="shared" si="14"/>
        <v>1</v>
      </c>
      <c r="H73" s="942"/>
      <c r="I73" s="53">
        <f t="shared" si="15"/>
        <v>1</v>
      </c>
      <c r="J73" s="942"/>
      <c r="K73" s="53">
        <f t="shared" si="16"/>
        <v>1</v>
      </c>
      <c r="L73" s="942"/>
      <c r="M73" s="53">
        <f t="shared" si="17"/>
        <v>1</v>
      </c>
      <c r="N73" s="942"/>
      <c r="O73" s="53">
        <f t="shared" si="18"/>
        <v>1</v>
      </c>
      <c r="P73" s="942"/>
      <c r="Q73" s="53">
        <f t="shared" si="19"/>
        <v>1</v>
      </c>
      <c r="R73" s="476">
        <f t="shared" si="20"/>
        <v>0</v>
      </c>
      <c r="S73" s="781">
        <f t="shared" si="21"/>
        <v>0</v>
      </c>
    </row>
    <row r="74" spans="1:19">
      <c r="A74" s="944"/>
      <c r="B74" s="136"/>
      <c r="C74" s="53">
        <f t="shared" si="12"/>
        <v>1</v>
      </c>
      <c r="D74" s="942"/>
      <c r="E74" s="53">
        <f t="shared" si="13"/>
        <v>1</v>
      </c>
      <c r="F74" s="942"/>
      <c r="G74" s="53">
        <f t="shared" si="14"/>
        <v>1</v>
      </c>
      <c r="H74" s="942"/>
      <c r="I74" s="53">
        <f t="shared" si="15"/>
        <v>1</v>
      </c>
      <c r="J74" s="942"/>
      <c r="K74" s="53">
        <f t="shared" si="16"/>
        <v>1</v>
      </c>
      <c r="L74" s="942"/>
      <c r="M74" s="53">
        <f t="shared" si="17"/>
        <v>1</v>
      </c>
      <c r="N74" s="942"/>
      <c r="O74" s="53">
        <f t="shared" si="18"/>
        <v>1</v>
      </c>
      <c r="P74" s="942"/>
      <c r="Q74" s="53">
        <f t="shared" si="19"/>
        <v>1</v>
      </c>
      <c r="R74" s="476">
        <f t="shared" si="20"/>
        <v>0</v>
      </c>
      <c r="S74" s="781">
        <f t="shared" si="21"/>
        <v>0</v>
      </c>
    </row>
    <row r="75" spans="1:19">
      <c r="A75" s="944"/>
      <c r="B75" s="136"/>
      <c r="C75" s="53">
        <f t="shared" si="12"/>
        <v>1</v>
      </c>
      <c r="D75" s="942"/>
      <c r="E75" s="53">
        <f t="shared" si="13"/>
        <v>1</v>
      </c>
      <c r="F75" s="942"/>
      <c r="G75" s="53">
        <f t="shared" si="14"/>
        <v>1</v>
      </c>
      <c r="H75" s="942"/>
      <c r="I75" s="53">
        <f t="shared" si="15"/>
        <v>1</v>
      </c>
      <c r="J75" s="942"/>
      <c r="K75" s="53">
        <f t="shared" si="16"/>
        <v>1</v>
      </c>
      <c r="L75" s="942"/>
      <c r="M75" s="53">
        <f t="shared" si="17"/>
        <v>1</v>
      </c>
      <c r="N75" s="942"/>
      <c r="O75" s="53">
        <f t="shared" si="18"/>
        <v>1</v>
      </c>
      <c r="P75" s="942"/>
      <c r="Q75" s="53">
        <f t="shared" si="19"/>
        <v>1</v>
      </c>
      <c r="R75" s="476">
        <f t="shared" si="20"/>
        <v>0</v>
      </c>
      <c r="S75" s="781">
        <f t="shared" si="21"/>
        <v>0</v>
      </c>
    </row>
    <row r="76" spans="1:19">
      <c r="A76" s="944"/>
      <c r="B76" s="136"/>
      <c r="C76" s="53">
        <f t="shared" si="12"/>
        <v>1</v>
      </c>
      <c r="D76" s="942"/>
      <c r="E76" s="53">
        <f t="shared" si="13"/>
        <v>1</v>
      </c>
      <c r="F76" s="942"/>
      <c r="G76" s="53">
        <f t="shared" si="14"/>
        <v>1</v>
      </c>
      <c r="H76" s="942"/>
      <c r="I76" s="53">
        <f t="shared" si="15"/>
        <v>1</v>
      </c>
      <c r="J76" s="942"/>
      <c r="K76" s="53">
        <f t="shared" si="16"/>
        <v>1</v>
      </c>
      <c r="L76" s="942"/>
      <c r="M76" s="53">
        <f t="shared" si="17"/>
        <v>1</v>
      </c>
      <c r="N76" s="942"/>
      <c r="O76" s="53">
        <f t="shared" si="18"/>
        <v>1</v>
      </c>
      <c r="P76" s="942"/>
      <c r="Q76" s="53">
        <f t="shared" si="19"/>
        <v>1</v>
      </c>
      <c r="R76" s="476">
        <f t="shared" si="20"/>
        <v>0</v>
      </c>
      <c r="S76" s="781">
        <f t="shared" si="21"/>
        <v>0</v>
      </c>
    </row>
    <row r="77" spans="1:19">
      <c r="A77" s="944"/>
      <c r="B77" s="136"/>
      <c r="C77" s="53">
        <f t="shared" si="12"/>
        <v>1</v>
      </c>
      <c r="D77" s="942"/>
      <c r="E77" s="53">
        <f t="shared" si="13"/>
        <v>1</v>
      </c>
      <c r="F77" s="942"/>
      <c r="G77" s="53">
        <f t="shared" si="14"/>
        <v>1</v>
      </c>
      <c r="H77" s="942"/>
      <c r="I77" s="53">
        <f t="shared" si="15"/>
        <v>1</v>
      </c>
      <c r="J77" s="942"/>
      <c r="K77" s="53">
        <f t="shared" si="16"/>
        <v>1</v>
      </c>
      <c r="L77" s="942"/>
      <c r="M77" s="53">
        <f t="shared" si="17"/>
        <v>1</v>
      </c>
      <c r="N77" s="942"/>
      <c r="O77" s="53">
        <f t="shared" si="18"/>
        <v>1</v>
      </c>
      <c r="P77" s="942"/>
      <c r="Q77" s="53">
        <f t="shared" si="19"/>
        <v>1</v>
      </c>
      <c r="R77" s="476">
        <f t="shared" si="20"/>
        <v>0</v>
      </c>
      <c r="S77" s="781">
        <f t="shared" si="21"/>
        <v>0</v>
      </c>
    </row>
    <row r="78" spans="1:19">
      <c r="A78" s="944"/>
      <c r="B78" s="136"/>
      <c r="C78" s="53">
        <f t="shared" si="12"/>
        <v>1</v>
      </c>
      <c r="D78" s="942"/>
      <c r="E78" s="53">
        <f t="shared" si="13"/>
        <v>1</v>
      </c>
      <c r="F78" s="942"/>
      <c r="G78" s="53">
        <f t="shared" si="14"/>
        <v>1</v>
      </c>
      <c r="H78" s="942"/>
      <c r="I78" s="53">
        <f t="shared" si="15"/>
        <v>1</v>
      </c>
      <c r="J78" s="942"/>
      <c r="K78" s="53">
        <f t="shared" si="16"/>
        <v>1</v>
      </c>
      <c r="L78" s="942"/>
      <c r="M78" s="53">
        <f t="shared" si="17"/>
        <v>1</v>
      </c>
      <c r="N78" s="942"/>
      <c r="O78" s="53">
        <f t="shared" si="18"/>
        <v>1</v>
      </c>
      <c r="P78" s="942"/>
      <c r="Q78" s="53">
        <f t="shared" si="19"/>
        <v>1</v>
      </c>
      <c r="R78" s="476">
        <f t="shared" si="20"/>
        <v>0</v>
      </c>
      <c r="S78" s="781">
        <f t="shared" ref="S78:S122" si="22">ROUND(R78*B78/10000,0)</f>
        <v>0</v>
      </c>
    </row>
    <row r="79" spans="1:19">
      <c r="A79" s="944"/>
      <c r="B79" s="136"/>
      <c r="C79" s="53">
        <f t="shared" si="12"/>
        <v>1</v>
      </c>
      <c r="D79" s="942"/>
      <c r="E79" s="53">
        <f t="shared" si="13"/>
        <v>1</v>
      </c>
      <c r="F79" s="942"/>
      <c r="G79" s="53">
        <f t="shared" si="14"/>
        <v>1</v>
      </c>
      <c r="H79" s="942"/>
      <c r="I79" s="53">
        <f t="shared" si="15"/>
        <v>1</v>
      </c>
      <c r="J79" s="942"/>
      <c r="K79" s="53">
        <f t="shared" si="16"/>
        <v>1</v>
      </c>
      <c r="L79" s="942"/>
      <c r="M79" s="53">
        <f t="shared" si="17"/>
        <v>1</v>
      </c>
      <c r="N79" s="942"/>
      <c r="O79" s="53">
        <f t="shared" si="18"/>
        <v>1</v>
      </c>
      <c r="P79" s="942"/>
      <c r="Q79" s="53">
        <f t="shared" si="19"/>
        <v>1</v>
      </c>
      <c r="R79" s="476">
        <f t="shared" si="20"/>
        <v>0</v>
      </c>
      <c r="S79" s="781">
        <f t="shared" si="22"/>
        <v>0</v>
      </c>
    </row>
    <row r="80" spans="1:19">
      <c r="A80" s="944"/>
      <c r="B80" s="136"/>
      <c r="C80" s="53">
        <f t="shared" si="12"/>
        <v>1</v>
      </c>
      <c r="D80" s="942"/>
      <c r="E80" s="53">
        <f t="shared" si="13"/>
        <v>1</v>
      </c>
      <c r="F80" s="942"/>
      <c r="G80" s="53">
        <f t="shared" si="14"/>
        <v>1</v>
      </c>
      <c r="H80" s="942"/>
      <c r="I80" s="53">
        <f t="shared" si="15"/>
        <v>1</v>
      </c>
      <c r="J80" s="942"/>
      <c r="K80" s="53">
        <f t="shared" si="16"/>
        <v>1</v>
      </c>
      <c r="L80" s="942"/>
      <c r="M80" s="53">
        <f t="shared" si="17"/>
        <v>1</v>
      </c>
      <c r="N80" s="942"/>
      <c r="O80" s="53">
        <f t="shared" si="18"/>
        <v>1</v>
      </c>
      <c r="P80" s="942"/>
      <c r="Q80" s="53">
        <f t="shared" si="19"/>
        <v>1</v>
      </c>
      <c r="R80" s="476">
        <f t="shared" si="20"/>
        <v>0</v>
      </c>
      <c r="S80" s="781">
        <f t="shared" si="22"/>
        <v>0</v>
      </c>
    </row>
    <row r="81" spans="1:19">
      <c r="A81" s="944"/>
      <c r="B81" s="136"/>
      <c r="C81" s="53">
        <f t="shared" si="12"/>
        <v>1</v>
      </c>
      <c r="D81" s="942"/>
      <c r="E81" s="53">
        <f t="shared" si="13"/>
        <v>1</v>
      </c>
      <c r="F81" s="942"/>
      <c r="G81" s="53">
        <f t="shared" si="14"/>
        <v>1</v>
      </c>
      <c r="H81" s="942"/>
      <c r="I81" s="53">
        <f t="shared" si="15"/>
        <v>1</v>
      </c>
      <c r="J81" s="942"/>
      <c r="K81" s="53">
        <f t="shared" si="16"/>
        <v>1</v>
      </c>
      <c r="L81" s="942"/>
      <c r="M81" s="53">
        <f t="shared" si="17"/>
        <v>1</v>
      </c>
      <c r="N81" s="942"/>
      <c r="O81" s="53">
        <f t="shared" si="18"/>
        <v>1</v>
      </c>
      <c r="P81" s="942"/>
      <c r="Q81" s="53">
        <f t="shared" si="19"/>
        <v>1</v>
      </c>
      <c r="R81" s="476">
        <f t="shared" si="20"/>
        <v>0</v>
      </c>
      <c r="S81" s="781">
        <f t="shared" si="22"/>
        <v>0</v>
      </c>
    </row>
    <row r="82" spans="1:19">
      <c r="A82" s="944"/>
      <c r="B82" s="136"/>
      <c r="C82" s="53">
        <f t="shared" si="12"/>
        <v>1</v>
      </c>
      <c r="D82" s="942"/>
      <c r="E82" s="53">
        <f t="shared" si="13"/>
        <v>1</v>
      </c>
      <c r="F82" s="942"/>
      <c r="G82" s="53">
        <f t="shared" si="14"/>
        <v>1</v>
      </c>
      <c r="H82" s="942"/>
      <c r="I82" s="53">
        <f t="shared" si="15"/>
        <v>1</v>
      </c>
      <c r="J82" s="942"/>
      <c r="K82" s="53">
        <f t="shared" si="16"/>
        <v>1</v>
      </c>
      <c r="L82" s="942"/>
      <c r="M82" s="53">
        <f t="shared" si="17"/>
        <v>1</v>
      </c>
      <c r="N82" s="942"/>
      <c r="O82" s="53">
        <f t="shared" si="18"/>
        <v>1</v>
      </c>
      <c r="P82" s="942"/>
      <c r="Q82" s="53">
        <f t="shared" si="19"/>
        <v>1</v>
      </c>
      <c r="R82" s="476">
        <f t="shared" si="20"/>
        <v>0</v>
      </c>
      <c r="S82" s="781">
        <f t="shared" si="22"/>
        <v>0</v>
      </c>
    </row>
    <row r="83" spans="1:19">
      <c r="A83" s="944"/>
      <c r="B83" s="136"/>
      <c r="C83" s="53">
        <f t="shared" si="12"/>
        <v>1</v>
      </c>
      <c r="D83" s="942"/>
      <c r="E83" s="53">
        <f t="shared" si="13"/>
        <v>1</v>
      </c>
      <c r="F83" s="942"/>
      <c r="G83" s="53">
        <f t="shared" si="14"/>
        <v>1</v>
      </c>
      <c r="H83" s="942"/>
      <c r="I83" s="53">
        <f t="shared" si="15"/>
        <v>1</v>
      </c>
      <c r="J83" s="942"/>
      <c r="K83" s="53">
        <f t="shared" si="16"/>
        <v>1</v>
      </c>
      <c r="L83" s="942"/>
      <c r="M83" s="53">
        <f t="shared" si="17"/>
        <v>1</v>
      </c>
      <c r="N83" s="942"/>
      <c r="O83" s="53">
        <f t="shared" si="18"/>
        <v>1</v>
      </c>
      <c r="P83" s="942"/>
      <c r="Q83" s="53">
        <f t="shared" si="19"/>
        <v>1</v>
      </c>
      <c r="R83" s="476">
        <f t="shared" si="20"/>
        <v>0</v>
      </c>
      <c r="S83" s="781">
        <f t="shared" si="22"/>
        <v>0</v>
      </c>
    </row>
    <row r="84" spans="1:19">
      <c r="A84" s="944"/>
      <c r="B84" s="136"/>
      <c r="C84" s="53">
        <f t="shared" si="12"/>
        <v>1</v>
      </c>
      <c r="D84" s="942"/>
      <c r="E84" s="53">
        <f t="shared" si="13"/>
        <v>1</v>
      </c>
      <c r="F84" s="942"/>
      <c r="G84" s="53">
        <f t="shared" si="14"/>
        <v>1</v>
      </c>
      <c r="H84" s="942"/>
      <c r="I84" s="53">
        <f t="shared" si="15"/>
        <v>1</v>
      </c>
      <c r="J84" s="942"/>
      <c r="K84" s="53">
        <f t="shared" si="16"/>
        <v>1</v>
      </c>
      <c r="L84" s="942"/>
      <c r="M84" s="53">
        <f t="shared" si="17"/>
        <v>1</v>
      </c>
      <c r="N84" s="942"/>
      <c r="O84" s="53">
        <f t="shared" si="18"/>
        <v>1</v>
      </c>
      <c r="P84" s="942"/>
      <c r="Q84" s="53">
        <f t="shared" si="19"/>
        <v>1</v>
      </c>
      <c r="R84" s="476">
        <f t="shared" si="20"/>
        <v>0</v>
      </c>
      <c r="S84" s="781">
        <f t="shared" si="22"/>
        <v>0</v>
      </c>
    </row>
    <row r="85" spans="1:19">
      <c r="A85" s="944"/>
      <c r="B85" s="136"/>
      <c r="C85" s="53">
        <f t="shared" si="12"/>
        <v>1</v>
      </c>
      <c r="D85" s="942"/>
      <c r="E85" s="53">
        <f t="shared" si="13"/>
        <v>1</v>
      </c>
      <c r="F85" s="942"/>
      <c r="G85" s="53">
        <f t="shared" si="14"/>
        <v>1</v>
      </c>
      <c r="H85" s="942"/>
      <c r="I85" s="53">
        <f t="shared" si="15"/>
        <v>1</v>
      </c>
      <c r="J85" s="942"/>
      <c r="K85" s="53">
        <f t="shared" si="16"/>
        <v>1</v>
      </c>
      <c r="L85" s="942"/>
      <c r="M85" s="53">
        <f t="shared" si="17"/>
        <v>1</v>
      </c>
      <c r="N85" s="942"/>
      <c r="O85" s="53">
        <f t="shared" si="18"/>
        <v>1</v>
      </c>
      <c r="P85" s="942"/>
      <c r="Q85" s="53">
        <f t="shared" si="19"/>
        <v>1</v>
      </c>
      <c r="R85" s="476">
        <f t="shared" si="20"/>
        <v>0</v>
      </c>
      <c r="S85" s="781">
        <f t="shared" si="22"/>
        <v>0</v>
      </c>
    </row>
    <row r="86" spans="1:19">
      <c r="A86" s="944"/>
      <c r="B86" s="136"/>
      <c r="C86" s="53">
        <f t="shared" si="12"/>
        <v>1</v>
      </c>
      <c r="D86" s="942"/>
      <c r="E86" s="53">
        <f t="shared" si="13"/>
        <v>1</v>
      </c>
      <c r="F86" s="942"/>
      <c r="G86" s="53">
        <f t="shared" si="14"/>
        <v>1</v>
      </c>
      <c r="H86" s="942"/>
      <c r="I86" s="53">
        <f t="shared" si="15"/>
        <v>1</v>
      </c>
      <c r="J86" s="942"/>
      <c r="K86" s="53">
        <f t="shared" si="16"/>
        <v>1</v>
      </c>
      <c r="L86" s="942"/>
      <c r="M86" s="53">
        <f t="shared" si="17"/>
        <v>1</v>
      </c>
      <c r="N86" s="942"/>
      <c r="O86" s="53">
        <f t="shared" si="18"/>
        <v>1</v>
      </c>
      <c r="P86" s="942"/>
      <c r="Q86" s="53">
        <f t="shared" si="19"/>
        <v>1</v>
      </c>
      <c r="R86" s="476">
        <f t="shared" si="20"/>
        <v>0</v>
      </c>
      <c r="S86" s="781">
        <f t="shared" si="22"/>
        <v>0</v>
      </c>
    </row>
    <row r="87" spans="1:19">
      <c r="A87" s="944"/>
      <c r="B87" s="136"/>
      <c r="C87" s="53">
        <f t="shared" si="12"/>
        <v>1</v>
      </c>
      <c r="D87" s="942"/>
      <c r="E87" s="53">
        <f t="shared" si="13"/>
        <v>1</v>
      </c>
      <c r="F87" s="942"/>
      <c r="G87" s="53">
        <f t="shared" si="14"/>
        <v>1</v>
      </c>
      <c r="H87" s="942"/>
      <c r="I87" s="53">
        <f t="shared" si="15"/>
        <v>1</v>
      </c>
      <c r="J87" s="942"/>
      <c r="K87" s="53">
        <f t="shared" si="16"/>
        <v>1</v>
      </c>
      <c r="L87" s="942"/>
      <c r="M87" s="53">
        <f t="shared" si="17"/>
        <v>1</v>
      </c>
      <c r="N87" s="942"/>
      <c r="O87" s="53">
        <f t="shared" si="18"/>
        <v>1</v>
      </c>
      <c r="P87" s="942"/>
      <c r="Q87" s="53">
        <f t="shared" si="19"/>
        <v>1</v>
      </c>
      <c r="R87" s="476">
        <f t="shared" si="20"/>
        <v>0</v>
      </c>
      <c r="S87" s="781">
        <f t="shared" si="22"/>
        <v>0</v>
      </c>
    </row>
    <row r="88" spans="1:19">
      <c r="A88" s="944"/>
      <c r="B88" s="136"/>
      <c r="C88" s="53">
        <f t="shared" si="12"/>
        <v>1</v>
      </c>
      <c r="D88" s="942"/>
      <c r="E88" s="53">
        <f t="shared" si="13"/>
        <v>1</v>
      </c>
      <c r="F88" s="942"/>
      <c r="G88" s="53">
        <f t="shared" si="14"/>
        <v>1</v>
      </c>
      <c r="H88" s="942"/>
      <c r="I88" s="53">
        <f t="shared" si="15"/>
        <v>1</v>
      </c>
      <c r="J88" s="942"/>
      <c r="K88" s="53">
        <f t="shared" si="16"/>
        <v>1</v>
      </c>
      <c r="L88" s="942"/>
      <c r="M88" s="53">
        <f t="shared" si="17"/>
        <v>1</v>
      </c>
      <c r="N88" s="942"/>
      <c r="O88" s="53">
        <f t="shared" si="18"/>
        <v>1</v>
      </c>
      <c r="P88" s="942"/>
      <c r="Q88" s="53">
        <f t="shared" si="19"/>
        <v>1</v>
      </c>
      <c r="R88" s="476">
        <f t="shared" si="20"/>
        <v>0</v>
      </c>
      <c r="S88" s="781">
        <f t="shared" si="22"/>
        <v>0</v>
      </c>
    </row>
    <row r="89" spans="1:19">
      <c r="A89" s="944"/>
      <c r="B89" s="136"/>
      <c r="C89" s="53">
        <f t="shared" si="12"/>
        <v>1</v>
      </c>
      <c r="D89" s="942"/>
      <c r="E89" s="53">
        <f t="shared" si="13"/>
        <v>1</v>
      </c>
      <c r="F89" s="942"/>
      <c r="G89" s="53">
        <f t="shared" si="14"/>
        <v>1</v>
      </c>
      <c r="H89" s="942"/>
      <c r="I89" s="53">
        <f t="shared" si="15"/>
        <v>1</v>
      </c>
      <c r="J89" s="942"/>
      <c r="K89" s="53">
        <f t="shared" si="16"/>
        <v>1</v>
      </c>
      <c r="L89" s="942"/>
      <c r="M89" s="53">
        <f t="shared" si="17"/>
        <v>1</v>
      </c>
      <c r="N89" s="942"/>
      <c r="O89" s="53">
        <f t="shared" si="18"/>
        <v>1</v>
      </c>
      <c r="P89" s="942"/>
      <c r="Q89" s="53">
        <f t="shared" si="19"/>
        <v>1</v>
      </c>
      <c r="R89" s="476">
        <f t="shared" si="20"/>
        <v>0</v>
      </c>
      <c r="S89" s="781">
        <f t="shared" si="22"/>
        <v>0</v>
      </c>
    </row>
    <row r="90" spans="1:19">
      <c r="A90" s="944"/>
      <c r="B90" s="136"/>
      <c r="C90" s="53">
        <f t="shared" ref="C90:C153" si="23">IF(B90="",1,(LOOKUP(B90,$3:$3,$4:$4)-LOOKUP($B$24,$3:$3,$4:$4)+100)/100)</f>
        <v>1</v>
      </c>
      <c r="D90" s="942"/>
      <c r="E90" s="53">
        <f t="shared" ref="E90:E153" si="24">(SUMIF($5:$5,D90,$6:$6)-SUMIF($5:$5,$D$24,$6:$6)+100)/100</f>
        <v>1</v>
      </c>
      <c r="F90" s="942"/>
      <c r="G90" s="53">
        <f t="shared" ref="G90:G153" si="25">(SUMIF($7:$7,F90,$8:$8)-SUMIF($7:$7,$F$24,$8:$8)+100)/100</f>
        <v>1</v>
      </c>
      <c r="H90" s="942"/>
      <c r="I90" s="53">
        <f t="shared" ref="I90:I153" si="26">(SUMIF($9:$9,H90,$10:$10)-SUMIF($9:$9,$H$24,$10:$10)+100)/100</f>
        <v>1</v>
      </c>
      <c r="J90" s="942"/>
      <c r="K90" s="53">
        <f t="shared" ref="K90:K153" si="27">(SUMIF($11:$11,J90,$12:$12)-SUMIF($11:$11,$J$24,$12:$12)+100)/100</f>
        <v>1</v>
      </c>
      <c r="L90" s="942"/>
      <c r="M90" s="53">
        <f t="shared" ref="M90:M153" si="28">(SUMIF($13:$13,L90,$14:$14)-SUMIF($13:$13,$L$24,$14:$14)+100)/100</f>
        <v>1</v>
      </c>
      <c r="N90" s="942"/>
      <c r="O90" s="53">
        <f t="shared" ref="O90:O153" si="29">(SUMIF($15:$15,N90,$16:$16)-SUMIF($15:$15,$N$24,$16:$16)+100)/100</f>
        <v>1</v>
      </c>
      <c r="P90" s="942"/>
      <c r="Q90" s="53">
        <f t="shared" ref="Q90:Q153" si="30">(SUMIF($17:$17,P90,$18:$18)-SUMIF($17:$17,$P$24,$18:$18)+100)/100</f>
        <v>1</v>
      </c>
      <c r="R90" s="476">
        <f t="shared" ref="R90:R153" si="31">IF(B90="",0,ROUND($R$24*C90*E90*G90*I90*K90*M90*O90*Q90,0))</f>
        <v>0</v>
      </c>
      <c r="S90" s="781">
        <f t="shared" si="22"/>
        <v>0</v>
      </c>
    </row>
    <row r="91" spans="1:19">
      <c r="A91" s="944"/>
      <c r="B91" s="136"/>
      <c r="C91" s="53">
        <f t="shared" si="23"/>
        <v>1</v>
      </c>
      <c r="D91" s="942"/>
      <c r="E91" s="53">
        <f t="shared" si="24"/>
        <v>1</v>
      </c>
      <c r="F91" s="942"/>
      <c r="G91" s="53">
        <f t="shared" si="25"/>
        <v>1</v>
      </c>
      <c r="H91" s="942"/>
      <c r="I91" s="53">
        <f t="shared" si="26"/>
        <v>1</v>
      </c>
      <c r="J91" s="942"/>
      <c r="K91" s="53">
        <f t="shared" si="27"/>
        <v>1</v>
      </c>
      <c r="L91" s="942"/>
      <c r="M91" s="53">
        <f t="shared" si="28"/>
        <v>1</v>
      </c>
      <c r="N91" s="942"/>
      <c r="O91" s="53">
        <f t="shared" si="29"/>
        <v>1</v>
      </c>
      <c r="P91" s="942"/>
      <c r="Q91" s="53">
        <f t="shared" si="30"/>
        <v>1</v>
      </c>
      <c r="R91" s="476">
        <f t="shared" si="31"/>
        <v>0</v>
      </c>
      <c r="S91" s="781">
        <f t="shared" si="22"/>
        <v>0</v>
      </c>
    </row>
    <row r="92" spans="1:19">
      <c r="A92" s="944"/>
      <c r="B92" s="136"/>
      <c r="C92" s="53">
        <f t="shared" si="23"/>
        <v>1</v>
      </c>
      <c r="D92" s="942"/>
      <c r="E92" s="53">
        <f t="shared" si="24"/>
        <v>1</v>
      </c>
      <c r="F92" s="942"/>
      <c r="G92" s="53">
        <f t="shared" si="25"/>
        <v>1</v>
      </c>
      <c r="H92" s="942"/>
      <c r="I92" s="53">
        <f t="shared" si="26"/>
        <v>1</v>
      </c>
      <c r="J92" s="942"/>
      <c r="K92" s="53">
        <f t="shared" si="27"/>
        <v>1</v>
      </c>
      <c r="L92" s="942"/>
      <c r="M92" s="53">
        <f t="shared" si="28"/>
        <v>1</v>
      </c>
      <c r="N92" s="942"/>
      <c r="O92" s="53">
        <f t="shared" si="29"/>
        <v>1</v>
      </c>
      <c r="P92" s="942"/>
      <c r="Q92" s="53">
        <f t="shared" si="30"/>
        <v>1</v>
      </c>
      <c r="R92" s="476">
        <f t="shared" si="31"/>
        <v>0</v>
      </c>
      <c r="S92" s="781">
        <f t="shared" si="22"/>
        <v>0</v>
      </c>
    </row>
    <row r="93" spans="1:19">
      <c r="A93" s="944"/>
      <c r="B93" s="136"/>
      <c r="C93" s="53">
        <f t="shared" si="23"/>
        <v>1</v>
      </c>
      <c r="D93" s="942"/>
      <c r="E93" s="53">
        <f t="shared" si="24"/>
        <v>1</v>
      </c>
      <c r="F93" s="942"/>
      <c r="G93" s="53">
        <f t="shared" si="25"/>
        <v>1</v>
      </c>
      <c r="H93" s="942"/>
      <c r="I93" s="53">
        <f t="shared" si="26"/>
        <v>1</v>
      </c>
      <c r="J93" s="942"/>
      <c r="K93" s="53">
        <f t="shared" si="27"/>
        <v>1</v>
      </c>
      <c r="L93" s="942"/>
      <c r="M93" s="53">
        <f t="shared" si="28"/>
        <v>1</v>
      </c>
      <c r="N93" s="942"/>
      <c r="O93" s="53">
        <f t="shared" si="29"/>
        <v>1</v>
      </c>
      <c r="P93" s="942"/>
      <c r="Q93" s="53">
        <f t="shared" si="30"/>
        <v>1</v>
      </c>
      <c r="R93" s="476">
        <f t="shared" si="31"/>
        <v>0</v>
      </c>
      <c r="S93" s="781">
        <f t="shared" si="22"/>
        <v>0</v>
      </c>
    </row>
    <row r="94" spans="1:19">
      <c r="A94" s="944"/>
      <c r="B94" s="136"/>
      <c r="C94" s="53">
        <f t="shared" si="23"/>
        <v>1</v>
      </c>
      <c r="D94" s="942"/>
      <c r="E94" s="53">
        <f t="shared" si="24"/>
        <v>1</v>
      </c>
      <c r="F94" s="942"/>
      <c r="G94" s="53">
        <f t="shared" si="25"/>
        <v>1</v>
      </c>
      <c r="H94" s="942"/>
      <c r="I94" s="53">
        <f t="shared" si="26"/>
        <v>1</v>
      </c>
      <c r="J94" s="942"/>
      <c r="K94" s="53">
        <f t="shared" si="27"/>
        <v>1</v>
      </c>
      <c r="L94" s="942"/>
      <c r="M94" s="53">
        <f t="shared" si="28"/>
        <v>1</v>
      </c>
      <c r="N94" s="942"/>
      <c r="O94" s="53">
        <f t="shared" si="29"/>
        <v>1</v>
      </c>
      <c r="P94" s="942"/>
      <c r="Q94" s="53">
        <f t="shared" si="30"/>
        <v>1</v>
      </c>
      <c r="R94" s="476">
        <f t="shared" si="31"/>
        <v>0</v>
      </c>
      <c r="S94" s="781">
        <f t="shared" si="22"/>
        <v>0</v>
      </c>
    </row>
    <row r="95" spans="1:19">
      <c r="A95" s="944"/>
      <c r="B95" s="136"/>
      <c r="C95" s="53">
        <f t="shared" si="23"/>
        <v>1</v>
      </c>
      <c r="D95" s="942"/>
      <c r="E95" s="53">
        <f t="shared" si="24"/>
        <v>1</v>
      </c>
      <c r="F95" s="942"/>
      <c r="G95" s="53">
        <f t="shared" si="25"/>
        <v>1</v>
      </c>
      <c r="H95" s="942"/>
      <c r="I95" s="53">
        <f t="shared" si="26"/>
        <v>1</v>
      </c>
      <c r="J95" s="942"/>
      <c r="K95" s="53">
        <f t="shared" si="27"/>
        <v>1</v>
      </c>
      <c r="L95" s="942"/>
      <c r="M95" s="53">
        <f t="shared" si="28"/>
        <v>1</v>
      </c>
      <c r="N95" s="942"/>
      <c r="O95" s="53">
        <f t="shared" si="29"/>
        <v>1</v>
      </c>
      <c r="P95" s="942"/>
      <c r="Q95" s="53">
        <f t="shared" si="30"/>
        <v>1</v>
      </c>
      <c r="R95" s="476">
        <f t="shared" si="31"/>
        <v>0</v>
      </c>
      <c r="S95" s="781">
        <f t="shared" si="22"/>
        <v>0</v>
      </c>
    </row>
    <row r="96" spans="1:19">
      <c r="A96" s="944"/>
      <c r="B96" s="136"/>
      <c r="C96" s="53">
        <f t="shared" si="23"/>
        <v>1</v>
      </c>
      <c r="D96" s="942"/>
      <c r="E96" s="53">
        <f t="shared" si="24"/>
        <v>1</v>
      </c>
      <c r="F96" s="942"/>
      <c r="G96" s="53">
        <f t="shared" si="25"/>
        <v>1</v>
      </c>
      <c r="H96" s="942"/>
      <c r="I96" s="53">
        <f t="shared" si="26"/>
        <v>1</v>
      </c>
      <c r="J96" s="942"/>
      <c r="K96" s="53">
        <f t="shared" si="27"/>
        <v>1</v>
      </c>
      <c r="L96" s="942"/>
      <c r="M96" s="53">
        <f t="shared" si="28"/>
        <v>1</v>
      </c>
      <c r="N96" s="942"/>
      <c r="O96" s="53">
        <f t="shared" si="29"/>
        <v>1</v>
      </c>
      <c r="P96" s="942"/>
      <c r="Q96" s="53">
        <f t="shared" si="30"/>
        <v>1</v>
      </c>
      <c r="R96" s="476">
        <f t="shared" si="31"/>
        <v>0</v>
      </c>
      <c r="S96" s="781">
        <f t="shared" si="22"/>
        <v>0</v>
      </c>
    </row>
    <row r="97" spans="1:19">
      <c r="A97" s="944"/>
      <c r="B97" s="136"/>
      <c r="C97" s="53">
        <f t="shared" si="23"/>
        <v>1</v>
      </c>
      <c r="D97" s="942"/>
      <c r="E97" s="53">
        <f t="shared" si="24"/>
        <v>1</v>
      </c>
      <c r="F97" s="942"/>
      <c r="G97" s="53">
        <f t="shared" si="25"/>
        <v>1</v>
      </c>
      <c r="H97" s="942"/>
      <c r="I97" s="53">
        <f t="shared" si="26"/>
        <v>1</v>
      </c>
      <c r="J97" s="942"/>
      <c r="K97" s="53">
        <f t="shared" si="27"/>
        <v>1</v>
      </c>
      <c r="L97" s="942"/>
      <c r="M97" s="53">
        <f t="shared" si="28"/>
        <v>1</v>
      </c>
      <c r="N97" s="942"/>
      <c r="O97" s="53">
        <f t="shared" si="29"/>
        <v>1</v>
      </c>
      <c r="P97" s="942"/>
      <c r="Q97" s="53">
        <f t="shared" si="30"/>
        <v>1</v>
      </c>
      <c r="R97" s="476">
        <f t="shared" si="31"/>
        <v>0</v>
      </c>
      <c r="S97" s="781">
        <f t="shared" si="22"/>
        <v>0</v>
      </c>
    </row>
    <row r="98" spans="1:19">
      <c r="A98" s="944"/>
      <c r="B98" s="136"/>
      <c r="C98" s="53">
        <f t="shared" si="23"/>
        <v>1</v>
      </c>
      <c r="D98" s="942"/>
      <c r="E98" s="53">
        <f t="shared" si="24"/>
        <v>1</v>
      </c>
      <c r="F98" s="942"/>
      <c r="G98" s="53">
        <f t="shared" si="25"/>
        <v>1</v>
      </c>
      <c r="H98" s="942"/>
      <c r="I98" s="53">
        <f t="shared" si="26"/>
        <v>1</v>
      </c>
      <c r="J98" s="942"/>
      <c r="K98" s="53">
        <f t="shared" si="27"/>
        <v>1</v>
      </c>
      <c r="L98" s="942"/>
      <c r="M98" s="53">
        <f t="shared" si="28"/>
        <v>1</v>
      </c>
      <c r="N98" s="942"/>
      <c r="O98" s="53">
        <f t="shared" si="29"/>
        <v>1</v>
      </c>
      <c r="P98" s="942"/>
      <c r="Q98" s="53">
        <f t="shared" si="30"/>
        <v>1</v>
      </c>
      <c r="R98" s="476">
        <f t="shared" si="31"/>
        <v>0</v>
      </c>
      <c r="S98" s="781">
        <f t="shared" si="22"/>
        <v>0</v>
      </c>
    </row>
    <row r="99" spans="1:19">
      <c r="A99" s="944"/>
      <c r="B99" s="136"/>
      <c r="C99" s="53">
        <f t="shared" si="23"/>
        <v>1</v>
      </c>
      <c r="D99" s="942"/>
      <c r="E99" s="53">
        <f t="shared" si="24"/>
        <v>1</v>
      </c>
      <c r="F99" s="942"/>
      <c r="G99" s="53">
        <f t="shared" si="25"/>
        <v>1</v>
      </c>
      <c r="H99" s="942"/>
      <c r="I99" s="53">
        <f t="shared" si="26"/>
        <v>1</v>
      </c>
      <c r="J99" s="942"/>
      <c r="K99" s="53">
        <f t="shared" si="27"/>
        <v>1</v>
      </c>
      <c r="L99" s="942"/>
      <c r="M99" s="53">
        <f t="shared" si="28"/>
        <v>1</v>
      </c>
      <c r="N99" s="942"/>
      <c r="O99" s="53">
        <f t="shared" si="29"/>
        <v>1</v>
      </c>
      <c r="P99" s="942"/>
      <c r="Q99" s="53">
        <f t="shared" si="30"/>
        <v>1</v>
      </c>
      <c r="R99" s="476">
        <f t="shared" si="31"/>
        <v>0</v>
      </c>
      <c r="S99" s="781">
        <f t="shared" si="22"/>
        <v>0</v>
      </c>
    </row>
    <row r="100" spans="1:19">
      <c r="A100" s="944"/>
      <c r="B100" s="136"/>
      <c r="C100" s="53">
        <f t="shared" si="23"/>
        <v>1</v>
      </c>
      <c r="D100" s="942"/>
      <c r="E100" s="53">
        <f t="shared" si="24"/>
        <v>1</v>
      </c>
      <c r="F100" s="942"/>
      <c r="G100" s="53">
        <f t="shared" si="25"/>
        <v>1</v>
      </c>
      <c r="H100" s="942"/>
      <c r="I100" s="53">
        <f t="shared" si="26"/>
        <v>1</v>
      </c>
      <c r="J100" s="942"/>
      <c r="K100" s="53">
        <f t="shared" si="27"/>
        <v>1</v>
      </c>
      <c r="L100" s="942"/>
      <c r="M100" s="53">
        <f t="shared" si="28"/>
        <v>1</v>
      </c>
      <c r="N100" s="942"/>
      <c r="O100" s="53">
        <f t="shared" si="29"/>
        <v>1</v>
      </c>
      <c r="P100" s="942"/>
      <c r="Q100" s="53">
        <f t="shared" si="30"/>
        <v>1</v>
      </c>
      <c r="R100" s="476">
        <f t="shared" si="31"/>
        <v>0</v>
      </c>
      <c r="S100" s="781">
        <f t="shared" si="22"/>
        <v>0</v>
      </c>
    </row>
    <row r="101" spans="1:19">
      <c r="A101" s="944"/>
      <c r="B101" s="136"/>
      <c r="C101" s="53">
        <f t="shared" si="23"/>
        <v>1</v>
      </c>
      <c r="D101" s="942"/>
      <c r="E101" s="53">
        <f t="shared" si="24"/>
        <v>1</v>
      </c>
      <c r="F101" s="942"/>
      <c r="G101" s="53">
        <f t="shared" si="25"/>
        <v>1</v>
      </c>
      <c r="H101" s="942"/>
      <c r="I101" s="53">
        <f t="shared" si="26"/>
        <v>1</v>
      </c>
      <c r="J101" s="942"/>
      <c r="K101" s="53">
        <f t="shared" si="27"/>
        <v>1</v>
      </c>
      <c r="L101" s="942"/>
      <c r="M101" s="53">
        <f t="shared" si="28"/>
        <v>1</v>
      </c>
      <c r="N101" s="942"/>
      <c r="O101" s="53">
        <f t="shared" si="29"/>
        <v>1</v>
      </c>
      <c r="P101" s="942"/>
      <c r="Q101" s="53">
        <f t="shared" si="30"/>
        <v>1</v>
      </c>
      <c r="R101" s="476">
        <f t="shared" si="31"/>
        <v>0</v>
      </c>
      <c r="S101" s="781">
        <f t="shared" si="22"/>
        <v>0</v>
      </c>
    </row>
    <row r="102" spans="1:19">
      <c r="A102" s="944"/>
      <c r="B102" s="136"/>
      <c r="C102" s="53">
        <f t="shared" si="23"/>
        <v>1</v>
      </c>
      <c r="D102" s="942"/>
      <c r="E102" s="53">
        <f t="shared" si="24"/>
        <v>1</v>
      </c>
      <c r="F102" s="942"/>
      <c r="G102" s="53">
        <f t="shared" si="25"/>
        <v>1</v>
      </c>
      <c r="H102" s="942"/>
      <c r="I102" s="53">
        <f t="shared" si="26"/>
        <v>1</v>
      </c>
      <c r="J102" s="942"/>
      <c r="K102" s="53">
        <f t="shared" si="27"/>
        <v>1</v>
      </c>
      <c r="L102" s="942"/>
      <c r="M102" s="53">
        <f t="shared" si="28"/>
        <v>1</v>
      </c>
      <c r="N102" s="942"/>
      <c r="O102" s="53">
        <f t="shared" si="29"/>
        <v>1</v>
      </c>
      <c r="P102" s="942"/>
      <c r="Q102" s="53">
        <f t="shared" si="30"/>
        <v>1</v>
      </c>
      <c r="R102" s="476">
        <f t="shared" si="31"/>
        <v>0</v>
      </c>
      <c r="S102" s="781">
        <f t="shared" si="22"/>
        <v>0</v>
      </c>
    </row>
    <row r="103" spans="1:19">
      <c r="A103" s="944"/>
      <c r="B103" s="136"/>
      <c r="C103" s="53">
        <f t="shared" si="23"/>
        <v>1</v>
      </c>
      <c r="D103" s="942"/>
      <c r="E103" s="53">
        <f t="shared" si="24"/>
        <v>1</v>
      </c>
      <c r="F103" s="942"/>
      <c r="G103" s="53">
        <f t="shared" si="25"/>
        <v>1</v>
      </c>
      <c r="H103" s="942"/>
      <c r="I103" s="53">
        <f t="shared" si="26"/>
        <v>1</v>
      </c>
      <c r="J103" s="942"/>
      <c r="K103" s="53">
        <f t="shared" si="27"/>
        <v>1</v>
      </c>
      <c r="L103" s="942"/>
      <c r="M103" s="53">
        <f t="shared" si="28"/>
        <v>1</v>
      </c>
      <c r="N103" s="942"/>
      <c r="O103" s="53">
        <f t="shared" si="29"/>
        <v>1</v>
      </c>
      <c r="P103" s="942"/>
      <c r="Q103" s="53">
        <f t="shared" si="30"/>
        <v>1</v>
      </c>
      <c r="R103" s="476">
        <f t="shared" si="31"/>
        <v>0</v>
      </c>
      <c r="S103" s="781">
        <f t="shared" si="22"/>
        <v>0</v>
      </c>
    </row>
    <row r="104" spans="1:19">
      <c r="A104" s="944"/>
      <c r="B104" s="136"/>
      <c r="C104" s="53">
        <f t="shared" si="23"/>
        <v>1</v>
      </c>
      <c r="D104" s="942"/>
      <c r="E104" s="53">
        <f t="shared" si="24"/>
        <v>1</v>
      </c>
      <c r="F104" s="942"/>
      <c r="G104" s="53">
        <f t="shared" si="25"/>
        <v>1</v>
      </c>
      <c r="H104" s="942"/>
      <c r="I104" s="53">
        <f t="shared" si="26"/>
        <v>1</v>
      </c>
      <c r="J104" s="942"/>
      <c r="K104" s="53">
        <f t="shared" si="27"/>
        <v>1</v>
      </c>
      <c r="L104" s="942"/>
      <c r="M104" s="53">
        <f t="shared" si="28"/>
        <v>1</v>
      </c>
      <c r="N104" s="942"/>
      <c r="O104" s="53">
        <f t="shared" si="29"/>
        <v>1</v>
      </c>
      <c r="P104" s="942"/>
      <c r="Q104" s="53">
        <f t="shared" si="30"/>
        <v>1</v>
      </c>
      <c r="R104" s="476">
        <f t="shared" si="31"/>
        <v>0</v>
      </c>
      <c r="S104" s="781">
        <f t="shared" si="22"/>
        <v>0</v>
      </c>
    </row>
    <row r="105" spans="1:19">
      <c r="A105" s="944"/>
      <c r="B105" s="136"/>
      <c r="C105" s="53">
        <f t="shared" si="23"/>
        <v>1</v>
      </c>
      <c r="D105" s="942"/>
      <c r="E105" s="53">
        <f t="shared" si="24"/>
        <v>1</v>
      </c>
      <c r="F105" s="942"/>
      <c r="G105" s="53">
        <f t="shared" si="25"/>
        <v>1</v>
      </c>
      <c r="H105" s="942"/>
      <c r="I105" s="53">
        <f t="shared" si="26"/>
        <v>1</v>
      </c>
      <c r="J105" s="942"/>
      <c r="K105" s="53">
        <f t="shared" si="27"/>
        <v>1</v>
      </c>
      <c r="L105" s="942"/>
      <c r="M105" s="53">
        <f t="shared" si="28"/>
        <v>1</v>
      </c>
      <c r="N105" s="942"/>
      <c r="O105" s="53">
        <f t="shared" si="29"/>
        <v>1</v>
      </c>
      <c r="P105" s="942"/>
      <c r="Q105" s="53">
        <f t="shared" si="30"/>
        <v>1</v>
      </c>
      <c r="R105" s="476">
        <f t="shared" si="31"/>
        <v>0</v>
      </c>
      <c r="S105" s="781">
        <f t="shared" si="22"/>
        <v>0</v>
      </c>
    </row>
    <row r="106" spans="1:19">
      <c r="A106" s="944"/>
      <c r="B106" s="136"/>
      <c r="C106" s="53">
        <f t="shared" si="23"/>
        <v>1</v>
      </c>
      <c r="D106" s="942"/>
      <c r="E106" s="53">
        <f t="shared" si="24"/>
        <v>1</v>
      </c>
      <c r="F106" s="942"/>
      <c r="G106" s="53">
        <f t="shared" si="25"/>
        <v>1</v>
      </c>
      <c r="H106" s="942"/>
      <c r="I106" s="53">
        <f t="shared" si="26"/>
        <v>1</v>
      </c>
      <c r="J106" s="942"/>
      <c r="K106" s="53">
        <f t="shared" si="27"/>
        <v>1</v>
      </c>
      <c r="L106" s="942"/>
      <c r="M106" s="53">
        <f t="shared" si="28"/>
        <v>1</v>
      </c>
      <c r="N106" s="942"/>
      <c r="O106" s="53">
        <f t="shared" si="29"/>
        <v>1</v>
      </c>
      <c r="P106" s="942"/>
      <c r="Q106" s="53">
        <f t="shared" si="30"/>
        <v>1</v>
      </c>
      <c r="R106" s="476">
        <f t="shared" si="31"/>
        <v>0</v>
      </c>
      <c r="S106" s="781">
        <f t="shared" si="22"/>
        <v>0</v>
      </c>
    </row>
    <row r="107" spans="1:19">
      <c r="A107" s="944"/>
      <c r="B107" s="136"/>
      <c r="C107" s="53">
        <f t="shared" si="23"/>
        <v>1</v>
      </c>
      <c r="D107" s="942"/>
      <c r="E107" s="53">
        <f t="shared" si="24"/>
        <v>1</v>
      </c>
      <c r="F107" s="942"/>
      <c r="G107" s="53">
        <f t="shared" si="25"/>
        <v>1</v>
      </c>
      <c r="H107" s="942"/>
      <c r="I107" s="53">
        <f t="shared" si="26"/>
        <v>1</v>
      </c>
      <c r="J107" s="942"/>
      <c r="K107" s="53">
        <f t="shared" si="27"/>
        <v>1</v>
      </c>
      <c r="L107" s="942"/>
      <c r="M107" s="53">
        <f t="shared" si="28"/>
        <v>1</v>
      </c>
      <c r="N107" s="942"/>
      <c r="O107" s="53">
        <f t="shared" si="29"/>
        <v>1</v>
      </c>
      <c r="P107" s="942"/>
      <c r="Q107" s="53">
        <f t="shared" si="30"/>
        <v>1</v>
      </c>
      <c r="R107" s="476">
        <f t="shared" si="31"/>
        <v>0</v>
      </c>
      <c r="S107" s="781">
        <f t="shared" si="22"/>
        <v>0</v>
      </c>
    </row>
    <row r="108" spans="1:19">
      <c r="A108" s="944"/>
      <c r="B108" s="136"/>
      <c r="C108" s="53">
        <f t="shared" si="23"/>
        <v>1</v>
      </c>
      <c r="D108" s="942"/>
      <c r="E108" s="53">
        <f t="shared" si="24"/>
        <v>1</v>
      </c>
      <c r="F108" s="942"/>
      <c r="G108" s="53">
        <f t="shared" si="25"/>
        <v>1</v>
      </c>
      <c r="H108" s="942"/>
      <c r="I108" s="53">
        <f t="shared" si="26"/>
        <v>1</v>
      </c>
      <c r="J108" s="942"/>
      <c r="K108" s="53">
        <f t="shared" si="27"/>
        <v>1</v>
      </c>
      <c r="L108" s="942"/>
      <c r="M108" s="53">
        <f t="shared" si="28"/>
        <v>1</v>
      </c>
      <c r="N108" s="942"/>
      <c r="O108" s="53">
        <f t="shared" si="29"/>
        <v>1</v>
      </c>
      <c r="P108" s="942"/>
      <c r="Q108" s="53">
        <f t="shared" si="30"/>
        <v>1</v>
      </c>
      <c r="R108" s="476">
        <f t="shared" si="31"/>
        <v>0</v>
      </c>
      <c r="S108" s="781">
        <f t="shared" si="22"/>
        <v>0</v>
      </c>
    </row>
    <row r="109" spans="1:19">
      <c r="A109" s="944"/>
      <c r="B109" s="136"/>
      <c r="C109" s="53">
        <f t="shared" si="23"/>
        <v>1</v>
      </c>
      <c r="D109" s="942"/>
      <c r="E109" s="53">
        <f t="shared" si="24"/>
        <v>1</v>
      </c>
      <c r="F109" s="942"/>
      <c r="G109" s="53">
        <f t="shared" si="25"/>
        <v>1</v>
      </c>
      <c r="H109" s="942"/>
      <c r="I109" s="53">
        <f t="shared" si="26"/>
        <v>1</v>
      </c>
      <c r="J109" s="942"/>
      <c r="K109" s="53">
        <f t="shared" si="27"/>
        <v>1</v>
      </c>
      <c r="L109" s="942"/>
      <c r="M109" s="53">
        <f t="shared" si="28"/>
        <v>1</v>
      </c>
      <c r="N109" s="942"/>
      <c r="O109" s="53">
        <f t="shared" si="29"/>
        <v>1</v>
      </c>
      <c r="P109" s="942"/>
      <c r="Q109" s="53">
        <f t="shared" si="30"/>
        <v>1</v>
      </c>
      <c r="R109" s="476">
        <f t="shared" si="31"/>
        <v>0</v>
      </c>
      <c r="S109" s="781">
        <f t="shared" si="22"/>
        <v>0</v>
      </c>
    </row>
    <row r="110" spans="1:19">
      <c r="A110" s="944"/>
      <c r="B110" s="136"/>
      <c r="C110" s="53">
        <f t="shared" si="23"/>
        <v>1</v>
      </c>
      <c r="D110" s="942"/>
      <c r="E110" s="53">
        <f t="shared" si="24"/>
        <v>1</v>
      </c>
      <c r="F110" s="942"/>
      <c r="G110" s="53">
        <f t="shared" si="25"/>
        <v>1</v>
      </c>
      <c r="H110" s="942"/>
      <c r="I110" s="53">
        <f t="shared" si="26"/>
        <v>1</v>
      </c>
      <c r="J110" s="942"/>
      <c r="K110" s="53">
        <f t="shared" si="27"/>
        <v>1</v>
      </c>
      <c r="L110" s="942"/>
      <c r="M110" s="53">
        <f t="shared" si="28"/>
        <v>1</v>
      </c>
      <c r="N110" s="942"/>
      <c r="O110" s="53">
        <f t="shared" si="29"/>
        <v>1</v>
      </c>
      <c r="P110" s="942"/>
      <c r="Q110" s="53">
        <f t="shared" si="30"/>
        <v>1</v>
      </c>
      <c r="R110" s="476">
        <f t="shared" si="31"/>
        <v>0</v>
      </c>
      <c r="S110" s="781">
        <f t="shared" si="22"/>
        <v>0</v>
      </c>
    </row>
    <row r="111" spans="1:19">
      <c r="A111" s="944"/>
      <c r="B111" s="136"/>
      <c r="C111" s="53">
        <f t="shared" si="23"/>
        <v>1</v>
      </c>
      <c r="D111" s="942"/>
      <c r="E111" s="53">
        <f t="shared" si="24"/>
        <v>1</v>
      </c>
      <c r="F111" s="942"/>
      <c r="G111" s="53">
        <f t="shared" si="25"/>
        <v>1</v>
      </c>
      <c r="H111" s="942"/>
      <c r="I111" s="53">
        <f t="shared" si="26"/>
        <v>1</v>
      </c>
      <c r="J111" s="942"/>
      <c r="K111" s="53">
        <f t="shared" si="27"/>
        <v>1</v>
      </c>
      <c r="L111" s="942"/>
      <c r="M111" s="53">
        <f t="shared" si="28"/>
        <v>1</v>
      </c>
      <c r="N111" s="942"/>
      <c r="O111" s="53">
        <f t="shared" si="29"/>
        <v>1</v>
      </c>
      <c r="P111" s="942"/>
      <c r="Q111" s="53">
        <f t="shared" si="30"/>
        <v>1</v>
      </c>
      <c r="R111" s="476">
        <f t="shared" si="31"/>
        <v>0</v>
      </c>
      <c r="S111" s="781">
        <f t="shared" si="22"/>
        <v>0</v>
      </c>
    </row>
    <row r="112" spans="1:19">
      <c r="A112" s="944"/>
      <c r="B112" s="136"/>
      <c r="C112" s="53">
        <f t="shared" si="23"/>
        <v>1</v>
      </c>
      <c r="D112" s="942"/>
      <c r="E112" s="53">
        <f t="shared" si="24"/>
        <v>1</v>
      </c>
      <c r="F112" s="942"/>
      <c r="G112" s="53">
        <f t="shared" si="25"/>
        <v>1</v>
      </c>
      <c r="H112" s="942"/>
      <c r="I112" s="53">
        <f t="shared" si="26"/>
        <v>1</v>
      </c>
      <c r="J112" s="942"/>
      <c r="K112" s="53">
        <f t="shared" si="27"/>
        <v>1</v>
      </c>
      <c r="L112" s="942"/>
      <c r="M112" s="53">
        <f t="shared" si="28"/>
        <v>1</v>
      </c>
      <c r="N112" s="942"/>
      <c r="O112" s="53">
        <f t="shared" si="29"/>
        <v>1</v>
      </c>
      <c r="P112" s="942"/>
      <c r="Q112" s="53">
        <f t="shared" si="30"/>
        <v>1</v>
      </c>
      <c r="R112" s="476">
        <f t="shared" si="31"/>
        <v>0</v>
      </c>
      <c r="S112" s="781">
        <f t="shared" si="22"/>
        <v>0</v>
      </c>
    </row>
    <row r="113" spans="1:19">
      <c r="A113" s="944"/>
      <c r="B113" s="136"/>
      <c r="C113" s="53">
        <f t="shared" si="23"/>
        <v>1</v>
      </c>
      <c r="D113" s="942"/>
      <c r="E113" s="53">
        <f t="shared" si="24"/>
        <v>1</v>
      </c>
      <c r="F113" s="942"/>
      <c r="G113" s="53">
        <f t="shared" si="25"/>
        <v>1</v>
      </c>
      <c r="H113" s="942"/>
      <c r="I113" s="53">
        <f t="shared" si="26"/>
        <v>1</v>
      </c>
      <c r="J113" s="942"/>
      <c r="K113" s="53">
        <f t="shared" si="27"/>
        <v>1</v>
      </c>
      <c r="L113" s="942"/>
      <c r="M113" s="53">
        <f t="shared" si="28"/>
        <v>1</v>
      </c>
      <c r="N113" s="942"/>
      <c r="O113" s="53">
        <f t="shared" si="29"/>
        <v>1</v>
      </c>
      <c r="P113" s="942"/>
      <c r="Q113" s="53">
        <f t="shared" si="30"/>
        <v>1</v>
      </c>
      <c r="R113" s="476">
        <f t="shared" si="31"/>
        <v>0</v>
      </c>
      <c r="S113" s="781">
        <f t="shared" si="22"/>
        <v>0</v>
      </c>
    </row>
    <row r="114" spans="1:19">
      <c r="A114" s="944"/>
      <c r="B114" s="136"/>
      <c r="C114" s="53">
        <f t="shared" si="23"/>
        <v>1</v>
      </c>
      <c r="D114" s="942"/>
      <c r="E114" s="53">
        <f t="shared" si="24"/>
        <v>1</v>
      </c>
      <c r="F114" s="942"/>
      <c r="G114" s="53">
        <f t="shared" si="25"/>
        <v>1</v>
      </c>
      <c r="H114" s="942"/>
      <c r="I114" s="53">
        <f t="shared" si="26"/>
        <v>1</v>
      </c>
      <c r="J114" s="942"/>
      <c r="K114" s="53">
        <f t="shared" si="27"/>
        <v>1</v>
      </c>
      <c r="L114" s="942"/>
      <c r="M114" s="53">
        <f t="shared" si="28"/>
        <v>1</v>
      </c>
      <c r="N114" s="942"/>
      <c r="O114" s="53">
        <f t="shared" si="29"/>
        <v>1</v>
      </c>
      <c r="P114" s="942"/>
      <c r="Q114" s="53">
        <f t="shared" si="30"/>
        <v>1</v>
      </c>
      <c r="R114" s="476">
        <f t="shared" si="31"/>
        <v>0</v>
      </c>
      <c r="S114" s="781">
        <f t="shared" si="22"/>
        <v>0</v>
      </c>
    </row>
    <row r="115" spans="1:19">
      <c r="A115" s="944"/>
      <c r="B115" s="136"/>
      <c r="C115" s="53">
        <f t="shared" si="23"/>
        <v>1</v>
      </c>
      <c r="D115" s="942"/>
      <c r="E115" s="53">
        <f t="shared" si="24"/>
        <v>1</v>
      </c>
      <c r="F115" s="942"/>
      <c r="G115" s="53">
        <f t="shared" si="25"/>
        <v>1</v>
      </c>
      <c r="H115" s="942"/>
      <c r="I115" s="53">
        <f t="shared" si="26"/>
        <v>1</v>
      </c>
      <c r="J115" s="942"/>
      <c r="K115" s="53">
        <f t="shared" si="27"/>
        <v>1</v>
      </c>
      <c r="L115" s="942"/>
      <c r="M115" s="53">
        <f t="shared" si="28"/>
        <v>1</v>
      </c>
      <c r="N115" s="942"/>
      <c r="O115" s="53">
        <f t="shared" si="29"/>
        <v>1</v>
      </c>
      <c r="P115" s="942"/>
      <c r="Q115" s="53">
        <f t="shared" si="30"/>
        <v>1</v>
      </c>
      <c r="R115" s="476">
        <f t="shared" si="31"/>
        <v>0</v>
      </c>
      <c r="S115" s="781">
        <f t="shared" si="22"/>
        <v>0</v>
      </c>
    </row>
    <row r="116" spans="1:19">
      <c r="A116" s="944"/>
      <c r="B116" s="136"/>
      <c r="C116" s="53">
        <f t="shared" si="23"/>
        <v>1</v>
      </c>
      <c r="D116" s="942"/>
      <c r="E116" s="53">
        <f t="shared" si="24"/>
        <v>1</v>
      </c>
      <c r="F116" s="942"/>
      <c r="G116" s="53">
        <f t="shared" si="25"/>
        <v>1</v>
      </c>
      <c r="H116" s="942"/>
      <c r="I116" s="53">
        <f t="shared" si="26"/>
        <v>1</v>
      </c>
      <c r="J116" s="942"/>
      <c r="K116" s="53">
        <f t="shared" si="27"/>
        <v>1</v>
      </c>
      <c r="L116" s="942"/>
      <c r="M116" s="53">
        <f t="shared" si="28"/>
        <v>1</v>
      </c>
      <c r="N116" s="942"/>
      <c r="O116" s="53">
        <f t="shared" si="29"/>
        <v>1</v>
      </c>
      <c r="P116" s="942"/>
      <c r="Q116" s="53">
        <f t="shared" si="30"/>
        <v>1</v>
      </c>
      <c r="R116" s="476">
        <f t="shared" si="31"/>
        <v>0</v>
      </c>
      <c r="S116" s="781">
        <f t="shared" si="22"/>
        <v>0</v>
      </c>
    </row>
    <row r="117" spans="1:19">
      <c r="A117" s="944"/>
      <c r="B117" s="136"/>
      <c r="C117" s="53">
        <f t="shared" si="23"/>
        <v>1</v>
      </c>
      <c r="D117" s="942"/>
      <c r="E117" s="53">
        <f t="shared" si="24"/>
        <v>1</v>
      </c>
      <c r="F117" s="942"/>
      <c r="G117" s="53">
        <f t="shared" si="25"/>
        <v>1</v>
      </c>
      <c r="H117" s="942"/>
      <c r="I117" s="53">
        <f t="shared" si="26"/>
        <v>1</v>
      </c>
      <c r="J117" s="942"/>
      <c r="K117" s="53">
        <f t="shared" si="27"/>
        <v>1</v>
      </c>
      <c r="L117" s="942"/>
      <c r="M117" s="53">
        <f t="shared" si="28"/>
        <v>1</v>
      </c>
      <c r="N117" s="942"/>
      <c r="O117" s="53">
        <f t="shared" si="29"/>
        <v>1</v>
      </c>
      <c r="P117" s="942"/>
      <c r="Q117" s="53">
        <f t="shared" si="30"/>
        <v>1</v>
      </c>
      <c r="R117" s="476">
        <f t="shared" si="31"/>
        <v>0</v>
      </c>
      <c r="S117" s="781">
        <f t="shared" si="22"/>
        <v>0</v>
      </c>
    </row>
    <row r="118" spans="1:19">
      <c r="A118" s="944"/>
      <c r="B118" s="136"/>
      <c r="C118" s="53">
        <f t="shared" si="23"/>
        <v>1</v>
      </c>
      <c r="D118" s="942"/>
      <c r="E118" s="53">
        <f t="shared" si="24"/>
        <v>1</v>
      </c>
      <c r="F118" s="942"/>
      <c r="G118" s="53">
        <f t="shared" si="25"/>
        <v>1</v>
      </c>
      <c r="H118" s="942"/>
      <c r="I118" s="53">
        <f t="shared" si="26"/>
        <v>1</v>
      </c>
      <c r="J118" s="942"/>
      <c r="K118" s="53">
        <f t="shared" si="27"/>
        <v>1</v>
      </c>
      <c r="L118" s="942"/>
      <c r="M118" s="53">
        <f t="shared" si="28"/>
        <v>1</v>
      </c>
      <c r="N118" s="942"/>
      <c r="O118" s="53">
        <f t="shared" si="29"/>
        <v>1</v>
      </c>
      <c r="P118" s="942"/>
      <c r="Q118" s="53">
        <f t="shared" si="30"/>
        <v>1</v>
      </c>
      <c r="R118" s="476">
        <f t="shared" si="31"/>
        <v>0</v>
      </c>
      <c r="S118" s="781">
        <f t="shared" si="22"/>
        <v>0</v>
      </c>
    </row>
    <row r="119" spans="1:19">
      <c r="A119" s="944"/>
      <c r="B119" s="136"/>
      <c r="C119" s="53">
        <f t="shared" si="23"/>
        <v>1</v>
      </c>
      <c r="D119" s="942"/>
      <c r="E119" s="53">
        <f t="shared" si="24"/>
        <v>1</v>
      </c>
      <c r="F119" s="942"/>
      <c r="G119" s="53">
        <f t="shared" si="25"/>
        <v>1</v>
      </c>
      <c r="H119" s="942"/>
      <c r="I119" s="53">
        <f t="shared" si="26"/>
        <v>1</v>
      </c>
      <c r="J119" s="942"/>
      <c r="K119" s="53">
        <f t="shared" si="27"/>
        <v>1</v>
      </c>
      <c r="L119" s="942"/>
      <c r="M119" s="53">
        <f t="shared" si="28"/>
        <v>1</v>
      </c>
      <c r="N119" s="942"/>
      <c r="O119" s="53">
        <f t="shared" si="29"/>
        <v>1</v>
      </c>
      <c r="P119" s="942"/>
      <c r="Q119" s="53">
        <f t="shared" si="30"/>
        <v>1</v>
      </c>
      <c r="R119" s="476">
        <f t="shared" si="31"/>
        <v>0</v>
      </c>
      <c r="S119" s="781">
        <f t="shared" si="22"/>
        <v>0</v>
      </c>
    </row>
    <row r="120" spans="1:19">
      <c r="A120" s="944"/>
      <c r="B120" s="136"/>
      <c r="C120" s="53">
        <f t="shared" si="23"/>
        <v>1</v>
      </c>
      <c r="D120" s="942"/>
      <c r="E120" s="53">
        <f t="shared" si="24"/>
        <v>1</v>
      </c>
      <c r="F120" s="942"/>
      <c r="G120" s="53">
        <f t="shared" si="25"/>
        <v>1</v>
      </c>
      <c r="H120" s="942"/>
      <c r="I120" s="53">
        <f t="shared" si="26"/>
        <v>1</v>
      </c>
      <c r="J120" s="942"/>
      <c r="K120" s="53">
        <f t="shared" si="27"/>
        <v>1</v>
      </c>
      <c r="L120" s="942"/>
      <c r="M120" s="53">
        <f t="shared" si="28"/>
        <v>1</v>
      </c>
      <c r="N120" s="942"/>
      <c r="O120" s="53">
        <f t="shared" si="29"/>
        <v>1</v>
      </c>
      <c r="P120" s="942"/>
      <c r="Q120" s="53">
        <f t="shared" si="30"/>
        <v>1</v>
      </c>
      <c r="R120" s="476">
        <f t="shared" si="31"/>
        <v>0</v>
      </c>
      <c r="S120" s="781">
        <f t="shared" si="22"/>
        <v>0</v>
      </c>
    </row>
    <row r="121" spans="1:19">
      <c r="A121" s="944"/>
      <c r="B121" s="136"/>
      <c r="C121" s="53">
        <f t="shared" si="23"/>
        <v>1</v>
      </c>
      <c r="D121" s="942"/>
      <c r="E121" s="53">
        <f t="shared" si="24"/>
        <v>1</v>
      </c>
      <c r="F121" s="942"/>
      <c r="G121" s="53">
        <f t="shared" si="25"/>
        <v>1</v>
      </c>
      <c r="H121" s="942"/>
      <c r="I121" s="53">
        <f t="shared" si="26"/>
        <v>1</v>
      </c>
      <c r="J121" s="942"/>
      <c r="K121" s="53">
        <f t="shared" si="27"/>
        <v>1</v>
      </c>
      <c r="L121" s="942"/>
      <c r="M121" s="53">
        <f t="shared" si="28"/>
        <v>1</v>
      </c>
      <c r="N121" s="942"/>
      <c r="O121" s="53">
        <f t="shared" si="29"/>
        <v>1</v>
      </c>
      <c r="P121" s="942"/>
      <c r="Q121" s="53">
        <f t="shared" si="30"/>
        <v>1</v>
      </c>
      <c r="R121" s="476">
        <f t="shared" si="31"/>
        <v>0</v>
      </c>
      <c r="S121" s="781">
        <f t="shared" si="22"/>
        <v>0</v>
      </c>
    </row>
    <row r="122" spans="1:19">
      <c r="A122" s="944"/>
      <c r="B122" s="136"/>
      <c r="C122" s="53">
        <f t="shared" si="23"/>
        <v>1</v>
      </c>
      <c r="D122" s="942"/>
      <c r="E122" s="53">
        <f t="shared" si="24"/>
        <v>1</v>
      </c>
      <c r="F122" s="942"/>
      <c r="G122" s="53">
        <f t="shared" si="25"/>
        <v>1</v>
      </c>
      <c r="H122" s="942"/>
      <c r="I122" s="53">
        <f t="shared" si="26"/>
        <v>1</v>
      </c>
      <c r="J122" s="942"/>
      <c r="K122" s="53">
        <f t="shared" si="27"/>
        <v>1</v>
      </c>
      <c r="L122" s="942"/>
      <c r="M122" s="53">
        <f t="shared" si="28"/>
        <v>1</v>
      </c>
      <c r="N122" s="942"/>
      <c r="O122" s="53">
        <f t="shared" si="29"/>
        <v>1</v>
      </c>
      <c r="P122" s="942"/>
      <c r="Q122" s="53">
        <f t="shared" si="30"/>
        <v>1</v>
      </c>
      <c r="R122" s="476">
        <f t="shared" si="31"/>
        <v>0</v>
      </c>
      <c r="S122" s="781">
        <f t="shared" si="22"/>
        <v>0</v>
      </c>
    </row>
    <row r="123" spans="1:19">
      <c r="A123" s="944"/>
      <c r="B123" s="136"/>
      <c r="C123" s="53">
        <f t="shared" si="23"/>
        <v>1</v>
      </c>
      <c r="D123" s="942"/>
      <c r="E123" s="53">
        <f t="shared" si="24"/>
        <v>1</v>
      </c>
      <c r="F123" s="942"/>
      <c r="G123" s="53">
        <f t="shared" si="25"/>
        <v>1</v>
      </c>
      <c r="H123" s="942"/>
      <c r="I123" s="53">
        <f t="shared" si="26"/>
        <v>1</v>
      </c>
      <c r="J123" s="942"/>
      <c r="K123" s="53">
        <f t="shared" si="27"/>
        <v>1</v>
      </c>
      <c r="L123" s="942"/>
      <c r="M123" s="53">
        <f t="shared" si="28"/>
        <v>1</v>
      </c>
      <c r="N123" s="942"/>
      <c r="O123" s="53">
        <f t="shared" si="29"/>
        <v>1</v>
      </c>
      <c r="P123" s="942"/>
      <c r="Q123" s="53">
        <f t="shared" si="30"/>
        <v>1</v>
      </c>
      <c r="R123" s="476">
        <f t="shared" si="31"/>
        <v>0</v>
      </c>
      <c r="S123" s="781">
        <f t="shared" ref="S123:S186" si="32">ROUND(R123*B123/10000,0)</f>
        <v>0</v>
      </c>
    </row>
    <row r="124" spans="1:19">
      <c r="A124" s="944"/>
      <c r="B124" s="136"/>
      <c r="C124" s="53">
        <f t="shared" si="23"/>
        <v>1</v>
      </c>
      <c r="D124" s="942"/>
      <c r="E124" s="53">
        <f t="shared" si="24"/>
        <v>1</v>
      </c>
      <c r="F124" s="942"/>
      <c r="G124" s="53">
        <f t="shared" si="25"/>
        <v>1</v>
      </c>
      <c r="H124" s="942"/>
      <c r="I124" s="53">
        <f t="shared" si="26"/>
        <v>1</v>
      </c>
      <c r="J124" s="942"/>
      <c r="K124" s="53">
        <f t="shared" si="27"/>
        <v>1</v>
      </c>
      <c r="L124" s="942"/>
      <c r="M124" s="53">
        <f t="shared" si="28"/>
        <v>1</v>
      </c>
      <c r="N124" s="942"/>
      <c r="O124" s="53">
        <f t="shared" si="29"/>
        <v>1</v>
      </c>
      <c r="P124" s="942"/>
      <c r="Q124" s="53">
        <f t="shared" si="30"/>
        <v>1</v>
      </c>
      <c r="R124" s="476">
        <f t="shared" si="31"/>
        <v>0</v>
      </c>
      <c r="S124" s="781">
        <f t="shared" si="32"/>
        <v>0</v>
      </c>
    </row>
    <row r="125" spans="1:19">
      <c r="A125" s="944"/>
      <c r="B125" s="136"/>
      <c r="C125" s="53">
        <f t="shared" si="23"/>
        <v>1</v>
      </c>
      <c r="D125" s="942"/>
      <c r="E125" s="53">
        <f t="shared" si="24"/>
        <v>1</v>
      </c>
      <c r="F125" s="942"/>
      <c r="G125" s="53">
        <f t="shared" si="25"/>
        <v>1</v>
      </c>
      <c r="H125" s="942"/>
      <c r="I125" s="53">
        <f t="shared" si="26"/>
        <v>1</v>
      </c>
      <c r="J125" s="942"/>
      <c r="K125" s="53">
        <f t="shared" si="27"/>
        <v>1</v>
      </c>
      <c r="L125" s="942"/>
      <c r="M125" s="53">
        <f t="shared" si="28"/>
        <v>1</v>
      </c>
      <c r="N125" s="942"/>
      <c r="O125" s="53">
        <f t="shared" si="29"/>
        <v>1</v>
      </c>
      <c r="P125" s="942"/>
      <c r="Q125" s="53">
        <f t="shared" si="30"/>
        <v>1</v>
      </c>
      <c r="R125" s="476">
        <f t="shared" si="31"/>
        <v>0</v>
      </c>
      <c r="S125" s="781">
        <f t="shared" si="32"/>
        <v>0</v>
      </c>
    </row>
    <row r="126" spans="1:19">
      <c r="A126" s="944"/>
      <c r="B126" s="136"/>
      <c r="C126" s="53">
        <f t="shared" si="23"/>
        <v>1</v>
      </c>
      <c r="D126" s="942"/>
      <c r="E126" s="53">
        <f t="shared" si="24"/>
        <v>1</v>
      </c>
      <c r="F126" s="942"/>
      <c r="G126" s="53">
        <f t="shared" si="25"/>
        <v>1</v>
      </c>
      <c r="H126" s="942"/>
      <c r="I126" s="53">
        <f t="shared" si="26"/>
        <v>1</v>
      </c>
      <c r="J126" s="942"/>
      <c r="K126" s="53">
        <f t="shared" si="27"/>
        <v>1</v>
      </c>
      <c r="L126" s="942"/>
      <c r="M126" s="53">
        <f t="shared" si="28"/>
        <v>1</v>
      </c>
      <c r="N126" s="942"/>
      <c r="O126" s="53">
        <f t="shared" si="29"/>
        <v>1</v>
      </c>
      <c r="P126" s="942"/>
      <c r="Q126" s="53">
        <f t="shared" si="30"/>
        <v>1</v>
      </c>
      <c r="R126" s="476">
        <f t="shared" si="31"/>
        <v>0</v>
      </c>
      <c r="S126" s="781">
        <f t="shared" si="32"/>
        <v>0</v>
      </c>
    </row>
    <row r="127" spans="1:19">
      <c r="A127" s="944"/>
      <c r="B127" s="136"/>
      <c r="C127" s="53">
        <f t="shared" si="23"/>
        <v>1</v>
      </c>
      <c r="D127" s="942"/>
      <c r="E127" s="53">
        <f t="shared" si="24"/>
        <v>1</v>
      </c>
      <c r="F127" s="942"/>
      <c r="G127" s="53">
        <f t="shared" si="25"/>
        <v>1</v>
      </c>
      <c r="H127" s="942"/>
      <c r="I127" s="53">
        <f t="shared" si="26"/>
        <v>1</v>
      </c>
      <c r="J127" s="942"/>
      <c r="K127" s="53">
        <f t="shared" si="27"/>
        <v>1</v>
      </c>
      <c r="L127" s="942"/>
      <c r="M127" s="53">
        <f t="shared" si="28"/>
        <v>1</v>
      </c>
      <c r="N127" s="942"/>
      <c r="O127" s="53">
        <f t="shared" si="29"/>
        <v>1</v>
      </c>
      <c r="P127" s="942"/>
      <c r="Q127" s="53">
        <f t="shared" si="30"/>
        <v>1</v>
      </c>
      <c r="R127" s="476">
        <f t="shared" si="31"/>
        <v>0</v>
      </c>
      <c r="S127" s="781">
        <f t="shared" si="32"/>
        <v>0</v>
      </c>
    </row>
    <row r="128" spans="1:19">
      <c r="A128" s="944"/>
      <c r="B128" s="136"/>
      <c r="C128" s="53">
        <f t="shared" si="23"/>
        <v>1</v>
      </c>
      <c r="D128" s="942"/>
      <c r="E128" s="53">
        <f t="shared" si="24"/>
        <v>1</v>
      </c>
      <c r="F128" s="942"/>
      <c r="G128" s="53">
        <f t="shared" si="25"/>
        <v>1</v>
      </c>
      <c r="H128" s="942"/>
      <c r="I128" s="53">
        <f t="shared" si="26"/>
        <v>1</v>
      </c>
      <c r="J128" s="942"/>
      <c r="K128" s="53">
        <f t="shared" si="27"/>
        <v>1</v>
      </c>
      <c r="L128" s="942"/>
      <c r="M128" s="53">
        <f t="shared" si="28"/>
        <v>1</v>
      </c>
      <c r="N128" s="942"/>
      <c r="O128" s="53">
        <f t="shared" si="29"/>
        <v>1</v>
      </c>
      <c r="P128" s="942"/>
      <c r="Q128" s="53">
        <f t="shared" si="30"/>
        <v>1</v>
      </c>
      <c r="R128" s="476">
        <f t="shared" si="31"/>
        <v>0</v>
      </c>
      <c r="S128" s="781">
        <f t="shared" si="32"/>
        <v>0</v>
      </c>
    </row>
    <row r="129" spans="1:19">
      <c r="A129" s="944"/>
      <c r="B129" s="136"/>
      <c r="C129" s="53">
        <f t="shared" si="23"/>
        <v>1</v>
      </c>
      <c r="D129" s="942"/>
      <c r="E129" s="53">
        <f t="shared" si="24"/>
        <v>1</v>
      </c>
      <c r="F129" s="942"/>
      <c r="G129" s="53">
        <f t="shared" si="25"/>
        <v>1</v>
      </c>
      <c r="H129" s="942"/>
      <c r="I129" s="53">
        <f t="shared" si="26"/>
        <v>1</v>
      </c>
      <c r="J129" s="942"/>
      <c r="K129" s="53">
        <f t="shared" si="27"/>
        <v>1</v>
      </c>
      <c r="L129" s="942"/>
      <c r="M129" s="53">
        <f t="shared" si="28"/>
        <v>1</v>
      </c>
      <c r="N129" s="942"/>
      <c r="O129" s="53">
        <f t="shared" si="29"/>
        <v>1</v>
      </c>
      <c r="P129" s="942"/>
      <c r="Q129" s="53">
        <f t="shared" si="30"/>
        <v>1</v>
      </c>
      <c r="R129" s="476">
        <f t="shared" si="31"/>
        <v>0</v>
      </c>
      <c r="S129" s="781">
        <f t="shared" si="32"/>
        <v>0</v>
      </c>
    </row>
    <row r="130" spans="1:19">
      <c r="A130" s="944"/>
      <c r="B130" s="136"/>
      <c r="C130" s="53">
        <f t="shared" si="23"/>
        <v>1</v>
      </c>
      <c r="D130" s="942"/>
      <c r="E130" s="53">
        <f t="shared" si="24"/>
        <v>1</v>
      </c>
      <c r="F130" s="942"/>
      <c r="G130" s="53">
        <f t="shared" si="25"/>
        <v>1</v>
      </c>
      <c r="H130" s="942"/>
      <c r="I130" s="53">
        <f t="shared" si="26"/>
        <v>1</v>
      </c>
      <c r="J130" s="942"/>
      <c r="K130" s="53">
        <f t="shared" si="27"/>
        <v>1</v>
      </c>
      <c r="L130" s="942"/>
      <c r="M130" s="53">
        <f t="shared" si="28"/>
        <v>1</v>
      </c>
      <c r="N130" s="942"/>
      <c r="O130" s="53">
        <f t="shared" si="29"/>
        <v>1</v>
      </c>
      <c r="P130" s="942"/>
      <c r="Q130" s="53">
        <f t="shared" si="30"/>
        <v>1</v>
      </c>
      <c r="R130" s="476">
        <f t="shared" si="31"/>
        <v>0</v>
      </c>
      <c r="S130" s="781">
        <f t="shared" si="32"/>
        <v>0</v>
      </c>
    </row>
    <row r="131" spans="1:19">
      <c r="A131" s="944"/>
      <c r="B131" s="136"/>
      <c r="C131" s="53">
        <f t="shared" si="23"/>
        <v>1</v>
      </c>
      <c r="D131" s="942"/>
      <c r="E131" s="53">
        <f t="shared" si="24"/>
        <v>1</v>
      </c>
      <c r="F131" s="942"/>
      <c r="G131" s="53">
        <f t="shared" si="25"/>
        <v>1</v>
      </c>
      <c r="H131" s="942"/>
      <c r="I131" s="53">
        <f t="shared" si="26"/>
        <v>1</v>
      </c>
      <c r="J131" s="942"/>
      <c r="K131" s="53">
        <f t="shared" si="27"/>
        <v>1</v>
      </c>
      <c r="L131" s="942"/>
      <c r="M131" s="53">
        <f t="shared" si="28"/>
        <v>1</v>
      </c>
      <c r="N131" s="942"/>
      <c r="O131" s="53">
        <f t="shared" si="29"/>
        <v>1</v>
      </c>
      <c r="P131" s="942"/>
      <c r="Q131" s="53">
        <f t="shared" si="30"/>
        <v>1</v>
      </c>
      <c r="R131" s="476">
        <f t="shared" si="31"/>
        <v>0</v>
      </c>
      <c r="S131" s="781">
        <f t="shared" si="32"/>
        <v>0</v>
      </c>
    </row>
    <row r="132" spans="1:19">
      <c r="A132" s="944"/>
      <c r="B132" s="136"/>
      <c r="C132" s="53">
        <f t="shared" si="23"/>
        <v>1</v>
      </c>
      <c r="D132" s="942"/>
      <c r="E132" s="53">
        <f t="shared" si="24"/>
        <v>1</v>
      </c>
      <c r="F132" s="942"/>
      <c r="G132" s="53">
        <f t="shared" si="25"/>
        <v>1</v>
      </c>
      <c r="H132" s="942"/>
      <c r="I132" s="53">
        <f t="shared" si="26"/>
        <v>1</v>
      </c>
      <c r="J132" s="942"/>
      <c r="K132" s="53">
        <f t="shared" si="27"/>
        <v>1</v>
      </c>
      <c r="L132" s="942"/>
      <c r="M132" s="53">
        <f t="shared" si="28"/>
        <v>1</v>
      </c>
      <c r="N132" s="942"/>
      <c r="O132" s="53">
        <f t="shared" si="29"/>
        <v>1</v>
      </c>
      <c r="P132" s="942"/>
      <c r="Q132" s="53">
        <f t="shared" si="30"/>
        <v>1</v>
      </c>
      <c r="R132" s="476">
        <f t="shared" si="31"/>
        <v>0</v>
      </c>
      <c r="S132" s="781">
        <f t="shared" si="32"/>
        <v>0</v>
      </c>
    </row>
    <row r="133" spans="1:19">
      <c r="A133" s="944"/>
      <c r="B133" s="136"/>
      <c r="C133" s="53">
        <f t="shared" si="23"/>
        <v>1</v>
      </c>
      <c r="D133" s="942"/>
      <c r="E133" s="53">
        <f t="shared" si="24"/>
        <v>1</v>
      </c>
      <c r="F133" s="942"/>
      <c r="G133" s="53">
        <f t="shared" si="25"/>
        <v>1</v>
      </c>
      <c r="H133" s="942"/>
      <c r="I133" s="53">
        <f t="shared" si="26"/>
        <v>1</v>
      </c>
      <c r="J133" s="942"/>
      <c r="K133" s="53">
        <f t="shared" si="27"/>
        <v>1</v>
      </c>
      <c r="L133" s="942"/>
      <c r="M133" s="53">
        <f t="shared" si="28"/>
        <v>1</v>
      </c>
      <c r="N133" s="942"/>
      <c r="O133" s="53">
        <f t="shared" si="29"/>
        <v>1</v>
      </c>
      <c r="P133" s="942"/>
      <c r="Q133" s="53">
        <f t="shared" si="30"/>
        <v>1</v>
      </c>
      <c r="R133" s="476">
        <f t="shared" si="31"/>
        <v>0</v>
      </c>
      <c r="S133" s="781">
        <f t="shared" si="32"/>
        <v>0</v>
      </c>
    </row>
    <row r="134" spans="1:19">
      <c r="A134" s="944"/>
      <c r="B134" s="136"/>
      <c r="C134" s="53">
        <f t="shared" si="23"/>
        <v>1</v>
      </c>
      <c r="D134" s="942"/>
      <c r="E134" s="53">
        <f t="shared" si="24"/>
        <v>1</v>
      </c>
      <c r="F134" s="942"/>
      <c r="G134" s="53">
        <f t="shared" si="25"/>
        <v>1</v>
      </c>
      <c r="H134" s="942"/>
      <c r="I134" s="53">
        <f t="shared" si="26"/>
        <v>1</v>
      </c>
      <c r="J134" s="942"/>
      <c r="K134" s="53">
        <f t="shared" si="27"/>
        <v>1</v>
      </c>
      <c r="L134" s="942"/>
      <c r="M134" s="53">
        <f t="shared" si="28"/>
        <v>1</v>
      </c>
      <c r="N134" s="942"/>
      <c r="O134" s="53">
        <f t="shared" si="29"/>
        <v>1</v>
      </c>
      <c r="P134" s="942"/>
      <c r="Q134" s="53">
        <f t="shared" si="30"/>
        <v>1</v>
      </c>
      <c r="R134" s="476">
        <f t="shared" si="31"/>
        <v>0</v>
      </c>
      <c r="S134" s="781">
        <f t="shared" si="32"/>
        <v>0</v>
      </c>
    </row>
    <row r="135" spans="1:19">
      <c r="A135" s="944"/>
      <c r="B135" s="136"/>
      <c r="C135" s="53">
        <f t="shared" si="23"/>
        <v>1</v>
      </c>
      <c r="D135" s="942"/>
      <c r="E135" s="53">
        <f t="shared" si="24"/>
        <v>1</v>
      </c>
      <c r="F135" s="942"/>
      <c r="G135" s="53">
        <f t="shared" si="25"/>
        <v>1</v>
      </c>
      <c r="H135" s="942"/>
      <c r="I135" s="53">
        <f t="shared" si="26"/>
        <v>1</v>
      </c>
      <c r="J135" s="942"/>
      <c r="K135" s="53">
        <f t="shared" si="27"/>
        <v>1</v>
      </c>
      <c r="L135" s="942"/>
      <c r="M135" s="53">
        <f t="shared" si="28"/>
        <v>1</v>
      </c>
      <c r="N135" s="942"/>
      <c r="O135" s="53">
        <f t="shared" si="29"/>
        <v>1</v>
      </c>
      <c r="P135" s="942"/>
      <c r="Q135" s="53">
        <f t="shared" si="30"/>
        <v>1</v>
      </c>
      <c r="R135" s="476">
        <f t="shared" si="31"/>
        <v>0</v>
      </c>
      <c r="S135" s="781">
        <f t="shared" si="32"/>
        <v>0</v>
      </c>
    </row>
    <row r="136" spans="1:19">
      <c r="A136" s="944"/>
      <c r="B136" s="136"/>
      <c r="C136" s="53">
        <f t="shared" si="23"/>
        <v>1</v>
      </c>
      <c r="D136" s="942"/>
      <c r="E136" s="53">
        <f t="shared" si="24"/>
        <v>1</v>
      </c>
      <c r="F136" s="942"/>
      <c r="G136" s="53">
        <f t="shared" si="25"/>
        <v>1</v>
      </c>
      <c r="H136" s="942"/>
      <c r="I136" s="53">
        <f t="shared" si="26"/>
        <v>1</v>
      </c>
      <c r="J136" s="942"/>
      <c r="K136" s="53">
        <f t="shared" si="27"/>
        <v>1</v>
      </c>
      <c r="L136" s="942"/>
      <c r="M136" s="53">
        <f t="shared" si="28"/>
        <v>1</v>
      </c>
      <c r="N136" s="942"/>
      <c r="O136" s="53">
        <f t="shared" si="29"/>
        <v>1</v>
      </c>
      <c r="P136" s="942"/>
      <c r="Q136" s="53">
        <f t="shared" si="30"/>
        <v>1</v>
      </c>
      <c r="R136" s="476">
        <f t="shared" si="31"/>
        <v>0</v>
      </c>
      <c r="S136" s="781">
        <f t="shared" si="32"/>
        <v>0</v>
      </c>
    </row>
    <row r="137" spans="1:19">
      <c r="A137" s="944"/>
      <c r="B137" s="136"/>
      <c r="C137" s="53">
        <f t="shared" si="23"/>
        <v>1</v>
      </c>
      <c r="D137" s="942"/>
      <c r="E137" s="53">
        <f t="shared" si="24"/>
        <v>1</v>
      </c>
      <c r="F137" s="942"/>
      <c r="G137" s="53">
        <f t="shared" si="25"/>
        <v>1</v>
      </c>
      <c r="H137" s="942"/>
      <c r="I137" s="53">
        <f t="shared" si="26"/>
        <v>1</v>
      </c>
      <c r="J137" s="942"/>
      <c r="K137" s="53">
        <f t="shared" si="27"/>
        <v>1</v>
      </c>
      <c r="L137" s="942"/>
      <c r="M137" s="53">
        <f t="shared" si="28"/>
        <v>1</v>
      </c>
      <c r="N137" s="942"/>
      <c r="O137" s="53">
        <f t="shared" si="29"/>
        <v>1</v>
      </c>
      <c r="P137" s="942"/>
      <c r="Q137" s="53">
        <f t="shared" si="30"/>
        <v>1</v>
      </c>
      <c r="R137" s="476">
        <f t="shared" si="31"/>
        <v>0</v>
      </c>
      <c r="S137" s="781">
        <f t="shared" si="32"/>
        <v>0</v>
      </c>
    </row>
    <row r="138" spans="1:19">
      <c r="A138" s="944"/>
      <c r="B138" s="136"/>
      <c r="C138" s="53">
        <f t="shared" si="23"/>
        <v>1</v>
      </c>
      <c r="D138" s="942"/>
      <c r="E138" s="53">
        <f t="shared" si="24"/>
        <v>1</v>
      </c>
      <c r="F138" s="942"/>
      <c r="G138" s="53">
        <f t="shared" si="25"/>
        <v>1</v>
      </c>
      <c r="H138" s="942"/>
      <c r="I138" s="53">
        <f t="shared" si="26"/>
        <v>1</v>
      </c>
      <c r="J138" s="942"/>
      <c r="K138" s="53">
        <f t="shared" si="27"/>
        <v>1</v>
      </c>
      <c r="L138" s="942"/>
      <c r="M138" s="53">
        <f t="shared" si="28"/>
        <v>1</v>
      </c>
      <c r="N138" s="942"/>
      <c r="O138" s="53">
        <f t="shared" si="29"/>
        <v>1</v>
      </c>
      <c r="P138" s="942"/>
      <c r="Q138" s="53">
        <f t="shared" si="30"/>
        <v>1</v>
      </c>
      <c r="R138" s="476">
        <f t="shared" si="31"/>
        <v>0</v>
      </c>
      <c r="S138" s="781">
        <f t="shared" si="32"/>
        <v>0</v>
      </c>
    </row>
    <row r="139" spans="1:19">
      <c r="A139" s="944"/>
      <c r="B139" s="136"/>
      <c r="C139" s="53">
        <f t="shared" si="23"/>
        <v>1</v>
      </c>
      <c r="D139" s="942"/>
      <c r="E139" s="53">
        <f t="shared" si="24"/>
        <v>1</v>
      </c>
      <c r="F139" s="942"/>
      <c r="G139" s="53">
        <f t="shared" si="25"/>
        <v>1</v>
      </c>
      <c r="H139" s="942"/>
      <c r="I139" s="53">
        <f t="shared" si="26"/>
        <v>1</v>
      </c>
      <c r="J139" s="942"/>
      <c r="K139" s="53">
        <f t="shared" si="27"/>
        <v>1</v>
      </c>
      <c r="L139" s="942"/>
      <c r="M139" s="53">
        <f t="shared" si="28"/>
        <v>1</v>
      </c>
      <c r="N139" s="942"/>
      <c r="O139" s="53">
        <f t="shared" si="29"/>
        <v>1</v>
      </c>
      <c r="P139" s="942"/>
      <c r="Q139" s="53">
        <f t="shared" si="30"/>
        <v>1</v>
      </c>
      <c r="R139" s="476">
        <f t="shared" si="31"/>
        <v>0</v>
      </c>
      <c r="S139" s="781">
        <f t="shared" si="32"/>
        <v>0</v>
      </c>
    </row>
    <row r="140" spans="1:19">
      <c r="A140" s="944"/>
      <c r="B140" s="136"/>
      <c r="C140" s="53">
        <f t="shared" si="23"/>
        <v>1</v>
      </c>
      <c r="D140" s="942"/>
      <c r="E140" s="53">
        <f t="shared" si="24"/>
        <v>1</v>
      </c>
      <c r="F140" s="942"/>
      <c r="G140" s="53">
        <f t="shared" si="25"/>
        <v>1</v>
      </c>
      <c r="H140" s="942"/>
      <c r="I140" s="53">
        <f t="shared" si="26"/>
        <v>1</v>
      </c>
      <c r="J140" s="942"/>
      <c r="K140" s="53">
        <f t="shared" si="27"/>
        <v>1</v>
      </c>
      <c r="L140" s="942"/>
      <c r="M140" s="53">
        <f t="shared" si="28"/>
        <v>1</v>
      </c>
      <c r="N140" s="942"/>
      <c r="O140" s="53">
        <f t="shared" si="29"/>
        <v>1</v>
      </c>
      <c r="P140" s="942"/>
      <c r="Q140" s="53">
        <f t="shared" si="30"/>
        <v>1</v>
      </c>
      <c r="R140" s="476">
        <f t="shared" si="31"/>
        <v>0</v>
      </c>
      <c r="S140" s="781">
        <f t="shared" si="32"/>
        <v>0</v>
      </c>
    </row>
    <row r="141" spans="1:19">
      <c r="A141" s="944"/>
      <c r="B141" s="136"/>
      <c r="C141" s="53">
        <f t="shared" si="23"/>
        <v>1</v>
      </c>
      <c r="D141" s="942"/>
      <c r="E141" s="53">
        <f t="shared" si="24"/>
        <v>1</v>
      </c>
      <c r="F141" s="942"/>
      <c r="G141" s="53">
        <f t="shared" si="25"/>
        <v>1</v>
      </c>
      <c r="H141" s="942"/>
      <c r="I141" s="53">
        <f t="shared" si="26"/>
        <v>1</v>
      </c>
      <c r="J141" s="942"/>
      <c r="K141" s="53">
        <f t="shared" si="27"/>
        <v>1</v>
      </c>
      <c r="L141" s="942"/>
      <c r="M141" s="53">
        <f t="shared" si="28"/>
        <v>1</v>
      </c>
      <c r="N141" s="942"/>
      <c r="O141" s="53">
        <f t="shared" si="29"/>
        <v>1</v>
      </c>
      <c r="P141" s="942"/>
      <c r="Q141" s="53">
        <f t="shared" si="30"/>
        <v>1</v>
      </c>
      <c r="R141" s="476">
        <f t="shared" si="31"/>
        <v>0</v>
      </c>
      <c r="S141" s="781">
        <f t="shared" si="32"/>
        <v>0</v>
      </c>
    </row>
    <row r="142" spans="1:19">
      <c r="A142" s="944"/>
      <c r="B142" s="136"/>
      <c r="C142" s="53">
        <f t="shared" si="23"/>
        <v>1</v>
      </c>
      <c r="D142" s="942"/>
      <c r="E142" s="53">
        <f t="shared" si="24"/>
        <v>1</v>
      </c>
      <c r="F142" s="942"/>
      <c r="G142" s="53">
        <f t="shared" si="25"/>
        <v>1</v>
      </c>
      <c r="H142" s="942"/>
      <c r="I142" s="53">
        <f t="shared" si="26"/>
        <v>1</v>
      </c>
      <c r="J142" s="942"/>
      <c r="K142" s="53">
        <f t="shared" si="27"/>
        <v>1</v>
      </c>
      <c r="L142" s="942"/>
      <c r="M142" s="53">
        <f t="shared" si="28"/>
        <v>1</v>
      </c>
      <c r="N142" s="942"/>
      <c r="O142" s="53">
        <f t="shared" si="29"/>
        <v>1</v>
      </c>
      <c r="P142" s="942"/>
      <c r="Q142" s="53">
        <f t="shared" si="30"/>
        <v>1</v>
      </c>
      <c r="R142" s="476">
        <f t="shared" si="31"/>
        <v>0</v>
      </c>
      <c r="S142" s="781">
        <f t="shared" si="32"/>
        <v>0</v>
      </c>
    </row>
    <row r="143" spans="1:19">
      <c r="A143" s="944"/>
      <c r="B143" s="136"/>
      <c r="C143" s="53">
        <f t="shared" si="23"/>
        <v>1</v>
      </c>
      <c r="D143" s="942"/>
      <c r="E143" s="53">
        <f t="shared" si="24"/>
        <v>1</v>
      </c>
      <c r="F143" s="942"/>
      <c r="G143" s="53">
        <f t="shared" si="25"/>
        <v>1</v>
      </c>
      <c r="H143" s="942"/>
      <c r="I143" s="53">
        <f t="shared" si="26"/>
        <v>1</v>
      </c>
      <c r="J143" s="942"/>
      <c r="K143" s="53">
        <f t="shared" si="27"/>
        <v>1</v>
      </c>
      <c r="L143" s="942"/>
      <c r="M143" s="53">
        <f t="shared" si="28"/>
        <v>1</v>
      </c>
      <c r="N143" s="942"/>
      <c r="O143" s="53">
        <f t="shared" si="29"/>
        <v>1</v>
      </c>
      <c r="P143" s="942"/>
      <c r="Q143" s="53">
        <f t="shared" si="30"/>
        <v>1</v>
      </c>
      <c r="R143" s="476">
        <f t="shared" si="31"/>
        <v>0</v>
      </c>
      <c r="S143" s="781">
        <f t="shared" si="32"/>
        <v>0</v>
      </c>
    </row>
    <row r="144" spans="1:19">
      <c r="A144" s="944"/>
      <c r="B144" s="136"/>
      <c r="C144" s="53">
        <f t="shared" si="23"/>
        <v>1</v>
      </c>
      <c r="D144" s="942"/>
      <c r="E144" s="53">
        <f t="shared" si="24"/>
        <v>1</v>
      </c>
      <c r="F144" s="942"/>
      <c r="G144" s="53">
        <f t="shared" si="25"/>
        <v>1</v>
      </c>
      <c r="H144" s="942"/>
      <c r="I144" s="53">
        <f t="shared" si="26"/>
        <v>1</v>
      </c>
      <c r="J144" s="942"/>
      <c r="K144" s="53">
        <f t="shared" si="27"/>
        <v>1</v>
      </c>
      <c r="L144" s="942"/>
      <c r="M144" s="53">
        <f t="shared" si="28"/>
        <v>1</v>
      </c>
      <c r="N144" s="942"/>
      <c r="O144" s="53">
        <f t="shared" si="29"/>
        <v>1</v>
      </c>
      <c r="P144" s="942"/>
      <c r="Q144" s="53">
        <f t="shared" si="30"/>
        <v>1</v>
      </c>
      <c r="R144" s="476">
        <f t="shared" si="31"/>
        <v>0</v>
      </c>
      <c r="S144" s="781">
        <f t="shared" si="32"/>
        <v>0</v>
      </c>
    </row>
    <row r="145" spans="1:19">
      <c r="A145" s="944"/>
      <c r="B145" s="136"/>
      <c r="C145" s="53">
        <f t="shared" si="23"/>
        <v>1</v>
      </c>
      <c r="D145" s="942"/>
      <c r="E145" s="53">
        <f t="shared" si="24"/>
        <v>1</v>
      </c>
      <c r="F145" s="942"/>
      <c r="G145" s="53">
        <f t="shared" si="25"/>
        <v>1</v>
      </c>
      <c r="H145" s="942"/>
      <c r="I145" s="53">
        <f t="shared" si="26"/>
        <v>1</v>
      </c>
      <c r="J145" s="942"/>
      <c r="K145" s="53">
        <f t="shared" si="27"/>
        <v>1</v>
      </c>
      <c r="L145" s="942"/>
      <c r="M145" s="53">
        <f t="shared" si="28"/>
        <v>1</v>
      </c>
      <c r="N145" s="942"/>
      <c r="O145" s="53">
        <f t="shared" si="29"/>
        <v>1</v>
      </c>
      <c r="P145" s="942"/>
      <c r="Q145" s="53">
        <f t="shared" si="30"/>
        <v>1</v>
      </c>
      <c r="R145" s="476">
        <f t="shared" si="31"/>
        <v>0</v>
      </c>
      <c r="S145" s="781">
        <f t="shared" si="32"/>
        <v>0</v>
      </c>
    </row>
    <row r="146" spans="1:19">
      <c r="A146" s="944"/>
      <c r="B146" s="136"/>
      <c r="C146" s="53">
        <f t="shared" si="23"/>
        <v>1</v>
      </c>
      <c r="D146" s="942"/>
      <c r="E146" s="53">
        <f t="shared" si="24"/>
        <v>1</v>
      </c>
      <c r="F146" s="942"/>
      <c r="G146" s="53">
        <f t="shared" si="25"/>
        <v>1</v>
      </c>
      <c r="H146" s="942"/>
      <c r="I146" s="53">
        <f t="shared" si="26"/>
        <v>1</v>
      </c>
      <c r="J146" s="942"/>
      <c r="K146" s="53">
        <f t="shared" si="27"/>
        <v>1</v>
      </c>
      <c r="L146" s="942"/>
      <c r="M146" s="53">
        <f t="shared" si="28"/>
        <v>1</v>
      </c>
      <c r="N146" s="942"/>
      <c r="O146" s="53">
        <f t="shared" si="29"/>
        <v>1</v>
      </c>
      <c r="P146" s="942"/>
      <c r="Q146" s="53">
        <f t="shared" si="30"/>
        <v>1</v>
      </c>
      <c r="R146" s="476">
        <f t="shared" si="31"/>
        <v>0</v>
      </c>
      <c r="S146" s="781">
        <f t="shared" si="32"/>
        <v>0</v>
      </c>
    </row>
    <row r="147" spans="1:19">
      <c r="A147" s="944"/>
      <c r="B147" s="136"/>
      <c r="C147" s="53">
        <f t="shared" si="23"/>
        <v>1</v>
      </c>
      <c r="D147" s="942"/>
      <c r="E147" s="53">
        <f t="shared" si="24"/>
        <v>1</v>
      </c>
      <c r="F147" s="942"/>
      <c r="G147" s="53">
        <f t="shared" si="25"/>
        <v>1</v>
      </c>
      <c r="H147" s="942"/>
      <c r="I147" s="53">
        <f t="shared" si="26"/>
        <v>1</v>
      </c>
      <c r="J147" s="942"/>
      <c r="K147" s="53">
        <f t="shared" si="27"/>
        <v>1</v>
      </c>
      <c r="L147" s="942"/>
      <c r="M147" s="53">
        <f t="shared" si="28"/>
        <v>1</v>
      </c>
      <c r="N147" s="942"/>
      <c r="O147" s="53">
        <f t="shared" si="29"/>
        <v>1</v>
      </c>
      <c r="P147" s="942"/>
      <c r="Q147" s="53">
        <f t="shared" si="30"/>
        <v>1</v>
      </c>
      <c r="R147" s="476">
        <f t="shared" si="31"/>
        <v>0</v>
      </c>
      <c r="S147" s="781">
        <f t="shared" si="32"/>
        <v>0</v>
      </c>
    </row>
    <row r="148" spans="1:19">
      <c r="A148" s="944"/>
      <c r="B148" s="136"/>
      <c r="C148" s="53">
        <f t="shared" si="23"/>
        <v>1</v>
      </c>
      <c r="D148" s="942"/>
      <c r="E148" s="53">
        <f t="shared" si="24"/>
        <v>1</v>
      </c>
      <c r="F148" s="942"/>
      <c r="G148" s="53">
        <f t="shared" si="25"/>
        <v>1</v>
      </c>
      <c r="H148" s="942"/>
      <c r="I148" s="53">
        <f t="shared" si="26"/>
        <v>1</v>
      </c>
      <c r="J148" s="942"/>
      <c r="K148" s="53">
        <f t="shared" si="27"/>
        <v>1</v>
      </c>
      <c r="L148" s="942"/>
      <c r="M148" s="53">
        <f t="shared" si="28"/>
        <v>1</v>
      </c>
      <c r="N148" s="942"/>
      <c r="O148" s="53">
        <f t="shared" si="29"/>
        <v>1</v>
      </c>
      <c r="P148" s="942"/>
      <c r="Q148" s="53">
        <f t="shared" si="30"/>
        <v>1</v>
      </c>
      <c r="R148" s="476">
        <f t="shared" si="31"/>
        <v>0</v>
      </c>
      <c r="S148" s="781">
        <f t="shared" si="32"/>
        <v>0</v>
      </c>
    </row>
    <row r="149" spans="1:19">
      <c r="A149" s="944"/>
      <c r="B149" s="136"/>
      <c r="C149" s="53">
        <f t="shared" si="23"/>
        <v>1</v>
      </c>
      <c r="D149" s="942"/>
      <c r="E149" s="53">
        <f t="shared" si="24"/>
        <v>1</v>
      </c>
      <c r="F149" s="942"/>
      <c r="G149" s="53">
        <f t="shared" si="25"/>
        <v>1</v>
      </c>
      <c r="H149" s="942"/>
      <c r="I149" s="53">
        <f t="shared" si="26"/>
        <v>1</v>
      </c>
      <c r="J149" s="942"/>
      <c r="K149" s="53">
        <f t="shared" si="27"/>
        <v>1</v>
      </c>
      <c r="L149" s="942"/>
      <c r="M149" s="53">
        <f t="shared" si="28"/>
        <v>1</v>
      </c>
      <c r="N149" s="942"/>
      <c r="O149" s="53">
        <f t="shared" si="29"/>
        <v>1</v>
      </c>
      <c r="P149" s="942"/>
      <c r="Q149" s="53">
        <f t="shared" si="30"/>
        <v>1</v>
      </c>
      <c r="R149" s="476">
        <f t="shared" si="31"/>
        <v>0</v>
      </c>
      <c r="S149" s="781">
        <f t="shared" si="32"/>
        <v>0</v>
      </c>
    </row>
    <row r="150" spans="1:19">
      <c r="A150" s="944"/>
      <c r="B150" s="136"/>
      <c r="C150" s="53">
        <f t="shared" si="23"/>
        <v>1</v>
      </c>
      <c r="D150" s="942"/>
      <c r="E150" s="53">
        <f t="shared" si="24"/>
        <v>1</v>
      </c>
      <c r="F150" s="942"/>
      <c r="G150" s="53">
        <f t="shared" si="25"/>
        <v>1</v>
      </c>
      <c r="H150" s="942"/>
      <c r="I150" s="53">
        <f t="shared" si="26"/>
        <v>1</v>
      </c>
      <c r="J150" s="942"/>
      <c r="K150" s="53">
        <f t="shared" si="27"/>
        <v>1</v>
      </c>
      <c r="L150" s="942"/>
      <c r="M150" s="53">
        <f t="shared" si="28"/>
        <v>1</v>
      </c>
      <c r="N150" s="942"/>
      <c r="O150" s="53">
        <f t="shared" si="29"/>
        <v>1</v>
      </c>
      <c r="P150" s="942"/>
      <c r="Q150" s="53">
        <f t="shared" si="30"/>
        <v>1</v>
      </c>
      <c r="R150" s="476">
        <f t="shared" si="31"/>
        <v>0</v>
      </c>
      <c r="S150" s="781">
        <f t="shared" si="32"/>
        <v>0</v>
      </c>
    </row>
    <row r="151" spans="1:19">
      <c r="A151" s="944"/>
      <c r="B151" s="136"/>
      <c r="C151" s="53">
        <f t="shared" si="23"/>
        <v>1</v>
      </c>
      <c r="D151" s="942"/>
      <c r="E151" s="53">
        <f t="shared" si="24"/>
        <v>1</v>
      </c>
      <c r="F151" s="942"/>
      <c r="G151" s="53">
        <f t="shared" si="25"/>
        <v>1</v>
      </c>
      <c r="H151" s="942"/>
      <c r="I151" s="53">
        <f t="shared" si="26"/>
        <v>1</v>
      </c>
      <c r="J151" s="942"/>
      <c r="K151" s="53">
        <f t="shared" si="27"/>
        <v>1</v>
      </c>
      <c r="L151" s="942"/>
      <c r="M151" s="53">
        <f t="shared" si="28"/>
        <v>1</v>
      </c>
      <c r="N151" s="942"/>
      <c r="O151" s="53">
        <f t="shared" si="29"/>
        <v>1</v>
      </c>
      <c r="P151" s="942"/>
      <c r="Q151" s="53">
        <f t="shared" si="30"/>
        <v>1</v>
      </c>
      <c r="R151" s="476">
        <f t="shared" si="31"/>
        <v>0</v>
      </c>
      <c r="S151" s="781">
        <f t="shared" si="32"/>
        <v>0</v>
      </c>
    </row>
    <row r="152" spans="1:19">
      <c r="A152" s="944"/>
      <c r="B152" s="136"/>
      <c r="C152" s="53">
        <f t="shared" si="23"/>
        <v>1</v>
      </c>
      <c r="D152" s="942"/>
      <c r="E152" s="53">
        <f t="shared" si="24"/>
        <v>1</v>
      </c>
      <c r="F152" s="942"/>
      <c r="G152" s="53">
        <f t="shared" si="25"/>
        <v>1</v>
      </c>
      <c r="H152" s="942"/>
      <c r="I152" s="53">
        <f t="shared" si="26"/>
        <v>1</v>
      </c>
      <c r="J152" s="942"/>
      <c r="K152" s="53">
        <f t="shared" si="27"/>
        <v>1</v>
      </c>
      <c r="L152" s="942"/>
      <c r="M152" s="53">
        <f t="shared" si="28"/>
        <v>1</v>
      </c>
      <c r="N152" s="942"/>
      <c r="O152" s="53">
        <f t="shared" si="29"/>
        <v>1</v>
      </c>
      <c r="P152" s="942"/>
      <c r="Q152" s="53">
        <f t="shared" si="30"/>
        <v>1</v>
      </c>
      <c r="R152" s="476">
        <f t="shared" si="31"/>
        <v>0</v>
      </c>
      <c r="S152" s="781">
        <f t="shared" si="32"/>
        <v>0</v>
      </c>
    </row>
    <row r="153" spans="1:19">
      <c r="A153" s="944"/>
      <c r="B153" s="136"/>
      <c r="C153" s="53">
        <f t="shared" si="23"/>
        <v>1</v>
      </c>
      <c r="D153" s="942"/>
      <c r="E153" s="53">
        <f t="shared" si="24"/>
        <v>1</v>
      </c>
      <c r="F153" s="942"/>
      <c r="G153" s="53">
        <f t="shared" si="25"/>
        <v>1</v>
      </c>
      <c r="H153" s="942"/>
      <c r="I153" s="53">
        <f t="shared" si="26"/>
        <v>1</v>
      </c>
      <c r="J153" s="942"/>
      <c r="K153" s="53">
        <f t="shared" si="27"/>
        <v>1</v>
      </c>
      <c r="L153" s="942"/>
      <c r="M153" s="53">
        <f t="shared" si="28"/>
        <v>1</v>
      </c>
      <c r="N153" s="942"/>
      <c r="O153" s="53">
        <f t="shared" si="29"/>
        <v>1</v>
      </c>
      <c r="P153" s="942"/>
      <c r="Q153" s="53">
        <f t="shared" si="30"/>
        <v>1</v>
      </c>
      <c r="R153" s="476">
        <f t="shared" si="31"/>
        <v>0</v>
      </c>
      <c r="S153" s="781">
        <f t="shared" si="32"/>
        <v>0</v>
      </c>
    </row>
    <row r="154" spans="1:19">
      <c r="A154" s="944"/>
      <c r="B154" s="136"/>
      <c r="C154" s="53">
        <f t="shared" ref="C154:C217" si="33">IF(B154="",1,(LOOKUP(B154,$3:$3,$4:$4)-LOOKUP($B$24,$3:$3,$4:$4)+100)/100)</f>
        <v>1</v>
      </c>
      <c r="D154" s="942"/>
      <c r="E154" s="53">
        <f t="shared" ref="E154:E217" si="34">(SUMIF($5:$5,D154,$6:$6)-SUMIF($5:$5,$D$24,$6:$6)+100)/100</f>
        <v>1</v>
      </c>
      <c r="F154" s="942"/>
      <c r="G154" s="53">
        <f t="shared" ref="G154:G217" si="35">(SUMIF($7:$7,F154,$8:$8)-SUMIF($7:$7,$F$24,$8:$8)+100)/100</f>
        <v>1</v>
      </c>
      <c r="H154" s="942"/>
      <c r="I154" s="53">
        <f t="shared" ref="I154:I217" si="36">(SUMIF($9:$9,H154,$10:$10)-SUMIF($9:$9,$H$24,$10:$10)+100)/100</f>
        <v>1</v>
      </c>
      <c r="J154" s="942"/>
      <c r="K154" s="53">
        <f t="shared" ref="K154:K217" si="37">(SUMIF($11:$11,J154,$12:$12)-SUMIF($11:$11,$J$24,$12:$12)+100)/100</f>
        <v>1</v>
      </c>
      <c r="L154" s="942"/>
      <c r="M154" s="53">
        <f t="shared" ref="M154:M217" si="38">(SUMIF($13:$13,L154,$14:$14)-SUMIF($13:$13,$L$24,$14:$14)+100)/100</f>
        <v>1</v>
      </c>
      <c r="N154" s="942"/>
      <c r="O154" s="53">
        <f t="shared" ref="O154:O217" si="39">(SUMIF($15:$15,N154,$16:$16)-SUMIF($15:$15,$N$24,$16:$16)+100)/100</f>
        <v>1</v>
      </c>
      <c r="P154" s="942"/>
      <c r="Q154" s="53">
        <f t="shared" ref="Q154:Q217" si="40">(SUMIF($17:$17,P154,$18:$18)-SUMIF($17:$17,$P$24,$18:$18)+100)/100</f>
        <v>1</v>
      </c>
      <c r="R154" s="476">
        <f t="shared" ref="R154:R217" si="41">IF(B154="",0,ROUND($R$24*C154*E154*G154*I154*K154*M154*O154*Q154,0))</f>
        <v>0</v>
      </c>
      <c r="S154" s="781">
        <f t="shared" si="32"/>
        <v>0</v>
      </c>
    </row>
    <row r="155" spans="1:19">
      <c r="A155" s="944"/>
      <c r="B155" s="136"/>
      <c r="C155" s="53">
        <f t="shared" si="33"/>
        <v>1</v>
      </c>
      <c r="D155" s="942"/>
      <c r="E155" s="53">
        <f t="shared" si="34"/>
        <v>1</v>
      </c>
      <c r="F155" s="942"/>
      <c r="G155" s="53">
        <f t="shared" si="35"/>
        <v>1</v>
      </c>
      <c r="H155" s="942"/>
      <c r="I155" s="53">
        <f t="shared" si="36"/>
        <v>1</v>
      </c>
      <c r="J155" s="942"/>
      <c r="K155" s="53">
        <f t="shared" si="37"/>
        <v>1</v>
      </c>
      <c r="L155" s="942"/>
      <c r="M155" s="53">
        <f t="shared" si="38"/>
        <v>1</v>
      </c>
      <c r="N155" s="942"/>
      <c r="O155" s="53">
        <f t="shared" si="39"/>
        <v>1</v>
      </c>
      <c r="P155" s="942"/>
      <c r="Q155" s="53">
        <f t="shared" si="40"/>
        <v>1</v>
      </c>
      <c r="R155" s="476">
        <f t="shared" si="41"/>
        <v>0</v>
      </c>
      <c r="S155" s="781">
        <f t="shared" si="32"/>
        <v>0</v>
      </c>
    </row>
    <row r="156" spans="1:19">
      <c r="A156" s="944"/>
      <c r="B156" s="136"/>
      <c r="C156" s="53">
        <f t="shared" si="33"/>
        <v>1</v>
      </c>
      <c r="D156" s="942"/>
      <c r="E156" s="53">
        <f t="shared" si="34"/>
        <v>1</v>
      </c>
      <c r="F156" s="942"/>
      <c r="G156" s="53">
        <f t="shared" si="35"/>
        <v>1</v>
      </c>
      <c r="H156" s="942"/>
      <c r="I156" s="53">
        <f t="shared" si="36"/>
        <v>1</v>
      </c>
      <c r="J156" s="942"/>
      <c r="K156" s="53">
        <f t="shared" si="37"/>
        <v>1</v>
      </c>
      <c r="L156" s="942"/>
      <c r="M156" s="53">
        <f t="shared" si="38"/>
        <v>1</v>
      </c>
      <c r="N156" s="942"/>
      <c r="O156" s="53">
        <f t="shared" si="39"/>
        <v>1</v>
      </c>
      <c r="P156" s="942"/>
      <c r="Q156" s="53">
        <f t="shared" si="40"/>
        <v>1</v>
      </c>
      <c r="R156" s="476">
        <f t="shared" si="41"/>
        <v>0</v>
      </c>
      <c r="S156" s="781">
        <f t="shared" si="32"/>
        <v>0</v>
      </c>
    </row>
    <row r="157" spans="1:19">
      <c r="A157" s="944"/>
      <c r="B157" s="136"/>
      <c r="C157" s="53">
        <f t="shared" si="33"/>
        <v>1</v>
      </c>
      <c r="D157" s="942"/>
      <c r="E157" s="53">
        <f t="shared" si="34"/>
        <v>1</v>
      </c>
      <c r="F157" s="942"/>
      <c r="G157" s="53">
        <f t="shared" si="35"/>
        <v>1</v>
      </c>
      <c r="H157" s="942"/>
      <c r="I157" s="53">
        <f t="shared" si="36"/>
        <v>1</v>
      </c>
      <c r="J157" s="942"/>
      <c r="K157" s="53">
        <f t="shared" si="37"/>
        <v>1</v>
      </c>
      <c r="L157" s="942"/>
      <c r="M157" s="53">
        <f t="shared" si="38"/>
        <v>1</v>
      </c>
      <c r="N157" s="942"/>
      <c r="O157" s="53">
        <f t="shared" si="39"/>
        <v>1</v>
      </c>
      <c r="P157" s="942"/>
      <c r="Q157" s="53">
        <f t="shared" si="40"/>
        <v>1</v>
      </c>
      <c r="R157" s="476">
        <f t="shared" si="41"/>
        <v>0</v>
      </c>
      <c r="S157" s="781">
        <f t="shared" si="32"/>
        <v>0</v>
      </c>
    </row>
    <row r="158" spans="1:19">
      <c r="A158" s="944"/>
      <c r="B158" s="136"/>
      <c r="C158" s="53">
        <f t="shared" si="33"/>
        <v>1</v>
      </c>
      <c r="D158" s="942"/>
      <c r="E158" s="53">
        <f t="shared" si="34"/>
        <v>1</v>
      </c>
      <c r="F158" s="942"/>
      <c r="G158" s="53">
        <f t="shared" si="35"/>
        <v>1</v>
      </c>
      <c r="H158" s="942"/>
      <c r="I158" s="53">
        <f t="shared" si="36"/>
        <v>1</v>
      </c>
      <c r="J158" s="942"/>
      <c r="K158" s="53">
        <f t="shared" si="37"/>
        <v>1</v>
      </c>
      <c r="L158" s="942"/>
      <c r="M158" s="53">
        <f t="shared" si="38"/>
        <v>1</v>
      </c>
      <c r="N158" s="942"/>
      <c r="O158" s="53">
        <f t="shared" si="39"/>
        <v>1</v>
      </c>
      <c r="P158" s="942"/>
      <c r="Q158" s="53">
        <f t="shared" si="40"/>
        <v>1</v>
      </c>
      <c r="R158" s="476">
        <f t="shared" si="41"/>
        <v>0</v>
      </c>
      <c r="S158" s="781">
        <f t="shared" si="32"/>
        <v>0</v>
      </c>
    </row>
    <row r="159" spans="1:19">
      <c r="A159" s="944"/>
      <c r="B159" s="136"/>
      <c r="C159" s="53">
        <f t="shared" si="33"/>
        <v>1</v>
      </c>
      <c r="D159" s="942"/>
      <c r="E159" s="53">
        <f t="shared" si="34"/>
        <v>1</v>
      </c>
      <c r="F159" s="942"/>
      <c r="G159" s="53">
        <f t="shared" si="35"/>
        <v>1</v>
      </c>
      <c r="H159" s="942"/>
      <c r="I159" s="53">
        <f t="shared" si="36"/>
        <v>1</v>
      </c>
      <c r="J159" s="942"/>
      <c r="K159" s="53">
        <f t="shared" si="37"/>
        <v>1</v>
      </c>
      <c r="L159" s="942"/>
      <c r="M159" s="53">
        <f t="shared" si="38"/>
        <v>1</v>
      </c>
      <c r="N159" s="942"/>
      <c r="O159" s="53">
        <f t="shared" si="39"/>
        <v>1</v>
      </c>
      <c r="P159" s="942"/>
      <c r="Q159" s="53">
        <f t="shared" si="40"/>
        <v>1</v>
      </c>
      <c r="R159" s="476">
        <f t="shared" si="41"/>
        <v>0</v>
      </c>
      <c r="S159" s="781">
        <f t="shared" si="32"/>
        <v>0</v>
      </c>
    </row>
    <row r="160" spans="1:19">
      <c r="A160" s="944"/>
      <c r="B160" s="136"/>
      <c r="C160" s="53">
        <f t="shared" si="33"/>
        <v>1</v>
      </c>
      <c r="D160" s="942"/>
      <c r="E160" s="53">
        <f t="shared" si="34"/>
        <v>1</v>
      </c>
      <c r="F160" s="942"/>
      <c r="G160" s="53">
        <f t="shared" si="35"/>
        <v>1</v>
      </c>
      <c r="H160" s="942"/>
      <c r="I160" s="53">
        <f t="shared" si="36"/>
        <v>1</v>
      </c>
      <c r="J160" s="942"/>
      <c r="K160" s="53">
        <f t="shared" si="37"/>
        <v>1</v>
      </c>
      <c r="L160" s="942"/>
      <c r="M160" s="53">
        <f t="shared" si="38"/>
        <v>1</v>
      </c>
      <c r="N160" s="942"/>
      <c r="O160" s="53">
        <f t="shared" si="39"/>
        <v>1</v>
      </c>
      <c r="P160" s="942"/>
      <c r="Q160" s="53">
        <f t="shared" si="40"/>
        <v>1</v>
      </c>
      <c r="R160" s="476">
        <f t="shared" si="41"/>
        <v>0</v>
      </c>
      <c r="S160" s="781">
        <f t="shared" si="32"/>
        <v>0</v>
      </c>
    </row>
    <row r="161" spans="1:19">
      <c r="A161" s="944"/>
      <c r="B161" s="136"/>
      <c r="C161" s="53">
        <f t="shared" si="33"/>
        <v>1</v>
      </c>
      <c r="D161" s="942"/>
      <c r="E161" s="53">
        <f t="shared" si="34"/>
        <v>1</v>
      </c>
      <c r="F161" s="942"/>
      <c r="G161" s="53">
        <f t="shared" si="35"/>
        <v>1</v>
      </c>
      <c r="H161" s="942"/>
      <c r="I161" s="53">
        <f t="shared" si="36"/>
        <v>1</v>
      </c>
      <c r="J161" s="942"/>
      <c r="K161" s="53">
        <f t="shared" si="37"/>
        <v>1</v>
      </c>
      <c r="L161" s="942"/>
      <c r="M161" s="53">
        <f t="shared" si="38"/>
        <v>1</v>
      </c>
      <c r="N161" s="942"/>
      <c r="O161" s="53">
        <f t="shared" si="39"/>
        <v>1</v>
      </c>
      <c r="P161" s="942"/>
      <c r="Q161" s="53">
        <f t="shared" si="40"/>
        <v>1</v>
      </c>
      <c r="R161" s="476">
        <f t="shared" si="41"/>
        <v>0</v>
      </c>
      <c r="S161" s="781">
        <f t="shared" si="32"/>
        <v>0</v>
      </c>
    </row>
    <row r="162" spans="1:19">
      <c r="A162" s="944"/>
      <c r="B162" s="136"/>
      <c r="C162" s="53">
        <f t="shared" si="33"/>
        <v>1</v>
      </c>
      <c r="D162" s="942"/>
      <c r="E162" s="53">
        <f t="shared" si="34"/>
        <v>1</v>
      </c>
      <c r="F162" s="942"/>
      <c r="G162" s="53">
        <f t="shared" si="35"/>
        <v>1</v>
      </c>
      <c r="H162" s="942"/>
      <c r="I162" s="53">
        <f t="shared" si="36"/>
        <v>1</v>
      </c>
      <c r="J162" s="942"/>
      <c r="K162" s="53">
        <f t="shared" si="37"/>
        <v>1</v>
      </c>
      <c r="L162" s="942"/>
      <c r="M162" s="53">
        <f t="shared" si="38"/>
        <v>1</v>
      </c>
      <c r="N162" s="942"/>
      <c r="O162" s="53">
        <f t="shared" si="39"/>
        <v>1</v>
      </c>
      <c r="P162" s="942"/>
      <c r="Q162" s="53">
        <f t="shared" si="40"/>
        <v>1</v>
      </c>
      <c r="R162" s="476">
        <f t="shared" si="41"/>
        <v>0</v>
      </c>
      <c r="S162" s="781">
        <f t="shared" si="32"/>
        <v>0</v>
      </c>
    </row>
    <row r="163" spans="1:19">
      <c r="A163" s="944"/>
      <c r="B163" s="136"/>
      <c r="C163" s="53">
        <f t="shared" si="33"/>
        <v>1</v>
      </c>
      <c r="D163" s="942"/>
      <c r="E163" s="53">
        <f t="shared" si="34"/>
        <v>1</v>
      </c>
      <c r="F163" s="942"/>
      <c r="G163" s="53">
        <f t="shared" si="35"/>
        <v>1</v>
      </c>
      <c r="H163" s="942"/>
      <c r="I163" s="53">
        <f t="shared" si="36"/>
        <v>1</v>
      </c>
      <c r="J163" s="942"/>
      <c r="K163" s="53">
        <f t="shared" si="37"/>
        <v>1</v>
      </c>
      <c r="L163" s="942"/>
      <c r="M163" s="53">
        <f t="shared" si="38"/>
        <v>1</v>
      </c>
      <c r="N163" s="942"/>
      <c r="O163" s="53">
        <f t="shared" si="39"/>
        <v>1</v>
      </c>
      <c r="P163" s="942"/>
      <c r="Q163" s="53">
        <f t="shared" si="40"/>
        <v>1</v>
      </c>
      <c r="R163" s="476">
        <f t="shared" si="41"/>
        <v>0</v>
      </c>
      <c r="S163" s="781">
        <f t="shared" si="32"/>
        <v>0</v>
      </c>
    </row>
    <row r="164" spans="1:19">
      <c r="A164" s="944"/>
      <c r="B164" s="136"/>
      <c r="C164" s="53">
        <f t="shared" si="33"/>
        <v>1</v>
      </c>
      <c r="D164" s="942"/>
      <c r="E164" s="53">
        <f t="shared" si="34"/>
        <v>1</v>
      </c>
      <c r="F164" s="942"/>
      <c r="G164" s="53">
        <f t="shared" si="35"/>
        <v>1</v>
      </c>
      <c r="H164" s="942"/>
      <c r="I164" s="53">
        <f t="shared" si="36"/>
        <v>1</v>
      </c>
      <c r="J164" s="942"/>
      <c r="K164" s="53">
        <f t="shared" si="37"/>
        <v>1</v>
      </c>
      <c r="L164" s="942"/>
      <c r="M164" s="53">
        <f t="shared" si="38"/>
        <v>1</v>
      </c>
      <c r="N164" s="942"/>
      <c r="O164" s="53">
        <f t="shared" si="39"/>
        <v>1</v>
      </c>
      <c r="P164" s="942"/>
      <c r="Q164" s="53">
        <f t="shared" si="40"/>
        <v>1</v>
      </c>
      <c r="R164" s="476">
        <f t="shared" si="41"/>
        <v>0</v>
      </c>
      <c r="S164" s="781">
        <f t="shared" si="32"/>
        <v>0</v>
      </c>
    </row>
    <row r="165" spans="1:19">
      <c r="A165" s="944"/>
      <c r="B165" s="136"/>
      <c r="C165" s="53">
        <f t="shared" si="33"/>
        <v>1</v>
      </c>
      <c r="D165" s="942"/>
      <c r="E165" s="53">
        <f t="shared" si="34"/>
        <v>1</v>
      </c>
      <c r="F165" s="942"/>
      <c r="G165" s="53">
        <f t="shared" si="35"/>
        <v>1</v>
      </c>
      <c r="H165" s="942"/>
      <c r="I165" s="53">
        <f t="shared" si="36"/>
        <v>1</v>
      </c>
      <c r="J165" s="942"/>
      <c r="K165" s="53">
        <f t="shared" si="37"/>
        <v>1</v>
      </c>
      <c r="L165" s="942"/>
      <c r="M165" s="53">
        <f t="shared" si="38"/>
        <v>1</v>
      </c>
      <c r="N165" s="942"/>
      <c r="O165" s="53">
        <f t="shared" si="39"/>
        <v>1</v>
      </c>
      <c r="P165" s="942"/>
      <c r="Q165" s="53">
        <f t="shared" si="40"/>
        <v>1</v>
      </c>
      <c r="R165" s="476">
        <f t="shared" si="41"/>
        <v>0</v>
      </c>
      <c r="S165" s="781">
        <f t="shared" si="32"/>
        <v>0</v>
      </c>
    </row>
    <row r="166" spans="1:19">
      <c r="A166" s="944"/>
      <c r="B166" s="136"/>
      <c r="C166" s="53">
        <f t="shared" si="33"/>
        <v>1</v>
      </c>
      <c r="D166" s="942"/>
      <c r="E166" s="53">
        <f t="shared" si="34"/>
        <v>1</v>
      </c>
      <c r="F166" s="942"/>
      <c r="G166" s="53">
        <f t="shared" si="35"/>
        <v>1</v>
      </c>
      <c r="H166" s="942"/>
      <c r="I166" s="53">
        <f t="shared" si="36"/>
        <v>1</v>
      </c>
      <c r="J166" s="942"/>
      <c r="K166" s="53">
        <f t="shared" si="37"/>
        <v>1</v>
      </c>
      <c r="L166" s="942"/>
      <c r="M166" s="53">
        <f t="shared" si="38"/>
        <v>1</v>
      </c>
      <c r="N166" s="942"/>
      <c r="O166" s="53">
        <f t="shared" si="39"/>
        <v>1</v>
      </c>
      <c r="P166" s="942"/>
      <c r="Q166" s="53">
        <f t="shared" si="40"/>
        <v>1</v>
      </c>
      <c r="R166" s="476">
        <f t="shared" si="41"/>
        <v>0</v>
      </c>
      <c r="S166" s="781">
        <f t="shared" si="32"/>
        <v>0</v>
      </c>
    </row>
    <row r="167" spans="1:19">
      <c r="A167" s="944"/>
      <c r="B167" s="136"/>
      <c r="C167" s="53">
        <f t="shared" si="33"/>
        <v>1</v>
      </c>
      <c r="D167" s="942"/>
      <c r="E167" s="53">
        <f t="shared" si="34"/>
        <v>1</v>
      </c>
      <c r="F167" s="942"/>
      <c r="G167" s="53">
        <f t="shared" si="35"/>
        <v>1</v>
      </c>
      <c r="H167" s="942"/>
      <c r="I167" s="53">
        <f t="shared" si="36"/>
        <v>1</v>
      </c>
      <c r="J167" s="942"/>
      <c r="K167" s="53">
        <f t="shared" si="37"/>
        <v>1</v>
      </c>
      <c r="L167" s="942"/>
      <c r="M167" s="53">
        <f t="shared" si="38"/>
        <v>1</v>
      </c>
      <c r="N167" s="942"/>
      <c r="O167" s="53">
        <f t="shared" si="39"/>
        <v>1</v>
      </c>
      <c r="P167" s="942"/>
      <c r="Q167" s="53">
        <f t="shared" si="40"/>
        <v>1</v>
      </c>
      <c r="R167" s="476">
        <f t="shared" si="41"/>
        <v>0</v>
      </c>
      <c r="S167" s="781">
        <f t="shared" si="32"/>
        <v>0</v>
      </c>
    </row>
    <row r="168" spans="1:19">
      <c r="A168" s="944"/>
      <c r="B168" s="136"/>
      <c r="C168" s="53">
        <f t="shared" si="33"/>
        <v>1</v>
      </c>
      <c r="D168" s="942"/>
      <c r="E168" s="53">
        <f t="shared" si="34"/>
        <v>1</v>
      </c>
      <c r="F168" s="942"/>
      <c r="G168" s="53">
        <f t="shared" si="35"/>
        <v>1</v>
      </c>
      <c r="H168" s="942"/>
      <c r="I168" s="53">
        <f t="shared" si="36"/>
        <v>1</v>
      </c>
      <c r="J168" s="942"/>
      <c r="K168" s="53">
        <f t="shared" si="37"/>
        <v>1</v>
      </c>
      <c r="L168" s="942"/>
      <c r="M168" s="53">
        <f t="shared" si="38"/>
        <v>1</v>
      </c>
      <c r="N168" s="942"/>
      <c r="O168" s="53">
        <f t="shared" si="39"/>
        <v>1</v>
      </c>
      <c r="P168" s="942"/>
      <c r="Q168" s="53">
        <f t="shared" si="40"/>
        <v>1</v>
      </c>
      <c r="R168" s="476">
        <f t="shared" si="41"/>
        <v>0</v>
      </c>
      <c r="S168" s="781">
        <f t="shared" si="32"/>
        <v>0</v>
      </c>
    </row>
    <row r="169" spans="1:19">
      <c r="A169" s="944"/>
      <c r="B169" s="136"/>
      <c r="C169" s="53">
        <f t="shared" si="33"/>
        <v>1</v>
      </c>
      <c r="D169" s="942"/>
      <c r="E169" s="53">
        <f t="shared" si="34"/>
        <v>1</v>
      </c>
      <c r="F169" s="942"/>
      <c r="G169" s="53">
        <f t="shared" si="35"/>
        <v>1</v>
      </c>
      <c r="H169" s="942"/>
      <c r="I169" s="53">
        <f t="shared" si="36"/>
        <v>1</v>
      </c>
      <c r="J169" s="942"/>
      <c r="K169" s="53">
        <f t="shared" si="37"/>
        <v>1</v>
      </c>
      <c r="L169" s="942"/>
      <c r="M169" s="53">
        <f t="shared" si="38"/>
        <v>1</v>
      </c>
      <c r="N169" s="942"/>
      <c r="O169" s="53">
        <f t="shared" si="39"/>
        <v>1</v>
      </c>
      <c r="P169" s="942"/>
      <c r="Q169" s="53">
        <f t="shared" si="40"/>
        <v>1</v>
      </c>
      <c r="R169" s="476">
        <f t="shared" si="41"/>
        <v>0</v>
      </c>
      <c r="S169" s="781">
        <f t="shared" si="32"/>
        <v>0</v>
      </c>
    </row>
    <row r="170" spans="1:19">
      <c r="A170" s="944"/>
      <c r="B170" s="136"/>
      <c r="C170" s="53">
        <f t="shared" si="33"/>
        <v>1</v>
      </c>
      <c r="D170" s="942"/>
      <c r="E170" s="53">
        <f t="shared" si="34"/>
        <v>1</v>
      </c>
      <c r="F170" s="942"/>
      <c r="G170" s="53">
        <f t="shared" si="35"/>
        <v>1</v>
      </c>
      <c r="H170" s="942"/>
      <c r="I170" s="53">
        <f t="shared" si="36"/>
        <v>1</v>
      </c>
      <c r="J170" s="942"/>
      <c r="K170" s="53">
        <f t="shared" si="37"/>
        <v>1</v>
      </c>
      <c r="L170" s="942"/>
      <c r="M170" s="53">
        <f t="shared" si="38"/>
        <v>1</v>
      </c>
      <c r="N170" s="942"/>
      <c r="O170" s="53">
        <f t="shared" si="39"/>
        <v>1</v>
      </c>
      <c r="P170" s="942"/>
      <c r="Q170" s="53">
        <f t="shared" si="40"/>
        <v>1</v>
      </c>
      <c r="R170" s="476">
        <f t="shared" si="41"/>
        <v>0</v>
      </c>
      <c r="S170" s="781">
        <f t="shared" si="32"/>
        <v>0</v>
      </c>
    </row>
    <row r="171" spans="1:19">
      <c r="A171" s="944"/>
      <c r="B171" s="136"/>
      <c r="C171" s="53">
        <f t="shared" si="33"/>
        <v>1</v>
      </c>
      <c r="D171" s="942"/>
      <c r="E171" s="53">
        <f t="shared" si="34"/>
        <v>1</v>
      </c>
      <c r="F171" s="942"/>
      <c r="G171" s="53">
        <f t="shared" si="35"/>
        <v>1</v>
      </c>
      <c r="H171" s="942"/>
      <c r="I171" s="53">
        <f t="shared" si="36"/>
        <v>1</v>
      </c>
      <c r="J171" s="942"/>
      <c r="K171" s="53">
        <f t="shared" si="37"/>
        <v>1</v>
      </c>
      <c r="L171" s="942"/>
      <c r="M171" s="53">
        <f t="shared" si="38"/>
        <v>1</v>
      </c>
      <c r="N171" s="942"/>
      <c r="O171" s="53">
        <f t="shared" si="39"/>
        <v>1</v>
      </c>
      <c r="P171" s="942"/>
      <c r="Q171" s="53">
        <f t="shared" si="40"/>
        <v>1</v>
      </c>
      <c r="R171" s="476">
        <f t="shared" si="41"/>
        <v>0</v>
      </c>
      <c r="S171" s="781">
        <f t="shared" si="32"/>
        <v>0</v>
      </c>
    </row>
    <row r="172" spans="1:19">
      <c r="A172" s="944"/>
      <c r="B172" s="136"/>
      <c r="C172" s="53">
        <f t="shared" si="33"/>
        <v>1</v>
      </c>
      <c r="D172" s="942"/>
      <c r="E172" s="53">
        <f t="shared" si="34"/>
        <v>1</v>
      </c>
      <c r="F172" s="942"/>
      <c r="G172" s="53">
        <f t="shared" si="35"/>
        <v>1</v>
      </c>
      <c r="H172" s="942"/>
      <c r="I172" s="53">
        <f t="shared" si="36"/>
        <v>1</v>
      </c>
      <c r="J172" s="942"/>
      <c r="K172" s="53">
        <f t="shared" si="37"/>
        <v>1</v>
      </c>
      <c r="L172" s="942"/>
      <c r="M172" s="53">
        <f t="shared" si="38"/>
        <v>1</v>
      </c>
      <c r="N172" s="942"/>
      <c r="O172" s="53">
        <f t="shared" si="39"/>
        <v>1</v>
      </c>
      <c r="P172" s="942"/>
      <c r="Q172" s="53">
        <f t="shared" si="40"/>
        <v>1</v>
      </c>
      <c r="R172" s="476">
        <f t="shared" si="41"/>
        <v>0</v>
      </c>
      <c r="S172" s="781">
        <f t="shared" si="32"/>
        <v>0</v>
      </c>
    </row>
    <row r="173" spans="1:19">
      <c r="A173" s="944"/>
      <c r="B173" s="136"/>
      <c r="C173" s="53">
        <f t="shared" si="33"/>
        <v>1</v>
      </c>
      <c r="D173" s="942"/>
      <c r="E173" s="53">
        <f t="shared" si="34"/>
        <v>1</v>
      </c>
      <c r="F173" s="942"/>
      <c r="G173" s="53">
        <f t="shared" si="35"/>
        <v>1</v>
      </c>
      <c r="H173" s="942"/>
      <c r="I173" s="53">
        <f t="shared" si="36"/>
        <v>1</v>
      </c>
      <c r="J173" s="942"/>
      <c r="K173" s="53">
        <f t="shared" si="37"/>
        <v>1</v>
      </c>
      <c r="L173" s="942"/>
      <c r="M173" s="53">
        <f t="shared" si="38"/>
        <v>1</v>
      </c>
      <c r="N173" s="942"/>
      <c r="O173" s="53">
        <f t="shared" si="39"/>
        <v>1</v>
      </c>
      <c r="P173" s="942"/>
      <c r="Q173" s="53">
        <f t="shared" si="40"/>
        <v>1</v>
      </c>
      <c r="R173" s="476">
        <f t="shared" si="41"/>
        <v>0</v>
      </c>
      <c r="S173" s="781">
        <f t="shared" si="32"/>
        <v>0</v>
      </c>
    </row>
    <row r="174" spans="1:19">
      <c r="A174" s="944"/>
      <c r="B174" s="136"/>
      <c r="C174" s="53">
        <f t="shared" si="33"/>
        <v>1</v>
      </c>
      <c r="D174" s="942"/>
      <c r="E174" s="53">
        <f t="shared" si="34"/>
        <v>1</v>
      </c>
      <c r="F174" s="942"/>
      <c r="G174" s="53">
        <f t="shared" si="35"/>
        <v>1</v>
      </c>
      <c r="H174" s="942"/>
      <c r="I174" s="53">
        <f t="shared" si="36"/>
        <v>1</v>
      </c>
      <c r="J174" s="942"/>
      <c r="K174" s="53">
        <f t="shared" si="37"/>
        <v>1</v>
      </c>
      <c r="L174" s="942"/>
      <c r="M174" s="53">
        <f t="shared" si="38"/>
        <v>1</v>
      </c>
      <c r="N174" s="942"/>
      <c r="O174" s="53">
        <f t="shared" si="39"/>
        <v>1</v>
      </c>
      <c r="P174" s="942"/>
      <c r="Q174" s="53">
        <f t="shared" si="40"/>
        <v>1</v>
      </c>
      <c r="R174" s="476">
        <f t="shared" si="41"/>
        <v>0</v>
      </c>
      <c r="S174" s="781">
        <f t="shared" si="32"/>
        <v>0</v>
      </c>
    </row>
    <row r="175" spans="1:19">
      <c r="A175" s="944"/>
      <c r="B175" s="136"/>
      <c r="C175" s="53">
        <f t="shared" si="33"/>
        <v>1</v>
      </c>
      <c r="D175" s="942"/>
      <c r="E175" s="53">
        <f t="shared" si="34"/>
        <v>1</v>
      </c>
      <c r="F175" s="942"/>
      <c r="G175" s="53">
        <f t="shared" si="35"/>
        <v>1</v>
      </c>
      <c r="H175" s="942"/>
      <c r="I175" s="53">
        <f t="shared" si="36"/>
        <v>1</v>
      </c>
      <c r="J175" s="942"/>
      <c r="K175" s="53">
        <f t="shared" si="37"/>
        <v>1</v>
      </c>
      <c r="L175" s="942"/>
      <c r="M175" s="53">
        <f t="shared" si="38"/>
        <v>1</v>
      </c>
      <c r="N175" s="942"/>
      <c r="O175" s="53">
        <f t="shared" si="39"/>
        <v>1</v>
      </c>
      <c r="P175" s="942"/>
      <c r="Q175" s="53">
        <f t="shared" si="40"/>
        <v>1</v>
      </c>
      <c r="R175" s="476">
        <f t="shared" si="41"/>
        <v>0</v>
      </c>
      <c r="S175" s="781">
        <f t="shared" si="32"/>
        <v>0</v>
      </c>
    </row>
    <row r="176" spans="1:19">
      <c r="A176" s="944"/>
      <c r="B176" s="136"/>
      <c r="C176" s="53">
        <f t="shared" si="33"/>
        <v>1</v>
      </c>
      <c r="D176" s="942"/>
      <c r="E176" s="53">
        <f t="shared" si="34"/>
        <v>1</v>
      </c>
      <c r="F176" s="942"/>
      <c r="G176" s="53">
        <f t="shared" si="35"/>
        <v>1</v>
      </c>
      <c r="H176" s="942"/>
      <c r="I176" s="53">
        <f t="shared" si="36"/>
        <v>1</v>
      </c>
      <c r="J176" s="942"/>
      <c r="K176" s="53">
        <f t="shared" si="37"/>
        <v>1</v>
      </c>
      <c r="L176" s="942"/>
      <c r="M176" s="53">
        <f t="shared" si="38"/>
        <v>1</v>
      </c>
      <c r="N176" s="942"/>
      <c r="O176" s="53">
        <f t="shared" si="39"/>
        <v>1</v>
      </c>
      <c r="P176" s="942"/>
      <c r="Q176" s="53">
        <f t="shared" si="40"/>
        <v>1</v>
      </c>
      <c r="R176" s="476">
        <f t="shared" si="41"/>
        <v>0</v>
      </c>
      <c r="S176" s="781">
        <f t="shared" si="32"/>
        <v>0</v>
      </c>
    </row>
    <row r="177" spans="1:19">
      <c r="A177" s="944"/>
      <c r="B177" s="136"/>
      <c r="C177" s="53">
        <f t="shared" si="33"/>
        <v>1</v>
      </c>
      <c r="D177" s="942"/>
      <c r="E177" s="53">
        <f t="shared" si="34"/>
        <v>1</v>
      </c>
      <c r="F177" s="942"/>
      <c r="G177" s="53">
        <f t="shared" si="35"/>
        <v>1</v>
      </c>
      <c r="H177" s="942"/>
      <c r="I177" s="53">
        <f t="shared" si="36"/>
        <v>1</v>
      </c>
      <c r="J177" s="942"/>
      <c r="K177" s="53">
        <f t="shared" si="37"/>
        <v>1</v>
      </c>
      <c r="L177" s="942"/>
      <c r="M177" s="53">
        <f t="shared" si="38"/>
        <v>1</v>
      </c>
      <c r="N177" s="942"/>
      <c r="O177" s="53">
        <f t="shared" si="39"/>
        <v>1</v>
      </c>
      <c r="P177" s="942"/>
      <c r="Q177" s="53">
        <f t="shared" si="40"/>
        <v>1</v>
      </c>
      <c r="R177" s="476">
        <f t="shared" si="41"/>
        <v>0</v>
      </c>
      <c r="S177" s="781">
        <f t="shared" si="32"/>
        <v>0</v>
      </c>
    </row>
    <row r="178" spans="1:19">
      <c r="A178" s="944"/>
      <c r="B178" s="136"/>
      <c r="C178" s="53">
        <f t="shared" si="33"/>
        <v>1</v>
      </c>
      <c r="D178" s="942"/>
      <c r="E178" s="53">
        <f t="shared" si="34"/>
        <v>1</v>
      </c>
      <c r="F178" s="942"/>
      <c r="G178" s="53">
        <f t="shared" si="35"/>
        <v>1</v>
      </c>
      <c r="H178" s="942"/>
      <c r="I178" s="53">
        <f t="shared" si="36"/>
        <v>1</v>
      </c>
      <c r="J178" s="942"/>
      <c r="K178" s="53">
        <f t="shared" si="37"/>
        <v>1</v>
      </c>
      <c r="L178" s="942"/>
      <c r="M178" s="53">
        <f t="shared" si="38"/>
        <v>1</v>
      </c>
      <c r="N178" s="942"/>
      <c r="O178" s="53">
        <f t="shared" si="39"/>
        <v>1</v>
      </c>
      <c r="P178" s="942"/>
      <c r="Q178" s="53">
        <f t="shared" si="40"/>
        <v>1</v>
      </c>
      <c r="R178" s="476">
        <f t="shared" si="41"/>
        <v>0</v>
      </c>
      <c r="S178" s="781">
        <f t="shared" si="32"/>
        <v>0</v>
      </c>
    </row>
    <row r="179" spans="1:19">
      <c r="A179" s="944"/>
      <c r="B179" s="136"/>
      <c r="C179" s="53">
        <f t="shared" si="33"/>
        <v>1</v>
      </c>
      <c r="D179" s="942"/>
      <c r="E179" s="53">
        <f t="shared" si="34"/>
        <v>1</v>
      </c>
      <c r="F179" s="942"/>
      <c r="G179" s="53">
        <f t="shared" si="35"/>
        <v>1</v>
      </c>
      <c r="H179" s="942"/>
      <c r="I179" s="53">
        <f t="shared" si="36"/>
        <v>1</v>
      </c>
      <c r="J179" s="942"/>
      <c r="K179" s="53">
        <f t="shared" si="37"/>
        <v>1</v>
      </c>
      <c r="L179" s="942"/>
      <c r="M179" s="53">
        <f t="shared" si="38"/>
        <v>1</v>
      </c>
      <c r="N179" s="942"/>
      <c r="O179" s="53">
        <f t="shared" si="39"/>
        <v>1</v>
      </c>
      <c r="P179" s="942"/>
      <c r="Q179" s="53">
        <f t="shared" si="40"/>
        <v>1</v>
      </c>
      <c r="R179" s="476">
        <f t="shared" si="41"/>
        <v>0</v>
      </c>
      <c r="S179" s="781">
        <f t="shared" si="32"/>
        <v>0</v>
      </c>
    </row>
    <row r="180" spans="1:19">
      <c r="A180" s="944"/>
      <c r="B180" s="136"/>
      <c r="C180" s="53">
        <f t="shared" si="33"/>
        <v>1</v>
      </c>
      <c r="D180" s="942"/>
      <c r="E180" s="53">
        <f t="shared" si="34"/>
        <v>1</v>
      </c>
      <c r="F180" s="942"/>
      <c r="G180" s="53">
        <f t="shared" si="35"/>
        <v>1</v>
      </c>
      <c r="H180" s="942"/>
      <c r="I180" s="53">
        <f t="shared" si="36"/>
        <v>1</v>
      </c>
      <c r="J180" s="942"/>
      <c r="K180" s="53">
        <f t="shared" si="37"/>
        <v>1</v>
      </c>
      <c r="L180" s="942"/>
      <c r="M180" s="53">
        <f t="shared" si="38"/>
        <v>1</v>
      </c>
      <c r="N180" s="942"/>
      <c r="O180" s="53">
        <f t="shared" si="39"/>
        <v>1</v>
      </c>
      <c r="P180" s="942"/>
      <c r="Q180" s="53">
        <f t="shared" si="40"/>
        <v>1</v>
      </c>
      <c r="R180" s="476">
        <f t="shared" si="41"/>
        <v>0</v>
      </c>
      <c r="S180" s="781">
        <f t="shared" si="32"/>
        <v>0</v>
      </c>
    </row>
    <row r="181" spans="1:19">
      <c r="A181" s="944"/>
      <c r="B181" s="136"/>
      <c r="C181" s="53">
        <f t="shared" si="33"/>
        <v>1</v>
      </c>
      <c r="D181" s="942"/>
      <c r="E181" s="53">
        <f t="shared" si="34"/>
        <v>1</v>
      </c>
      <c r="F181" s="942"/>
      <c r="G181" s="53">
        <f t="shared" si="35"/>
        <v>1</v>
      </c>
      <c r="H181" s="942"/>
      <c r="I181" s="53">
        <f t="shared" si="36"/>
        <v>1</v>
      </c>
      <c r="J181" s="942"/>
      <c r="K181" s="53">
        <f t="shared" si="37"/>
        <v>1</v>
      </c>
      <c r="L181" s="942"/>
      <c r="M181" s="53">
        <f t="shared" si="38"/>
        <v>1</v>
      </c>
      <c r="N181" s="942"/>
      <c r="O181" s="53">
        <f t="shared" si="39"/>
        <v>1</v>
      </c>
      <c r="P181" s="942"/>
      <c r="Q181" s="53">
        <f t="shared" si="40"/>
        <v>1</v>
      </c>
      <c r="R181" s="476">
        <f t="shared" si="41"/>
        <v>0</v>
      </c>
      <c r="S181" s="781">
        <f t="shared" si="32"/>
        <v>0</v>
      </c>
    </row>
    <row r="182" spans="1:19">
      <c r="A182" s="944"/>
      <c r="B182" s="136"/>
      <c r="C182" s="53">
        <f t="shared" si="33"/>
        <v>1</v>
      </c>
      <c r="D182" s="942"/>
      <c r="E182" s="53">
        <f t="shared" si="34"/>
        <v>1</v>
      </c>
      <c r="F182" s="942"/>
      <c r="G182" s="53">
        <f t="shared" si="35"/>
        <v>1</v>
      </c>
      <c r="H182" s="942"/>
      <c r="I182" s="53">
        <f t="shared" si="36"/>
        <v>1</v>
      </c>
      <c r="J182" s="942"/>
      <c r="K182" s="53">
        <f t="shared" si="37"/>
        <v>1</v>
      </c>
      <c r="L182" s="942"/>
      <c r="M182" s="53">
        <f t="shared" si="38"/>
        <v>1</v>
      </c>
      <c r="N182" s="942"/>
      <c r="O182" s="53">
        <f t="shared" si="39"/>
        <v>1</v>
      </c>
      <c r="P182" s="942"/>
      <c r="Q182" s="53">
        <f t="shared" si="40"/>
        <v>1</v>
      </c>
      <c r="R182" s="476">
        <f t="shared" si="41"/>
        <v>0</v>
      </c>
      <c r="S182" s="781">
        <f t="shared" si="32"/>
        <v>0</v>
      </c>
    </row>
    <row r="183" spans="1:19">
      <c r="A183" s="944"/>
      <c r="B183" s="136"/>
      <c r="C183" s="53">
        <f t="shared" si="33"/>
        <v>1</v>
      </c>
      <c r="D183" s="942"/>
      <c r="E183" s="53">
        <f t="shared" si="34"/>
        <v>1</v>
      </c>
      <c r="F183" s="942"/>
      <c r="G183" s="53">
        <f t="shared" si="35"/>
        <v>1</v>
      </c>
      <c r="H183" s="942"/>
      <c r="I183" s="53">
        <f t="shared" si="36"/>
        <v>1</v>
      </c>
      <c r="J183" s="942"/>
      <c r="K183" s="53">
        <f t="shared" si="37"/>
        <v>1</v>
      </c>
      <c r="L183" s="942"/>
      <c r="M183" s="53">
        <f t="shared" si="38"/>
        <v>1</v>
      </c>
      <c r="N183" s="942"/>
      <c r="O183" s="53">
        <f t="shared" si="39"/>
        <v>1</v>
      </c>
      <c r="P183" s="942"/>
      <c r="Q183" s="53">
        <f t="shared" si="40"/>
        <v>1</v>
      </c>
      <c r="R183" s="476">
        <f t="shared" si="41"/>
        <v>0</v>
      </c>
      <c r="S183" s="781">
        <f t="shared" si="32"/>
        <v>0</v>
      </c>
    </row>
    <row r="184" spans="1:19">
      <c r="A184" s="944"/>
      <c r="B184" s="136"/>
      <c r="C184" s="53">
        <f t="shared" si="33"/>
        <v>1</v>
      </c>
      <c r="D184" s="942"/>
      <c r="E184" s="53">
        <f t="shared" si="34"/>
        <v>1</v>
      </c>
      <c r="F184" s="942"/>
      <c r="G184" s="53">
        <f t="shared" si="35"/>
        <v>1</v>
      </c>
      <c r="H184" s="942"/>
      <c r="I184" s="53">
        <f t="shared" si="36"/>
        <v>1</v>
      </c>
      <c r="J184" s="942"/>
      <c r="K184" s="53">
        <f t="shared" si="37"/>
        <v>1</v>
      </c>
      <c r="L184" s="942"/>
      <c r="M184" s="53">
        <f t="shared" si="38"/>
        <v>1</v>
      </c>
      <c r="N184" s="942"/>
      <c r="O184" s="53">
        <f t="shared" si="39"/>
        <v>1</v>
      </c>
      <c r="P184" s="942"/>
      <c r="Q184" s="53">
        <f t="shared" si="40"/>
        <v>1</v>
      </c>
      <c r="R184" s="476">
        <f t="shared" si="41"/>
        <v>0</v>
      </c>
      <c r="S184" s="781">
        <f t="shared" si="32"/>
        <v>0</v>
      </c>
    </row>
    <row r="185" spans="1:19">
      <c r="A185" s="944"/>
      <c r="B185" s="136"/>
      <c r="C185" s="53">
        <f t="shared" si="33"/>
        <v>1</v>
      </c>
      <c r="D185" s="942"/>
      <c r="E185" s="53">
        <f t="shared" si="34"/>
        <v>1</v>
      </c>
      <c r="F185" s="942"/>
      <c r="G185" s="53">
        <f t="shared" si="35"/>
        <v>1</v>
      </c>
      <c r="H185" s="942"/>
      <c r="I185" s="53">
        <f t="shared" si="36"/>
        <v>1</v>
      </c>
      <c r="J185" s="942"/>
      <c r="K185" s="53">
        <f t="shared" si="37"/>
        <v>1</v>
      </c>
      <c r="L185" s="942"/>
      <c r="M185" s="53">
        <f t="shared" si="38"/>
        <v>1</v>
      </c>
      <c r="N185" s="942"/>
      <c r="O185" s="53">
        <f t="shared" si="39"/>
        <v>1</v>
      </c>
      <c r="P185" s="942"/>
      <c r="Q185" s="53">
        <f t="shared" si="40"/>
        <v>1</v>
      </c>
      <c r="R185" s="476">
        <f t="shared" si="41"/>
        <v>0</v>
      </c>
      <c r="S185" s="781">
        <f t="shared" si="32"/>
        <v>0</v>
      </c>
    </row>
    <row r="186" spans="1:19">
      <c r="A186" s="944"/>
      <c r="B186" s="136"/>
      <c r="C186" s="53">
        <f t="shared" si="33"/>
        <v>1</v>
      </c>
      <c r="D186" s="942"/>
      <c r="E186" s="53">
        <f t="shared" si="34"/>
        <v>1</v>
      </c>
      <c r="F186" s="942"/>
      <c r="G186" s="53">
        <f t="shared" si="35"/>
        <v>1</v>
      </c>
      <c r="H186" s="942"/>
      <c r="I186" s="53">
        <f t="shared" si="36"/>
        <v>1</v>
      </c>
      <c r="J186" s="942"/>
      <c r="K186" s="53">
        <f t="shared" si="37"/>
        <v>1</v>
      </c>
      <c r="L186" s="942"/>
      <c r="M186" s="53">
        <f t="shared" si="38"/>
        <v>1</v>
      </c>
      <c r="N186" s="942"/>
      <c r="O186" s="53">
        <f t="shared" si="39"/>
        <v>1</v>
      </c>
      <c r="P186" s="942"/>
      <c r="Q186" s="53">
        <f t="shared" si="40"/>
        <v>1</v>
      </c>
      <c r="R186" s="476">
        <f t="shared" si="41"/>
        <v>0</v>
      </c>
      <c r="S186" s="781">
        <f t="shared" si="32"/>
        <v>0</v>
      </c>
    </row>
    <row r="187" spans="1:19">
      <c r="A187" s="944"/>
      <c r="B187" s="136"/>
      <c r="C187" s="53">
        <f t="shared" si="33"/>
        <v>1</v>
      </c>
      <c r="D187" s="942"/>
      <c r="E187" s="53">
        <f t="shared" si="34"/>
        <v>1</v>
      </c>
      <c r="F187" s="942"/>
      <c r="G187" s="53">
        <f t="shared" si="35"/>
        <v>1</v>
      </c>
      <c r="H187" s="942"/>
      <c r="I187" s="53">
        <f t="shared" si="36"/>
        <v>1</v>
      </c>
      <c r="J187" s="942"/>
      <c r="K187" s="53">
        <f t="shared" si="37"/>
        <v>1</v>
      </c>
      <c r="L187" s="942"/>
      <c r="M187" s="53">
        <f t="shared" si="38"/>
        <v>1</v>
      </c>
      <c r="N187" s="942"/>
      <c r="O187" s="53">
        <f t="shared" si="39"/>
        <v>1</v>
      </c>
      <c r="P187" s="942"/>
      <c r="Q187" s="53">
        <f t="shared" si="40"/>
        <v>1</v>
      </c>
      <c r="R187" s="476">
        <f t="shared" si="41"/>
        <v>0</v>
      </c>
      <c r="S187" s="781">
        <f t="shared" ref="S187:S222" si="42">ROUND(R187*B187/10000,0)</f>
        <v>0</v>
      </c>
    </row>
    <row r="188" spans="1:19">
      <c r="A188" s="944"/>
      <c r="B188" s="136"/>
      <c r="C188" s="53">
        <f t="shared" si="33"/>
        <v>1</v>
      </c>
      <c r="D188" s="942"/>
      <c r="E188" s="53">
        <f t="shared" si="34"/>
        <v>1</v>
      </c>
      <c r="F188" s="942"/>
      <c r="G188" s="53">
        <f t="shared" si="35"/>
        <v>1</v>
      </c>
      <c r="H188" s="942"/>
      <c r="I188" s="53">
        <f t="shared" si="36"/>
        <v>1</v>
      </c>
      <c r="J188" s="942"/>
      <c r="K188" s="53">
        <f t="shared" si="37"/>
        <v>1</v>
      </c>
      <c r="L188" s="942"/>
      <c r="M188" s="53">
        <f t="shared" si="38"/>
        <v>1</v>
      </c>
      <c r="N188" s="942"/>
      <c r="O188" s="53">
        <f t="shared" si="39"/>
        <v>1</v>
      </c>
      <c r="P188" s="942"/>
      <c r="Q188" s="53">
        <f t="shared" si="40"/>
        <v>1</v>
      </c>
      <c r="R188" s="476">
        <f t="shared" si="41"/>
        <v>0</v>
      </c>
      <c r="S188" s="781">
        <f t="shared" si="42"/>
        <v>0</v>
      </c>
    </row>
    <row r="189" spans="1:19">
      <c r="A189" s="944"/>
      <c r="B189" s="136"/>
      <c r="C189" s="53">
        <f t="shared" si="33"/>
        <v>1</v>
      </c>
      <c r="D189" s="942"/>
      <c r="E189" s="53">
        <f t="shared" si="34"/>
        <v>1</v>
      </c>
      <c r="F189" s="942"/>
      <c r="G189" s="53">
        <f t="shared" si="35"/>
        <v>1</v>
      </c>
      <c r="H189" s="942"/>
      <c r="I189" s="53">
        <f t="shared" si="36"/>
        <v>1</v>
      </c>
      <c r="J189" s="942"/>
      <c r="K189" s="53">
        <f t="shared" si="37"/>
        <v>1</v>
      </c>
      <c r="L189" s="942"/>
      <c r="M189" s="53">
        <f t="shared" si="38"/>
        <v>1</v>
      </c>
      <c r="N189" s="942"/>
      <c r="O189" s="53">
        <f t="shared" si="39"/>
        <v>1</v>
      </c>
      <c r="P189" s="942"/>
      <c r="Q189" s="53">
        <f t="shared" si="40"/>
        <v>1</v>
      </c>
      <c r="R189" s="476">
        <f t="shared" si="41"/>
        <v>0</v>
      </c>
      <c r="S189" s="781">
        <f t="shared" si="42"/>
        <v>0</v>
      </c>
    </row>
    <row r="190" spans="1:19">
      <c r="A190" s="944"/>
      <c r="B190" s="136"/>
      <c r="C190" s="53">
        <f t="shared" si="33"/>
        <v>1</v>
      </c>
      <c r="D190" s="942"/>
      <c r="E190" s="53">
        <f t="shared" si="34"/>
        <v>1</v>
      </c>
      <c r="F190" s="942"/>
      <c r="G190" s="53">
        <f t="shared" si="35"/>
        <v>1</v>
      </c>
      <c r="H190" s="942"/>
      <c r="I190" s="53">
        <f t="shared" si="36"/>
        <v>1</v>
      </c>
      <c r="J190" s="942"/>
      <c r="K190" s="53">
        <f t="shared" si="37"/>
        <v>1</v>
      </c>
      <c r="L190" s="942"/>
      <c r="M190" s="53">
        <f t="shared" si="38"/>
        <v>1</v>
      </c>
      <c r="N190" s="942"/>
      <c r="O190" s="53">
        <f t="shared" si="39"/>
        <v>1</v>
      </c>
      <c r="P190" s="942"/>
      <c r="Q190" s="53">
        <f t="shared" si="40"/>
        <v>1</v>
      </c>
      <c r="R190" s="476">
        <f t="shared" si="41"/>
        <v>0</v>
      </c>
      <c r="S190" s="781">
        <f t="shared" si="42"/>
        <v>0</v>
      </c>
    </row>
    <row r="191" spans="1:19">
      <c r="A191" s="944"/>
      <c r="B191" s="136"/>
      <c r="C191" s="53">
        <f t="shared" si="33"/>
        <v>1</v>
      </c>
      <c r="D191" s="942"/>
      <c r="E191" s="53">
        <f t="shared" si="34"/>
        <v>1</v>
      </c>
      <c r="F191" s="942"/>
      <c r="G191" s="53">
        <f t="shared" si="35"/>
        <v>1</v>
      </c>
      <c r="H191" s="942"/>
      <c r="I191" s="53">
        <f t="shared" si="36"/>
        <v>1</v>
      </c>
      <c r="J191" s="942"/>
      <c r="K191" s="53">
        <f t="shared" si="37"/>
        <v>1</v>
      </c>
      <c r="L191" s="942"/>
      <c r="M191" s="53">
        <f t="shared" si="38"/>
        <v>1</v>
      </c>
      <c r="N191" s="942"/>
      <c r="O191" s="53">
        <f t="shared" si="39"/>
        <v>1</v>
      </c>
      <c r="P191" s="942"/>
      <c r="Q191" s="53">
        <f t="shared" si="40"/>
        <v>1</v>
      </c>
      <c r="R191" s="476">
        <f t="shared" si="41"/>
        <v>0</v>
      </c>
      <c r="S191" s="781">
        <f t="shared" si="42"/>
        <v>0</v>
      </c>
    </row>
    <row r="192" spans="1:19">
      <c r="A192" s="944"/>
      <c r="B192" s="136"/>
      <c r="C192" s="53">
        <f t="shared" si="33"/>
        <v>1</v>
      </c>
      <c r="D192" s="942"/>
      <c r="E192" s="53">
        <f t="shared" si="34"/>
        <v>1</v>
      </c>
      <c r="F192" s="942"/>
      <c r="G192" s="53">
        <f t="shared" si="35"/>
        <v>1</v>
      </c>
      <c r="H192" s="942"/>
      <c r="I192" s="53">
        <f t="shared" si="36"/>
        <v>1</v>
      </c>
      <c r="J192" s="942"/>
      <c r="K192" s="53">
        <f t="shared" si="37"/>
        <v>1</v>
      </c>
      <c r="L192" s="942"/>
      <c r="M192" s="53">
        <f t="shared" si="38"/>
        <v>1</v>
      </c>
      <c r="N192" s="942"/>
      <c r="O192" s="53">
        <f t="shared" si="39"/>
        <v>1</v>
      </c>
      <c r="P192" s="942"/>
      <c r="Q192" s="53">
        <f t="shared" si="40"/>
        <v>1</v>
      </c>
      <c r="R192" s="476">
        <f t="shared" si="41"/>
        <v>0</v>
      </c>
      <c r="S192" s="781">
        <f t="shared" si="42"/>
        <v>0</v>
      </c>
    </row>
    <row r="193" spans="1:19">
      <c r="A193" s="944"/>
      <c r="B193" s="136"/>
      <c r="C193" s="53">
        <f t="shared" si="33"/>
        <v>1</v>
      </c>
      <c r="D193" s="942"/>
      <c r="E193" s="53">
        <f t="shared" si="34"/>
        <v>1</v>
      </c>
      <c r="F193" s="942"/>
      <c r="G193" s="53">
        <f t="shared" si="35"/>
        <v>1</v>
      </c>
      <c r="H193" s="942"/>
      <c r="I193" s="53">
        <f t="shared" si="36"/>
        <v>1</v>
      </c>
      <c r="J193" s="942"/>
      <c r="K193" s="53">
        <f t="shared" si="37"/>
        <v>1</v>
      </c>
      <c r="L193" s="942"/>
      <c r="M193" s="53">
        <f t="shared" si="38"/>
        <v>1</v>
      </c>
      <c r="N193" s="942"/>
      <c r="O193" s="53">
        <f t="shared" si="39"/>
        <v>1</v>
      </c>
      <c r="P193" s="942"/>
      <c r="Q193" s="53">
        <f t="shared" si="40"/>
        <v>1</v>
      </c>
      <c r="R193" s="476">
        <f t="shared" si="41"/>
        <v>0</v>
      </c>
      <c r="S193" s="781">
        <f t="shared" si="42"/>
        <v>0</v>
      </c>
    </row>
    <row r="194" spans="1:19">
      <c r="A194" s="944"/>
      <c r="B194" s="136"/>
      <c r="C194" s="53">
        <f t="shared" si="33"/>
        <v>1</v>
      </c>
      <c r="D194" s="942"/>
      <c r="E194" s="53">
        <f t="shared" si="34"/>
        <v>1</v>
      </c>
      <c r="F194" s="942"/>
      <c r="G194" s="53">
        <f t="shared" si="35"/>
        <v>1</v>
      </c>
      <c r="H194" s="942"/>
      <c r="I194" s="53">
        <f t="shared" si="36"/>
        <v>1</v>
      </c>
      <c r="J194" s="942"/>
      <c r="K194" s="53">
        <f t="shared" si="37"/>
        <v>1</v>
      </c>
      <c r="L194" s="942"/>
      <c r="M194" s="53">
        <f t="shared" si="38"/>
        <v>1</v>
      </c>
      <c r="N194" s="942"/>
      <c r="O194" s="53">
        <f t="shared" si="39"/>
        <v>1</v>
      </c>
      <c r="P194" s="942"/>
      <c r="Q194" s="53">
        <f t="shared" si="40"/>
        <v>1</v>
      </c>
      <c r="R194" s="476">
        <f t="shared" si="41"/>
        <v>0</v>
      </c>
      <c r="S194" s="781">
        <f t="shared" si="42"/>
        <v>0</v>
      </c>
    </row>
    <row r="195" spans="1:19">
      <c r="A195" s="944"/>
      <c r="B195" s="136"/>
      <c r="C195" s="53">
        <f t="shared" si="33"/>
        <v>1</v>
      </c>
      <c r="D195" s="942"/>
      <c r="E195" s="53">
        <f t="shared" si="34"/>
        <v>1</v>
      </c>
      <c r="F195" s="942"/>
      <c r="G195" s="53">
        <f t="shared" si="35"/>
        <v>1</v>
      </c>
      <c r="H195" s="942"/>
      <c r="I195" s="53">
        <f t="shared" si="36"/>
        <v>1</v>
      </c>
      <c r="J195" s="942"/>
      <c r="K195" s="53">
        <f t="shared" si="37"/>
        <v>1</v>
      </c>
      <c r="L195" s="942"/>
      <c r="M195" s="53">
        <f t="shared" si="38"/>
        <v>1</v>
      </c>
      <c r="N195" s="942"/>
      <c r="O195" s="53">
        <f t="shared" si="39"/>
        <v>1</v>
      </c>
      <c r="P195" s="942"/>
      <c r="Q195" s="53">
        <f t="shared" si="40"/>
        <v>1</v>
      </c>
      <c r="R195" s="476">
        <f t="shared" si="41"/>
        <v>0</v>
      </c>
      <c r="S195" s="781">
        <f t="shared" si="42"/>
        <v>0</v>
      </c>
    </row>
    <row r="196" spans="1:19">
      <c r="A196" s="944"/>
      <c r="B196" s="136"/>
      <c r="C196" s="53">
        <f t="shared" si="33"/>
        <v>1</v>
      </c>
      <c r="D196" s="942"/>
      <c r="E196" s="53">
        <f t="shared" si="34"/>
        <v>1</v>
      </c>
      <c r="F196" s="942"/>
      <c r="G196" s="53">
        <f t="shared" si="35"/>
        <v>1</v>
      </c>
      <c r="H196" s="942"/>
      <c r="I196" s="53">
        <f t="shared" si="36"/>
        <v>1</v>
      </c>
      <c r="J196" s="942"/>
      <c r="K196" s="53">
        <f t="shared" si="37"/>
        <v>1</v>
      </c>
      <c r="L196" s="942"/>
      <c r="M196" s="53">
        <f t="shared" si="38"/>
        <v>1</v>
      </c>
      <c r="N196" s="942"/>
      <c r="O196" s="53">
        <f t="shared" si="39"/>
        <v>1</v>
      </c>
      <c r="P196" s="942"/>
      <c r="Q196" s="53">
        <f t="shared" si="40"/>
        <v>1</v>
      </c>
      <c r="R196" s="476">
        <f t="shared" si="41"/>
        <v>0</v>
      </c>
      <c r="S196" s="781">
        <f t="shared" si="42"/>
        <v>0</v>
      </c>
    </row>
    <row r="197" spans="1:19">
      <c r="A197" s="944"/>
      <c r="B197" s="136"/>
      <c r="C197" s="53">
        <f t="shared" si="33"/>
        <v>1</v>
      </c>
      <c r="D197" s="942"/>
      <c r="E197" s="53">
        <f t="shared" si="34"/>
        <v>1</v>
      </c>
      <c r="F197" s="942"/>
      <c r="G197" s="53">
        <f t="shared" si="35"/>
        <v>1</v>
      </c>
      <c r="H197" s="942"/>
      <c r="I197" s="53">
        <f t="shared" si="36"/>
        <v>1</v>
      </c>
      <c r="J197" s="942"/>
      <c r="K197" s="53">
        <f t="shared" si="37"/>
        <v>1</v>
      </c>
      <c r="L197" s="942"/>
      <c r="M197" s="53">
        <f t="shared" si="38"/>
        <v>1</v>
      </c>
      <c r="N197" s="942"/>
      <c r="O197" s="53">
        <f t="shared" si="39"/>
        <v>1</v>
      </c>
      <c r="P197" s="942"/>
      <c r="Q197" s="53">
        <f t="shared" si="40"/>
        <v>1</v>
      </c>
      <c r="R197" s="476">
        <f t="shared" si="41"/>
        <v>0</v>
      </c>
      <c r="S197" s="781">
        <f t="shared" si="42"/>
        <v>0</v>
      </c>
    </row>
    <row r="198" spans="1:19">
      <c r="A198" s="944"/>
      <c r="B198" s="136"/>
      <c r="C198" s="53">
        <f t="shared" si="33"/>
        <v>1</v>
      </c>
      <c r="D198" s="942"/>
      <c r="E198" s="53">
        <f t="shared" si="34"/>
        <v>1</v>
      </c>
      <c r="F198" s="942"/>
      <c r="G198" s="53">
        <f t="shared" si="35"/>
        <v>1</v>
      </c>
      <c r="H198" s="942"/>
      <c r="I198" s="53">
        <f t="shared" si="36"/>
        <v>1</v>
      </c>
      <c r="J198" s="942"/>
      <c r="K198" s="53">
        <f t="shared" si="37"/>
        <v>1</v>
      </c>
      <c r="L198" s="942"/>
      <c r="M198" s="53">
        <f t="shared" si="38"/>
        <v>1</v>
      </c>
      <c r="N198" s="942"/>
      <c r="O198" s="53">
        <f t="shared" si="39"/>
        <v>1</v>
      </c>
      <c r="P198" s="942"/>
      <c r="Q198" s="53">
        <f t="shared" si="40"/>
        <v>1</v>
      </c>
      <c r="R198" s="476">
        <f t="shared" si="41"/>
        <v>0</v>
      </c>
      <c r="S198" s="781">
        <f t="shared" si="42"/>
        <v>0</v>
      </c>
    </row>
    <row r="199" spans="1:19">
      <c r="A199" s="944"/>
      <c r="B199" s="136"/>
      <c r="C199" s="53">
        <f t="shared" si="33"/>
        <v>1</v>
      </c>
      <c r="D199" s="942"/>
      <c r="E199" s="53">
        <f t="shared" si="34"/>
        <v>1</v>
      </c>
      <c r="F199" s="942"/>
      <c r="G199" s="53">
        <f t="shared" si="35"/>
        <v>1</v>
      </c>
      <c r="H199" s="942"/>
      <c r="I199" s="53">
        <f t="shared" si="36"/>
        <v>1</v>
      </c>
      <c r="J199" s="942"/>
      <c r="K199" s="53">
        <f t="shared" si="37"/>
        <v>1</v>
      </c>
      <c r="L199" s="942"/>
      <c r="M199" s="53">
        <f t="shared" si="38"/>
        <v>1</v>
      </c>
      <c r="N199" s="942"/>
      <c r="O199" s="53">
        <f t="shared" si="39"/>
        <v>1</v>
      </c>
      <c r="P199" s="942"/>
      <c r="Q199" s="53">
        <f t="shared" si="40"/>
        <v>1</v>
      </c>
      <c r="R199" s="476">
        <f t="shared" si="41"/>
        <v>0</v>
      </c>
      <c r="S199" s="781">
        <f t="shared" si="42"/>
        <v>0</v>
      </c>
    </row>
    <row r="200" spans="1:19">
      <c r="A200" s="944"/>
      <c r="B200" s="136"/>
      <c r="C200" s="53">
        <f t="shared" si="33"/>
        <v>1</v>
      </c>
      <c r="D200" s="942"/>
      <c r="E200" s="53">
        <f t="shared" si="34"/>
        <v>1</v>
      </c>
      <c r="F200" s="942"/>
      <c r="G200" s="53">
        <f t="shared" si="35"/>
        <v>1</v>
      </c>
      <c r="H200" s="942"/>
      <c r="I200" s="53">
        <f t="shared" si="36"/>
        <v>1</v>
      </c>
      <c r="J200" s="942"/>
      <c r="K200" s="53">
        <f t="shared" si="37"/>
        <v>1</v>
      </c>
      <c r="L200" s="942"/>
      <c r="M200" s="53">
        <f t="shared" si="38"/>
        <v>1</v>
      </c>
      <c r="N200" s="942"/>
      <c r="O200" s="53">
        <f t="shared" si="39"/>
        <v>1</v>
      </c>
      <c r="P200" s="942"/>
      <c r="Q200" s="53">
        <f t="shared" si="40"/>
        <v>1</v>
      </c>
      <c r="R200" s="476">
        <f t="shared" si="41"/>
        <v>0</v>
      </c>
      <c r="S200" s="781">
        <f t="shared" si="42"/>
        <v>0</v>
      </c>
    </row>
    <row r="201" spans="1:19">
      <c r="A201" s="944"/>
      <c r="B201" s="136"/>
      <c r="C201" s="53">
        <f t="shared" si="33"/>
        <v>1</v>
      </c>
      <c r="D201" s="942"/>
      <c r="E201" s="53">
        <f t="shared" si="34"/>
        <v>1</v>
      </c>
      <c r="F201" s="942"/>
      <c r="G201" s="53">
        <f t="shared" si="35"/>
        <v>1</v>
      </c>
      <c r="H201" s="942"/>
      <c r="I201" s="53">
        <f t="shared" si="36"/>
        <v>1</v>
      </c>
      <c r="J201" s="942"/>
      <c r="K201" s="53">
        <f t="shared" si="37"/>
        <v>1</v>
      </c>
      <c r="L201" s="942"/>
      <c r="M201" s="53">
        <f t="shared" si="38"/>
        <v>1</v>
      </c>
      <c r="N201" s="942"/>
      <c r="O201" s="53">
        <f t="shared" si="39"/>
        <v>1</v>
      </c>
      <c r="P201" s="942"/>
      <c r="Q201" s="53">
        <f t="shared" si="40"/>
        <v>1</v>
      </c>
      <c r="R201" s="476">
        <f t="shared" si="41"/>
        <v>0</v>
      </c>
      <c r="S201" s="781">
        <f t="shared" si="42"/>
        <v>0</v>
      </c>
    </row>
    <row r="202" spans="1:19">
      <c r="A202" s="944"/>
      <c r="B202" s="136"/>
      <c r="C202" s="53">
        <f t="shared" si="33"/>
        <v>1</v>
      </c>
      <c r="D202" s="942"/>
      <c r="E202" s="53">
        <f t="shared" si="34"/>
        <v>1</v>
      </c>
      <c r="F202" s="942"/>
      <c r="G202" s="53">
        <f t="shared" si="35"/>
        <v>1</v>
      </c>
      <c r="H202" s="942"/>
      <c r="I202" s="53">
        <f t="shared" si="36"/>
        <v>1</v>
      </c>
      <c r="J202" s="942"/>
      <c r="K202" s="53">
        <f t="shared" si="37"/>
        <v>1</v>
      </c>
      <c r="L202" s="942"/>
      <c r="M202" s="53">
        <f t="shared" si="38"/>
        <v>1</v>
      </c>
      <c r="N202" s="942"/>
      <c r="O202" s="53">
        <f t="shared" si="39"/>
        <v>1</v>
      </c>
      <c r="P202" s="942"/>
      <c r="Q202" s="53">
        <f t="shared" si="40"/>
        <v>1</v>
      </c>
      <c r="R202" s="476">
        <f t="shared" si="41"/>
        <v>0</v>
      </c>
      <c r="S202" s="781">
        <f t="shared" si="42"/>
        <v>0</v>
      </c>
    </row>
    <row r="203" spans="1:19">
      <c r="A203" s="944"/>
      <c r="B203" s="136"/>
      <c r="C203" s="53">
        <f t="shared" si="33"/>
        <v>1</v>
      </c>
      <c r="D203" s="942"/>
      <c r="E203" s="53">
        <f t="shared" si="34"/>
        <v>1</v>
      </c>
      <c r="F203" s="942"/>
      <c r="G203" s="53">
        <f t="shared" si="35"/>
        <v>1</v>
      </c>
      <c r="H203" s="942"/>
      <c r="I203" s="53">
        <f t="shared" si="36"/>
        <v>1</v>
      </c>
      <c r="J203" s="942"/>
      <c r="K203" s="53">
        <f t="shared" si="37"/>
        <v>1</v>
      </c>
      <c r="L203" s="942"/>
      <c r="M203" s="53">
        <f t="shared" si="38"/>
        <v>1</v>
      </c>
      <c r="N203" s="942"/>
      <c r="O203" s="53">
        <f t="shared" si="39"/>
        <v>1</v>
      </c>
      <c r="P203" s="942"/>
      <c r="Q203" s="53">
        <f t="shared" si="40"/>
        <v>1</v>
      </c>
      <c r="R203" s="476">
        <f t="shared" si="41"/>
        <v>0</v>
      </c>
      <c r="S203" s="781">
        <f t="shared" si="42"/>
        <v>0</v>
      </c>
    </row>
    <row r="204" spans="1:19">
      <c r="A204" s="944"/>
      <c r="B204" s="136"/>
      <c r="C204" s="53">
        <f t="shared" si="33"/>
        <v>1</v>
      </c>
      <c r="D204" s="942"/>
      <c r="E204" s="53">
        <f t="shared" si="34"/>
        <v>1</v>
      </c>
      <c r="F204" s="942"/>
      <c r="G204" s="53">
        <f t="shared" si="35"/>
        <v>1</v>
      </c>
      <c r="H204" s="942"/>
      <c r="I204" s="53">
        <f t="shared" si="36"/>
        <v>1</v>
      </c>
      <c r="J204" s="942"/>
      <c r="K204" s="53">
        <f t="shared" si="37"/>
        <v>1</v>
      </c>
      <c r="L204" s="942"/>
      <c r="M204" s="53">
        <f t="shared" si="38"/>
        <v>1</v>
      </c>
      <c r="N204" s="942"/>
      <c r="O204" s="53">
        <f t="shared" si="39"/>
        <v>1</v>
      </c>
      <c r="P204" s="942"/>
      <c r="Q204" s="53">
        <f t="shared" si="40"/>
        <v>1</v>
      </c>
      <c r="R204" s="476">
        <f t="shared" si="41"/>
        <v>0</v>
      </c>
      <c r="S204" s="781">
        <f t="shared" si="42"/>
        <v>0</v>
      </c>
    </row>
    <row r="205" spans="1:19">
      <c r="A205" s="944"/>
      <c r="B205" s="136"/>
      <c r="C205" s="53">
        <f t="shared" si="33"/>
        <v>1</v>
      </c>
      <c r="D205" s="942"/>
      <c r="E205" s="53">
        <f t="shared" si="34"/>
        <v>1</v>
      </c>
      <c r="F205" s="942"/>
      <c r="G205" s="53">
        <f t="shared" si="35"/>
        <v>1</v>
      </c>
      <c r="H205" s="942"/>
      <c r="I205" s="53">
        <f t="shared" si="36"/>
        <v>1</v>
      </c>
      <c r="J205" s="942"/>
      <c r="K205" s="53">
        <f t="shared" si="37"/>
        <v>1</v>
      </c>
      <c r="L205" s="942"/>
      <c r="M205" s="53">
        <f t="shared" si="38"/>
        <v>1</v>
      </c>
      <c r="N205" s="942"/>
      <c r="O205" s="53">
        <f t="shared" si="39"/>
        <v>1</v>
      </c>
      <c r="P205" s="942"/>
      <c r="Q205" s="53">
        <f t="shared" si="40"/>
        <v>1</v>
      </c>
      <c r="R205" s="476">
        <f t="shared" si="41"/>
        <v>0</v>
      </c>
      <c r="S205" s="781">
        <f t="shared" si="42"/>
        <v>0</v>
      </c>
    </row>
    <row r="206" spans="1:19">
      <c r="A206" s="944"/>
      <c r="B206" s="136"/>
      <c r="C206" s="53">
        <f t="shared" si="33"/>
        <v>1</v>
      </c>
      <c r="D206" s="942"/>
      <c r="E206" s="53">
        <f t="shared" si="34"/>
        <v>1</v>
      </c>
      <c r="F206" s="942"/>
      <c r="G206" s="53">
        <f t="shared" si="35"/>
        <v>1</v>
      </c>
      <c r="H206" s="942"/>
      <c r="I206" s="53">
        <f t="shared" si="36"/>
        <v>1</v>
      </c>
      <c r="J206" s="942"/>
      <c r="K206" s="53">
        <f t="shared" si="37"/>
        <v>1</v>
      </c>
      <c r="L206" s="942"/>
      <c r="M206" s="53">
        <f t="shared" si="38"/>
        <v>1</v>
      </c>
      <c r="N206" s="942"/>
      <c r="O206" s="53">
        <f t="shared" si="39"/>
        <v>1</v>
      </c>
      <c r="P206" s="942"/>
      <c r="Q206" s="53">
        <f t="shared" si="40"/>
        <v>1</v>
      </c>
      <c r="R206" s="476">
        <f t="shared" si="41"/>
        <v>0</v>
      </c>
      <c r="S206" s="781">
        <f t="shared" si="42"/>
        <v>0</v>
      </c>
    </row>
    <row r="207" spans="1:19">
      <c r="A207" s="944"/>
      <c r="B207" s="136"/>
      <c r="C207" s="53">
        <f t="shared" si="33"/>
        <v>1</v>
      </c>
      <c r="D207" s="942"/>
      <c r="E207" s="53">
        <f t="shared" si="34"/>
        <v>1</v>
      </c>
      <c r="F207" s="942"/>
      <c r="G207" s="53">
        <f t="shared" si="35"/>
        <v>1</v>
      </c>
      <c r="H207" s="942"/>
      <c r="I207" s="53">
        <f t="shared" si="36"/>
        <v>1</v>
      </c>
      <c r="J207" s="942"/>
      <c r="K207" s="53">
        <f t="shared" si="37"/>
        <v>1</v>
      </c>
      <c r="L207" s="942"/>
      <c r="M207" s="53">
        <f t="shared" si="38"/>
        <v>1</v>
      </c>
      <c r="N207" s="942"/>
      <c r="O207" s="53">
        <f t="shared" si="39"/>
        <v>1</v>
      </c>
      <c r="P207" s="942"/>
      <c r="Q207" s="53">
        <f t="shared" si="40"/>
        <v>1</v>
      </c>
      <c r="R207" s="476">
        <f t="shared" si="41"/>
        <v>0</v>
      </c>
      <c r="S207" s="781">
        <f t="shared" si="42"/>
        <v>0</v>
      </c>
    </row>
    <row r="208" spans="1:19">
      <c r="A208" s="944"/>
      <c r="B208" s="136"/>
      <c r="C208" s="53">
        <f t="shared" si="33"/>
        <v>1</v>
      </c>
      <c r="D208" s="942"/>
      <c r="E208" s="53">
        <f t="shared" si="34"/>
        <v>1</v>
      </c>
      <c r="F208" s="942"/>
      <c r="G208" s="53">
        <f t="shared" si="35"/>
        <v>1</v>
      </c>
      <c r="H208" s="942"/>
      <c r="I208" s="53">
        <f t="shared" si="36"/>
        <v>1</v>
      </c>
      <c r="J208" s="942"/>
      <c r="K208" s="53">
        <f t="shared" si="37"/>
        <v>1</v>
      </c>
      <c r="L208" s="942"/>
      <c r="M208" s="53">
        <f t="shared" si="38"/>
        <v>1</v>
      </c>
      <c r="N208" s="942"/>
      <c r="O208" s="53">
        <f t="shared" si="39"/>
        <v>1</v>
      </c>
      <c r="P208" s="942"/>
      <c r="Q208" s="53">
        <f t="shared" si="40"/>
        <v>1</v>
      </c>
      <c r="R208" s="476">
        <f t="shared" si="41"/>
        <v>0</v>
      </c>
      <c r="S208" s="781">
        <f t="shared" si="42"/>
        <v>0</v>
      </c>
    </row>
    <row r="209" spans="1:19">
      <c r="A209" s="944"/>
      <c r="B209" s="136"/>
      <c r="C209" s="53">
        <f t="shared" si="33"/>
        <v>1</v>
      </c>
      <c r="D209" s="942"/>
      <c r="E209" s="53">
        <f t="shared" si="34"/>
        <v>1</v>
      </c>
      <c r="F209" s="942"/>
      <c r="G209" s="53">
        <f t="shared" si="35"/>
        <v>1</v>
      </c>
      <c r="H209" s="942"/>
      <c r="I209" s="53">
        <f t="shared" si="36"/>
        <v>1</v>
      </c>
      <c r="J209" s="942"/>
      <c r="K209" s="53">
        <f t="shared" si="37"/>
        <v>1</v>
      </c>
      <c r="L209" s="942"/>
      <c r="M209" s="53">
        <f t="shared" si="38"/>
        <v>1</v>
      </c>
      <c r="N209" s="942"/>
      <c r="O209" s="53">
        <f t="shared" si="39"/>
        <v>1</v>
      </c>
      <c r="P209" s="942"/>
      <c r="Q209" s="53">
        <f t="shared" si="40"/>
        <v>1</v>
      </c>
      <c r="R209" s="476">
        <f t="shared" si="41"/>
        <v>0</v>
      </c>
      <c r="S209" s="781">
        <f t="shared" si="42"/>
        <v>0</v>
      </c>
    </row>
    <row r="210" spans="1:19">
      <c r="A210" s="944"/>
      <c r="B210" s="136"/>
      <c r="C210" s="53">
        <f t="shared" si="33"/>
        <v>1</v>
      </c>
      <c r="D210" s="942"/>
      <c r="E210" s="53">
        <f t="shared" si="34"/>
        <v>1</v>
      </c>
      <c r="F210" s="942"/>
      <c r="G210" s="53">
        <f t="shared" si="35"/>
        <v>1</v>
      </c>
      <c r="H210" s="942"/>
      <c r="I210" s="53">
        <f t="shared" si="36"/>
        <v>1</v>
      </c>
      <c r="J210" s="942"/>
      <c r="K210" s="53">
        <f t="shared" si="37"/>
        <v>1</v>
      </c>
      <c r="L210" s="942"/>
      <c r="M210" s="53">
        <f t="shared" si="38"/>
        <v>1</v>
      </c>
      <c r="N210" s="942"/>
      <c r="O210" s="53">
        <f t="shared" si="39"/>
        <v>1</v>
      </c>
      <c r="P210" s="942"/>
      <c r="Q210" s="53">
        <f t="shared" si="40"/>
        <v>1</v>
      </c>
      <c r="R210" s="476">
        <f t="shared" si="41"/>
        <v>0</v>
      </c>
      <c r="S210" s="781">
        <f t="shared" si="42"/>
        <v>0</v>
      </c>
    </row>
    <row r="211" spans="1:19">
      <c r="A211" s="944"/>
      <c r="B211" s="136"/>
      <c r="C211" s="53">
        <f t="shared" si="33"/>
        <v>1</v>
      </c>
      <c r="D211" s="942"/>
      <c r="E211" s="53">
        <f t="shared" si="34"/>
        <v>1</v>
      </c>
      <c r="F211" s="942"/>
      <c r="G211" s="53">
        <f t="shared" si="35"/>
        <v>1</v>
      </c>
      <c r="H211" s="942"/>
      <c r="I211" s="53">
        <f t="shared" si="36"/>
        <v>1</v>
      </c>
      <c r="J211" s="942"/>
      <c r="K211" s="53">
        <f t="shared" si="37"/>
        <v>1</v>
      </c>
      <c r="L211" s="942"/>
      <c r="M211" s="53">
        <f t="shared" si="38"/>
        <v>1</v>
      </c>
      <c r="N211" s="942"/>
      <c r="O211" s="53">
        <f t="shared" si="39"/>
        <v>1</v>
      </c>
      <c r="P211" s="942"/>
      <c r="Q211" s="53">
        <f t="shared" si="40"/>
        <v>1</v>
      </c>
      <c r="R211" s="476">
        <f t="shared" si="41"/>
        <v>0</v>
      </c>
      <c r="S211" s="781">
        <f t="shared" si="42"/>
        <v>0</v>
      </c>
    </row>
    <row r="212" spans="1:19">
      <c r="A212" s="944"/>
      <c r="B212" s="136"/>
      <c r="C212" s="53">
        <f t="shared" si="33"/>
        <v>1</v>
      </c>
      <c r="D212" s="942"/>
      <c r="E212" s="53">
        <f t="shared" si="34"/>
        <v>1</v>
      </c>
      <c r="F212" s="942"/>
      <c r="G212" s="53">
        <f t="shared" si="35"/>
        <v>1</v>
      </c>
      <c r="H212" s="942"/>
      <c r="I212" s="53">
        <f t="shared" si="36"/>
        <v>1</v>
      </c>
      <c r="J212" s="942"/>
      <c r="K212" s="53">
        <f t="shared" si="37"/>
        <v>1</v>
      </c>
      <c r="L212" s="942"/>
      <c r="M212" s="53">
        <f t="shared" si="38"/>
        <v>1</v>
      </c>
      <c r="N212" s="942"/>
      <c r="O212" s="53">
        <f t="shared" si="39"/>
        <v>1</v>
      </c>
      <c r="P212" s="942"/>
      <c r="Q212" s="53">
        <f t="shared" si="40"/>
        <v>1</v>
      </c>
      <c r="R212" s="476">
        <f t="shared" si="41"/>
        <v>0</v>
      </c>
      <c r="S212" s="781">
        <f t="shared" si="42"/>
        <v>0</v>
      </c>
    </row>
    <row r="213" spans="1:19">
      <c r="A213" s="944"/>
      <c r="B213" s="136"/>
      <c r="C213" s="53">
        <f t="shared" si="33"/>
        <v>1</v>
      </c>
      <c r="D213" s="942"/>
      <c r="E213" s="53">
        <f t="shared" si="34"/>
        <v>1</v>
      </c>
      <c r="F213" s="942"/>
      <c r="G213" s="53">
        <f t="shared" si="35"/>
        <v>1</v>
      </c>
      <c r="H213" s="942"/>
      <c r="I213" s="53">
        <f t="shared" si="36"/>
        <v>1</v>
      </c>
      <c r="J213" s="942"/>
      <c r="K213" s="53">
        <f t="shared" si="37"/>
        <v>1</v>
      </c>
      <c r="L213" s="942"/>
      <c r="M213" s="53">
        <f t="shared" si="38"/>
        <v>1</v>
      </c>
      <c r="N213" s="942"/>
      <c r="O213" s="53">
        <f t="shared" si="39"/>
        <v>1</v>
      </c>
      <c r="P213" s="942"/>
      <c r="Q213" s="53">
        <f t="shared" si="40"/>
        <v>1</v>
      </c>
      <c r="R213" s="476">
        <f t="shared" si="41"/>
        <v>0</v>
      </c>
      <c r="S213" s="781">
        <f t="shared" si="42"/>
        <v>0</v>
      </c>
    </row>
    <row r="214" spans="1:19">
      <c r="A214" s="944"/>
      <c r="B214" s="136"/>
      <c r="C214" s="53">
        <f t="shared" si="33"/>
        <v>1</v>
      </c>
      <c r="D214" s="942"/>
      <c r="E214" s="53">
        <f t="shared" si="34"/>
        <v>1</v>
      </c>
      <c r="F214" s="942"/>
      <c r="G214" s="53">
        <f t="shared" si="35"/>
        <v>1</v>
      </c>
      <c r="H214" s="942"/>
      <c r="I214" s="53">
        <f t="shared" si="36"/>
        <v>1</v>
      </c>
      <c r="J214" s="942"/>
      <c r="K214" s="53">
        <f t="shared" si="37"/>
        <v>1</v>
      </c>
      <c r="L214" s="942"/>
      <c r="M214" s="53">
        <f t="shared" si="38"/>
        <v>1</v>
      </c>
      <c r="N214" s="942"/>
      <c r="O214" s="53">
        <f t="shared" si="39"/>
        <v>1</v>
      </c>
      <c r="P214" s="942"/>
      <c r="Q214" s="53">
        <f t="shared" si="40"/>
        <v>1</v>
      </c>
      <c r="R214" s="476">
        <f t="shared" si="41"/>
        <v>0</v>
      </c>
      <c r="S214" s="781">
        <f t="shared" si="42"/>
        <v>0</v>
      </c>
    </row>
    <row r="215" spans="1:19">
      <c r="A215" s="944"/>
      <c r="B215" s="136"/>
      <c r="C215" s="53">
        <f t="shared" si="33"/>
        <v>1</v>
      </c>
      <c r="D215" s="942"/>
      <c r="E215" s="53">
        <f t="shared" si="34"/>
        <v>1</v>
      </c>
      <c r="F215" s="942"/>
      <c r="G215" s="53">
        <f t="shared" si="35"/>
        <v>1</v>
      </c>
      <c r="H215" s="942"/>
      <c r="I215" s="53">
        <f t="shared" si="36"/>
        <v>1</v>
      </c>
      <c r="J215" s="942"/>
      <c r="K215" s="53">
        <f t="shared" si="37"/>
        <v>1</v>
      </c>
      <c r="L215" s="942"/>
      <c r="M215" s="53">
        <f t="shared" si="38"/>
        <v>1</v>
      </c>
      <c r="N215" s="942"/>
      <c r="O215" s="53">
        <f t="shared" si="39"/>
        <v>1</v>
      </c>
      <c r="P215" s="942"/>
      <c r="Q215" s="53">
        <f t="shared" si="40"/>
        <v>1</v>
      </c>
      <c r="R215" s="476">
        <f t="shared" si="41"/>
        <v>0</v>
      </c>
      <c r="S215" s="781">
        <f t="shared" si="42"/>
        <v>0</v>
      </c>
    </row>
    <row r="216" spans="1:19">
      <c r="A216" s="944"/>
      <c r="B216" s="136"/>
      <c r="C216" s="53">
        <f t="shared" si="33"/>
        <v>1</v>
      </c>
      <c r="D216" s="942"/>
      <c r="E216" s="53">
        <f t="shared" si="34"/>
        <v>1</v>
      </c>
      <c r="F216" s="942"/>
      <c r="G216" s="53">
        <f t="shared" si="35"/>
        <v>1</v>
      </c>
      <c r="H216" s="942"/>
      <c r="I216" s="53">
        <f t="shared" si="36"/>
        <v>1</v>
      </c>
      <c r="J216" s="942"/>
      <c r="K216" s="53">
        <f t="shared" si="37"/>
        <v>1</v>
      </c>
      <c r="L216" s="942"/>
      <c r="M216" s="53">
        <f t="shared" si="38"/>
        <v>1</v>
      </c>
      <c r="N216" s="942"/>
      <c r="O216" s="53">
        <f t="shared" si="39"/>
        <v>1</v>
      </c>
      <c r="P216" s="942"/>
      <c r="Q216" s="53">
        <f t="shared" si="40"/>
        <v>1</v>
      </c>
      <c r="R216" s="476">
        <f t="shared" si="41"/>
        <v>0</v>
      </c>
      <c r="S216" s="781">
        <f t="shared" si="42"/>
        <v>0</v>
      </c>
    </row>
    <row r="217" spans="1:19">
      <c r="A217" s="944"/>
      <c r="B217" s="136"/>
      <c r="C217" s="53">
        <f t="shared" si="33"/>
        <v>1</v>
      </c>
      <c r="D217" s="942"/>
      <c r="E217" s="53">
        <f t="shared" si="34"/>
        <v>1</v>
      </c>
      <c r="F217" s="942"/>
      <c r="G217" s="53">
        <f t="shared" si="35"/>
        <v>1</v>
      </c>
      <c r="H217" s="942"/>
      <c r="I217" s="53">
        <f t="shared" si="36"/>
        <v>1</v>
      </c>
      <c r="J217" s="942"/>
      <c r="K217" s="53">
        <f t="shared" si="37"/>
        <v>1</v>
      </c>
      <c r="L217" s="942"/>
      <c r="M217" s="53">
        <f t="shared" si="38"/>
        <v>1</v>
      </c>
      <c r="N217" s="942"/>
      <c r="O217" s="53">
        <f t="shared" si="39"/>
        <v>1</v>
      </c>
      <c r="P217" s="942"/>
      <c r="Q217" s="53">
        <f t="shared" si="40"/>
        <v>1</v>
      </c>
      <c r="R217" s="476">
        <f t="shared" si="41"/>
        <v>0</v>
      </c>
      <c r="S217" s="781">
        <f t="shared" si="42"/>
        <v>0</v>
      </c>
    </row>
    <row r="218" spans="1:19">
      <c r="A218" s="944"/>
      <c r="B218" s="136"/>
      <c r="C218" s="53">
        <f t="shared" ref="C218:C281" si="43">IF(B218="",1,(LOOKUP(B218,$3:$3,$4:$4)-LOOKUP($B$24,$3:$3,$4:$4)+100)/100)</f>
        <v>1</v>
      </c>
      <c r="D218" s="942"/>
      <c r="E218" s="53">
        <f t="shared" ref="E218:E281" si="44">(SUMIF($5:$5,D218,$6:$6)-SUMIF($5:$5,$D$24,$6:$6)+100)/100</f>
        <v>1</v>
      </c>
      <c r="F218" s="942"/>
      <c r="G218" s="53">
        <f t="shared" ref="G218:G281" si="45">(SUMIF($7:$7,F218,$8:$8)-SUMIF($7:$7,$F$24,$8:$8)+100)/100</f>
        <v>1</v>
      </c>
      <c r="H218" s="942"/>
      <c r="I218" s="53">
        <f t="shared" ref="I218:I281" si="46">(SUMIF($9:$9,H218,$10:$10)-SUMIF($9:$9,$H$24,$10:$10)+100)/100</f>
        <v>1</v>
      </c>
      <c r="J218" s="942"/>
      <c r="K218" s="53">
        <f t="shared" ref="K218:K281" si="47">(SUMIF($11:$11,J218,$12:$12)-SUMIF($11:$11,$J$24,$12:$12)+100)/100</f>
        <v>1</v>
      </c>
      <c r="L218" s="942"/>
      <c r="M218" s="53">
        <f t="shared" ref="M218:M281" si="48">(SUMIF($13:$13,L218,$14:$14)-SUMIF($13:$13,$L$24,$14:$14)+100)/100</f>
        <v>1</v>
      </c>
      <c r="N218" s="942"/>
      <c r="O218" s="53">
        <f t="shared" ref="O218:O281" si="49">(SUMIF($15:$15,N218,$16:$16)-SUMIF($15:$15,$N$24,$16:$16)+100)/100</f>
        <v>1</v>
      </c>
      <c r="P218" s="942"/>
      <c r="Q218" s="53">
        <f t="shared" ref="Q218:Q281" si="50">(SUMIF($17:$17,P218,$18:$18)-SUMIF($17:$17,$P$24,$18:$18)+100)/100</f>
        <v>1</v>
      </c>
      <c r="R218" s="476">
        <f t="shared" ref="R218:R281" si="51">IF(B218="",0,ROUND($R$24*C218*E218*G218*I218*K218*M218*O218*Q218,0))</f>
        <v>0</v>
      </c>
      <c r="S218" s="781">
        <f t="shared" si="42"/>
        <v>0</v>
      </c>
    </row>
    <row r="219" spans="1:19">
      <c r="A219" s="944"/>
      <c r="B219" s="136"/>
      <c r="C219" s="53">
        <f t="shared" si="43"/>
        <v>1</v>
      </c>
      <c r="D219" s="942"/>
      <c r="E219" s="53">
        <f t="shared" si="44"/>
        <v>1</v>
      </c>
      <c r="F219" s="942"/>
      <c r="G219" s="53">
        <f t="shared" si="45"/>
        <v>1</v>
      </c>
      <c r="H219" s="942"/>
      <c r="I219" s="53">
        <f t="shared" si="46"/>
        <v>1</v>
      </c>
      <c r="J219" s="942"/>
      <c r="K219" s="53">
        <f t="shared" si="47"/>
        <v>1</v>
      </c>
      <c r="L219" s="942"/>
      <c r="M219" s="53">
        <f t="shared" si="48"/>
        <v>1</v>
      </c>
      <c r="N219" s="942"/>
      <c r="O219" s="53">
        <f t="shared" si="49"/>
        <v>1</v>
      </c>
      <c r="P219" s="942"/>
      <c r="Q219" s="53">
        <f t="shared" si="50"/>
        <v>1</v>
      </c>
      <c r="R219" s="476">
        <f t="shared" si="51"/>
        <v>0</v>
      </c>
      <c r="S219" s="781">
        <f t="shared" si="42"/>
        <v>0</v>
      </c>
    </row>
    <row r="220" spans="1:19">
      <c r="A220" s="944"/>
      <c r="B220" s="136"/>
      <c r="C220" s="53">
        <f t="shared" si="43"/>
        <v>1</v>
      </c>
      <c r="D220" s="942"/>
      <c r="E220" s="53">
        <f t="shared" si="44"/>
        <v>1</v>
      </c>
      <c r="F220" s="942"/>
      <c r="G220" s="53">
        <f t="shared" si="45"/>
        <v>1</v>
      </c>
      <c r="H220" s="942"/>
      <c r="I220" s="53">
        <f t="shared" si="46"/>
        <v>1</v>
      </c>
      <c r="J220" s="942"/>
      <c r="K220" s="53">
        <f t="shared" si="47"/>
        <v>1</v>
      </c>
      <c r="L220" s="942"/>
      <c r="M220" s="53">
        <f t="shared" si="48"/>
        <v>1</v>
      </c>
      <c r="N220" s="942"/>
      <c r="O220" s="53">
        <f t="shared" si="49"/>
        <v>1</v>
      </c>
      <c r="P220" s="942"/>
      <c r="Q220" s="53">
        <f t="shared" si="50"/>
        <v>1</v>
      </c>
      <c r="R220" s="476">
        <f t="shared" si="51"/>
        <v>0</v>
      </c>
      <c r="S220" s="781">
        <f t="shared" si="42"/>
        <v>0</v>
      </c>
    </row>
    <row r="221" spans="1:19">
      <c r="A221" s="944"/>
      <c r="B221" s="136"/>
      <c r="C221" s="53">
        <f t="shared" si="43"/>
        <v>1</v>
      </c>
      <c r="D221" s="942"/>
      <c r="E221" s="53">
        <f t="shared" si="44"/>
        <v>1</v>
      </c>
      <c r="F221" s="942"/>
      <c r="G221" s="53">
        <f t="shared" si="45"/>
        <v>1</v>
      </c>
      <c r="H221" s="942"/>
      <c r="I221" s="53">
        <f t="shared" si="46"/>
        <v>1</v>
      </c>
      <c r="J221" s="942"/>
      <c r="K221" s="53">
        <f t="shared" si="47"/>
        <v>1</v>
      </c>
      <c r="L221" s="942"/>
      <c r="M221" s="53">
        <f t="shared" si="48"/>
        <v>1</v>
      </c>
      <c r="N221" s="942"/>
      <c r="O221" s="53">
        <f t="shared" si="49"/>
        <v>1</v>
      </c>
      <c r="P221" s="942"/>
      <c r="Q221" s="53">
        <f t="shared" si="50"/>
        <v>1</v>
      </c>
      <c r="R221" s="476">
        <f t="shared" si="51"/>
        <v>0</v>
      </c>
      <c r="S221" s="781">
        <f t="shared" si="42"/>
        <v>0</v>
      </c>
    </row>
    <row r="222" spans="1:19">
      <c r="A222" s="944"/>
      <c r="B222" s="136"/>
      <c r="C222" s="53">
        <f t="shared" si="43"/>
        <v>1</v>
      </c>
      <c r="D222" s="942"/>
      <c r="E222" s="53">
        <f t="shared" si="44"/>
        <v>1</v>
      </c>
      <c r="F222" s="942"/>
      <c r="G222" s="53">
        <f t="shared" si="45"/>
        <v>1</v>
      </c>
      <c r="H222" s="942"/>
      <c r="I222" s="53">
        <f t="shared" si="46"/>
        <v>1</v>
      </c>
      <c r="J222" s="942"/>
      <c r="K222" s="53">
        <f t="shared" si="47"/>
        <v>1</v>
      </c>
      <c r="L222" s="942"/>
      <c r="M222" s="53">
        <f t="shared" si="48"/>
        <v>1</v>
      </c>
      <c r="N222" s="942"/>
      <c r="O222" s="53">
        <f t="shared" si="49"/>
        <v>1</v>
      </c>
      <c r="P222" s="942"/>
      <c r="Q222" s="53">
        <f t="shared" si="50"/>
        <v>1</v>
      </c>
      <c r="R222" s="476">
        <f t="shared" si="51"/>
        <v>0</v>
      </c>
      <c r="S222" s="781">
        <f t="shared" si="42"/>
        <v>0</v>
      </c>
    </row>
    <row r="223" spans="1:19">
      <c r="A223" s="944"/>
      <c r="B223" s="136"/>
      <c r="C223" s="53">
        <f t="shared" si="43"/>
        <v>1</v>
      </c>
      <c r="D223" s="942"/>
      <c r="E223" s="53">
        <f t="shared" si="44"/>
        <v>1</v>
      </c>
      <c r="F223" s="942"/>
      <c r="G223" s="53">
        <f t="shared" si="45"/>
        <v>1</v>
      </c>
      <c r="H223" s="942"/>
      <c r="I223" s="53">
        <f t="shared" si="46"/>
        <v>1</v>
      </c>
      <c r="J223" s="942"/>
      <c r="K223" s="53">
        <f t="shared" si="47"/>
        <v>1</v>
      </c>
      <c r="L223" s="942"/>
      <c r="M223" s="53">
        <f t="shared" si="48"/>
        <v>1</v>
      </c>
      <c r="N223" s="942"/>
      <c r="O223" s="53">
        <f t="shared" si="49"/>
        <v>1</v>
      </c>
      <c r="P223" s="942"/>
      <c r="Q223" s="53">
        <f t="shared" si="50"/>
        <v>1</v>
      </c>
      <c r="R223" s="476">
        <f t="shared" si="51"/>
        <v>0</v>
      </c>
      <c r="S223" s="781">
        <f t="shared" ref="S223:S286" si="52">ROUND(R223*B223/10000,0)</f>
        <v>0</v>
      </c>
    </row>
    <row r="224" spans="1:19">
      <c r="A224" s="944"/>
      <c r="B224" s="136"/>
      <c r="C224" s="53">
        <f t="shared" si="43"/>
        <v>1</v>
      </c>
      <c r="D224" s="942"/>
      <c r="E224" s="53">
        <f t="shared" si="44"/>
        <v>1</v>
      </c>
      <c r="F224" s="942"/>
      <c r="G224" s="53">
        <f t="shared" si="45"/>
        <v>1</v>
      </c>
      <c r="H224" s="942"/>
      <c r="I224" s="53">
        <f t="shared" si="46"/>
        <v>1</v>
      </c>
      <c r="J224" s="942"/>
      <c r="K224" s="53">
        <f t="shared" si="47"/>
        <v>1</v>
      </c>
      <c r="L224" s="942"/>
      <c r="M224" s="53">
        <f t="shared" si="48"/>
        <v>1</v>
      </c>
      <c r="N224" s="942"/>
      <c r="O224" s="53">
        <f t="shared" si="49"/>
        <v>1</v>
      </c>
      <c r="P224" s="942"/>
      <c r="Q224" s="53">
        <f t="shared" si="50"/>
        <v>1</v>
      </c>
      <c r="R224" s="476">
        <f t="shared" si="51"/>
        <v>0</v>
      </c>
      <c r="S224" s="781">
        <f t="shared" si="52"/>
        <v>0</v>
      </c>
    </row>
    <row r="225" spans="1:19">
      <c r="A225" s="944"/>
      <c r="B225" s="136"/>
      <c r="C225" s="53">
        <f t="shared" si="43"/>
        <v>1</v>
      </c>
      <c r="D225" s="942"/>
      <c r="E225" s="53">
        <f t="shared" si="44"/>
        <v>1</v>
      </c>
      <c r="F225" s="942"/>
      <c r="G225" s="53">
        <f t="shared" si="45"/>
        <v>1</v>
      </c>
      <c r="H225" s="942"/>
      <c r="I225" s="53">
        <f t="shared" si="46"/>
        <v>1</v>
      </c>
      <c r="J225" s="942"/>
      <c r="K225" s="53">
        <f t="shared" si="47"/>
        <v>1</v>
      </c>
      <c r="L225" s="942"/>
      <c r="M225" s="53">
        <f t="shared" si="48"/>
        <v>1</v>
      </c>
      <c r="N225" s="942"/>
      <c r="O225" s="53">
        <f t="shared" si="49"/>
        <v>1</v>
      </c>
      <c r="P225" s="942"/>
      <c r="Q225" s="53">
        <f t="shared" si="50"/>
        <v>1</v>
      </c>
      <c r="R225" s="476">
        <f t="shared" si="51"/>
        <v>0</v>
      </c>
      <c r="S225" s="781">
        <f t="shared" si="52"/>
        <v>0</v>
      </c>
    </row>
    <row r="226" spans="1:19">
      <c r="A226" s="944"/>
      <c r="B226" s="136"/>
      <c r="C226" s="53">
        <f t="shared" si="43"/>
        <v>1</v>
      </c>
      <c r="D226" s="942"/>
      <c r="E226" s="53">
        <f t="shared" si="44"/>
        <v>1</v>
      </c>
      <c r="F226" s="942"/>
      <c r="G226" s="53">
        <f t="shared" si="45"/>
        <v>1</v>
      </c>
      <c r="H226" s="942"/>
      <c r="I226" s="53">
        <f t="shared" si="46"/>
        <v>1</v>
      </c>
      <c r="J226" s="942"/>
      <c r="K226" s="53">
        <f t="shared" si="47"/>
        <v>1</v>
      </c>
      <c r="L226" s="942"/>
      <c r="M226" s="53">
        <f t="shared" si="48"/>
        <v>1</v>
      </c>
      <c r="N226" s="942"/>
      <c r="O226" s="53">
        <f t="shared" si="49"/>
        <v>1</v>
      </c>
      <c r="P226" s="942"/>
      <c r="Q226" s="53">
        <f t="shared" si="50"/>
        <v>1</v>
      </c>
      <c r="R226" s="476">
        <f t="shared" si="51"/>
        <v>0</v>
      </c>
      <c r="S226" s="781">
        <f t="shared" si="52"/>
        <v>0</v>
      </c>
    </row>
    <row r="227" spans="1:19">
      <c r="A227" s="944"/>
      <c r="B227" s="136"/>
      <c r="C227" s="53">
        <f t="shared" si="43"/>
        <v>1</v>
      </c>
      <c r="D227" s="942"/>
      <c r="E227" s="53">
        <f t="shared" si="44"/>
        <v>1</v>
      </c>
      <c r="F227" s="942"/>
      <c r="G227" s="53">
        <f t="shared" si="45"/>
        <v>1</v>
      </c>
      <c r="H227" s="942"/>
      <c r="I227" s="53">
        <f t="shared" si="46"/>
        <v>1</v>
      </c>
      <c r="J227" s="942"/>
      <c r="K227" s="53">
        <f t="shared" si="47"/>
        <v>1</v>
      </c>
      <c r="L227" s="942"/>
      <c r="M227" s="53">
        <f t="shared" si="48"/>
        <v>1</v>
      </c>
      <c r="N227" s="942"/>
      <c r="O227" s="53">
        <f t="shared" si="49"/>
        <v>1</v>
      </c>
      <c r="P227" s="942"/>
      <c r="Q227" s="53">
        <f t="shared" si="50"/>
        <v>1</v>
      </c>
      <c r="R227" s="476">
        <f t="shared" si="51"/>
        <v>0</v>
      </c>
      <c r="S227" s="781">
        <f t="shared" si="52"/>
        <v>0</v>
      </c>
    </row>
    <row r="228" spans="1:19">
      <c r="A228" s="944"/>
      <c r="B228" s="136"/>
      <c r="C228" s="53">
        <f t="shared" si="43"/>
        <v>1</v>
      </c>
      <c r="D228" s="942"/>
      <c r="E228" s="53">
        <f t="shared" si="44"/>
        <v>1</v>
      </c>
      <c r="F228" s="942"/>
      <c r="G228" s="53">
        <f t="shared" si="45"/>
        <v>1</v>
      </c>
      <c r="H228" s="942"/>
      <c r="I228" s="53">
        <f t="shared" si="46"/>
        <v>1</v>
      </c>
      <c r="J228" s="942"/>
      <c r="K228" s="53">
        <f t="shared" si="47"/>
        <v>1</v>
      </c>
      <c r="L228" s="942"/>
      <c r="M228" s="53">
        <f t="shared" si="48"/>
        <v>1</v>
      </c>
      <c r="N228" s="942"/>
      <c r="O228" s="53">
        <f t="shared" si="49"/>
        <v>1</v>
      </c>
      <c r="P228" s="942"/>
      <c r="Q228" s="53">
        <f t="shared" si="50"/>
        <v>1</v>
      </c>
      <c r="R228" s="476">
        <f t="shared" si="51"/>
        <v>0</v>
      </c>
      <c r="S228" s="781">
        <f t="shared" si="52"/>
        <v>0</v>
      </c>
    </row>
    <row r="229" spans="1:19">
      <c r="A229" s="944"/>
      <c r="B229" s="136"/>
      <c r="C229" s="53">
        <f t="shared" si="43"/>
        <v>1</v>
      </c>
      <c r="D229" s="942"/>
      <c r="E229" s="53">
        <f t="shared" si="44"/>
        <v>1</v>
      </c>
      <c r="F229" s="942"/>
      <c r="G229" s="53">
        <f t="shared" si="45"/>
        <v>1</v>
      </c>
      <c r="H229" s="942"/>
      <c r="I229" s="53">
        <f t="shared" si="46"/>
        <v>1</v>
      </c>
      <c r="J229" s="942"/>
      <c r="K229" s="53">
        <f t="shared" si="47"/>
        <v>1</v>
      </c>
      <c r="L229" s="942"/>
      <c r="M229" s="53">
        <f t="shared" si="48"/>
        <v>1</v>
      </c>
      <c r="N229" s="942"/>
      <c r="O229" s="53">
        <f t="shared" si="49"/>
        <v>1</v>
      </c>
      <c r="P229" s="942"/>
      <c r="Q229" s="53">
        <f t="shared" si="50"/>
        <v>1</v>
      </c>
      <c r="R229" s="476">
        <f t="shared" si="51"/>
        <v>0</v>
      </c>
      <c r="S229" s="781">
        <f t="shared" si="52"/>
        <v>0</v>
      </c>
    </row>
    <row r="230" spans="1:19">
      <c r="A230" s="944"/>
      <c r="B230" s="136"/>
      <c r="C230" s="53">
        <f t="shared" si="43"/>
        <v>1</v>
      </c>
      <c r="D230" s="942"/>
      <c r="E230" s="53">
        <f t="shared" si="44"/>
        <v>1</v>
      </c>
      <c r="F230" s="942"/>
      <c r="G230" s="53">
        <f t="shared" si="45"/>
        <v>1</v>
      </c>
      <c r="H230" s="942"/>
      <c r="I230" s="53">
        <f t="shared" si="46"/>
        <v>1</v>
      </c>
      <c r="J230" s="942"/>
      <c r="K230" s="53">
        <f t="shared" si="47"/>
        <v>1</v>
      </c>
      <c r="L230" s="942"/>
      <c r="M230" s="53">
        <f t="shared" si="48"/>
        <v>1</v>
      </c>
      <c r="N230" s="942"/>
      <c r="O230" s="53">
        <f t="shared" si="49"/>
        <v>1</v>
      </c>
      <c r="P230" s="942"/>
      <c r="Q230" s="53">
        <f t="shared" si="50"/>
        <v>1</v>
      </c>
      <c r="R230" s="476">
        <f t="shared" si="51"/>
        <v>0</v>
      </c>
      <c r="S230" s="781">
        <f t="shared" si="52"/>
        <v>0</v>
      </c>
    </row>
    <row r="231" spans="1:19">
      <c r="A231" s="944"/>
      <c r="B231" s="136"/>
      <c r="C231" s="53">
        <f t="shared" si="43"/>
        <v>1</v>
      </c>
      <c r="D231" s="942"/>
      <c r="E231" s="53">
        <f t="shared" si="44"/>
        <v>1</v>
      </c>
      <c r="F231" s="942"/>
      <c r="G231" s="53">
        <f t="shared" si="45"/>
        <v>1</v>
      </c>
      <c r="H231" s="942"/>
      <c r="I231" s="53">
        <f t="shared" si="46"/>
        <v>1</v>
      </c>
      <c r="J231" s="942"/>
      <c r="K231" s="53">
        <f t="shared" si="47"/>
        <v>1</v>
      </c>
      <c r="L231" s="942"/>
      <c r="M231" s="53">
        <f t="shared" si="48"/>
        <v>1</v>
      </c>
      <c r="N231" s="942"/>
      <c r="O231" s="53">
        <f t="shared" si="49"/>
        <v>1</v>
      </c>
      <c r="P231" s="942"/>
      <c r="Q231" s="53">
        <f t="shared" si="50"/>
        <v>1</v>
      </c>
      <c r="R231" s="476">
        <f t="shared" si="51"/>
        <v>0</v>
      </c>
      <c r="S231" s="781">
        <f t="shared" si="52"/>
        <v>0</v>
      </c>
    </row>
    <row r="232" spans="1:19">
      <c r="A232" s="944"/>
      <c r="B232" s="136"/>
      <c r="C232" s="53">
        <f t="shared" si="43"/>
        <v>1</v>
      </c>
      <c r="D232" s="942"/>
      <c r="E232" s="53">
        <f t="shared" si="44"/>
        <v>1</v>
      </c>
      <c r="F232" s="942"/>
      <c r="G232" s="53">
        <f t="shared" si="45"/>
        <v>1</v>
      </c>
      <c r="H232" s="942"/>
      <c r="I232" s="53">
        <f t="shared" si="46"/>
        <v>1</v>
      </c>
      <c r="J232" s="942"/>
      <c r="K232" s="53">
        <f t="shared" si="47"/>
        <v>1</v>
      </c>
      <c r="L232" s="942"/>
      <c r="M232" s="53">
        <f t="shared" si="48"/>
        <v>1</v>
      </c>
      <c r="N232" s="942"/>
      <c r="O232" s="53">
        <f t="shared" si="49"/>
        <v>1</v>
      </c>
      <c r="P232" s="942"/>
      <c r="Q232" s="53">
        <f t="shared" si="50"/>
        <v>1</v>
      </c>
      <c r="R232" s="476">
        <f t="shared" si="51"/>
        <v>0</v>
      </c>
      <c r="S232" s="781">
        <f t="shared" si="52"/>
        <v>0</v>
      </c>
    </row>
    <row r="233" spans="1:19">
      <c r="A233" s="944"/>
      <c r="B233" s="136"/>
      <c r="C233" s="53">
        <f t="shared" si="43"/>
        <v>1</v>
      </c>
      <c r="D233" s="942"/>
      <c r="E233" s="53">
        <f t="shared" si="44"/>
        <v>1</v>
      </c>
      <c r="F233" s="942"/>
      <c r="G233" s="53">
        <f t="shared" si="45"/>
        <v>1</v>
      </c>
      <c r="H233" s="942"/>
      <c r="I233" s="53">
        <f t="shared" si="46"/>
        <v>1</v>
      </c>
      <c r="J233" s="942"/>
      <c r="K233" s="53">
        <f t="shared" si="47"/>
        <v>1</v>
      </c>
      <c r="L233" s="942"/>
      <c r="M233" s="53">
        <f t="shared" si="48"/>
        <v>1</v>
      </c>
      <c r="N233" s="942"/>
      <c r="O233" s="53">
        <f t="shared" si="49"/>
        <v>1</v>
      </c>
      <c r="P233" s="942"/>
      <c r="Q233" s="53">
        <f t="shared" si="50"/>
        <v>1</v>
      </c>
      <c r="R233" s="476">
        <f t="shared" si="51"/>
        <v>0</v>
      </c>
      <c r="S233" s="781">
        <f t="shared" si="52"/>
        <v>0</v>
      </c>
    </row>
    <row r="234" spans="1:19">
      <c r="A234" s="944"/>
      <c r="B234" s="136"/>
      <c r="C234" s="53">
        <f t="shared" si="43"/>
        <v>1</v>
      </c>
      <c r="D234" s="942"/>
      <c r="E234" s="53">
        <f t="shared" si="44"/>
        <v>1</v>
      </c>
      <c r="F234" s="942"/>
      <c r="G234" s="53">
        <f t="shared" si="45"/>
        <v>1</v>
      </c>
      <c r="H234" s="942"/>
      <c r="I234" s="53">
        <f t="shared" si="46"/>
        <v>1</v>
      </c>
      <c r="J234" s="942"/>
      <c r="K234" s="53">
        <f t="shared" si="47"/>
        <v>1</v>
      </c>
      <c r="L234" s="942"/>
      <c r="M234" s="53">
        <f t="shared" si="48"/>
        <v>1</v>
      </c>
      <c r="N234" s="942"/>
      <c r="O234" s="53">
        <f t="shared" si="49"/>
        <v>1</v>
      </c>
      <c r="P234" s="942"/>
      <c r="Q234" s="53">
        <f t="shared" si="50"/>
        <v>1</v>
      </c>
      <c r="R234" s="476">
        <f t="shared" si="51"/>
        <v>0</v>
      </c>
      <c r="S234" s="781">
        <f t="shared" si="52"/>
        <v>0</v>
      </c>
    </row>
    <row r="235" spans="1:19">
      <c r="A235" s="944"/>
      <c r="B235" s="136"/>
      <c r="C235" s="53">
        <f t="shared" si="43"/>
        <v>1</v>
      </c>
      <c r="D235" s="942"/>
      <c r="E235" s="53">
        <f t="shared" si="44"/>
        <v>1</v>
      </c>
      <c r="F235" s="942"/>
      <c r="G235" s="53">
        <f t="shared" si="45"/>
        <v>1</v>
      </c>
      <c r="H235" s="942"/>
      <c r="I235" s="53">
        <f t="shared" si="46"/>
        <v>1</v>
      </c>
      <c r="J235" s="942"/>
      <c r="K235" s="53">
        <f t="shared" si="47"/>
        <v>1</v>
      </c>
      <c r="L235" s="942"/>
      <c r="M235" s="53">
        <f t="shared" si="48"/>
        <v>1</v>
      </c>
      <c r="N235" s="942"/>
      <c r="O235" s="53">
        <f t="shared" si="49"/>
        <v>1</v>
      </c>
      <c r="P235" s="942"/>
      <c r="Q235" s="53">
        <f t="shared" si="50"/>
        <v>1</v>
      </c>
      <c r="R235" s="476">
        <f t="shared" si="51"/>
        <v>0</v>
      </c>
      <c r="S235" s="781">
        <f t="shared" si="52"/>
        <v>0</v>
      </c>
    </row>
    <row r="236" spans="1:19">
      <c r="A236" s="944"/>
      <c r="B236" s="136"/>
      <c r="C236" s="53">
        <f t="shared" si="43"/>
        <v>1</v>
      </c>
      <c r="D236" s="942"/>
      <c r="E236" s="53">
        <f t="shared" si="44"/>
        <v>1</v>
      </c>
      <c r="F236" s="942"/>
      <c r="G236" s="53">
        <f t="shared" si="45"/>
        <v>1</v>
      </c>
      <c r="H236" s="942"/>
      <c r="I236" s="53">
        <f t="shared" si="46"/>
        <v>1</v>
      </c>
      <c r="J236" s="942"/>
      <c r="K236" s="53">
        <f t="shared" si="47"/>
        <v>1</v>
      </c>
      <c r="L236" s="942"/>
      <c r="M236" s="53">
        <f t="shared" si="48"/>
        <v>1</v>
      </c>
      <c r="N236" s="942"/>
      <c r="O236" s="53">
        <f t="shared" si="49"/>
        <v>1</v>
      </c>
      <c r="P236" s="942"/>
      <c r="Q236" s="53">
        <f t="shared" si="50"/>
        <v>1</v>
      </c>
      <c r="R236" s="476">
        <f t="shared" si="51"/>
        <v>0</v>
      </c>
      <c r="S236" s="781">
        <f t="shared" si="52"/>
        <v>0</v>
      </c>
    </row>
    <row r="237" spans="1:19">
      <c r="A237" s="944"/>
      <c r="B237" s="136"/>
      <c r="C237" s="53">
        <f t="shared" si="43"/>
        <v>1</v>
      </c>
      <c r="D237" s="942"/>
      <c r="E237" s="53">
        <f t="shared" si="44"/>
        <v>1</v>
      </c>
      <c r="F237" s="942"/>
      <c r="G237" s="53">
        <f t="shared" si="45"/>
        <v>1</v>
      </c>
      <c r="H237" s="942"/>
      <c r="I237" s="53">
        <f t="shared" si="46"/>
        <v>1</v>
      </c>
      <c r="J237" s="942"/>
      <c r="K237" s="53">
        <f t="shared" si="47"/>
        <v>1</v>
      </c>
      <c r="L237" s="942"/>
      <c r="M237" s="53">
        <f t="shared" si="48"/>
        <v>1</v>
      </c>
      <c r="N237" s="942"/>
      <c r="O237" s="53">
        <f t="shared" si="49"/>
        <v>1</v>
      </c>
      <c r="P237" s="942"/>
      <c r="Q237" s="53">
        <f t="shared" si="50"/>
        <v>1</v>
      </c>
      <c r="R237" s="476">
        <f t="shared" si="51"/>
        <v>0</v>
      </c>
      <c r="S237" s="781">
        <f t="shared" si="52"/>
        <v>0</v>
      </c>
    </row>
    <row r="238" spans="1:19">
      <c r="A238" s="944"/>
      <c r="B238" s="136"/>
      <c r="C238" s="53">
        <f t="shared" si="43"/>
        <v>1</v>
      </c>
      <c r="D238" s="942"/>
      <c r="E238" s="53">
        <f t="shared" si="44"/>
        <v>1</v>
      </c>
      <c r="F238" s="942"/>
      <c r="G238" s="53">
        <f t="shared" si="45"/>
        <v>1</v>
      </c>
      <c r="H238" s="942"/>
      <c r="I238" s="53">
        <f t="shared" si="46"/>
        <v>1</v>
      </c>
      <c r="J238" s="942"/>
      <c r="K238" s="53">
        <f t="shared" si="47"/>
        <v>1</v>
      </c>
      <c r="L238" s="942"/>
      <c r="M238" s="53">
        <f t="shared" si="48"/>
        <v>1</v>
      </c>
      <c r="N238" s="942"/>
      <c r="O238" s="53">
        <f t="shared" si="49"/>
        <v>1</v>
      </c>
      <c r="P238" s="942"/>
      <c r="Q238" s="53">
        <f t="shared" si="50"/>
        <v>1</v>
      </c>
      <c r="R238" s="476">
        <f t="shared" si="51"/>
        <v>0</v>
      </c>
      <c r="S238" s="781">
        <f t="shared" si="52"/>
        <v>0</v>
      </c>
    </row>
    <row r="239" spans="1:19">
      <c r="A239" s="944"/>
      <c r="B239" s="136"/>
      <c r="C239" s="53">
        <f t="shared" si="43"/>
        <v>1</v>
      </c>
      <c r="D239" s="942"/>
      <c r="E239" s="53">
        <f t="shared" si="44"/>
        <v>1</v>
      </c>
      <c r="F239" s="942"/>
      <c r="G239" s="53">
        <f t="shared" si="45"/>
        <v>1</v>
      </c>
      <c r="H239" s="942"/>
      <c r="I239" s="53">
        <f t="shared" si="46"/>
        <v>1</v>
      </c>
      <c r="J239" s="942"/>
      <c r="K239" s="53">
        <f t="shared" si="47"/>
        <v>1</v>
      </c>
      <c r="L239" s="942"/>
      <c r="M239" s="53">
        <f t="shared" si="48"/>
        <v>1</v>
      </c>
      <c r="N239" s="942"/>
      <c r="O239" s="53">
        <f t="shared" si="49"/>
        <v>1</v>
      </c>
      <c r="P239" s="942"/>
      <c r="Q239" s="53">
        <f t="shared" si="50"/>
        <v>1</v>
      </c>
      <c r="R239" s="476">
        <f t="shared" si="51"/>
        <v>0</v>
      </c>
      <c r="S239" s="781">
        <f t="shared" si="52"/>
        <v>0</v>
      </c>
    </row>
    <row r="240" spans="1:19">
      <c r="A240" s="944"/>
      <c r="B240" s="136"/>
      <c r="C240" s="53">
        <f t="shared" si="43"/>
        <v>1</v>
      </c>
      <c r="D240" s="942"/>
      <c r="E240" s="53">
        <f t="shared" si="44"/>
        <v>1</v>
      </c>
      <c r="F240" s="942"/>
      <c r="G240" s="53">
        <f t="shared" si="45"/>
        <v>1</v>
      </c>
      <c r="H240" s="942"/>
      <c r="I240" s="53">
        <f t="shared" si="46"/>
        <v>1</v>
      </c>
      <c r="J240" s="942"/>
      <c r="K240" s="53">
        <f t="shared" si="47"/>
        <v>1</v>
      </c>
      <c r="L240" s="942"/>
      <c r="M240" s="53">
        <f t="shared" si="48"/>
        <v>1</v>
      </c>
      <c r="N240" s="942"/>
      <c r="O240" s="53">
        <f t="shared" si="49"/>
        <v>1</v>
      </c>
      <c r="P240" s="942"/>
      <c r="Q240" s="53">
        <f t="shared" si="50"/>
        <v>1</v>
      </c>
      <c r="R240" s="476">
        <f t="shared" si="51"/>
        <v>0</v>
      </c>
      <c r="S240" s="781">
        <f t="shared" si="52"/>
        <v>0</v>
      </c>
    </row>
    <row r="241" spans="1:19">
      <c r="A241" s="944"/>
      <c r="B241" s="136"/>
      <c r="C241" s="53">
        <f t="shared" si="43"/>
        <v>1</v>
      </c>
      <c r="D241" s="942"/>
      <c r="E241" s="53">
        <f t="shared" si="44"/>
        <v>1</v>
      </c>
      <c r="F241" s="942"/>
      <c r="G241" s="53">
        <f t="shared" si="45"/>
        <v>1</v>
      </c>
      <c r="H241" s="942"/>
      <c r="I241" s="53">
        <f t="shared" si="46"/>
        <v>1</v>
      </c>
      <c r="J241" s="942"/>
      <c r="K241" s="53">
        <f t="shared" si="47"/>
        <v>1</v>
      </c>
      <c r="L241" s="942"/>
      <c r="M241" s="53">
        <f t="shared" si="48"/>
        <v>1</v>
      </c>
      <c r="N241" s="942"/>
      <c r="O241" s="53">
        <f t="shared" si="49"/>
        <v>1</v>
      </c>
      <c r="P241" s="942"/>
      <c r="Q241" s="53">
        <f t="shared" si="50"/>
        <v>1</v>
      </c>
      <c r="R241" s="476">
        <f t="shared" si="51"/>
        <v>0</v>
      </c>
      <c r="S241" s="781">
        <f t="shared" si="52"/>
        <v>0</v>
      </c>
    </row>
    <row r="242" spans="1:19">
      <c r="A242" s="944"/>
      <c r="B242" s="136"/>
      <c r="C242" s="53">
        <f t="shared" si="43"/>
        <v>1</v>
      </c>
      <c r="D242" s="942"/>
      <c r="E242" s="53">
        <f t="shared" si="44"/>
        <v>1</v>
      </c>
      <c r="F242" s="942"/>
      <c r="G242" s="53">
        <f t="shared" si="45"/>
        <v>1</v>
      </c>
      <c r="H242" s="942"/>
      <c r="I242" s="53">
        <f t="shared" si="46"/>
        <v>1</v>
      </c>
      <c r="J242" s="942"/>
      <c r="K242" s="53">
        <f t="shared" si="47"/>
        <v>1</v>
      </c>
      <c r="L242" s="942"/>
      <c r="M242" s="53">
        <f t="shared" si="48"/>
        <v>1</v>
      </c>
      <c r="N242" s="942"/>
      <c r="O242" s="53">
        <f t="shared" si="49"/>
        <v>1</v>
      </c>
      <c r="P242" s="942"/>
      <c r="Q242" s="53">
        <f t="shared" si="50"/>
        <v>1</v>
      </c>
      <c r="R242" s="476">
        <f t="shared" si="51"/>
        <v>0</v>
      </c>
      <c r="S242" s="781">
        <f t="shared" si="52"/>
        <v>0</v>
      </c>
    </row>
    <row r="243" spans="1:19">
      <c r="A243" s="944"/>
      <c r="B243" s="136"/>
      <c r="C243" s="53">
        <f t="shared" si="43"/>
        <v>1</v>
      </c>
      <c r="D243" s="942"/>
      <c r="E243" s="53">
        <f t="shared" si="44"/>
        <v>1</v>
      </c>
      <c r="F243" s="942"/>
      <c r="G243" s="53">
        <f t="shared" si="45"/>
        <v>1</v>
      </c>
      <c r="H243" s="942"/>
      <c r="I243" s="53">
        <f t="shared" si="46"/>
        <v>1</v>
      </c>
      <c r="J243" s="942"/>
      <c r="K243" s="53">
        <f t="shared" si="47"/>
        <v>1</v>
      </c>
      <c r="L243" s="942"/>
      <c r="M243" s="53">
        <f t="shared" si="48"/>
        <v>1</v>
      </c>
      <c r="N243" s="942"/>
      <c r="O243" s="53">
        <f t="shared" si="49"/>
        <v>1</v>
      </c>
      <c r="P243" s="942"/>
      <c r="Q243" s="53">
        <f t="shared" si="50"/>
        <v>1</v>
      </c>
      <c r="R243" s="476">
        <f t="shared" si="51"/>
        <v>0</v>
      </c>
      <c r="S243" s="781">
        <f t="shared" si="52"/>
        <v>0</v>
      </c>
    </row>
    <row r="244" spans="1:19">
      <c r="A244" s="944"/>
      <c r="B244" s="136"/>
      <c r="C244" s="53">
        <f t="shared" si="43"/>
        <v>1</v>
      </c>
      <c r="D244" s="942"/>
      <c r="E244" s="53">
        <f t="shared" si="44"/>
        <v>1</v>
      </c>
      <c r="F244" s="942"/>
      <c r="G244" s="53">
        <f t="shared" si="45"/>
        <v>1</v>
      </c>
      <c r="H244" s="942"/>
      <c r="I244" s="53">
        <f t="shared" si="46"/>
        <v>1</v>
      </c>
      <c r="J244" s="942"/>
      <c r="K244" s="53">
        <f t="shared" si="47"/>
        <v>1</v>
      </c>
      <c r="L244" s="942"/>
      <c r="M244" s="53">
        <f t="shared" si="48"/>
        <v>1</v>
      </c>
      <c r="N244" s="942"/>
      <c r="O244" s="53">
        <f t="shared" si="49"/>
        <v>1</v>
      </c>
      <c r="P244" s="942"/>
      <c r="Q244" s="53">
        <f t="shared" si="50"/>
        <v>1</v>
      </c>
      <c r="R244" s="476">
        <f t="shared" si="51"/>
        <v>0</v>
      </c>
      <c r="S244" s="781">
        <f t="shared" si="52"/>
        <v>0</v>
      </c>
    </row>
    <row r="245" spans="1:19">
      <c r="A245" s="944"/>
      <c r="B245" s="136"/>
      <c r="C245" s="53">
        <f t="shared" si="43"/>
        <v>1</v>
      </c>
      <c r="D245" s="942"/>
      <c r="E245" s="53">
        <f t="shared" si="44"/>
        <v>1</v>
      </c>
      <c r="F245" s="942"/>
      <c r="G245" s="53">
        <f t="shared" si="45"/>
        <v>1</v>
      </c>
      <c r="H245" s="942"/>
      <c r="I245" s="53">
        <f t="shared" si="46"/>
        <v>1</v>
      </c>
      <c r="J245" s="942"/>
      <c r="K245" s="53">
        <f t="shared" si="47"/>
        <v>1</v>
      </c>
      <c r="L245" s="942"/>
      <c r="M245" s="53">
        <f t="shared" si="48"/>
        <v>1</v>
      </c>
      <c r="N245" s="942"/>
      <c r="O245" s="53">
        <f t="shared" si="49"/>
        <v>1</v>
      </c>
      <c r="P245" s="942"/>
      <c r="Q245" s="53">
        <f t="shared" si="50"/>
        <v>1</v>
      </c>
      <c r="R245" s="476">
        <f t="shared" si="51"/>
        <v>0</v>
      </c>
      <c r="S245" s="781">
        <f t="shared" si="52"/>
        <v>0</v>
      </c>
    </row>
    <row r="246" spans="1:19">
      <c r="A246" s="944"/>
      <c r="B246" s="136"/>
      <c r="C246" s="53">
        <f t="shared" si="43"/>
        <v>1</v>
      </c>
      <c r="D246" s="942"/>
      <c r="E246" s="53">
        <f t="shared" si="44"/>
        <v>1</v>
      </c>
      <c r="F246" s="942"/>
      <c r="G246" s="53">
        <f t="shared" si="45"/>
        <v>1</v>
      </c>
      <c r="H246" s="942"/>
      <c r="I246" s="53">
        <f t="shared" si="46"/>
        <v>1</v>
      </c>
      <c r="J246" s="942"/>
      <c r="K246" s="53">
        <f t="shared" si="47"/>
        <v>1</v>
      </c>
      <c r="L246" s="942"/>
      <c r="M246" s="53">
        <f t="shared" si="48"/>
        <v>1</v>
      </c>
      <c r="N246" s="942"/>
      <c r="O246" s="53">
        <f t="shared" si="49"/>
        <v>1</v>
      </c>
      <c r="P246" s="942"/>
      <c r="Q246" s="53">
        <f t="shared" si="50"/>
        <v>1</v>
      </c>
      <c r="R246" s="476">
        <f t="shared" si="51"/>
        <v>0</v>
      </c>
      <c r="S246" s="781">
        <f t="shared" si="52"/>
        <v>0</v>
      </c>
    </row>
    <row r="247" spans="1:19">
      <c r="A247" s="944"/>
      <c r="B247" s="136"/>
      <c r="C247" s="53">
        <f t="shared" si="43"/>
        <v>1</v>
      </c>
      <c r="D247" s="942"/>
      <c r="E247" s="53">
        <f t="shared" si="44"/>
        <v>1</v>
      </c>
      <c r="F247" s="942"/>
      <c r="G247" s="53">
        <f t="shared" si="45"/>
        <v>1</v>
      </c>
      <c r="H247" s="942"/>
      <c r="I247" s="53">
        <f t="shared" si="46"/>
        <v>1</v>
      </c>
      <c r="J247" s="942"/>
      <c r="K247" s="53">
        <f t="shared" si="47"/>
        <v>1</v>
      </c>
      <c r="L247" s="942"/>
      <c r="M247" s="53">
        <f t="shared" si="48"/>
        <v>1</v>
      </c>
      <c r="N247" s="942"/>
      <c r="O247" s="53">
        <f t="shared" si="49"/>
        <v>1</v>
      </c>
      <c r="P247" s="942"/>
      <c r="Q247" s="53">
        <f t="shared" si="50"/>
        <v>1</v>
      </c>
      <c r="R247" s="476">
        <f t="shared" si="51"/>
        <v>0</v>
      </c>
      <c r="S247" s="781">
        <f t="shared" si="52"/>
        <v>0</v>
      </c>
    </row>
    <row r="248" spans="1:19">
      <c r="A248" s="944"/>
      <c r="B248" s="136"/>
      <c r="C248" s="53">
        <f t="shared" si="43"/>
        <v>1</v>
      </c>
      <c r="D248" s="942"/>
      <c r="E248" s="53">
        <f t="shared" si="44"/>
        <v>1</v>
      </c>
      <c r="F248" s="942"/>
      <c r="G248" s="53">
        <f t="shared" si="45"/>
        <v>1</v>
      </c>
      <c r="H248" s="942"/>
      <c r="I248" s="53">
        <f t="shared" si="46"/>
        <v>1</v>
      </c>
      <c r="J248" s="942"/>
      <c r="K248" s="53">
        <f t="shared" si="47"/>
        <v>1</v>
      </c>
      <c r="L248" s="942"/>
      <c r="M248" s="53">
        <f t="shared" si="48"/>
        <v>1</v>
      </c>
      <c r="N248" s="942"/>
      <c r="O248" s="53">
        <f t="shared" si="49"/>
        <v>1</v>
      </c>
      <c r="P248" s="942"/>
      <c r="Q248" s="53">
        <f t="shared" si="50"/>
        <v>1</v>
      </c>
      <c r="R248" s="476">
        <f t="shared" si="51"/>
        <v>0</v>
      </c>
      <c r="S248" s="781">
        <f t="shared" si="52"/>
        <v>0</v>
      </c>
    </row>
    <row r="249" spans="1:19">
      <c r="A249" s="944"/>
      <c r="B249" s="136"/>
      <c r="C249" s="53">
        <f t="shared" si="43"/>
        <v>1</v>
      </c>
      <c r="D249" s="942"/>
      <c r="E249" s="53">
        <f t="shared" si="44"/>
        <v>1</v>
      </c>
      <c r="F249" s="942"/>
      <c r="G249" s="53">
        <f t="shared" si="45"/>
        <v>1</v>
      </c>
      <c r="H249" s="942"/>
      <c r="I249" s="53">
        <f t="shared" si="46"/>
        <v>1</v>
      </c>
      <c r="J249" s="942"/>
      <c r="K249" s="53">
        <f t="shared" si="47"/>
        <v>1</v>
      </c>
      <c r="L249" s="942"/>
      <c r="M249" s="53">
        <f t="shared" si="48"/>
        <v>1</v>
      </c>
      <c r="N249" s="942"/>
      <c r="O249" s="53">
        <f t="shared" si="49"/>
        <v>1</v>
      </c>
      <c r="P249" s="942"/>
      <c r="Q249" s="53">
        <f t="shared" si="50"/>
        <v>1</v>
      </c>
      <c r="R249" s="476">
        <f t="shared" si="51"/>
        <v>0</v>
      </c>
      <c r="S249" s="781">
        <f t="shared" si="52"/>
        <v>0</v>
      </c>
    </row>
    <row r="250" spans="1:19">
      <c r="A250" s="944"/>
      <c r="B250" s="136"/>
      <c r="C250" s="53">
        <f t="shared" si="43"/>
        <v>1</v>
      </c>
      <c r="D250" s="942"/>
      <c r="E250" s="53">
        <f t="shared" si="44"/>
        <v>1</v>
      </c>
      <c r="F250" s="942"/>
      <c r="G250" s="53">
        <f t="shared" si="45"/>
        <v>1</v>
      </c>
      <c r="H250" s="942"/>
      <c r="I250" s="53">
        <f t="shared" si="46"/>
        <v>1</v>
      </c>
      <c r="J250" s="942"/>
      <c r="K250" s="53">
        <f t="shared" si="47"/>
        <v>1</v>
      </c>
      <c r="L250" s="942"/>
      <c r="M250" s="53">
        <f t="shared" si="48"/>
        <v>1</v>
      </c>
      <c r="N250" s="942"/>
      <c r="O250" s="53">
        <f t="shared" si="49"/>
        <v>1</v>
      </c>
      <c r="P250" s="942"/>
      <c r="Q250" s="53">
        <f t="shared" si="50"/>
        <v>1</v>
      </c>
      <c r="R250" s="476">
        <f t="shared" si="51"/>
        <v>0</v>
      </c>
      <c r="S250" s="781">
        <f t="shared" si="52"/>
        <v>0</v>
      </c>
    </row>
    <row r="251" spans="1:19">
      <c r="A251" s="944"/>
      <c r="B251" s="136"/>
      <c r="C251" s="53">
        <f t="shared" si="43"/>
        <v>1</v>
      </c>
      <c r="D251" s="942"/>
      <c r="E251" s="53">
        <f t="shared" si="44"/>
        <v>1</v>
      </c>
      <c r="F251" s="942"/>
      <c r="G251" s="53">
        <f t="shared" si="45"/>
        <v>1</v>
      </c>
      <c r="H251" s="942"/>
      <c r="I251" s="53">
        <f t="shared" si="46"/>
        <v>1</v>
      </c>
      <c r="J251" s="942"/>
      <c r="K251" s="53">
        <f t="shared" si="47"/>
        <v>1</v>
      </c>
      <c r="L251" s="942"/>
      <c r="M251" s="53">
        <f t="shared" si="48"/>
        <v>1</v>
      </c>
      <c r="N251" s="942"/>
      <c r="O251" s="53">
        <f t="shared" si="49"/>
        <v>1</v>
      </c>
      <c r="P251" s="942"/>
      <c r="Q251" s="53">
        <f t="shared" si="50"/>
        <v>1</v>
      </c>
      <c r="R251" s="476">
        <f t="shared" si="51"/>
        <v>0</v>
      </c>
      <c r="S251" s="781">
        <f t="shared" si="52"/>
        <v>0</v>
      </c>
    </row>
    <row r="252" spans="1:19">
      <c r="A252" s="944"/>
      <c r="B252" s="136"/>
      <c r="C252" s="53">
        <f t="shared" si="43"/>
        <v>1</v>
      </c>
      <c r="D252" s="942"/>
      <c r="E252" s="53">
        <f t="shared" si="44"/>
        <v>1</v>
      </c>
      <c r="F252" s="942"/>
      <c r="G252" s="53">
        <f t="shared" si="45"/>
        <v>1</v>
      </c>
      <c r="H252" s="942"/>
      <c r="I252" s="53">
        <f t="shared" si="46"/>
        <v>1</v>
      </c>
      <c r="J252" s="942"/>
      <c r="K252" s="53">
        <f t="shared" si="47"/>
        <v>1</v>
      </c>
      <c r="L252" s="942"/>
      <c r="M252" s="53">
        <f t="shared" si="48"/>
        <v>1</v>
      </c>
      <c r="N252" s="942"/>
      <c r="O252" s="53">
        <f t="shared" si="49"/>
        <v>1</v>
      </c>
      <c r="P252" s="942"/>
      <c r="Q252" s="53">
        <f t="shared" si="50"/>
        <v>1</v>
      </c>
      <c r="R252" s="476">
        <f t="shared" si="51"/>
        <v>0</v>
      </c>
      <c r="S252" s="781">
        <f t="shared" si="52"/>
        <v>0</v>
      </c>
    </row>
    <row r="253" spans="1:19">
      <c r="A253" s="944"/>
      <c r="B253" s="136"/>
      <c r="C253" s="53">
        <f t="shared" si="43"/>
        <v>1</v>
      </c>
      <c r="D253" s="942"/>
      <c r="E253" s="53">
        <f t="shared" si="44"/>
        <v>1</v>
      </c>
      <c r="F253" s="942"/>
      <c r="G253" s="53">
        <f t="shared" si="45"/>
        <v>1</v>
      </c>
      <c r="H253" s="942"/>
      <c r="I253" s="53">
        <f t="shared" si="46"/>
        <v>1</v>
      </c>
      <c r="J253" s="942"/>
      <c r="K253" s="53">
        <f t="shared" si="47"/>
        <v>1</v>
      </c>
      <c r="L253" s="942"/>
      <c r="M253" s="53">
        <f t="shared" si="48"/>
        <v>1</v>
      </c>
      <c r="N253" s="942"/>
      <c r="O253" s="53">
        <f t="shared" si="49"/>
        <v>1</v>
      </c>
      <c r="P253" s="942"/>
      <c r="Q253" s="53">
        <f t="shared" si="50"/>
        <v>1</v>
      </c>
      <c r="R253" s="476">
        <f t="shared" si="51"/>
        <v>0</v>
      </c>
      <c r="S253" s="781">
        <f t="shared" si="52"/>
        <v>0</v>
      </c>
    </row>
    <row r="254" spans="1:19">
      <c r="A254" s="944"/>
      <c r="B254" s="136"/>
      <c r="C254" s="53">
        <f t="shared" si="43"/>
        <v>1</v>
      </c>
      <c r="D254" s="942"/>
      <c r="E254" s="53">
        <f t="shared" si="44"/>
        <v>1</v>
      </c>
      <c r="F254" s="942"/>
      <c r="G254" s="53">
        <f t="shared" si="45"/>
        <v>1</v>
      </c>
      <c r="H254" s="942"/>
      <c r="I254" s="53">
        <f t="shared" si="46"/>
        <v>1</v>
      </c>
      <c r="J254" s="942"/>
      <c r="K254" s="53">
        <f t="shared" si="47"/>
        <v>1</v>
      </c>
      <c r="L254" s="942"/>
      <c r="M254" s="53">
        <f t="shared" si="48"/>
        <v>1</v>
      </c>
      <c r="N254" s="942"/>
      <c r="O254" s="53">
        <f t="shared" si="49"/>
        <v>1</v>
      </c>
      <c r="P254" s="942"/>
      <c r="Q254" s="53">
        <f t="shared" si="50"/>
        <v>1</v>
      </c>
      <c r="R254" s="476">
        <f t="shared" si="51"/>
        <v>0</v>
      </c>
      <c r="S254" s="781">
        <f t="shared" si="52"/>
        <v>0</v>
      </c>
    </row>
    <row r="255" spans="1:19">
      <c r="A255" s="944"/>
      <c r="B255" s="136"/>
      <c r="C255" s="53">
        <f t="shared" si="43"/>
        <v>1</v>
      </c>
      <c r="D255" s="942"/>
      <c r="E255" s="53">
        <f t="shared" si="44"/>
        <v>1</v>
      </c>
      <c r="F255" s="942"/>
      <c r="G255" s="53">
        <f t="shared" si="45"/>
        <v>1</v>
      </c>
      <c r="H255" s="942"/>
      <c r="I255" s="53">
        <f t="shared" si="46"/>
        <v>1</v>
      </c>
      <c r="J255" s="942"/>
      <c r="K255" s="53">
        <f t="shared" si="47"/>
        <v>1</v>
      </c>
      <c r="L255" s="942"/>
      <c r="M255" s="53">
        <f t="shared" si="48"/>
        <v>1</v>
      </c>
      <c r="N255" s="942"/>
      <c r="O255" s="53">
        <f t="shared" si="49"/>
        <v>1</v>
      </c>
      <c r="P255" s="942"/>
      <c r="Q255" s="53">
        <f t="shared" si="50"/>
        <v>1</v>
      </c>
      <c r="R255" s="476">
        <f t="shared" si="51"/>
        <v>0</v>
      </c>
      <c r="S255" s="781">
        <f t="shared" si="52"/>
        <v>0</v>
      </c>
    </row>
    <row r="256" spans="1:19">
      <c r="A256" s="944"/>
      <c r="B256" s="136"/>
      <c r="C256" s="53">
        <f t="shared" si="43"/>
        <v>1</v>
      </c>
      <c r="D256" s="942"/>
      <c r="E256" s="53">
        <f t="shared" si="44"/>
        <v>1</v>
      </c>
      <c r="F256" s="942"/>
      <c r="G256" s="53">
        <f t="shared" si="45"/>
        <v>1</v>
      </c>
      <c r="H256" s="942"/>
      <c r="I256" s="53">
        <f t="shared" si="46"/>
        <v>1</v>
      </c>
      <c r="J256" s="942"/>
      <c r="K256" s="53">
        <f t="shared" si="47"/>
        <v>1</v>
      </c>
      <c r="L256" s="942"/>
      <c r="M256" s="53">
        <f t="shared" si="48"/>
        <v>1</v>
      </c>
      <c r="N256" s="942"/>
      <c r="O256" s="53">
        <f t="shared" si="49"/>
        <v>1</v>
      </c>
      <c r="P256" s="942"/>
      <c r="Q256" s="53">
        <f t="shared" si="50"/>
        <v>1</v>
      </c>
      <c r="R256" s="476">
        <f t="shared" si="51"/>
        <v>0</v>
      </c>
      <c r="S256" s="781">
        <f t="shared" si="52"/>
        <v>0</v>
      </c>
    </row>
    <row r="257" spans="1:19">
      <c r="A257" s="944"/>
      <c r="B257" s="136"/>
      <c r="C257" s="53">
        <f t="shared" si="43"/>
        <v>1</v>
      </c>
      <c r="D257" s="942"/>
      <c r="E257" s="53">
        <f t="shared" si="44"/>
        <v>1</v>
      </c>
      <c r="F257" s="942"/>
      <c r="G257" s="53">
        <f t="shared" si="45"/>
        <v>1</v>
      </c>
      <c r="H257" s="942"/>
      <c r="I257" s="53">
        <f t="shared" si="46"/>
        <v>1</v>
      </c>
      <c r="J257" s="942"/>
      <c r="K257" s="53">
        <f t="shared" si="47"/>
        <v>1</v>
      </c>
      <c r="L257" s="942"/>
      <c r="M257" s="53">
        <f t="shared" si="48"/>
        <v>1</v>
      </c>
      <c r="N257" s="942"/>
      <c r="O257" s="53">
        <f t="shared" si="49"/>
        <v>1</v>
      </c>
      <c r="P257" s="942"/>
      <c r="Q257" s="53">
        <f t="shared" si="50"/>
        <v>1</v>
      </c>
      <c r="R257" s="476">
        <f t="shared" si="51"/>
        <v>0</v>
      </c>
      <c r="S257" s="781">
        <f t="shared" si="52"/>
        <v>0</v>
      </c>
    </row>
    <row r="258" spans="1:19">
      <c r="A258" s="944"/>
      <c r="B258" s="136"/>
      <c r="C258" s="53">
        <f t="shared" si="43"/>
        <v>1</v>
      </c>
      <c r="D258" s="942"/>
      <c r="E258" s="53">
        <f t="shared" si="44"/>
        <v>1</v>
      </c>
      <c r="F258" s="942"/>
      <c r="G258" s="53">
        <f t="shared" si="45"/>
        <v>1</v>
      </c>
      <c r="H258" s="942"/>
      <c r="I258" s="53">
        <f t="shared" si="46"/>
        <v>1</v>
      </c>
      <c r="J258" s="942"/>
      <c r="K258" s="53">
        <f t="shared" si="47"/>
        <v>1</v>
      </c>
      <c r="L258" s="942"/>
      <c r="M258" s="53">
        <f t="shared" si="48"/>
        <v>1</v>
      </c>
      <c r="N258" s="942"/>
      <c r="O258" s="53">
        <f t="shared" si="49"/>
        <v>1</v>
      </c>
      <c r="P258" s="942"/>
      <c r="Q258" s="53">
        <f t="shared" si="50"/>
        <v>1</v>
      </c>
      <c r="R258" s="476">
        <f t="shared" si="51"/>
        <v>0</v>
      </c>
      <c r="S258" s="781">
        <f t="shared" si="52"/>
        <v>0</v>
      </c>
    </row>
    <row r="259" spans="1:19">
      <c r="A259" s="944"/>
      <c r="B259" s="136"/>
      <c r="C259" s="53">
        <f t="shared" si="43"/>
        <v>1</v>
      </c>
      <c r="D259" s="942"/>
      <c r="E259" s="53">
        <f t="shared" si="44"/>
        <v>1</v>
      </c>
      <c r="F259" s="942"/>
      <c r="G259" s="53">
        <f t="shared" si="45"/>
        <v>1</v>
      </c>
      <c r="H259" s="942"/>
      <c r="I259" s="53">
        <f t="shared" si="46"/>
        <v>1</v>
      </c>
      <c r="J259" s="942"/>
      <c r="K259" s="53">
        <f t="shared" si="47"/>
        <v>1</v>
      </c>
      <c r="L259" s="942"/>
      <c r="M259" s="53">
        <f t="shared" si="48"/>
        <v>1</v>
      </c>
      <c r="N259" s="942"/>
      <c r="O259" s="53">
        <f t="shared" si="49"/>
        <v>1</v>
      </c>
      <c r="P259" s="942"/>
      <c r="Q259" s="53">
        <f t="shared" si="50"/>
        <v>1</v>
      </c>
      <c r="R259" s="476">
        <f t="shared" si="51"/>
        <v>0</v>
      </c>
      <c r="S259" s="781">
        <f t="shared" si="52"/>
        <v>0</v>
      </c>
    </row>
    <row r="260" spans="1:19">
      <c r="A260" s="944"/>
      <c r="B260" s="136"/>
      <c r="C260" s="53">
        <f t="shared" si="43"/>
        <v>1</v>
      </c>
      <c r="D260" s="942"/>
      <c r="E260" s="53">
        <f t="shared" si="44"/>
        <v>1</v>
      </c>
      <c r="F260" s="942"/>
      <c r="G260" s="53">
        <f t="shared" si="45"/>
        <v>1</v>
      </c>
      <c r="H260" s="942"/>
      <c r="I260" s="53">
        <f t="shared" si="46"/>
        <v>1</v>
      </c>
      <c r="J260" s="942"/>
      <c r="K260" s="53">
        <f t="shared" si="47"/>
        <v>1</v>
      </c>
      <c r="L260" s="942"/>
      <c r="M260" s="53">
        <f t="shared" si="48"/>
        <v>1</v>
      </c>
      <c r="N260" s="942"/>
      <c r="O260" s="53">
        <f t="shared" si="49"/>
        <v>1</v>
      </c>
      <c r="P260" s="942"/>
      <c r="Q260" s="53">
        <f t="shared" si="50"/>
        <v>1</v>
      </c>
      <c r="R260" s="476">
        <f t="shared" si="51"/>
        <v>0</v>
      </c>
      <c r="S260" s="781">
        <f t="shared" si="52"/>
        <v>0</v>
      </c>
    </row>
    <row r="261" spans="1:19">
      <c r="A261" s="944"/>
      <c r="B261" s="136"/>
      <c r="C261" s="53">
        <f t="shared" si="43"/>
        <v>1</v>
      </c>
      <c r="D261" s="942"/>
      <c r="E261" s="53">
        <f t="shared" si="44"/>
        <v>1</v>
      </c>
      <c r="F261" s="942"/>
      <c r="G261" s="53">
        <f t="shared" si="45"/>
        <v>1</v>
      </c>
      <c r="H261" s="942"/>
      <c r="I261" s="53">
        <f t="shared" si="46"/>
        <v>1</v>
      </c>
      <c r="J261" s="942"/>
      <c r="K261" s="53">
        <f t="shared" si="47"/>
        <v>1</v>
      </c>
      <c r="L261" s="942"/>
      <c r="M261" s="53">
        <f t="shared" si="48"/>
        <v>1</v>
      </c>
      <c r="N261" s="942"/>
      <c r="O261" s="53">
        <f t="shared" si="49"/>
        <v>1</v>
      </c>
      <c r="P261" s="942"/>
      <c r="Q261" s="53">
        <f t="shared" si="50"/>
        <v>1</v>
      </c>
      <c r="R261" s="476">
        <f t="shared" si="51"/>
        <v>0</v>
      </c>
      <c r="S261" s="781">
        <f t="shared" si="52"/>
        <v>0</v>
      </c>
    </row>
    <row r="262" spans="1:19">
      <c r="A262" s="944"/>
      <c r="B262" s="136"/>
      <c r="C262" s="53">
        <f t="shared" si="43"/>
        <v>1</v>
      </c>
      <c r="D262" s="942"/>
      <c r="E262" s="53">
        <f t="shared" si="44"/>
        <v>1</v>
      </c>
      <c r="F262" s="942"/>
      <c r="G262" s="53">
        <f t="shared" si="45"/>
        <v>1</v>
      </c>
      <c r="H262" s="942"/>
      <c r="I262" s="53">
        <f t="shared" si="46"/>
        <v>1</v>
      </c>
      <c r="J262" s="942"/>
      <c r="K262" s="53">
        <f t="shared" si="47"/>
        <v>1</v>
      </c>
      <c r="L262" s="942"/>
      <c r="M262" s="53">
        <f t="shared" si="48"/>
        <v>1</v>
      </c>
      <c r="N262" s="942"/>
      <c r="O262" s="53">
        <f t="shared" si="49"/>
        <v>1</v>
      </c>
      <c r="P262" s="942"/>
      <c r="Q262" s="53">
        <f t="shared" si="50"/>
        <v>1</v>
      </c>
      <c r="R262" s="476">
        <f t="shared" si="51"/>
        <v>0</v>
      </c>
      <c r="S262" s="781">
        <f t="shared" si="52"/>
        <v>0</v>
      </c>
    </row>
    <row r="263" spans="1:19">
      <c r="A263" s="944"/>
      <c r="B263" s="136"/>
      <c r="C263" s="53">
        <f t="shared" si="43"/>
        <v>1</v>
      </c>
      <c r="D263" s="942"/>
      <c r="E263" s="53">
        <f t="shared" si="44"/>
        <v>1</v>
      </c>
      <c r="F263" s="942"/>
      <c r="G263" s="53">
        <f t="shared" si="45"/>
        <v>1</v>
      </c>
      <c r="H263" s="942"/>
      <c r="I263" s="53">
        <f t="shared" si="46"/>
        <v>1</v>
      </c>
      <c r="J263" s="942"/>
      <c r="K263" s="53">
        <f t="shared" si="47"/>
        <v>1</v>
      </c>
      <c r="L263" s="942"/>
      <c r="M263" s="53">
        <f t="shared" si="48"/>
        <v>1</v>
      </c>
      <c r="N263" s="942"/>
      <c r="O263" s="53">
        <f t="shared" si="49"/>
        <v>1</v>
      </c>
      <c r="P263" s="942"/>
      <c r="Q263" s="53">
        <f t="shared" si="50"/>
        <v>1</v>
      </c>
      <c r="R263" s="476">
        <f t="shared" si="51"/>
        <v>0</v>
      </c>
      <c r="S263" s="781">
        <f t="shared" si="52"/>
        <v>0</v>
      </c>
    </row>
    <row r="264" spans="1:19">
      <c r="A264" s="944"/>
      <c r="B264" s="136"/>
      <c r="C264" s="53">
        <f t="shared" si="43"/>
        <v>1</v>
      </c>
      <c r="D264" s="942"/>
      <c r="E264" s="53">
        <f t="shared" si="44"/>
        <v>1</v>
      </c>
      <c r="F264" s="942"/>
      <c r="G264" s="53">
        <f t="shared" si="45"/>
        <v>1</v>
      </c>
      <c r="H264" s="942"/>
      <c r="I264" s="53">
        <f t="shared" si="46"/>
        <v>1</v>
      </c>
      <c r="J264" s="942"/>
      <c r="K264" s="53">
        <f t="shared" si="47"/>
        <v>1</v>
      </c>
      <c r="L264" s="942"/>
      <c r="M264" s="53">
        <f t="shared" si="48"/>
        <v>1</v>
      </c>
      <c r="N264" s="942"/>
      <c r="O264" s="53">
        <f t="shared" si="49"/>
        <v>1</v>
      </c>
      <c r="P264" s="942"/>
      <c r="Q264" s="53">
        <f t="shared" si="50"/>
        <v>1</v>
      </c>
      <c r="R264" s="476">
        <f t="shared" si="51"/>
        <v>0</v>
      </c>
      <c r="S264" s="781">
        <f t="shared" si="52"/>
        <v>0</v>
      </c>
    </row>
    <row r="265" spans="1:19">
      <c r="A265" s="944"/>
      <c r="B265" s="136"/>
      <c r="C265" s="53">
        <f t="shared" si="43"/>
        <v>1</v>
      </c>
      <c r="D265" s="942"/>
      <c r="E265" s="53">
        <f t="shared" si="44"/>
        <v>1</v>
      </c>
      <c r="F265" s="942"/>
      <c r="G265" s="53">
        <f t="shared" si="45"/>
        <v>1</v>
      </c>
      <c r="H265" s="942"/>
      <c r="I265" s="53">
        <f t="shared" si="46"/>
        <v>1</v>
      </c>
      <c r="J265" s="942"/>
      <c r="K265" s="53">
        <f t="shared" si="47"/>
        <v>1</v>
      </c>
      <c r="L265" s="942"/>
      <c r="M265" s="53">
        <f t="shared" si="48"/>
        <v>1</v>
      </c>
      <c r="N265" s="942"/>
      <c r="O265" s="53">
        <f t="shared" si="49"/>
        <v>1</v>
      </c>
      <c r="P265" s="942"/>
      <c r="Q265" s="53">
        <f t="shared" si="50"/>
        <v>1</v>
      </c>
      <c r="R265" s="476">
        <f t="shared" si="51"/>
        <v>0</v>
      </c>
      <c r="S265" s="781">
        <f t="shared" si="52"/>
        <v>0</v>
      </c>
    </row>
    <row r="266" spans="1:19">
      <c r="A266" s="944"/>
      <c r="B266" s="136"/>
      <c r="C266" s="53">
        <f t="shared" si="43"/>
        <v>1</v>
      </c>
      <c r="D266" s="942"/>
      <c r="E266" s="53">
        <f t="shared" si="44"/>
        <v>1</v>
      </c>
      <c r="F266" s="942"/>
      <c r="G266" s="53">
        <f t="shared" si="45"/>
        <v>1</v>
      </c>
      <c r="H266" s="942"/>
      <c r="I266" s="53">
        <f t="shared" si="46"/>
        <v>1</v>
      </c>
      <c r="J266" s="942"/>
      <c r="K266" s="53">
        <f t="shared" si="47"/>
        <v>1</v>
      </c>
      <c r="L266" s="942"/>
      <c r="M266" s="53">
        <f t="shared" si="48"/>
        <v>1</v>
      </c>
      <c r="N266" s="942"/>
      <c r="O266" s="53">
        <f t="shared" si="49"/>
        <v>1</v>
      </c>
      <c r="P266" s="942"/>
      <c r="Q266" s="53">
        <f t="shared" si="50"/>
        <v>1</v>
      </c>
      <c r="R266" s="476">
        <f t="shared" si="51"/>
        <v>0</v>
      </c>
      <c r="S266" s="781">
        <f t="shared" si="52"/>
        <v>0</v>
      </c>
    </row>
    <row r="267" spans="1:19">
      <c r="A267" s="944"/>
      <c r="B267" s="136"/>
      <c r="C267" s="53">
        <f t="shared" si="43"/>
        <v>1</v>
      </c>
      <c r="D267" s="942"/>
      <c r="E267" s="53">
        <f t="shared" si="44"/>
        <v>1</v>
      </c>
      <c r="F267" s="942"/>
      <c r="G267" s="53">
        <f t="shared" si="45"/>
        <v>1</v>
      </c>
      <c r="H267" s="942"/>
      <c r="I267" s="53">
        <f t="shared" si="46"/>
        <v>1</v>
      </c>
      <c r="J267" s="942"/>
      <c r="K267" s="53">
        <f t="shared" si="47"/>
        <v>1</v>
      </c>
      <c r="L267" s="942"/>
      <c r="M267" s="53">
        <f t="shared" si="48"/>
        <v>1</v>
      </c>
      <c r="N267" s="942"/>
      <c r="O267" s="53">
        <f t="shared" si="49"/>
        <v>1</v>
      </c>
      <c r="P267" s="942"/>
      <c r="Q267" s="53">
        <f t="shared" si="50"/>
        <v>1</v>
      </c>
      <c r="R267" s="476">
        <f t="shared" si="51"/>
        <v>0</v>
      </c>
      <c r="S267" s="781">
        <f t="shared" si="52"/>
        <v>0</v>
      </c>
    </row>
    <row r="268" spans="1:19">
      <c r="A268" s="944"/>
      <c r="B268" s="136"/>
      <c r="C268" s="53">
        <f t="shared" si="43"/>
        <v>1</v>
      </c>
      <c r="D268" s="942"/>
      <c r="E268" s="53">
        <f t="shared" si="44"/>
        <v>1</v>
      </c>
      <c r="F268" s="942"/>
      <c r="G268" s="53">
        <f t="shared" si="45"/>
        <v>1</v>
      </c>
      <c r="H268" s="942"/>
      <c r="I268" s="53">
        <f t="shared" si="46"/>
        <v>1</v>
      </c>
      <c r="J268" s="942"/>
      <c r="K268" s="53">
        <f t="shared" si="47"/>
        <v>1</v>
      </c>
      <c r="L268" s="942"/>
      <c r="M268" s="53">
        <f t="shared" si="48"/>
        <v>1</v>
      </c>
      <c r="N268" s="942"/>
      <c r="O268" s="53">
        <f t="shared" si="49"/>
        <v>1</v>
      </c>
      <c r="P268" s="942"/>
      <c r="Q268" s="53">
        <f t="shared" si="50"/>
        <v>1</v>
      </c>
      <c r="R268" s="476">
        <f t="shared" si="51"/>
        <v>0</v>
      </c>
      <c r="S268" s="781">
        <f t="shared" si="52"/>
        <v>0</v>
      </c>
    </row>
    <row r="269" spans="1:19">
      <c r="A269" s="944"/>
      <c r="B269" s="136"/>
      <c r="C269" s="53">
        <f t="shared" si="43"/>
        <v>1</v>
      </c>
      <c r="D269" s="942"/>
      <c r="E269" s="53">
        <f t="shared" si="44"/>
        <v>1</v>
      </c>
      <c r="F269" s="942"/>
      <c r="G269" s="53">
        <f t="shared" si="45"/>
        <v>1</v>
      </c>
      <c r="H269" s="942"/>
      <c r="I269" s="53">
        <f t="shared" si="46"/>
        <v>1</v>
      </c>
      <c r="J269" s="942"/>
      <c r="K269" s="53">
        <f t="shared" si="47"/>
        <v>1</v>
      </c>
      <c r="L269" s="942"/>
      <c r="M269" s="53">
        <f t="shared" si="48"/>
        <v>1</v>
      </c>
      <c r="N269" s="942"/>
      <c r="O269" s="53">
        <f t="shared" si="49"/>
        <v>1</v>
      </c>
      <c r="P269" s="942"/>
      <c r="Q269" s="53">
        <f t="shared" si="50"/>
        <v>1</v>
      </c>
      <c r="R269" s="476">
        <f t="shared" si="51"/>
        <v>0</v>
      </c>
      <c r="S269" s="781">
        <f t="shared" si="52"/>
        <v>0</v>
      </c>
    </row>
    <row r="270" spans="1:19">
      <c r="A270" s="944"/>
      <c r="B270" s="136"/>
      <c r="C270" s="53">
        <f t="shared" si="43"/>
        <v>1</v>
      </c>
      <c r="D270" s="942"/>
      <c r="E270" s="53">
        <f t="shared" si="44"/>
        <v>1</v>
      </c>
      <c r="F270" s="942"/>
      <c r="G270" s="53">
        <f t="shared" si="45"/>
        <v>1</v>
      </c>
      <c r="H270" s="942"/>
      <c r="I270" s="53">
        <f t="shared" si="46"/>
        <v>1</v>
      </c>
      <c r="J270" s="942"/>
      <c r="K270" s="53">
        <f t="shared" si="47"/>
        <v>1</v>
      </c>
      <c r="L270" s="942"/>
      <c r="M270" s="53">
        <f t="shared" si="48"/>
        <v>1</v>
      </c>
      <c r="N270" s="942"/>
      <c r="O270" s="53">
        <f t="shared" si="49"/>
        <v>1</v>
      </c>
      <c r="P270" s="942"/>
      <c r="Q270" s="53">
        <f t="shared" si="50"/>
        <v>1</v>
      </c>
      <c r="R270" s="476">
        <f t="shared" si="51"/>
        <v>0</v>
      </c>
      <c r="S270" s="781">
        <f t="shared" si="52"/>
        <v>0</v>
      </c>
    </row>
    <row r="271" spans="1:19">
      <c r="A271" s="944"/>
      <c r="B271" s="136"/>
      <c r="C271" s="53">
        <f t="shared" si="43"/>
        <v>1</v>
      </c>
      <c r="D271" s="942"/>
      <c r="E271" s="53">
        <f t="shared" si="44"/>
        <v>1</v>
      </c>
      <c r="F271" s="942"/>
      <c r="G271" s="53">
        <f t="shared" si="45"/>
        <v>1</v>
      </c>
      <c r="H271" s="942"/>
      <c r="I271" s="53">
        <f t="shared" si="46"/>
        <v>1</v>
      </c>
      <c r="J271" s="942"/>
      <c r="K271" s="53">
        <f t="shared" si="47"/>
        <v>1</v>
      </c>
      <c r="L271" s="942"/>
      <c r="M271" s="53">
        <f t="shared" si="48"/>
        <v>1</v>
      </c>
      <c r="N271" s="942"/>
      <c r="O271" s="53">
        <f t="shared" si="49"/>
        <v>1</v>
      </c>
      <c r="P271" s="942"/>
      <c r="Q271" s="53">
        <f t="shared" si="50"/>
        <v>1</v>
      </c>
      <c r="R271" s="476">
        <f t="shared" si="51"/>
        <v>0</v>
      </c>
      <c r="S271" s="781">
        <f t="shared" si="52"/>
        <v>0</v>
      </c>
    </row>
    <row r="272" spans="1:19">
      <c r="A272" s="944"/>
      <c r="B272" s="136"/>
      <c r="C272" s="53">
        <f t="shared" si="43"/>
        <v>1</v>
      </c>
      <c r="D272" s="942"/>
      <c r="E272" s="53">
        <f t="shared" si="44"/>
        <v>1</v>
      </c>
      <c r="F272" s="942"/>
      <c r="G272" s="53">
        <f t="shared" si="45"/>
        <v>1</v>
      </c>
      <c r="H272" s="942"/>
      <c r="I272" s="53">
        <f t="shared" si="46"/>
        <v>1</v>
      </c>
      <c r="J272" s="942"/>
      <c r="K272" s="53">
        <f t="shared" si="47"/>
        <v>1</v>
      </c>
      <c r="L272" s="942"/>
      <c r="M272" s="53">
        <f t="shared" si="48"/>
        <v>1</v>
      </c>
      <c r="N272" s="942"/>
      <c r="O272" s="53">
        <f t="shared" si="49"/>
        <v>1</v>
      </c>
      <c r="P272" s="942"/>
      <c r="Q272" s="53">
        <f t="shared" si="50"/>
        <v>1</v>
      </c>
      <c r="R272" s="476">
        <f t="shared" si="51"/>
        <v>0</v>
      </c>
      <c r="S272" s="781">
        <f t="shared" si="52"/>
        <v>0</v>
      </c>
    </row>
    <row r="273" spans="1:19">
      <c r="A273" s="944"/>
      <c r="B273" s="136"/>
      <c r="C273" s="53">
        <f t="shared" si="43"/>
        <v>1</v>
      </c>
      <c r="D273" s="942"/>
      <c r="E273" s="53">
        <f t="shared" si="44"/>
        <v>1</v>
      </c>
      <c r="F273" s="942"/>
      <c r="G273" s="53">
        <f t="shared" si="45"/>
        <v>1</v>
      </c>
      <c r="H273" s="942"/>
      <c r="I273" s="53">
        <f t="shared" si="46"/>
        <v>1</v>
      </c>
      <c r="J273" s="942"/>
      <c r="K273" s="53">
        <f t="shared" si="47"/>
        <v>1</v>
      </c>
      <c r="L273" s="942"/>
      <c r="M273" s="53">
        <f t="shared" si="48"/>
        <v>1</v>
      </c>
      <c r="N273" s="942"/>
      <c r="O273" s="53">
        <f t="shared" si="49"/>
        <v>1</v>
      </c>
      <c r="P273" s="942"/>
      <c r="Q273" s="53">
        <f t="shared" si="50"/>
        <v>1</v>
      </c>
      <c r="R273" s="476">
        <f t="shared" si="51"/>
        <v>0</v>
      </c>
      <c r="S273" s="781">
        <f t="shared" si="52"/>
        <v>0</v>
      </c>
    </row>
    <row r="274" spans="1:19">
      <c r="A274" s="944"/>
      <c r="B274" s="136"/>
      <c r="C274" s="53">
        <f t="shared" si="43"/>
        <v>1</v>
      </c>
      <c r="D274" s="942"/>
      <c r="E274" s="53">
        <f t="shared" si="44"/>
        <v>1</v>
      </c>
      <c r="F274" s="942"/>
      <c r="G274" s="53">
        <f t="shared" si="45"/>
        <v>1</v>
      </c>
      <c r="H274" s="942"/>
      <c r="I274" s="53">
        <f t="shared" si="46"/>
        <v>1</v>
      </c>
      <c r="J274" s="942"/>
      <c r="K274" s="53">
        <f t="shared" si="47"/>
        <v>1</v>
      </c>
      <c r="L274" s="942"/>
      <c r="M274" s="53">
        <f t="shared" si="48"/>
        <v>1</v>
      </c>
      <c r="N274" s="942"/>
      <c r="O274" s="53">
        <f t="shared" si="49"/>
        <v>1</v>
      </c>
      <c r="P274" s="942"/>
      <c r="Q274" s="53">
        <f t="shared" si="50"/>
        <v>1</v>
      </c>
      <c r="R274" s="476">
        <f t="shared" si="51"/>
        <v>0</v>
      </c>
      <c r="S274" s="781">
        <f t="shared" si="52"/>
        <v>0</v>
      </c>
    </row>
    <row r="275" spans="1:19">
      <c r="A275" s="944"/>
      <c r="B275" s="136"/>
      <c r="C275" s="53">
        <f t="shared" si="43"/>
        <v>1</v>
      </c>
      <c r="D275" s="942"/>
      <c r="E275" s="53">
        <f t="shared" si="44"/>
        <v>1</v>
      </c>
      <c r="F275" s="942"/>
      <c r="G275" s="53">
        <f t="shared" si="45"/>
        <v>1</v>
      </c>
      <c r="H275" s="942"/>
      <c r="I275" s="53">
        <f t="shared" si="46"/>
        <v>1</v>
      </c>
      <c r="J275" s="942"/>
      <c r="K275" s="53">
        <f t="shared" si="47"/>
        <v>1</v>
      </c>
      <c r="L275" s="942"/>
      <c r="M275" s="53">
        <f t="shared" si="48"/>
        <v>1</v>
      </c>
      <c r="N275" s="942"/>
      <c r="O275" s="53">
        <f t="shared" si="49"/>
        <v>1</v>
      </c>
      <c r="P275" s="942"/>
      <c r="Q275" s="53">
        <f t="shared" si="50"/>
        <v>1</v>
      </c>
      <c r="R275" s="476">
        <f t="shared" si="51"/>
        <v>0</v>
      </c>
      <c r="S275" s="781">
        <f t="shared" si="52"/>
        <v>0</v>
      </c>
    </row>
    <row r="276" spans="1:19">
      <c r="A276" s="944"/>
      <c r="B276" s="136"/>
      <c r="C276" s="53">
        <f t="shared" si="43"/>
        <v>1</v>
      </c>
      <c r="D276" s="942"/>
      <c r="E276" s="53">
        <f t="shared" si="44"/>
        <v>1</v>
      </c>
      <c r="F276" s="942"/>
      <c r="G276" s="53">
        <f t="shared" si="45"/>
        <v>1</v>
      </c>
      <c r="H276" s="942"/>
      <c r="I276" s="53">
        <f t="shared" si="46"/>
        <v>1</v>
      </c>
      <c r="J276" s="942"/>
      <c r="K276" s="53">
        <f t="shared" si="47"/>
        <v>1</v>
      </c>
      <c r="L276" s="942"/>
      <c r="M276" s="53">
        <f t="shared" si="48"/>
        <v>1</v>
      </c>
      <c r="N276" s="942"/>
      <c r="O276" s="53">
        <f t="shared" si="49"/>
        <v>1</v>
      </c>
      <c r="P276" s="942"/>
      <c r="Q276" s="53">
        <f t="shared" si="50"/>
        <v>1</v>
      </c>
      <c r="R276" s="476">
        <f t="shared" si="51"/>
        <v>0</v>
      </c>
      <c r="S276" s="781">
        <f t="shared" si="52"/>
        <v>0</v>
      </c>
    </row>
    <row r="277" spans="1:19">
      <c r="A277" s="944"/>
      <c r="B277" s="136"/>
      <c r="C277" s="53">
        <f t="shared" si="43"/>
        <v>1</v>
      </c>
      <c r="D277" s="942"/>
      <c r="E277" s="53">
        <f t="shared" si="44"/>
        <v>1</v>
      </c>
      <c r="F277" s="942"/>
      <c r="G277" s="53">
        <f t="shared" si="45"/>
        <v>1</v>
      </c>
      <c r="H277" s="942"/>
      <c r="I277" s="53">
        <f t="shared" si="46"/>
        <v>1</v>
      </c>
      <c r="J277" s="942"/>
      <c r="K277" s="53">
        <f t="shared" si="47"/>
        <v>1</v>
      </c>
      <c r="L277" s="942"/>
      <c r="M277" s="53">
        <f t="shared" si="48"/>
        <v>1</v>
      </c>
      <c r="N277" s="942"/>
      <c r="O277" s="53">
        <f t="shared" si="49"/>
        <v>1</v>
      </c>
      <c r="P277" s="942"/>
      <c r="Q277" s="53">
        <f t="shared" si="50"/>
        <v>1</v>
      </c>
      <c r="R277" s="476">
        <f t="shared" si="51"/>
        <v>0</v>
      </c>
      <c r="S277" s="781">
        <f t="shared" si="52"/>
        <v>0</v>
      </c>
    </row>
    <row r="278" spans="1:19">
      <c r="A278" s="944"/>
      <c r="B278" s="136"/>
      <c r="C278" s="53">
        <f t="shared" si="43"/>
        <v>1</v>
      </c>
      <c r="D278" s="942"/>
      <c r="E278" s="53">
        <f t="shared" si="44"/>
        <v>1</v>
      </c>
      <c r="F278" s="942"/>
      <c r="G278" s="53">
        <f t="shared" si="45"/>
        <v>1</v>
      </c>
      <c r="H278" s="942"/>
      <c r="I278" s="53">
        <f t="shared" si="46"/>
        <v>1</v>
      </c>
      <c r="J278" s="942"/>
      <c r="K278" s="53">
        <f t="shared" si="47"/>
        <v>1</v>
      </c>
      <c r="L278" s="942"/>
      <c r="M278" s="53">
        <f t="shared" si="48"/>
        <v>1</v>
      </c>
      <c r="N278" s="942"/>
      <c r="O278" s="53">
        <f t="shared" si="49"/>
        <v>1</v>
      </c>
      <c r="P278" s="942"/>
      <c r="Q278" s="53">
        <f t="shared" si="50"/>
        <v>1</v>
      </c>
      <c r="R278" s="476">
        <f t="shared" si="51"/>
        <v>0</v>
      </c>
      <c r="S278" s="781">
        <f t="shared" si="52"/>
        <v>0</v>
      </c>
    </row>
    <row r="279" spans="1:19">
      <c r="A279" s="944"/>
      <c r="B279" s="136"/>
      <c r="C279" s="53">
        <f t="shared" si="43"/>
        <v>1</v>
      </c>
      <c r="D279" s="942"/>
      <c r="E279" s="53">
        <f t="shared" si="44"/>
        <v>1</v>
      </c>
      <c r="F279" s="942"/>
      <c r="G279" s="53">
        <f t="shared" si="45"/>
        <v>1</v>
      </c>
      <c r="H279" s="942"/>
      <c r="I279" s="53">
        <f t="shared" si="46"/>
        <v>1</v>
      </c>
      <c r="J279" s="942"/>
      <c r="K279" s="53">
        <f t="shared" si="47"/>
        <v>1</v>
      </c>
      <c r="L279" s="942"/>
      <c r="M279" s="53">
        <f t="shared" si="48"/>
        <v>1</v>
      </c>
      <c r="N279" s="942"/>
      <c r="O279" s="53">
        <f t="shared" si="49"/>
        <v>1</v>
      </c>
      <c r="P279" s="942"/>
      <c r="Q279" s="53">
        <f t="shared" si="50"/>
        <v>1</v>
      </c>
      <c r="R279" s="476">
        <f t="shared" si="51"/>
        <v>0</v>
      </c>
      <c r="S279" s="781">
        <f t="shared" si="52"/>
        <v>0</v>
      </c>
    </row>
    <row r="280" spans="1:19">
      <c r="A280" s="944"/>
      <c r="B280" s="136"/>
      <c r="C280" s="53">
        <f t="shared" si="43"/>
        <v>1</v>
      </c>
      <c r="D280" s="942"/>
      <c r="E280" s="53">
        <f t="shared" si="44"/>
        <v>1</v>
      </c>
      <c r="F280" s="942"/>
      <c r="G280" s="53">
        <f t="shared" si="45"/>
        <v>1</v>
      </c>
      <c r="H280" s="942"/>
      <c r="I280" s="53">
        <f t="shared" si="46"/>
        <v>1</v>
      </c>
      <c r="J280" s="942"/>
      <c r="K280" s="53">
        <f t="shared" si="47"/>
        <v>1</v>
      </c>
      <c r="L280" s="942"/>
      <c r="M280" s="53">
        <f t="shared" si="48"/>
        <v>1</v>
      </c>
      <c r="N280" s="942"/>
      <c r="O280" s="53">
        <f t="shared" si="49"/>
        <v>1</v>
      </c>
      <c r="P280" s="942"/>
      <c r="Q280" s="53">
        <f t="shared" si="50"/>
        <v>1</v>
      </c>
      <c r="R280" s="476">
        <f t="shared" si="51"/>
        <v>0</v>
      </c>
      <c r="S280" s="781">
        <f t="shared" si="52"/>
        <v>0</v>
      </c>
    </row>
    <row r="281" spans="1:19">
      <c r="A281" s="944"/>
      <c r="B281" s="136"/>
      <c r="C281" s="53">
        <f t="shared" si="43"/>
        <v>1</v>
      </c>
      <c r="D281" s="942"/>
      <c r="E281" s="53">
        <f t="shared" si="44"/>
        <v>1</v>
      </c>
      <c r="F281" s="942"/>
      <c r="G281" s="53">
        <f t="shared" si="45"/>
        <v>1</v>
      </c>
      <c r="H281" s="942"/>
      <c r="I281" s="53">
        <f t="shared" si="46"/>
        <v>1</v>
      </c>
      <c r="J281" s="942"/>
      <c r="K281" s="53">
        <f t="shared" si="47"/>
        <v>1</v>
      </c>
      <c r="L281" s="942"/>
      <c r="M281" s="53">
        <f t="shared" si="48"/>
        <v>1</v>
      </c>
      <c r="N281" s="942"/>
      <c r="O281" s="53">
        <f t="shared" si="49"/>
        <v>1</v>
      </c>
      <c r="P281" s="942"/>
      <c r="Q281" s="53">
        <f t="shared" si="50"/>
        <v>1</v>
      </c>
      <c r="R281" s="476">
        <f t="shared" si="51"/>
        <v>0</v>
      </c>
      <c r="S281" s="781">
        <f t="shared" si="52"/>
        <v>0</v>
      </c>
    </row>
    <row r="282" spans="1:19">
      <c r="A282" s="944"/>
      <c r="B282" s="136"/>
      <c r="C282" s="53">
        <f t="shared" ref="C282:C345" si="53">IF(B282="",1,(LOOKUP(B282,$3:$3,$4:$4)-LOOKUP($B$24,$3:$3,$4:$4)+100)/100)</f>
        <v>1</v>
      </c>
      <c r="D282" s="942"/>
      <c r="E282" s="53">
        <f t="shared" ref="E282:E345" si="54">(SUMIF($5:$5,D282,$6:$6)-SUMIF($5:$5,$D$24,$6:$6)+100)/100</f>
        <v>1</v>
      </c>
      <c r="F282" s="942"/>
      <c r="G282" s="53">
        <f t="shared" ref="G282:G345" si="55">(SUMIF($7:$7,F282,$8:$8)-SUMIF($7:$7,$F$24,$8:$8)+100)/100</f>
        <v>1</v>
      </c>
      <c r="H282" s="942"/>
      <c r="I282" s="53">
        <f t="shared" ref="I282:I345" si="56">(SUMIF($9:$9,H282,$10:$10)-SUMIF($9:$9,$H$24,$10:$10)+100)/100</f>
        <v>1</v>
      </c>
      <c r="J282" s="942"/>
      <c r="K282" s="53">
        <f t="shared" ref="K282:K345" si="57">(SUMIF($11:$11,J282,$12:$12)-SUMIF($11:$11,$J$24,$12:$12)+100)/100</f>
        <v>1</v>
      </c>
      <c r="L282" s="942"/>
      <c r="M282" s="53">
        <f t="shared" ref="M282:M345" si="58">(SUMIF($13:$13,L282,$14:$14)-SUMIF($13:$13,$L$24,$14:$14)+100)/100</f>
        <v>1</v>
      </c>
      <c r="N282" s="942"/>
      <c r="O282" s="53">
        <f t="shared" ref="O282:O345" si="59">(SUMIF($15:$15,N282,$16:$16)-SUMIF($15:$15,$N$24,$16:$16)+100)/100</f>
        <v>1</v>
      </c>
      <c r="P282" s="942"/>
      <c r="Q282" s="53">
        <f t="shared" ref="Q282:Q345" si="60">(SUMIF($17:$17,P282,$18:$18)-SUMIF($17:$17,$P$24,$18:$18)+100)/100</f>
        <v>1</v>
      </c>
      <c r="R282" s="476">
        <f t="shared" ref="R282:R345" si="61">IF(B282="",0,ROUND($R$24*C282*E282*G282*I282*K282*M282*O282*Q282,0))</f>
        <v>0</v>
      </c>
      <c r="S282" s="781">
        <f t="shared" si="52"/>
        <v>0</v>
      </c>
    </row>
    <row r="283" spans="1:19">
      <c r="A283" s="944"/>
      <c r="B283" s="136"/>
      <c r="C283" s="53">
        <f t="shared" si="53"/>
        <v>1</v>
      </c>
      <c r="D283" s="942"/>
      <c r="E283" s="53">
        <f t="shared" si="54"/>
        <v>1</v>
      </c>
      <c r="F283" s="942"/>
      <c r="G283" s="53">
        <f t="shared" si="55"/>
        <v>1</v>
      </c>
      <c r="H283" s="942"/>
      <c r="I283" s="53">
        <f t="shared" si="56"/>
        <v>1</v>
      </c>
      <c r="J283" s="942"/>
      <c r="K283" s="53">
        <f t="shared" si="57"/>
        <v>1</v>
      </c>
      <c r="L283" s="942"/>
      <c r="M283" s="53">
        <f t="shared" si="58"/>
        <v>1</v>
      </c>
      <c r="N283" s="942"/>
      <c r="O283" s="53">
        <f t="shared" si="59"/>
        <v>1</v>
      </c>
      <c r="P283" s="942"/>
      <c r="Q283" s="53">
        <f t="shared" si="60"/>
        <v>1</v>
      </c>
      <c r="R283" s="476">
        <f t="shared" si="61"/>
        <v>0</v>
      </c>
      <c r="S283" s="781">
        <f t="shared" si="52"/>
        <v>0</v>
      </c>
    </row>
    <row r="284" spans="1:19">
      <c r="A284" s="944"/>
      <c r="B284" s="136"/>
      <c r="C284" s="53">
        <f t="shared" si="53"/>
        <v>1</v>
      </c>
      <c r="D284" s="942"/>
      <c r="E284" s="53">
        <f t="shared" si="54"/>
        <v>1</v>
      </c>
      <c r="F284" s="942"/>
      <c r="G284" s="53">
        <f t="shared" si="55"/>
        <v>1</v>
      </c>
      <c r="H284" s="942"/>
      <c r="I284" s="53">
        <f t="shared" si="56"/>
        <v>1</v>
      </c>
      <c r="J284" s="942"/>
      <c r="K284" s="53">
        <f t="shared" si="57"/>
        <v>1</v>
      </c>
      <c r="L284" s="942"/>
      <c r="M284" s="53">
        <f t="shared" si="58"/>
        <v>1</v>
      </c>
      <c r="N284" s="942"/>
      <c r="O284" s="53">
        <f t="shared" si="59"/>
        <v>1</v>
      </c>
      <c r="P284" s="942"/>
      <c r="Q284" s="53">
        <f t="shared" si="60"/>
        <v>1</v>
      </c>
      <c r="R284" s="476">
        <f t="shared" si="61"/>
        <v>0</v>
      </c>
      <c r="S284" s="781">
        <f t="shared" si="52"/>
        <v>0</v>
      </c>
    </row>
    <row r="285" spans="1:19">
      <c r="A285" s="944"/>
      <c r="B285" s="136"/>
      <c r="C285" s="53">
        <f t="shared" si="53"/>
        <v>1</v>
      </c>
      <c r="D285" s="942"/>
      <c r="E285" s="53">
        <f t="shared" si="54"/>
        <v>1</v>
      </c>
      <c r="F285" s="942"/>
      <c r="G285" s="53">
        <f t="shared" si="55"/>
        <v>1</v>
      </c>
      <c r="H285" s="942"/>
      <c r="I285" s="53">
        <f t="shared" si="56"/>
        <v>1</v>
      </c>
      <c r="J285" s="942"/>
      <c r="K285" s="53">
        <f t="shared" si="57"/>
        <v>1</v>
      </c>
      <c r="L285" s="942"/>
      <c r="M285" s="53">
        <f t="shared" si="58"/>
        <v>1</v>
      </c>
      <c r="N285" s="942"/>
      <c r="O285" s="53">
        <f t="shared" si="59"/>
        <v>1</v>
      </c>
      <c r="P285" s="942"/>
      <c r="Q285" s="53">
        <f t="shared" si="60"/>
        <v>1</v>
      </c>
      <c r="R285" s="476">
        <f t="shared" si="61"/>
        <v>0</v>
      </c>
      <c r="S285" s="781">
        <f t="shared" si="52"/>
        <v>0</v>
      </c>
    </row>
    <row r="286" spans="1:19">
      <c r="A286" s="944"/>
      <c r="B286" s="136"/>
      <c r="C286" s="53">
        <f t="shared" si="53"/>
        <v>1</v>
      </c>
      <c r="D286" s="942"/>
      <c r="E286" s="53">
        <f t="shared" si="54"/>
        <v>1</v>
      </c>
      <c r="F286" s="942"/>
      <c r="G286" s="53">
        <f t="shared" si="55"/>
        <v>1</v>
      </c>
      <c r="H286" s="942"/>
      <c r="I286" s="53">
        <f t="shared" si="56"/>
        <v>1</v>
      </c>
      <c r="J286" s="942"/>
      <c r="K286" s="53">
        <f t="shared" si="57"/>
        <v>1</v>
      </c>
      <c r="L286" s="942"/>
      <c r="M286" s="53">
        <f t="shared" si="58"/>
        <v>1</v>
      </c>
      <c r="N286" s="942"/>
      <c r="O286" s="53">
        <f t="shared" si="59"/>
        <v>1</v>
      </c>
      <c r="P286" s="942"/>
      <c r="Q286" s="53">
        <f t="shared" si="60"/>
        <v>1</v>
      </c>
      <c r="R286" s="476">
        <f t="shared" si="61"/>
        <v>0</v>
      </c>
      <c r="S286" s="781">
        <f t="shared" si="52"/>
        <v>0</v>
      </c>
    </row>
    <row r="287" spans="1:19">
      <c r="A287" s="944"/>
      <c r="B287" s="136"/>
      <c r="C287" s="53">
        <f t="shared" si="53"/>
        <v>1</v>
      </c>
      <c r="D287" s="942"/>
      <c r="E287" s="53">
        <f t="shared" si="54"/>
        <v>1</v>
      </c>
      <c r="F287" s="942"/>
      <c r="G287" s="53">
        <f t="shared" si="55"/>
        <v>1</v>
      </c>
      <c r="H287" s="942"/>
      <c r="I287" s="53">
        <f t="shared" si="56"/>
        <v>1</v>
      </c>
      <c r="J287" s="942"/>
      <c r="K287" s="53">
        <f t="shared" si="57"/>
        <v>1</v>
      </c>
      <c r="L287" s="942"/>
      <c r="M287" s="53">
        <f t="shared" si="58"/>
        <v>1</v>
      </c>
      <c r="N287" s="942"/>
      <c r="O287" s="53">
        <f t="shared" si="59"/>
        <v>1</v>
      </c>
      <c r="P287" s="942"/>
      <c r="Q287" s="53">
        <f t="shared" si="60"/>
        <v>1</v>
      </c>
      <c r="R287" s="476">
        <f t="shared" si="61"/>
        <v>0</v>
      </c>
      <c r="S287" s="781">
        <f t="shared" ref="S287:S320" si="62">ROUND(R287*B287/10000,0)</f>
        <v>0</v>
      </c>
    </row>
    <row r="288" spans="1:19">
      <c r="A288" s="944"/>
      <c r="B288" s="136"/>
      <c r="C288" s="53">
        <f t="shared" si="53"/>
        <v>1</v>
      </c>
      <c r="D288" s="942"/>
      <c r="E288" s="53">
        <f t="shared" si="54"/>
        <v>1</v>
      </c>
      <c r="F288" s="942"/>
      <c r="G288" s="53">
        <f t="shared" si="55"/>
        <v>1</v>
      </c>
      <c r="H288" s="942"/>
      <c r="I288" s="53">
        <f t="shared" si="56"/>
        <v>1</v>
      </c>
      <c r="J288" s="942"/>
      <c r="K288" s="53">
        <f t="shared" si="57"/>
        <v>1</v>
      </c>
      <c r="L288" s="942"/>
      <c r="M288" s="53">
        <f t="shared" si="58"/>
        <v>1</v>
      </c>
      <c r="N288" s="942"/>
      <c r="O288" s="53">
        <f t="shared" si="59"/>
        <v>1</v>
      </c>
      <c r="P288" s="942"/>
      <c r="Q288" s="53">
        <f t="shared" si="60"/>
        <v>1</v>
      </c>
      <c r="R288" s="476">
        <f t="shared" si="61"/>
        <v>0</v>
      </c>
      <c r="S288" s="781">
        <f t="shared" si="62"/>
        <v>0</v>
      </c>
    </row>
    <row r="289" spans="1:19">
      <c r="A289" s="944"/>
      <c r="B289" s="136"/>
      <c r="C289" s="53">
        <f t="shared" si="53"/>
        <v>1</v>
      </c>
      <c r="D289" s="942"/>
      <c r="E289" s="53">
        <f t="shared" si="54"/>
        <v>1</v>
      </c>
      <c r="F289" s="942"/>
      <c r="G289" s="53">
        <f t="shared" si="55"/>
        <v>1</v>
      </c>
      <c r="H289" s="942"/>
      <c r="I289" s="53">
        <f t="shared" si="56"/>
        <v>1</v>
      </c>
      <c r="J289" s="942"/>
      <c r="K289" s="53">
        <f t="shared" si="57"/>
        <v>1</v>
      </c>
      <c r="L289" s="942"/>
      <c r="M289" s="53">
        <f t="shared" si="58"/>
        <v>1</v>
      </c>
      <c r="N289" s="942"/>
      <c r="O289" s="53">
        <f t="shared" si="59"/>
        <v>1</v>
      </c>
      <c r="P289" s="942"/>
      <c r="Q289" s="53">
        <f t="shared" si="60"/>
        <v>1</v>
      </c>
      <c r="R289" s="476">
        <f t="shared" si="61"/>
        <v>0</v>
      </c>
      <c r="S289" s="781">
        <f t="shared" si="62"/>
        <v>0</v>
      </c>
    </row>
    <row r="290" spans="1:19">
      <c r="A290" s="944"/>
      <c r="B290" s="136"/>
      <c r="C290" s="53">
        <f t="shared" si="53"/>
        <v>1</v>
      </c>
      <c r="D290" s="942"/>
      <c r="E290" s="53">
        <f t="shared" si="54"/>
        <v>1</v>
      </c>
      <c r="F290" s="942"/>
      <c r="G290" s="53">
        <f t="shared" si="55"/>
        <v>1</v>
      </c>
      <c r="H290" s="942"/>
      <c r="I290" s="53">
        <f t="shared" si="56"/>
        <v>1</v>
      </c>
      <c r="J290" s="942"/>
      <c r="K290" s="53">
        <f t="shared" si="57"/>
        <v>1</v>
      </c>
      <c r="L290" s="942"/>
      <c r="M290" s="53">
        <f t="shared" si="58"/>
        <v>1</v>
      </c>
      <c r="N290" s="942"/>
      <c r="O290" s="53">
        <f t="shared" si="59"/>
        <v>1</v>
      </c>
      <c r="P290" s="942"/>
      <c r="Q290" s="53">
        <f t="shared" si="60"/>
        <v>1</v>
      </c>
      <c r="R290" s="476">
        <f t="shared" si="61"/>
        <v>0</v>
      </c>
      <c r="S290" s="781">
        <f t="shared" si="62"/>
        <v>0</v>
      </c>
    </row>
    <row r="291" spans="1:19">
      <c r="A291" s="944"/>
      <c r="B291" s="136"/>
      <c r="C291" s="53">
        <f t="shared" si="53"/>
        <v>1</v>
      </c>
      <c r="D291" s="942"/>
      <c r="E291" s="53">
        <f t="shared" si="54"/>
        <v>1</v>
      </c>
      <c r="F291" s="942"/>
      <c r="G291" s="53">
        <f t="shared" si="55"/>
        <v>1</v>
      </c>
      <c r="H291" s="942"/>
      <c r="I291" s="53">
        <f t="shared" si="56"/>
        <v>1</v>
      </c>
      <c r="J291" s="942"/>
      <c r="K291" s="53">
        <f t="shared" si="57"/>
        <v>1</v>
      </c>
      <c r="L291" s="942"/>
      <c r="M291" s="53">
        <f t="shared" si="58"/>
        <v>1</v>
      </c>
      <c r="N291" s="942"/>
      <c r="O291" s="53">
        <f t="shared" si="59"/>
        <v>1</v>
      </c>
      <c r="P291" s="942"/>
      <c r="Q291" s="53">
        <f t="shared" si="60"/>
        <v>1</v>
      </c>
      <c r="R291" s="476">
        <f t="shared" si="61"/>
        <v>0</v>
      </c>
      <c r="S291" s="781">
        <f t="shared" si="62"/>
        <v>0</v>
      </c>
    </row>
    <row r="292" spans="1:19">
      <c r="A292" s="944"/>
      <c r="B292" s="136"/>
      <c r="C292" s="53">
        <f t="shared" si="53"/>
        <v>1</v>
      </c>
      <c r="D292" s="942"/>
      <c r="E292" s="53">
        <f t="shared" si="54"/>
        <v>1</v>
      </c>
      <c r="F292" s="942"/>
      <c r="G292" s="53">
        <f t="shared" si="55"/>
        <v>1</v>
      </c>
      <c r="H292" s="942"/>
      <c r="I292" s="53">
        <f t="shared" si="56"/>
        <v>1</v>
      </c>
      <c r="J292" s="942"/>
      <c r="K292" s="53">
        <f t="shared" si="57"/>
        <v>1</v>
      </c>
      <c r="L292" s="942"/>
      <c r="M292" s="53">
        <f t="shared" si="58"/>
        <v>1</v>
      </c>
      <c r="N292" s="942"/>
      <c r="O292" s="53">
        <f t="shared" si="59"/>
        <v>1</v>
      </c>
      <c r="P292" s="942"/>
      <c r="Q292" s="53">
        <f t="shared" si="60"/>
        <v>1</v>
      </c>
      <c r="R292" s="476">
        <f t="shared" si="61"/>
        <v>0</v>
      </c>
      <c r="S292" s="781">
        <f t="shared" si="62"/>
        <v>0</v>
      </c>
    </row>
    <row r="293" spans="1:19">
      <c r="A293" s="944"/>
      <c r="B293" s="136"/>
      <c r="C293" s="53">
        <f t="shared" si="53"/>
        <v>1</v>
      </c>
      <c r="D293" s="942"/>
      <c r="E293" s="53">
        <f t="shared" si="54"/>
        <v>1</v>
      </c>
      <c r="F293" s="942"/>
      <c r="G293" s="53">
        <f t="shared" si="55"/>
        <v>1</v>
      </c>
      <c r="H293" s="942"/>
      <c r="I293" s="53">
        <f t="shared" si="56"/>
        <v>1</v>
      </c>
      <c r="J293" s="942"/>
      <c r="K293" s="53">
        <f t="shared" si="57"/>
        <v>1</v>
      </c>
      <c r="L293" s="942"/>
      <c r="M293" s="53">
        <f t="shared" si="58"/>
        <v>1</v>
      </c>
      <c r="N293" s="942"/>
      <c r="O293" s="53">
        <f t="shared" si="59"/>
        <v>1</v>
      </c>
      <c r="P293" s="942"/>
      <c r="Q293" s="53">
        <f t="shared" si="60"/>
        <v>1</v>
      </c>
      <c r="R293" s="476">
        <f t="shared" si="61"/>
        <v>0</v>
      </c>
      <c r="S293" s="781">
        <f t="shared" si="62"/>
        <v>0</v>
      </c>
    </row>
    <row r="294" spans="1:19">
      <c r="A294" s="944"/>
      <c r="B294" s="136"/>
      <c r="C294" s="53">
        <f t="shared" si="53"/>
        <v>1</v>
      </c>
      <c r="D294" s="942"/>
      <c r="E294" s="53">
        <f t="shared" si="54"/>
        <v>1</v>
      </c>
      <c r="F294" s="942"/>
      <c r="G294" s="53">
        <f t="shared" si="55"/>
        <v>1</v>
      </c>
      <c r="H294" s="942"/>
      <c r="I294" s="53">
        <f t="shared" si="56"/>
        <v>1</v>
      </c>
      <c r="J294" s="942"/>
      <c r="K294" s="53">
        <f t="shared" si="57"/>
        <v>1</v>
      </c>
      <c r="L294" s="942"/>
      <c r="M294" s="53">
        <f t="shared" si="58"/>
        <v>1</v>
      </c>
      <c r="N294" s="942"/>
      <c r="O294" s="53">
        <f t="shared" si="59"/>
        <v>1</v>
      </c>
      <c r="P294" s="942"/>
      <c r="Q294" s="53">
        <f t="shared" si="60"/>
        <v>1</v>
      </c>
      <c r="R294" s="476">
        <f t="shared" si="61"/>
        <v>0</v>
      </c>
      <c r="S294" s="781">
        <f t="shared" si="62"/>
        <v>0</v>
      </c>
    </row>
    <row r="295" spans="1:19">
      <c r="A295" s="944"/>
      <c r="B295" s="136"/>
      <c r="C295" s="53">
        <f t="shared" si="53"/>
        <v>1</v>
      </c>
      <c r="D295" s="942"/>
      <c r="E295" s="53">
        <f t="shared" si="54"/>
        <v>1</v>
      </c>
      <c r="F295" s="942"/>
      <c r="G295" s="53">
        <f t="shared" si="55"/>
        <v>1</v>
      </c>
      <c r="H295" s="942"/>
      <c r="I295" s="53">
        <f t="shared" si="56"/>
        <v>1</v>
      </c>
      <c r="J295" s="942"/>
      <c r="K295" s="53">
        <f t="shared" si="57"/>
        <v>1</v>
      </c>
      <c r="L295" s="942"/>
      <c r="M295" s="53">
        <f t="shared" si="58"/>
        <v>1</v>
      </c>
      <c r="N295" s="942"/>
      <c r="O295" s="53">
        <f t="shared" si="59"/>
        <v>1</v>
      </c>
      <c r="P295" s="942"/>
      <c r="Q295" s="53">
        <f t="shared" si="60"/>
        <v>1</v>
      </c>
      <c r="R295" s="476">
        <f t="shared" si="61"/>
        <v>0</v>
      </c>
      <c r="S295" s="781">
        <f t="shared" si="62"/>
        <v>0</v>
      </c>
    </row>
    <row r="296" spans="1:19">
      <c r="A296" s="944"/>
      <c r="B296" s="136"/>
      <c r="C296" s="53">
        <f t="shared" si="53"/>
        <v>1</v>
      </c>
      <c r="D296" s="942"/>
      <c r="E296" s="53">
        <f t="shared" si="54"/>
        <v>1</v>
      </c>
      <c r="F296" s="942"/>
      <c r="G296" s="53">
        <f t="shared" si="55"/>
        <v>1</v>
      </c>
      <c r="H296" s="942"/>
      <c r="I296" s="53">
        <f t="shared" si="56"/>
        <v>1</v>
      </c>
      <c r="J296" s="942"/>
      <c r="K296" s="53">
        <f t="shared" si="57"/>
        <v>1</v>
      </c>
      <c r="L296" s="942"/>
      <c r="M296" s="53">
        <f t="shared" si="58"/>
        <v>1</v>
      </c>
      <c r="N296" s="942"/>
      <c r="O296" s="53">
        <f t="shared" si="59"/>
        <v>1</v>
      </c>
      <c r="P296" s="942"/>
      <c r="Q296" s="53">
        <f t="shared" si="60"/>
        <v>1</v>
      </c>
      <c r="R296" s="476">
        <f t="shared" si="61"/>
        <v>0</v>
      </c>
      <c r="S296" s="781">
        <f t="shared" si="62"/>
        <v>0</v>
      </c>
    </row>
    <row r="297" spans="1:19">
      <c r="A297" s="944"/>
      <c r="B297" s="136"/>
      <c r="C297" s="53">
        <f t="shared" si="53"/>
        <v>1</v>
      </c>
      <c r="D297" s="942"/>
      <c r="E297" s="53">
        <f t="shared" si="54"/>
        <v>1</v>
      </c>
      <c r="F297" s="942"/>
      <c r="G297" s="53">
        <f t="shared" si="55"/>
        <v>1</v>
      </c>
      <c r="H297" s="942"/>
      <c r="I297" s="53">
        <f t="shared" si="56"/>
        <v>1</v>
      </c>
      <c r="J297" s="942"/>
      <c r="K297" s="53">
        <f t="shared" si="57"/>
        <v>1</v>
      </c>
      <c r="L297" s="942"/>
      <c r="M297" s="53">
        <f t="shared" si="58"/>
        <v>1</v>
      </c>
      <c r="N297" s="942"/>
      <c r="O297" s="53">
        <f t="shared" si="59"/>
        <v>1</v>
      </c>
      <c r="P297" s="942"/>
      <c r="Q297" s="53">
        <f t="shared" si="60"/>
        <v>1</v>
      </c>
      <c r="R297" s="476">
        <f t="shared" si="61"/>
        <v>0</v>
      </c>
      <c r="S297" s="781">
        <f t="shared" si="62"/>
        <v>0</v>
      </c>
    </row>
    <row r="298" spans="1:19">
      <c r="A298" s="944"/>
      <c r="B298" s="136"/>
      <c r="C298" s="53">
        <f t="shared" si="53"/>
        <v>1</v>
      </c>
      <c r="D298" s="942"/>
      <c r="E298" s="53">
        <f t="shared" si="54"/>
        <v>1</v>
      </c>
      <c r="F298" s="942"/>
      <c r="G298" s="53">
        <f t="shared" si="55"/>
        <v>1</v>
      </c>
      <c r="H298" s="942"/>
      <c r="I298" s="53">
        <f t="shared" si="56"/>
        <v>1</v>
      </c>
      <c r="J298" s="942"/>
      <c r="K298" s="53">
        <f t="shared" si="57"/>
        <v>1</v>
      </c>
      <c r="L298" s="942"/>
      <c r="M298" s="53">
        <f t="shared" si="58"/>
        <v>1</v>
      </c>
      <c r="N298" s="942"/>
      <c r="O298" s="53">
        <f t="shared" si="59"/>
        <v>1</v>
      </c>
      <c r="P298" s="942"/>
      <c r="Q298" s="53">
        <f t="shared" si="60"/>
        <v>1</v>
      </c>
      <c r="R298" s="476">
        <f t="shared" si="61"/>
        <v>0</v>
      </c>
      <c r="S298" s="781">
        <f t="shared" si="62"/>
        <v>0</v>
      </c>
    </row>
    <row r="299" spans="1:19">
      <c r="A299" s="944"/>
      <c r="B299" s="136"/>
      <c r="C299" s="53">
        <f t="shared" si="53"/>
        <v>1</v>
      </c>
      <c r="D299" s="942"/>
      <c r="E299" s="53">
        <f t="shared" si="54"/>
        <v>1</v>
      </c>
      <c r="F299" s="942"/>
      <c r="G299" s="53">
        <f t="shared" si="55"/>
        <v>1</v>
      </c>
      <c r="H299" s="942"/>
      <c r="I299" s="53">
        <f t="shared" si="56"/>
        <v>1</v>
      </c>
      <c r="J299" s="942"/>
      <c r="K299" s="53">
        <f t="shared" si="57"/>
        <v>1</v>
      </c>
      <c r="L299" s="942"/>
      <c r="M299" s="53">
        <f t="shared" si="58"/>
        <v>1</v>
      </c>
      <c r="N299" s="942"/>
      <c r="O299" s="53">
        <f t="shared" si="59"/>
        <v>1</v>
      </c>
      <c r="P299" s="942"/>
      <c r="Q299" s="53">
        <f t="shared" si="60"/>
        <v>1</v>
      </c>
      <c r="R299" s="476">
        <f t="shared" si="61"/>
        <v>0</v>
      </c>
      <c r="S299" s="781">
        <f t="shared" si="62"/>
        <v>0</v>
      </c>
    </row>
    <row r="300" spans="1:19">
      <c r="A300" s="944"/>
      <c r="B300" s="136"/>
      <c r="C300" s="53">
        <f t="shared" si="53"/>
        <v>1</v>
      </c>
      <c r="D300" s="942"/>
      <c r="E300" s="53">
        <f t="shared" si="54"/>
        <v>1</v>
      </c>
      <c r="F300" s="942"/>
      <c r="G300" s="53">
        <f t="shared" si="55"/>
        <v>1</v>
      </c>
      <c r="H300" s="942"/>
      <c r="I300" s="53">
        <f t="shared" si="56"/>
        <v>1</v>
      </c>
      <c r="J300" s="942"/>
      <c r="K300" s="53">
        <f t="shared" si="57"/>
        <v>1</v>
      </c>
      <c r="L300" s="942"/>
      <c r="M300" s="53">
        <f t="shared" si="58"/>
        <v>1</v>
      </c>
      <c r="N300" s="942"/>
      <c r="O300" s="53">
        <f t="shared" si="59"/>
        <v>1</v>
      </c>
      <c r="P300" s="942"/>
      <c r="Q300" s="53">
        <f t="shared" si="60"/>
        <v>1</v>
      </c>
      <c r="R300" s="476">
        <f t="shared" si="61"/>
        <v>0</v>
      </c>
      <c r="S300" s="781">
        <f t="shared" si="62"/>
        <v>0</v>
      </c>
    </row>
    <row r="301" spans="1:19">
      <c r="A301" s="944"/>
      <c r="B301" s="136"/>
      <c r="C301" s="53">
        <f t="shared" si="53"/>
        <v>1</v>
      </c>
      <c r="D301" s="942"/>
      <c r="E301" s="53">
        <f t="shared" si="54"/>
        <v>1</v>
      </c>
      <c r="F301" s="942"/>
      <c r="G301" s="53">
        <f t="shared" si="55"/>
        <v>1</v>
      </c>
      <c r="H301" s="942"/>
      <c r="I301" s="53">
        <f t="shared" si="56"/>
        <v>1</v>
      </c>
      <c r="J301" s="942"/>
      <c r="K301" s="53">
        <f t="shared" si="57"/>
        <v>1</v>
      </c>
      <c r="L301" s="942"/>
      <c r="M301" s="53">
        <f t="shared" si="58"/>
        <v>1</v>
      </c>
      <c r="N301" s="942"/>
      <c r="O301" s="53">
        <f t="shared" si="59"/>
        <v>1</v>
      </c>
      <c r="P301" s="942"/>
      <c r="Q301" s="53">
        <f t="shared" si="60"/>
        <v>1</v>
      </c>
      <c r="R301" s="476">
        <f t="shared" si="61"/>
        <v>0</v>
      </c>
      <c r="S301" s="781">
        <f t="shared" si="62"/>
        <v>0</v>
      </c>
    </row>
    <row r="302" spans="1:19">
      <c r="A302" s="944"/>
      <c r="B302" s="136"/>
      <c r="C302" s="53">
        <f t="shared" si="53"/>
        <v>1</v>
      </c>
      <c r="D302" s="942"/>
      <c r="E302" s="53">
        <f t="shared" si="54"/>
        <v>1</v>
      </c>
      <c r="F302" s="942"/>
      <c r="G302" s="53">
        <f t="shared" si="55"/>
        <v>1</v>
      </c>
      <c r="H302" s="942"/>
      <c r="I302" s="53">
        <f t="shared" si="56"/>
        <v>1</v>
      </c>
      <c r="J302" s="942"/>
      <c r="K302" s="53">
        <f t="shared" si="57"/>
        <v>1</v>
      </c>
      <c r="L302" s="942"/>
      <c r="M302" s="53">
        <f t="shared" si="58"/>
        <v>1</v>
      </c>
      <c r="N302" s="942"/>
      <c r="O302" s="53">
        <f t="shared" si="59"/>
        <v>1</v>
      </c>
      <c r="P302" s="942"/>
      <c r="Q302" s="53">
        <f t="shared" si="60"/>
        <v>1</v>
      </c>
      <c r="R302" s="476">
        <f t="shared" si="61"/>
        <v>0</v>
      </c>
      <c r="S302" s="781">
        <f t="shared" si="62"/>
        <v>0</v>
      </c>
    </row>
    <row r="303" spans="1:19">
      <c r="A303" s="944"/>
      <c r="B303" s="136"/>
      <c r="C303" s="53">
        <f t="shared" si="53"/>
        <v>1</v>
      </c>
      <c r="D303" s="942"/>
      <c r="E303" s="53">
        <f t="shared" si="54"/>
        <v>1</v>
      </c>
      <c r="F303" s="942"/>
      <c r="G303" s="53">
        <f t="shared" si="55"/>
        <v>1</v>
      </c>
      <c r="H303" s="942"/>
      <c r="I303" s="53">
        <f t="shared" si="56"/>
        <v>1</v>
      </c>
      <c r="J303" s="942"/>
      <c r="K303" s="53">
        <f t="shared" si="57"/>
        <v>1</v>
      </c>
      <c r="L303" s="942"/>
      <c r="M303" s="53">
        <f t="shared" si="58"/>
        <v>1</v>
      </c>
      <c r="N303" s="942"/>
      <c r="O303" s="53">
        <f t="shared" si="59"/>
        <v>1</v>
      </c>
      <c r="P303" s="942"/>
      <c r="Q303" s="53">
        <f t="shared" si="60"/>
        <v>1</v>
      </c>
      <c r="R303" s="476">
        <f t="shared" si="61"/>
        <v>0</v>
      </c>
      <c r="S303" s="781">
        <f t="shared" si="62"/>
        <v>0</v>
      </c>
    </row>
    <row r="304" spans="1:19">
      <c r="A304" s="944"/>
      <c r="B304" s="136"/>
      <c r="C304" s="53">
        <f t="shared" si="53"/>
        <v>1</v>
      </c>
      <c r="D304" s="942"/>
      <c r="E304" s="53">
        <f t="shared" si="54"/>
        <v>1</v>
      </c>
      <c r="F304" s="942"/>
      <c r="G304" s="53">
        <f t="shared" si="55"/>
        <v>1</v>
      </c>
      <c r="H304" s="942"/>
      <c r="I304" s="53">
        <f t="shared" si="56"/>
        <v>1</v>
      </c>
      <c r="J304" s="942"/>
      <c r="K304" s="53">
        <f t="shared" si="57"/>
        <v>1</v>
      </c>
      <c r="L304" s="942"/>
      <c r="M304" s="53">
        <f t="shared" si="58"/>
        <v>1</v>
      </c>
      <c r="N304" s="942"/>
      <c r="O304" s="53">
        <f t="shared" si="59"/>
        <v>1</v>
      </c>
      <c r="P304" s="942"/>
      <c r="Q304" s="53">
        <f t="shared" si="60"/>
        <v>1</v>
      </c>
      <c r="R304" s="476">
        <f t="shared" si="61"/>
        <v>0</v>
      </c>
      <c r="S304" s="781">
        <f t="shared" si="62"/>
        <v>0</v>
      </c>
    </row>
    <row r="305" spans="1:19">
      <c r="A305" s="944"/>
      <c r="B305" s="136"/>
      <c r="C305" s="53">
        <f t="shared" si="53"/>
        <v>1</v>
      </c>
      <c r="D305" s="942"/>
      <c r="E305" s="53">
        <f t="shared" si="54"/>
        <v>1</v>
      </c>
      <c r="F305" s="942"/>
      <c r="G305" s="53">
        <f t="shared" si="55"/>
        <v>1</v>
      </c>
      <c r="H305" s="942"/>
      <c r="I305" s="53">
        <f t="shared" si="56"/>
        <v>1</v>
      </c>
      <c r="J305" s="942"/>
      <c r="K305" s="53">
        <f t="shared" si="57"/>
        <v>1</v>
      </c>
      <c r="L305" s="942"/>
      <c r="M305" s="53">
        <f t="shared" si="58"/>
        <v>1</v>
      </c>
      <c r="N305" s="942"/>
      <c r="O305" s="53">
        <f t="shared" si="59"/>
        <v>1</v>
      </c>
      <c r="P305" s="942"/>
      <c r="Q305" s="53">
        <f t="shared" si="60"/>
        <v>1</v>
      </c>
      <c r="R305" s="476">
        <f t="shared" si="61"/>
        <v>0</v>
      </c>
      <c r="S305" s="781">
        <f t="shared" si="62"/>
        <v>0</v>
      </c>
    </row>
    <row r="306" spans="1:19">
      <c r="A306" s="944"/>
      <c r="B306" s="136"/>
      <c r="C306" s="53">
        <f t="shared" si="53"/>
        <v>1</v>
      </c>
      <c r="D306" s="942"/>
      <c r="E306" s="53">
        <f t="shared" si="54"/>
        <v>1</v>
      </c>
      <c r="F306" s="942"/>
      <c r="G306" s="53">
        <f t="shared" si="55"/>
        <v>1</v>
      </c>
      <c r="H306" s="942"/>
      <c r="I306" s="53">
        <f t="shared" si="56"/>
        <v>1</v>
      </c>
      <c r="J306" s="942"/>
      <c r="K306" s="53">
        <f t="shared" si="57"/>
        <v>1</v>
      </c>
      <c r="L306" s="942"/>
      <c r="M306" s="53">
        <f t="shared" si="58"/>
        <v>1</v>
      </c>
      <c r="N306" s="942"/>
      <c r="O306" s="53">
        <f t="shared" si="59"/>
        <v>1</v>
      </c>
      <c r="P306" s="942"/>
      <c r="Q306" s="53">
        <f t="shared" si="60"/>
        <v>1</v>
      </c>
      <c r="R306" s="476">
        <f t="shared" si="61"/>
        <v>0</v>
      </c>
      <c r="S306" s="781">
        <f t="shared" si="62"/>
        <v>0</v>
      </c>
    </row>
    <row r="307" spans="1:19">
      <c r="A307" s="944"/>
      <c r="B307" s="136"/>
      <c r="C307" s="53">
        <f t="shared" si="53"/>
        <v>1</v>
      </c>
      <c r="D307" s="942"/>
      <c r="E307" s="53">
        <f t="shared" si="54"/>
        <v>1</v>
      </c>
      <c r="F307" s="942"/>
      <c r="G307" s="53">
        <f t="shared" si="55"/>
        <v>1</v>
      </c>
      <c r="H307" s="942"/>
      <c r="I307" s="53">
        <f t="shared" si="56"/>
        <v>1</v>
      </c>
      <c r="J307" s="942"/>
      <c r="K307" s="53">
        <f t="shared" si="57"/>
        <v>1</v>
      </c>
      <c r="L307" s="942"/>
      <c r="M307" s="53">
        <f t="shared" si="58"/>
        <v>1</v>
      </c>
      <c r="N307" s="942"/>
      <c r="O307" s="53">
        <f t="shared" si="59"/>
        <v>1</v>
      </c>
      <c r="P307" s="942"/>
      <c r="Q307" s="53">
        <f t="shared" si="60"/>
        <v>1</v>
      </c>
      <c r="R307" s="476">
        <f t="shared" si="61"/>
        <v>0</v>
      </c>
      <c r="S307" s="781">
        <f t="shared" si="62"/>
        <v>0</v>
      </c>
    </row>
    <row r="308" spans="1:19">
      <c r="A308" s="944"/>
      <c r="B308" s="136"/>
      <c r="C308" s="53">
        <f t="shared" si="53"/>
        <v>1</v>
      </c>
      <c r="D308" s="942"/>
      <c r="E308" s="53">
        <f t="shared" si="54"/>
        <v>1</v>
      </c>
      <c r="F308" s="942"/>
      <c r="G308" s="53">
        <f t="shared" si="55"/>
        <v>1</v>
      </c>
      <c r="H308" s="942"/>
      <c r="I308" s="53">
        <f t="shared" si="56"/>
        <v>1</v>
      </c>
      <c r="J308" s="942"/>
      <c r="K308" s="53">
        <f t="shared" si="57"/>
        <v>1</v>
      </c>
      <c r="L308" s="942"/>
      <c r="M308" s="53">
        <f t="shared" si="58"/>
        <v>1</v>
      </c>
      <c r="N308" s="942"/>
      <c r="O308" s="53">
        <f t="shared" si="59"/>
        <v>1</v>
      </c>
      <c r="P308" s="942"/>
      <c r="Q308" s="53">
        <f t="shared" si="60"/>
        <v>1</v>
      </c>
      <c r="R308" s="476">
        <f t="shared" si="61"/>
        <v>0</v>
      </c>
      <c r="S308" s="781">
        <f t="shared" si="62"/>
        <v>0</v>
      </c>
    </row>
    <row r="309" spans="1:19">
      <c r="A309" s="944"/>
      <c r="B309" s="136"/>
      <c r="C309" s="53">
        <f t="shared" si="53"/>
        <v>1</v>
      </c>
      <c r="D309" s="942"/>
      <c r="E309" s="53">
        <f t="shared" si="54"/>
        <v>1</v>
      </c>
      <c r="F309" s="942"/>
      <c r="G309" s="53">
        <f t="shared" si="55"/>
        <v>1</v>
      </c>
      <c r="H309" s="942"/>
      <c r="I309" s="53">
        <f t="shared" si="56"/>
        <v>1</v>
      </c>
      <c r="J309" s="942"/>
      <c r="K309" s="53">
        <f t="shared" si="57"/>
        <v>1</v>
      </c>
      <c r="L309" s="942"/>
      <c r="M309" s="53">
        <f t="shared" si="58"/>
        <v>1</v>
      </c>
      <c r="N309" s="942"/>
      <c r="O309" s="53">
        <f t="shared" si="59"/>
        <v>1</v>
      </c>
      <c r="P309" s="942"/>
      <c r="Q309" s="53">
        <f t="shared" si="60"/>
        <v>1</v>
      </c>
      <c r="R309" s="476">
        <f t="shared" si="61"/>
        <v>0</v>
      </c>
      <c r="S309" s="781">
        <f t="shared" si="62"/>
        <v>0</v>
      </c>
    </row>
    <row r="310" spans="1:19">
      <c r="A310" s="944"/>
      <c r="B310" s="136"/>
      <c r="C310" s="53">
        <f t="shared" si="53"/>
        <v>1</v>
      </c>
      <c r="D310" s="942"/>
      <c r="E310" s="53">
        <f t="shared" si="54"/>
        <v>1</v>
      </c>
      <c r="F310" s="942"/>
      <c r="G310" s="53">
        <f t="shared" si="55"/>
        <v>1</v>
      </c>
      <c r="H310" s="942"/>
      <c r="I310" s="53">
        <f t="shared" si="56"/>
        <v>1</v>
      </c>
      <c r="J310" s="942"/>
      <c r="K310" s="53">
        <f t="shared" si="57"/>
        <v>1</v>
      </c>
      <c r="L310" s="942"/>
      <c r="M310" s="53">
        <f t="shared" si="58"/>
        <v>1</v>
      </c>
      <c r="N310" s="942"/>
      <c r="O310" s="53">
        <f t="shared" si="59"/>
        <v>1</v>
      </c>
      <c r="P310" s="942"/>
      <c r="Q310" s="53">
        <f t="shared" si="60"/>
        <v>1</v>
      </c>
      <c r="R310" s="476">
        <f t="shared" si="61"/>
        <v>0</v>
      </c>
      <c r="S310" s="781">
        <f t="shared" si="62"/>
        <v>0</v>
      </c>
    </row>
    <row r="311" spans="1:19">
      <c r="A311" s="944"/>
      <c r="B311" s="136"/>
      <c r="C311" s="53">
        <f t="shared" si="53"/>
        <v>1</v>
      </c>
      <c r="D311" s="942"/>
      <c r="E311" s="53">
        <f t="shared" si="54"/>
        <v>1</v>
      </c>
      <c r="F311" s="942"/>
      <c r="G311" s="53">
        <f t="shared" si="55"/>
        <v>1</v>
      </c>
      <c r="H311" s="942"/>
      <c r="I311" s="53">
        <f t="shared" si="56"/>
        <v>1</v>
      </c>
      <c r="J311" s="942"/>
      <c r="K311" s="53">
        <f t="shared" si="57"/>
        <v>1</v>
      </c>
      <c r="L311" s="942"/>
      <c r="M311" s="53">
        <f t="shared" si="58"/>
        <v>1</v>
      </c>
      <c r="N311" s="942"/>
      <c r="O311" s="53">
        <f t="shared" si="59"/>
        <v>1</v>
      </c>
      <c r="P311" s="942"/>
      <c r="Q311" s="53">
        <f t="shared" si="60"/>
        <v>1</v>
      </c>
      <c r="R311" s="476">
        <f t="shared" si="61"/>
        <v>0</v>
      </c>
      <c r="S311" s="781">
        <f t="shared" si="62"/>
        <v>0</v>
      </c>
    </row>
    <row r="312" spans="1:19">
      <c r="A312" s="944"/>
      <c r="B312" s="136"/>
      <c r="C312" s="53">
        <f t="shared" si="53"/>
        <v>1</v>
      </c>
      <c r="D312" s="942"/>
      <c r="E312" s="53">
        <f t="shared" si="54"/>
        <v>1</v>
      </c>
      <c r="F312" s="942"/>
      <c r="G312" s="53">
        <f t="shared" si="55"/>
        <v>1</v>
      </c>
      <c r="H312" s="942"/>
      <c r="I312" s="53">
        <f t="shared" si="56"/>
        <v>1</v>
      </c>
      <c r="J312" s="942"/>
      <c r="K312" s="53">
        <f t="shared" si="57"/>
        <v>1</v>
      </c>
      <c r="L312" s="942"/>
      <c r="M312" s="53">
        <f t="shared" si="58"/>
        <v>1</v>
      </c>
      <c r="N312" s="942"/>
      <c r="O312" s="53">
        <f t="shared" si="59"/>
        <v>1</v>
      </c>
      <c r="P312" s="942"/>
      <c r="Q312" s="53">
        <f t="shared" si="60"/>
        <v>1</v>
      </c>
      <c r="R312" s="476">
        <f t="shared" si="61"/>
        <v>0</v>
      </c>
      <c r="S312" s="781">
        <f t="shared" si="62"/>
        <v>0</v>
      </c>
    </row>
    <row r="313" spans="1:19">
      <c r="A313" s="944"/>
      <c r="B313" s="136"/>
      <c r="C313" s="53">
        <f t="shared" si="53"/>
        <v>1</v>
      </c>
      <c r="D313" s="942"/>
      <c r="E313" s="53">
        <f t="shared" si="54"/>
        <v>1</v>
      </c>
      <c r="F313" s="942"/>
      <c r="G313" s="53">
        <f t="shared" si="55"/>
        <v>1</v>
      </c>
      <c r="H313" s="942"/>
      <c r="I313" s="53">
        <f t="shared" si="56"/>
        <v>1</v>
      </c>
      <c r="J313" s="942"/>
      <c r="K313" s="53">
        <f t="shared" si="57"/>
        <v>1</v>
      </c>
      <c r="L313" s="942"/>
      <c r="M313" s="53">
        <f t="shared" si="58"/>
        <v>1</v>
      </c>
      <c r="N313" s="942"/>
      <c r="O313" s="53">
        <f t="shared" si="59"/>
        <v>1</v>
      </c>
      <c r="P313" s="942"/>
      <c r="Q313" s="53">
        <f t="shared" si="60"/>
        <v>1</v>
      </c>
      <c r="R313" s="476">
        <f t="shared" si="61"/>
        <v>0</v>
      </c>
      <c r="S313" s="781">
        <f t="shared" si="62"/>
        <v>0</v>
      </c>
    </row>
    <row r="314" spans="1:19">
      <c r="A314" s="944"/>
      <c r="B314" s="136"/>
      <c r="C314" s="53">
        <f t="shared" si="53"/>
        <v>1</v>
      </c>
      <c r="D314" s="942"/>
      <c r="E314" s="53">
        <f t="shared" si="54"/>
        <v>1</v>
      </c>
      <c r="F314" s="942"/>
      <c r="G314" s="53">
        <f t="shared" si="55"/>
        <v>1</v>
      </c>
      <c r="H314" s="942"/>
      <c r="I314" s="53">
        <f t="shared" si="56"/>
        <v>1</v>
      </c>
      <c r="J314" s="942"/>
      <c r="K314" s="53">
        <f t="shared" si="57"/>
        <v>1</v>
      </c>
      <c r="L314" s="942"/>
      <c r="M314" s="53">
        <f t="shared" si="58"/>
        <v>1</v>
      </c>
      <c r="N314" s="942"/>
      <c r="O314" s="53">
        <f t="shared" si="59"/>
        <v>1</v>
      </c>
      <c r="P314" s="942"/>
      <c r="Q314" s="53">
        <f t="shared" si="60"/>
        <v>1</v>
      </c>
      <c r="R314" s="476">
        <f t="shared" si="61"/>
        <v>0</v>
      </c>
      <c r="S314" s="781">
        <f t="shared" si="62"/>
        <v>0</v>
      </c>
    </row>
    <row r="315" spans="1:19">
      <c r="A315" s="944"/>
      <c r="B315" s="136"/>
      <c r="C315" s="53">
        <f t="shared" si="53"/>
        <v>1</v>
      </c>
      <c r="D315" s="942"/>
      <c r="E315" s="53">
        <f t="shared" si="54"/>
        <v>1</v>
      </c>
      <c r="F315" s="942"/>
      <c r="G315" s="53">
        <f t="shared" si="55"/>
        <v>1</v>
      </c>
      <c r="H315" s="942"/>
      <c r="I315" s="53">
        <f t="shared" si="56"/>
        <v>1</v>
      </c>
      <c r="J315" s="942"/>
      <c r="K315" s="53">
        <f t="shared" si="57"/>
        <v>1</v>
      </c>
      <c r="L315" s="942"/>
      <c r="M315" s="53">
        <f t="shared" si="58"/>
        <v>1</v>
      </c>
      <c r="N315" s="942"/>
      <c r="O315" s="53">
        <f t="shared" si="59"/>
        <v>1</v>
      </c>
      <c r="P315" s="942"/>
      <c r="Q315" s="53">
        <f t="shared" si="60"/>
        <v>1</v>
      </c>
      <c r="R315" s="476">
        <f t="shared" si="61"/>
        <v>0</v>
      </c>
      <c r="S315" s="781">
        <f t="shared" si="62"/>
        <v>0</v>
      </c>
    </row>
    <row r="316" spans="1:19">
      <c r="A316" s="944"/>
      <c r="B316" s="136"/>
      <c r="C316" s="53">
        <f t="shared" si="53"/>
        <v>1</v>
      </c>
      <c r="D316" s="942"/>
      <c r="E316" s="53">
        <f t="shared" si="54"/>
        <v>1</v>
      </c>
      <c r="F316" s="942"/>
      <c r="G316" s="53">
        <f t="shared" si="55"/>
        <v>1</v>
      </c>
      <c r="H316" s="942"/>
      <c r="I316" s="53">
        <f t="shared" si="56"/>
        <v>1</v>
      </c>
      <c r="J316" s="942"/>
      <c r="K316" s="53">
        <f t="shared" si="57"/>
        <v>1</v>
      </c>
      <c r="L316" s="942"/>
      <c r="M316" s="53">
        <f t="shared" si="58"/>
        <v>1</v>
      </c>
      <c r="N316" s="942"/>
      <c r="O316" s="53">
        <f t="shared" si="59"/>
        <v>1</v>
      </c>
      <c r="P316" s="942"/>
      <c r="Q316" s="53">
        <f t="shared" si="60"/>
        <v>1</v>
      </c>
      <c r="R316" s="476">
        <f t="shared" si="61"/>
        <v>0</v>
      </c>
      <c r="S316" s="781">
        <f t="shared" si="62"/>
        <v>0</v>
      </c>
    </row>
    <row r="317" spans="1:19">
      <c r="A317" s="944"/>
      <c r="B317" s="136"/>
      <c r="C317" s="53">
        <f t="shared" si="53"/>
        <v>1</v>
      </c>
      <c r="D317" s="942"/>
      <c r="E317" s="53">
        <f t="shared" si="54"/>
        <v>1</v>
      </c>
      <c r="F317" s="942"/>
      <c r="G317" s="53">
        <f t="shared" si="55"/>
        <v>1</v>
      </c>
      <c r="H317" s="942"/>
      <c r="I317" s="53">
        <f t="shared" si="56"/>
        <v>1</v>
      </c>
      <c r="J317" s="942"/>
      <c r="K317" s="53">
        <f t="shared" si="57"/>
        <v>1</v>
      </c>
      <c r="L317" s="942"/>
      <c r="M317" s="53">
        <f t="shared" si="58"/>
        <v>1</v>
      </c>
      <c r="N317" s="942"/>
      <c r="O317" s="53">
        <f t="shared" si="59"/>
        <v>1</v>
      </c>
      <c r="P317" s="942"/>
      <c r="Q317" s="53">
        <f t="shared" si="60"/>
        <v>1</v>
      </c>
      <c r="R317" s="476">
        <f t="shared" si="61"/>
        <v>0</v>
      </c>
      <c r="S317" s="781">
        <f t="shared" si="62"/>
        <v>0</v>
      </c>
    </row>
    <row r="318" spans="1:19">
      <c r="A318" s="944"/>
      <c r="B318" s="136"/>
      <c r="C318" s="53">
        <f t="shared" si="53"/>
        <v>1</v>
      </c>
      <c r="D318" s="942"/>
      <c r="E318" s="53">
        <f t="shared" si="54"/>
        <v>1</v>
      </c>
      <c r="F318" s="942"/>
      <c r="G318" s="53">
        <f t="shared" si="55"/>
        <v>1</v>
      </c>
      <c r="H318" s="942"/>
      <c r="I318" s="53">
        <f t="shared" si="56"/>
        <v>1</v>
      </c>
      <c r="J318" s="942"/>
      <c r="K318" s="53">
        <f t="shared" si="57"/>
        <v>1</v>
      </c>
      <c r="L318" s="942"/>
      <c r="M318" s="53">
        <f t="shared" si="58"/>
        <v>1</v>
      </c>
      <c r="N318" s="942"/>
      <c r="O318" s="53">
        <f t="shared" si="59"/>
        <v>1</v>
      </c>
      <c r="P318" s="942"/>
      <c r="Q318" s="53">
        <f t="shared" si="60"/>
        <v>1</v>
      </c>
      <c r="R318" s="476">
        <f t="shared" si="61"/>
        <v>0</v>
      </c>
      <c r="S318" s="781">
        <f t="shared" si="62"/>
        <v>0</v>
      </c>
    </row>
    <row r="319" spans="1:19">
      <c r="A319" s="944"/>
      <c r="B319" s="136"/>
      <c r="C319" s="53">
        <f t="shared" si="53"/>
        <v>1</v>
      </c>
      <c r="D319" s="942"/>
      <c r="E319" s="53">
        <f t="shared" si="54"/>
        <v>1</v>
      </c>
      <c r="F319" s="942"/>
      <c r="G319" s="53">
        <f t="shared" si="55"/>
        <v>1</v>
      </c>
      <c r="H319" s="942"/>
      <c r="I319" s="53">
        <f t="shared" si="56"/>
        <v>1</v>
      </c>
      <c r="J319" s="942"/>
      <c r="K319" s="53">
        <f t="shared" si="57"/>
        <v>1</v>
      </c>
      <c r="L319" s="942"/>
      <c r="M319" s="53">
        <f t="shared" si="58"/>
        <v>1</v>
      </c>
      <c r="N319" s="942"/>
      <c r="O319" s="53">
        <f t="shared" si="59"/>
        <v>1</v>
      </c>
      <c r="P319" s="942"/>
      <c r="Q319" s="53">
        <f t="shared" si="60"/>
        <v>1</v>
      </c>
      <c r="R319" s="476">
        <f t="shared" si="61"/>
        <v>0</v>
      </c>
      <c r="S319" s="781">
        <f t="shared" si="62"/>
        <v>0</v>
      </c>
    </row>
    <row r="320" spans="1:19">
      <c r="A320" s="944"/>
      <c r="B320" s="136"/>
      <c r="C320" s="53">
        <f t="shared" si="53"/>
        <v>1</v>
      </c>
      <c r="D320" s="942"/>
      <c r="E320" s="53">
        <f t="shared" si="54"/>
        <v>1</v>
      </c>
      <c r="F320" s="942"/>
      <c r="G320" s="53">
        <f t="shared" si="55"/>
        <v>1</v>
      </c>
      <c r="H320" s="942"/>
      <c r="I320" s="53">
        <f t="shared" si="56"/>
        <v>1</v>
      </c>
      <c r="J320" s="942"/>
      <c r="K320" s="53">
        <f t="shared" si="57"/>
        <v>1</v>
      </c>
      <c r="L320" s="942"/>
      <c r="M320" s="53">
        <f t="shared" si="58"/>
        <v>1</v>
      </c>
      <c r="N320" s="942"/>
      <c r="O320" s="53">
        <f t="shared" si="59"/>
        <v>1</v>
      </c>
      <c r="P320" s="942"/>
      <c r="Q320" s="53">
        <f t="shared" si="60"/>
        <v>1</v>
      </c>
      <c r="R320" s="476">
        <f t="shared" si="61"/>
        <v>0</v>
      </c>
      <c r="S320" s="781">
        <f t="shared" si="62"/>
        <v>0</v>
      </c>
    </row>
    <row r="321" spans="1:19">
      <c r="A321" s="944"/>
      <c r="B321" s="136"/>
      <c r="C321" s="53">
        <f t="shared" si="53"/>
        <v>1</v>
      </c>
      <c r="D321" s="942"/>
      <c r="E321" s="53">
        <f t="shared" si="54"/>
        <v>1</v>
      </c>
      <c r="F321" s="942"/>
      <c r="G321" s="53">
        <f t="shared" si="55"/>
        <v>1</v>
      </c>
      <c r="H321" s="942"/>
      <c r="I321" s="53">
        <f t="shared" si="56"/>
        <v>1</v>
      </c>
      <c r="J321" s="942"/>
      <c r="K321" s="53">
        <f t="shared" si="57"/>
        <v>1</v>
      </c>
      <c r="L321" s="942"/>
      <c r="M321" s="53">
        <f t="shared" si="58"/>
        <v>1</v>
      </c>
      <c r="N321" s="942"/>
      <c r="O321" s="53">
        <f t="shared" si="59"/>
        <v>1</v>
      </c>
      <c r="P321" s="942"/>
      <c r="Q321" s="53">
        <f t="shared" si="60"/>
        <v>1</v>
      </c>
      <c r="R321" s="476">
        <f t="shared" si="61"/>
        <v>0</v>
      </c>
      <c r="S321" s="781">
        <f t="shared" ref="S321:S384" si="63">ROUND(R321*B321/10000,0)</f>
        <v>0</v>
      </c>
    </row>
    <row r="322" spans="1:19">
      <c r="A322" s="944"/>
      <c r="B322" s="136"/>
      <c r="C322" s="53">
        <f t="shared" si="53"/>
        <v>1</v>
      </c>
      <c r="D322" s="942"/>
      <c r="E322" s="53">
        <f t="shared" si="54"/>
        <v>1</v>
      </c>
      <c r="F322" s="942"/>
      <c r="G322" s="53">
        <f t="shared" si="55"/>
        <v>1</v>
      </c>
      <c r="H322" s="942"/>
      <c r="I322" s="53">
        <f t="shared" si="56"/>
        <v>1</v>
      </c>
      <c r="J322" s="942"/>
      <c r="K322" s="53">
        <f t="shared" si="57"/>
        <v>1</v>
      </c>
      <c r="L322" s="942"/>
      <c r="M322" s="53">
        <f t="shared" si="58"/>
        <v>1</v>
      </c>
      <c r="N322" s="942"/>
      <c r="O322" s="53">
        <f t="shared" si="59"/>
        <v>1</v>
      </c>
      <c r="P322" s="942"/>
      <c r="Q322" s="53">
        <f t="shared" si="60"/>
        <v>1</v>
      </c>
      <c r="R322" s="476">
        <f t="shared" si="61"/>
        <v>0</v>
      </c>
      <c r="S322" s="781">
        <f t="shared" si="63"/>
        <v>0</v>
      </c>
    </row>
    <row r="323" spans="1:19">
      <c r="A323" s="944"/>
      <c r="B323" s="136"/>
      <c r="C323" s="53">
        <f t="shared" si="53"/>
        <v>1</v>
      </c>
      <c r="D323" s="942"/>
      <c r="E323" s="53">
        <f t="shared" si="54"/>
        <v>1</v>
      </c>
      <c r="F323" s="942"/>
      <c r="G323" s="53">
        <f t="shared" si="55"/>
        <v>1</v>
      </c>
      <c r="H323" s="942"/>
      <c r="I323" s="53">
        <f t="shared" si="56"/>
        <v>1</v>
      </c>
      <c r="J323" s="942"/>
      <c r="K323" s="53">
        <f t="shared" si="57"/>
        <v>1</v>
      </c>
      <c r="L323" s="942"/>
      <c r="M323" s="53">
        <f t="shared" si="58"/>
        <v>1</v>
      </c>
      <c r="N323" s="942"/>
      <c r="O323" s="53">
        <f t="shared" si="59"/>
        <v>1</v>
      </c>
      <c r="P323" s="942"/>
      <c r="Q323" s="53">
        <f t="shared" si="60"/>
        <v>1</v>
      </c>
      <c r="R323" s="476">
        <f t="shared" si="61"/>
        <v>0</v>
      </c>
      <c r="S323" s="781">
        <f t="shared" si="63"/>
        <v>0</v>
      </c>
    </row>
    <row r="324" spans="1:19">
      <c r="A324" s="944"/>
      <c r="B324" s="136"/>
      <c r="C324" s="53">
        <f t="shared" si="53"/>
        <v>1</v>
      </c>
      <c r="D324" s="942"/>
      <c r="E324" s="53">
        <f t="shared" si="54"/>
        <v>1</v>
      </c>
      <c r="F324" s="942"/>
      <c r="G324" s="53">
        <f t="shared" si="55"/>
        <v>1</v>
      </c>
      <c r="H324" s="942"/>
      <c r="I324" s="53">
        <f t="shared" si="56"/>
        <v>1</v>
      </c>
      <c r="J324" s="942"/>
      <c r="K324" s="53">
        <f t="shared" si="57"/>
        <v>1</v>
      </c>
      <c r="L324" s="942"/>
      <c r="M324" s="53">
        <f t="shared" si="58"/>
        <v>1</v>
      </c>
      <c r="N324" s="942"/>
      <c r="O324" s="53">
        <f t="shared" si="59"/>
        <v>1</v>
      </c>
      <c r="P324" s="942"/>
      <c r="Q324" s="53">
        <f t="shared" si="60"/>
        <v>1</v>
      </c>
      <c r="R324" s="476">
        <f t="shared" si="61"/>
        <v>0</v>
      </c>
      <c r="S324" s="781">
        <f t="shared" si="63"/>
        <v>0</v>
      </c>
    </row>
    <row r="325" spans="1:19">
      <c r="A325" s="944"/>
      <c r="B325" s="136"/>
      <c r="C325" s="53">
        <f t="shared" si="53"/>
        <v>1</v>
      </c>
      <c r="D325" s="942"/>
      <c r="E325" s="53">
        <f t="shared" si="54"/>
        <v>1</v>
      </c>
      <c r="F325" s="942"/>
      <c r="G325" s="53">
        <f t="shared" si="55"/>
        <v>1</v>
      </c>
      <c r="H325" s="942"/>
      <c r="I325" s="53">
        <f t="shared" si="56"/>
        <v>1</v>
      </c>
      <c r="J325" s="942"/>
      <c r="K325" s="53">
        <f t="shared" si="57"/>
        <v>1</v>
      </c>
      <c r="L325" s="942"/>
      <c r="M325" s="53">
        <f t="shared" si="58"/>
        <v>1</v>
      </c>
      <c r="N325" s="942"/>
      <c r="O325" s="53">
        <f t="shared" si="59"/>
        <v>1</v>
      </c>
      <c r="P325" s="942"/>
      <c r="Q325" s="53">
        <f t="shared" si="60"/>
        <v>1</v>
      </c>
      <c r="R325" s="476">
        <f t="shared" si="61"/>
        <v>0</v>
      </c>
      <c r="S325" s="781">
        <f t="shared" si="63"/>
        <v>0</v>
      </c>
    </row>
    <row r="326" spans="1:19">
      <c r="A326" s="944"/>
      <c r="B326" s="136"/>
      <c r="C326" s="53">
        <f t="shared" si="53"/>
        <v>1</v>
      </c>
      <c r="D326" s="942"/>
      <c r="E326" s="53">
        <f t="shared" si="54"/>
        <v>1</v>
      </c>
      <c r="F326" s="942"/>
      <c r="G326" s="53">
        <f t="shared" si="55"/>
        <v>1</v>
      </c>
      <c r="H326" s="942"/>
      <c r="I326" s="53">
        <f t="shared" si="56"/>
        <v>1</v>
      </c>
      <c r="J326" s="942"/>
      <c r="K326" s="53">
        <f t="shared" si="57"/>
        <v>1</v>
      </c>
      <c r="L326" s="942"/>
      <c r="M326" s="53">
        <f t="shared" si="58"/>
        <v>1</v>
      </c>
      <c r="N326" s="942"/>
      <c r="O326" s="53">
        <f t="shared" si="59"/>
        <v>1</v>
      </c>
      <c r="P326" s="942"/>
      <c r="Q326" s="53">
        <f t="shared" si="60"/>
        <v>1</v>
      </c>
      <c r="R326" s="476">
        <f t="shared" si="61"/>
        <v>0</v>
      </c>
      <c r="S326" s="781">
        <f t="shared" si="63"/>
        <v>0</v>
      </c>
    </row>
    <row r="327" spans="1:19">
      <c r="A327" s="944"/>
      <c r="B327" s="136"/>
      <c r="C327" s="53">
        <f t="shared" si="53"/>
        <v>1</v>
      </c>
      <c r="D327" s="942"/>
      <c r="E327" s="53">
        <f t="shared" si="54"/>
        <v>1</v>
      </c>
      <c r="F327" s="942"/>
      <c r="G327" s="53">
        <f t="shared" si="55"/>
        <v>1</v>
      </c>
      <c r="H327" s="942"/>
      <c r="I327" s="53">
        <f t="shared" si="56"/>
        <v>1</v>
      </c>
      <c r="J327" s="942"/>
      <c r="K327" s="53">
        <f t="shared" si="57"/>
        <v>1</v>
      </c>
      <c r="L327" s="942"/>
      <c r="M327" s="53">
        <f t="shared" si="58"/>
        <v>1</v>
      </c>
      <c r="N327" s="942"/>
      <c r="O327" s="53">
        <f t="shared" si="59"/>
        <v>1</v>
      </c>
      <c r="P327" s="942"/>
      <c r="Q327" s="53">
        <f t="shared" si="60"/>
        <v>1</v>
      </c>
      <c r="R327" s="476">
        <f t="shared" si="61"/>
        <v>0</v>
      </c>
      <c r="S327" s="781">
        <f t="shared" si="63"/>
        <v>0</v>
      </c>
    </row>
    <row r="328" spans="1:19">
      <c r="A328" s="944"/>
      <c r="B328" s="136"/>
      <c r="C328" s="53">
        <f t="shared" si="53"/>
        <v>1</v>
      </c>
      <c r="D328" s="942"/>
      <c r="E328" s="53">
        <f t="shared" si="54"/>
        <v>1</v>
      </c>
      <c r="F328" s="942"/>
      <c r="G328" s="53">
        <f t="shared" si="55"/>
        <v>1</v>
      </c>
      <c r="H328" s="942"/>
      <c r="I328" s="53">
        <f t="shared" si="56"/>
        <v>1</v>
      </c>
      <c r="J328" s="942"/>
      <c r="K328" s="53">
        <f t="shared" si="57"/>
        <v>1</v>
      </c>
      <c r="L328" s="942"/>
      <c r="M328" s="53">
        <f t="shared" si="58"/>
        <v>1</v>
      </c>
      <c r="N328" s="942"/>
      <c r="O328" s="53">
        <f t="shared" si="59"/>
        <v>1</v>
      </c>
      <c r="P328" s="942"/>
      <c r="Q328" s="53">
        <f t="shared" si="60"/>
        <v>1</v>
      </c>
      <c r="R328" s="476">
        <f t="shared" si="61"/>
        <v>0</v>
      </c>
      <c r="S328" s="781">
        <f t="shared" si="63"/>
        <v>0</v>
      </c>
    </row>
    <row r="329" spans="1:19">
      <c r="A329" s="944"/>
      <c r="B329" s="136"/>
      <c r="C329" s="53">
        <f t="shared" si="53"/>
        <v>1</v>
      </c>
      <c r="D329" s="942"/>
      <c r="E329" s="53">
        <f t="shared" si="54"/>
        <v>1</v>
      </c>
      <c r="F329" s="942"/>
      <c r="G329" s="53">
        <f t="shared" si="55"/>
        <v>1</v>
      </c>
      <c r="H329" s="942"/>
      <c r="I329" s="53">
        <f t="shared" si="56"/>
        <v>1</v>
      </c>
      <c r="J329" s="942"/>
      <c r="K329" s="53">
        <f t="shared" si="57"/>
        <v>1</v>
      </c>
      <c r="L329" s="942"/>
      <c r="M329" s="53">
        <f t="shared" si="58"/>
        <v>1</v>
      </c>
      <c r="N329" s="942"/>
      <c r="O329" s="53">
        <f t="shared" si="59"/>
        <v>1</v>
      </c>
      <c r="P329" s="942"/>
      <c r="Q329" s="53">
        <f t="shared" si="60"/>
        <v>1</v>
      </c>
      <c r="R329" s="476">
        <f t="shared" si="61"/>
        <v>0</v>
      </c>
      <c r="S329" s="781">
        <f t="shared" si="63"/>
        <v>0</v>
      </c>
    </row>
    <row r="330" spans="1:19">
      <c r="A330" s="944"/>
      <c r="B330" s="136"/>
      <c r="C330" s="53">
        <f t="shared" si="53"/>
        <v>1</v>
      </c>
      <c r="D330" s="942"/>
      <c r="E330" s="53">
        <f t="shared" si="54"/>
        <v>1</v>
      </c>
      <c r="F330" s="942"/>
      <c r="G330" s="53">
        <f t="shared" si="55"/>
        <v>1</v>
      </c>
      <c r="H330" s="942"/>
      <c r="I330" s="53">
        <f t="shared" si="56"/>
        <v>1</v>
      </c>
      <c r="J330" s="942"/>
      <c r="K330" s="53">
        <f t="shared" si="57"/>
        <v>1</v>
      </c>
      <c r="L330" s="942"/>
      <c r="M330" s="53">
        <f t="shared" si="58"/>
        <v>1</v>
      </c>
      <c r="N330" s="942"/>
      <c r="O330" s="53">
        <f t="shared" si="59"/>
        <v>1</v>
      </c>
      <c r="P330" s="942"/>
      <c r="Q330" s="53">
        <f t="shared" si="60"/>
        <v>1</v>
      </c>
      <c r="R330" s="476">
        <f t="shared" si="61"/>
        <v>0</v>
      </c>
      <c r="S330" s="781">
        <f t="shared" si="63"/>
        <v>0</v>
      </c>
    </row>
    <row r="331" spans="1:19">
      <c r="A331" s="944"/>
      <c r="B331" s="136"/>
      <c r="C331" s="53">
        <f t="shared" si="53"/>
        <v>1</v>
      </c>
      <c r="D331" s="942"/>
      <c r="E331" s="53">
        <f t="shared" si="54"/>
        <v>1</v>
      </c>
      <c r="F331" s="942"/>
      <c r="G331" s="53">
        <f t="shared" si="55"/>
        <v>1</v>
      </c>
      <c r="H331" s="942"/>
      <c r="I331" s="53">
        <f t="shared" si="56"/>
        <v>1</v>
      </c>
      <c r="J331" s="942"/>
      <c r="K331" s="53">
        <f t="shared" si="57"/>
        <v>1</v>
      </c>
      <c r="L331" s="942"/>
      <c r="M331" s="53">
        <f t="shared" si="58"/>
        <v>1</v>
      </c>
      <c r="N331" s="942"/>
      <c r="O331" s="53">
        <f t="shared" si="59"/>
        <v>1</v>
      </c>
      <c r="P331" s="942"/>
      <c r="Q331" s="53">
        <f t="shared" si="60"/>
        <v>1</v>
      </c>
      <c r="R331" s="476">
        <f t="shared" si="61"/>
        <v>0</v>
      </c>
      <c r="S331" s="781">
        <f t="shared" si="63"/>
        <v>0</v>
      </c>
    </row>
    <row r="332" spans="1:19">
      <c r="A332" s="944"/>
      <c r="B332" s="136"/>
      <c r="C332" s="53">
        <f t="shared" si="53"/>
        <v>1</v>
      </c>
      <c r="D332" s="942"/>
      <c r="E332" s="53">
        <f t="shared" si="54"/>
        <v>1</v>
      </c>
      <c r="F332" s="942"/>
      <c r="G332" s="53">
        <f t="shared" si="55"/>
        <v>1</v>
      </c>
      <c r="H332" s="942"/>
      <c r="I332" s="53">
        <f t="shared" si="56"/>
        <v>1</v>
      </c>
      <c r="J332" s="942"/>
      <c r="K332" s="53">
        <f t="shared" si="57"/>
        <v>1</v>
      </c>
      <c r="L332" s="942"/>
      <c r="M332" s="53">
        <f t="shared" si="58"/>
        <v>1</v>
      </c>
      <c r="N332" s="942"/>
      <c r="O332" s="53">
        <f t="shared" si="59"/>
        <v>1</v>
      </c>
      <c r="P332" s="942"/>
      <c r="Q332" s="53">
        <f t="shared" si="60"/>
        <v>1</v>
      </c>
      <c r="R332" s="476">
        <f t="shared" si="61"/>
        <v>0</v>
      </c>
      <c r="S332" s="781">
        <f t="shared" si="63"/>
        <v>0</v>
      </c>
    </row>
    <row r="333" spans="1:19">
      <c r="A333" s="944"/>
      <c r="B333" s="136"/>
      <c r="C333" s="53">
        <f t="shared" si="53"/>
        <v>1</v>
      </c>
      <c r="D333" s="942"/>
      <c r="E333" s="53">
        <f t="shared" si="54"/>
        <v>1</v>
      </c>
      <c r="F333" s="942"/>
      <c r="G333" s="53">
        <f t="shared" si="55"/>
        <v>1</v>
      </c>
      <c r="H333" s="942"/>
      <c r="I333" s="53">
        <f t="shared" si="56"/>
        <v>1</v>
      </c>
      <c r="J333" s="942"/>
      <c r="K333" s="53">
        <f t="shared" si="57"/>
        <v>1</v>
      </c>
      <c r="L333" s="942"/>
      <c r="M333" s="53">
        <f t="shared" si="58"/>
        <v>1</v>
      </c>
      <c r="N333" s="942"/>
      <c r="O333" s="53">
        <f t="shared" si="59"/>
        <v>1</v>
      </c>
      <c r="P333" s="942"/>
      <c r="Q333" s="53">
        <f t="shared" si="60"/>
        <v>1</v>
      </c>
      <c r="R333" s="476">
        <f t="shared" si="61"/>
        <v>0</v>
      </c>
      <c r="S333" s="781">
        <f t="shared" si="63"/>
        <v>0</v>
      </c>
    </row>
    <row r="334" spans="1:19">
      <c r="A334" s="944"/>
      <c r="B334" s="136"/>
      <c r="C334" s="53">
        <f t="shared" si="53"/>
        <v>1</v>
      </c>
      <c r="D334" s="942"/>
      <c r="E334" s="53">
        <f t="shared" si="54"/>
        <v>1</v>
      </c>
      <c r="F334" s="942"/>
      <c r="G334" s="53">
        <f t="shared" si="55"/>
        <v>1</v>
      </c>
      <c r="H334" s="942"/>
      <c r="I334" s="53">
        <f t="shared" si="56"/>
        <v>1</v>
      </c>
      <c r="J334" s="942"/>
      <c r="K334" s="53">
        <f t="shared" si="57"/>
        <v>1</v>
      </c>
      <c r="L334" s="942"/>
      <c r="M334" s="53">
        <f t="shared" si="58"/>
        <v>1</v>
      </c>
      <c r="N334" s="942"/>
      <c r="O334" s="53">
        <f t="shared" si="59"/>
        <v>1</v>
      </c>
      <c r="P334" s="942"/>
      <c r="Q334" s="53">
        <f t="shared" si="60"/>
        <v>1</v>
      </c>
      <c r="R334" s="476">
        <f t="shared" si="61"/>
        <v>0</v>
      </c>
      <c r="S334" s="781">
        <f t="shared" si="63"/>
        <v>0</v>
      </c>
    </row>
    <row r="335" spans="1:19">
      <c r="A335" s="944"/>
      <c r="B335" s="136"/>
      <c r="C335" s="53">
        <f t="shared" si="53"/>
        <v>1</v>
      </c>
      <c r="D335" s="942"/>
      <c r="E335" s="53">
        <f t="shared" si="54"/>
        <v>1</v>
      </c>
      <c r="F335" s="942"/>
      <c r="G335" s="53">
        <f t="shared" si="55"/>
        <v>1</v>
      </c>
      <c r="H335" s="942"/>
      <c r="I335" s="53">
        <f t="shared" si="56"/>
        <v>1</v>
      </c>
      <c r="J335" s="942"/>
      <c r="K335" s="53">
        <f t="shared" si="57"/>
        <v>1</v>
      </c>
      <c r="L335" s="942"/>
      <c r="M335" s="53">
        <f t="shared" si="58"/>
        <v>1</v>
      </c>
      <c r="N335" s="942"/>
      <c r="O335" s="53">
        <f t="shared" si="59"/>
        <v>1</v>
      </c>
      <c r="P335" s="942"/>
      <c r="Q335" s="53">
        <f t="shared" si="60"/>
        <v>1</v>
      </c>
      <c r="R335" s="476">
        <f t="shared" si="61"/>
        <v>0</v>
      </c>
      <c r="S335" s="781">
        <f t="shared" si="63"/>
        <v>0</v>
      </c>
    </row>
    <row r="336" spans="1:19">
      <c r="A336" s="944"/>
      <c r="B336" s="136"/>
      <c r="C336" s="53">
        <f t="shared" si="53"/>
        <v>1</v>
      </c>
      <c r="D336" s="942"/>
      <c r="E336" s="53">
        <f t="shared" si="54"/>
        <v>1</v>
      </c>
      <c r="F336" s="942"/>
      <c r="G336" s="53">
        <f t="shared" si="55"/>
        <v>1</v>
      </c>
      <c r="H336" s="942"/>
      <c r="I336" s="53">
        <f t="shared" si="56"/>
        <v>1</v>
      </c>
      <c r="J336" s="942"/>
      <c r="K336" s="53">
        <f t="shared" si="57"/>
        <v>1</v>
      </c>
      <c r="L336" s="942"/>
      <c r="M336" s="53">
        <f t="shared" si="58"/>
        <v>1</v>
      </c>
      <c r="N336" s="942"/>
      <c r="O336" s="53">
        <f t="shared" si="59"/>
        <v>1</v>
      </c>
      <c r="P336" s="942"/>
      <c r="Q336" s="53">
        <f t="shared" si="60"/>
        <v>1</v>
      </c>
      <c r="R336" s="476">
        <f t="shared" si="61"/>
        <v>0</v>
      </c>
      <c r="S336" s="781">
        <f t="shared" si="63"/>
        <v>0</v>
      </c>
    </row>
    <row r="337" spans="1:19">
      <c r="A337" s="944"/>
      <c r="B337" s="136"/>
      <c r="C337" s="53">
        <f t="shared" si="53"/>
        <v>1</v>
      </c>
      <c r="D337" s="942"/>
      <c r="E337" s="53">
        <f t="shared" si="54"/>
        <v>1</v>
      </c>
      <c r="F337" s="942"/>
      <c r="G337" s="53">
        <f t="shared" si="55"/>
        <v>1</v>
      </c>
      <c r="H337" s="942"/>
      <c r="I337" s="53">
        <f t="shared" si="56"/>
        <v>1</v>
      </c>
      <c r="J337" s="942"/>
      <c r="K337" s="53">
        <f t="shared" si="57"/>
        <v>1</v>
      </c>
      <c r="L337" s="942"/>
      <c r="M337" s="53">
        <f t="shared" si="58"/>
        <v>1</v>
      </c>
      <c r="N337" s="942"/>
      <c r="O337" s="53">
        <f t="shared" si="59"/>
        <v>1</v>
      </c>
      <c r="P337" s="942"/>
      <c r="Q337" s="53">
        <f t="shared" si="60"/>
        <v>1</v>
      </c>
      <c r="R337" s="476">
        <f t="shared" si="61"/>
        <v>0</v>
      </c>
      <c r="S337" s="781">
        <f t="shared" si="63"/>
        <v>0</v>
      </c>
    </row>
    <row r="338" spans="1:19">
      <c r="A338" s="944"/>
      <c r="B338" s="136"/>
      <c r="C338" s="53">
        <f t="shared" si="53"/>
        <v>1</v>
      </c>
      <c r="D338" s="942"/>
      <c r="E338" s="53">
        <f t="shared" si="54"/>
        <v>1</v>
      </c>
      <c r="F338" s="942"/>
      <c r="G338" s="53">
        <f t="shared" si="55"/>
        <v>1</v>
      </c>
      <c r="H338" s="942"/>
      <c r="I338" s="53">
        <f t="shared" si="56"/>
        <v>1</v>
      </c>
      <c r="J338" s="942"/>
      <c r="K338" s="53">
        <f t="shared" si="57"/>
        <v>1</v>
      </c>
      <c r="L338" s="942"/>
      <c r="M338" s="53">
        <f t="shared" si="58"/>
        <v>1</v>
      </c>
      <c r="N338" s="942"/>
      <c r="O338" s="53">
        <f t="shared" si="59"/>
        <v>1</v>
      </c>
      <c r="P338" s="942"/>
      <c r="Q338" s="53">
        <f t="shared" si="60"/>
        <v>1</v>
      </c>
      <c r="R338" s="476">
        <f t="shared" si="61"/>
        <v>0</v>
      </c>
      <c r="S338" s="781">
        <f t="shared" si="63"/>
        <v>0</v>
      </c>
    </row>
    <row r="339" spans="1:19">
      <c r="A339" s="944"/>
      <c r="B339" s="136"/>
      <c r="C339" s="53">
        <f t="shared" si="53"/>
        <v>1</v>
      </c>
      <c r="D339" s="942"/>
      <c r="E339" s="53">
        <f t="shared" si="54"/>
        <v>1</v>
      </c>
      <c r="F339" s="942"/>
      <c r="G339" s="53">
        <f t="shared" si="55"/>
        <v>1</v>
      </c>
      <c r="H339" s="942"/>
      <c r="I339" s="53">
        <f t="shared" si="56"/>
        <v>1</v>
      </c>
      <c r="J339" s="942"/>
      <c r="K339" s="53">
        <f t="shared" si="57"/>
        <v>1</v>
      </c>
      <c r="L339" s="942"/>
      <c r="M339" s="53">
        <f t="shared" si="58"/>
        <v>1</v>
      </c>
      <c r="N339" s="942"/>
      <c r="O339" s="53">
        <f t="shared" si="59"/>
        <v>1</v>
      </c>
      <c r="P339" s="942"/>
      <c r="Q339" s="53">
        <f t="shared" si="60"/>
        <v>1</v>
      </c>
      <c r="R339" s="476">
        <f t="shared" si="61"/>
        <v>0</v>
      </c>
      <c r="S339" s="781">
        <f t="shared" si="63"/>
        <v>0</v>
      </c>
    </row>
    <row r="340" spans="1:19">
      <c r="A340" s="944"/>
      <c r="B340" s="136"/>
      <c r="C340" s="53">
        <f t="shared" si="53"/>
        <v>1</v>
      </c>
      <c r="D340" s="942"/>
      <c r="E340" s="53">
        <f t="shared" si="54"/>
        <v>1</v>
      </c>
      <c r="F340" s="942"/>
      <c r="G340" s="53">
        <f t="shared" si="55"/>
        <v>1</v>
      </c>
      <c r="H340" s="942"/>
      <c r="I340" s="53">
        <f t="shared" si="56"/>
        <v>1</v>
      </c>
      <c r="J340" s="942"/>
      <c r="K340" s="53">
        <f t="shared" si="57"/>
        <v>1</v>
      </c>
      <c r="L340" s="942"/>
      <c r="M340" s="53">
        <f t="shared" si="58"/>
        <v>1</v>
      </c>
      <c r="N340" s="942"/>
      <c r="O340" s="53">
        <f t="shared" si="59"/>
        <v>1</v>
      </c>
      <c r="P340" s="942"/>
      <c r="Q340" s="53">
        <f t="shared" si="60"/>
        <v>1</v>
      </c>
      <c r="R340" s="476">
        <f t="shared" si="61"/>
        <v>0</v>
      </c>
      <c r="S340" s="781">
        <f t="shared" si="63"/>
        <v>0</v>
      </c>
    </row>
    <row r="341" spans="1:19">
      <c r="A341" s="944"/>
      <c r="B341" s="136"/>
      <c r="C341" s="53">
        <f t="shared" si="53"/>
        <v>1</v>
      </c>
      <c r="D341" s="942"/>
      <c r="E341" s="53">
        <f t="shared" si="54"/>
        <v>1</v>
      </c>
      <c r="F341" s="942"/>
      <c r="G341" s="53">
        <f t="shared" si="55"/>
        <v>1</v>
      </c>
      <c r="H341" s="942"/>
      <c r="I341" s="53">
        <f t="shared" si="56"/>
        <v>1</v>
      </c>
      <c r="J341" s="942"/>
      <c r="K341" s="53">
        <f t="shared" si="57"/>
        <v>1</v>
      </c>
      <c r="L341" s="942"/>
      <c r="M341" s="53">
        <f t="shared" si="58"/>
        <v>1</v>
      </c>
      <c r="N341" s="942"/>
      <c r="O341" s="53">
        <f t="shared" si="59"/>
        <v>1</v>
      </c>
      <c r="P341" s="942"/>
      <c r="Q341" s="53">
        <f t="shared" si="60"/>
        <v>1</v>
      </c>
      <c r="R341" s="476">
        <f t="shared" si="61"/>
        <v>0</v>
      </c>
      <c r="S341" s="781">
        <f t="shared" si="63"/>
        <v>0</v>
      </c>
    </row>
    <row r="342" spans="1:19">
      <c r="A342" s="944"/>
      <c r="B342" s="136"/>
      <c r="C342" s="53">
        <f t="shared" si="53"/>
        <v>1</v>
      </c>
      <c r="D342" s="942"/>
      <c r="E342" s="53">
        <f t="shared" si="54"/>
        <v>1</v>
      </c>
      <c r="F342" s="942"/>
      <c r="G342" s="53">
        <f t="shared" si="55"/>
        <v>1</v>
      </c>
      <c r="H342" s="942"/>
      <c r="I342" s="53">
        <f t="shared" si="56"/>
        <v>1</v>
      </c>
      <c r="J342" s="942"/>
      <c r="K342" s="53">
        <f t="shared" si="57"/>
        <v>1</v>
      </c>
      <c r="L342" s="942"/>
      <c r="M342" s="53">
        <f t="shared" si="58"/>
        <v>1</v>
      </c>
      <c r="N342" s="942"/>
      <c r="O342" s="53">
        <f t="shared" si="59"/>
        <v>1</v>
      </c>
      <c r="P342" s="942"/>
      <c r="Q342" s="53">
        <f t="shared" si="60"/>
        <v>1</v>
      </c>
      <c r="R342" s="476">
        <f t="shared" si="61"/>
        <v>0</v>
      </c>
      <c r="S342" s="781">
        <f t="shared" si="63"/>
        <v>0</v>
      </c>
    </row>
    <row r="343" spans="1:19">
      <c r="A343" s="944"/>
      <c r="B343" s="136"/>
      <c r="C343" s="53">
        <f t="shared" si="53"/>
        <v>1</v>
      </c>
      <c r="D343" s="942"/>
      <c r="E343" s="53">
        <f t="shared" si="54"/>
        <v>1</v>
      </c>
      <c r="F343" s="942"/>
      <c r="G343" s="53">
        <f t="shared" si="55"/>
        <v>1</v>
      </c>
      <c r="H343" s="942"/>
      <c r="I343" s="53">
        <f t="shared" si="56"/>
        <v>1</v>
      </c>
      <c r="J343" s="942"/>
      <c r="K343" s="53">
        <f t="shared" si="57"/>
        <v>1</v>
      </c>
      <c r="L343" s="942"/>
      <c r="M343" s="53">
        <f t="shared" si="58"/>
        <v>1</v>
      </c>
      <c r="N343" s="942"/>
      <c r="O343" s="53">
        <f t="shared" si="59"/>
        <v>1</v>
      </c>
      <c r="P343" s="942"/>
      <c r="Q343" s="53">
        <f t="shared" si="60"/>
        <v>1</v>
      </c>
      <c r="R343" s="476">
        <f t="shared" si="61"/>
        <v>0</v>
      </c>
      <c r="S343" s="781">
        <f t="shared" si="63"/>
        <v>0</v>
      </c>
    </row>
    <row r="344" spans="1:19">
      <c r="A344" s="944"/>
      <c r="B344" s="136"/>
      <c r="C344" s="53">
        <f t="shared" si="53"/>
        <v>1</v>
      </c>
      <c r="D344" s="942"/>
      <c r="E344" s="53">
        <f t="shared" si="54"/>
        <v>1</v>
      </c>
      <c r="F344" s="942"/>
      <c r="G344" s="53">
        <f t="shared" si="55"/>
        <v>1</v>
      </c>
      <c r="H344" s="942"/>
      <c r="I344" s="53">
        <f t="shared" si="56"/>
        <v>1</v>
      </c>
      <c r="J344" s="942"/>
      <c r="K344" s="53">
        <f t="shared" si="57"/>
        <v>1</v>
      </c>
      <c r="L344" s="942"/>
      <c r="M344" s="53">
        <f t="shared" si="58"/>
        <v>1</v>
      </c>
      <c r="N344" s="942"/>
      <c r="O344" s="53">
        <f t="shared" si="59"/>
        <v>1</v>
      </c>
      <c r="P344" s="942"/>
      <c r="Q344" s="53">
        <f t="shared" si="60"/>
        <v>1</v>
      </c>
      <c r="R344" s="476">
        <f t="shared" si="61"/>
        <v>0</v>
      </c>
      <c r="S344" s="781">
        <f t="shared" si="63"/>
        <v>0</v>
      </c>
    </row>
    <row r="345" spans="1:19">
      <c r="A345" s="944"/>
      <c r="B345" s="136"/>
      <c r="C345" s="53">
        <f t="shared" si="53"/>
        <v>1</v>
      </c>
      <c r="D345" s="942"/>
      <c r="E345" s="53">
        <f t="shared" si="54"/>
        <v>1</v>
      </c>
      <c r="F345" s="942"/>
      <c r="G345" s="53">
        <f t="shared" si="55"/>
        <v>1</v>
      </c>
      <c r="H345" s="942"/>
      <c r="I345" s="53">
        <f t="shared" si="56"/>
        <v>1</v>
      </c>
      <c r="J345" s="942"/>
      <c r="K345" s="53">
        <f t="shared" si="57"/>
        <v>1</v>
      </c>
      <c r="L345" s="942"/>
      <c r="M345" s="53">
        <f t="shared" si="58"/>
        <v>1</v>
      </c>
      <c r="N345" s="942"/>
      <c r="O345" s="53">
        <f t="shared" si="59"/>
        <v>1</v>
      </c>
      <c r="P345" s="942"/>
      <c r="Q345" s="53">
        <f t="shared" si="60"/>
        <v>1</v>
      </c>
      <c r="R345" s="476">
        <f t="shared" si="61"/>
        <v>0</v>
      </c>
      <c r="S345" s="781">
        <f t="shared" si="63"/>
        <v>0</v>
      </c>
    </row>
    <row r="346" spans="1:19">
      <c r="A346" s="944"/>
      <c r="B346" s="136"/>
      <c r="C346" s="53">
        <f t="shared" ref="C346:C409" si="64">IF(B346="",1,(LOOKUP(B346,$3:$3,$4:$4)-LOOKUP($B$24,$3:$3,$4:$4)+100)/100)</f>
        <v>1</v>
      </c>
      <c r="D346" s="942"/>
      <c r="E346" s="53">
        <f t="shared" ref="E346:E409" si="65">(SUMIF($5:$5,D346,$6:$6)-SUMIF($5:$5,$D$24,$6:$6)+100)/100</f>
        <v>1</v>
      </c>
      <c r="F346" s="942"/>
      <c r="G346" s="53">
        <f t="shared" ref="G346:G409" si="66">(SUMIF($7:$7,F346,$8:$8)-SUMIF($7:$7,$F$24,$8:$8)+100)/100</f>
        <v>1</v>
      </c>
      <c r="H346" s="942"/>
      <c r="I346" s="53">
        <f t="shared" ref="I346:I409" si="67">(SUMIF($9:$9,H346,$10:$10)-SUMIF($9:$9,$H$24,$10:$10)+100)/100</f>
        <v>1</v>
      </c>
      <c r="J346" s="942"/>
      <c r="K346" s="53">
        <f t="shared" ref="K346:K409" si="68">(SUMIF($11:$11,J346,$12:$12)-SUMIF($11:$11,$J$24,$12:$12)+100)/100</f>
        <v>1</v>
      </c>
      <c r="L346" s="942"/>
      <c r="M346" s="53">
        <f t="shared" ref="M346:M409" si="69">(SUMIF($13:$13,L346,$14:$14)-SUMIF($13:$13,$L$24,$14:$14)+100)/100</f>
        <v>1</v>
      </c>
      <c r="N346" s="942"/>
      <c r="O346" s="53">
        <f t="shared" ref="O346:O409" si="70">(SUMIF($15:$15,N346,$16:$16)-SUMIF($15:$15,$N$24,$16:$16)+100)/100</f>
        <v>1</v>
      </c>
      <c r="P346" s="942"/>
      <c r="Q346" s="53">
        <f t="shared" ref="Q346:Q409" si="71">(SUMIF($17:$17,P346,$18:$18)-SUMIF($17:$17,$P$24,$18:$18)+100)/100</f>
        <v>1</v>
      </c>
      <c r="R346" s="476">
        <f t="shared" ref="R346:R409" si="72">IF(B346="",0,ROUND($R$24*C346*E346*G346*I346*K346*M346*O346*Q346,0))</f>
        <v>0</v>
      </c>
      <c r="S346" s="781">
        <f t="shared" si="63"/>
        <v>0</v>
      </c>
    </row>
    <row r="347" spans="1:19">
      <c r="A347" s="944"/>
      <c r="B347" s="136"/>
      <c r="C347" s="53">
        <f t="shared" si="64"/>
        <v>1</v>
      </c>
      <c r="D347" s="942"/>
      <c r="E347" s="53">
        <f t="shared" si="65"/>
        <v>1</v>
      </c>
      <c r="F347" s="942"/>
      <c r="G347" s="53">
        <f t="shared" si="66"/>
        <v>1</v>
      </c>
      <c r="H347" s="942"/>
      <c r="I347" s="53">
        <f t="shared" si="67"/>
        <v>1</v>
      </c>
      <c r="J347" s="942"/>
      <c r="K347" s="53">
        <f t="shared" si="68"/>
        <v>1</v>
      </c>
      <c r="L347" s="942"/>
      <c r="M347" s="53">
        <f t="shared" si="69"/>
        <v>1</v>
      </c>
      <c r="N347" s="942"/>
      <c r="O347" s="53">
        <f t="shared" si="70"/>
        <v>1</v>
      </c>
      <c r="P347" s="942"/>
      <c r="Q347" s="53">
        <f t="shared" si="71"/>
        <v>1</v>
      </c>
      <c r="R347" s="476">
        <f t="shared" si="72"/>
        <v>0</v>
      </c>
      <c r="S347" s="781">
        <f t="shared" si="63"/>
        <v>0</v>
      </c>
    </row>
    <row r="348" spans="1:19">
      <c r="A348" s="944"/>
      <c r="B348" s="136"/>
      <c r="C348" s="53">
        <f t="shared" si="64"/>
        <v>1</v>
      </c>
      <c r="D348" s="942"/>
      <c r="E348" s="53">
        <f t="shared" si="65"/>
        <v>1</v>
      </c>
      <c r="F348" s="942"/>
      <c r="G348" s="53">
        <f t="shared" si="66"/>
        <v>1</v>
      </c>
      <c r="H348" s="942"/>
      <c r="I348" s="53">
        <f t="shared" si="67"/>
        <v>1</v>
      </c>
      <c r="J348" s="942"/>
      <c r="K348" s="53">
        <f t="shared" si="68"/>
        <v>1</v>
      </c>
      <c r="L348" s="942"/>
      <c r="M348" s="53">
        <f t="shared" si="69"/>
        <v>1</v>
      </c>
      <c r="N348" s="942"/>
      <c r="O348" s="53">
        <f t="shared" si="70"/>
        <v>1</v>
      </c>
      <c r="P348" s="942"/>
      <c r="Q348" s="53">
        <f t="shared" si="71"/>
        <v>1</v>
      </c>
      <c r="R348" s="476">
        <f t="shared" si="72"/>
        <v>0</v>
      </c>
      <c r="S348" s="781">
        <f t="shared" si="63"/>
        <v>0</v>
      </c>
    </row>
    <row r="349" spans="1:19">
      <c r="A349" s="944"/>
      <c r="B349" s="136"/>
      <c r="C349" s="53">
        <f t="shared" si="64"/>
        <v>1</v>
      </c>
      <c r="D349" s="942"/>
      <c r="E349" s="53">
        <f t="shared" si="65"/>
        <v>1</v>
      </c>
      <c r="F349" s="942"/>
      <c r="G349" s="53">
        <f t="shared" si="66"/>
        <v>1</v>
      </c>
      <c r="H349" s="942"/>
      <c r="I349" s="53">
        <f t="shared" si="67"/>
        <v>1</v>
      </c>
      <c r="J349" s="942"/>
      <c r="K349" s="53">
        <f t="shared" si="68"/>
        <v>1</v>
      </c>
      <c r="L349" s="942"/>
      <c r="M349" s="53">
        <f t="shared" si="69"/>
        <v>1</v>
      </c>
      <c r="N349" s="942"/>
      <c r="O349" s="53">
        <f t="shared" si="70"/>
        <v>1</v>
      </c>
      <c r="P349" s="942"/>
      <c r="Q349" s="53">
        <f t="shared" si="71"/>
        <v>1</v>
      </c>
      <c r="R349" s="476">
        <f t="shared" si="72"/>
        <v>0</v>
      </c>
      <c r="S349" s="781">
        <f t="shared" si="63"/>
        <v>0</v>
      </c>
    </row>
    <row r="350" spans="1:19">
      <c r="A350" s="944"/>
      <c r="B350" s="136"/>
      <c r="C350" s="53">
        <f t="shared" si="64"/>
        <v>1</v>
      </c>
      <c r="D350" s="942"/>
      <c r="E350" s="53">
        <f t="shared" si="65"/>
        <v>1</v>
      </c>
      <c r="F350" s="942"/>
      <c r="G350" s="53">
        <f t="shared" si="66"/>
        <v>1</v>
      </c>
      <c r="H350" s="942"/>
      <c r="I350" s="53">
        <f t="shared" si="67"/>
        <v>1</v>
      </c>
      <c r="J350" s="942"/>
      <c r="K350" s="53">
        <f t="shared" si="68"/>
        <v>1</v>
      </c>
      <c r="L350" s="942"/>
      <c r="M350" s="53">
        <f t="shared" si="69"/>
        <v>1</v>
      </c>
      <c r="N350" s="942"/>
      <c r="O350" s="53">
        <f t="shared" si="70"/>
        <v>1</v>
      </c>
      <c r="P350" s="942"/>
      <c r="Q350" s="53">
        <f t="shared" si="71"/>
        <v>1</v>
      </c>
      <c r="R350" s="476">
        <f t="shared" si="72"/>
        <v>0</v>
      </c>
      <c r="S350" s="781">
        <f t="shared" si="63"/>
        <v>0</v>
      </c>
    </row>
    <row r="351" spans="1:19">
      <c r="A351" s="944"/>
      <c r="B351" s="136"/>
      <c r="C351" s="53">
        <f t="shared" si="64"/>
        <v>1</v>
      </c>
      <c r="D351" s="942"/>
      <c r="E351" s="53">
        <f t="shared" si="65"/>
        <v>1</v>
      </c>
      <c r="F351" s="942"/>
      <c r="G351" s="53">
        <f t="shared" si="66"/>
        <v>1</v>
      </c>
      <c r="H351" s="942"/>
      <c r="I351" s="53">
        <f t="shared" si="67"/>
        <v>1</v>
      </c>
      <c r="J351" s="942"/>
      <c r="K351" s="53">
        <f t="shared" si="68"/>
        <v>1</v>
      </c>
      <c r="L351" s="942"/>
      <c r="M351" s="53">
        <f t="shared" si="69"/>
        <v>1</v>
      </c>
      <c r="N351" s="942"/>
      <c r="O351" s="53">
        <f t="shared" si="70"/>
        <v>1</v>
      </c>
      <c r="P351" s="942"/>
      <c r="Q351" s="53">
        <f t="shared" si="71"/>
        <v>1</v>
      </c>
      <c r="R351" s="476">
        <f t="shared" si="72"/>
        <v>0</v>
      </c>
      <c r="S351" s="781">
        <f t="shared" si="63"/>
        <v>0</v>
      </c>
    </row>
    <row r="352" spans="1:19">
      <c r="A352" s="944"/>
      <c r="B352" s="136"/>
      <c r="C352" s="53">
        <f t="shared" si="64"/>
        <v>1</v>
      </c>
      <c r="D352" s="942"/>
      <c r="E352" s="53">
        <f t="shared" si="65"/>
        <v>1</v>
      </c>
      <c r="F352" s="942"/>
      <c r="G352" s="53">
        <f t="shared" si="66"/>
        <v>1</v>
      </c>
      <c r="H352" s="942"/>
      <c r="I352" s="53">
        <f t="shared" si="67"/>
        <v>1</v>
      </c>
      <c r="J352" s="942"/>
      <c r="K352" s="53">
        <f t="shared" si="68"/>
        <v>1</v>
      </c>
      <c r="L352" s="942"/>
      <c r="M352" s="53">
        <f t="shared" si="69"/>
        <v>1</v>
      </c>
      <c r="N352" s="942"/>
      <c r="O352" s="53">
        <f t="shared" si="70"/>
        <v>1</v>
      </c>
      <c r="P352" s="942"/>
      <c r="Q352" s="53">
        <f t="shared" si="71"/>
        <v>1</v>
      </c>
      <c r="R352" s="476">
        <f t="shared" si="72"/>
        <v>0</v>
      </c>
      <c r="S352" s="781">
        <f t="shared" si="63"/>
        <v>0</v>
      </c>
    </row>
    <row r="353" spans="1:19">
      <c r="A353" s="944"/>
      <c r="B353" s="136"/>
      <c r="C353" s="53">
        <f t="shared" si="64"/>
        <v>1</v>
      </c>
      <c r="D353" s="942"/>
      <c r="E353" s="53">
        <f t="shared" si="65"/>
        <v>1</v>
      </c>
      <c r="F353" s="942"/>
      <c r="G353" s="53">
        <f t="shared" si="66"/>
        <v>1</v>
      </c>
      <c r="H353" s="942"/>
      <c r="I353" s="53">
        <f t="shared" si="67"/>
        <v>1</v>
      </c>
      <c r="J353" s="942"/>
      <c r="K353" s="53">
        <f t="shared" si="68"/>
        <v>1</v>
      </c>
      <c r="L353" s="942"/>
      <c r="M353" s="53">
        <f t="shared" si="69"/>
        <v>1</v>
      </c>
      <c r="N353" s="942"/>
      <c r="O353" s="53">
        <f t="shared" si="70"/>
        <v>1</v>
      </c>
      <c r="P353" s="942"/>
      <c r="Q353" s="53">
        <f t="shared" si="71"/>
        <v>1</v>
      </c>
      <c r="R353" s="476">
        <f t="shared" si="72"/>
        <v>0</v>
      </c>
      <c r="S353" s="781">
        <f t="shared" si="63"/>
        <v>0</v>
      </c>
    </row>
    <row r="354" spans="1:19">
      <c r="A354" s="944"/>
      <c r="B354" s="136"/>
      <c r="C354" s="53">
        <f t="shared" si="64"/>
        <v>1</v>
      </c>
      <c r="D354" s="942"/>
      <c r="E354" s="53">
        <f t="shared" si="65"/>
        <v>1</v>
      </c>
      <c r="F354" s="942"/>
      <c r="G354" s="53">
        <f t="shared" si="66"/>
        <v>1</v>
      </c>
      <c r="H354" s="942"/>
      <c r="I354" s="53">
        <f t="shared" si="67"/>
        <v>1</v>
      </c>
      <c r="J354" s="942"/>
      <c r="K354" s="53">
        <f t="shared" si="68"/>
        <v>1</v>
      </c>
      <c r="L354" s="942"/>
      <c r="M354" s="53">
        <f t="shared" si="69"/>
        <v>1</v>
      </c>
      <c r="N354" s="942"/>
      <c r="O354" s="53">
        <f t="shared" si="70"/>
        <v>1</v>
      </c>
      <c r="P354" s="942"/>
      <c r="Q354" s="53">
        <f t="shared" si="71"/>
        <v>1</v>
      </c>
      <c r="R354" s="476">
        <f t="shared" si="72"/>
        <v>0</v>
      </c>
      <c r="S354" s="781">
        <f t="shared" si="63"/>
        <v>0</v>
      </c>
    </row>
    <row r="355" spans="1:19">
      <c r="A355" s="944"/>
      <c r="B355" s="136"/>
      <c r="C355" s="53">
        <f t="shared" si="64"/>
        <v>1</v>
      </c>
      <c r="D355" s="942"/>
      <c r="E355" s="53">
        <f t="shared" si="65"/>
        <v>1</v>
      </c>
      <c r="F355" s="942"/>
      <c r="G355" s="53">
        <f t="shared" si="66"/>
        <v>1</v>
      </c>
      <c r="H355" s="942"/>
      <c r="I355" s="53">
        <f t="shared" si="67"/>
        <v>1</v>
      </c>
      <c r="J355" s="942"/>
      <c r="K355" s="53">
        <f t="shared" si="68"/>
        <v>1</v>
      </c>
      <c r="L355" s="942"/>
      <c r="M355" s="53">
        <f t="shared" si="69"/>
        <v>1</v>
      </c>
      <c r="N355" s="942"/>
      <c r="O355" s="53">
        <f t="shared" si="70"/>
        <v>1</v>
      </c>
      <c r="P355" s="942"/>
      <c r="Q355" s="53">
        <f t="shared" si="71"/>
        <v>1</v>
      </c>
      <c r="R355" s="476">
        <f t="shared" si="72"/>
        <v>0</v>
      </c>
      <c r="S355" s="781">
        <f t="shared" si="63"/>
        <v>0</v>
      </c>
    </row>
    <row r="356" spans="1:19">
      <c r="A356" s="944"/>
      <c r="B356" s="136"/>
      <c r="C356" s="53">
        <f t="shared" si="64"/>
        <v>1</v>
      </c>
      <c r="D356" s="942"/>
      <c r="E356" s="53">
        <f t="shared" si="65"/>
        <v>1</v>
      </c>
      <c r="F356" s="942"/>
      <c r="G356" s="53">
        <f t="shared" si="66"/>
        <v>1</v>
      </c>
      <c r="H356" s="942"/>
      <c r="I356" s="53">
        <f t="shared" si="67"/>
        <v>1</v>
      </c>
      <c r="J356" s="942"/>
      <c r="K356" s="53">
        <f t="shared" si="68"/>
        <v>1</v>
      </c>
      <c r="L356" s="942"/>
      <c r="M356" s="53">
        <f t="shared" si="69"/>
        <v>1</v>
      </c>
      <c r="N356" s="942"/>
      <c r="O356" s="53">
        <f t="shared" si="70"/>
        <v>1</v>
      </c>
      <c r="P356" s="942"/>
      <c r="Q356" s="53">
        <f t="shared" si="71"/>
        <v>1</v>
      </c>
      <c r="R356" s="476">
        <f t="shared" si="72"/>
        <v>0</v>
      </c>
      <c r="S356" s="781">
        <f t="shared" si="63"/>
        <v>0</v>
      </c>
    </row>
    <row r="357" spans="1:19">
      <c r="A357" s="944"/>
      <c r="B357" s="136"/>
      <c r="C357" s="53">
        <f t="shared" si="64"/>
        <v>1</v>
      </c>
      <c r="D357" s="942"/>
      <c r="E357" s="53">
        <f t="shared" si="65"/>
        <v>1</v>
      </c>
      <c r="F357" s="942"/>
      <c r="G357" s="53">
        <f t="shared" si="66"/>
        <v>1</v>
      </c>
      <c r="H357" s="942"/>
      <c r="I357" s="53">
        <f t="shared" si="67"/>
        <v>1</v>
      </c>
      <c r="J357" s="942"/>
      <c r="K357" s="53">
        <f t="shared" si="68"/>
        <v>1</v>
      </c>
      <c r="L357" s="942"/>
      <c r="M357" s="53">
        <f t="shared" si="69"/>
        <v>1</v>
      </c>
      <c r="N357" s="942"/>
      <c r="O357" s="53">
        <f t="shared" si="70"/>
        <v>1</v>
      </c>
      <c r="P357" s="942"/>
      <c r="Q357" s="53">
        <f t="shared" si="71"/>
        <v>1</v>
      </c>
      <c r="R357" s="476">
        <f t="shared" si="72"/>
        <v>0</v>
      </c>
      <c r="S357" s="781">
        <f t="shared" si="63"/>
        <v>0</v>
      </c>
    </row>
    <row r="358" spans="1:19">
      <c r="A358" s="944"/>
      <c r="B358" s="136"/>
      <c r="C358" s="53">
        <f t="shared" si="64"/>
        <v>1</v>
      </c>
      <c r="D358" s="942"/>
      <c r="E358" s="53">
        <f t="shared" si="65"/>
        <v>1</v>
      </c>
      <c r="F358" s="942"/>
      <c r="G358" s="53">
        <f t="shared" si="66"/>
        <v>1</v>
      </c>
      <c r="H358" s="942"/>
      <c r="I358" s="53">
        <f t="shared" si="67"/>
        <v>1</v>
      </c>
      <c r="J358" s="942"/>
      <c r="K358" s="53">
        <f t="shared" si="68"/>
        <v>1</v>
      </c>
      <c r="L358" s="942"/>
      <c r="M358" s="53">
        <f t="shared" si="69"/>
        <v>1</v>
      </c>
      <c r="N358" s="942"/>
      <c r="O358" s="53">
        <f t="shared" si="70"/>
        <v>1</v>
      </c>
      <c r="P358" s="942"/>
      <c r="Q358" s="53">
        <f t="shared" si="71"/>
        <v>1</v>
      </c>
      <c r="R358" s="476">
        <f t="shared" si="72"/>
        <v>0</v>
      </c>
      <c r="S358" s="781">
        <f t="shared" si="63"/>
        <v>0</v>
      </c>
    </row>
    <row r="359" spans="1:19">
      <c r="A359" s="944"/>
      <c r="B359" s="136"/>
      <c r="C359" s="53">
        <f t="shared" si="64"/>
        <v>1</v>
      </c>
      <c r="D359" s="942"/>
      <c r="E359" s="53">
        <f t="shared" si="65"/>
        <v>1</v>
      </c>
      <c r="F359" s="942"/>
      <c r="G359" s="53">
        <f t="shared" si="66"/>
        <v>1</v>
      </c>
      <c r="H359" s="942"/>
      <c r="I359" s="53">
        <f t="shared" si="67"/>
        <v>1</v>
      </c>
      <c r="J359" s="942"/>
      <c r="K359" s="53">
        <f t="shared" si="68"/>
        <v>1</v>
      </c>
      <c r="L359" s="942"/>
      <c r="M359" s="53">
        <f t="shared" si="69"/>
        <v>1</v>
      </c>
      <c r="N359" s="942"/>
      <c r="O359" s="53">
        <f t="shared" si="70"/>
        <v>1</v>
      </c>
      <c r="P359" s="942"/>
      <c r="Q359" s="53">
        <f t="shared" si="71"/>
        <v>1</v>
      </c>
      <c r="R359" s="476">
        <f t="shared" si="72"/>
        <v>0</v>
      </c>
      <c r="S359" s="781">
        <f t="shared" si="63"/>
        <v>0</v>
      </c>
    </row>
    <row r="360" spans="1:19">
      <c r="A360" s="944"/>
      <c r="B360" s="136"/>
      <c r="C360" s="53">
        <f t="shared" si="64"/>
        <v>1</v>
      </c>
      <c r="D360" s="942"/>
      <c r="E360" s="53">
        <f t="shared" si="65"/>
        <v>1</v>
      </c>
      <c r="F360" s="942"/>
      <c r="G360" s="53">
        <f t="shared" si="66"/>
        <v>1</v>
      </c>
      <c r="H360" s="942"/>
      <c r="I360" s="53">
        <f t="shared" si="67"/>
        <v>1</v>
      </c>
      <c r="J360" s="942"/>
      <c r="K360" s="53">
        <f t="shared" si="68"/>
        <v>1</v>
      </c>
      <c r="L360" s="942"/>
      <c r="M360" s="53">
        <f t="shared" si="69"/>
        <v>1</v>
      </c>
      <c r="N360" s="942"/>
      <c r="O360" s="53">
        <f t="shared" si="70"/>
        <v>1</v>
      </c>
      <c r="P360" s="942"/>
      <c r="Q360" s="53">
        <f t="shared" si="71"/>
        <v>1</v>
      </c>
      <c r="R360" s="476">
        <f t="shared" si="72"/>
        <v>0</v>
      </c>
      <c r="S360" s="781">
        <f t="shared" si="63"/>
        <v>0</v>
      </c>
    </row>
    <row r="361" spans="1:19">
      <c r="A361" s="944"/>
      <c r="B361" s="136"/>
      <c r="C361" s="53">
        <f t="shared" si="64"/>
        <v>1</v>
      </c>
      <c r="D361" s="942"/>
      <c r="E361" s="53">
        <f t="shared" si="65"/>
        <v>1</v>
      </c>
      <c r="F361" s="942"/>
      <c r="G361" s="53">
        <f t="shared" si="66"/>
        <v>1</v>
      </c>
      <c r="H361" s="942"/>
      <c r="I361" s="53">
        <f t="shared" si="67"/>
        <v>1</v>
      </c>
      <c r="J361" s="942"/>
      <c r="K361" s="53">
        <f t="shared" si="68"/>
        <v>1</v>
      </c>
      <c r="L361" s="942"/>
      <c r="M361" s="53">
        <f t="shared" si="69"/>
        <v>1</v>
      </c>
      <c r="N361" s="942"/>
      <c r="O361" s="53">
        <f t="shared" si="70"/>
        <v>1</v>
      </c>
      <c r="P361" s="942"/>
      <c r="Q361" s="53">
        <f t="shared" si="71"/>
        <v>1</v>
      </c>
      <c r="R361" s="476">
        <f t="shared" si="72"/>
        <v>0</v>
      </c>
      <c r="S361" s="781">
        <f t="shared" si="63"/>
        <v>0</v>
      </c>
    </row>
    <row r="362" spans="1:19">
      <c r="A362" s="944"/>
      <c r="B362" s="136"/>
      <c r="C362" s="53">
        <f t="shared" si="64"/>
        <v>1</v>
      </c>
      <c r="D362" s="942"/>
      <c r="E362" s="53">
        <f t="shared" si="65"/>
        <v>1</v>
      </c>
      <c r="F362" s="942"/>
      <c r="G362" s="53">
        <f t="shared" si="66"/>
        <v>1</v>
      </c>
      <c r="H362" s="942"/>
      <c r="I362" s="53">
        <f t="shared" si="67"/>
        <v>1</v>
      </c>
      <c r="J362" s="942"/>
      <c r="K362" s="53">
        <f t="shared" si="68"/>
        <v>1</v>
      </c>
      <c r="L362" s="942"/>
      <c r="M362" s="53">
        <f t="shared" si="69"/>
        <v>1</v>
      </c>
      <c r="N362" s="942"/>
      <c r="O362" s="53">
        <f t="shared" si="70"/>
        <v>1</v>
      </c>
      <c r="P362" s="942"/>
      <c r="Q362" s="53">
        <f t="shared" si="71"/>
        <v>1</v>
      </c>
      <c r="R362" s="476">
        <f t="shared" si="72"/>
        <v>0</v>
      </c>
      <c r="S362" s="781">
        <f t="shared" si="63"/>
        <v>0</v>
      </c>
    </row>
    <row r="363" spans="1:19">
      <c r="A363" s="944"/>
      <c r="B363" s="136"/>
      <c r="C363" s="53">
        <f t="shared" si="64"/>
        <v>1</v>
      </c>
      <c r="D363" s="942"/>
      <c r="E363" s="53">
        <f t="shared" si="65"/>
        <v>1</v>
      </c>
      <c r="F363" s="942"/>
      <c r="G363" s="53">
        <f t="shared" si="66"/>
        <v>1</v>
      </c>
      <c r="H363" s="942"/>
      <c r="I363" s="53">
        <f t="shared" si="67"/>
        <v>1</v>
      </c>
      <c r="J363" s="942"/>
      <c r="K363" s="53">
        <f t="shared" si="68"/>
        <v>1</v>
      </c>
      <c r="L363" s="942"/>
      <c r="M363" s="53">
        <f t="shared" si="69"/>
        <v>1</v>
      </c>
      <c r="N363" s="942"/>
      <c r="O363" s="53">
        <f t="shared" si="70"/>
        <v>1</v>
      </c>
      <c r="P363" s="942"/>
      <c r="Q363" s="53">
        <f t="shared" si="71"/>
        <v>1</v>
      </c>
      <c r="R363" s="476">
        <f t="shared" si="72"/>
        <v>0</v>
      </c>
      <c r="S363" s="781">
        <f t="shared" si="63"/>
        <v>0</v>
      </c>
    </row>
    <row r="364" spans="1:19">
      <c r="A364" s="944"/>
      <c r="B364" s="136"/>
      <c r="C364" s="53">
        <f t="shared" si="64"/>
        <v>1</v>
      </c>
      <c r="D364" s="942"/>
      <c r="E364" s="53">
        <f t="shared" si="65"/>
        <v>1</v>
      </c>
      <c r="F364" s="942"/>
      <c r="G364" s="53">
        <f t="shared" si="66"/>
        <v>1</v>
      </c>
      <c r="H364" s="942"/>
      <c r="I364" s="53">
        <f t="shared" si="67"/>
        <v>1</v>
      </c>
      <c r="J364" s="942"/>
      <c r="K364" s="53">
        <f t="shared" si="68"/>
        <v>1</v>
      </c>
      <c r="L364" s="942"/>
      <c r="M364" s="53">
        <f t="shared" si="69"/>
        <v>1</v>
      </c>
      <c r="N364" s="942"/>
      <c r="O364" s="53">
        <f t="shared" si="70"/>
        <v>1</v>
      </c>
      <c r="P364" s="942"/>
      <c r="Q364" s="53">
        <f t="shared" si="71"/>
        <v>1</v>
      </c>
      <c r="R364" s="476">
        <f t="shared" si="72"/>
        <v>0</v>
      </c>
      <c r="S364" s="781">
        <f t="shared" si="63"/>
        <v>0</v>
      </c>
    </row>
    <row r="365" spans="1:19">
      <c r="A365" s="944"/>
      <c r="B365" s="136"/>
      <c r="C365" s="53">
        <f t="shared" si="64"/>
        <v>1</v>
      </c>
      <c r="D365" s="942"/>
      <c r="E365" s="53">
        <f t="shared" si="65"/>
        <v>1</v>
      </c>
      <c r="F365" s="942"/>
      <c r="G365" s="53">
        <f t="shared" si="66"/>
        <v>1</v>
      </c>
      <c r="H365" s="942"/>
      <c r="I365" s="53">
        <f t="shared" si="67"/>
        <v>1</v>
      </c>
      <c r="J365" s="942"/>
      <c r="K365" s="53">
        <f t="shared" si="68"/>
        <v>1</v>
      </c>
      <c r="L365" s="942"/>
      <c r="M365" s="53">
        <f t="shared" si="69"/>
        <v>1</v>
      </c>
      <c r="N365" s="942"/>
      <c r="O365" s="53">
        <f t="shared" si="70"/>
        <v>1</v>
      </c>
      <c r="P365" s="942"/>
      <c r="Q365" s="53">
        <f t="shared" si="71"/>
        <v>1</v>
      </c>
      <c r="R365" s="476">
        <f t="shared" si="72"/>
        <v>0</v>
      </c>
      <c r="S365" s="781">
        <f t="shared" si="63"/>
        <v>0</v>
      </c>
    </row>
    <row r="366" spans="1:19">
      <c r="A366" s="944"/>
      <c r="B366" s="136"/>
      <c r="C366" s="53">
        <f t="shared" si="64"/>
        <v>1</v>
      </c>
      <c r="D366" s="942"/>
      <c r="E366" s="53">
        <f t="shared" si="65"/>
        <v>1</v>
      </c>
      <c r="F366" s="942"/>
      <c r="G366" s="53">
        <f t="shared" si="66"/>
        <v>1</v>
      </c>
      <c r="H366" s="942"/>
      <c r="I366" s="53">
        <f t="shared" si="67"/>
        <v>1</v>
      </c>
      <c r="J366" s="942"/>
      <c r="K366" s="53">
        <f t="shared" si="68"/>
        <v>1</v>
      </c>
      <c r="L366" s="942"/>
      <c r="M366" s="53">
        <f t="shared" si="69"/>
        <v>1</v>
      </c>
      <c r="N366" s="942"/>
      <c r="O366" s="53">
        <f t="shared" si="70"/>
        <v>1</v>
      </c>
      <c r="P366" s="942"/>
      <c r="Q366" s="53">
        <f t="shared" si="71"/>
        <v>1</v>
      </c>
      <c r="R366" s="476">
        <f t="shared" si="72"/>
        <v>0</v>
      </c>
      <c r="S366" s="781">
        <f t="shared" si="63"/>
        <v>0</v>
      </c>
    </row>
    <row r="367" spans="1:19">
      <c r="A367" s="944"/>
      <c r="B367" s="136"/>
      <c r="C367" s="53">
        <f t="shared" si="64"/>
        <v>1</v>
      </c>
      <c r="D367" s="942"/>
      <c r="E367" s="53">
        <f t="shared" si="65"/>
        <v>1</v>
      </c>
      <c r="F367" s="942"/>
      <c r="G367" s="53">
        <f t="shared" si="66"/>
        <v>1</v>
      </c>
      <c r="H367" s="942"/>
      <c r="I367" s="53">
        <f t="shared" si="67"/>
        <v>1</v>
      </c>
      <c r="J367" s="942"/>
      <c r="K367" s="53">
        <f t="shared" si="68"/>
        <v>1</v>
      </c>
      <c r="L367" s="942"/>
      <c r="M367" s="53">
        <f t="shared" si="69"/>
        <v>1</v>
      </c>
      <c r="N367" s="942"/>
      <c r="O367" s="53">
        <f t="shared" si="70"/>
        <v>1</v>
      </c>
      <c r="P367" s="942"/>
      <c r="Q367" s="53">
        <f t="shared" si="71"/>
        <v>1</v>
      </c>
      <c r="R367" s="476">
        <f t="shared" si="72"/>
        <v>0</v>
      </c>
      <c r="S367" s="781">
        <f t="shared" si="63"/>
        <v>0</v>
      </c>
    </row>
    <row r="368" spans="1:19">
      <c r="A368" s="944"/>
      <c r="B368" s="136"/>
      <c r="C368" s="53">
        <f t="shared" si="64"/>
        <v>1</v>
      </c>
      <c r="D368" s="942"/>
      <c r="E368" s="53">
        <f t="shared" si="65"/>
        <v>1</v>
      </c>
      <c r="F368" s="942"/>
      <c r="G368" s="53">
        <f t="shared" si="66"/>
        <v>1</v>
      </c>
      <c r="H368" s="942"/>
      <c r="I368" s="53">
        <f t="shared" si="67"/>
        <v>1</v>
      </c>
      <c r="J368" s="942"/>
      <c r="K368" s="53">
        <f t="shared" si="68"/>
        <v>1</v>
      </c>
      <c r="L368" s="942"/>
      <c r="M368" s="53">
        <f t="shared" si="69"/>
        <v>1</v>
      </c>
      <c r="N368" s="942"/>
      <c r="O368" s="53">
        <f t="shared" si="70"/>
        <v>1</v>
      </c>
      <c r="P368" s="942"/>
      <c r="Q368" s="53">
        <f t="shared" si="71"/>
        <v>1</v>
      </c>
      <c r="R368" s="476">
        <f t="shared" si="72"/>
        <v>0</v>
      </c>
      <c r="S368" s="781">
        <f t="shared" si="63"/>
        <v>0</v>
      </c>
    </row>
    <row r="369" spans="1:19">
      <c r="A369" s="944"/>
      <c r="B369" s="136"/>
      <c r="C369" s="53">
        <f t="shared" si="64"/>
        <v>1</v>
      </c>
      <c r="D369" s="942"/>
      <c r="E369" s="53">
        <f t="shared" si="65"/>
        <v>1</v>
      </c>
      <c r="F369" s="942"/>
      <c r="G369" s="53">
        <f t="shared" si="66"/>
        <v>1</v>
      </c>
      <c r="H369" s="942"/>
      <c r="I369" s="53">
        <f t="shared" si="67"/>
        <v>1</v>
      </c>
      <c r="J369" s="942"/>
      <c r="K369" s="53">
        <f t="shared" si="68"/>
        <v>1</v>
      </c>
      <c r="L369" s="942"/>
      <c r="M369" s="53">
        <f t="shared" si="69"/>
        <v>1</v>
      </c>
      <c r="N369" s="942"/>
      <c r="O369" s="53">
        <f t="shared" si="70"/>
        <v>1</v>
      </c>
      <c r="P369" s="942"/>
      <c r="Q369" s="53">
        <f t="shared" si="71"/>
        <v>1</v>
      </c>
      <c r="R369" s="476">
        <f t="shared" si="72"/>
        <v>0</v>
      </c>
      <c r="S369" s="781">
        <f t="shared" si="63"/>
        <v>0</v>
      </c>
    </row>
    <row r="370" spans="1:19">
      <c r="A370" s="944"/>
      <c r="B370" s="136"/>
      <c r="C370" s="53">
        <f t="shared" si="64"/>
        <v>1</v>
      </c>
      <c r="D370" s="942"/>
      <c r="E370" s="53">
        <f t="shared" si="65"/>
        <v>1</v>
      </c>
      <c r="F370" s="942"/>
      <c r="G370" s="53">
        <f t="shared" si="66"/>
        <v>1</v>
      </c>
      <c r="H370" s="942"/>
      <c r="I370" s="53">
        <f t="shared" si="67"/>
        <v>1</v>
      </c>
      <c r="J370" s="942"/>
      <c r="K370" s="53">
        <f t="shared" si="68"/>
        <v>1</v>
      </c>
      <c r="L370" s="942"/>
      <c r="M370" s="53">
        <f t="shared" si="69"/>
        <v>1</v>
      </c>
      <c r="N370" s="942"/>
      <c r="O370" s="53">
        <f t="shared" si="70"/>
        <v>1</v>
      </c>
      <c r="P370" s="942"/>
      <c r="Q370" s="53">
        <f t="shared" si="71"/>
        <v>1</v>
      </c>
      <c r="R370" s="476">
        <f t="shared" si="72"/>
        <v>0</v>
      </c>
      <c r="S370" s="781">
        <f t="shared" si="63"/>
        <v>0</v>
      </c>
    </row>
    <row r="371" spans="1:19">
      <c r="A371" s="944"/>
      <c r="B371" s="136"/>
      <c r="C371" s="53">
        <f t="shared" si="64"/>
        <v>1</v>
      </c>
      <c r="D371" s="942"/>
      <c r="E371" s="53">
        <f t="shared" si="65"/>
        <v>1</v>
      </c>
      <c r="F371" s="942"/>
      <c r="G371" s="53">
        <f t="shared" si="66"/>
        <v>1</v>
      </c>
      <c r="H371" s="942"/>
      <c r="I371" s="53">
        <f t="shared" si="67"/>
        <v>1</v>
      </c>
      <c r="J371" s="942"/>
      <c r="K371" s="53">
        <f t="shared" si="68"/>
        <v>1</v>
      </c>
      <c r="L371" s="942"/>
      <c r="M371" s="53">
        <f t="shared" si="69"/>
        <v>1</v>
      </c>
      <c r="N371" s="942"/>
      <c r="O371" s="53">
        <f t="shared" si="70"/>
        <v>1</v>
      </c>
      <c r="P371" s="942"/>
      <c r="Q371" s="53">
        <f t="shared" si="71"/>
        <v>1</v>
      </c>
      <c r="R371" s="476">
        <f t="shared" si="72"/>
        <v>0</v>
      </c>
      <c r="S371" s="781">
        <f t="shared" si="63"/>
        <v>0</v>
      </c>
    </row>
    <row r="372" spans="1:19">
      <c r="A372" s="944"/>
      <c r="B372" s="136"/>
      <c r="C372" s="53">
        <f t="shared" si="64"/>
        <v>1</v>
      </c>
      <c r="D372" s="942"/>
      <c r="E372" s="53">
        <f t="shared" si="65"/>
        <v>1</v>
      </c>
      <c r="F372" s="942"/>
      <c r="G372" s="53">
        <f t="shared" si="66"/>
        <v>1</v>
      </c>
      <c r="H372" s="942"/>
      <c r="I372" s="53">
        <f t="shared" si="67"/>
        <v>1</v>
      </c>
      <c r="J372" s="942"/>
      <c r="K372" s="53">
        <f t="shared" si="68"/>
        <v>1</v>
      </c>
      <c r="L372" s="942"/>
      <c r="M372" s="53">
        <f t="shared" si="69"/>
        <v>1</v>
      </c>
      <c r="N372" s="942"/>
      <c r="O372" s="53">
        <f t="shared" si="70"/>
        <v>1</v>
      </c>
      <c r="P372" s="942"/>
      <c r="Q372" s="53">
        <f t="shared" si="71"/>
        <v>1</v>
      </c>
      <c r="R372" s="476">
        <f t="shared" si="72"/>
        <v>0</v>
      </c>
      <c r="S372" s="781">
        <f t="shared" si="63"/>
        <v>0</v>
      </c>
    </row>
    <row r="373" spans="1:19">
      <c r="A373" s="944"/>
      <c r="B373" s="136"/>
      <c r="C373" s="53">
        <f t="shared" si="64"/>
        <v>1</v>
      </c>
      <c r="D373" s="942"/>
      <c r="E373" s="53">
        <f t="shared" si="65"/>
        <v>1</v>
      </c>
      <c r="F373" s="942"/>
      <c r="G373" s="53">
        <f t="shared" si="66"/>
        <v>1</v>
      </c>
      <c r="H373" s="942"/>
      <c r="I373" s="53">
        <f t="shared" si="67"/>
        <v>1</v>
      </c>
      <c r="J373" s="942"/>
      <c r="K373" s="53">
        <f t="shared" si="68"/>
        <v>1</v>
      </c>
      <c r="L373" s="942"/>
      <c r="M373" s="53">
        <f t="shared" si="69"/>
        <v>1</v>
      </c>
      <c r="N373" s="942"/>
      <c r="O373" s="53">
        <f t="shared" si="70"/>
        <v>1</v>
      </c>
      <c r="P373" s="942"/>
      <c r="Q373" s="53">
        <f t="shared" si="71"/>
        <v>1</v>
      </c>
      <c r="R373" s="476">
        <f t="shared" si="72"/>
        <v>0</v>
      </c>
      <c r="S373" s="781">
        <f t="shared" si="63"/>
        <v>0</v>
      </c>
    </row>
    <row r="374" spans="1:19">
      <c r="A374" s="944"/>
      <c r="B374" s="136"/>
      <c r="C374" s="53">
        <f t="shared" si="64"/>
        <v>1</v>
      </c>
      <c r="D374" s="942"/>
      <c r="E374" s="53">
        <f t="shared" si="65"/>
        <v>1</v>
      </c>
      <c r="F374" s="942"/>
      <c r="G374" s="53">
        <f t="shared" si="66"/>
        <v>1</v>
      </c>
      <c r="H374" s="942"/>
      <c r="I374" s="53">
        <f t="shared" si="67"/>
        <v>1</v>
      </c>
      <c r="J374" s="942"/>
      <c r="K374" s="53">
        <f t="shared" si="68"/>
        <v>1</v>
      </c>
      <c r="L374" s="942"/>
      <c r="M374" s="53">
        <f t="shared" si="69"/>
        <v>1</v>
      </c>
      <c r="N374" s="942"/>
      <c r="O374" s="53">
        <f t="shared" si="70"/>
        <v>1</v>
      </c>
      <c r="P374" s="942"/>
      <c r="Q374" s="53">
        <f t="shared" si="71"/>
        <v>1</v>
      </c>
      <c r="R374" s="476">
        <f t="shared" si="72"/>
        <v>0</v>
      </c>
      <c r="S374" s="781">
        <f t="shared" si="63"/>
        <v>0</v>
      </c>
    </row>
    <row r="375" spans="1:19">
      <c r="A375" s="944"/>
      <c r="B375" s="136"/>
      <c r="C375" s="53">
        <f t="shared" si="64"/>
        <v>1</v>
      </c>
      <c r="D375" s="942"/>
      <c r="E375" s="53">
        <f t="shared" si="65"/>
        <v>1</v>
      </c>
      <c r="F375" s="942"/>
      <c r="G375" s="53">
        <f t="shared" si="66"/>
        <v>1</v>
      </c>
      <c r="H375" s="942"/>
      <c r="I375" s="53">
        <f t="shared" si="67"/>
        <v>1</v>
      </c>
      <c r="J375" s="942"/>
      <c r="K375" s="53">
        <f t="shared" si="68"/>
        <v>1</v>
      </c>
      <c r="L375" s="942"/>
      <c r="M375" s="53">
        <f t="shared" si="69"/>
        <v>1</v>
      </c>
      <c r="N375" s="942"/>
      <c r="O375" s="53">
        <f t="shared" si="70"/>
        <v>1</v>
      </c>
      <c r="P375" s="942"/>
      <c r="Q375" s="53">
        <f t="shared" si="71"/>
        <v>1</v>
      </c>
      <c r="R375" s="476">
        <f t="shared" si="72"/>
        <v>0</v>
      </c>
      <c r="S375" s="781">
        <f t="shared" si="63"/>
        <v>0</v>
      </c>
    </row>
    <row r="376" spans="1:19">
      <c r="A376" s="944"/>
      <c r="B376" s="136"/>
      <c r="C376" s="53">
        <f t="shared" si="64"/>
        <v>1</v>
      </c>
      <c r="D376" s="942"/>
      <c r="E376" s="53">
        <f t="shared" si="65"/>
        <v>1</v>
      </c>
      <c r="F376" s="942"/>
      <c r="G376" s="53">
        <f t="shared" si="66"/>
        <v>1</v>
      </c>
      <c r="H376" s="942"/>
      <c r="I376" s="53">
        <f t="shared" si="67"/>
        <v>1</v>
      </c>
      <c r="J376" s="942"/>
      <c r="K376" s="53">
        <f t="shared" si="68"/>
        <v>1</v>
      </c>
      <c r="L376" s="942"/>
      <c r="M376" s="53">
        <f t="shared" si="69"/>
        <v>1</v>
      </c>
      <c r="N376" s="942"/>
      <c r="O376" s="53">
        <f t="shared" si="70"/>
        <v>1</v>
      </c>
      <c r="P376" s="942"/>
      <c r="Q376" s="53">
        <f t="shared" si="71"/>
        <v>1</v>
      </c>
      <c r="R376" s="476">
        <f t="shared" si="72"/>
        <v>0</v>
      </c>
      <c r="S376" s="781">
        <f t="shared" si="63"/>
        <v>0</v>
      </c>
    </row>
    <row r="377" spans="1:19">
      <c r="A377" s="944"/>
      <c r="B377" s="136"/>
      <c r="C377" s="53">
        <f t="shared" si="64"/>
        <v>1</v>
      </c>
      <c r="D377" s="942"/>
      <c r="E377" s="53">
        <f t="shared" si="65"/>
        <v>1</v>
      </c>
      <c r="F377" s="942"/>
      <c r="G377" s="53">
        <f t="shared" si="66"/>
        <v>1</v>
      </c>
      <c r="H377" s="942"/>
      <c r="I377" s="53">
        <f t="shared" si="67"/>
        <v>1</v>
      </c>
      <c r="J377" s="942"/>
      <c r="K377" s="53">
        <f t="shared" si="68"/>
        <v>1</v>
      </c>
      <c r="L377" s="942"/>
      <c r="M377" s="53">
        <f t="shared" si="69"/>
        <v>1</v>
      </c>
      <c r="N377" s="942"/>
      <c r="O377" s="53">
        <f t="shared" si="70"/>
        <v>1</v>
      </c>
      <c r="P377" s="942"/>
      <c r="Q377" s="53">
        <f t="shared" si="71"/>
        <v>1</v>
      </c>
      <c r="R377" s="476">
        <f t="shared" si="72"/>
        <v>0</v>
      </c>
      <c r="S377" s="781">
        <f t="shared" si="63"/>
        <v>0</v>
      </c>
    </row>
    <row r="378" spans="1:19">
      <c r="A378" s="944"/>
      <c r="B378" s="136"/>
      <c r="C378" s="53">
        <f t="shared" si="64"/>
        <v>1</v>
      </c>
      <c r="D378" s="942"/>
      <c r="E378" s="53">
        <f t="shared" si="65"/>
        <v>1</v>
      </c>
      <c r="F378" s="942"/>
      <c r="G378" s="53">
        <f t="shared" si="66"/>
        <v>1</v>
      </c>
      <c r="H378" s="942"/>
      <c r="I378" s="53">
        <f t="shared" si="67"/>
        <v>1</v>
      </c>
      <c r="J378" s="942"/>
      <c r="K378" s="53">
        <f t="shared" si="68"/>
        <v>1</v>
      </c>
      <c r="L378" s="942"/>
      <c r="M378" s="53">
        <f t="shared" si="69"/>
        <v>1</v>
      </c>
      <c r="N378" s="942"/>
      <c r="O378" s="53">
        <f t="shared" si="70"/>
        <v>1</v>
      </c>
      <c r="P378" s="942"/>
      <c r="Q378" s="53">
        <f t="shared" si="71"/>
        <v>1</v>
      </c>
      <c r="R378" s="476">
        <f t="shared" si="72"/>
        <v>0</v>
      </c>
      <c r="S378" s="781">
        <f t="shared" si="63"/>
        <v>0</v>
      </c>
    </row>
    <row r="379" spans="1:19">
      <c r="A379" s="944"/>
      <c r="B379" s="136"/>
      <c r="C379" s="53">
        <f t="shared" si="64"/>
        <v>1</v>
      </c>
      <c r="D379" s="942"/>
      <c r="E379" s="53">
        <f t="shared" si="65"/>
        <v>1</v>
      </c>
      <c r="F379" s="942"/>
      <c r="G379" s="53">
        <f t="shared" si="66"/>
        <v>1</v>
      </c>
      <c r="H379" s="942"/>
      <c r="I379" s="53">
        <f t="shared" si="67"/>
        <v>1</v>
      </c>
      <c r="J379" s="942"/>
      <c r="K379" s="53">
        <f t="shared" si="68"/>
        <v>1</v>
      </c>
      <c r="L379" s="942"/>
      <c r="M379" s="53">
        <f t="shared" si="69"/>
        <v>1</v>
      </c>
      <c r="N379" s="942"/>
      <c r="O379" s="53">
        <f t="shared" si="70"/>
        <v>1</v>
      </c>
      <c r="P379" s="942"/>
      <c r="Q379" s="53">
        <f t="shared" si="71"/>
        <v>1</v>
      </c>
      <c r="R379" s="476">
        <f t="shared" si="72"/>
        <v>0</v>
      </c>
      <c r="S379" s="781">
        <f t="shared" si="63"/>
        <v>0</v>
      </c>
    </row>
    <row r="380" spans="1:19">
      <c r="A380" s="944"/>
      <c r="B380" s="136"/>
      <c r="C380" s="53">
        <f t="shared" si="64"/>
        <v>1</v>
      </c>
      <c r="D380" s="942"/>
      <c r="E380" s="53">
        <f t="shared" si="65"/>
        <v>1</v>
      </c>
      <c r="F380" s="942"/>
      <c r="G380" s="53">
        <f t="shared" si="66"/>
        <v>1</v>
      </c>
      <c r="H380" s="942"/>
      <c r="I380" s="53">
        <f t="shared" si="67"/>
        <v>1</v>
      </c>
      <c r="J380" s="942"/>
      <c r="K380" s="53">
        <f t="shared" si="68"/>
        <v>1</v>
      </c>
      <c r="L380" s="942"/>
      <c r="M380" s="53">
        <f t="shared" si="69"/>
        <v>1</v>
      </c>
      <c r="N380" s="942"/>
      <c r="O380" s="53">
        <f t="shared" si="70"/>
        <v>1</v>
      </c>
      <c r="P380" s="942"/>
      <c r="Q380" s="53">
        <f t="shared" si="71"/>
        <v>1</v>
      </c>
      <c r="R380" s="476">
        <f t="shared" si="72"/>
        <v>0</v>
      </c>
      <c r="S380" s="781">
        <f t="shared" si="63"/>
        <v>0</v>
      </c>
    </row>
    <row r="381" spans="1:19">
      <c r="A381" s="944"/>
      <c r="B381" s="136"/>
      <c r="C381" s="53">
        <f t="shared" si="64"/>
        <v>1</v>
      </c>
      <c r="D381" s="942"/>
      <c r="E381" s="53">
        <f t="shared" si="65"/>
        <v>1</v>
      </c>
      <c r="F381" s="942"/>
      <c r="G381" s="53">
        <f t="shared" si="66"/>
        <v>1</v>
      </c>
      <c r="H381" s="942"/>
      <c r="I381" s="53">
        <f t="shared" si="67"/>
        <v>1</v>
      </c>
      <c r="J381" s="942"/>
      <c r="K381" s="53">
        <f t="shared" si="68"/>
        <v>1</v>
      </c>
      <c r="L381" s="942"/>
      <c r="M381" s="53">
        <f t="shared" si="69"/>
        <v>1</v>
      </c>
      <c r="N381" s="942"/>
      <c r="O381" s="53">
        <f t="shared" si="70"/>
        <v>1</v>
      </c>
      <c r="P381" s="942"/>
      <c r="Q381" s="53">
        <f t="shared" si="71"/>
        <v>1</v>
      </c>
      <c r="R381" s="476">
        <f t="shared" si="72"/>
        <v>0</v>
      </c>
      <c r="S381" s="781">
        <f t="shared" si="63"/>
        <v>0</v>
      </c>
    </row>
    <row r="382" spans="1:19">
      <c r="A382" s="944"/>
      <c r="B382" s="136"/>
      <c r="C382" s="53">
        <f t="shared" si="64"/>
        <v>1</v>
      </c>
      <c r="D382" s="942"/>
      <c r="E382" s="53">
        <f t="shared" si="65"/>
        <v>1</v>
      </c>
      <c r="F382" s="942"/>
      <c r="G382" s="53">
        <f t="shared" si="66"/>
        <v>1</v>
      </c>
      <c r="H382" s="942"/>
      <c r="I382" s="53">
        <f t="shared" si="67"/>
        <v>1</v>
      </c>
      <c r="J382" s="942"/>
      <c r="K382" s="53">
        <f t="shared" si="68"/>
        <v>1</v>
      </c>
      <c r="L382" s="942"/>
      <c r="M382" s="53">
        <f t="shared" si="69"/>
        <v>1</v>
      </c>
      <c r="N382" s="942"/>
      <c r="O382" s="53">
        <f t="shared" si="70"/>
        <v>1</v>
      </c>
      <c r="P382" s="942"/>
      <c r="Q382" s="53">
        <f t="shared" si="71"/>
        <v>1</v>
      </c>
      <c r="R382" s="476">
        <f t="shared" si="72"/>
        <v>0</v>
      </c>
      <c r="S382" s="781">
        <f t="shared" si="63"/>
        <v>0</v>
      </c>
    </row>
    <row r="383" spans="1:19">
      <c r="A383" s="944"/>
      <c r="B383" s="136"/>
      <c r="C383" s="53">
        <f t="shared" si="64"/>
        <v>1</v>
      </c>
      <c r="D383" s="942"/>
      <c r="E383" s="53">
        <f t="shared" si="65"/>
        <v>1</v>
      </c>
      <c r="F383" s="942"/>
      <c r="G383" s="53">
        <f t="shared" si="66"/>
        <v>1</v>
      </c>
      <c r="H383" s="942"/>
      <c r="I383" s="53">
        <f t="shared" si="67"/>
        <v>1</v>
      </c>
      <c r="J383" s="942"/>
      <c r="K383" s="53">
        <f t="shared" si="68"/>
        <v>1</v>
      </c>
      <c r="L383" s="942"/>
      <c r="M383" s="53">
        <f t="shared" si="69"/>
        <v>1</v>
      </c>
      <c r="N383" s="942"/>
      <c r="O383" s="53">
        <f t="shared" si="70"/>
        <v>1</v>
      </c>
      <c r="P383" s="942"/>
      <c r="Q383" s="53">
        <f t="shared" si="71"/>
        <v>1</v>
      </c>
      <c r="R383" s="476">
        <f t="shared" si="72"/>
        <v>0</v>
      </c>
      <c r="S383" s="781">
        <f t="shared" si="63"/>
        <v>0</v>
      </c>
    </row>
    <row r="384" spans="1:19">
      <c r="A384" s="944"/>
      <c r="B384" s="136"/>
      <c r="C384" s="53">
        <f t="shared" si="64"/>
        <v>1</v>
      </c>
      <c r="D384" s="942"/>
      <c r="E384" s="53">
        <f t="shared" si="65"/>
        <v>1</v>
      </c>
      <c r="F384" s="942"/>
      <c r="G384" s="53">
        <f t="shared" si="66"/>
        <v>1</v>
      </c>
      <c r="H384" s="942"/>
      <c r="I384" s="53">
        <f t="shared" si="67"/>
        <v>1</v>
      </c>
      <c r="J384" s="942"/>
      <c r="K384" s="53">
        <f t="shared" si="68"/>
        <v>1</v>
      </c>
      <c r="L384" s="942"/>
      <c r="M384" s="53">
        <f t="shared" si="69"/>
        <v>1</v>
      </c>
      <c r="N384" s="942"/>
      <c r="O384" s="53">
        <f t="shared" si="70"/>
        <v>1</v>
      </c>
      <c r="P384" s="942"/>
      <c r="Q384" s="53">
        <f t="shared" si="71"/>
        <v>1</v>
      </c>
      <c r="R384" s="476">
        <f t="shared" si="72"/>
        <v>0</v>
      </c>
      <c r="S384" s="781">
        <f t="shared" si="63"/>
        <v>0</v>
      </c>
    </row>
    <row r="385" spans="1:19">
      <c r="A385" s="944"/>
      <c r="B385" s="136"/>
      <c r="C385" s="53">
        <f t="shared" si="64"/>
        <v>1</v>
      </c>
      <c r="D385" s="942"/>
      <c r="E385" s="53">
        <f t="shared" si="65"/>
        <v>1</v>
      </c>
      <c r="F385" s="942"/>
      <c r="G385" s="53">
        <f t="shared" si="66"/>
        <v>1</v>
      </c>
      <c r="H385" s="942"/>
      <c r="I385" s="53">
        <f t="shared" si="67"/>
        <v>1</v>
      </c>
      <c r="J385" s="942"/>
      <c r="K385" s="53">
        <f t="shared" si="68"/>
        <v>1</v>
      </c>
      <c r="L385" s="942"/>
      <c r="M385" s="53">
        <f t="shared" si="69"/>
        <v>1</v>
      </c>
      <c r="N385" s="942"/>
      <c r="O385" s="53">
        <f t="shared" si="70"/>
        <v>1</v>
      </c>
      <c r="P385" s="942"/>
      <c r="Q385" s="53">
        <f t="shared" si="71"/>
        <v>1</v>
      </c>
      <c r="R385" s="476">
        <f t="shared" si="72"/>
        <v>0</v>
      </c>
      <c r="S385" s="781">
        <f t="shared" ref="S385:S422" si="73">ROUND(R385*B385/10000,0)</f>
        <v>0</v>
      </c>
    </row>
    <row r="386" spans="1:19">
      <c r="A386" s="944"/>
      <c r="B386" s="136"/>
      <c r="C386" s="53">
        <f t="shared" si="64"/>
        <v>1</v>
      </c>
      <c r="D386" s="942"/>
      <c r="E386" s="53">
        <f t="shared" si="65"/>
        <v>1</v>
      </c>
      <c r="F386" s="942"/>
      <c r="G386" s="53">
        <f t="shared" si="66"/>
        <v>1</v>
      </c>
      <c r="H386" s="942"/>
      <c r="I386" s="53">
        <f t="shared" si="67"/>
        <v>1</v>
      </c>
      <c r="J386" s="942"/>
      <c r="K386" s="53">
        <f t="shared" si="68"/>
        <v>1</v>
      </c>
      <c r="L386" s="942"/>
      <c r="M386" s="53">
        <f t="shared" si="69"/>
        <v>1</v>
      </c>
      <c r="N386" s="942"/>
      <c r="O386" s="53">
        <f t="shared" si="70"/>
        <v>1</v>
      </c>
      <c r="P386" s="942"/>
      <c r="Q386" s="53">
        <f t="shared" si="71"/>
        <v>1</v>
      </c>
      <c r="R386" s="476">
        <f t="shared" si="72"/>
        <v>0</v>
      </c>
      <c r="S386" s="781">
        <f t="shared" si="73"/>
        <v>0</v>
      </c>
    </row>
    <row r="387" spans="1:19">
      <c r="A387" s="944"/>
      <c r="B387" s="136"/>
      <c r="C387" s="53">
        <f t="shared" si="64"/>
        <v>1</v>
      </c>
      <c r="D387" s="942"/>
      <c r="E387" s="53">
        <f t="shared" si="65"/>
        <v>1</v>
      </c>
      <c r="F387" s="942"/>
      <c r="G387" s="53">
        <f t="shared" si="66"/>
        <v>1</v>
      </c>
      <c r="H387" s="942"/>
      <c r="I387" s="53">
        <f t="shared" si="67"/>
        <v>1</v>
      </c>
      <c r="J387" s="942"/>
      <c r="K387" s="53">
        <f t="shared" si="68"/>
        <v>1</v>
      </c>
      <c r="L387" s="942"/>
      <c r="M387" s="53">
        <f t="shared" si="69"/>
        <v>1</v>
      </c>
      <c r="N387" s="942"/>
      <c r="O387" s="53">
        <f t="shared" si="70"/>
        <v>1</v>
      </c>
      <c r="P387" s="942"/>
      <c r="Q387" s="53">
        <f t="shared" si="71"/>
        <v>1</v>
      </c>
      <c r="R387" s="476">
        <f t="shared" si="72"/>
        <v>0</v>
      </c>
      <c r="S387" s="781">
        <f t="shared" si="73"/>
        <v>0</v>
      </c>
    </row>
    <row r="388" spans="1:19">
      <c r="A388" s="944"/>
      <c r="B388" s="136"/>
      <c r="C388" s="53">
        <f t="shared" si="64"/>
        <v>1</v>
      </c>
      <c r="D388" s="942"/>
      <c r="E388" s="53">
        <f t="shared" si="65"/>
        <v>1</v>
      </c>
      <c r="F388" s="942"/>
      <c r="G388" s="53">
        <f t="shared" si="66"/>
        <v>1</v>
      </c>
      <c r="H388" s="942"/>
      <c r="I388" s="53">
        <f t="shared" si="67"/>
        <v>1</v>
      </c>
      <c r="J388" s="942"/>
      <c r="K388" s="53">
        <f t="shared" si="68"/>
        <v>1</v>
      </c>
      <c r="L388" s="942"/>
      <c r="M388" s="53">
        <f t="shared" si="69"/>
        <v>1</v>
      </c>
      <c r="N388" s="942"/>
      <c r="O388" s="53">
        <f t="shared" si="70"/>
        <v>1</v>
      </c>
      <c r="P388" s="942"/>
      <c r="Q388" s="53">
        <f t="shared" si="71"/>
        <v>1</v>
      </c>
      <c r="R388" s="476">
        <f t="shared" si="72"/>
        <v>0</v>
      </c>
      <c r="S388" s="781">
        <f t="shared" si="73"/>
        <v>0</v>
      </c>
    </row>
    <row r="389" spans="1:19">
      <c r="A389" s="944"/>
      <c r="B389" s="136"/>
      <c r="C389" s="53">
        <f t="shared" si="64"/>
        <v>1</v>
      </c>
      <c r="D389" s="942"/>
      <c r="E389" s="53">
        <f t="shared" si="65"/>
        <v>1</v>
      </c>
      <c r="F389" s="942"/>
      <c r="G389" s="53">
        <f t="shared" si="66"/>
        <v>1</v>
      </c>
      <c r="H389" s="942"/>
      <c r="I389" s="53">
        <f t="shared" si="67"/>
        <v>1</v>
      </c>
      <c r="J389" s="942"/>
      <c r="K389" s="53">
        <f t="shared" si="68"/>
        <v>1</v>
      </c>
      <c r="L389" s="942"/>
      <c r="M389" s="53">
        <f t="shared" si="69"/>
        <v>1</v>
      </c>
      <c r="N389" s="942"/>
      <c r="O389" s="53">
        <f t="shared" si="70"/>
        <v>1</v>
      </c>
      <c r="P389" s="942"/>
      <c r="Q389" s="53">
        <f t="shared" si="71"/>
        <v>1</v>
      </c>
      <c r="R389" s="476">
        <f t="shared" si="72"/>
        <v>0</v>
      </c>
      <c r="S389" s="781">
        <f t="shared" si="73"/>
        <v>0</v>
      </c>
    </row>
    <row r="390" spans="1:19">
      <c r="A390" s="944"/>
      <c r="B390" s="136"/>
      <c r="C390" s="53">
        <f t="shared" si="64"/>
        <v>1</v>
      </c>
      <c r="D390" s="942"/>
      <c r="E390" s="53">
        <f t="shared" si="65"/>
        <v>1</v>
      </c>
      <c r="F390" s="942"/>
      <c r="G390" s="53">
        <f t="shared" si="66"/>
        <v>1</v>
      </c>
      <c r="H390" s="942"/>
      <c r="I390" s="53">
        <f t="shared" si="67"/>
        <v>1</v>
      </c>
      <c r="J390" s="942"/>
      <c r="K390" s="53">
        <f t="shared" si="68"/>
        <v>1</v>
      </c>
      <c r="L390" s="942"/>
      <c r="M390" s="53">
        <f t="shared" si="69"/>
        <v>1</v>
      </c>
      <c r="N390" s="942"/>
      <c r="O390" s="53">
        <f t="shared" si="70"/>
        <v>1</v>
      </c>
      <c r="P390" s="942"/>
      <c r="Q390" s="53">
        <f t="shared" si="71"/>
        <v>1</v>
      </c>
      <c r="R390" s="476">
        <f t="shared" si="72"/>
        <v>0</v>
      </c>
      <c r="S390" s="781">
        <f t="shared" si="73"/>
        <v>0</v>
      </c>
    </row>
    <row r="391" spans="1:19">
      <c r="A391" s="944"/>
      <c r="B391" s="136"/>
      <c r="C391" s="53">
        <f t="shared" si="64"/>
        <v>1</v>
      </c>
      <c r="D391" s="942"/>
      <c r="E391" s="53">
        <f t="shared" si="65"/>
        <v>1</v>
      </c>
      <c r="F391" s="942"/>
      <c r="G391" s="53">
        <f t="shared" si="66"/>
        <v>1</v>
      </c>
      <c r="H391" s="942"/>
      <c r="I391" s="53">
        <f t="shared" si="67"/>
        <v>1</v>
      </c>
      <c r="J391" s="942"/>
      <c r="K391" s="53">
        <f t="shared" si="68"/>
        <v>1</v>
      </c>
      <c r="L391" s="942"/>
      <c r="M391" s="53">
        <f t="shared" si="69"/>
        <v>1</v>
      </c>
      <c r="N391" s="942"/>
      <c r="O391" s="53">
        <f t="shared" si="70"/>
        <v>1</v>
      </c>
      <c r="P391" s="942"/>
      <c r="Q391" s="53">
        <f t="shared" si="71"/>
        <v>1</v>
      </c>
      <c r="R391" s="476">
        <f t="shared" si="72"/>
        <v>0</v>
      </c>
      <c r="S391" s="781">
        <f t="shared" si="73"/>
        <v>0</v>
      </c>
    </row>
    <row r="392" spans="1:19">
      <c r="A392" s="944"/>
      <c r="B392" s="136"/>
      <c r="C392" s="53">
        <f t="shared" si="64"/>
        <v>1</v>
      </c>
      <c r="D392" s="942"/>
      <c r="E392" s="53">
        <f t="shared" si="65"/>
        <v>1</v>
      </c>
      <c r="F392" s="942"/>
      <c r="G392" s="53">
        <f t="shared" si="66"/>
        <v>1</v>
      </c>
      <c r="H392" s="942"/>
      <c r="I392" s="53">
        <f t="shared" si="67"/>
        <v>1</v>
      </c>
      <c r="J392" s="942"/>
      <c r="K392" s="53">
        <f t="shared" si="68"/>
        <v>1</v>
      </c>
      <c r="L392" s="942"/>
      <c r="M392" s="53">
        <f t="shared" si="69"/>
        <v>1</v>
      </c>
      <c r="N392" s="942"/>
      <c r="O392" s="53">
        <f t="shared" si="70"/>
        <v>1</v>
      </c>
      <c r="P392" s="942"/>
      <c r="Q392" s="53">
        <f t="shared" si="71"/>
        <v>1</v>
      </c>
      <c r="R392" s="476">
        <f t="shared" si="72"/>
        <v>0</v>
      </c>
      <c r="S392" s="781">
        <f t="shared" si="73"/>
        <v>0</v>
      </c>
    </row>
    <row r="393" spans="1:19">
      <c r="A393" s="944"/>
      <c r="B393" s="136"/>
      <c r="C393" s="53">
        <f t="shared" si="64"/>
        <v>1</v>
      </c>
      <c r="D393" s="942"/>
      <c r="E393" s="53">
        <f t="shared" si="65"/>
        <v>1</v>
      </c>
      <c r="F393" s="942"/>
      <c r="G393" s="53">
        <f t="shared" si="66"/>
        <v>1</v>
      </c>
      <c r="H393" s="942"/>
      <c r="I393" s="53">
        <f t="shared" si="67"/>
        <v>1</v>
      </c>
      <c r="J393" s="942"/>
      <c r="K393" s="53">
        <f t="shared" si="68"/>
        <v>1</v>
      </c>
      <c r="L393" s="942"/>
      <c r="M393" s="53">
        <f t="shared" si="69"/>
        <v>1</v>
      </c>
      <c r="N393" s="942"/>
      <c r="O393" s="53">
        <f t="shared" si="70"/>
        <v>1</v>
      </c>
      <c r="P393" s="942"/>
      <c r="Q393" s="53">
        <f t="shared" si="71"/>
        <v>1</v>
      </c>
      <c r="R393" s="476">
        <f t="shared" si="72"/>
        <v>0</v>
      </c>
      <c r="S393" s="781">
        <f t="shared" si="73"/>
        <v>0</v>
      </c>
    </row>
    <row r="394" spans="1:19">
      <c r="A394" s="944"/>
      <c r="B394" s="136"/>
      <c r="C394" s="53">
        <f t="shared" si="64"/>
        <v>1</v>
      </c>
      <c r="D394" s="942"/>
      <c r="E394" s="53">
        <f t="shared" si="65"/>
        <v>1</v>
      </c>
      <c r="F394" s="942"/>
      <c r="G394" s="53">
        <f t="shared" si="66"/>
        <v>1</v>
      </c>
      <c r="H394" s="942"/>
      <c r="I394" s="53">
        <f t="shared" si="67"/>
        <v>1</v>
      </c>
      <c r="J394" s="942"/>
      <c r="K394" s="53">
        <f t="shared" si="68"/>
        <v>1</v>
      </c>
      <c r="L394" s="942"/>
      <c r="M394" s="53">
        <f t="shared" si="69"/>
        <v>1</v>
      </c>
      <c r="N394" s="942"/>
      <c r="O394" s="53">
        <f t="shared" si="70"/>
        <v>1</v>
      </c>
      <c r="P394" s="942"/>
      <c r="Q394" s="53">
        <f t="shared" si="71"/>
        <v>1</v>
      </c>
      <c r="R394" s="476">
        <f t="shared" si="72"/>
        <v>0</v>
      </c>
      <c r="S394" s="781">
        <f t="shared" si="73"/>
        <v>0</v>
      </c>
    </row>
    <row r="395" spans="1:19">
      <c r="A395" s="944"/>
      <c r="B395" s="136"/>
      <c r="C395" s="53">
        <f t="shared" si="64"/>
        <v>1</v>
      </c>
      <c r="D395" s="942"/>
      <c r="E395" s="53">
        <f t="shared" si="65"/>
        <v>1</v>
      </c>
      <c r="F395" s="942"/>
      <c r="G395" s="53">
        <f t="shared" si="66"/>
        <v>1</v>
      </c>
      <c r="H395" s="942"/>
      <c r="I395" s="53">
        <f t="shared" si="67"/>
        <v>1</v>
      </c>
      <c r="J395" s="942"/>
      <c r="K395" s="53">
        <f t="shared" si="68"/>
        <v>1</v>
      </c>
      <c r="L395" s="942"/>
      <c r="M395" s="53">
        <f t="shared" si="69"/>
        <v>1</v>
      </c>
      <c r="N395" s="942"/>
      <c r="O395" s="53">
        <f t="shared" si="70"/>
        <v>1</v>
      </c>
      <c r="P395" s="942"/>
      <c r="Q395" s="53">
        <f t="shared" si="71"/>
        <v>1</v>
      </c>
      <c r="R395" s="476">
        <f t="shared" si="72"/>
        <v>0</v>
      </c>
      <c r="S395" s="781">
        <f t="shared" si="73"/>
        <v>0</v>
      </c>
    </row>
    <row r="396" spans="1:19">
      <c r="A396" s="944"/>
      <c r="B396" s="136"/>
      <c r="C396" s="53">
        <f t="shared" si="64"/>
        <v>1</v>
      </c>
      <c r="D396" s="942"/>
      <c r="E396" s="53">
        <f t="shared" si="65"/>
        <v>1</v>
      </c>
      <c r="F396" s="942"/>
      <c r="G396" s="53">
        <f t="shared" si="66"/>
        <v>1</v>
      </c>
      <c r="H396" s="942"/>
      <c r="I396" s="53">
        <f t="shared" si="67"/>
        <v>1</v>
      </c>
      <c r="J396" s="942"/>
      <c r="K396" s="53">
        <f t="shared" si="68"/>
        <v>1</v>
      </c>
      <c r="L396" s="942"/>
      <c r="M396" s="53">
        <f t="shared" si="69"/>
        <v>1</v>
      </c>
      <c r="N396" s="942"/>
      <c r="O396" s="53">
        <f t="shared" si="70"/>
        <v>1</v>
      </c>
      <c r="P396" s="942"/>
      <c r="Q396" s="53">
        <f t="shared" si="71"/>
        <v>1</v>
      </c>
      <c r="R396" s="476">
        <f t="shared" si="72"/>
        <v>0</v>
      </c>
      <c r="S396" s="781">
        <f t="shared" si="73"/>
        <v>0</v>
      </c>
    </row>
    <row r="397" spans="1:19">
      <c r="A397" s="944"/>
      <c r="B397" s="136"/>
      <c r="C397" s="53">
        <f t="shared" si="64"/>
        <v>1</v>
      </c>
      <c r="D397" s="942"/>
      <c r="E397" s="53">
        <f t="shared" si="65"/>
        <v>1</v>
      </c>
      <c r="F397" s="942"/>
      <c r="G397" s="53">
        <f t="shared" si="66"/>
        <v>1</v>
      </c>
      <c r="H397" s="942"/>
      <c r="I397" s="53">
        <f t="shared" si="67"/>
        <v>1</v>
      </c>
      <c r="J397" s="942"/>
      <c r="K397" s="53">
        <f t="shared" si="68"/>
        <v>1</v>
      </c>
      <c r="L397" s="942"/>
      <c r="M397" s="53">
        <f t="shared" si="69"/>
        <v>1</v>
      </c>
      <c r="N397" s="942"/>
      <c r="O397" s="53">
        <f t="shared" si="70"/>
        <v>1</v>
      </c>
      <c r="P397" s="942"/>
      <c r="Q397" s="53">
        <f t="shared" si="71"/>
        <v>1</v>
      </c>
      <c r="R397" s="476">
        <f t="shared" si="72"/>
        <v>0</v>
      </c>
      <c r="S397" s="781">
        <f t="shared" si="73"/>
        <v>0</v>
      </c>
    </row>
    <row r="398" spans="1:19">
      <c r="A398" s="944"/>
      <c r="B398" s="136"/>
      <c r="C398" s="53">
        <f t="shared" si="64"/>
        <v>1</v>
      </c>
      <c r="D398" s="942"/>
      <c r="E398" s="53">
        <f t="shared" si="65"/>
        <v>1</v>
      </c>
      <c r="F398" s="942"/>
      <c r="G398" s="53">
        <f t="shared" si="66"/>
        <v>1</v>
      </c>
      <c r="H398" s="942"/>
      <c r="I398" s="53">
        <f t="shared" si="67"/>
        <v>1</v>
      </c>
      <c r="J398" s="942"/>
      <c r="K398" s="53">
        <f t="shared" si="68"/>
        <v>1</v>
      </c>
      <c r="L398" s="942"/>
      <c r="M398" s="53">
        <f t="shared" si="69"/>
        <v>1</v>
      </c>
      <c r="N398" s="942"/>
      <c r="O398" s="53">
        <f t="shared" si="70"/>
        <v>1</v>
      </c>
      <c r="P398" s="942"/>
      <c r="Q398" s="53">
        <f t="shared" si="71"/>
        <v>1</v>
      </c>
      <c r="R398" s="476">
        <f t="shared" si="72"/>
        <v>0</v>
      </c>
      <c r="S398" s="781">
        <f t="shared" si="73"/>
        <v>0</v>
      </c>
    </row>
    <row r="399" spans="1:19">
      <c r="A399" s="944"/>
      <c r="B399" s="136"/>
      <c r="C399" s="53">
        <f t="shared" si="64"/>
        <v>1</v>
      </c>
      <c r="D399" s="942"/>
      <c r="E399" s="53">
        <f t="shared" si="65"/>
        <v>1</v>
      </c>
      <c r="F399" s="942"/>
      <c r="G399" s="53">
        <f t="shared" si="66"/>
        <v>1</v>
      </c>
      <c r="H399" s="942"/>
      <c r="I399" s="53">
        <f t="shared" si="67"/>
        <v>1</v>
      </c>
      <c r="J399" s="942"/>
      <c r="K399" s="53">
        <f t="shared" si="68"/>
        <v>1</v>
      </c>
      <c r="L399" s="942"/>
      <c r="M399" s="53">
        <f t="shared" si="69"/>
        <v>1</v>
      </c>
      <c r="N399" s="942"/>
      <c r="O399" s="53">
        <f t="shared" si="70"/>
        <v>1</v>
      </c>
      <c r="P399" s="942"/>
      <c r="Q399" s="53">
        <f t="shared" si="71"/>
        <v>1</v>
      </c>
      <c r="R399" s="476">
        <f t="shared" si="72"/>
        <v>0</v>
      </c>
      <c r="S399" s="781">
        <f t="shared" si="73"/>
        <v>0</v>
      </c>
    </row>
    <row r="400" spans="1:19">
      <c r="A400" s="944"/>
      <c r="B400" s="136"/>
      <c r="C400" s="53">
        <f t="shared" si="64"/>
        <v>1</v>
      </c>
      <c r="D400" s="942"/>
      <c r="E400" s="53">
        <f t="shared" si="65"/>
        <v>1</v>
      </c>
      <c r="F400" s="942"/>
      <c r="G400" s="53">
        <f t="shared" si="66"/>
        <v>1</v>
      </c>
      <c r="H400" s="942"/>
      <c r="I400" s="53">
        <f t="shared" si="67"/>
        <v>1</v>
      </c>
      <c r="J400" s="942"/>
      <c r="K400" s="53">
        <f t="shared" si="68"/>
        <v>1</v>
      </c>
      <c r="L400" s="942"/>
      <c r="M400" s="53">
        <f t="shared" si="69"/>
        <v>1</v>
      </c>
      <c r="N400" s="942"/>
      <c r="O400" s="53">
        <f t="shared" si="70"/>
        <v>1</v>
      </c>
      <c r="P400" s="942"/>
      <c r="Q400" s="53">
        <f t="shared" si="71"/>
        <v>1</v>
      </c>
      <c r="R400" s="476">
        <f t="shared" si="72"/>
        <v>0</v>
      </c>
      <c r="S400" s="781">
        <f t="shared" si="73"/>
        <v>0</v>
      </c>
    </row>
    <row r="401" spans="1:19">
      <c r="A401" s="944"/>
      <c r="B401" s="136"/>
      <c r="C401" s="53">
        <f t="shared" si="64"/>
        <v>1</v>
      </c>
      <c r="D401" s="942"/>
      <c r="E401" s="53">
        <f t="shared" si="65"/>
        <v>1</v>
      </c>
      <c r="F401" s="942"/>
      <c r="G401" s="53">
        <f t="shared" si="66"/>
        <v>1</v>
      </c>
      <c r="H401" s="942"/>
      <c r="I401" s="53">
        <f t="shared" si="67"/>
        <v>1</v>
      </c>
      <c r="J401" s="942"/>
      <c r="K401" s="53">
        <f t="shared" si="68"/>
        <v>1</v>
      </c>
      <c r="L401" s="942"/>
      <c r="M401" s="53">
        <f t="shared" si="69"/>
        <v>1</v>
      </c>
      <c r="N401" s="942"/>
      <c r="O401" s="53">
        <f t="shared" si="70"/>
        <v>1</v>
      </c>
      <c r="P401" s="942"/>
      <c r="Q401" s="53">
        <f t="shared" si="71"/>
        <v>1</v>
      </c>
      <c r="R401" s="476">
        <f t="shared" si="72"/>
        <v>0</v>
      </c>
      <c r="S401" s="781">
        <f t="shared" si="73"/>
        <v>0</v>
      </c>
    </row>
    <row r="402" spans="1:19">
      <c r="A402" s="944"/>
      <c r="B402" s="136"/>
      <c r="C402" s="53">
        <f t="shared" si="64"/>
        <v>1</v>
      </c>
      <c r="D402" s="942"/>
      <c r="E402" s="53">
        <f t="shared" si="65"/>
        <v>1</v>
      </c>
      <c r="F402" s="942"/>
      <c r="G402" s="53">
        <f t="shared" si="66"/>
        <v>1</v>
      </c>
      <c r="H402" s="942"/>
      <c r="I402" s="53">
        <f t="shared" si="67"/>
        <v>1</v>
      </c>
      <c r="J402" s="942"/>
      <c r="K402" s="53">
        <f t="shared" si="68"/>
        <v>1</v>
      </c>
      <c r="L402" s="942"/>
      <c r="M402" s="53">
        <f t="shared" si="69"/>
        <v>1</v>
      </c>
      <c r="N402" s="942"/>
      <c r="O402" s="53">
        <f t="shared" si="70"/>
        <v>1</v>
      </c>
      <c r="P402" s="942"/>
      <c r="Q402" s="53">
        <f t="shared" si="71"/>
        <v>1</v>
      </c>
      <c r="R402" s="476">
        <f t="shared" si="72"/>
        <v>0</v>
      </c>
      <c r="S402" s="781">
        <f t="shared" si="73"/>
        <v>0</v>
      </c>
    </row>
    <row r="403" spans="1:19">
      <c r="A403" s="944"/>
      <c r="B403" s="136"/>
      <c r="C403" s="53">
        <f t="shared" si="64"/>
        <v>1</v>
      </c>
      <c r="D403" s="942"/>
      <c r="E403" s="53">
        <f t="shared" si="65"/>
        <v>1</v>
      </c>
      <c r="F403" s="942"/>
      <c r="G403" s="53">
        <f t="shared" si="66"/>
        <v>1</v>
      </c>
      <c r="H403" s="942"/>
      <c r="I403" s="53">
        <f t="shared" si="67"/>
        <v>1</v>
      </c>
      <c r="J403" s="942"/>
      <c r="K403" s="53">
        <f t="shared" si="68"/>
        <v>1</v>
      </c>
      <c r="L403" s="942"/>
      <c r="M403" s="53">
        <f t="shared" si="69"/>
        <v>1</v>
      </c>
      <c r="N403" s="942"/>
      <c r="O403" s="53">
        <f t="shared" si="70"/>
        <v>1</v>
      </c>
      <c r="P403" s="942"/>
      <c r="Q403" s="53">
        <f t="shared" si="71"/>
        <v>1</v>
      </c>
      <c r="R403" s="476">
        <f t="shared" si="72"/>
        <v>0</v>
      </c>
      <c r="S403" s="781">
        <f t="shared" si="73"/>
        <v>0</v>
      </c>
    </row>
    <row r="404" spans="1:19">
      <c r="A404" s="944"/>
      <c r="B404" s="136"/>
      <c r="C404" s="53">
        <f t="shared" si="64"/>
        <v>1</v>
      </c>
      <c r="D404" s="942"/>
      <c r="E404" s="53">
        <f t="shared" si="65"/>
        <v>1</v>
      </c>
      <c r="F404" s="942"/>
      <c r="G404" s="53">
        <f t="shared" si="66"/>
        <v>1</v>
      </c>
      <c r="H404" s="942"/>
      <c r="I404" s="53">
        <f t="shared" si="67"/>
        <v>1</v>
      </c>
      <c r="J404" s="942"/>
      <c r="K404" s="53">
        <f t="shared" si="68"/>
        <v>1</v>
      </c>
      <c r="L404" s="942"/>
      <c r="M404" s="53">
        <f t="shared" si="69"/>
        <v>1</v>
      </c>
      <c r="N404" s="942"/>
      <c r="O404" s="53">
        <f t="shared" si="70"/>
        <v>1</v>
      </c>
      <c r="P404" s="942"/>
      <c r="Q404" s="53">
        <f t="shared" si="71"/>
        <v>1</v>
      </c>
      <c r="R404" s="476">
        <f t="shared" si="72"/>
        <v>0</v>
      </c>
      <c r="S404" s="781">
        <f t="shared" si="73"/>
        <v>0</v>
      </c>
    </row>
    <row r="405" spans="1:19">
      <c r="A405" s="944"/>
      <c r="B405" s="136"/>
      <c r="C405" s="53">
        <f t="shared" si="64"/>
        <v>1</v>
      </c>
      <c r="D405" s="942"/>
      <c r="E405" s="53">
        <f t="shared" si="65"/>
        <v>1</v>
      </c>
      <c r="F405" s="942"/>
      <c r="G405" s="53">
        <f t="shared" si="66"/>
        <v>1</v>
      </c>
      <c r="H405" s="942"/>
      <c r="I405" s="53">
        <f t="shared" si="67"/>
        <v>1</v>
      </c>
      <c r="J405" s="942"/>
      <c r="K405" s="53">
        <f t="shared" si="68"/>
        <v>1</v>
      </c>
      <c r="L405" s="942"/>
      <c r="M405" s="53">
        <f t="shared" si="69"/>
        <v>1</v>
      </c>
      <c r="N405" s="942"/>
      <c r="O405" s="53">
        <f t="shared" si="70"/>
        <v>1</v>
      </c>
      <c r="P405" s="942"/>
      <c r="Q405" s="53">
        <f t="shared" si="71"/>
        <v>1</v>
      </c>
      <c r="R405" s="476">
        <f t="shared" si="72"/>
        <v>0</v>
      </c>
      <c r="S405" s="781">
        <f t="shared" si="73"/>
        <v>0</v>
      </c>
    </row>
    <row r="406" spans="1:19">
      <c r="A406" s="944"/>
      <c r="B406" s="136"/>
      <c r="C406" s="53">
        <f t="shared" si="64"/>
        <v>1</v>
      </c>
      <c r="D406" s="942"/>
      <c r="E406" s="53">
        <f t="shared" si="65"/>
        <v>1</v>
      </c>
      <c r="F406" s="942"/>
      <c r="G406" s="53">
        <f t="shared" si="66"/>
        <v>1</v>
      </c>
      <c r="H406" s="942"/>
      <c r="I406" s="53">
        <f t="shared" si="67"/>
        <v>1</v>
      </c>
      <c r="J406" s="942"/>
      <c r="K406" s="53">
        <f t="shared" si="68"/>
        <v>1</v>
      </c>
      <c r="L406" s="942"/>
      <c r="M406" s="53">
        <f t="shared" si="69"/>
        <v>1</v>
      </c>
      <c r="N406" s="942"/>
      <c r="O406" s="53">
        <f t="shared" si="70"/>
        <v>1</v>
      </c>
      <c r="P406" s="942"/>
      <c r="Q406" s="53">
        <f t="shared" si="71"/>
        <v>1</v>
      </c>
      <c r="R406" s="476">
        <f t="shared" si="72"/>
        <v>0</v>
      </c>
      <c r="S406" s="781">
        <f t="shared" si="73"/>
        <v>0</v>
      </c>
    </row>
    <row r="407" spans="1:19">
      <c r="A407" s="944"/>
      <c r="B407" s="136"/>
      <c r="C407" s="53">
        <f t="shared" si="64"/>
        <v>1</v>
      </c>
      <c r="D407" s="942"/>
      <c r="E407" s="53">
        <f t="shared" si="65"/>
        <v>1</v>
      </c>
      <c r="F407" s="942"/>
      <c r="G407" s="53">
        <f t="shared" si="66"/>
        <v>1</v>
      </c>
      <c r="H407" s="942"/>
      <c r="I407" s="53">
        <f t="shared" si="67"/>
        <v>1</v>
      </c>
      <c r="J407" s="942"/>
      <c r="K407" s="53">
        <f t="shared" si="68"/>
        <v>1</v>
      </c>
      <c r="L407" s="942"/>
      <c r="M407" s="53">
        <f t="shared" si="69"/>
        <v>1</v>
      </c>
      <c r="N407" s="942"/>
      <c r="O407" s="53">
        <f t="shared" si="70"/>
        <v>1</v>
      </c>
      <c r="P407" s="942"/>
      <c r="Q407" s="53">
        <f t="shared" si="71"/>
        <v>1</v>
      </c>
      <c r="R407" s="476">
        <f t="shared" si="72"/>
        <v>0</v>
      </c>
      <c r="S407" s="781">
        <f t="shared" si="73"/>
        <v>0</v>
      </c>
    </row>
    <row r="408" spans="1:19">
      <c r="A408" s="944"/>
      <c r="B408" s="136"/>
      <c r="C408" s="53">
        <f t="shared" si="64"/>
        <v>1</v>
      </c>
      <c r="D408" s="942"/>
      <c r="E408" s="53">
        <f t="shared" si="65"/>
        <v>1</v>
      </c>
      <c r="F408" s="942"/>
      <c r="G408" s="53">
        <f t="shared" si="66"/>
        <v>1</v>
      </c>
      <c r="H408" s="942"/>
      <c r="I408" s="53">
        <f t="shared" si="67"/>
        <v>1</v>
      </c>
      <c r="J408" s="942"/>
      <c r="K408" s="53">
        <f t="shared" si="68"/>
        <v>1</v>
      </c>
      <c r="L408" s="942"/>
      <c r="M408" s="53">
        <f t="shared" si="69"/>
        <v>1</v>
      </c>
      <c r="N408" s="942"/>
      <c r="O408" s="53">
        <f t="shared" si="70"/>
        <v>1</v>
      </c>
      <c r="P408" s="942"/>
      <c r="Q408" s="53">
        <f t="shared" si="71"/>
        <v>1</v>
      </c>
      <c r="R408" s="476">
        <f t="shared" si="72"/>
        <v>0</v>
      </c>
      <c r="S408" s="781">
        <f t="shared" si="73"/>
        <v>0</v>
      </c>
    </row>
    <row r="409" spans="1:19">
      <c r="A409" s="944"/>
      <c r="B409" s="136"/>
      <c r="C409" s="53">
        <f t="shared" si="64"/>
        <v>1</v>
      </c>
      <c r="D409" s="942"/>
      <c r="E409" s="53">
        <f t="shared" si="65"/>
        <v>1</v>
      </c>
      <c r="F409" s="942"/>
      <c r="G409" s="53">
        <f t="shared" si="66"/>
        <v>1</v>
      </c>
      <c r="H409" s="942"/>
      <c r="I409" s="53">
        <f t="shared" si="67"/>
        <v>1</v>
      </c>
      <c r="J409" s="942"/>
      <c r="K409" s="53">
        <f t="shared" si="68"/>
        <v>1</v>
      </c>
      <c r="L409" s="942"/>
      <c r="M409" s="53">
        <f t="shared" si="69"/>
        <v>1</v>
      </c>
      <c r="N409" s="942"/>
      <c r="O409" s="53">
        <f t="shared" si="70"/>
        <v>1</v>
      </c>
      <c r="P409" s="942"/>
      <c r="Q409" s="53">
        <f t="shared" si="71"/>
        <v>1</v>
      </c>
      <c r="R409" s="476">
        <f t="shared" si="72"/>
        <v>0</v>
      </c>
      <c r="S409" s="781">
        <f t="shared" si="73"/>
        <v>0</v>
      </c>
    </row>
    <row r="410" spans="1:19">
      <c r="A410" s="944"/>
      <c r="B410" s="136"/>
      <c r="C410" s="53">
        <f t="shared" ref="C410:C473" si="74">IF(B410="",1,(LOOKUP(B410,$3:$3,$4:$4)-LOOKUP($B$24,$3:$3,$4:$4)+100)/100)</f>
        <v>1</v>
      </c>
      <c r="D410" s="942"/>
      <c r="E410" s="53">
        <f t="shared" ref="E410:E473" si="75">(SUMIF($5:$5,D410,$6:$6)-SUMIF($5:$5,$D$24,$6:$6)+100)/100</f>
        <v>1</v>
      </c>
      <c r="F410" s="942"/>
      <c r="G410" s="53">
        <f t="shared" ref="G410:G473" si="76">(SUMIF($7:$7,F410,$8:$8)-SUMIF($7:$7,$F$24,$8:$8)+100)/100</f>
        <v>1</v>
      </c>
      <c r="H410" s="942"/>
      <c r="I410" s="53">
        <f t="shared" ref="I410:I473" si="77">(SUMIF($9:$9,H410,$10:$10)-SUMIF($9:$9,$H$24,$10:$10)+100)/100</f>
        <v>1</v>
      </c>
      <c r="J410" s="942"/>
      <c r="K410" s="53">
        <f t="shared" ref="K410:K473" si="78">(SUMIF($11:$11,J410,$12:$12)-SUMIF($11:$11,$J$24,$12:$12)+100)/100</f>
        <v>1</v>
      </c>
      <c r="L410" s="942"/>
      <c r="M410" s="53">
        <f t="shared" ref="M410:M473" si="79">(SUMIF($13:$13,L410,$14:$14)-SUMIF($13:$13,$L$24,$14:$14)+100)/100</f>
        <v>1</v>
      </c>
      <c r="N410" s="942"/>
      <c r="O410" s="53">
        <f t="shared" ref="O410:O473" si="80">(SUMIF($15:$15,N410,$16:$16)-SUMIF($15:$15,$N$24,$16:$16)+100)/100</f>
        <v>1</v>
      </c>
      <c r="P410" s="942"/>
      <c r="Q410" s="53">
        <f t="shared" ref="Q410:Q473" si="81">(SUMIF($17:$17,P410,$18:$18)-SUMIF($17:$17,$P$24,$18:$18)+100)/100</f>
        <v>1</v>
      </c>
      <c r="R410" s="476">
        <f t="shared" ref="R410:R473" si="82">IF(B410="",0,ROUND($R$24*C410*E410*G410*I410*K410*M410*O410*Q410,0))</f>
        <v>0</v>
      </c>
      <c r="S410" s="781">
        <f t="shared" si="73"/>
        <v>0</v>
      </c>
    </row>
    <row r="411" spans="1:19">
      <c r="A411" s="944"/>
      <c r="B411" s="136"/>
      <c r="C411" s="53">
        <f t="shared" si="74"/>
        <v>1</v>
      </c>
      <c r="D411" s="942"/>
      <c r="E411" s="53">
        <f t="shared" si="75"/>
        <v>1</v>
      </c>
      <c r="F411" s="942"/>
      <c r="G411" s="53">
        <f t="shared" si="76"/>
        <v>1</v>
      </c>
      <c r="H411" s="942"/>
      <c r="I411" s="53">
        <f t="shared" si="77"/>
        <v>1</v>
      </c>
      <c r="J411" s="942"/>
      <c r="K411" s="53">
        <f t="shared" si="78"/>
        <v>1</v>
      </c>
      <c r="L411" s="942"/>
      <c r="M411" s="53">
        <f t="shared" si="79"/>
        <v>1</v>
      </c>
      <c r="N411" s="942"/>
      <c r="O411" s="53">
        <f t="shared" si="80"/>
        <v>1</v>
      </c>
      <c r="P411" s="942"/>
      <c r="Q411" s="53">
        <f t="shared" si="81"/>
        <v>1</v>
      </c>
      <c r="R411" s="476">
        <f t="shared" si="82"/>
        <v>0</v>
      </c>
      <c r="S411" s="781">
        <f t="shared" si="73"/>
        <v>0</v>
      </c>
    </row>
    <row r="412" spans="1:19">
      <c r="A412" s="944"/>
      <c r="B412" s="136"/>
      <c r="C412" s="53">
        <f t="shared" si="74"/>
        <v>1</v>
      </c>
      <c r="D412" s="942"/>
      <c r="E412" s="53">
        <f t="shared" si="75"/>
        <v>1</v>
      </c>
      <c r="F412" s="942"/>
      <c r="G412" s="53">
        <f t="shared" si="76"/>
        <v>1</v>
      </c>
      <c r="H412" s="942"/>
      <c r="I412" s="53">
        <f t="shared" si="77"/>
        <v>1</v>
      </c>
      <c r="J412" s="942"/>
      <c r="K412" s="53">
        <f t="shared" si="78"/>
        <v>1</v>
      </c>
      <c r="L412" s="942"/>
      <c r="M412" s="53">
        <f t="shared" si="79"/>
        <v>1</v>
      </c>
      <c r="N412" s="942"/>
      <c r="O412" s="53">
        <f t="shared" si="80"/>
        <v>1</v>
      </c>
      <c r="P412" s="942"/>
      <c r="Q412" s="53">
        <f t="shared" si="81"/>
        <v>1</v>
      </c>
      <c r="R412" s="476">
        <f t="shared" si="82"/>
        <v>0</v>
      </c>
      <c r="S412" s="781">
        <f t="shared" si="73"/>
        <v>0</v>
      </c>
    </row>
    <row r="413" spans="1:19">
      <c r="A413" s="944"/>
      <c r="B413" s="136"/>
      <c r="C413" s="53">
        <f t="shared" si="74"/>
        <v>1</v>
      </c>
      <c r="D413" s="942"/>
      <c r="E413" s="53">
        <f t="shared" si="75"/>
        <v>1</v>
      </c>
      <c r="F413" s="942"/>
      <c r="G413" s="53">
        <f t="shared" si="76"/>
        <v>1</v>
      </c>
      <c r="H413" s="942"/>
      <c r="I413" s="53">
        <f t="shared" si="77"/>
        <v>1</v>
      </c>
      <c r="J413" s="942"/>
      <c r="K413" s="53">
        <f t="shared" si="78"/>
        <v>1</v>
      </c>
      <c r="L413" s="942"/>
      <c r="M413" s="53">
        <f t="shared" si="79"/>
        <v>1</v>
      </c>
      <c r="N413" s="942"/>
      <c r="O413" s="53">
        <f t="shared" si="80"/>
        <v>1</v>
      </c>
      <c r="P413" s="942"/>
      <c r="Q413" s="53">
        <f t="shared" si="81"/>
        <v>1</v>
      </c>
      <c r="R413" s="476">
        <f t="shared" si="82"/>
        <v>0</v>
      </c>
      <c r="S413" s="781">
        <f t="shared" si="73"/>
        <v>0</v>
      </c>
    </row>
    <row r="414" spans="1:19">
      <c r="A414" s="944"/>
      <c r="B414" s="136"/>
      <c r="C414" s="53">
        <f t="shared" si="74"/>
        <v>1</v>
      </c>
      <c r="D414" s="942"/>
      <c r="E414" s="53">
        <f t="shared" si="75"/>
        <v>1</v>
      </c>
      <c r="F414" s="942"/>
      <c r="G414" s="53">
        <f t="shared" si="76"/>
        <v>1</v>
      </c>
      <c r="H414" s="942"/>
      <c r="I414" s="53">
        <f t="shared" si="77"/>
        <v>1</v>
      </c>
      <c r="J414" s="942"/>
      <c r="K414" s="53">
        <f t="shared" si="78"/>
        <v>1</v>
      </c>
      <c r="L414" s="942"/>
      <c r="M414" s="53">
        <f t="shared" si="79"/>
        <v>1</v>
      </c>
      <c r="N414" s="942"/>
      <c r="O414" s="53">
        <f t="shared" si="80"/>
        <v>1</v>
      </c>
      <c r="P414" s="942"/>
      <c r="Q414" s="53">
        <f t="shared" si="81"/>
        <v>1</v>
      </c>
      <c r="R414" s="476">
        <f t="shared" si="82"/>
        <v>0</v>
      </c>
      <c r="S414" s="781">
        <f t="shared" si="73"/>
        <v>0</v>
      </c>
    </row>
    <row r="415" spans="1:19">
      <c r="A415" s="944"/>
      <c r="B415" s="136"/>
      <c r="C415" s="53">
        <f t="shared" si="74"/>
        <v>1</v>
      </c>
      <c r="D415" s="942"/>
      <c r="E415" s="53">
        <f t="shared" si="75"/>
        <v>1</v>
      </c>
      <c r="F415" s="942"/>
      <c r="G415" s="53">
        <f t="shared" si="76"/>
        <v>1</v>
      </c>
      <c r="H415" s="942"/>
      <c r="I415" s="53">
        <f t="shared" si="77"/>
        <v>1</v>
      </c>
      <c r="J415" s="942"/>
      <c r="K415" s="53">
        <f t="shared" si="78"/>
        <v>1</v>
      </c>
      <c r="L415" s="942"/>
      <c r="M415" s="53">
        <f t="shared" si="79"/>
        <v>1</v>
      </c>
      <c r="N415" s="942"/>
      <c r="O415" s="53">
        <f t="shared" si="80"/>
        <v>1</v>
      </c>
      <c r="P415" s="942"/>
      <c r="Q415" s="53">
        <f t="shared" si="81"/>
        <v>1</v>
      </c>
      <c r="R415" s="476">
        <f t="shared" si="82"/>
        <v>0</v>
      </c>
      <c r="S415" s="781">
        <f t="shared" si="73"/>
        <v>0</v>
      </c>
    </row>
    <row r="416" spans="1:19">
      <c r="A416" s="944"/>
      <c r="B416" s="136"/>
      <c r="C416" s="53">
        <f t="shared" si="74"/>
        <v>1</v>
      </c>
      <c r="D416" s="942"/>
      <c r="E416" s="53">
        <f t="shared" si="75"/>
        <v>1</v>
      </c>
      <c r="F416" s="942"/>
      <c r="G416" s="53">
        <f t="shared" si="76"/>
        <v>1</v>
      </c>
      <c r="H416" s="942"/>
      <c r="I416" s="53">
        <f t="shared" si="77"/>
        <v>1</v>
      </c>
      <c r="J416" s="942"/>
      <c r="K416" s="53">
        <f t="shared" si="78"/>
        <v>1</v>
      </c>
      <c r="L416" s="942"/>
      <c r="M416" s="53">
        <f t="shared" si="79"/>
        <v>1</v>
      </c>
      <c r="N416" s="942"/>
      <c r="O416" s="53">
        <f t="shared" si="80"/>
        <v>1</v>
      </c>
      <c r="P416" s="942"/>
      <c r="Q416" s="53">
        <f t="shared" si="81"/>
        <v>1</v>
      </c>
      <c r="R416" s="476">
        <f t="shared" si="82"/>
        <v>0</v>
      </c>
      <c r="S416" s="781">
        <f t="shared" si="73"/>
        <v>0</v>
      </c>
    </row>
    <row r="417" spans="1:19">
      <c r="A417" s="944"/>
      <c r="B417" s="136"/>
      <c r="C417" s="53">
        <f t="shared" si="74"/>
        <v>1</v>
      </c>
      <c r="D417" s="942"/>
      <c r="E417" s="53">
        <f t="shared" si="75"/>
        <v>1</v>
      </c>
      <c r="F417" s="942"/>
      <c r="G417" s="53">
        <f t="shared" si="76"/>
        <v>1</v>
      </c>
      <c r="H417" s="942"/>
      <c r="I417" s="53">
        <f t="shared" si="77"/>
        <v>1</v>
      </c>
      <c r="J417" s="942"/>
      <c r="K417" s="53">
        <f t="shared" si="78"/>
        <v>1</v>
      </c>
      <c r="L417" s="942"/>
      <c r="M417" s="53">
        <f t="shared" si="79"/>
        <v>1</v>
      </c>
      <c r="N417" s="942"/>
      <c r="O417" s="53">
        <f t="shared" si="80"/>
        <v>1</v>
      </c>
      <c r="P417" s="942"/>
      <c r="Q417" s="53">
        <f t="shared" si="81"/>
        <v>1</v>
      </c>
      <c r="R417" s="476">
        <f t="shared" si="82"/>
        <v>0</v>
      </c>
      <c r="S417" s="781">
        <f t="shared" si="73"/>
        <v>0</v>
      </c>
    </row>
    <row r="418" spans="1:19">
      <c r="A418" s="944"/>
      <c r="B418" s="136"/>
      <c r="C418" s="53">
        <f t="shared" si="74"/>
        <v>1</v>
      </c>
      <c r="D418" s="942"/>
      <c r="E418" s="53">
        <f t="shared" si="75"/>
        <v>1</v>
      </c>
      <c r="F418" s="942"/>
      <c r="G418" s="53">
        <f t="shared" si="76"/>
        <v>1</v>
      </c>
      <c r="H418" s="942"/>
      <c r="I418" s="53">
        <f t="shared" si="77"/>
        <v>1</v>
      </c>
      <c r="J418" s="942"/>
      <c r="K418" s="53">
        <f t="shared" si="78"/>
        <v>1</v>
      </c>
      <c r="L418" s="942"/>
      <c r="M418" s="53">
        <f t="shared" si="79"/>
        <v>1</v>
      </c>
      <c r="N418" s="942"/>
      <c r="O418" s="53">
        <f t="shared" si="80"/>
        <v>1</v>
      </c>
      <c r="P418" s="942"/>
      <c r="Q418" s="53">
        <f t="shared" si="81"/>
        <v>1</v>
      </c>
      <c r="R418" s="476">
        <f t="shared" si="82"/>
        <v>0</v>
      </c>
      <c r="S418" s="781">
        <f t="shared" si="73"/>
        <v>0</v>
      </c>
    </row>
    <row r="419" spans="1:19">
      <c r="A419" s="944"/>
      <c r="B419" s="136"/>
      <c r="C419" s="53">
        <f t="shared" si="74"/>
        <v>1</v>
      </c>
      <c r="D419" s="942"/>
      <c r="E419" s="53">
        <f t="shared" si="75"/>
        <v>1</v>
      </c>
      <c r="F419" s="942"/>
      <c r="G419" s="53">
        <f t="shared" si="76"/>
        <v>1</v>
      </c>
      <c r="H419" s="942"/>
      <c r="I419" s="53">
        <f t="shared" si="77"/>
        <v>1</v>
      </c>
      <c r="J419" s="942"/>
      <c r="K419" s="53">
        <f t="shared" si="78"/>
        <v>1</v>
      </c>
      <c r="L419" s="942"/>
      <c r="M419" s="53">
        <f t="shared" si="79"/>
        <v>1</v>
      </c>
      <c r="N419" s="942"/>
      <c r="O419" s="53">
        <f t="shared" si="80"/>
        <v>1</v>
      </c>
      <c r="P419" s="942"/>
      <c r="Q419" s="53">
        <f t="shared" si="81"/>
        <v>1</v>
      </c>
      <c r="R419" s="476">
        <f t="shared" si="82"/>
        <v>0</v>
      </c>
      <c r="S419" s="781">
        <f t="shared" si="73"/>
        <v>0</v>
      </c>
    </row>
    <row r="420" spans="1:19">
      <c r="A420" s="944"/>
      <c r="B420" s="136"/>
      <c r="C420" s="53">
        <f t="shared" si="74"/>
        <v>1</v>
      </c>
      <c r="D420" s="942"/>
      <c r="E420" s="53">
        <f t="shared" si="75"/>
        <v>1</v>
      </c>
      <c r="F420" s="942"/>
      <c r="G420" s="53">
        <f t="shared" si="76"/>
        <v>1</v>
      </c>
      <c r="H420" s="942"/>
      <c r="I420" s="53">
        <f t="shared" si="77"/>
        <v>1</v>
      </c>
      <c r="J420" s="942"/>
      <c r="K420" s="53">
        <f t="shared" si="78"/>
        <v>1</v>
      </c>
      <c r="L420" s="942"/>
      <c r="M420" s="53">
        <f t="shared" si="79"/>
        <v>1</v>
      </c>
      <c r="N420" s="942"/>
      <c r="O420" s="53">
        <f t="shared" si="80"/>
        <v>1</v>
      </c>
      <c r="P420" s="942"/>
      <c r="Q420" s="53">
        <f t="shared" si="81"/>
        <v>1</v>
      </c>
      <c r="R420" s="476">
        <f t="shared" si="82"/>
        <v>0</v>
      </c>
      <c r="S420" s="781">
        <f t="shared" si="73"/>
        <v>0</v>
      </c>
    </row>
    <row r="421" spans="1:19">
      <c r="A421" s="944"/>
      <c r="B421" s="136"/>
      <c r="C421" s="53">
        <f t="shared" si="74"/>
        <v>1</v>
      </c>
      <c r="D421" s="942"/>
      <c r="E421" s="53">
        <f t="shared" si="75"/>
        <v>1</v>
      </c>
      <c r="F421" s="942"/>
      <c r="G421" s="53">
        <f t="shared" si="76"/>
        <v>1</v>
      </c>
      <c r="H421" s="942"/>
      <c r="I421" s="53">
        <f t="shared" si="77"/>
        <v>1</v>
      </c>
      <c r="J421" s="942"/>
      <c r="K421" s="53">
        <f t="shared" si="78"/>
        <v>1</v>
      </c>
      <c r="L421" s="942"/>
      <c r="M421" s="53">
        <f t="shared" si="79"/>
        <v>1</v>
      </c>
      <c r="N421" s="942"/>
      <c r="O421" s="53">
        <f t="shared" si="80"/>
        <v>1</v>
      </c>
      <c r="P421" s="942"/>
      <c r="Q421" s="53">
        <f t="shared" si="81"/>
        <v>1</v>
      </c>
      <c r="R421" s="476">
        <f t="shared" si="82"/>
        <v>0</v>
      </c>
      <c r="S421" s="781">
        <f t="shared" si="73"/>
        <v>0</v>
      </c>
    </row>
    <row r="422" spans="1:19">
      <c r="A422" s="944"/>
      <c r="B422" s="136"/>
      <c r="C422" s="53">
        <f t="shared" si="74"/>
        <v>1</v>
      </c>
      <c r="D422" s="942"/>
      <c r="E422" s="53">
        <f t="shared" si="75"/>
        <v>1</v>
      </c>
      <c r="F422" s="942"/>
      <c r="G422" s="53">
        <f t="shared" si="76"/>
        <v>1</v>
      </c>
      <c r="H422" s="942"/>
      <c r="I422" s="53">
        <f t="shared" si="77"/>
        <v>1</v>
      </c>
      <c r="J422" s="942"/>
      <c r="K422" s="53">
        <f t="shared" si="78"/>
        <v>1</v>
      </c>
      <c r="L422" s="942"/>
      <c r="M422" s="53">
        <f t="shared" si="79"/>
        <v>1</v>
      </c>
      <c r="N422" s="942"/>
      <c r="O422" s="53">
        <f t="shared" si="80"/>
        <v>1</v>
      </c>
      <c r="P422" s="942"/>
      <c r="Q422" s="53">
        <f t="shared" si="81"/>
        <v>1</v>
      </c>
      <c r="R422" s="476">
        <f t="shared" si="82"/>
        <v>0</v>
      </c>
      <c r="S422" s="781">
        <f t="shared" si="73"/>
        <v>0</v>
      </c>
    </row>
    <row r="423" spans="1:19">
      <c r="A423" s="944"/>
      <c r="B423" s="136"/>
      <c r="C423" s="53">
        <f t="shared" si="74"/>
        <v>1</v>
      </c>
      <c r="D423" s="942"/>
      <c r="E423" s="53">
        <f t="shared" si="75"/>
        <v>1</v>
      </c>
      <c r="F423" s="942"/>
      <c r="G423" s="53">
        <f t="shared" si="76"/>
        <v>1</v>
      </c>
      <c r="H423" s="942"/>
      <c r="I423" s="53">
        <f t="shared" si="77"/>
        <v>1</v>
      </c>
      <c r="J423" s="942"/>
      <c r="K423" s="53">
        <f t="shared" si="78"/>
        <v>1</v>
      </c>
      <c r="L423" s="942"/>
      <c r="M423" s="53">
        <f t="shared" si="79"/>
        <v>1</v>
      </c>
      <c r="N423" s="942"/>
      <c r="O423" s="53">
        <f t="shared" si="80"/>
        <v>1</v>
      </c>
      <c r="P423" s="942"/>
      <c r="Q423" s="53">
        <f t="shared" si="81"/>
        <v>1</v>
      </c>
      <c r="R423" s="476">
        <f t="shared" si="82"/>
        <v>0</v>
      </c>
      <c r="S423" s="781">
        <f t="shared" ref="S423:S467" si="83">ROUND(R423*B423/10000,0)</f>
        <v>0</v>
      </c>
    </row>
    <row r="424" spans="1:19">
      <c r="A424" s="944"/>
      <c r="B424" s="136"/>
      <c r="C424" s="53">
        <f t="shared" si="74"/>
        <v>1</v>
      </c>
      <c r="D424" s="942"/>
      <c r="E424" s="53">
        <f t="shared" si="75"/>
        <v>1</v>
      </c>
      <c r="F424" s="942"/>
      <c r="G424" s="53">
        <f t="shared" si="76"/>
        <v>1</v>
      </c>
      <c r="H424" s="942"/>
      <c r="I424" s="53">
        <f t="shared" si="77"/>
        <v>1</v>
      </c>
      <c r="J424" s="942"/>
      <c r="K424" s="53">
        <f t="shared" si="78"/>
        <v>1</v>
      </c>
      <c r="L424" s="942"/>
      <c r="M424" s="53">
        <f t="shared" si="79"/>
        <v>1</v>
      </c>
      <c r="N424" s="942"/>
      <c r="O424" s="53">
        <f t="shared" si="80"/>
        <v>1</v>
      </c>
      <c r="P424" s="942"/>
      <c r="Q424" s="53">
        <f t="shared" si="81"/>
        <v>1</v>
      </c>
      <c r="R424" s="476">
        <f t="shared" si="82"/>
        <v>0</v>
      </c>
      <c r="S424" s="781">
        <f t="shared" si="83"/>
        <v>0</v>
      </c>
    </row>
    <row r="425" spans="1:19">
      <c r="A425" s="944"/>
      <c r="B425" s="136"/>
      <c r="C425" s="53">
        <f t="shared" si="74"/>
        <v>1</v>
      </c>
      <c r="D425" s="942"/>
      <c r="E425" s="53">
        <f t="shared" si="75"/>
        <v>1</v>
      </c>
      <c r="F425" s="942"/>
      <c r="G425" s="53">
        <f t="shared" si="76"/>
        <v>1</v>
      </c>
      <c r="H425" s="942"/>
      <c r="I425" s="53">
        <f t="shared" si="77"/>
        <v>1</v>
      </c>
      <c r="J425" s="942"/>
      <c r="K425" s="53">
        <f t="shared" si="78"/>
        <v>1</v>
      </c>
      <c r="L425" s="942"/>
      <c r="M425" s="53">
        <f t="shared" si="79"/>
        <v>1</v>
      </c>
      <c r="N425" s="942"/>
      <c r="O425" s="53">
        <f t="shared" si="80"/>
        <v>1</v>
      </c>
      <c r="P425" s="942"/>
      <c r="Q425" s="53">
        <f t="shared" si="81"/>
        <v>1</v>
      </c>
      <c r="R425" s="476">
        <f t="shared" si="82"/>
        <v>0</v>
      </c>
      <c r="S425" s="781">
        <f t="shared" si="83"/>
        <v>0</v>
      </c>
    </row>
    <row r="426" spans="1:19">
      <c r="A426" s="944"/>
      <c r="B426" s="136"/>
      <c r="C426" s="53">
        <f t="shared" si="74"/>
        <v>1</v>
      </c>
      <c r="D426" s="942"/>
      <c r="E426" s="53">
        <f t="shared" si="75"/>
        <v>1</v>
      </c>
      <c r="F426" s="942"/>
      <c r="G426" s="53">
        <f t="shared" si="76"/>
        <v>1</v>
      </c>
      <c r="H426" s="942"/>
      <c r="I426" s="53">
        <f t="shared" si="77"/>
        <v>1</v>
      </c>
      <c r="J426" s="942"/>
      <c r="K426" s="53">
        <f t="shared" si="78"/>
        <v>1</v>
      </c>
      <c r="L426" s="942"/>
      <c r="M426" s="53">
        <f t="shared" si="79"/>
        <v>1</v>
      </c>
      <c r="N426" s="942"/>
      <c r="O426" s="53">
        <f t="shared" si="80"/>
        <v>1</v>
      </c>
      <c r="P426" s="942"/>
      <c r="Q426" s="53">
        <f t="shared" si="81"/>
        <v>1</v>
      </c>
      <c r="R426" s="476">
        <f t="shared" si="82"/>
        <v>0</v>
      </c>
      <c r="S426" s="781">
        <f t="shared" si="83"/>
        <v>0</v>
      </c>
    </row>
    <row r="427" spans="1:19">
      <c r="A427" s="944"/>
      <c r="B427" s="136"/>
      <c r="C427" s="53">
        <f t="shared" si="74"/>
        <v>1</v>
      </c>
      <c r="D427" s="942"/>
      <c r="E427" s="53">
        <f t="shared" si="75"/>
        <v>1</v>
      </c>
      <c r="F427" s="942"/>
      <c r="G427" s="53">
        <f t="shared" si="76"/>
        <v>1</v>
      </c>
      <c r="H427" s="942"/>
      <c r="I427" s="53">
        <f t="shared" si="77"/>
        <v>1</v>
      </c>
      <c r="J427" s="942"/>
      <c r="K427" s="53">
        <f t="shared" si="78"/>
        <v>1</v>
      </c>
      <c r="L427" s="942"/>
      <c r="M427" s="53">
        <f t="shared" si="79"/>
        <v>1</v>
      </c>
      <c r="N427" s="942"/>
      <c r="O427" s="53">
        <f t="shared" si="80"/>
        <v>1</v>
      </c>
      <c r="P427" s="942"/>
      <c r="Q427" s="53">
        <f t="shared" si="81"/>
        <v>1</v>
      </c>
      <c r="R427" s="476">
        <f t="shared" si="82"/>
        <v>0</v>
      </c>
      <c r="S427" s="781">
        <f t="shared" si="83"/>
        <v>0</v>
      </c>
    </row>
    <row r="428" spans="1:19">
      <c r="A428" s="944"/>
      <c r="B428" s="136"/>
      <c r="C428" s="53">
        <f t="shared" si="74"/>
        <v>1</v>
      </c>
      <c r="D428" s="942"/>
      <c r="E428" s="53">
        <f t="shared" si="75"/>
        <v>1</v>
      </c>
      <c r="F428" s="942"/>
      <c r="G428" s="53">
        <f t="shared" si="76"/>
        <v>1</v>
      </c>
      <c r="H428" s="942"/>
      <c r="I428" s="53">
        <f t="shared" si="77"/>
        <v>1</v>
      </c>
      <c r="J428" s="942"/>
      <c r="K428" s="53">
        <f t="shared" si="78"/>
        <v>1</v>
      </c>
      <c r="L428" s="942"/>
      <c r="M428" s="53">
        <f t="shared" si="79"/>
        <v>1</v>
      </c>
      <c r="N428" s="942"/>
      <c r="O428" s="53">
        <f t="shared" si="80"/>
        <v>1</v>
      </c>
      <c r="P428" s="942"/>
      <c r="Q428" s="53">
        <f t="shared" si="81"/>
        <v>1</v>
      </c>
      <c r="R428" s="476">
        <f t="shared" si="82"/>
        <v>0</v>
      </c>
      <c r="S428" s="781">
        <f t="shared" si="83"/>
        <v>0</v>
      </c>
    </row>
    <row r="429" spans="1:19">
      <c r="A429" s="944"/>
      <c r="B429" s="136"/>
      <c r="C429" s="53">
        <f t="shared" si="74"/>
        <v>1</v>
      </c>
      <c r="D429" s="942"/>
      <c r="E429" s="53">
        <f t="shared" si="75"/>
        <v>1</v>
      </c>
      <c r="F429" s="942"/>
      <c r="G429" s="53">
        <f t="shared" si="76"/>
        <v>1</v>
      </c>
      <c r="H429" s="942"/>
      <c r="I429" s="53">
        <f t="shared" si="77"/>
        <v>1</v>
      </c>
      <c r="J429" s="942"/>
      <c r="K429" s="53">
        <f t="shared" si="78"/>
        <v>1</v>
      </c>
      <c r="L429" s="942"/>
      <c r="M429" s="53">
        <f t="shared" si="79"/>
        <v>1</v>
      </c>
      <c r="N429" s="942"/>
      <c r="O429" s="53">
        <f t="shared" si="80"/>
        <v>1</v>
      </c>
      <c r="P429" s="942"/>
      <c r="Q429" s="53">
        <f t="shared" si="81"/>
        <v>1</v>
      </c>
      <c r="R429" s="476">
        <f t="shared" si="82"/>
        <v>0</v>
      </c>
      <c r="S429" s="781">
        <f t="shared" si="83"/>
        <v>0</v>
      </c>
    </row>
    <row r="430" spans="1:19">
      <c r="A430" s="944"/>
      <c r="B430" s="136"/>
      <c r="C430" s="53">
        <f t="shared" si="74"/>
        <v>1</v>
      </c>
      <c r="D430" s="942"/>
      <c r="E430" s="53">
        <f t="shared" si="75"/>
        <v>1</v>
      </c>
      <c r="F430" s="942"/>
      <c r="G430" s="53">
        <f t="shared" si="76"/>
        <v>1</v>
      </c>
      <c r="H430" s="942"/>
      <c r="I430" s="53">
        <f t="shared" si="77"/>
        <v>1</v>
      </c>
      <c r="J430" s="942"/>
      <c r="K430" s="53">
        <f t="shared" si="78"/>
        <v>1</v>
      </c>
      <c r="L430" s="942"/>
      <c r="M430" s="53">
        <f t="shared" si="79"/>
        <v>1</v>
      </c>
      <c r="N430" s="942"/>
      <c r="O430" s="53">
        <f t="shared" si="80"/>
        <v>1</v>
      </c>
      <c r="P430" s="942"/>
      <c r="Q430" s="53">
        <f t="shared" si="81"/>
        <v>1</v>
      </c>
      <c r="R430" s="476">
        <f t="shared" si="82"/>
        <v>0</v>
      </c>
      <c r="S430" s="781">
        <f t="shared" si="83"/>
        <v>0</v>
      </c>
    </row>
    <row r="431" spans="1:19">
      <c r="A431" s="944"/>
      <c r="B431" s="136"/>
      <c r="C431" s="53">
        <f t="shared" si="74"/>
        <v>1</v>
      </c>
      <c r="D431" s="942"/>
      <c r="E431" s="53">
        <f t="shared" si="75"/>
        <v>1</v>
      </c>
      <c r="F431" s="942"/>
      <c r="G431" s="53">
        <f t="shared" si="76"/>
        <v>1</v>
      </c>
      <c r="H431" s="942"/>
      <c r="I431" s="53">
        <f t="shared" si="77"/>
        <v>1</v>
      </c>
      <c r="J431" s="942"/>
      <c r="K431" s="53">
        <f t="shared" si="78"/>
        <v>1</v>
      </c>
      <c r="L431" s="942"/>
      <c r="M431" s="53">
        <f t="shared" si="79"/>
        <v>1</v>
      </c>
      <c r="N431" s="942"/>
      <c r="O431" s="53">
        <f t="shared" si="80"/>
        <v>1</v>
      </c>
      <c r="P431" s="942"/>
      <c r="Q431" s="53">
        <f t="shared" si="81"/>
        <v>1</v>
      </c>
      <c r="R431" s="476">
        <f t="shared" si="82"/>
        <v>0</v>
      </c>
      <c r="S431" s="781">
        <f t="shared" si="83"/>
        <v>0</v>
      </c>
    </row>
    <row r="432" spans="1:19">
      <c r="A432" s="944"/>
      <c r="B432" s="136"/>
      <c r="C432" s="53">
        <f t="shared" si="74"/>
        <v>1</v>
      </c>
      <c r="D432" s="942"/>
      <c r="E432" s="53">
        <f t="shared" si="75"/>
        <v>1</v>
      </c>
      <c r="F432" s="942"/>
      <c r="G432" s="53">
        <f t="shared" si="76"/>
        <v>1</v>
      </c>
      <c r="H432" s="942"/>
      <c r="I432" s="53">
        <f t="shared" si="77"/>
        <v>1</v>
      </c>
      <c r="J432" s="942"/>
      <c r="K432" s="53">
        <f t="shared" si="78"/>
        <v>1</v>
      </c>
      <c r="L432" s="942"/>
      <c r="M432" s="53">
        <f t="shared" si="79"/>
        <v>1</v>
      </c>
      <c r="N432" s="942"/>
      <c r="O432" s="53">
        <f t="shared" si="80"/>
        <v>1</v>
      </c>
      <c r="P432" s="942"/>
      <c r="Q432" s="53">
        <f t="shared" si="81"/>
        <v>1</v>
      </c>
      <c r="R432" s="476">
        <f t="shared" si="82"/>
        <v>0</v>
      </c>
      <c r="S432" s="781">
        <f t="shared" si="83"/>
        <v>0</v>
      </c>
    </row>
    <row r="433" spans="1:19">
      <c r="A433" s="944"/>
      <c r="B433" s="136"/>
      <c r="C433" s="53">
        <f t="shared" si="74"/>
        <v>1</v>
      </c>
      <c r="D433" s="942"/>
      <c r="E433" s="53">
        <f t="shared" si="75"/>
        <v>1</v>
      </c>
      <c r="F433" s="942"/>
      <c r="G433" s="53">
        <f t="shared" si="76"/>
        <v>1</v>
      </c>
      <c r="H433" s="942"/>
      <c r="I433" s="53">
        <f t="shared" si="77"/>
        <v>1</v>
      </c>
      <c r="J433" s="942"/>
      <c r="K433" s="53">
        <f t="shared" si="78"/>
        <v>1</v>
      </c>
      <c r="L433" s="942"/>
      <c r="M433" s="53">
        <f t="shared" si="79"/>
        <v>1</v>
      </c>
      <c r="N433" s="942"/>
      <c r="O433" s="53">
        <f t="shared" si="80"/>
        <v>1</v>
      </c>
      <c r="P433" s="942"/>
      <c r="Q433" s="53">
        <f t="shared" si="81"/>
        <v>1</v>
      </c>
      <c r="R433" s="476">
        <f t="shared" si="82"/>
        <v>0</v>
      </c>
      <c r="S433" s="781">
        <f t="shared" si="83"/>
        <v>0</v>
      </c>
    </row>
    <row r="434" spans="1:19">
      <c r="A434" s="944"/>
      <c r="B434" s="136"/>
      <c r="C434" s="53">
        <f t="shared" si="74"/>
        <v>1</v>
      </c>
      <c r="D434" s="942"/>
      <c r="E434" s="53">
        <f t="shared" si="75"/>
        <v>1</v>
      </c>
      <c r="F434" s="942"/>
      <c r="G434" s="53">
        <f t="shared" si="76"/>
        <v>1</v>
      </c>
      <c r="H434" s="942"/>
      <c r="I434" s="53">
        <f t="shared" si="77"/>
        <v>1</v>
      </c>
      <c r="J434" s="942"/>
      <c r="K434" s="53">
        <f t="shared" si="78"/>
        <v>1</v>
      </c>
      <c r="L434" s="942"/>
      <c r="M434" s="53">
        <f t="shared" si="79"/>
        <v>1</v>
      </c>
      <c r="N434" s="942"/>
      <c r="O434" s="53">
        <f t="shared" si="80"/>
        <v>1</v>
      </c>
      <c r="P434" s="942"/>
      <c r="Q434" s="53">
        <f t="shared" si="81"/>
        <v>1</v>
      </c>
      <c r="R434" s="476">
        <f t="shared" si="82"/>
        <v>0</v>
      </c>
      <c r="S434" s="781">
        <f t="shared" si="83"/>
        <v>0</v>
      </c>
    </row>
    <row r="435" spans="1:19">
      <c r="A435" s="944"/>
      <c r="B435" s="136"/>
      <c r="C435" s="53">
        <f t="shared" si="74"/>
        <v>1</v>
      </c>
      <c r="D435" s="942"/>
      <c r="E435" s="53">
        <f t="shared" si="75"/>
        <v>1</v>
      </c>
      <c r="F435" s="942"/>
      <c r="G435" s="53">
        <f t="shared" si="76"/>
        <v>1</v>
      </c>
      <c r="H435" s="942"/>
      <c r="I435" s="53">
        <f t="shared" si="77"/>
        <v>1</v>
      </c>
      <c r="J435" s="942"/>
      <c r="K435" s="53">
        <f t="shared" si="78"/>
        <v>1</v>
      </c>
      <c r="L435" s="942"/>
      <c r="M435" s="53">
        <f t="shared" si="79"/>
        <v>1</v>
      </c>
      <c r="N435" s="942"/>
      <c r="O435" s="53">
        <f t="shared" si="80"/>
        <v>1</v>
      </c>
      <c r="P435" s="942"/>
      <c r="Q435" s="53">
        <f t="shared" si="81"/>
        <v>1</v>
      </c>
      <c r="R435" s="476">
        <f t="shared" si="82"/>
        <v>0</v>
      </c>
      <c r="S435" s="781">
        <f t="shared" si="83"/>
        <v>0</v>
      </c>
    </row>
    <row r="436" spans="1:19">
      <c r="A436" s="944"/>
      <c r="B436" s="136"/>
      <c r="C436" s="53">
        <f t="shared" si="74"/>
        <v>1</v>
      </c>
      <c r="D436" s="942"/>
      <c r="E436" s="53">
        <f t="shared" si="75"/>
        <v>1</v>
      </c>
      <c r="F436" s="942"/>
      <c r="G436" s="53">
        <f t="shared" si="76"/>
        <v>1</v>
      </c>
      <c r="H436" s="942"/>
      <c r="I436" s="53">
        <f t="shared" si="77"/>
        <v>1</v>
      </c>
      <c r="J436" s="942"/>
      <c r="K436" s="53">
        <f t="shared" si="78"/>
        <v>1</v>
      </c>
      <c r="L436" s="942"/>
      <c r="M436" s="53">
        <f t="shared" si="79"/>
        <v>1</v>
      </c>
      <c r="N436" s="942"/>
      <c r="O436" s="53">
        <f t="shared" si="80"/>
        <v>1</v>
      </c>
      <c r="P436" s="942"/>
      <c r="Q436" s="53">
        <f t="shared" si="81"/>
        <v>1</v>
      </c>
      <c r="R436" s="476">
        <f t="shared" si="82"/>
        <v>0</v>
      </c>
      <c r="S436" s="781">
        <f t="shared" si="83"/>
        <v>0</v>
      </c>
    </row>
    <row r="437" spans="1:19">
      <c r="A437" s="944"/>
      <c r="B437" s="136"/>
      <c r="C437" s="53">
        <f t="shared" si="74"/>
        <v>1</v>
      </c>
      <c r="D437" s="942"/>
      <c r="E437" s="53">
        <f t="shared" si="75"/>
        <v>1</v>
      </c>
      <c r="F437" s="942"/>
      <c r="G437" s="53">
        <f t="shared" si="76"/>
        <v>1</v>
      </c>
      <c r="H437" s="942"/>
      <c r="I437" s="53">
        <f t="shared" si="77"/>
        <v>1</v>
      </c>
      <c r="J437" s="942"/>
      <c r="K437" s="53">
        <f t="shared" si="78"/>
        <v>1</v>
      </c>
      <c r="L437" s="942"/>
      <c r="M437" s="53">
        <f t="shared" si="79"/>
        <v>1</v>
      </c>
      <c r="N437" s="942"/>
      <c r="O437" s="53">
        <f t="shared" si="80"/>
        <v>1</v>
      </c>
      <c r="P437" s="942"/>
      <c r="Q437" s="53">
        <f t="shared" si="81"/>
        <v>1</v>
      </c>
      <c r="R437" s="476">
        <f t="shared" si="82"/>
        <v>0</v>
      </c>
      <c r="S437" s="781">
        <f t="shared" si="83"/>
        <v>0</v>
      </c>
    </row>
    <row r="438" spans="1:19">
      <c r="A438" s="944"/>
      <c r="B438" s="136"/>
      <c r="C438" s="53">
        <f t="shared" si="74"/>
        <v>1</v>
      </c>
      <c r="D438" s="942"/>
      <c r="E438" s="53">
        <f t="shared" si="75"/>
        <v>1</v>
      </c>
      <c r="F438" s="942"/>
      <c r="G438" s="53">
        <f t="shared" si="76"/>
        <v>1</v>
      </c>
      <c r="H438" s="942"/>
      <c r="I438" s="53">
        <f t="shared" si="77"/>
        <v>1</v>
      </c>
      <c r="J438" s="942"/>
      <c r="K438" s="53">
        <f t="shared" si="78"/>
        <v>1</v>
      </c>
      <c r="L438" s="942"/>
      <c r="M438" s="53">
        <f t="shared" si="79"/>
        <v>1</v>
      </c>
      <c r="N438" s="942"/>
      <c r="O438" s="53">
        <f t="shared" si="80"/>
        <v>1</v>
      </c>
      <c r="P438" s="942"/>
      <c r="Q438" s="53">
        <f t="shared" si="81"/>
        <v>1</v>
      </c>
      <c r="R438" s="476">
        <f t="shared" si="82"/>
        <v>0</v>
      </c>
      <c r="S438" s="781">
        <f t="shared" si="83"/>
        <v>0</v>
      </c>
    </row>
    <row r="439" spans="1:19">
      <c r="A439" s="944"/>
      <c r="B439" s="136"/>
      <c r="C439" s="53">
        <f t="shared" si="74"/>
        <v>1</v>
      </c>
      <c r="D439" s="942"/>
      <c r="E439" s="53">
        <f t="shared" si="75"/>
        <v>1</v>
      </c>
      <c r="F439" s="942"/>
      <c r="G439" s="53">
        <f t="shared" si="76"/>
        <v>1</v>
      </c>
      <c r="H439" s="942"/>
      <c r="I439" s="53">
        <f t="shared" si="77"/>
        <v>1</v>
      </c>
      <c r="J439" s="942"/>
      <c r="K439" s="53">
        <f t="shared" si="78"/>
        <v>1</v>
      </c>
      <c r="L439" s="942"/>
      <c r="M439" s="53">
        <f t="shared" si="79"/>
        <v>1</v>
      </c>
      <c r="N439" s="942"/>
      <c r="O439" s="53">
        <f t="shared" si="80"/>
        <v>1</v>
      </c>
      <c r="P439" s="942"/>
      <c r="Q439" s="53">
        <f t="shared" si="81"/>
        <v>1</v>
      </c>
      <c r="R439" s="476">
        <f t="shared" si="82"/>
        <v>0</v>
      </c>
      <c r="S439" s="781">
        <f t="shared" si="83"/>
        <v>0</v>
      </c>
    </row>
    <row r="440" spans="1:19">
      <c r="A440" s="944"/>
      <c r="B440" s="136"/>
      <c r="C440" s="53">
        <f t="shared" si="74"/>
        <v>1</v>
      </c>
      <c r="D440" s="942"/>
      <c r="E440" s="53">
        <f t="shared" si="75"/>
        <v>1</v>
      </c>
      <c r="F440" s="942"/>
      <c r="G440" s="53">
        <f t="shared" si="76"/>
        <v>1</v>
      </c>
      <c r="H440" s="942"/>
      <c r="I440" s="53">
        <f t="shared" si="77"/>
        <v>1</v>
      </c>
      <c r="J440" s="942"/>
      <c r="K440" s="53">
        <f t="shared" si="78"/>
        <v>1</v>
      </c>
      <c r="L440" s="942"/>
      <c r="M440" s="53">
        <f t="shared" si="79"/>
        <v>1</v>
      </c>
      <c r="N440" s="942"/>
      <c r="O440" s="53">
        <f t="shared" si="80"/>
        <v>1</v>
      </c>
      <c r="P440" s="942"/>
      <c r="Q440" s="53">
        <f t="shared" si="81"/>
        <v>1</v>
      </c>
      <c r="R440" s="476">
        <f t="shared" si="82"/>
        <v>0</v>
      </c>
      <c r="S440" s="781">
        <f t="shared" si="83"/>
        <v>0</v>
      </c>
    </row>
    <row r="441" spans="1:19">
      <c r="A441" s="944"/>
      <c r="B441" s="136"/>
      <c r="C441" s="53">
        <f t="shared" si="74"/>
        <v>1</v>
      </c>
      <c r="D441" s="942"/>
      <c r="E441" s="53">
        <f t="shared" si="75"/>
        <v>1</v>
      </c>
      <c r="F441" s="942"/>
      <c r="G441" s="53">
        <f t="shared" si="76"/>
        <v>1</v>
      </c>
      <c r="H441" s="942"/>
      <c r="I441" s="53">
        <f t="shared" si="77"/>
        <v>1</v>
      </c>
      <c r="J441" s="942"/>
      <c r="K441" s="53">
        <f t="shared" si="78"/>
        <v>1</v>
      </c>
      <c r="L441" s="942"/>
      <c r="M441" s="53">
        <f t="shared" si="79"/>
        <v>1</v>
      </c>
      <c r="N441" s="942"/>
      <c r="O441" s="53">
        <f t="shared" si="80"/>
        <v>1</v>
      </c>
      <c r="P441" s="942"/>
      <c r="Q441" s="53">
        <f t="shared" si="81"/>
        <v>1</v>
      </c>
      <c r="R441" s="476">
        <f t="shared" si="82"/>
        <v>0</v>
      </c>
      <c r="S441" s="781">
        <f t="shared" si="83"/>
        <v>0</v>
      </c>
    </row>
    <row r="442" spans="1:19">
      <c r="A442" s="944"/>
      <c r="B442" s="136"/>
      <c r="C442" s="53">
        <f t="shared" si="74"/>
        <v>1</v>
      </c>
      <c r="D442" s="942"/>
      <c r="E442" s="53">
        <f t="shared" si="75"/>
        <v>1</v>
      </c>
      <c r="F442" s="942"/>
      <c r="G442" s="53">
        <f t="shared" si="76"/>
        <v>1</v>
      </c>
      <c r="H442" s="942"/>
      <c r="I442" s="53">
        <f t="shared" si="77"/>
        <v>1</v>
      </c>
      <c r="J442" s="942"/>
      <c r="K442" s="53">
        <f t="shared" si="78"/>
        <v>1</v>
      </c>
      <c r="L442" s="942"/>
      <c r="M442" s="53">
        <f t="shared" si="79"/>
        <v>1</v>
      </c>
      <c r="N442" s="942"/>
      <c r="O442" s="53">
        <f t="shared" si="80"/>
        <v>1</v>
      </c>
      <c r="P442" s="942"/>
      <c r="Q442" s="53">
        <f t="shared" si="81"/>
        <v>1</v>
      </c>
      <c r="R442" s="476">
        <f t="shared" si="82"/>
        <v>0</v>
      </c>
      <c r="S442" s="781">
        <f t="shared" si="83"/>
        <v>0</v>
      </c>
    </row>
    <row r="443" spans="1:19">
      <c r="A443" s="944"/>
      <c r="B443" s="136"/>
      <c r="C443" s="53">
        <f t="shared" si="74"/>
        <v>1</v>
      </c>
      <c r="D443" s="942"/>
      <c r="E443" s="53">
        <f t="shared" si="75"/>
        <v>1</v>
      </c>
      <c r="F443" s="942"/>
      <c r="G443" s="53">
        <f t="shared" si="76"/>
        <v>1</v>
      </c>
      <c r="H443" s="942"/>
      <c r="I443" s="53">
        <f t="shared" si="77"/>
        <v>1</v>
      </c>
      <c r="J443" s="942"/>
      <c r="K443" s="53">
        <f t="shared" si="78"/>
        <v>1</v>
      </c>
      <c r="L443" s="942"/>
      <c r="M443" s="53">
        <f t="shared" si="79"/>
        <v>1</v>
      </c>
      <c r="N443" s="942"/>
      <c r="O443" s="53">
        <f t="shared" si="80"/>
        <v>1</v>
      </c>
      <c r="P443" s="942"/>
      <c r="Q443" s="53">
        <f t="shared" si="81"/>
        <v>1</v>
      </c>
      <c r="R443" s="476">
        <f t="shared" si="82"/>
        <v>0</v>
      </c>
      <c r="S443" s="781">
        <f t="shared" si="83"/>
        <v>0</v>
      </c>
    </row>
    <row r="444" spans="1:19">
      <c r="A444" s="944"/>
      <c r="B444" s="136"/>
      <c r="C444" s="53">
        <f t="shared" si="74"/>
        <v>1</v>
      </c>
      <c r="D444" s="942"/>
      <c r="E444" s="53">
        <f t="shared" si="75"/>
        <v>1</v>
      </c>
      <c r="F444" s="942"/>
      <c r="G444" s="53">
        <f t="shared" si="76"/>
        <v>1</v>
      </c>
      <c r="H444" s="942"/>
      <c r="I444" s="53">
        <f t="shared" si="77"/>
        <v>1</v>
      </c>
      <c r="J444" s="942"/>
      <c r="K444" s="53">
        <f t="shared" si="78"/>
        <v>1</v>
      </c>
      <c r="L444" s="942"/>
      <c r="M444" s="53">
        <f t="shared" si="79"/>
        <v>1</v>
      </c>
      <c r="N444" s="942"/>
      <c r="O444" s="53">
        <f t="shared" si="80"/>
        <v>1</v>
      </c>
      <c r="P444" s="942"/>
      <c r="Q444" s="53">
        <f t="shared" si="81"/>
        <v>1</v>
      </c>
      <c r="R444" s="476">
        <f t="shared" si="82"/>
        <v>0</v>
      </c>
      <c r="S444" s="781">
        <f t="shared" si="83"/>
        <v>0</v>
      </c>
    </row>
    <row r="445" spans="1:19">
      <c r="A445" s="944"/>
      <c r="B445" s="136"/>
      <c r="C445" s="53">
        <f t="shared" si="74"/>
        <v>1</v>
      </c>
      <c r="D445" s="942"/>
      <c r="E445" s="53">
        <f t="shared" si="75"/>
        <v>1</v>
      </c>
      <c r="F445" s="942"/>
      <c r="G445" s="53">
        <f t="shared" si="76"/>
        <v>1</v>
      </c>
      <c r="H445" s="942"/>
      <c r="I445" s="53">
        <f t="shared" si="77"/>
        <v>1</v>
      </c>
      <c r="J445" s="942"/>
      <c r="K445" s="53">
        <f t="shared" si="78"/>
        <v>1</v>
      </c>
      <c r="L445" s="942"/>
      <c r="M445" s="53">
        <f t="shared" si="79"/>
        <v>1</v>
      </c>
      <c r="N445" s="942"/>
      <c r="O445" s="53">
        <f t="shared" si="80"/>
        <v>1</v>
      </c>
      <c r="P445" s="942"/>
      <c r="Q445" s="53">
        <f t="shared" si="81"/>
        <v>1</v>
      </c>
      <c r="R445" s="476">
        <f t="shared" si="82"/>
        <v>0</v>
      </c>
      <c r="S445" s="781">
        <f t="shared" si="83"/>
        <v>0</v>
      </c>
    </row>
    <row r="446" spans="1:19">
      <c r="A446" s="944"/>
      <c r="B446" s="136"/>
      <c r="C446" s="53">
        <f t="shared" si="74"/>
        <v>1</v>
      </c>
      <c r="D446" s="942"/>
      <c r="E446" s="53">
        <f t="shared" si="75"/>
        <v>1</v>
      </c>
      <c r="F446" s="942"/>
      <c r="G446" s="53">
        <f t="shared" si="76"/>
        <v>1</v>
      </c>
      <c r="H446" s="942"/>
      <c r="I446" s="53">
        <f t="shared" si="77"/>
        <v>1</v>
      </c>
      <c r="J446" s="942"/>
      <c r="K446" s="53">
        <f t="shared" si="78"/>
        <v>1</v>
      </c>
      <c r="L446" s="942"/>
      <c r="M446" s="53">
        <f t="shared" si="79"/>
        <v>1</v>
      </c>
      <c r="N446" s="942"/>
      <c r="O446" s="53">
        <f t="shared" si="80"/>
        <v>1</v>
      </c>
      <c r="P446" s="942"/>
      <c r="Q446" s="53">
        <f t="shared" si="81"/>
        <v>1</v>
      </c>
      <c r="R446" s="476">
        <f t="shared" si="82"/>
        <v>0</v>
      </c>
      <c r="S446" s="781">
        <f t="shared" si="83"/>
        <v>0</v>
      </c>
    </row>
    <row r="447" spans="1:19">
      <c r="A447" s="944"/>
      <c r="B447" s="136"/>
      <c r="C447" s="53">
        <f t="shared" si="74"/>
        <v>1</v>
      </c>
      <c r="D447" s="942"/>
      <c r="E447" s="53">
        <f t="shared" si="75"/>
        <v>1</v>
      </c>
      <c r="F447" s="942"/>
      <c r="G447" s="53">
        <f t="shared" si="76"/>
        <v>1</v>
      </c>
      <c r="H447" s="942"/>
      <c r="I447" s="53">
        <f t="shared" si="77"/>
        <v>1</v>
      </c>
      <c r="J447" s="942"/>
      <c r="K447" s="53">
        <f t="shared" si="78"/>
        <v>1</v>
      </c>
      <c r="L447" s="942"/>
      <c r="M447" s="53">
        <f t="shared" si="79"/>
        <v>1</v>
      </c>
      <c r="N447" s="942"/>
      <c r="O447" s="53">
        <f t="shared" si="80"/>
        <v>1</v>
      </c>
      <c r="P447" s="942"/>
      <c r="Q447" s="53">
        <f t="shared" si="81"/>
        <v>1</v>
      </c>
      <c r="R447" s="476">
        <f t="shared" si="82"/>
        <v>0</v>
      </c>
      <c r="S447" s="781">
        <f t="shared" si="83"/>
        <v>0</v>
      </c>
    </row>
    <row r="448" spans="1:19">
      <c r="A448" s="944"/>
      <c r="B448" s="136"/>
      <c r="C448" s="53">
        <f t="shared" si="74"/>
        <v>1</v>
      </c>
      <c r="D448" s="942"/>
      <c r="E448" s="53">
        <f t="shared" si="75"/>
        <v>1</v>
      </c>
      <c r="F448" s="942"/>
      <c r="G448" s="53">
        <f t="shared" si="76"/>
        <v>1</v>
      </c>
      <c r="H448" s="942"/>
      <c r="I448" s="53">
        <f t="shared" si="77"/>
        <v>1</v>
      </c>
      <c r="J448" s="942"/>
      <c r="K448" s="53">
        <f t="shared" si="78"/>
        <v>1</v>
      </c>
      <c r="L448" s="942"/>
      <c r="M448" s="53">
        <f t="shared" si="79"/>
        <v>1</v>
      </c>
      <c r="N448" s="942"/>
      <c r="O448" s="53">
        <f t="shared" si="80"/>
        <v>1</v>
      </c>
      <c r="P448" s="942"/>
      <c r="Q448" s="53">
        <f t="shared" si="81"/>
        <v>1</v>
      </c>
      <c r="R448" s="476">
        <f t="shared" si="82"/>
        <v>0</v>
      </c>
      <c r="S448" s="781">
        <f t="shared" si="83"/>
        <v>0</v>
      </c>
    </row>
    <row r="449" spans="1:19">
      <c r="A449" s="944"/>
      <c r="B449" s="136"/>
      <c r="C449" s="53">
        <f t="shared" si="74"/>
        <v>1</v>
      </c>
      <c r="D449" s="942"/>
      <c r="E449" s="53">
        <f t="shared" si="75"/>
        <v>1</v>
      </c>
      <c r="F449" s="942"/>
      <c r="G449" s="53">
        <f t="shared" si="76"/>
        <v>1</v>
      </c>
      <c r="H449" s="942"/>
      <c r="I449" s="53">
        <f t="shared" si="77"/>
        <v>1</v>
      </c>
      <c r="J449" s="942"/>
      <c r="K449" s="53">
        <f t="shared" si="78"/>
        <v>1</v>
      </c>
      <c r="L449" s="942"/>
      <c r="M449" s="53">
        <f t="shared" si="79"/>
        <v>1</v>
      </c>
      <c r="N449" s="942"/>
      <c r="O449" s="53">
        <f t="shared" si="80"/>
        <v>1</v>
      </c>
      <c r="P449" s="942"/>
      <c r="Q449" s="53">
        <f t="shared" si="81"/>
        <v>1</v>
      </c>
      <c r="R449" s="476">
        <f t="shared" si="82"/>
        <v>0</v>
      </c>
      <c r="S449" s="781">
        <f t="shared" si="83"/>
        <v>0</v>
      </c>
    </row>
    <row r="450" spans="1:19">
      <c r="A450" s="944"/>
      <c r="B450" s="136"/>
      <c r="C450" s="53">
        <f t="shared" si="74"/>
        <v>1</v>
      </c>
      <c r="D450" s="942"/>
      <c r="E450" s="53">
        <f t="shared" si="75"/>
        <v>1</v>
      </c>
      <c r="F450" s="942"/>
      <c r="G450" s="53">
        <f t="shared" si="76"/>
        <v>1</v>
      </c>
      <c r="H450" s="942"/>
      <c r="I450" s="53">
        <f t="shared" si="77"/>
        <v>1</v>
      </c>
      <c r="J450" s="942"/>
      <c r="K450" s="53">
        <f t="shared" si="78"/>
        <v>1</v>
      </c>
      <c r="L450" s="942"/>
      <c r="M450" s="53">
        <f t="shared" si="79"/>
        <v>1</v>
      </c>
      <c r="N450" s="942"/>
      <c r="O450" s="53">
        <f t="shared" si="80"/>
        <v>1</v>
      </c>
      <c r="P450" s="942"/>
      <c r="Q450" s="53">
        <f t="shared" si="81"/>
        <v>1</v>
      </c>
      <c r="R450" s="476">
        <f t="shared" si="82"/>
        <v>0</v>
      </c>
      <c r="S450" s="781">
        <f t="shared" si="83"/>
        <v>0</v>
      </c>
    </row>
    <row r="451" spans="1:19">
      <c r="A451" s="944"/>
      <c r="B451" s="136"/>
      <c r="C451" s="53">
        <f t="shared" si="74"/>
        <v>1</v>
      </c>
      <c r="D451" s="942"/>
      <c r="E451" s="53">
        <f t="shared" si="75"/>
        <v>1</v>
      </c>
      <c r="F451" s="942"/>
      <c r="G451" s="53">
        <f t="shared" si="76"/>
        <v>1</v>
      </c>
      <c r="H451" s="942"/>
      <c r="I451" s="53">
        <f t="shared" si="77"/>
        <v>1</v>
      </c>
      <c r="J451" s="942"/>
      <c r="K451" s="53">
        <f t="shared" si="78"/>
        <v>1</v>
      </c>
      <c r="L451" s="942"/>
      <c r="M451" s="53">
        <f t="shared" si="79"/>
        <v>1</v>
      </c>
      <c r="N451" s="942"/>
      <c r="O451" s="53">
        <f t="shared" si="80"/>
        <v>1</v>
      </c>
      <c r="P451" s="942"/>
      <c r="Q451" s="53">
        <f t="shared" si="81"/>
        <v>1</v>
      </c>
      <c r="R451" s="476">
        <f t="shared" si="82"/>
        <v>0</v>
      </c>
      <c r="S451" s="781">
        <f t="shared" si="83"/>
        <v>0</v>
      </c>
    </row>
    <row r="452" spans="1:19">
      <c r="A452" s="944"/>
      <c r="B452" s="136"/>
      <c r="C452" s="53">
        <f t="shared" si="74"/>
        <v>1</v>
      </c>
      <c r="D452" s="942"/>
      <c r="E452" s="53">
        <f t="shared" si="75"/>
        <v>1</v>
      </c>
      <c r="F452" s="942"/>
      <c r="G452" s="53">
        <f t="shared" si="76"/>
        <v>1</v>
      </c>
      <c r="H452" s="942"/>
      <c r="I452" s="53">
        <f t="shared" si="77"/>
        <v>1</v>
      </c>
      <c r="J452" s="942"/>
      <c r="K452" s="53">
        <f t="shared" si="78"/>
        <v>1</v>
      </c>
      <c r="L452" s="942"/>
      <c r="M452" s="53">
        <f t="shared" si="79"/>
        <v>1</v>
      </c>
      <c r="N452" s="942"/>
      <c r="O452" s="53">
        <f t="shared" si="80"/>
        <v>1</v>
      </c>
      <c r="P452" s="942"/>
      <c r="Q452" s="53">
        <f t="shared" si="81"/>
        <v>1</v>
      </c>
      <c r="R452" s="476">
        <f t="shared" si="82"/>
        <v>0</v>
      </c>
      <c r="S452" s="781">
        <f t="shared" si="83"/>
        <v>0</v>
      </c>
    </row>
    <row r="453" spans="1:19">
      <c r="A453" s="944"/>
      <c r="B453" s="136"/>
      <c r="C453" s="53">
        <f t="shared" si="74"/>
        <v>1</v>
      </c>
      <c r="D453" s="942"/>
      <c r="E453" s="53">
        <f t="shared" si="75"/>
        <v>1</v>
      </c>
      <c r="F453" s="942"/>
      <c r="G453" s="53">
        <f t="shared" si="76"/>
        <v>1</v>
      </c>
      <c r="H453" s="942"/>
      <c r="I453" s="53">
        <f t="shared" si="77"/>
        <v>1</v>
      </c>
      <c r="J453" s="942"/>
      <c r="K453" s="53">
        <f t="shared" si="78"/>
        <v>1</v>
      </c>
      <c r="L453" s="942"/>
      <c r="M453" s="53">
        <f t="shared" si="79"/>
        <v>1</v>
      </c>
      <c r="N453" s="942"/>
      <c r="O453" s="53">
        <f t="shared" si="80"/>
        <v>1</v>
      </c>
      <c r="P453" s="942"/>
      <c r="Q453" s="53">
        <f t="shared" si="81"/>
        <v>1</v>
      </c>
      <c r="R453" s="476">
        <f t="shared" si="82"/>
        <v>0</v>
      </c>
      <c r="S453" s="781">
        <f t="shared" si="83"/>
        <v>0</v>
      </c>
    </row>
    <row r="454" spans="1:19">
      <c r="A454" s="944"/>
      <c r="B454" s="136"/>
      <c r="C454" s="53">
        <f t="shared" si="74"/>
        <v>1</v>
      </c>
      <c r="D454" s="942"/>
      <c r="E454" s="53">
        <f t="shared" si="75"/>
        <v>1</v>
      </c>
      <c r="F454" s="942"/>
      <c r="G454" s="53">
        <f t="shared" si="76"/>
        <v>1</v>
      </c>
      <c r="H454" s="942"/>
      <c r="I454" s="53">
        <f t="shared" si="77"/>
        <v>1</v>
      </c>
      <c r="J454" s="942"/>
      <c r="K454" s="53">
        <f t="shared" si="78"/>
        <v>1</v>
      </c>
      <c r="L454" s="942"/>
      <c r="M454" s="53">
        <f t="shared" si="79"/>
        <v>1</v>
      </c>
      <c r="N454" s="942"/>
      <c r="O454" s="53">
        <f t="shared" si="80"/>
        <v>1</v>
      </c>
      <c r="P454" s="942"/>
      <c r="Q454" s="53">
        <f t="shared" si="81"/>
        <v>1</v>
      </c>
      <c r="R454" s="476">
        <f t="shared" si="82"/>
        <v>0</v>
      </c>
      <c r="S454" s="781">
        <f t="shared" si="83"/>
        <v>0</v>
      </c>
    </row>
    <row r="455" spans="1:19">
      <c r="A455" s="944"/>
      <c r="B455" s="136"/>
      <c r="C455" s="53">
        <f t="shared" si="74"/>
        <v>1</v>
      </c>
      <c r="D455" s="942"/>
      <c r="E455" s="53">
        <f t="shared" si="75"/>
        <v>1</v>
      </c>
      <c r="F455" s="942"/>
      <c r="G455" s="53">
        <f t="shared" si="76"/>
        <v>1</v>
      </c>
      <c r="H455" s="942"/>
      <c r="I455" s="53">
        <f t="shared" si="77"/>
        <v>1</v>
      </c>
      <c r="J455" s="942"/>
      <c r="K455" s="53">
        <f t="shared" si="78"/>
        <v>1</v>
      </c>
      <c r="L455" s="942"/>
      <c r="M455" s="53">
        <f t="shared" si="79"/>
        <v>1</v>
      </c>
      <c r="N455" s="942"/>
      <c r="O455" s="53">
        <f t="shared" si="80"/>
        <v>1</v>
      </c>
      <c r="P455" s="942"/>
      <c r="Q455" s="53">
        <f t="shared" si="81"/>
        <v>1</v>
      </c>
      <c r="R455" s="476">
        <f t="shared" si="82"/>
        <v>0</v>
      </c>
      <c r="S455" s="781">
        <f t="shared" si="83"/>
        <v>0</v>
      </c>
    </row>
    <row r="456" spans="1:19">
      <c r="A456" s="944"/>
      <c r="B456" s="136"/>
      <c r="C456" s="53">
        <f t="shared" si="74"/>
        <v>1</v>
      </c>
      <c r="D456" s="942"/>
      <c r="E456" s="53">
        <f t="shared" si="75"/>
        <v>1</v>
      </c>
      <c r="F456" s="942"/>
      <c r="G456" s="53">
        <f t="shared" si="76"/>
        <v>1</v>
      </c>
      <c r="H456" s="942"/>
      <c r="I456" s="53">
        <f t="shared" si="77"/>
        <v>1</v>
      </c>
      <c r="J456" s="942"/>
      <c r="K456" s="53">
        <f t="shared" si="78"/>
        <v>1</v>
      </c>
      <c r="L456" s="942"/>
      <c r="M456" s="53">
        <f t="shared" si="79"/>
        <v>1</v>
      </c>
      <c r="N456" s="942"/>
      <c r="O456" s="53">
        <f t="shared" si="80"/>
        <v>1</v>
      </c>
      <c r="P456" s="942"/>
      <c r="Q456" s="53">
        <f t="shared" si="81"/>
        <v>1</v>
      </c>
      <c r="R456" s="476">
        <f t="shared" si="82"/>
        <v>0</v>
      </c>
      <c r="S456" s="781">
        <f t="shared" si="83"/>
        <v>0</v>
      </c>
    </row>
    <row r="457" spans="1:19">
      <c r="A457" s="944"/>
      <c r="B457" s="136"/>
      <c r="C457" s="53">
        <f t="shared" si="74"/>
        <v>1</v>
      </c>
      <c r="D457" s="942"/>
      <c r="E457" s="53">
        <f t="shared" si="75"/>
        <v>1</v>
      </c>
      <c r="F457" s="942"/>
      <c r="G457" s="53">
        <f t="shared" si="76"/>
        <v>1</v>
      </c>
      <c r="H457" s="942"/>
      <c r="I457" s="53">
        <f t="shared" si="77"/>
        <v>1</v>
      </c>
      <c r="J457" s="942"/>
      <c r="K457" s="53">
        <f t="shared" si="78"/>
        <v>1</v>
      </c>
      <c r="L457" s="942"/>
      <c r="M457" s="53">
        <f t="shared" si="79"/>
        <v>1</v>
      </c>
      <c r="N457" s="942"/>
      <c r="O457" s="53">
        <f t="shared" si="80"/>
        <v>1</v>
      </c>
      <c r="P457" s="942"/>
      <c r="Q457" s="53">
        <f t="shared" si="81"/>
        <v>1</v>
      </c>
      <c r="R457" s="476">
        <f t="shared" si="82"/>
        <v>0</v>
      </c>
      <c r="S457" s="781">
        <f t="shared" si="83"/>
        <v>0</v>
      </c>
    </row>
    <row r="458" spans="1:19">
      <c r="A458" s="944"/>
      <c r="B458" s="136"/>
      <c r="C458" s="53">
        <f t="shared" si="74"/>
        <v>1</v>
      </c>
      <c r="D458" s="942"/>
      <c r="E458" s="53">
        <f t="shared" si="75"/>
        <v>1</v>
      </c>
      <c r="F458" s="942"/>
      <c r="G458" s="53">
        <f t="shared" si="76"/>
        <v>1</v>
      </c>
      <c r="H458" s="942"/>
      <c r="I458" s="53">
        <f t="shared" si="77"/>
        <v>1</v>
      </c>
      <c r="J458" s="942"/>
      <c r="K458" s="53">
        <f t="shared" si="78"/>
        <v>1</v>
      </c>
      <c r="L458" s="942"/>
      <c r="M458" s="53">
        <f t="shared" si="79"/>
        <v>1</v>
      </c>
      <c r="N458" s="942"/>
      <c r="O458" s="53">
        <f t="shared" si="80"/>
        <v>1</v>
      </c>
      <c r="P458" s="942"/>
      <c r="Q458" s="53">
        <f t="shared" si="81"/>
        <v>1</v>
      </c>
      <c r="R458" s="476">
        <f t="shared" si="82"/>
        <v>0</v>
      </c>
      <c r="S458" s="781">
        <f t="shared" si="83"/>
        <v>0</v>
      </c>
    </row>
    <row r="459" spans="1:19">
      <c r="A459" s="944"/>
      <c r="B459" s="136"/>
      <c r="C459" s="53">
        <f t="shared" si="74"/>
        <v>1</v>
      </c>
      <c r="D459" s="942"/>
      <c r="E459" s="53">
        <f t="shared" si="75"/>
        <v>1</v>
      </c>
      <c r="F459" s="942"/>
      <c r="G459" s="53">
        <f t="shared" si="76"/>
        <v>1</v>
      </c>
      <c r="H459" s="942"/>
      <c r="I459" s="53">
        <f t="shared" si="77"/>
        <v>1</v>
      </c>
      <c r="J459" s="942"/>
      <c r="K459" s="53">
        <f t="shared" si="78"/>
        <v>1</v>
      </c>
      <c r="L459" s="942"/>
      <c r="M459" s="53">
        <f t="shared" si="79"/>
        <v>1</v>
      </c>
      <c r="N459" s="942"/>
      <c r="O459" s="53">
        <f t="shared" si="80"/>
        <v>1</v>
      </c>
      <c r="P459" s="942"/>
      <c r="Q459" s="53">
        <f t="shared" si="81"/>
        <v>1</v>
      </c>
      <c r="R459" s="476">
        <f t="shared" si="82"/>
        <v>0</v>
      </c>
      <c r="S459" s="781">
        <f t="shared" si="83"/>
        <v>0</v>
      </c>
    </row>
    <row r="460" spans="1:19">
      <c r="A460" s="944"/>
      <c r="B460" s="136"/>
      <c r="C460" s="53">
        <f t="shared" si="74"/>
        <v>1</v>
      </c>
      <c r="D460" s="942"/>
      <c r="E460" s="53">
        <f t="shared" si="75"/>
        <v>1</v>
      </c>
      <c r="F460" s="942"/>
      <c r="G460" s="53">
        <f t="shared" si="76"/>
        <v>1</v>
      </c>
      <c r="H460" s="942"/>
      <c r="I460" s="53">
        <f t="shared" si="77"/>
        <v>1</v>
      </c>
      <c r="J460" s="942"/>
      <c r="K460" s="53">
        <f t="shared" si="78"/>
        <v>1</v>
      </c>
      <c r="L460" s="942"/>
      <c r="M460" s="53">
        <f t="shared" si="79"/>
        <v>1</v>
      </c>
      <c r="N460" s="942"/>
      <c r="O460" s="53">
        <f t="shared" si="80"/>
        <v>1</v>
      </c>
      <c r="P460" s="942"/>
      <c r="Q460" s="53">
        <f t="shared" si="81"/>
        <v>1</v>
      </c>
      <c r="R460" s="476">
        <f t="shared" si="82"/>
        <v>0</v>
      </c>
      <c r="S460" s="781">
        <f t="shared" si="83"/>
        <v>0</v>
      </c>
    </row>
    <row r="461" spans="1:19">
      <c r="A461" s="944"/>
      <c r="B461" s="136"/>
      <c r="C461" s="53">
        <f t="shared" si="74"/>
        <v>1</v>
      </c>
      <c r="D461" s="942"/>
      <c r="E461" s="53">
        <f t="shared" si="75"/>
        <v>1</v>
      </c>
      <c r="F461" s="942"/>
      <c r="G461" s="53">
        <f t="shared" si="76"/>
        <v>1</v>
      </c>
      <c r="H461" s="942"/>
      <c r="I461" s="53">
        <f t="shared" si="77"/>
        <v>1</v>
      </c>
      <c r="J461" s="942"/>
      <c r="K461" s="53">
        <f t="shared" si="78"/>
        <v>1</v>
      </c>
      <c r="L461" s="942"/>
      <c r="M461" s="53">
        <f t="shared" si="79"/>
        <v>1</v>
      </c>
      <c r="N461" s="942"/>
      <c r="O461" s="53">
        <f t="shared" si="80"/>
        <v>1</v>
      </c>
      <c r="P461" s="942"/>
      <c r="Q461" s="53">
        <f t="shared" si="81"/>
        <v>1</v>
      </c>
      <c r="R461" s="476">
        <f t="shared" si="82"/>
        <v>0</v>
      </c>
      <c r="S461" s="781">
        <f t="shared" si="83"/>
        <v>0</v>
      </c>
    </row>
    <row r="462" spans="1:19">
      <c r="A462" s="944"/>
      <c r="B462" s="136"/>
      <c r="C462" s="53">
        <f t="shared" si="74"/>
        <v>1</v>
      </c>
      <c r="D462" s="942"/>
      <c r="E462" s="53">
        <f t="shared" si="75"/>
        <v>1</v>
      </c>
      <c r="F462" s="942"/>
      <c r="G462" s="53">
        <f t="shared" si="76"/>
        <v>1</v>
      </c>
      <c r="H462" s="942"/>
      <c r="I462" s="53">
        <f t="shared" si="77"/>
        <v>1</v>
      </c>
      <c r="J462" s="942"/>
      <c r="K462" s="53">
        <f t="shared" si="78"/>
        <v>1</v>
      </c>
      <c r="L462" s="942"/>
      <c r="M462" s="53">
        <f t="shared" si="79"/>
        <v>1</v>
      </c>
      <c r="N462" s="942"/>
      <c r="O462" s="53">
        <f t="shared" si="80"/>
        <v>1</v>
      </c>
      <c r="P462" s="942"/>
      <c r="Q462" s="53">
        <f t="shared" si="81"/>
        <v>1</v>
      </c>
      <c r="R462" s="476">
        <f t="shared" si="82"/>
        <v>0</v>
      </c>
      <c r="S462" s="781">
        <f t="shared" si="83"/>
        <v>0</v>
      </c>
    </row>
    <row r="463" spans="1:19">
      <c r="A463" s="944"/>
      <c r="B463" s="136"/>
      <c r="C463" s="53">
        <f t="shared" si="74"/>
        <v>1</v>
      </c>
      <c r="D463" s="942"/>
      <c r="E463" s="53">
        <f t="shared" si="75"/>
        <v>1</v>
      </c>
      <c r="F463" s="942"/>
      <c r="G463" s="53">
        <f t="shared" si="76"/>
        <v>1</v>
      </c>
      <c r="H463" s="942"/>
      <c r="I463" s="53">
        <f t="shared" si="77"/>
        <v>1</v>
      </c>
      <c r="J463" s="942"/>
      <c r="K463" s="53">
        <f t="shared" si="78"/>
        <v>1</v>
      </c>
      <c r="L463" s="942"/>
      <c r="M463" s="53">
        <f t="shared" si="79"/>
        <v>1</v>
      </c>
      <c r="N463" s="942"/>
      <c r="O463" s="53">
        <f t="shared" si="80"/>
        <v>1</v>
      </c>
      <c r="P463" s="942"/>
      <c r="Q463" s="53">
        <f t="shared" si="81"/>
        <v>1</v>
      </c>
      <c r="R463" s="476">
        <f t="shared" si="82"/>
        <v>0</v>
      </c>
      <c r="S463" s="781">
        <f t="shared" si="83"/>
        <v>0</v>
      </c>
    </row>
    <row r="464" spans="1:19">
      <c r="A464" s="944"/>
      <c r="B464" s="136"/>
      <c r="C464" s="53">
        <f t="shared" si="74"/>
        <v>1</v>
      </c>
      <c r="D464" s="942"/>
      <c r="E464" s="53">
        <f t="shared" si="75"/>
        <v>1</v>
      </c>
      <c r="F464" s="942"/>
      <c r="G464" s="53">
        <f t="shared" si="76"/>
        <v>1</v>
      </c>
      <c r="H464" s="942"/>
      <c r="I464" s="53">
        <f t="shared" si="77"/>
        <v>1</v>
      </c>
      <c r="J464" s="942"/>
      <c r="K464" s="53">
        <f t="shared" si="78"/>
        <v>1</v>
      </c>
      <c r="L464" s="942"/>
      <c r="M464" s="53">
        <f t="shared" si="79"/>
        <v>1</v>
      </c>
      <c r="N464" s="942"/>
      <c r="O464" s="53">
        <f t="shared" si="80"/>
        <v>1</v>
      </c>
      <c r="P464" s="942"/>
      <c r="Q464" s="53">
        <f t="shared" si="81"/>
        <v>1</v>
      </c>
      <c r="R464" s="476">
        <f t="shared" si="82"/>
        <v>0</v>
      </c>
      <c r="S464" s="781">
        <f t="shared" si="83"/>
        <v>0</v>
      </c>
    </row>
    <row r="465" spans="1:19">
      <c r="A465" s="944"/>
      <c r="B465" s="136"/>
      <c r="C465" s="53">
        <f t="shared" si="74"/>
        <v>1</v>
      </c>
      <c r="D465" s="942"/>
      <c r="E465" s="53">
        <f t="shared" si="75"/>
        <v>1</v>
      </c>
      <c r="F465" s="942"/>
      <c r="G465" s="53">
        <f t="shared" si="76"/>
        <v>1</v>
      </c>
      <c r="H465" s="942"/>
      <c r="I465" s="53">
        <f t="shared" si="77"/>
        <v>1</v>
      </c>
      <c r="J465" s="942"/>
      <c r="K465" s="53">
        <f t="shared" si="78"/>
        <v>1</v>
      </c>
      <c r="L465" s="942"/>
      <c r="M465" s="53">
        <f t="shared" si="79"/>
        <v>1</v>
      </c>
      <c r="N465" s="942"/>
      <c r="O465" s="53">
        <f t="shared" si="80"/>
        <v>1</v>
      </c>
      <c r="P465" s="942"/>
      <c r="Q465" s="53">
        <f t="shared" si="81"/>
        <v>1</v>
      </c>
      <c r="R465" s="476">
        <f t="shared" si="82"/>
        <v>0</v>
      </c>
      <c r="S465" s="781">
        <f t="shared" si="83"/>
        <v>0</v>
      </c>
    </row>
    <row r="466" spans="1:19">
      <c r="A466" s="944"/>
      <c r="B466" s="136"/>
      <c r="C466" s="53">
        <f t="shared" si="74"/>
        <v>1</v>
      </c>
      <c r="D466" s="942"/>
      <c r="E466" s="53">
        <f t="shared" si="75"/>
        <v>1</v>
      </c>
      <c r="F466" s="942"/>
      <c r="G466" s="53">
        <f t="shared" si="76"/>
        <v>1</v>
      </c>
      <c r="H466" s="942"/>
      <c r="I466" s="53">
        <f t="shared" si="77"/>
        <v>1</v>
      </c>
      <c r="J466" s="942"/>
      <c r="K466" s="53">
        <f t="shared" si="78"/>
        <v>1</v>
      </c>
      <c r="L466" s="942"/>
      <c r="M466" s="53">
        <f t="shared" si="79"/>
        <v>1</v>
      </c>
      <c r="N466" s="942"/>
      <c r="O466" s="53">
        <f t="shared" si="80"/>
        <v>1</v>
      </c>
      <c r="P466" s="942"/>
      <c r="Q466" s="53">
        <f t="shared" si="81"/>
        <v>1</v>
      </c>
      <c r="R466" s="476">
        <f t="shared" si="82"/>
        <v>0</v>
      </c>
      <c r="S466" s="781">
        <f t="shared" si="83"/>
        <v>0</v>
      </c>
    </row>
    <row r="467" spans="1:19">
      <c r="A467" s="944"/>
      <c r="B467" s="136"/>
      <c r="C467" s="53">
        <f t="shared" si="74"/>
        <v>1</v>
      </c>
      <c r="D467" s="942"/>
      <c r="E467" s="53">
        <f t="shared" si="75"/>
        <v>1</v>
      </c>
      <c r="F467" s="942"/>
      <c r="G467" s="53">
        <f t="shared" si="76"/>
        <v>1</v>
      </c>
      <c r="H467" s="942"/>
      <c r="I467" s="53">
        <f t="shared" si="77"/>
        <v>1</v>
      </c>
      <c r="J467" s="942"/>
      <c r="K467" s="53">
        <f t="shared" si="78"/>
        <v>1</v>
      </c>
      <c r="L467" s="942"/>
      <c r="M467" s="53">
        <f t="shared" si="79"/>
        <v>1</v>
      </c>
      <c r="N467" s="942"/>
      <c r="O467" s="53">
        <f t="shared" si="80"/>
        <v>1</v>
      </c>
      <c r="P467" s="942"/>
      <c r="Q467" s="53">
        <f t="shared" si="81"/>
        <v>1</v>
      </c>
      <c r="R467" s="476">
        <f t="shared" si="82"/>
        <v>0</v>
      </c>
      <c r="S467" s="781">
        <f t="shared" si="83"/>
        <v>0</v>
      </c>
    </row>
    <row r="468" spans="1:19">
      <c r="A468" s="944"/>
      <c r="B468" s="136"/>
      <c r="C468" s="53">
        <f t="shared" si="74"/>
        <v>1</v>
      </c>
      <c r="D468" s="942"/>
      <c r="E468" s="53">
        <f t="shared" si="75"/>
        <v>1</v>
      </c>
      <c r="F468" s="942"/>
      <c r="G468" s="53">
        <f t="shared" si="76"/>
        <v>1</v>
      </c>
      <c r="H468" s="942"/>
      <c r="I468" s="53">
        <f t="shared" si="77"/>
        <v>1</v>
      </c>
      <c r="J468" s="942"/>
      <c r="K468" s="53">
        <f t="shared" si="78"/>
        <v>1</v>
      </c>
      <c r="L468" s="942"/>
      <c r="M468" s="53">
        <f t="shared" si="79"/>
        <v>1</v>
      </c>
      <c r="N468" s="942"/>
      <c r="O468" s="53">
        <f t="shared" si="80"/>
        <v>1</v>
      </c>
      <c r="P468" s="942"/>
      <c r="Q468" s="53">
        <f t="shared" si="81"/>
        <v>1</v>
      </c>
      <c r="R468" s="476">
        <f t="shared" si="82"/>
        <v>0</v>
      </c>
      <c r="S468" s="781">
        <f t="shared" ref="S468:S497" si="84">ROUND(R468*B468/10000,0)</f>
        <v>0</v>
      </c>
    </row>
    <row r="469" spans="1:19">
      <c r="A469" s="944"/>
      <c r="B469" s="136"/>
      <c r="C469" s="53">
        <f t="shared" si="74"/>
        <v>1</v>
      </c>
      <c r="D469" s="942"/>
      <c r="E469" s="53">
        <f t="shared" si="75"/>
        <v>1</v>
      </c>
      <c r="F469" s="942"/>
      <c r="G469" s="53">
        <f t="shared" si="76"/>
        <v>1</v>
      </c>
      <c r="H469" s="942"/>
      <c r="I469" s="53">
        <f t="shared" si="77"/>
        <v>1</v>
      </c>
      <c r="J469" s="942"/>
      <c r="K469" s="53">
        <f t="shared" si="78"/>
        <v>1</v>
      </c>
      <c r="L469" s="942"/>
      <c r="M469" s="53">
        <f t="shared" si="79"/>
        <v>1</v>
      </c>
      <c r="N469" s="942"/>
      <c r="O469" s="53">
        <f t="shared" si="80"/>
        <v>1</v>
      </c>
      <c r="P469" s="942"/>
      <c r="Q469" s="53">
        <f t="shared" si="81"/>
        <v>1</v>
      </c>
      <c r="R469" s="476">
        <f t="shared" si="82"/>
        <v>0</v>
      </c>
      <c r="S469" s="781">
        <f t="shared" si="84"/>
        <v>0</v>
      </c>
    </row>
    <row r="470" spans="1:19">
      <c r="A470" s="944"/>
      <c r="B470" s="136"/>
      <c r="C470" s="53">
        <f t="shared" si="74"/>
        <v>1</v>
      </c>
      <c r="D470" s="942"/>
      <c r="E470" s="53">
        <f t="shared" si="75"/>
        <v>1</v>
      </c>
      <c r="F470" s="942"/>
      <c r="G470" s="53">
        <f t="shared" si="76"/>
        <v>1</v>
      </c>
      <c r="H470" s="942"/>
      <c r="I470" s="53">
        <f t="shared" si="77"/>
        <v>1</v>
      </c>
      <c r="J470" s="942"/>
      <c r="K470" s="53">
        <f t="shared" si="78"/>
        <v>1</v>
      </c>
      <c r="L470" s="942"/>
      <c r="M470" s="53">
        <f t="shared" si="79"/>
        <v>1</v>
      </c>
      <c r="N470" s="942"/>
      <c r="O470" s="53">
        <f t="shared" si="80"/>
        <v>1</v>
      </c>
      <c r="P470" s="942"/>
      <c r="Q470" s="53">
        <f t="shared" si="81"/>
        <v>1</v>
      </c>
      <c r="R470" s="476">
        <f t="shared" si="82"/>
        <v>0</v>
      </c>
      <c r="S470" s="781">
        <f t="shared" si="84"/>
        <v>0</v>
      </c>
    </row>
    <row r="471" spans="1:19">
      <c r="A471" s="944"/>
      <c r="B471" s="136"/>
      <c r="C471" s="53">
        <f t="shared" si="74"/>
        <v>1</v>
      </c>
      <c r="D471" s="942"/>
      <c r="E471" s="53">
        <f t="shared" si="75"/>
        <v>1</v>
      </c>
      <c r="F471" s="942"/>
      <c r="G471" s="53">
        <f t="shared" si="76"/>
        <v>1</v>
      </c>
      <c r="H471" s="942"/>
      <c r="I471" s="53">
        <f t="shared" si="77"/>
        <v>1</v>
      </c>
      <c r="J471" s="942"/>
      <c r="K471" s="53">
        <f t="shared" si="78"/>
        <v>1</v>
      </c>
      <c r="L471" s="942"/>
      <c r="M471" s="53">
        <f t="shared" si="79"/>
        <v>1</v>
      </c>
      <c r="N471" s="942"/>
      <c r="O471" s="53">
        <f t="shared" si="80"/>
        <v>1</v>
      </c>
      <c r="P471" s="942"/>
      <c r="Q471" s="53">
        <f t="shared" si="81"/>
        <v>1</v>
      </c>
      <c r="R471" s="476">
        <f t="shared" si="82"/>
        <v>0</v>
      </c>
      <c r="S471" s="781">
        <f t="shared" si="84"/>
        <v>0</v>
      </c>
    </row>
    <row r="472" spans="1:19">
      <c r="A472" s="944"/>
      <c r="B472" s="136"/>
      <c r="C472" s="53">
        <f t="shared" si="74"/>
        <v>1</v>
      </c>
      <c r="D472" s="942"/>
      <c r="E472" s="53">
        <f t="shared" si="75"/>
        <v>1</v>
      </c>
      <c r="F472" s="942"/>
      <c r="G472" s="53">
        <f t="shared" si="76"/>
        <v>1</v>
      </c>
      <c r="H472" s="942"/>
      <c r="I472" s="53">
        <f t="shared" si="77"/>
        <v>1</v>
      </c>
      <c r="J472" s="942"/>
      <c r="K472" s="53">
        <f t="shared" si="78"/>
        <v>1</v>
      </c>
      <c r="L472" s="942"/>
      <c r="M472" s="53">
        <f t="shared" si="79"/>
        <v>1</v>
      </c>
      <c r="N472" s="942"/>
      <c r="O472" s="53">
        <f t="shared" si="80"/>
        <v>1</v>
      </c>
      <c r="P472" s="942"/>
      <c r="Q472" s="53">
        <f t="shared" si="81"/>
        <v>1</v>
      </c>
      <c r="R472" s="476">
        <f t="shared" si="82"/>
        <v>0</v>
      </c>
      <c r="S472" s="781">
        <f t="shared" si="84"/>
        <v>0</v>
      </c>
    </row>
    <row r="473" spans="1:19">
      <c r="A473" s="944"/>
      <c r="B473" s="136"/>
      <c r="C473" s="53">
        <f t="shared" si="74"/>
        <v>1</v>
      </c>
      <c r="D473" s="942"/>
      <c r="E473" s="53">
        <f t="shared" si="75"/>
        <v>1</v>
      </c>
      <c r="F473" s="942"/>
      <c r="G473" s="53">
        <f t="shared" si="76"/>
        <v>1</v>
      </c>
      <c r="H473" s="942"/>
      <c r="I473" s="53">
        <f t="shared" si="77"/>
        <v>1</v>
      </c>
      <c r="J473" s="942"/>
      <c r="K473" s="53">
        <f t="shared" si="78"/>
        <v>1</v>
      </c>
      <c r="L473" s="942"/>
      <c r="M473" s="53">
        <f t="shared" si="79"/>
        <v>1</v>
      </c>
      <c r="N473" s="942"/>
      <c r="O473" s="53">
        <f t="shared" si="80"/>
        <v>1</v>
      </c>
      <c r="P473" s="942"/>
      <c r="Q473" s="53">
        <f t="shared" si="81"/>
        <v>1</v>
      </c>
      <c r="R473" s="476">
        <f t="shared" si="82"/>
        <v>0</v>
      </c>
      <c r="S473" s="781">
        <f t="shared" si="84"/>
        <v>0</v>
      </c>
    </row>
    <row r="474" spans="1:19">
      <c r="A474" s="944"/>
      <c r="B474" s="136"/>
      <c r="C474" s="53">
        <f t="shared" ref="C474:C524" si="85">IF(B474="",1,(LOOKUP(B474,$3:$3,$4:$4)-LOOKUP($B$24,$3:$3,$4:$4)+100)/100)</f>
        <v>1</v>
      </c>
      <c r="D474" s="942"/>
      <c r="E474" s="53">
        <f t="shared" ref="E474:E524" si="86">(SUMIF($5:$5,D474,$6:$6)-SUMIF($5:$5,$D$24,$6:$6)+100)/100</f>
        <v>1</v>
      </c>
      <c r="F474" s="942"/>
      <c r="G474" s="53">
        <f t="shared" ref="G474:G524" si="87">(SUMIF($7:$7,F474,$8:$8)-SUMIF($7:$7,$F$24,$8:$8)+100)/100</f>
        <v>1</v>
      </c>
      <c r="H474" s="942"/>
      <c r="I474" s="53">
        <f t="shared" ref="I474:I524" si="88">(SUMIF($9:$9,H474,$10:$10)-SUMIF($9:$9,$H$24,$10:$10)+100)/100</f>
        <v>1</v>
      </c>
      <c r="J474" s="942"/>
      <c r="K474" s="53">
        <f t="shared" ref="K474:K524" si="89">(SUMIF($11:$11,J474,$12:$12)-SUMIF($11:$11,$J$24,$12:$12)+100)/100</f>
        <v>1</v>
      </c>
      <c r="L474" s="942"/>
      <c r="M474" s="53">
        <f t="shared" ref="M474:M524" si="90">(SUMIF($13:$13,L474,$14:$14)-SUMIF($13:$13,$L$24,$14:$14)+100)/100</f>
        <v>1</v>
      </c>
      <c r="N474" s="942"/>
      <c r="O474" s="53">
        <f t="shared" ref="O474:O524" si="91">(SUMIF($15:$15,N474,$16:$16)-SUMIF($15:$15,$N$24,$16:$16)+100)/100</f>
        <v>1</v>
      </c>
      <c r="P474" s="942"/>
      <c r="Q474" s="53">
        <f t="shared" ref="Q474:Q524" si="92">(SUMIF($17:$17,P474,$18:$18)-SUMIF($17:$17,$P$24,$18:$18)+100)/100</f>
        <v>1</v>
      </c>
      <c r="R474" s="476">
        <f t="shared" ref="R474:R524" si="93">IF(B474="",0,ROUND($R$24*C474*E474*G474*I474*K474*M474*O474*Q474,0))</f>
        <v>0</v>
      </c>
      <c r="S474" s="781">
        <f t="shared" si="84"/>
        <v>0</v>
      </c>
    </row>
    <row r="475" spans="1:19">
      <c r="A475" s="944"/>
      <c r="B475" s="136"/>
      <c r="C475" s="53">
        <f t="shared" si="85"/>
        <v>1</v>
      </c>
      <c r="D475" s="942"/>
      <c r="E475" s="53">
        <f t="shared" si="86"/>
        <v>1</v>
      </c>
      <c r="F475" s="942"/>
      <c r="G475" s="53">
        <f t="shared" si="87"/>
        <v>1</v>
      </c>
      <c r="H475" s="942"/>
      <c r="I475" s="53">
        <f t="shared" si="88"/>
        <v>1</v>
      </c>
      <c r="J475" s="942"/>
      <c r="K475" s="53">
        <f t="shared" si="89"/>
        <v>1</v>
      </c>
      <c r="L475" s="942"/>
      <c r="M475" s="53">
        <f t="shared" si="90"/>
        <v>1</v>
      </c>
      <c r="N475" s="942"/>
      <c r="O475" s="53">
        <f t="shared" si="91"/>
        <v>1</v>
      </c>
      <c r="P475" s="942"/>
      <c r="Q475" s="53">
        <f t="shared" si="92"/>
        <v>1</v>
      </c>
      <c r="R475" s="476">
        <f t="shared" si="93"/>
        <v>0</v>
      </c>
      <c r="S475" s="781">
        <f t="shared" si="84"/>
        <v>0</v>
      </c>
    </row>
    <row r="476" spans="1:19">
      <c r="A476" s="944"/>
      <c r="B476" s="136"/>
      <c r="C476" s="53">
        <f t="shared" si="85"/>
        <v>1</v>
      </c>
      <c r="D476" s="942"/>
      <c r="E476" s="53">
        <f t="shared" si="86"/>
        <v>1</v>
      </c>
      <c r="F476" s="942"/>
      <c r="G476" s="53">
        <f t="shared" si="87"/>
        <v>1</v>
      </c>
      <c r="H476" s="942"/>
      <c r="I476" s="53">
        <f t="shared" si="88"/>
        <v>1</v>
      </c>
      <c r="J476" s="942"/>
      <c r="K476" s="53">
        <f t="shared" si="89"/>
        <v>1</v>
      </c>
      <c r="L476" s="942"/>
      <c r="M476" s="53">
        <f t="shared" si="90"/>
        <v>1</v>
      </c>
      <c r="N476" s="942"/>
      <c r="O476" s="53">
        <f t="shared" si="91"/>
        <v>1</v>
      </c>
      <c r="P476" s="942"/>
      <c r="Q476" s="53">
        <f t="shared" si="92"/>
        <v>1</v>
      </c>
      <c r="R476" s="476">
        <f t="shared" si="93"/>
        <v>0</v>
      </c>
      <c r="S476" s="781">
        <f t="shared" si="84"/>
        <v>0</v>
      </c>
    </row>
    <row r="477" spans="1:19">
      <c r="A477" s="944"/>
      <c r="B477" s="136"/>
      <c r="C477" s="53">
        <f t="shared" si="85"/>
        <v>1</v>
      </c>
      <c r="D477" s="942"/>
      <c r="E477" s="53">
        <f t="shared" si="86"/>
        <v>1</v>
      </c>
      <c r="F477" s="942"/>
      <c r="G477" s="53">
        <f t="shared" si="87"/>
        <v>1</v>
      </c>
      <c r="H477" s="942"/>
      <c r="I477" s="53">
        <f t="shared" si="88"/>
        <v>1</v>
      </c>
      <c r="J477" s="942"/>
      <c r="K477" s="53">
        <f t="shared" si="89"/>
        <v>1</v>
      </c>
      <c r="L477" s="942"/>
      <c r="M477" s="53">
        <f t="shared" si="90"/>
        <v>1</v>
      </c>
      <c r="N477" s="942"/>
      <c r="O477" s="53">
        <f t="shared" si="91"/>
        <v>1</v>
      </c>
      <c r="P477" s="942"/>
      <c r="Q477" s="53">
        <f t="shared" si="92"/>
        <v>1</v>
      </c>
      <c r="R477" s="476">
        <f t="shared" si="93"/>
        <v>0</v>
      </c>
      <c r="S477" s="781">
        <f t="shared" si="84"/>
        <v>0</v>
      </c>
    </row>
    <row r="478" spans="1:19">
      <c r="A478" s="944"/>
      <c r="B478" s="136"/>
      <c r="C478" s="53">
        <f t="shared" si="85"/>
        <v>1</v>
      </c>
      <c r="D478" s="942"/>
      <c r="E478" s="53">
        <f t="shared" si="86"/>
        <v>1</v>
      </c>
      <c r="F478" s="942"/>
      <c r="G478" s="53">
        <f t="shared" si="87"/>
        <v>1</v>
      </c>
      <c r="H478" s="942"/>
      <c r="I478" s="53">
        <f t="shared" si="88"/>
        <v>1</v>
      </c>
      <c r="J478" s="942"/>
      <c r="K478" s="53">
        <f t="shared" si="89"/>
        <v>1</v>
      </c>
      <c r="L478" s="942"/>
      <c r="M478" s="53">
        <f t="shared" si="90"/>
        <v>1</v>
      </c>
      <c r="N478" s="942"/>
      <c r="O478" s="53">
        <f t="shared" si="91"/>
        <v>1</v>
      </c>
      <c r="P478" s="942"/>
      <c r="Q478" s="53">
        <f t="shared" si="92"/>
        <v>1</v>
      </c>
      <c r="R478" s="476">
        <f t="shared" si="93"/>
        <v>0</v>
      </c>
      <c r="S478" s="781">
        <f t="shared" si="84"/>
        <v>0</v>
      </c>
    </row>
    <row r="479" spans="1:19">
      <c r="A479" s="944"/>
      <c r="B479" s="136"/>
      <c r="C479" s="53">
        <f t="shared" si="85"/>
        <v>1</v>
      </c>
      <c r="D479" s="942"/>
      <c r="E479" s="53">
        <f t="shared" si="86"/>
        <v>1</v>
      </c>
      <c r="F479" s="942"/>
      <c r="G479" s="53">
        <f t="shared" si="87"/>
        <v>1</v>
      </c>
      <c r="H479" s="942"/>
      <c r="I479" s="53">
        <f t="shared" si="88"/>
        <v>1</v>
      </c>
      <c r="J479" s="942"/>
      <c r="K479" s="53">
        <f t="shared" si="89"/>
        <v>1</v>
      </c>
      <c r="L479" s="942"/>
      <c r="M479" s="53">
        <f t="shared" si="90"/>
        <v>1</v>
      </c>
      <c r="N479" s="942"/>
      <c r="O479" s="53">
        <f t="shared" si="91"/>
        <v>1</v>
      </c>
      <c r="P479" s="942"/>
      <c r="Q479" s="53">
        <f t="shared" si="92"/>
        <v>1</v>
      </c>
      <c r="R479" s="476">
        <f t="shared" si="93"/>
        <v>0</v>
      </c>
      <c r="S479" s="781">
        <f t="shared" si="84"/>
        <v>0</v>
      </c>
    </row>
    <row r="480" spans="1:19">
      <c r="A480" s="944"/>
      <c r="B480" s="136"/>
      <c r="C480" s="53">
        <f t="shared" si="85"/>
        <v>1</v>
      </c>
      <c r="D480" s="942"/>
      <c r="E480" s="53">
        <f t="shared" si="86"/>
        <v>1</v>
      </c>
      <c r="F480" s="942"/>
      <c r="G480" s="53">
        <f t="shared" si="87"/>
        <v>1</v>
      </c>
      <c r="H480" s="942"/>
      <c r="I480" s="53">
        <f t="shared" si="88"/>
        <v>1</v>
      </c>
      <c r="J480" s="942"/>
      <c r="K480" s="53">
        <f t="shared" si="89"/>
        <v>1</v>
      </c>
      <c r="L480" s="942"/>
      <c r="M480" s="53">
        <f t="shared" si="90"/>
        <v>1</v>
      </c>
      <c r="N480" s="942"/>
      <c r="O480" s="53">
        <f t="shared" si="91"/>
        <v>1</v>
      </c>
      <c r="P480" s="942"/>
      <c r="Q480" s="53">
        <f t="shared" si="92"/>
        <v>1</v>
      </c>
      <c r="R480" s="476">
        <f t="shared" si="93"/>
        <v>0</v>
      </c>
      <c r="S480" s="781">
        <f t="shared" si="84"/>
        <v>0</v>
      </c>
    </row>
    <row r="481" spans="1:19">
      <c r="A481" s="944"/>
      <c r="B481" s="136"/>
      <c r="C481" s="53">
        <f t="shared" si="85"/>
        <v>1</v>
      </c>
      <c r="D481" s="942"/>
      <c r="E481" s="53">
        <f t="shared" si="86"/>
        <v>1</v>
      </c>
      <c r="F481" s="942"/>
      <c r="G481" s="53">
        <f t="shared" si="87"/>
        <v>1</v>
      </c>
      <c r="H481" s="942"/>
      <c r="I481" s="53">
        <f t="shared" si="88"/>
        <v>1</v>
      </c>
      <c r="J481" s="942"/>
      <c r="K481" s="53">
        <f t="shared" si="89"/>
        <v>1</v>
      </c>
      <c r="L481" s="942"/>
      <c r="M481" s="53">
        <f t="shared" si="90"/>
        <v>1</v>
      </c>
      <c r="N481" s="942"/>
      <c r="O481" s="53">
        <f t="shared" si="91"/>
        <v>1</v>
      </c>
      <c r="P481" s="942"/>
      <c r="Q481" s="53">
        <f t="shared" si="92"/>
        <v>1</v>
      </c>
      <c r="R481" s="476">
        <f t="shared" si="93"/>
        <v>0</v>
      </c>
      <c r="S481" s="781">
        <f t="shared" si="84"/>
        <v>0</v>
      </c>
    </row>
    <row r="482" spans="1:19">
      <c r="A482" s="944"/>
      <c r="B482" s="136"/>
      <c r="C482" s="53">
        <f t="shared" si="85"/>
        <v>1</v>
      </c>
      <c r="D482" s="942"/>
      <c r="E482" s="53">
        <f t="shared" si="86"/>
        <v>1</v>
      </c>
      <c r="F482" s="942"/>
      <c r="G482" s="53">
        <f t="shared" si="87"/>
        <v>1</v>
      </c>
      <c r="H482" s="942"/>
      <c r="I482" s="53">
        <f t="shared" si="88"/>
        <v>1</v>
      </c>
      <c r="J482" s="942"/>
      <c r="K482" s="53">
        <f t="shared" si="89"/>
        <v>1</v>
      </c>
      <c r="L482" s="942"/>
      <c r="M482" s="53">
        <f t="shared" si="90"/>
        <v>1</v>
      </c>
      <c r="N482" s="942"/>
      <c r="O482" s="53">
        <f t="shared" si="91"/>
        <v>1</v>
      </c>
      <c r="P482" s="942"/>
      <c r="Q482" s="53">
        <f t="shared" si="92"/>
        <v>1</v>
      </c>
      <c r="R482" s="476">
        <f t="shared" si="93"/>
        <v>0</v>
      </c>
      <c r="S482" s="781">
        <f t="shared" si="84"/>
        <v>0</v>
      </c>
    </row>
    <row r="483" spans="1:19">
      <c r="A483" s="944"/>
      <c r="B483" s="136"/>
      <c r="C483" s="53">
        <f t="shared" si="85"/>
        <v>1</v>
      </c>
      <c r="D483" s="942"/>
      <c r="E483" s="53">
        <f t="shared" si="86"/>
        <v>1</v>
      </c>
      <c r="F483" s="942"/>
      <c r="G483" s="53">
        <f t="shared" si="87"/>
        <v>1</v>
      </c>
      <c r="H483" s="942"/>
      <c r="I483" s="53">
        <f t="shared" si="88"/>
        <v>1</v>
      </c>
      <c r="J483" s="942"/>
      <c r="K483" s="53">
        <f t="shared" si="89"/>
        <v>1</v>
      </c>
      <c r="L483" s="942"/>
      <c r="M483" s="53">
        <f t="shared" si="90"/>
        <v>1</v>
      </c>
      <c r="N483" s="942"/>
      <c r="O483" s="53">
        <f t="shared" si="91"/>
        <v>1</v>
      </c>
      <c r="P483" s="942"/>
      <c r="Q483" s="53">
        <f t="shared" si="92"/>
        <v>1</v>
      </c>
      <c r="R483" s="476">
        <f t="shared" si="93"/>
        <v>0</v>
      </c>
      <c r="S483" s="781">
        <f t="shared" si="84"/>
        <v>0</v>
      </c>
    </row>
    <row r="484" spans="1:19">
      <c r="A484" s="944"/>
      <c r="B484" s="136"/>
      <c r="C484" s="53">
        <f t="shared" si="85"/>
        <v>1</v>
      </c>
      <c r="D484" s="942"/>
      <c r="E484" s="53">
        <f t="shared" si="86"/>
        <v>1</v>
      </c>
      <c r="F484" s="942"/>
      <c r="G484" s="53">
        <f t="shared" si="87"/>
        <v>1</v>
      </c>
      <c r="H484" s="942"/>
      <c r="I484" s="53">
        <f t="shared" si="88"/>
        <v>1</v>
      </c>
      <c r="J484" s="942"/>
      <c r="K484" s="53">
        <f t="shared" si="89"/>
        <v>1</v>
      </c>
      <c r="L484" s="942"/>
      <c r="M484" s="53">
        <f t="shared" si="90"/>
        <v>1</v>
      </c>
      <c r="N484" s="942"/>
      <c r="O484" s="53">
        <f t="shared" si="91"/>
        <v>1</v>
      </c>
      <c r="P484" s="942"/>
      <c r="Q484" s="53">
        <f t="shared" si="92"/>
        <v>1</v>
      </c>
      <c r="R484" s="476">
        <f t="shared" si="93"/>
        <v>0</v>
      </c>
      <c r="S484" s="781">
        <f t="shared" si="84"/>
        <v>0</v>
      </c>
    </row>
    <row r="485" spans="1:19">
      <c r="A485" s="944"/>
      <c r="B485" s="136"/>
      <c r="C485" s="53">
        <f t="shared" si="85"/>
        <v>1</v>
      </c>
      <c r="D485" s="942"/>
      <c r="E485" s="53">
        <f t="shared" si="86"/>
        <v>1</v>
      </c>
      <c r="F485" s="942"/>
      <c r="G485" s="53">
        <f t="shared" si="87"/>
        <v>1</v>
      </c>
      <c r="H485" s="942"/>
      <c r="I485" s="53">
        <f t="shared" si="88"/>
        <v>1</v>
      </c>
      <c r="J485" s="942"/>
      <c r="K485" s="53">
        <f t="shared" si="89"/>
        <v>1</v>
      </c>
      <c r="L485" s="942"/>
      <c r="M485" s="53">
        <f t="shared" si="90"/>
        <v>1</v>
      </c>
      <c r="N485" s="942"/>
      <c r="O485" s="53">
        <f t="shared" si="91"/>
        <v>1</v>
      </c>
      <c r="P485" s="942"/>
      <c r="Q485" s="53">
        <f t="shared" si="92"/>
        <v>1</v>
      </c>
      <c r="R485" s="476">
        <f t="shared" si="93"/>
        <v>0</v>
      </c>
      <c r="S485" s="781">
        <f t="shared" si="84"/>
        <v>0</v>
      </c>
    </row>
    <row r="486" spans="1:19">
      <c r="A486" s="944"/>
      <c r="B486" s="136"/>
      <c r="C486" s="53">
        <f t="shared" si="85"/>
        <v>1</v>
      </c>
      <c r="D486" s="942"/>
      <c r="E486" s="53">
        <f t="shared" si="86"/>
        <v>1</v>
      </c>
      <c r="F486" s="942"/>
      <c r="G486" s="53">
        <f t="shared" si="87"/>
        <v>1</v>
      </c>
      <c r="H486" s="942"/>
      <c r="I486" s="53">
        <f t="shared" si="88"/>
        <v>1</v>
      </c>
      <c r="J486" s="942"/>
      <c r="K486" s="53">
        <f t="shared" si="89"/>
        <v>1</v>
      </c>
      <c r="L486" s="942"/>
      <c r="M486" s="53">
        <f t="shared" si="90"/>
        <v>1</v>
      </c>
      <c r="N486" s="942"/>
      <c r="O486" s="53">
        <f t="shared" si="91"/>
        <v>1</v>
      </c>
      <c r="P486" s="942"/>
      <c r="Q486" s="53">
        <f t="shared" si="92"/>
        <v>1</v>
      </c>
      <c r="R486" s="476">
        <f t="shared" si="93"/>
        <v>0</v>
      </c>
      <c r="S486" s="781">
        <f t="shared" si="84"/>
        <v>0</v>
      </c>
    </row>
    <row r="487" spans="1:19">
      <c r="A487" s="944"/>
      <c r="B487" s="136"/>
      <c r="C487" s="53">
        <f t="shared" si="85"/>
        <v>1</v>
      </c>
      <c r="D487" s="942"/>
      <c r="E487" s="53">
        <f t="shared" si="86"/>
        <v>1</v>
      </c>
      <c r="F487" s="942"/>
      <c r="G487" s="53">
        <f t="shared" si="87"/>
        <v>1</v>
      </c>
      <c r="H487" s="942"/>
      <c r="I487" s="53">
        <f t="shared" si="88"/>
        <v>1</v>
      </c>
      <c r="J487" s="942"/>
      <c r="K487" s="53">
        <f t="shared" si="89"/>
        <v>1</v>
      </c>
      <c r="L487" s="942"/>
      <c r="M487" s="53">
        <f t="shared" si="90"/>
        <v>1</v>
      </c>
      <c r="N487" s="942"/>
      <c r="O487" s="53">
        <f t="shared" si="91"/>
        <v>1</v>
      </c>
      <c r="P487" s="942"/>
      <c r="Q487" s="53">
        <f t="shared" si="92"/>
        <v>1</v>
      </c>
      <c r="R487" s="476">
        <f t="shared" si="93"/>
        <v>0</v>
      </c>
      <c r="S487" s="781">
        <f t="shared" si="84"/>
        <v>0</v>
      </c>
    </row>
    <row r="488" spans="1:19">
      <c r="A488" s="944"/>
      <c r="B488" s="136"/>
      <c r="C488" s="53">
        <f t="shared" si="85"/>
        <v>1</v>
      </c>
      <c r="D488" s="942"/>
      <c r="E488" s="53">
        <f t="shared" si="86"/>
        <v>1</v>
      </c>
      <c r="F488" s="942"/>
      <c r="G488" s="53">
        <f t="shared" si="87"/>
        <v>1</v>
      </c>
      <c r="H488" s="942"/>
      <c r="I488" s="53">
        <f t="shared" si="88"/>
        <v>1</v>
      </c>
      <c r="J488" s="942"/>
      <c r="K488" s="53">
        <f t="shared" si="89"/>
        <v>1</v>
      </c>
      <c r="L488" s="942"/>
      <c r="M488" s="53">
        <f t="shared" si="90"/>
        <v>1</v>
      </c>
      <c r="N488" s="942"/>
      <c r="O488" s="53">
        <f t="shared" si="91"/>
        <v>1</v>
      </c>
      <c r="P488" s="942"/>
      <c r="Q488" s="53">
        <f t="shared" si="92"/>
        <v>1</v>
      </c>
      <c r="R488" s="476">
        <f t="shared" si="93"/>
        <v>0</v>
      </c>
      <c r="S488" s="781">
        <f t="shared" si="84"/>
        <v>0</v>
      </c>
    </row>
    <row r="489" spans="1:19">
      <c r="A489" s="944"/>
      <c r="B489" s="136"/>
      <c r="C489" s="53">
        <f t="shared" si="85"/>
        <v>1</v>
      </c>
      <c r="D489" s="942"/>
      <c r="E489" s="53">
        <f t="shared" si="86"/>
        <v>1</v>
      </c>
      <c r="F489" s="942"/>
      <c r="G489" s="53">
        <f t="shared" si="87"/>
        <v>1</v>
      </c>
      <c r="H489" s="942"/>
      <c r="I489" s="53">
        <f t="shared" si="88"/>
        <v>1</v>
      </c>
      <c r="J489" s="942"/>
      <c r="K489" s="53">
        <f t="shared" si="89"/>
        <v>1</v>
      </c>
      <c r="L489" s="942"/>
      <c r="M489" s="53">
        <f t="shared" si="90"/>
        <v>1</v>
      </c>
      <c r="N489" s="942"/>
      <c r="O489" s="53">
        <f t="shared" si="91"/>
        <v>1</v>
      </c>
      <c r="P489" s="942"/>
      <c r="Q489" s="53">
        <f t="shared" si="92"/>
        <v>1</v>
      </c>
      <c r="R489" s="476">
        <f t="shared" si="93"/>
        <v>0</v>
      </c>
      <c r="S489" s="781">
        <f t="shared" si="84"/>
        <v>0</v>
      </c>
    </row>
    <row r="490" spans="1:19">
      <c r="A490" s="944"/>
      <c r="B490" s="136"/>
      <c r="C490" s="53">
        <f t="shared" si="85"/>
        <v>1</v>
      </c>
      <c r="D490" s="942"/>
      <c r="E490" s="53">
        <f t="shared" si="86"/>
        <v>1</v>
      </c>
      <c r="F490" s="942"/>
      <c r="G490" s="53">
        <f t="shared" si="87"/>
        <v>1</v>
      </c>
      <c r="H490" s="942"/>
      <c r="I490" s="53">
        <f t="shared" si="88"/>
        <v>1</v>
      </c>
      <c r="J490" s="942"/>
      <c r="K490" s="53">
        <f t="shared" si="89"/>
        <v>1</v>
      </c>
      <c r="L490" s="942"/>
      <c r="M490" s="53">
        <f t="shared" si="90"/>
        <v>1</v>
      </c>
      <c r="N490" s="942"/>
      <c r="O490" s="53">
        <f t="shared" si="91"/>
        <v>1</v>
      </c>
      <c r="P490" s="942"/>
      <c r="Q490" s="53">
        <f t="shared" si="92"/>
        <v>1</v>
      </c>
      <c r="R490" s="476">
        <f t="shared" si="93"/>
        <v>0</v>
      </c>
      <c r="S490" s="781">
        <f t="shared" si="84"/>
        <v>0</v>
      </c>
    </row>
    <row r="491" spans="1:19">
      <c r="A491" s="944"/>
      <c r="B491" s="136"/>
      <c r="C491" s="53">
        <f t="shared" si="85"/>
        <v>1</v>
      </c>
      <c r="D491" s="942"/>
      <c r="E491" s="53">
        <f t="shared" si="86"/>
        <v>1</v>
      </c>
      <c r="F491" s="942"/>
      <c r="G491" s="53">
        <f t="shared" si="87"/>
        <v>1</v>
      </c>
      <c r="H491" s="942"/>
      <c r="I491" s="53">
        <f t="shared" si="88"/>
        <v>1</v>
      </c>
      <c r="J491" s="942"/>
      <c r="K491" s="53">
        <f t="shared" si="89"/>
        <v>1</v>
      </c>
      <c r="L491" s="942"/>
      <c r="M491" s="53">
        <f t="shared" si="90"/>
        <v>1</v>
      </c>
      <c r="N491" s="942"/>
      <c r="O491" s="53">
        <f t="shared" si="91"/>
        <v>1</v>
      </c>
      <c r="P491" s="942"/>
      <c r="Q491" s="53">
        <f t="shared" si="92"/>
        <v>1</v>
      </c>
      <c r="R491" s="476">
        <f t="shared" si="93"/>
        <v>0</v>
      </c>
      <c r="S491" s="781">
        <f t="shared" si="84"/>
        <v>0</v>
      </c>
    </row>
    <row r="492" spans="1:19">
      <c r="A492" s="944"/>
      <c r="B492" s="136"/>
      <c r="C492" s="53">
        <f t="shared" si="85"/>
        <v>1</v>
      </c>
      <c r="D492" s="942"/>
      <c r="E492" s="53">
        <f t="shared" si="86"/>
        <v>1</v>
      </c>
      <c r="F492" s="942"/>
      <c r="G492" s="53">
        <f t="shared" si="87"/>
        <v>1</v>
      </c>
      <c r="H492" s="942"/>
      <c r="I492" s="53">
        <f t="shared" si="88"/>
        <v>1</v>
      </c>
      <c r="J492" s="942"/>
      <c r="K492" s="53">
        <f t="shared" si="89"/>
        <v>1</v>
      </c>
      <c r="L492" s="942"/>
      <c r="M492" s="53">
        <f t="shared" si="90"/>
        <v>1</v>
      </c>
      <c r="N492" s="942"/>
      <c r="O492" s="53">
        <f t="shared" si="91"/>
        <v>1</v>
      </c>
      <c r="P492" s="942"/>
      <c r="Q492" s="53">
        <f t="shared" si="92"/>
        <v>1</v>
      </c>
      <c r="R492" s="476">
        <f t="shared" si="93"/>
        <v>0</v>
      </c>
      <c r="S492" s="781">
        <f t="shared" si="84"/>
        <v>0</v>
      </c>
    </row>
    <row r="493" spans="1:19">
      <c r="A493" s="944"/>
      <c r="B493" s="136"/>
      <c r="C493" s="53">
        <f t="shared" si="85"/>
        <v>1</v>
      </c>
      <c r="D493" s="942"/>
      <c r="E493" s="53">
        <f t="shared" si="86"/>
        <v>1</v>
      </c>
      <c r="F493" s="942"/>
      <c r="G493" s="53">
        <f t="shared" si="87"/>
        <v>1</v>
      </c>
      <c r="H493" s="942"/>
      <c r="I493" s="53">
        <f t="shared" si="88"/>
        <v>1</v>
      </c>
      <c r="J493" s="942"/>
      <c r="K493" s="53">
        <f t="shared" si="89"/>
        <v>1</v>
      </c>
      <c r="L493" s="942"/>
      <c r="M493" s="53">
        <f t="shared" si="90"/>
        <v>1</v>
      </c>
      <c r="N493" s="942"/>
      <c r="O493" s="53">
        <f t="shared" si="91"/>
        <v>1</v>
      </c>
      <c r="P493" s="942"/>
      <c r="Q493" s="53">
        <f t="shared" si="92"/>
        <v>1</v>
      </c>
      <c r="R493" s="476">
        <f t="shared" si="93"/>
        <v>0</v>
      </c>
      <c r="S493" s="781">
        <f t="shared" si="84"/>
        <v>0</v>
      </c>
    </row>
    <row r="494" spans="1:19">
      <c r="A494" s="944"/>
      <c r="B494" s="136"/>
      <c r="C494" s="53">
        <f t="shared" si="85"/>
        <v>1</v>
      </c>
      <c r="D494" s="942"/>
      <c r="E494" s="53">
        <f t="shared" si="86"/>
        <v>1</v>
      </c>
      <c r="F494" s="942"/>
      <c r="G494" s="53">
        <f t="shared" si="87"/>
        <v>1</v>
      </c>
      <c r="H494" s="942"/>
      <c r="I494" s="53">
        <f t="shared" si="88"/>
        <v>1</v>
      </c>
      <c r="J494" s="942"/>
      <c r="K494" s="53">
        <f t="shared" si="89"/>
        <v>1</v>
      </c>
      <c r="L494" s="942"/>
      <c r="M494" s="53">
        <f t="shared" si="90"/>
        <v>1</v>
      </c>
      <c r="N494" s="942"/>
      <c r="O494" s="53">
        <f t="shared" si="91"/>
        <v>1</v>
      </c>
      <c r="P494" s="942"/>
      <c r="Q494" s="53">
        <f t="shared" si="92"/>
        <v>1</v>
      </c>
      <c r="R494" s="476">
        <f t="shared" si="93"/>
        <v>0</v>
      </c>
      <c r="S494" s="781">
        <f t="shared" si="84"/>
        <v>0</v>
      </c>
    </row>
    <row r="495" spans="1:19">
      <c r="A495" s="944"/>
      <c r="B495" s="136"/>
      <c r="C495" s="53">
        <f t="shared" si="85"/>
        <v>1</v>
      </c>
      <c r="D495" s="942"/>
      <c r="E495" s="53">
        <f t="shared" si="86"/>
        <v>1</v>
      </c>
      <c r="F495" s="942"/>
      <c r="G495" s="53">
        <f t="shared" si="87"/>
        <v>1</v>
      </c>
      <c r="H495" s="942"/>
      <c r="I495" s="53">
        <f t="shared" si="88"/>
        <v>1</v>
      </c>
      <c r="J495" s="942"/>
      <c r="K495" s="53">
        <f t="shared" si="89"/>
        <v>1</v>
      </c>
      <c r="L495" s="942"/>
      <c r="M495" s="53">
        <f t="shared" si="90"/>
        <v>1</v>
      </c>
      <c r="N495" s="942"/>
      <c r="O495" s="53">
        <f t="shared" si="91"/>
        <v>1</v>
      </c>
      <c r="P495" s="942"/>
      <c r="Q495" s="53">
        <f t="shared" si="92"/>
        <v>1</v>
      </c>
      <c r="R495" s="476">
        <f t="shared" si="93"/>
        <v>0</v>
      </c>
      <c r="S495" s="781">
        <f t="shared" si="84"/>
        <v>0</v>
      </c>
    </row>
    <row r="496" spans="1:19">
      <c r="A496" s="944"/>
      <c r="B496" s="136"/>
      <c r="C496" s="53">
        <f t="shared" si="85"/>
        <v>1</v>
      </c>
      <c r="D496" s="942"/>
      <c r="E496" s="53">
        <f t="shared" si="86"/>
        <v>1</v>
      </c>
      <c r="F496" s="942"/>
      <c r="G496" s="53">
        <f t="shared" si="87"/>
        <v>1</v>
      </c>
      <c r="H496" s="942"/>
      <c r="I496" s="53">
        <f t="shared" si="88"/>
        <v>1</v>
      </c>
      <c r="J496" s="942"/>
      <c r="K496" s="53">
        <f t="shared" si="89"/>
        <v>1</v>
      </c>
      <c r="L496" s="942"/>
      <c r="M496" s="53">
        <f t="shared" si="90"/>
        <v>1</v>
      </c>
      <c r="N496" s="942"/>
      <c r="O496" s="53">
        <f t="shared" si="91"/>
        <v>1</v>
      </c>
      <c r="P496" s="942"/>
      <c r="Q496" s="53">
        <f t="shared" si="92"/>
        <v>1</v>
      </c>
      <c r="R496" s="476">
        <f t="shared" si="93"/>
        <v>0</v>
      </c>
      <c r="S496" s="781">
        <f t="shared" si="84"/>
        <v>0</v>
      </c>
    </row>
    <row r="497" spans="1:19">
      <c r="A497" s="944"/>
      <c r="B497" s="136"/>
      <c r="C497" s="53">
        <f t="shared" si="85"/>
        <v>1</v>
      </c>
      <c r="D497" s="942"/>
      <c r="E497" s="53">
        <f t="shared" si="86"/>
        <v>1</v>
      </c>
      <c r="F497" s="942"/>
      <c r="G497" s="53">
        <f t="shared" si="87"/>
        <v>1</v>
      </c>
      <c r="H497" s="942"/>
      <c r="I497" s="53">
        <f t="shared" si="88"/>
        <v>1</v>
      </c>
      <c r="J497" s="942"/>
      <c r="K497" s="53">
        <f t="shared" si="89"/>
        <v>1</v>
      </c>
      <c r="L497" s="942"/>
      <c r="M497" s="53">
        <f t="shared" si="90"/>
        <v>1</v>
      </c>
      <c r="N497" s="942"/>
      <c r="O497" s="53">
        <f t="shared" si="91"/>
        <v>1</v>
      </c>
      <c r="P497" s="942"/>
      <c r="Q497" s="53">
        <f t="shared" si="92"/>
        <v>1</v>
      </c>
      <c r="R497" s="476">
        <f t="shared" si="93"/>
        <v>0</v>
      </c>
      <c r="S497" s="781">
        <f t="shared" si="84"/>
        <v>0</v>
      </c>
    </row>
    <row r="498" spans="1:19">
      <c r="A498" s="944"/>
      <c r="B498" s="136"/>
      <c r="C498" s="53">
        <f t="shared" si="85"/>
        <v>1</v>
      </c>
      <c r="D498" s="942"/>
      <c r="E498" s="53">
        <f t="shared" si="86"/>
        <v>1</v>
      </c>
      <c r="F498" s="942"/>
      <c r="G498" s="53">
        <f t="shared" si="87"/>
        <v>1</v>
      </c>
      <c r="H498" s="942"/>
      <c r="I498" s="53">
        <f t="shared" si="88"/>
        <v>1</v>
      </c>
      <c r="J498" s="942"/>
      <c r="K498" s="53">
        <f t="shared" si="89"/>
        <v>1</v>
      </c>
      <c r="L498" s="942"/>
      <c r="M498" s="53">
        <f t="shared" si="90"/>
        <v>1</v>
      </c>
      <c r="N498" s="942"/>
      <c r="O498" s="53">
        <f t="shared" si="91"/>
        <v>1</v>
      </c>
      <c r="P498" s="942"/>
      <c r="Q498" s="53">
        <f t="shared" si="92"/>
        <v>1</v>
      </c>
      <c r="R498" s="476">
        <f t="shared" si="93"/>
        <v>0</v>
      </c>
      <c r="S498" s="781">
        <f t="shared" ref="S498:S524" si="94">ROUND(R498*B498/10000,0)</f>
        <v>0</v>
      </c>
    </row>
    <row r="499" spans="1:19">
      <c r="A499" s="944"/>
      <c r="B499" s="136"/>
      <c r="C499" s="53">
        <f t="shared" si="85"/>
        <v>1</v>
      </c>
      <c r="D499" s="942"/>
      <c r="E499" s="53">
        <f t="shared" si="86"/>
        <v>1</v>
      </c>
      <c r="F499" s="942"/>
      <c r="G499" s="53">
        <f t="shared" si="87"/>
        <v>1</v>
      </c>
      <c r="H499" s="942"/>
      <c r="I499" s="53">
        <f t="shared" si="88"/>
        <v>1</v>
      </c>
      <c r="J499" s="942"/>
      <c r="K499" s="53">
        <f t="shared" si="89"/>
        <v>1</v>
      </c>
      <c r="L499" s="942"/>
      <c r="M499" s="53">
        <f t="shared" si="90"/>
        <v>1</v>
      </c>
      <c r="N499" s="942"/>
      <c r="O499" s="53">
        <f t="shared" si="91"/>
        <v>1</v>
      </c>
      <c r="P499" s="942"/>
      <c r="Q499" s="53">
        <f t="shared" si="92"/>
        <v>1</v>
      </c>
      <c r="R499" s="476">
        <f t="shared" si="93"/>
        <v>0</v>
      </c>
      <c r="S499" s="781">
        <f t="shared" si="94"/>
        <v>0</v>
      </c>
    </row>
    <row r="500" spans="1:19">
      <c r="A500" s="944"/>
      <c r="B500" s="136"/>
      <c r="C500" s="53">
        <f t="shared" si="85"/>
        <v>1</v>
      </c>
      <c r="D500" s="942"/>
      <c r="E500" s="53">
        <f t="shared" si="86"/>
        <v>1</v>
      </c>
      <c r="F500" s="942"/>
      <c r="G500" s="53">
        <f t="shared" si="87"/>
        <v>1</v>
      </c>
      <c r="H500" s="942"/>
      <c r="I500" s="53">
        <f t="shared" si="88"/>
        <v>1</v>
      </c>
      <c r="J500" s="942"/>
      <c r="K500" s="53">
        <f t="shared" si="89"/>
        <v>1</v>
      </c>
      <c r="L500" s="942"/>
      <c r="M500" s="53">
        <f t="shared" si="90"/>
        <v>1</v>
      </c>
      <c r="N500" s="942"/>
      <c r="O500" s="53">
        <f t="shared" si="91"/>
        <v>1</v>
      </c>
      <c r="P500" s="942"/>
      <c r="Q500" s="53">
        <f t="shared" si="92"/>
        <v>1</v>
      </c>
      <c r="R500" s="476">
        <f t="shared" si="93"/>
        <v>0</v>
      </c>
      <c r="S500" s="781">
        <f t="shared" si="94"/>
        <v>0</v>
      </c>
    </row>
    <row r="501" spans="1:19">
      <c r="A501" s="944"/>
      <c r="B501" s="136"/>
      <c r="C501" s="53">
        <f t="shared" si="85"/>
        <v>1</v>
      </c>
      <c r="D501" s="942"/>
      <c r="E501" s="53">
        <f t="shared" si="86"/>
        <v>1</v>
      </c>
      <c r="F501" s="942"/>
      <c r="G501" s="53">
        <f t="shared" si="87"/>
        <v>1</v>
      </c>
      <c r="H501" s="942"/>
      <c r="I501" s="53">
        <f t="shared" si="88"/>
        <v>1</v>
      </c>
      <c r="J501" s="942"/>
      <c r="K501" s="53">
        <f t="shared" si="89"/>
        <v>1</v>
      </c>
      <c r="L501" s="942"/>
      <c r="M501" s="53">
        <f t="shared" si="90"/>
        <v>1</v>
      </c>
      <c r="N501" s="942"/>
      <c r="O501" s="53">
        <f t="shared" si="91"/>
        <v>1</v>
      </c>
      <c r="P501" s="942"/>
      <c r="Q501" s="53">
        <f t="shared" si="92"/>
        <v>1</v>
      </c>
      <c r="R501" s="476">
        <f t="shared" si="93"/>
        <v>0</v>
      </c>
      <c r="S501" s="781">
        <f t="shared" si="94"/>
        <v>0</v>
      </c>
    </row>
    <row r="502" spans="1:19">
      <c r="A502" s="944"/>
      <c r="B502" s="136"/>
      <c r="C502" s="53">
        <f t="shared" si="85"/>
        <v>1</v>
      </c>
      <c r="D502" s="942"/>
      <c r="E502" s="53">
        <f t="shared" si="86"/>
        <v>1</v>
      </c>
      <c r="F502" s="942"/>
      <c r="G502" s="53">
        <f t="shared" si="87"/>
        <v>1</v>
      </c>
      <c r="H502" s="942"/>
      <c r="I502" s="53">
        <f t="shared" si="88"/>
        <v>1</v>
      </c>
      <c r="J502" s="942"/>
      <c r="K502" s="53">
        <f t="shared" si="89"/>
        <v>1</v>
      </c>
      <c r="L502" s="942"/>
      <c r="M502" s="53">
        <f t="shared" si="90"/>
        <v>1</v>
      </c>
      <c r="N502" s="942"/>
      <c r="O502" s="53">
        <f t="shared" si="91"/>
        <v>1</v>
      </c>
      <c r="P502" s="942"/>
      <c r="Q502" s="53">
        <f t="shared" si="92"/>
        <v>1</v>
      </c>
      <c r="R502" s="476">
        <f t="shared" si="93"/>
        <v>0</v>
      </c>
      <c r="S502" s="781">
        <f t="shared" si="94"/>
        <v>0</v>
      </c>
    </row>
    <row r="503" spans="1:19">
      <c r="A503" s="944"/>
      <c r="B503" s="136"/>
      <c r="C503" s="53">
        <f t="shared" si="85"/>
        <v>1</v>
      </c>
      <c r="D503" s="942"/>
      <c r="E503" s="53">
        <f t="shared" si="86"/>
        <v>1</v>
      </c>
      <c r="F503" s="942"/>
      <c r="G503" s="53">
        <f t="shared" si="87"/>
        <v>1</v>
      </c>
      <c r="H503" s="942"/>
      <c r="I503" s="53">
        <f t="shared" si="88"/>
        <v>1</v>
      </c>
      <c r="J503" s="942"/>
      <c r="K503" s="53">
        <f t="shared" si="89"/>
        <v>1</v>
      </c>
      <c r="L503" s="942"/>
      <c r="M503" s="53">
        <f t="shared" si="90"/>
        <v>1</v>
      </c>
      <c r="N503" s="942"/>
      <c r="O503" s="53">
        <f t="shared" si="91"/>
        <v>1</v>
      </c>
      <c r="P503" s="942"/>
      <c r="Q503" s="53">
        <f t="shared" si="92"/>
        <v>1</v>
      </c>
      <c r="R503" s="476">
        <f t="shared" si="93"/>
        <v>0</v>
      </c>
      <c r="S503" s="781">
        <f t="shared" si="94"/>
        <v>0</v>
      </c>
    </row>
    <row r="504" spans="1:19">
      <c r="A504" s="944"/>
      <c r="B504" s="136"/>
      <c r="C504" s="53">
        <f t="shared" si="85"/>
        <v>1</v>
      </c>
      <c r="D504" s="942"/>
      <c r="E504" s="53">
        <f t="shared" si="86"/>
        <v>1</v>
      </c>
      <c r="F504" s="942"/>
      <c r="G504" s="53">
        <f t="shared" si="87"/>
        <v>1</v>
      </c>
      <c r="H504" s="942"/>
      <c r="I504" s="53">
        <f t="shared" si="88"/>
        <v>1</v>
      </c>
      <c r="J504" s="942"/>
      <c r="K504" s="53">
        <f t="shared" si="89"/>
        <v>1</v>
      </c>
      <c r="L504" s="942"/>
      <c r="M504" s="53">
        <f t="shared" si="90"/>
        <v>1</v>
      </c>
      <c r="N504" s="942"/>
      <c r="O504" s="53">
        <f t="shared" si="91"/>
        <v>1</v>
      </c>
      <c r="P504" s="942"/>
      <c r="Q504" s="53">
        <f t="shared" si="92"/>
        <v>1</v>
      </c>
      <c r="R504" s="476">
        <f t="shared" si="93"/>
        <v>0</v>
      </c>
      <c r="S504" s="781">
        <f t="shared" si="94"/>
        <v>0</v>
      </c>
    </row>
    <row r="505" spans="1:19">
      <c r="A505" s="944"/>
      <c r="B505" s="136"/>
      <c r="C505" s="53">
        <f t="shared" si="85"/>
        <v>1</v>
      </c>
      <c r="D505" s="942"/>
      <c r="E505" s="53">
        <f t="shared" si="86"/>
        <v>1</v>
      </c>
      <c r="F505" s="942"/>
      <c r="G505" s="53">
        <f t="shared" si="87"/>
        <v>1</v>
      </c>
      <c r="H505" s="942"/>
      <c r="I505" s="53">
        <f t="shared" si="88"/>
        <v>1</v>
      </c>
      <c r="J505" s="942"/>
      <c r="K505" s="53">
        <f t="shared" si="89"/>
        <v>1</v>
      </c>
      <c r="L505" s="942"/>
      <c r="M505" s="53">
        <f t="shared" si="90"/>
        <v>1</v>
      </c>
      <c r="N505" s="942"/>
      <c r="O505" s="53">
        <f t="shared" si="91"/>
        <v>1</v>
      </c>
      <c r="P505" s="942"/>
      <c r="Q505" s="53">
        <f t="shared" si="92"/>
        <v>1</v>
      </c>
      <c r="R505" s="476">
        <f t="shared" si="93"/>
        <v>0</v>
      </c>
      <c r="S505" s="781">
        <f t="shared" si="94"/>
        <v>0</v>
      </c>
    </row>
    <row r="506" spans="1:19">
      <c r="A506" s="944"/>
      <c r="B506" s="136"/>
      <c r="C506" s="53">
        <f t="shared" si="85"/>
        <v>1</v>
      </c>
      <c r="D506" s="942"/>
      <c r="E506" s="53">
        <f t="shared" si="86"/>
        <v>1</v>
      </c>
      <c r="F506" s="942"/>
      <c r="G506" s="53">
        <f t="shared" si="87"/>
        <v>1</v>
      </c>
      <c r="H506" s="942"/>
      <c r="I506" s="53">
        <f t="shared" si="88"/>
        <v>1</v>
      </c>
      <c r="J506" s="942"/>
      <c r="K506" s="53">
        <f t="shared" si="89"/>
        <v>1</v>
      </c>
      <c r="L506" s="942"/>
      <c r="M506" s="53">
        <f t="shared" si="90"/>
        <v>1</v>
      </c>
      <c r="N506" s="942"/>
      <c r="O506" s="53">
        <f t="shared" si="91"/>
        <v>1</v>
      </c>
      <c r="P506" s="942"/>
      <c r="Q506" s="53">
        <f t="shared" si="92"/>
        <v>1</v>
      </c>
      <c r="R506" s="476">
        <f t="shared" si="93"/>
        <v>0</v>
      </c>
      <c r="S506" s="781">
        <f t="shared" si="94"/>
        <v>0</v>
      </c>
    </row>
    <row r="507" spans="1:19">
      <c r="A507" s="944"/>
      <c r="B507" s="136"/>
      <c r="C507" s="53">
        <f t="shared" si="85"/>
        <v>1</v>
      </c>
      <c r="D507" s="942"/>
      <c r="E507" s="53">
        <f t="shared" si="86"/>
        <v>1</v>
      </c>
      <c r="F507" s="942"/>
      <c r="G507" s="53">
        <f t="shared" si="87"/>
        <v>1</v>
      </c>
      <c r="H507" s="942"/>
      <c r="I507" s="53">
        <f t="shared" si="88"/>
        <v>1</v>
      </c>
      <c r="J507" s="942"/>
      <c r="K507" s="53">
        <f t="shared" si="89"/>
        <v>1</v>
      </c>
      <c r="L507" s="942"/>
      <c r="M507" s="53">
        <f t="shared" si="90"/>
        <v>1</v>
      </c>
      <c r="N507" s="942"/>
      <c r="O507" s="53">
        <f t="shared" si="91"/>
        <v>1</v>
      </c>
      <c r="P507" s="942"/>
      <c r="Q507" s="53">
        <f t="shared" si="92"/>
        <v>1</v>
      </c>
      <c r="R507" s="476">
        <f t="shared" si="93"/>
        <v>0</v>
      </c>
      <c r="S507" s="781">
        <f t="shared" si="94"/>
        <v>0</v>
      </c>
    </row>
    <row r="508" spans="1:19">
      <c r="A508" s="944"/>
      <c r="B508" s="136"/>
      <c r="C508" s="53">
        <f t="shared" si="85"/>
        <v>1</v>
      </c>
      <c r="D508" s="942"/>
      <c r="E508" s="53">
        <f t="shared" si="86"/>
        <v>1</v>
      </c>
      <c r="F508" s="942"/>
      <c r="G508" s="53">
        <f t="shared" si="87"/>
        <v>1</v>
      </c>
      <c r="H508" s="942"/>
      <c r="I508" s="53">
        <f t="shared" si="88"/>
        <v>1</v>
      </c>
      <c r="J508" s="942"/>
      <c r="K508" s="53">
        <f t="shared" si="89"/>
        <v>1</v>
      </c>
      <c r="L508" s="942"/>
      <c r="M508" s="53">
        <f t="shared" si="90"/>
        <v>1</v>
      </c>
      <c r="N508" s="942"/>
      <c r="O508" s="53">
        <f t="shared" si="91"/>
        <v>1</v>
      </c>
      <c r="P508" s="942"/>
      <c r="Q508" s="53">
        <f t="shared" si="92"/>
        <v>1</v>
      </c>
      <c r="R508" s="476">
        <f t="shared" si="93"/>
        <v>0</v>
      </c>
      <c r="S508" s="781">
        <f t="shared" si="94"/>
        <v>0</v>
      </c>
    </row>
    <row r="509" spans="1:19">
      <c r="A509" s="944"/>
      <c r="B509" s="136"/>
      <c r="C509" s="53">
        <f t="shared" si="85"/>
        <v>1</v>
      </c>
      <c r="D509" s="942"/>
      <c r="E509" s="53">
        <f t="shared" si="86"/>
        <v>1</v>
      </c>
      <c r="F509" s="942"/>
      <c r="G509" s="53">
        <f t="shared" si="87"/>
        <v>1</v>
      </c>
      <c r="H509" s="942"/>
      <c r="I509" s="53">
        <f t="shared" si="88"/>
        <v>1</v>
      </c>
      <c r="J509" s="942"/>
      <c r="K509" s="53">
        <f t="shared" si="89"/>
        <v>1</v>
      </c>
      <c r="L509" s="942"/>
      <c r="M509" s="53">
        <f t="shared" si="90"/>
        <v>1</v>
      </c>
      <c r="N509" s="942"/>
      <c r="O509" s="53">
        <f t="shared" si="91"/>
        <v>1</v>
      </c>
      <c r="P509" s="942"/>
      <c r="Q509" s="53">
        <f t="shared" si="92"/>
        <v>1</v>
      </c>
      <c r="R509" s="476">
        <f t="shared" si="93"/>
        <v>0</v>
      </c>
      <c r="S509" s="781">
        <f t="shared" si="94"/>
        <v>0</v>
      </c>
    </row>
    <row r="510" spans="1:19">
      <c r="A510" s="944"/>
      <c r="B510" s="136"/>
      <c r="C510" s="53">
        <f t="shared" si="85"/>
        <v>1</v>
      </c>
      <c r="D510" s="942"/>
      <c r="E510" s="53">
        <f t="shared" si="86"/>
        <v>1</v>
      </c>
      <c r="F510" s="942"/>
      <c r="G510" s="53">
        <f t="shared" si="87"/>
        <v>1</v>
      </c>
      <c r="H510" s="942"/>
      <c r="I510" s="53">
        <f t="shared" si="88"/>
        <v>1</v>
      </c>
      <c r="J510" s="942"/>
      <c r="K510" s="53">
        <f t="shared" si="89"/>
        <v>1</v>
      </c>
      <c r="L510" s="942"/>
      <c r="M510" s="53">
        <f t="shared" si="90"/>
        <v>1</v>
      </c>
      <c r="N510" s="942"/>
      <c r="O510" s="53">
        <f t="shared" si="91"/>
        <v>1</v>
      </c>
      <c r="P510" s="942"/>
      <c r="Q510" s="53">
        <f t="shared" si="92"/>
        <v>1</v>
      </c>
      <c r="R510" s="476">
        <f t="shared" si="93"/>
        <v>0</v>
      </c>
      <c r="S510" s="781">
        <f t="shared" si="94"/>
        <v>0</v>
      </c>
    </row>
    <row r="511" spans="1:19">
      <c r="A511" s="944"/>
      <c r="B511" s="136"/>
      <c r="C511" s="53">
        <f t="shared" si="85"/>
        <v>1</v>
      </c>
      <c r="D511" s="942"/>
      <c r="E511" s="53">
        <f t="shared" si="86"/>
        <v>1</v>
      </c>
      <c r="F511" s="942"/>
      <c r="G511" s="53">
        <f t="shared" si="87"/>
        <v>1</v>
      </c>
      <c r="H511" s="942"/>
      <c r="I511" s="53">
        <f t="shared" si="88"/>
        <v>1</v>
      </c>
      <c r="J511" s="942"/>
      <c r="K511" s="53">
        <f t="shared" si="89"/>
        <v>1</v>
      </c>
      <c r="L511" s="942"/>
      <c r="M511" s="53">
        <f t="shared" si="90"/>
        <v>1</v>
      </c>
      <c r="N511" s="942"/>
      <c r="O511" s="53">
        <f t="shared" si="91"/>
        <v>1</v>
      </c>
      <c r="P511" s="942"/>
      <c r="Q511" s="53">
        <f t="shared" si="92"/>
        <v>1</v>
      </c>
      <c r="R511" s="476">
        <f t="shared" si="93"/>
        <v>0</v>
      </c>
      <c r="S511" s="781">
        <f t="shared" si="94"/>
        <v>0</v>
      </c>
    </row>
    <row r="512" spans="1:19">
      <c r="A512" s="944"/>
      <c r="B512" s="136"/>
      <c r="C512" s="53">
        <f t="shared" si="85"/>
        <v>1</v>
      </c>
      <c r="D512" s="942"/>
      <c r="E512" s="53">
        <f t="shared" si="86"/>
        <v>1</v>
      </c>
      <c r="F512" s="942"/>
      <c r="G512" s="53">
        <f t="shared" si="87"/>
        <v>1</v>
      </c>
      <c r="H512" s="942"/>
      <c r="I512" s="53">
        <f t="shared" si="88"/>
        <v>1</v>
      </c>
      <c r="J512" s="942"/>
      <c r="K512" s="53">
        <f t="shared" si="89"/>
        <v>1</v>
      </c>
      <c r="L512" s="942"/>
      <c r="M512" s="53">
        <f t="shared" si="90"/>
        <v>1</v>
      </c>
      <c r="N512" s="942"/>
      <c r="O512" s="53">
        <f t="shared" si="91"/>
        <v>1</v>
      </c>
      <c r="P512" s="942"/>
      <c r="Q512" s="53">
        <f t="shared" si="92"/>
        <v>1</v>
      </c>
      <c r="R512" s="476">
        <f t="shared" si="93"/>
        <v>0</v>
      </c>
      <c r="S512" s="781">
        <f t="shared" si="94"/>
        <v>0</v>
      </c>
    </row>
    <row r="513" spans="1:19">
      <c r="A513" s="944"/>
      <c r="B513" s="136"/>
      <c r="C513" s="53">
        <f t="shared" si="85"/>
        <v>1</v>
      </c>
      <c r="D513" s="942"/>
      <c r="E513" s="53">
        <f t="shared" si="86"/>
        <v>1</v>
      </c>
      <c r="F513" s="942"/>
      <c r="G513" s="53">
        <f t="shared" si="87"/>
        <v>1</v>
      </c>
      <c r="H513" s="942"/>
      <c r="I513" s="53">
        <f t="shared" si="88"/>
        <v>1</v>
      </c>
      <c r="J513" s="942"/>
      <c r="K513" s="53">
        <f t="shared" si="89"/>
        <v>1</v>
      </c>
      <c r="L513" s="942"/>
      <c r="M513" s="53">
        <f t="shared" si="90"/>
        <v>1</v>
      </c>
      <c r="N513" s="942"/>
      <c r="O513" s="53">
        <f t="shared" si="91"/>
        <v>1</v>
      </c>
      <c r="P513" s="942"/>
      <c r="Q513" s="53">
        <f t="shared" si="92"/>
        <v>1</v>
      </c>
      <c r="R513" s="476">
        <f t="shared" si="93"/>
        <v>0</v>
      </c>
      <c r="S513" s="781">
        <f t="shared" si="94"/>
        <v>0</v>
      </c>
    </row>
    <row r="514" spans="1:19">
      <c r="A514" s="944"/>
      <c r="B514" s="136"/>
      <c r="C514" s="53">
        <f t="shared" si="85"/>
        <v>1</v>
      </c>
      <c r="D514" s="942"/>
      <c r="E514" s="53">
        <f t="shared" si="86"/>
        <v>1</v>
      </c>
      <c r="F514" s="942"/>
      <c r="G514" s="53">
        <f t="shared" si="87"/>
        <v>1</v>
      </c>
      <c r="H514" s="942"/>
      <c r="I514" s="53">
        <f t="shared" si="88"/>
        <v>1</v>
      </c>
      <c r="J514" s="942"/>
      <c r="K514" s="53">
        <f t="shared" si="89"/>
        <v>1</v>
      </c>
      <c r="L514" s="942"/>
      <c r="M514" s="53">
        <f t="shared" si="90"/>
        <v>1</v>
      </c>
      <c r="N514" s="942"/>
      <c r="O514" s="53">
        <f t="shared" si="91"/>
        <v>1</v>
      </c>
      <c r="P514" s="942"/>
      <c r="Q514" s="53">
        <f t="shared" si="92"/>
        <v>1</v>
      </c>
      <c r="R514" s="476">
        <f t="shared" si="93"/>
        <v>0</v>
      </c>
      <c r="S514" s="781">
        <f t="shared" si="94"/>
        <v>0</v>
      </c>
    </row>
    <row r="515" spans="1:19">
      <c r="A515" s="944"/>
      <c r="B515" s="136"/>
      <c r="C515" s="53">
        <f t="shared" si="85"/>
        <v>1</v>
      </c>
      <c r="D515" s="942"/>
      <c r="E515" s="53">
        <f t="shared" si="86"/>
        <v>1</v>
      </c>
      <c r="F515" s="942"/>
      <c r="G515" s="53">
        <f t="shared" si="87"/>
        <v>1</v>
      </c>
      <c r="H515" s="942"/>
      <c r="I515" s="53">
        <f t="shared" si="88"/>
        <v>1</v>
      </c>
      <c r="J515" s="942"/>
      <c r="K515" s="53">
        <f t="shared" si="89"/>
        <v>1</v>
      </c>
      <c r="L515" s="942"/>
      <c r="M515" s="53">
        <f t="shared" si="90"/>
        <v>1</v>
      </c>
      <c r="N515" s="942"/>
      <c r="O515" s="53">
        <f t="shared" si="91"/>
        <v>1</v>
      </c>
      <c r="P515" s="942"/>
      <c r="Q515" s="53">
        <f t="shared" si="92"/>
        <v>1</v>
      </c>
      <c r="R515" s="476">
        <f t="shared" si="93"/>
        <v>0</v>
      </c>
      <c r="S515" s="781">
        <f t="shared" si="94"/>
        <v>0</v>
      </c>
    </row>
    <row r="516" spans="1:19">
      <c r="A516" s="944"/>
      <c r="B516" s="136"/>
      <c r="C516" s="53">
        <f t="shared" si="85"/>
        <v>1</v>
      </c>
      <c r="D516" s="942"/>
      <c r="E516" s="53">
        <f t="shared" si="86"/>
        <v>1</v>
      </c>
      <c r="F516" s="942"/>
      <c r="G516" s="53">
        <f t="shared" si="87"/>
        <v>1</v>
      </c>
      <c r="H516" s="942"/>
      <c r="I516" s="53">
        <f t="shared" si="88"/>
        <v>1</v>
      </c>
      <c r="J516" s="942"/>
      <c r="K516" s="53">
        <f t="shared" si="89"/>
        <v>1</v>
      </c>
      <c r="L516" s="942"/>
      <c r="M516" s="53">
        <f t="shared" si="90"/>
        <v>1</v>
      </c>
      <c r="N516" s="942"/>
      <c r="O516" s="53">
        <f t="shared" si="91"/>
        <v>1</v>
      </c>
      <c r="P516" s="942"/>
      <c r="Q516" s="53">
        <f t="shared" si="92"/>
        <v>1</v>
      </c>
      <c r="R516" s="476">
        <f t="shared" si="93"/>
        <v>0</v>
      </c>
      <c r="S516" s="781">
        <f t="shared" si="94"/>
        <v>0</v>
      </c>
    </row>
    <row r="517" spans="1:19">
      <c r="A517" s="944"/>
      <c r="B517" s="136"/>
      <c r="C517" s="53">
        <f t="shared" si="85"/>
        <v>1</v>
      </c>
      <c r="D517" s="942"/>
      <c r="E517" s="53">
        <f t="shared" si="86"/>
        <v>1</v>
      </c>
      <c r="F517" s="942"/>
      <c r="G517" s="53">
        <f t="shared" si="87"/>
        <v>1</v>
      </c>
      <c r="H517" s="942"/>
      <c r="I517" s="53">
        <f t="shared" si="88"/>
        <v>1</v>
      </c>
      <c r="J517" s="942"/>
      <c r="K517" s="53">
        <f t="shared" si="89"/>
        <v>1</v>
      </c>
      <c r="L517" s="942"/>
      <c r="M517" s="53">
        <f t="shared" si="90"/>
        <v>1</v>
      </c>
      <c r="N517" s="942"/>
      <c r="O517" s="53">
        <f t="shared" si="91"/>
        <v>1</v>
      </c>
      <c r="P517" s="942"/>
      <c r="Q517" s="53">
        <f t="shared" si="92"/>
        <v>1</v>
      </c>
      <c r="R517" s="476">
        <f t="shared" si="93"/>
        <v>0</v>
      </c>
      <c r="S517" s="781">
        <f t="shared" si="94"/>
        <v>0</v>
      </c>
    </row>
    <row r="518" spans="1:19">
      <c r="A518" s="944"/>
      <c r="B518" s="136"/>
      <c r="C518" s="53">
        <f t="shared" si="85"/>
        <v>1</v>
      </c>
      <c r="D518" s="942"/>
      <c r="E518" s="53">
        <f t="shared" si="86"/>
        <v>1</v>
      </c>
      <c r="F518" s="942"/>
      <c r="G518" s="53">
        <f t="shared" si="87"/>
        <v>1</v>
      </c>
      <c r="H518" s="942"/>
      <c r="I518" s="53">
        <f t="shared" si="88"/>
        <v>1</v>
      </c>
      <c r="J518" s="942"/>
      <c r="K518" s="53">
        <f t="shared" si="89"/>
        <v>1</v>
      </c>
      <c r="L518" s="942"/>
      <c r="M518" s="53">
        <f t="shared" si="90"/>
        <v>1</v>
      </c>
      <c r="N518" s="942"/>
      <c r="O518" s="53">
        <f t="shared" si="91"/>
        <v>1</v>
      </c>
      <c r="P518" s="942"/>
      <c r="Q518" s="53">
        <f t="shared" si="92"/>
        <v>1</v>
      </c>
      <c r="R518" s="476">
        <f t="shared" si="93"/>
        <v>0</v>
      </c>
      <c r="S518" s="781">
        <f t="shared" si="94"/>
        <v>0</v>
      </c>
    </row>
    <row r="519" spans="1:19">
      <c r="A519" s="944"/>
      <c r="B519" s="136"/>
      <c r="C519" s="53">
        <f t="shared" si="85"/>
        <v>1</v>
      </c>
      <c r="D519" s="942"/>
      <c r="E519" s="53">
        <f t="shared" si="86"/>
        <v>1</v>
      </c>
      <c r="F519" s="942"/>
      <c r="G519" s="53">
        <f t="shared" si="87"/>
        <v>1</v>
      </c>
      <c r="H519" s="942"/>
      <c r="I519" s="53">
        <f t="shared" si="88"/>
        <v>1</v>
      </c>
      <c r="J519" s="942"/>
      <c r="K519" s="53">
        <f t="shared" si="89"/>
        <v>1</v>
      </c>
      <c r="L519" s="942"/>
      <c r="M519" s="53">
        <f t="shared" si="90"/>
        <v>1</v>
      </c>
      <c r="N519" s="942"/>
      <c r="O519" s="53">
        <f t="shared" si="91"/>
        <v>1</v>
      </c>
      <c r="P519" s="942"/>
      <c r="Q519" s="53">
        <f t="shared" si="92"/>
        <v>1</v>
      </c>
      <c r="R519" s="476">
        <f t="shared" si="93"/>
        <v>0</v>
      </c>
      <c r="S519" s="781">
        <f t="shared" si="94"/>
        <v>0</v>
      </c>
    </row>
    <row r="520" spans="1:19">
      <c r="A520" s="944"/>
      <c r="B520" s="136"/>
      <c r="C520" s="53">
        <f t="shared" si="85"/>
        <v>1</v>
      </c>
      <c r="D520" s="942"/>
      <c r="E520" s="53">
        <f t="shared" si="86"/>
        <v>1</v>
      </c>
      <c r="F520" s="942"/>
      <c r="G520" s="53">
        <f t="shared" si="87"/>
        <v>1</v>
      </c>
      <c r="H520" s="942"/>
      <c r="I520" s="53">
        <f t="shared" si="88"/>
        <v>1</v>
      </c>
      <c r="J520" s="942"/>
      <c r="K520" s="53">
        <f t="shared" si="89"/>
        <v>1</v>
      </c>
      <c r="L520" s="942"/>
      <c r="M520" s="53">
        <f t="shared" si="90"/>
        <v>1</v>
      </c>
      <c r="N520" s="942"/>
      <c r="O520" s="53">
        <f t="shared" si="91"/>
        <v>1</v>
      </c>
      <c r="P520" s="942"/>
      <c r="Q520" s="53">
        <f t="shared" si="92"/>
        <v>1</v>
      </c>
      <c r="R520" s="476">
        <f t="shared" si="93"/>
        <v>0</v>
      </c>
      <c r="S520" s="781">
        <f t="shared" si="94"/>
        <v>0</v>
      </c>
    </row>
    <row r="521" spans="1:19">
      <c r="A521" s="944"/>
      <c r="B521" s="136"/>
      <c r="C521" s="53">
        <f t="shared" si="85"/>
        <v>1</v>
      </c>
      <c r="D521" s="942"/>
      <c r="E521" s="53">
        <f t="shared" si="86"/>
        <v>1</v>
      </c>
      <c r="F521" s="942"/>
      <c r="G521" s="53">
        <f t="shared" si="87"/>
        <v>1</v>
      </c>
      <c r="H521" s="942"/>
      <c r="I521" s="53">
        <f t="shared" si="88"/>
        <v>1</v>
      </c>
      <c r="J521" s="942"/>
      <c r="K521" s="53">
        <f t="shared" si="89"/>
        <v>1</v>
      </c>
      <c r="L521" s="942"/>
      <c r="M521" s="53">
        <f t="shared" si="90"/>
        <v>1</v>
      </c>
      <c r="N521" s="942"/>
      <c r="O521" s="53">
        <f t="shared" si="91"/>
        <v>1</v>
      </c>
      <c r="P521" s="942"/>
      <c r="Q521" s="53">
        <f t="shared" si="92"/>
        <v>1</v>
      </c>
      <c r="R521" s="476">
        <f t="shared" si="93"/>
        <v>0</v>
      </c>
      <c r="S521" s="781">
        <f t="shared" si="94"/>
        <v>0</v>
      </c>
    </row>
    <row r="522" spans="1:19">
      <c r="A522" s="944"/>
      <c r="B522" s="136"/>
      <c r="C522" s="53">
        <f t="shared" si="85"/>
        <v>1</v>
      </c>
      <c r="D522" s="942"/>
      <c r="E522" s="53">
        <f t="shared" si="86"/>
        <v>1</v>
      </c>
      <c r="F522" s="942"/>
      <c r="G522" s="53">
        <f t="shared" si="87"/>
        <v>1</v>
      </c>
      <c r="H522" s="942"/>
      <c r="I522" s="53">
        <f t="shared" si="88"/>
        <v>1</v>
      </c>
      <c r="J522" s="942"/>
      <c r="K522" s="53">
        <f t="shared" si="89"/>
        <v>1</v>
      </c>
      <c r="L522" s="942"/>
      <c r="M522" s="53">
        <f t="shared" si="90"/>
        <v>1</v>
      </c>
      <c r="N522" s="942"/>
      <c r="O522" s="53">
        <f t="shared" si="91"/>
        <v>1</v>
      </c>
      <c r="P522" s="942"/>
      <c r="Q522" s="53">
        <f t="shared" si="92"/>
        <v>1</v>
      </c>
      <c r="R522" s="476">
        <f t="shared" si="93"/>
        <v>0</v>
      </c>
      <c r="S522" s="781">
        <f t="shared" si="94"/>
        <v>0</v>
      </c>
    </row>
    <row r="523" spans="1:19">
      <c r="A523" s="944"/>
      <c r="B523" s="136"/>
      <c r="C523" s="53">
        <f t="shared" si="85"/>
        <v>1</v>
      </c>
      <c r="D523" s="942"/>
      <c r="E523" s="53">
        <f t="shared" si="86"/>
        <v>1</v>
      </c>
      <c r="F523" s="942"/>
      <c r="G523" s="53">
        <f t="shared" si="87"/>
        <v>1</v>
      </c>
      <c r="H523" s="942"/>
      <c r="I523" s="53">
        <f t="shared" si="88"/>
        <v>1</v>
      </c>
      <c r="J523" s="942"/>
      <c r="K523" s="53">
        <f t="shared" si="89"/>
        <v>1</v>
      </c>
      <c r="L523" s="942"/>
      <c r="M523" s="53">
        <f t="shared" si="90"/>
        <v>1</v>
      </c>
      <c r="N523" s="942"/>
      <c r="O523" s="53">
        <f t="shared" si="91"/>
        <v>1</v>
      </c>
      <c r="P523" s="942"/>
      <c r="Q523" s="53">
        <f t="shared" si="92"/>
        <v>1</v>
      </c>
      <c r="R523" s="476">
        <f t="shared" si="93"/>
        <v>0</v>
      </c>
      <c r="S523" s="781">
        <f t="shared" si="94"/>
        <v>0</v>
      </c>
    </row>
    <row r="524" spans="1:19">
      <c r="A524" s="944"/>
      <c r="B524" s="136"/>
      <c r="C524" s="53">
        <f t="shared" si="85"/>
        <v>1</v>
      </c>
      <c r="D524" s="942"/>
      <c r="E524" s="53">
        <f t="shared" si="86"/>
        <v>1</v>
      </c>
      <c r="F524" s="942"/>
      <c r="G524" s="53">
        <f t="shared" si="87"/>
        <v>1</v>
      </c>
      <c r="H524" s="942"/>
      <c r="I524" s="53">
        <f t="shared" si="88"/>
        <v>1</v>
      </c>
      <c r="J524" s="942"/>
      <c r="K524" s="53">
        <f t="shared" si="89"/>
        <v>1</v>
      </c>
      <c r="L524" s="942"/>
      <c r="M524" s="53">
        <f t="shared" si="90"/>
        <v>1</v>
      </c>
      <c r="N524" s="942"/>
      <c r="O524" s="53">
        <f t="shared" si="91"/>
        <v>1</v>
      </c>
      <c r="P524" s="942"/>
      <c r="Q524" s="53">
        <f t="shared" si="92"/>
        <v>1</v>
      </c>
      <c r="R524" s="476">
        <f t="shared" si="93"/>
        <v>0</v>
      </c>
      <c r="S524" s="781">
        <f t="shared" si="94"/>
        <v>0</v>
      </c>
    </row>
    <row r="525" spans="1:19">
      <c r="A525" s="247"/>
      <c r="B525" s="57"/>
      <c r="C525" s="57"/>
      <c r="D525" s="57"/>
      <c r="E525" s="57"/>
      <c r="F525" s="57"/>
      <c r="G525" s="57"/>
      <c r="H525" s="57"/>
      <c r="I525" s="57"/>
      <c r="J525" s="57"/>
      <c r="K525" s="57"/>
      <c r="L525" s="57"/>
      <c r="M525" s="57"/>
      <c r="N525" s="57"/>
      <c r="O525" s="57"/>
      <c r="P525" s="57"/>
      <c r="Q525" s="57"/>
      <c r="R525" s="2092"/>
      <c r="S525" s="247"/>
    </row>
    <row r="526" spans="1:19">
      <c r="A526" s="247"/>
      <c r="B526" s="57"/>
      <c r="C526" s="57"/>
      <c r="D526" s="57"/>
      <c r="E526" s="57"/>
      <c r="F526" s="57"/>
      <c r="G526" s="57"/>
      <c r="H526" s="57"/>
      <c r="I526" s="57"/>
      <c r="J526" s="57"/>
      <c r="K526" s="57"/>
      <c r="L526" s="57"/>
      <c r="M526" s="57"/>
      <c r="N526" s="57"/>
      <c r="O526" s="57"/>
      <c r="P526" s="57"/>
      <c r="Q526" s="57"/>
      <c r="R526" s="2092"/>
      <c r="S526" s="247"/>
    </row>
    <row r="527" spans="1:19">
      <c r="A527" s="247"/>
      <c r="B527" s="57"/>
      <c r="C527" s="57"/>
      <c r="D527" s="57"/>
      <c r="E527" s="57"/>
      <c r="F527" s="57"/>
      <c r="G527" s="57"/>
      <c r="H527" s="57"/>
      <c r="I527" s="57"/>
      <c r="J527" s="57"/>
      <c r="K527" s="57"/>
      <c r="L527" s="57"/>
      <c r="M527" s="57"/>
      <c r="N527" s="57"/>
      <c r="O527" s="57"/>
      <c r="P527" s="57"/>
      <c r="Q527" s="57"/>
      <c r="R527" s="2092"/>
      <c r="S527" s="247"/>
    </row>
    <row r="528" spans="1:19">
      <c r="A528" s="247"/>
      <c r="B528" s="57"/>
      <c r="C528" s="57"/>
      <c r="D528" s="57"/>
      <c r="E528" s="57"/>
      <c r="F528" s="57"/>
      <c r="G528" s="57"/>
      <c r="H528" s="57"/>
      <c r="I528" s="57"/>
      <c r="J528" s="57"/>
      <c r="K528" s="57"/>
      <c r="L528" s="57"/>
      <c r="M528" s="57"/>
      <c r="N528" s="57"/>
      <c r="O528" s="57"/>
      <c r="P528" s="57"/>
      <c r="Q528" s="57"/>
      <c r="R528" s="2092"/>
      <c r="S528" s="247"/>
    </row>
    <row r="529" spans="1:19">
      <c r="A529" s="247"/>
      <c r="B529" s="57"/>
      <c r="C529" s="57"/>
      <c r="D529" s="57"/>
      <c r="E529" s="57"/>
      <c r="F529" s="57"/>
      <c r="G529" s="57"/>
      <c r="H529" s="57"/>
      <c r="I529" s="57"/>
      <c r="J529" s="57"/>
      <c r="K529" s="57"/>
      <c r="L529" s="57"/>
      <c r="M529" s="57"/>
      <c r="N529" s="57"/>
      <c r="O529" s="57"/>
      <c r="P529" s="57"/>
      <c r="Q529" s="57"/>
      <c r="R529" s="2092"/>
      <c r="S529" s="247"/>
    </row>
    <row r="530" spans="1:19">
      <c r="A530" s="247"/>
      <c r="B530" s="57"/>
      <c r="C530" s="57"/>
      <c r="D530" s="57"/>
      <c r="E530" s="57"/>
      <c r="F530" s="57"/>
      <c r="G530" s="57"/>
      <c r="H530" s="57"/>
      <c r="I530" s="57"/>
      <c r="J530" s="57"/>
      <c r="K530" s="57"/>
      <c r="L530" s="57"/>
      <c r="M530" s="57"/>
      <c r="N530" s="57"/>
      <c r="O530" s="57"/>
      <c r="P530" s="57"/>
      <c r="Q530" s="57"/>
      <c r="R530" s="2092"/>
      <c r="S530" s="247"/>
    </row>
    <row r="531" spans="1:19">
      <c r="A531" s="247"/>
      <c r="B531" s="57"/>
      <c r="C531" s="57"/>
      <c r="D531" s="57"/>
      <c r="E531" s="57"/>
      <c r="F531" s="57"/>
      <c r="G531" s="57"/>
      <c r="H531" s="57"/>
      <c r="I531" s="57"/>
      <c r="J531" s="57"/>
      <c r="K531" s="57"/>
      <c r="L531" s="57"/>
      <c r="M531" s="57"/>
      <c r="N531" s="57"/>
      <c r="O531" s="57"/>
      <c r="P531" s="57"/>
      <c r="Q531" s="57"/>
      <c r="R531" s="2092"/>
      <c r="S531" s="247"/>
    </row>
    <row r="532" spans="1:19">
      <c r="A532" s="247"/>
      <c r="B532" s="57"/>
      <c r="C532" s="57"/>
      <c r="D532" s="57"/>
      <c r="E532" s="57"/>
      <c r="F532" s="57"/>
      <c r="G532" s="57"/>
      <c r="H532" s="57"/>
      <c r="I532" s="57"/>
      <c r="J532" s="57"/>
      <c r="K532" s="57"/>
      <c r="L532" s="57"/>
      <c r="M532" s="57"/>
      <c r="N532" s="57"/>
      <c r="O532" s="57"/>
      <c r="P532" s="57"/>
      <c r="Q532" s="57"/>
      <c r="R532" s="2092"/>
      <c r="S532" s="247"/>
    </row>
    <row r="533" spans="1:19">
      <c r="A533" s="247"/>
      <c r="B533" s="57"/>
      <c r="C533" s="57"/>
      <c r="D533" s="57"/>
      <c r="E533" s="57"/>
      <c r="F533" s="57"/>
      <c r="G533" s="57"/>
      <c r="H533" s="57"/>
      <c r="I533" s="57"/>
      <c r="J533" s="57"/>
      <c r="K533" s="57"/>
      <c r="L533" s="57"/>
      <c r="M533" s="57"/>
      <c r="N533" s="57"/>
      <c r="O533" s="57"/>
      <c r="P533" s="57"/>
      <c r="Q533" s="57"/>
      <c r="R533" s="2092"/>
      <c r="S533" s="247"/>
    </row>
    <row r="534" spans="1:19">
      <c r="A534" s="247"/>
      <c r="B534" s="57"/>
      <c r="C534" s="57"/>
      <c r="D534" s="57"/>
      <c r="E534" s="57"/>
      <c r="F534" s="57"/>
      <c r="G534" s="57"/>
      <c r="H534" s="57"/>
      <c r="I534" s="57"/>
      <c r="J534" s="57"/>
      <c r="K534" s="57"/>
      <c r="L534" s="57"/>
      <c r="M534" s="57"/>
      <c r="N534" s="57"/>
      <c r="O534" s="57"/>
      <c r="P534" s="57"/>
      <c r="Q534" s="57"/>
      <c r="R534" s="2092"/>
      <c r="S534" s="247"/>
    </row>
    <row r="535" spans="1:19">
      <c r="A535" s="247"/>
      <c r="B535" s="57"/>
      <c r="C535" s="57"/>
      <c r="D535" s="57"/>
      <c r="E535" s="57"/>
      <c r="F535" s="57"/>
      <c r="G535" s="57"/>
      <c r="H535" s="57"/>
      <c r="I535" s="57"/>
      <c r="J535" s="57"/>
      <c r="K535" s="57"/>
      <c r="L535" s="57"/>
      <c r="M535" s="57"/>
      <c r="N535" s="57"/>
      <c r="O535" s="57"/>
      <c r="P535" s="57"/>
      <c r="Q535" s="57"/>
      <c r="R535" s="2092"/>
      <c r="S535" s="247"/>
    </row>
    <row r="536" spans="1:19">
      <c r="A536" s="247"/>
      <c r="B536" s="57"/>
      <c r="C536" s="57"/>
      <c r="D536" s="57"/>
      <c r="E536" s="57"/>
      <c r="F536" s="57"/>
      <c r="G536" s="57"/>
      <c r="H536" s="57"/>
      <c r="I536" s="57"/>
      <c r="J536" s="57"/>
      <c r="K536" s="57"/>
      <c r="L536" s="57"/>
      <c r="M536" s="57"/>
      <c r="N536" s="57"/>
      <c r="O536" s="57"/>
      <c r="P536" s="57"/>
      <c r="Q536" s="57"/>
      <c r="R536" s="2092"/>
      <c r="S536" s="247"/>
    </row>
    <row r="537" spans="1:19">
      <c r="A537" s="247"/>
      <c r="B537" s="57"/>
      <c r="C537" s="57"/>
      <c r="D537" s="57"/>
      <c r="E537" s="57"/>
      <c r="F537" s="57"/>
      <c r="G537" s="57"/>
      <c r="H537" s="57"/>
      <c r="I537" s="57"/>
      <c r="J537" s="57"/>
      <c r="K537" s="57"/>
      <c r="L537" s="57"/>
      <c r="M537" s="57"/>
      <c r="N537" s="57"/>
      <c r="O537" s="57"/>
      <c r="P537" s="57"/>
      <c r="Q537" s="57"/>
      <c r="R537" s="2092"/>
      <c r="S537" s="247"/>
    </row>
    <row r="538" spans="1:19">
      <c r="A538" s="247"/>
      <c r="B538" s="57"/>
      <c r="C538" s="57"/>
      <c r="D538" s="57"/>
      <c r="E538" s="57"/>
      <c r="F538" s="57"/>
      <c r="G538" s="57"/>
      <c r="H538" s="57"/>
      <c r="I538" s="57"/>
      <c r="J538" s="57"/>
      <c r="K538" s="57"/>
      <c r="L538" s="57"/>
      <c r="M538" s="57"/>
      <c r="N538" s="57"/>
      <c r="O538" s="57"/>
      <c r="P538" s="57"/>
      <c r="Q538" s="57"/>
      <c r="R538" s="2092"/>
      <c r="S538" s="247"/>
    </row>
    <row r="539" spans="1:19">
      <c r="A539" s="247"/>
      <c r="B539" s="57"/>
      <c r="C539" s="57"/>
      <c r="D539" s="57"/>
      <c r="E539" s="57"/>
      <c r="F539" s="57"/>
      <c r="G539" s="57"/>
      <c r="H539" s="57"/>
      <c r="I539" s="57"/>
      <c r="J539" s="57"/>
      <c r="K539" s="57"/>
      <c r="L539" s="57"/>
      <c r="M539" s="57"/>
      <c r="N539" s="57"/>
      <c r="O539" s="57"/>
      <c r="P539" s="57"/>
      <c r="Q539" s="57"/>
      <c r="R539" s="2092"/>
      <c r="S539" s="247"/>
    </row>
    <row r="540" spans="1:19">
      <c r="A540" s="247"/>
      <c r="B540" s="57"/>
      <c r="C540" s="57"/>
      <c r="D540" s="57"/>
      <c r="E540" s="57"/>
      <c r="F540" s="57"/>
      <c r="G540" s="57"/>
      <c r="H540" s="57"/>
      <c r="I540" s="57"/>
      <c r="J540" s="57"/>
      <c r="K540" s="57"/>
      <c r="L540" s="57"/>
      <c r="M540" s="57"/>
      <c r="N540" s="57"/>
      <c r="O540" s="57"/>
      <c r="P540" s="57"/>
      <c r="Q540" s="57"/>
      <c r="R540" s="2092"/>
      <c r="S540" s="247"/>
    </row>
    <row r="541" spans="1:19">
      <c r="A541" s="247"/>
      <c r="B541" s="57"/>
      <c r="C541" s="57"/>
      <c r="D541" s="57"/>
      <c r="E541" s="57"/>
      <c r="F541" s="57"/>
      <c r="G541" s="57"/>
      <c r="H541" s="57"/>
      <c r="I541" s="57"/>
      <c r="J541" s="57"/>
      <c r="K541" s="57"/>
      <c r="L541" s="57"/>
      <c r="M541" s="57"/>
      <c r="N541" s="57"/>
      <c r="O541" s="57"/>
      <c r="P541" s="57"/>
      <c r="Q541" s="57"/>
      <c r="R541" s="2092"/>
      <c r="S541" s="247"/>
    </row>
    <row r="542" spans="1:19">
      <c r="A542" s="247"/>
      <c r="B542" s="57"/>
      <c r="C542" s="57"/>
      <c r="D542" s="57"/>
      <c r="E542" s="57"/>
      <c r="F542" s="57"/>
      <c r="G542" s="57"/>
      <c r="H542" s="57"/>
      <c r="I542" s="57"/>
      <c r="J542" s="57"/>
      <c r="K542" s="57"/>
      <c r="L542" s="57"/>
      <c r="M542" s="57"/>
      <c r="N542" s="57"/>
      <c r="O542" s="57"/>
      <c r="P542" s="57"/>
      <c r="Q542" s="57"/>
      <c r="R542" s="2092"/>
      <c r="S542" s="247"/>
    </row>
    <row r="543" spans="1:19">
      <c r="A543" s="247"/>
      <c r="B543" s="57"/>
      <c r="C543" s="57"/>
      <c r="D543" s="57"/>
      <c r="E543" s="57"/>
      <c r="F543" s="57"/>
      <c r="G543" s="57"/>
      <c r="H543" s="57"/>
      <c r="I543" s="57"/>
      <c r="J543" s="57"/>
      <c r="K543" s="57"/>
      <c r="L543" s="57"/>
      <c r="M543" s="57"/>
      <c r="N543" s="57"/>
      <c r="O543" s="57"/>
      <c r="P543" s="57"/>
      <c r="Q543" s="57"/>
      <c r="R543" s="2092"/>
      <c r="S543" s="247"/>
    </row>
    <row r="544" spans="1:19">
      <c r="A544" s="247"/>
      <c r="B544" s="57"/>
      <c r="C544" s="57"/>
      <c r="D544" s="57"/>
      <c r="E544" s="57"/>
      <c r="F544" s="57"/>
      <c r="G544" s="57"/>
      <c r="H544" s="57"/>
      <c r="I544" s="57"/>
      <c r="J544" s="57"/>
      <c r="K544" s="57"/>
      <c r="L544" s="57"/>
      <c r="M544" s="57"/>
      <c r="N544" s="57"/>
      <c r="O544" s="57"/>
      <c r="P544" s="57"/>
      <c r="Q544" s="57"/>
      <c r="R544" s="2092"/>
      <c r="S544" s="247"/>
    </row>
    <row r="545" spans="1:19">
      <c r="A545" s="247"/>
      <c r="B545" s="57"/>
      <c r="C545" s="57"/>
      <c r="D545" s="57"/>
      <c r="E545" s="57"/>
      <c r="F545" s="57"/>
      <c r="G545" s="57"/>
      <c r="H545" s="57"/>
      <c r="I545" s="57"/>
      <c r="J545" s="57"/>
      <c r="K545" s="57"/>
      <c r="L545" s="57"/>
      <c r="M545" s="57"/>
      <c r="N545" s="57"/>
      <c r="O545" s="57"/>
      <c r="P545" s="57"/>
      <c r="Q545" s="57"/>
      <c r="R545" s="2092"/>
      <c r="S545" s="247"/>
    </row>
    <row r="546" spans="1:19">
      <c r="A546" s="247"/>
      <c r="B546" s="57"/>
      <c r="C546" s="57"/>
      <c r="D546" s="57"/>
      <c r="E546" s="57"/>
      <c r="F546" s="57"/>
      <c r="G546" s="57"/>
      <c r="H546" s="57"/>
      <c r="I546" s="57"/>
      <c r="J546" s="57"/>
      <c r="K546" s="57"/>
      <c r="L546" s="57"/>
      <c r="M546" s="57"/>
      <c r="N546" s="57"/>
      <c r="O546" s="57"/>
      <c r="P546" s="57"/>
      <c r="Q546" s="57"/>
      <c r="R546" s="2092"/>
      <c r="S546" s="247"/>
    </row>
    <row r="547" spans="1:19">
      <c r="A547" s="247"/>
      <c r="B547" s="57"/>
      <c r="C547" s="57"/>
      <c r="D547" s="57"/>
      <c r="E547" s="57"/>
      <c r="F547" s="57"/>
      <c r="G547" s="57"/>
      <c r="H547" s="57"/>
      <c r="I547" s="57"/>
      <c r="J547" s="57"/>
      <c r="K547" s="57"/>
      <c r="L547" s="57"/>
      <c r="M547" s="57"/>
      <c r="N547" s="57"/>
      <c r="O547" s="57"/>
      <c r="P547" s="57"/>
      <c r="Q547" s="57"/>
      <c r="R547" s="2092"/>
      <c r="S547" s="247"/>
    </row>
    <row r="548" spans="1:19">
      <c r="A548" s="247"/>
      <c r="B548" s="57"/>
      <c r="C548" s="57"/>
      <c r="D548" s="57"/>
      <c r="E548" s="57"/>
      <c r="F548" s="57"/>
      <c r="G548" s="57"/>
      <c r="H548" s="57"/>
      <c r="I548" s="57"/>
      <c r="J548" s="57"/>
      <c r="K548" s="57"/>
      <c r="L548" s="57"/>
      <c r="M548" s="57"/>
      <c r="N548" s="57"/>
      <c r="O548" s="57"/>
      <c r="P548" s="57"/>
      <c r="Q548" s="57"/>
      <c r="R548" s="2092"/>
      <c r="S548" s="247"/>
    </row>
    <row r="549" spans="1:19">
      <c r="A549" s="247"/>
      <c r="B549" s="57"/>
      <c r="C549" s="57"/>
      <c r="D549" s="57"/>
      <c r="E549" s="57"/>
      <c r="F549" s="57"/>
      <c r="G549" s="57"/>
      <c r="H549" s="57"/>
      <c r="I549" s="57"/>
      <c r="J549" s="57"/>
      <c r="K549" s="57"/>
      <c r="L549" s="57"/>
      <c r="M549" s="57"/>
      <c r="N549" s="57"/>
      <c r="O549" s="57"/>
      <c r="P549" s="57"/>
      <c r="Q549" s="57"/>
      <c r="R549" s="2092"/>
      <c r="S549" s="247"/>
    </row>
    <row r="550" spans="1:19">
      <c r="A550" s="247"/>
      <c r="B550" s="57"/>
      <c r="C550" s="57"/>
      <c r="D550" s="57"/>
      <c r="E550" s="57"/>
      <c r="F550" s="57"/>
      <c r="G550" s="57"/>
      <c r="H550" s="57"/>
      <c r="I550" s="57"/>
      <c r="J550" s="57"/>
      <c r="K550" s="57"/>
      <c r="L550" s="57"/>
      <c r="M550" s="57"/>
      <c r="N550" s="57"/>
      <c r="O550" s="57"/>
      <c r="P550" s="57"/>
      <c r="Q550" s="57"/>
      <c r="R550" s="2092"/>
      <c r="S550" s="247"/>
    </row>
    <row r="551" spans="1:19">
      <c r="A551" s="247"/>
      <c r="B551" s="57"/>
      <c r="C551" s="57"/>
      <c r="D551" s="57"/>
      <c r="E551" s="57"/>
      <c r="F551" s="57"/>
      <c r="G551" s="57"/>
      <c r="H551" s="57"/>
      <c r="I551" s="57"/>
      <c r="J551" s="57"/>
      <c r="K551" s="57"/>
      <c r="L551" s="57"/>
      <c r="M551" s="57"/>
      <c r="N551" s="57"/>
      <c r="O551" s="57"/>
      <c r="P551" s="57"/>
      <c r="Q551" s="57"/>
      <c r="R551" s="2092"/>
      <c r="S551" s="247"/>
    </row>
    <row r="552" spans="1:19">
      <c r="A552" s="247"/>
      <c r="B552" s="57"/>
      <c r="C552" s="57"/>
      <c r="D552" s="57"/>
      <c r="E552" s="57"/>
      <c r="F552" s="57"/>
      <c r="G552" s="57"/>
      <c r="H552" s="57"/>
      <c r="I552" s="57"/>
      <c r="J552" s="57"/>
      <c r="K552" s="57"/>
      <c r="L552" s="57"/>
      <c r="M552" s="57"/>
      <c r="N552" s="57"/>
      <c r="O552" s="57"/>
      <c r="P552" s="57"/>
      <c r="Q552" s="57"/>
      <c r="R552" s="2092"/>
      <c r="S552" s="247"/>
    </row>
    <row r="553" spans="1:19">
      <c r="A553" s="247"/>
      <c r="B553" s="57"/>
      <c r="C553" s="57"/>
      <c r="D553" s="57"/>
      <c r="E553" s="57"/>
      <c r="F553" s="57"/>
      <c r="G553" s="57"/>
      <c r="H553" s="57"/>
      <c r="I553" s="57"/>
      <c r="J553" s="57"/>
      <c r="K553" s="57"/>
      <c r="L553" s="57"/>
      <c r="M553" s="57"/>
      <c r="N553" s="57"/>
      <c r="O553" s="57"/>
      <c r="P553" s="57"/>
      <c r="Q553" s="57"/>
      <c r="R553" s="2092"/>
      <c r="S553" s="247"/>
    </row>
    <row r="554" spans="1:19">
      <c r="A554" s="247"/>
      <c r="B554" s="57"/>
      <c r="C554" s="57"/>
      <c r="D554" s="57"/>
      <c r="E554" s="57"/>
      <c r="F554" s="57"/>
      <c r="G554" s="57"/>
      <c r="H554" s="57"/>
      <c r="I554" s="57"/>
      <c r="J554" s="57"/>
      <c r="K554" s="57"/>
      <c r="L554" s="57"/>
      <c r="M554" s="57"/>
      <c r="N554" s="57"/>
      <c r="O554" s="57"/>
      <c r="P554" s="57"/>
      <c r="Q554" s="57"/>
      <c r="R554" s="2092"/>
      <c r="S554" s="247"/>
    </row>
    <row r="555" spans="1:19">
      <c r="A555" s="247"/>
      <c r="B555" s="57"/>
      <c r="C555" s="57"/>
      <c r="D555" s="57"/>
      <c r="E555" s="57"/>
      <c r="F555" s="57"/>
      <c r="G555" s="57"/>
      <c r="H555" s="57"/>
      <c r="I555" s="57"/>
      <c r="J555" s="57"/>
      <c r="K555" s="57"/>
      <c r="L555" s="57"/>
      <c r="M555" s="57"/>
      <c r="N555" s="57"/>
      <c r="O555" s="57"/>
      <c r="P555" s="57"/>
      <c r="Q555" s="57"/>
      <c r="R555" s="2092"/>
      <c r="S555" s="247"/>
    </row>
    <row r="556" spans="1:19">
      <c r="A556" s="247"/>
      <c r="B556" s="57"/>
      <c r="C556" s="57"/>
      <c r="D556" s="57"/>
      <c r="E556" s="57"/>
      <c r="F556" s="57"/>
      <c r="G556" s="57"/>
      <c r="H556" s="57"/>
      <c r="I556" s="57"/>
      <c r="J556" s="57"/>
      <c r="K556" s="57"/>
      <c r="L556" s="57"/>
      <c r="M556" s="57"/>
      <c r="N556" s="57"/>
      <c r="O556" s="57"/>
      <c r="P556" s="57"/>
      <c r="Q556" s="57"/>
      <c r="R556" s="2092"/>
      <c r="S556" s="247"/>
    </row>
    <row r="557" spans="1:19">
      <c r="A557" s="247"/>
      <c r="B557" s="57"/>
      <c r="C557" s="57"/>
      <c r="D557" s="57"/>
      <c r="E557" s="57"/>
      <c r="F557" s="57"/>
      <c r="G557" s="57"/>
      <c r="H557" s="57"/>
      <c r="I557" s="57"/>
      <c r="J557" s="57"/>
      <c r="K557" s="57"/>
      <c r="L557" s="57"/>
      <c r="M557" s="57"/>
      <c r="N557" s="57"/>
      <c r="O557" s="57"/>
      <c r="P557" s="57"/>
      <c r="Q557" s="57"/>
      <c r="R557" s="2092"/>
      <c r="S557" s="247"/>
    </row>
    <row r="558" spans="1:19">
      <c r="A558" s="247"/>
      <c r="B558" s="57"/>
      <c r="C558" s="57"/>
      <c r="D558" s="57"/>
      <c r="E558" s="57"/>
      <c r="F558" s="57"/>
      <c r="G558" s="57"/>
      <c r="H558" s="57"/>
      <c r="I558" s="57"/>
      <c r="J558" s="57"/>
      <c r="K558" s="57"/>
      <c r="L558" s="57"/>
      <c r="M558" s="57"/>
      <c r="N558" s="57"/>
      <c r="O558" s="57"/>
      <c r="P558" s="57"/>
      <c r="Q558" s="57"/>
      <c r="R558" s="2092"/>
      <c r="S558" s="247"/>
    </row>
    <row r="559" spans="1:19">
      <c r="A559" s="247"/>
      <c r="B559" s="57"/>
      <c r="C559" s="57"/>
      <c r="D559" s="57"/>
      <c r="E559" s="57"/>
      <c r="F559" s="57"/>
      <c r="G559" s="57"/>
      <c r="H559" s="57"/>
      <c r="I559" s="57"/>
      <c r="J559" s="57"/>
      <c r="K559" s="57"/>
      <c r="L559" s="57"/>
      <c r="M559" s="57"/>
      <c r="N559" s="57"/>
      <c r="O559" s="57"/>
      <c r="P559" s="57"/>
      <c r="Q559" s="57"/>
      <c r="R559" s="2092"/>
      <c r="S559" s="247"/>
    </row>
    <row r="560" spans="1:19">
      <c r="A560" s="247"/>
      <c r="B560" s="57"/>
      <c r="C560" s="57"/>
      <c r="D560" s="57"/>
      <c r="E560" s="57"/>
      <c r="F560" s="57"/>
      <c r="G560" s="57"/>
      <c r="H560" s="57"/>
      <c r="I560" s="57"/>
      <c r="J560" s="57"/>
      <c r="K560" s="57"/>
      <c r="L560" s="57"/>
      <c r="M560" s="57"/>
      <c r="N560" s="57"/>
      <c r="O560" s="57"/>
      <c r="P560" s="57"/>
      <c r="Q560" s="57"/>
      <c r="R560" s="2092"/>
      <c r="S560" s="247"/>
    </row>
    <row r="561" spans="1:19">
      <c r="A561" s="247"/>
      <c r="B561" s="57"/>
      <c r="C561" s="57"/>
      <c r="D561" s="57"/>
      <c r="E561" s="57"/>
      <c r="F561" s="57"/>
      <c r="G561" s="57"/>
      <c r="H561" s="57"/>
      <c r="I561" s="57"/>
      <c r="J561" s="57"/>
      <c r="K561" s="57"/>
      <c r="L561" s="57"/>
      <c r="M561" s="57"/>
      <c r="N561" s="57"/>
      <c r="O561" s="57"/>
      <c r="P561" s="57"/>
      <c r="Q561" s="57"/>
      <c r="R561" s="2092"/>
      <c r="S561" s="247"/>
    </row>
    <row r="562" spans="1:19">
      <c r="A562" s="247"/>
      <c r="B562" s="57"/>
      <c r="C562" s="57"/>
      <c r="D562" s="57"/>
      <c r="E562" s="57"/>
      <c r="F562" s="57"/>
      <c r="G562" s="57"/>
      <c r="H562" s="57"/>
      <c r="I562" s="57"/>
      <c r="J562" s="57"/>
      <c r="K562" s="57"/>
      <c r="L562" s="57"/>
      <c r="M562" s="57"/>
      <c r="N562" s="57"/>
      <c r="O562" s="57"/>
      <c r="P562" s="57"/>
      <c r="Q562" s="57"/>
      <c r="R562" s="2092"/>
      <c r="S562" s="247"/>
    </row>
    <row r="563" spans="1:19">
      <c r="A563" s="247"/>
      <c r="B563" s="57"/>
      <c r="C563" s="57"/>
      <c r="D563" s="57"/>
      <c r="E563" s="57"/>
      <c r="F563" s="57"/>
      <c r="G563" s="57"/>
      <c r="H563" s="57"/>
      <c r="I563" s="57"/>
      <c r="J563" s="57"/>
      <c r="K563" s="57"/>
      <c r="L563" s="57"/>
      <c r="M563" s="57"/>
      <c r="N563" s="57"/>
      <c r="O563" s="57"/>
      <c r="P563" s="57"/>
      <c r="Q563" s="57"/>
      <c r="R563" s="2092"/>
      <c r="S563" s="247"/>
    </row>
    <row r="564" spans="1:19">
      <c r="A564" s="247"/>
      <c r="B564" s="57"/>
      <c r="C564" s="57"/>
      <c r="D564" s="57"/>
      <c r="E564" s="57"/>
      <c r="F564" s="57"/>
      <c r="G564" s="57"/>
      <c r="H564" s="57"/>
      <c r="I564" s="57"/>
      <c r="J564" s="57"/>
      <c r="K564" s="57"/>
      <c r="L564" s="57"/>
      <c r="M564" s="57"/>
      <c r="N564" s="57"/>
      <c r="O564" s="57"/>
      <c r="P564" s="57"/>
      <c r="Q564" s="57"/>
      <c r="R564" s="2092"/>
      <c r="S564" s="247"/>
    </row>
    <row r="565" spans="1:19">
      <c r="A565" s="247"/>
      <c r="B565" s="57"/>
      <c r="C565" s="57"/>
      <c r="D565" s="57"/>
      <c r="E565" s="57"/>
      <c r="F565" s="57"/>
      <c r="G565" s="57"/>
      <c r="H565" s="57"/>
      <c r="I565" s="57"/>
      <c r="J565" s="57"/>
      <c r="K565" s="57"/>
      <c r="L565" s="57"/>
      <c r="M565" s="57"/>
      <c r="N565" s="57"/>
      <c r="O565" s="57"/>
      <c r="P565" s="57"/>
      <c r="Q565" s="57"/>
      <c r="R565" s="2092"/>
      <c r="S565" s="247"/>
    </row>
    <row r="566" spans="1:19">
      <c r="A566" s="247"/>
      <c r="B566" s="57"/>
      <c r="C566" s="57"/>
      <c r="D566" s="57"/>
      <c r="E566" s="57"/>
      <c r="F566" s="57"/>
      <c r="G566" s="57"/>
      <c r="H566" s="57"/>
      <c r="I566" s="57"/>
      <c r="J566" s="57"/>
      <c r="K566" s="57"/>
      <c r="L566" s="57"/>
      <c r="M566" s="57"/>
      <c r="N566" s="57"/>
      <c r="O566" s="57"/>
      <c r="P566" s="57"/>
      <c r="Q566" s="57"/>
      <c r="R566" s="2092"/>
      <c r="S566" s="247"/>
    </row>
    <row r="567" spans="1:19">
      <c r="A567" s="247"/>
      <c r="B567" s="57"/>
      <c r="C567" s="57"/>
      <c r="D567" s="57"/>
      <c r="E567" s="57"/>
      <c r="F567" s="57"/>
      <c r="G567" s="57"/>
      <c r="H567" s="57"/>
      <c r="I567" s="57"/>
      <c r="J567" s="57"/>
      <c r="K567" s="57"/>
      <c r="L567" s="57"/>
      <c r="M567" s="57"/>
      <c r="N567" s="57"/>
      <c r="O567" s="57"/>
      <c r="P567" s="57"/>
      <c r="Q567" s="57"/>
      <c r="R567" s="2092"/>
      <c r="S567" s="247"/>
    </row>
    <row r="568" spans="1:19">
      <c r="A568" s="247"/>
      <c r="B568" s="57"/>
      <c r="C568" s="57"/>
      <c r="D568" s="57"/>
      <c r="E568" s="57"/>
      <c r="F568" s="57"/>
      <c r="G568" s="57"/>
      <c r="H568" s="57"/>
      <c r="I568" s="57"/>
      <c r="J568" s="57"/>
      <c r="K568" s="57"/>
      <c r="L568" s="57"/>
      <c r="M568" s="57"/>
      <c r="N568" s="57"/>
      <c r="O568" s="57"/>
      <c r="P568" s="57"/>
      <c r="Q568" s="57"/>
      <c r="R568" s="2092"/>
      <c r="S568" s="247"/>
    </row>
    <row r="569" spans="1:19">
      <c r="A569" s="247"/>
      <c r="B569" s="57"/>
      <c r="C569" s="57"/>
      <c r="D569" s="57"/>
      <c r="E569" s="57"/>
      <c r="F569" s="57"/>
      <c r="G569" s="57"/>
      <c r="H569" s="57"/>
      <c r="I569" s="57"/>
      <c r="J569" s="57"/>
      <c r="K569" s="57"/>
      <c r="L569" s="57"/>
      <c r="M569" s="57"/>
      <c r="N569" s="57"/>
      <c r="O569" s="57"/>
      <c r="P569" s="57"/>
      <c r="Q569" s="57"/>
      <c r="R569" s="2092"/>
      <c r="S569" s="247"/>
    </row>
    <row r="570" spans="1:19">
      <c r="A570" s="247"/>
      <c r="B570" s="57"/>
      <c r="C570" s="57"/>
      <c r="D570" s="57"/>
      <c r="E570" s="57"/>
      <c r="F570" s="57"/>
      <c r="G570" s="57"/>
      <c r="H570" s="57"/>
      <c r="I570" s="57"/>
      <c r="J570" s="57"/>
      <c r="K570" s="57"/>
      <c r="L570" s="57"/>
      <c r="M570" s="57"/>
      <c r="N570" s="57"/>
      <c r="O570" s="57"/>
      <c r="P570" s="57"/>
      <c r="Q570" s="57"/>
      <c r="R570" s="2092"/>
      <c r="S570" s="247"/>
    </row>
    <row r="571" spans="1:19">
      <c r="A571" s="247"/>
      <c r="B571" s="57"/>
      <c r="C571" s="57"/>
      <c r="D571" s="57"/>
      <c r="E571" s="57"/>
      <c r="F571" s="57"/>
      <c r="G571" s="57"/>
      <c r="H571" s="57"/>
      <c r="I571" s="57"/>
      <c r="J571" s="57"/>
      <c r="K571" s="57"/>
      <c r="L571" s="57"/>
      <c r="M571" s="57"/>
      <c r="N571" s="57"/>
      <c r="O571" s="57"/>
      <c r="P571" s="57"/>
      <c r="Q571" s="57"/>
      <c r="R571" s="2092"/>
      <c r="S571" s="247"/>
    </row>
    <row r="572" spans="1:19">
      <c r="A572" s="247"/>
      <c r="B572" s="57"/>
      <c r="C572" s="57"/>
      <c r="D572" s="57"/>
      <c r="E572" s="57"/>
      <c r="F572" s="57"/>
      <c r="G572" s="57"/>
      <c r="H572" s="57"/>
      <c r="I572" s="57"/>
      <c r="J572" s="57"/>
      <c r="K572" s="57"/>
      <c r="L572" s="57"/>
      <c r="M572" s="57"/>
      <c r="N572" s="57"/>
      <c r="O572" s="57"/>
      <c r="P572" s="57"/>
      <c r="Q572" s="57"/>
      <c r="R572" s="2092"/>
      <c r="S572" s="247"/>
    </row>
    <row r="573" spans="1:19">
      <c r="A573" s="247"/>
      <c r="B573" s="57"/>
      <c r="C573" s="57"/>
      <c r="D573" s="57"/>
      <c r="E573" s="57"/>
      <c r="F573" s="57"/>
      <c r="G573" s="57"/>
      <c r="H573" s="57"/>
      <c r="I573" s="57"/>
      <c r="J573" s="57"/>
      <c r="K573" s="57"/>
      <c r="L573" s="57"/>
      <c r="M573" s="57"/>
      <c r="N573" s="57"/>
      <c r="O573" s="57"/>
      <c r="P573" s="57"/>
      <c r="Q573" s="57"/>
      <c r="R573" s="2092"/>
      <c r="S573" s="247"/>
    </row>
    <row r="574" spans="1:19">
      <c r="A574" s="247"/>
      <c r="B574" s="57"/>
      <c r="C574" s="57"/>
      <c r="D574" s="57"/>
      <c r="E574" s="57"/>
      <c r="F574" s="57"/>
      <c r="G574" s="57"/>
      <c r="H574" s="57"/>
      <c r="I574" s="57"/>
      <c r="J574" s="57"/>
      <c r="K574" s="57"/>
      <c r="L574" s="57"/>
      <c r="M574" s="57"/>
      <c r="N574" s="57"/>
      <c r="O574" s="57"/>
      <c r="P574" s="57"/>
      <c r="Q574" s="57"/>
      <c r="R574" s="2092"/>
      <c r="S574" s="247"/>
    </row>
    <row r="575" spans="1:19">
      <c r="A575" s="247"/>
      <c r="B575" s="57"/>
      <c r="C575" s="57"/>
      <c r="D575" s="57"/>
      <c r="E575" s="57"/>
      <c r="F575" s="57"/>
      <c r="G575" s="57"/>
      <c r="H575" s="57"/>
      <c r="I575" s="57"/>
      <c r="J575" s="57"/>
      <c r="K575" s="57"/>
      <c r="L575" s="57"/>
      <c r="M575" s="57"/>
      <c r="N575" s="57"/>
      <c r="O575" s="57"/>
      <c r="P575" s="57"/>
      <c r="Q575" s="57"/>
      <c r="R575" s="2092"/>
      <c r="S575" s="247"/>
    </row>
    <row r="576" spans="1:19">
      <c r="A576" s="247"/>
      <c r="B576" s="57"/>
      <c r="C576" s="57"/>
      <c r="D576" s="57"/>
      <c r="E576" s="57"/>
      <c r="F576" s="57"/>
      <c r="G576" s="57"/>
      <c r="H576" s="57"/>
      <c r="I576" s="57"/>
      <c r="J576" s="57"/>
      <c r="K576" s="57"/>
      <c r="L576" s="57"/>
      <c r="M576" s="57"/>
      <c r="N576" s="57"/>
      <c r="O576" s="57"/>
      <c r="P576" s="57"/>
      <c r="Q576" s="57"/>
      <c r="R576" s="2092"/>
      <c r="S576" s="247"/>
    </row>
    <row r="577" spans="1:19">
      <c r="A577" s="247"/>
      <c r="B577" s="57"/>
      <c r="C577" s="57"/>
      <c r="D577" s="57"/>
      <c r="E577" s="57"/>
      <c r="F577" s="57"/>
      <c r="G577" s="57"/>
      <c r="H577" s="57"/>
      <c r="I577" s="57"/>
      <c r="J577" s="57"/>
      <c r="K577" s="57"/>
      <c r="L577" s="57"/>
      <c r="M577" s="57"/>
      <c r="N577" s="57"/>
      <c r="O577" s="57"/>
      <c r="P577" s="57"/>
      <c r="Q577" s="57"/>
      <c r="R577" s="2092"/>
      <c r="S577" s="247"/>
    </row>
    <row r="578" spans="1:19">
      <c r="A578" s="247"/>
      <c r="B578" s="57"/>
      <c r="C578" s="57"/>
      <c r="D578" s="57"/>
      <c r="E578" s="57"/>
      <c r="F578" s="57"/>
      <c r="G578" s="57"/>
      <c r="H578" s="57"/>
      <c r="I578" s="57"/>
      <c r="J578" s="57"/>
      <c r="K578" s="57"/>
      <c r="L578" s="57"/>
      <c r="M578" s="57"/>
      <c r="N578" s="57"/>
      <c r="O578" s="57"/>
      <c r="P578" s="57"/>
      <c r="Q578" s="57"/>
      <c r="R578" s="2092"/>
      <c r="S578" s="247"/>
    </row>
    <row r="579" spans="1:19">
      <c r="A579" s="247"/>
      <c r="B579" s="57"/>
      <c r="C579" s="57"/>
      <c r="D579" s="57"/>
      <c r="E579" s="57"/>
      <c r="F579" s="57"/>
      <c r="G579" s="57"/>
      <c r="H579" s="57"/>
      <c r="I579" s="57"/>
      <c r="J579" s="57"/>
      <c r="K579" s="57"/>
      <c r="L579" s="57"/>
      <c r="M579" s="57"/>
      <c r="N579" s="57"/>
      <c r="O579" s="57"/>
      <c r="P579" s="57"/>
      <c r="Q579" s="57"/>
      <c r="R579" s="2092"/>
      <c r="S579" s="247"/>
    </row>
    <row r="580" spans="1:19">
      <c r="A580" s="247"/>
      <c r="B580" s="57"/>
      <c r="C580" s="57"/>
      <c r="D580" s="57"/>
      <c r="E580" s="57"/>
      <c r="F580" s="57"/>
      <c r="G580" s="57"/>
      <c r="H580" s="57"/>
      <c r="I580" s="57"/>
      <c r="J580" s="57"/>
      <c r="K580" s="57"/>
      <c r="L580" s="57"/>
      <c r="M580" s="57"/>
      <c r="N580" s="57"/>
      <c r="O580" s="57"/>
      <c r="P580" s="57"/>
      <c r="Q580" s="57"/>
      <c r="R580" s="2092"/>
      <c r="S580" s="247"/>
    </row>
    <row r="581" spans="1:19">
      <c r="A581" s="247"/>
      <c r="B581" s="57"/>
      <c r="C581" s="57"/>
      <c r="D581" s="57"/>
      <c r="E581" s="57"/>
      <c r="F581" s="57"/>
      <c r="G581" s="57"/>
      <c r="H581" s="57"/>
      <c r="I581" s="57"/>
      <c r="J581" s="57"/>
      <c r="K581" s="57"/>
      <c r="L581" s="57"/>
      <c r="M581" s="57"/>
      <c r="N581" s="57"/>
      <c r="O581" s="57"/>
      <c r="P581" s="57"/>
      <c r="Q581" s="57"/>
      <c r="R581" s="2092"/>
      <c r="S581" s="247"/>
    </row>
    <row r="582" spans="1:19">
      <c r="A582" s="247"/>
      <c r="B582" s="57"/>
      <c r="C582" s="57"/>
      <c r="D582" s="57"/>
      <c r="E582" s="57"/>
      <c r="F582" s="57"/>
      <c r="G582" s="57"/>
      <c r="H582" s="57"/>
      <c r="I582" s="57"/>
      <c r="J582" s="57"/>
      <c r="K582" s="57"/>
      <c r="L582" s="57"/>
      <c r="M582" s="57"/>
      <c r="N582" s="57"/>
      <c r="O582" s="57"/>
      <c r="P582" s="57"/>
      <c r="Q582" s="57"/>
      <c r="R582" s="2092"/>
      <c r="S582" s="247"/>
    </row>
    <row r="583" spans="1:19">
      <c r="A583" s="247"/>
      <c r="B583" s="57"/>
      <c r="C583" s="57"/>
      <c r="D583" s="57"/>
      <c r="E583" s="57"/>
      <c r="F583" s="57"/>
      <c r="G583" s="57"/>
      <c r="H583" s="57"/>
      <c r="I583" s="57"/>
      <c r="J583" s="57"/>
      <c r="K583" s="57"/>
      <c r="L583" s="57"/>
      <c r="M583" s="57"/>
      <c r="N583" s="57"/>
      <c r="O583" s="57"/>
      <c r="P583" s="57"/>
      <c r="Q583" s="57"/>
      <c r="R583" s="2092"/>
      <c r="S583" s="247"/>
    </row>
    <row r="584" spans="1:19">
      <c r="A584" s="247"/>
      <c r="B584" s="57"/>
      <c r="C584" s="57"/>
      <c r="D584" s="57"/>
      <c r="E584" s="57"/>
      <c r="F584" s="57"/>
      <c r="G584" s="57"/>
      <c r="H584" s="57"/>
      <c r="I584" s="57"/>
      <c r="J584" s="57"/>
      <c r="K584" s="57"/>
      <c r="L584" s="57"/>
      <c r="M584" s="57"/>
      <c r="N584" s="57"/>
      <c r="O584" s="57"/>
      <c r="P584" s="57"/>
      <c r="Q584" s="57"/>
      <c r="R584" s="2092"/>
      <c r="S584" s="247"/>
    </row>
    <row r="585" spans="1:19">
      <c r="A585" s="247"/>
      <c r="B585" s="57"/>
      <c r="C585" s="57"/>
      <c r="D585" s="57"/>
      <c r="E585" s="57"/>
      <c r="F585" s="57"/>
      <c r="G585" s="57"/>
      <c r="H585" s="57"/>
      <c r="I585" s="57"/>
      <c r="J585" s="57"/>
      <c r="K585" s="57"/>
      <c r="L585" s="57"/>
      <c r="M585" s="57"/>
      <c r="N585" s="57"/>
      <c r="O585" s="57"/>
      <c r="P585" s="57"/>
      <c r="Q585" s="57"/>
      <c r="R585" s="2092"/>
      <c r="S585" s="247"/>
    </row>
    <row r="586" spans="1:19">
      <c r="A586" s="247"/>
      <c r="B586" s="57"/>
      <c r="C586" s="57"/>
      <c r="D586" s="57"/>
      <c r="E586" s="57"/>
      <c r="F586" s="57"/>
      <c r="G586" s="57"/>
      <c r="H586" s="57"/>
      <c r="I586" s="57"/>
      <c r="J586" s="57"/>
      <c r="K586" s="57"/>
      <c r="L586" s="57"/>
      <c r="M586" s="57"/>
      <c r="N586" s="57"/>
      <c r="O586" s="57"/>
      <c r="P586" s="57"/>
      <c r="Q586" s="57"/>
      <c r="R586" s="2092"/>
      <c r="S586" s="247"/>
    </row>
    <row r="587" spans="1:19">
      <c r="A587" s="247"/>
      <c r="B587" s="57"/>
      <c r="C587" s="57"/>
      <c r="D587" s="57"/>
      <c r="E587" s="57"/>
      <c r="F587" s="57"/>
      <c r="G587" s="57"/>
      <c r="H587" s="57"/>
      <c r="I587" s="57"/>
      <c r="J587" s="57"/>
      <c r="K587" s="57"/>
      <c r="L587" s="57"/>
      <c r="M587" s="57"/>
      <c r="N587" s="57"/>
      <c r="O587" s="57"/>
      <c r="P587" s="57"/>
      <c r="Q587" s="57"/>
      <c r="R587" s="2092"/>
      <c r="S587" s="247"/>
    </row>
    <row r="588" spans="1:19">
      <c r="A588" s="247"/>
      <c r="B588" s="57"/>
      <c r="C588" s="57"/>
      <c r="D588" s="57"/>
      <c r="E588" s="57"/>
      <c r="F588" s="57"/>
      <c r="G588" s="57"/>
      <c r="H588" s="57"/>
      <c r="I588" s="57"/>
      <c r="J588" s="57"/>
      <c r="K588" s="57"/>
      <c r="L588" s="57"/>
      <c r="M588" s="57"/>
      <c r="N588" s="57"/>
      <c r="O588" s="57"/>
      <c r="P588" s="57"/>
      <c r="Q588" s="57"/>
      <c r="R588" s="2092"/>
      <c r="S588" s="247"/>
    </row>
    <row r="589" spans="1:19">
      <c r="A589" s="247"/>
      <c r="B589" s="57"/>
      <c r="C589" s="57"/>
      <c r="D589" s="57"/>
      <c r="E589" s="57"/>
      <c r="F589" s="57"/>
      <c r="G589" s="57"/>
      <c r="H589" s="57"/>
      <c r="I589" s="57"/>
      <c r="J589" s="57"/>
      <c r="K589" s="57"/>
      <c r="L589" s="57"/>
      <c r="M589" s="57"/>
      <c r="N589" s="57"/>
      <c r="O589" s="57"/>
      <c r="P589" s="57"/>
      <c r="Q589" s="57"/>
      <c r="R589" s="2092"/>
      <c r="S589" s="247"/>
    </row>
    <row r="590" spans="1:19">
      <c r="A590" s="247"/>
      <c r="B590" s="57"/>
      <c r="C590" s="57"/>
      <c r="D590" s="57"/>
      <c r="E590" s="57"/>
      <c r="F590" s="57"/>
      <c r="G590" s="57"/>
      <c r="H590" s="57"/>
      <c r="I590" s="57"/>
      <c r="J590" s="57"/>
      <c r="K590" s="57"/>
      <c r="L590" s="57"/>
      <c r="M590" s="57"/>
      <c r="N590" s="57"/>
      <c r="O590" s="57"/>
      <c r="P590" s="57"/>
      <c r="Q590" s="57"/>
      <c r="R590" s="2092"/>
      <c r="S590" s="247"/>
    </row>
    <row r="591" spans="1:19">
      <c r="A591" s="247"/>
      <c r="B591" s="57"/>
      <c r="C591" s="57"/>
      <c r="D591" s="57"/>
      <c r="E591" s="57"/>
      <c r="F591" s="57"/>
      <c r="G591" s="57"/>
      <c r="H591" s="57"/>
      <c r="I591" s="57"/>
      <c r="J591" s="57"/>
      <c r="K591" s="57"/>
      <c r="L591" s="57"/>
      <c r="M591" s="57"/>
      <c r="N591" s="57"/>
      <c r="O591" s="57"/>
      <c r="P591" s="57"/>
      <c r="Q591" s="57"/>
      <c r="R591" s="2092"/>
      <c r="S591" s="247"/>
    </row>
    <row r="592" spans="1:19">
      <c r="A592" s="247"/>
      <c r="B592" s="57"/>
      <c r="C592" s="57"/>
      <c r="D592" s="57"/>
      <c r="E592" s="57"/>
      <c r="F592" s="57"/>
      <c r="G592" s="57"/>
      <c r="H592" s="57"/>
      <c r="I592" s="57"/>
      <c r="J592" s="57"/>
      <c r="K592" s="57"/>
      <c r="L592" s="57"/>
      <c r="M592" s="57"/>
      <c r="N592" s="57"/>
      <c r="O592" s="57"/>
      <c r="P592" s="57"/>
      <c r="Q592" s="57"/>
      <c r="R592" s="2092"/>
      <c r="S592" s="247"/>
    </row>
    <row r="593" spans="1:19">
      <c r="A593" s="247"/>
      <c r="B593" s="57"/>
      <c r="C593" s="57"/>
      <c r="D593" s="57"/>
      <c r="E593" s="57"/>
      <c r="F593" s="57"/>
      <c r="G593" s="57"/>
      <c r="H593" s="57"/>
      <c r="I593" s="57"/>
      <c r="J593" s="57"/>
      <c r="K593" s="57"/>
      <c r="L593" s="57"/>
      <c r="M593" s="57"/>
      <c r="N593" s="57"/>
      <c r="O593" s="57"/>
      <c r="P593" s="57"/>
      <c r="Q593" s="57"/>
      <c r="R593" s="2092"/>
      <c r="S593" s="247"/>
    </row>
    <row r="594" spans="1:19">
      <c r="A594" s="247"/>
      <c r="B594" s="57"/>
      <c r="C594" s="57"/>
      <c r="D594" s="57"/>
      <c r="E594" s="57"/>
      <c r="F594" s="57"/>
      <c r="G594" s="57"/>
      <c r="H594" s="57"/>
      <c r="I594" s="57"/>
      <c r="J594" s="57"/>
      <c r="K594" s="57"/>
      <c r="L594" s="57"/>
      <c r="M594" s="57"/>
      <c r="N594" s="57"/>
      <c r="O594" s="57"/>
      <c r="P594" s="57"/>
      <c r="Q594" s="57"/>
      <c r="R594" s="2092"/>
      <c r="S594" s="247"/>
    </row>
    <row r="595" spans="1:19">
      <c r="A595" s="247"/>
      <c r="B595" s="57"/>
      <c r="C595" s="57"/>
      <c r="D595" s="57"/>
      <c r="E595" s="57"/>
      <c r="F595" s="57"/>
      <c r="G595" s="57"/>
      <c r="H595" s="57"/>
      <c r="I595" s="57"/>
      <c r="J595" s="57"/>
      <c r="K595" s="57"/>
      <c r="L595" s="57"/>
      <c r="M595" s="57"/>
      <c r="N595" s="57"/>
      <c r="O595" s="57"/>
      <c r="P595" s="57"/>
      <c r="Q595" s="57"/>
      <c r="R595" s="2092"/>
      <c r="S595" s="247"/>
    </row>
    <row r="596" spans="1:19">
      <c r="A596" s="247"/>
      <c r="B596" s="57"/>
      <c r="C596" s="57"/>
      <c r="D596" s="57"/>
      <c r="E596" s="57"/>
      <c r="F596" s="57"/>
      <c r="G596" s="57"/>
      <c r="H596" s="57"/>
      <c r="I596" s="57"/>
      <c r="J596" s="57"/>
      <c r="K596" s="57"/>
      <c r="L596" s="57"/>
      <c r="M596" s="57"/>
      <c r="N596" s="57"/>
      <c r="O596" s="57"/>
      <c r="P596" s="57"/>
      <c r="Q596" s="57"/>
      <c r="R596" s="2092"/>
      <c r="S596" s="247"/>
    </row>
    <row r="597" spans="1:19">
      <c r="A597" s="247"/>
      <c r="B597" s="57"/>
      <c r="C597" s="57"/>
      <c r="D597" s="57"/>
      <c r="E597" s="57"/>
      <c r="F597" s="57"/>
      <c r="G597" s="57"/>
      <c r="H597" s="57"/>
      <c r="I597" s="57"/>
      <c r="J597" s="57"/>
      <c r="K597" s="57"/>
      <c r="L597" s="57"/>
      <c r="M597" s="57"/>
      <c r="N597" s="57"/>
      <c r="O597" s="57"/>
      <c r="P597" s="57"/>
      <c r="Q597" s="57"/>
      <c r="R597" s="2092"/>
      <c r="S597" s="247"/>
    </row>
    <row r="598" spans="1:19">
      <c r="A598" s="247"/>
      <c r="B598" s="57"/>
      <c r="C598" s="57"/>
      <c r="D598" s="57"/>
      <c r="E598" s="57"/>
      <c r="F598" s="57"/>
      <c r="G598" s="57"/>
      <c r="H598" s="57"/>
      <c r="I598" s="57"/>
      <c r="J598" s="57"/>
      <c r="K598" s="57"/>
      <c r="L598" s="57"/>
      <c r="M598" s="57"/>
      <c r="N598" s="57"/>
      <c r="O598" s="57"/>
      <c r="P598" s="57"/>
      <c r="Q598" s="57"/>
      <c r="R598" s="2092"/>
      <c r="S598" s="247"/>
    </row>
    <row r="599" spans="1:19">
      <c r="A599" s="247"/>
      <c r="B599" s="57"/>
      <c r="C599" s="57"/>
      <c r="D599" s="57"/>
      <c r="E599" s="57"/>
      <c r="F599" s="57"/>
      <c r="G599" s="57"/>
      <c r="H599" s="57"/>
      <c r="I599" s="57"/>
      <c r="J599" s="57"/>
      <c r="K599" s="57"/>
      <c r="L599" s="57"/>
      <c r="M599" s="57"/>
      <c r="N599" s="57"/>
      <c r="O599" s="57"/>
      <c r="P599" s="57"/>
      <c r="Q599" s="57"/>
      <c r="R599" s="2092"/>
      <c r="S599" s="247"/>
    </row>
    <row r="600" spans="1:19">
      <c r="A600" s="247"/>
      <c r="B600" s="57"/>
      <c r="C600" s="57"/>
      <c r="D600" s="57"/>
      <c r="E600" s="57"/>
      <c r="F600" s="57"/>
      <c r="G600" s="57"/>
      <c r="H600" s="57"/>
      <c r="I600" s="57"/>
      <c r="J600" s="57"/>
      <c r="K600" s="57"/>
      <c r="L600" s="57"/>
      <c r="M600" s="57"/>
      <c r="N600" s="57"/>
      <c r="O600" s="57"/>
      <c r="P600" s="57"/>
      <c r="Q600" s="57"/>
      <c r="R600" s="2092"/>
      <c r="S600" s="247"/>
    </row>
    <row r="601" spans="1:19">
      <c r="A601" s="247"/>
      <c r="B601" s="57"/>
      <c r="C601" s="57"/>
      <c r="D601" s="57"/>
      <c r="E601" s="57"/>
      <c r="F601" s="57"/>
      <c r="G601" s="57"/>
      <c r="H601" s="57"/>
      <c r="I601" s="57"/>
      <c r="J601" s="57"/>
      <c r="K601" s="57"/>
      <c r="L601" s="57"/>
      <c r="M601" s="57"/>
      <c r="N601" s="57"/>
      <c r="O601" s="57"/>
      <c r="P601" s="57"/>
      <c r="Q601" s="57"/>
      <c r="R601" s="2092"/>
      <c r="S601" s="247"/>
    </row>
    <row r="602" spans="1:19">
      <c r="A602" s="247"/>
      <c r="B602" s="57"/>
      <c r="C602" s="57"/>
      <c r="D602" s="57"/>
      <c r="E602" s="57"/>
      <c r="F602" s="57"/>
      <c r="G602" s="57"/>
      <c r="H602" s="57"/>
      <c r="I602" s="57"/>
      <c r="J602" s="57"/>
      <c r="K602" s="57"/>
      <c r="L602" s="57"/>
      <c r="M602" s="57"/>
      <c r="N602" s="57"/>
      <c r="O602" s="57"/>
      <c r="P602" s="57"/>
      <c r="Q602" s="57"/>
      <c r="R602" s="2092"/>
      <c r="S602" s="247"/>
    </row>
    <row r="603" spans="1:19">
      <c r="A603" s="247"/>
      <c r="B603" s="57"/>
      <c r="C603" s="57"/>
      <c r="D603" s="57"/>
      <c r="E603" s="57"/>
      <c r="F603" s="57"/>
      <c r="G603" s="57"/>
      <c r="H603" s="57"/>
      <c r="I603" s="57"/>
      <c r="J603" s="57"/>
      <c r="K603" s="57"/>
      <c r="L603" s="57"/>
      <c r="M603" s="57"/>
      <c r="N603" s="57"/>
      <c r="O603" s="57"/>
      <c r="P603" s="57"/>
      <c r="Q603" s="57"/>
      <c r="R603" s="2092"/>
      <c r="S603" s="247"/>
    </row>
    <row r="604" spans="1:19">
      <c r="A604" s="247"/>
      <c r="B604" s="57"/>
      <c r="C604" s="57"/>
      <c r="D604" s="57"/>
      <c r="E604" s="57"/>
      <c r="F604" s="57"/>
      <c r="G604" s="57"/>
      <c r="H604" s="57"/>
      <c r="I604" s="57"/>
      <c r="J604" s="57"/>
      <c r="K604" s="57"/>
      <c r="L604" s="57"/>
      <c r="M604" s="57"/>
      <c r="N604" s="57"/>
      <c r="O604" s="57"/>
      <c r="P604" s="57"/>
      <c r="Q604" s="57"/>
      <c r="R604" s="2092"/>
      <c r="S604" s="247"/>
    </row>
    <row r="605" spans="1:19">
      <c r="A605" s="247"/>
      <c r="B605" s="57"/>
      <c r="C605" s="57"/>
      <c r="D605" s="57"/>
      <c r="E605" s="57"/>
      <c r="F605" s="57"/>
      <c r="G605" s="57"/>
      <c r="H605" s="57"/>
      <c r="I605" s="57"/>
      <c r="J605" s="57"/>
      <c r="K605" s="57"/>
      <c r="L605" s="57"/>
      <c r="M605" s="57"/>
      <c r="N605" s="57"/>
      <c r="O605" s="57"/>
      <c r="P605" s="57"/>
      <c r="Q605" s="57"/>
      <c r="R605" s="2092"/>
      <c r="S605" s="247"/>
    </row>
    <row r="606" spans="1:19">
      <c r="A606" s="247"/>
      <c r="B606" s="57"/>
      <c r="C606" s="57"/>
      <c r="D606" s="57"/>
      <c r="E606" s="57"/>
      <c r="F606" s="57"/>
      <c r="G606" s="57"/>
      <c r="H606" s="57"/>
      <c r="I606" s="57"/>
      <c r="J606" s="57"/>
      <c r="K606" s="57"/>
      <c r="L606" s="57"/>
      <c r="M606" s="57"/>
      <c r="N606" s="57"/>
      <c r="O606" s="57"/>
      <c r="P606" s="57"/>
      <c r="Q606" s="57"/>
      <c r="R606" s="2092"/>
      <c r="S606" s="247"/>
    </row>
    <row r="607" spans="1:19">
      <c r="A607" s="247"/>
      <c r="B607" s="57"/>
      <c r="C607" s="57"/>
      <c r="D607" s="57"/>
      <c r="E607" s="57"/>
      <c r="F607" s="57"/>
      <c r="G607" s="57"/>
      <c r="H607" s="57"/>
      <c r="I607" s="57"/>
      <c r="J607" s="57"/>
      <c r="K607" s="57"/>
      <c r="L607" s="57"/>
      <c r="M607" s="57"/>
      <c r="N607" s="57"/>
      <c r="O607" s="57"/>
      <c r="P607" s="57"/>
      <c r="Q607" s="57"/>
      <c r="R607" s="2092"/>
      <c r="S607" s="247"/>
    </row>
    <row r="608" spans="1:19">
      <c r="A608" s="247"/>
      <c r="B608" s="57"/>
      <c r="C608" s="57"/>
      <c r="D608" s="57"/>
      <c r="E608" s="57"/>
      <c r="F608" s="57"/>
      <c r="G608" s="57"/>
      <c r="H608" s="57"/>
      <c r="I608" s="57"/>
      <c r="J608" s="57"/>
      <c r="K608" s="57"/>
      <c r="L608" s="57"/>
      <c r="M608" s="57"/>
      <c r="N608" s="57"/>
      <c r="O608" s="57"/>
      <c r="P608" s="57"/>
      <c r="Q608" s="57"/>
      <c r="R608" s="2092"/>
      <c r="S608" s="247"/>
    </row>
    <row r="609" spans="1:19">
      <c r="A609" s="247"/>
      <c r="B609" s="57"/>
      <c r="C609" s="57"/>
      <c r="D609" s="57"/>
      <c r="E609" s="57"/>
      <c r="F609" s="57"/>
      <c r="G609" s="57"/>
      <c r="H609" s="57"/>
      <c r="I609" s="57"/>
      <c r="J609" s="57"/>
      <c r="K609" s="57"/>
      <c r="L609" s="57"/>
      <c r="M609" s="57"/>
      <c r="N609" s="57"/>
      <c r="O609" s="57"/>
      <c r="P609" s="57"/>
      <c r="Q609" s="57"/>
      <c r="R609" s="2092"/>
      <c r="S609" s="247"/>
    </row>
    <row r="610" spans="1:19">
      <c r="A610" s="247"/>
      <c r="B610" s="57"/>
      <c r="C610" s="57"/>
      <c r="D610" s="57"/>
      <c r="E610" s="57"/>
      <c r="F610" s="57"/>
      <c r="G610" s="57"/>
      <c r="H610" s="57"/>
      <c r="I610" s="57"/>
      <c r="J610" s="57"/>
      <c r="K610" s="57"/>
      <c r="L610" s="57"/>
      <c r="M610" s="57"/>
      <c r="N610" s="57"/>
      <c r="O610" s="57"/>
      <c r="P610" s="57"/>
      <c r="Q610" s="57"/>
      <c r="R610" s="2092"/>
      <c r="S610" s="247"/>
    </row>
    <row r="611" spans="1:19">
      <c r="A611" s="247"/>
      <c r="B611" s="57"/>
      <c r="C611" s="57"/>
      <c r="D611" s="57"/>
      <c r="E611" s="57"/>
      <c r="F611" s="57"/>
      <c r="G611" s="57"/>
      <c r="H611" s="57"/>
      <c r="I611" s="57"/>
      <c r="J611" s="57"/>
      <c r="K611" s="57"/>
      <c r="L611" s="57"/>
      <c r="M611" s="57"/>
      <c r="N611" s="57"/>
      <c r="O611" s="57"/>
      <c r="P611" s="57"/>
      <c r="Q611" s="57"/>
      <c r="R611" s="2092"/>
      <c r="S611" s="247"/>
    </row>
    <row r="612" spans="1:19">
      <c r="A612" s="247"/>
      <c r="B612" s="57"/>
      <c r="C612" s="57"/>
      <c r="D612" s="57"/>
      <c r="E612" s="57"/>
      <c r="F612" s="57"/>
      <c r="G612" s="57"/>
      <c r="H612" s="57"/>
      <c r="I612" s="57"/>
      <c r="J612" s="57"/>
      <c r="K612" s="57"/>
      <c r="L612" s="57"/>
      <c r="M612" s="57"/>
      <c r="N612" s="57"/>
      <c r="O612" s="57"/>
      <c r="P612" s="57"/>
      <c r="Q612" s="57"/>
      <c r="R612" s="2092"/>
      <c r="S612" s="247"/>
    </row>
    <row r="613" spans="1:19">
      <c r="A613" s="247"/>
      <c r="B613" s="57"/>
      <c r="C613" s="57"/>
      <c r="D613" s="57"/>
      <c r="E613" s="57"/>
      <c r="F613" s="57"/>
      <c r="G613" s="57"/>
      <c r="H613" s="57"/>
      <c r="I613" s="57"/>
      <c r="J613" s="57"/>
      <c r="K613" s="57"/>
      <c r="L613" s="57"/>
      <c r="M613" s="57"/>
      <c r="N613" s="57"/>
      <c r="O613" s="57"/>
      <c r="P613" s="57"/>
      <c r="Q613" s="57"/>
      <c r="R613" s="2092"/>
      <c r="S613" s="247"/>
    </row>
    <row r="614" spans="1:19">
      <c r="A614" s="247"/>
      <c r="B614" s="57"/>
      <c r="C614" s="57"/>
      <c r="D614" s="57"/>
      <c r="E614" s="57"/>
      <c r="F614" s="57"/>
      <c r="G614" s="57"/>
      <c r="H614" s="57"/>
      <c r="I614" s="57"/>
      <c r="J614" s="57"/>
      <c r="K614" s="57"/>
      <c r="L614" s="57"/>
      <c r="M614" s="57"/>
      <c r="N614" s="57"/>
      <c r="O614" s="57"/>
      <c r="P614" s="57"/>
      <c r="Q614" s="57"/>
      <c r="R614" s="2092"/>
      <c r="S614" s="247"/>
    </row>
    <row r="615" spans="1:19">
      <c r="A615" s="247"/>
      <c r="B615" s="57"/>
      <c r="C615" s="57"/>
      <c r="D615" s="57"/>
      <c r="E615" s="57"/>
      <c r="F615" s="57"/>
      <c r="G615" s="57"/>
      <c r="H615" s="57"/>
      <c r="I615" s="57"/>
      <c r="J615" s="57"/>
      <c r="K615" s="57"/>
      <c r="L615" s="57"/>
      <c r="M615" s="57"/>
      <c r="N615" s="57"/>
      <c r="O615" s="57"/>
      <c r="P615" s="57"/>
      <c r="Q615" s="57"/>
      <c r="R615" s="2092"/>
      <c r="S615" s="247"/>
    </row>
    <row r="616" spans="1:19">
      <c r="A616" s="247"/>
      <c r="B616" s="57"/>
      <c r="C616" s="57"/>
      <c r="D616" s="57"/>
      <c r="E616" s="57"/>
      <c r="F616" s="57"/>
      <c r="G616" s="57"/>
      <c r="H616" s="57"/>
      <c r="I616" s="57"/>
      <c r="J616" s="57"/>
      <c r="K616" s="57"/>
      <c r="L616" s="57"/>
      <c r="M616" s="57"/>
      <c r="N616" s="57"/>
      <c r="O616" s="57"/>
      <c r="P616" s="57"/>
      <c r="Q616" s="57"/>
      <c r="R616" s="2092"/>
      <c r="S616" s="247"/>
    </row>
    <row r="617" spans="1:19">
      <c r="A617" s="247"/>
      <c r="B617" s="57"/>
      <c r="C617" s="57"/>
      <c r="D617" s="57"/>
      <c r="E617" s="57"/>
      <c r="F617" s="57"/>
      <c r="G617" s="57"/>
      <c r="H617" s="57"/>
      <c r="I617" s="57"/>
      <c r="J617" s="57"/>
      <c r="K617" s="57"/>
      <c r="L617" s="57"/>
      <c r="M617" s="57"/>
      <c r="N617" s="57"/>
      <c r="O617" s="57"/>
      <c r="P617" s="57"/>
      <c r="Q617" s="57"/>
      <c r="R617" s="2092"/>
      <c r="S617" s="247"/>
    </row>
    <row r="618" spans="1:19">
      <c r="A618" s="247"/>
      <c r="B618" s="57"/>
      <c r="C618" s="57"/>
      <c r="D618" s="57"/>
      <c r="E618" s="57"/>
      <c r="F618" s="57"/>
      <c r="G618" s="57"/>
      <c r="H618" s="57"/>
      <c r="I618" s="57"/>
      <c r="J618" s="57"/>
      <c r="K618" s="57"/>
      <c r="L618" s="57"/>
      <c r="M618" s="57"/>
      <c r="N618" s="57"/>
      <c r="O618" s="57"/>
      <c r="P618" s="57"/>
      <c r="Q618" s="57"/>
      <c r="R618" s="2092"/>
      <c r="S618" s="247"/>
    </row>
    <row r="619" spans="1:19">
      <c r="A619" s="247"/>
      <c r="B619" s="57"/>
      <c r="C619" s="57"/>
      <c r="D619" s="57"/>
      <c r="E619" s="57"/>
      <c r="F619" s="57"/>
      <c r="G619" s="57"/>
      <c r="H619" s="57"/>
      <c r="I619" s="57"/>
      <c r="J619" s="57"/>
      <c r="K619" s="57"/>
      <c r="L619" s="57"/>
      <c r="M619" s="57"/>
      <c r="N619" s="57"/>
      <c r="O619" s="57"/>
      <c r="P619" s="57"/>
      <c r="Q619" s="57"/>
      <c r="R619" s="2092"/>
      <c r="S619" s="247"/>
    </row>
    <row r="620" spans="1:19">
      <c r="A620" s="247"/>
      <c r="B620" s="57"/>
      <c r="C620" s="57"/>
      <c r="D620" s="57"/>
      <c r="E620" s="57"/>
      <c r="F620" s="57"/>
      <c r="G620" s="57"/>
      <c r="H620" s="57"/>
      <c r="I620" s="57"/>
      <c r="J620" s="57"/>
      <c r="K620" s="57"/>
      <c r="L620" s="57"/>
      <c r="M620" s="57"/>
      <c r="N620" s="57"/>
      <c r="O620" s="57"/>
      <c r="P620" s="57"/>
      <c r="Q620" s="57"/>
      <c r="R620" s="2092"/>
      <c r="S620" s="247"/>
    </row>
    <row r="621" spans="1:19">
      <c r="A621" s="247"/>
      <c r="B621" s="57"/>
      <c r="C621" s="57"/>
      <c r="D621" s="57"/>
      <c r="E621" s="57"/>
      <c r="F621" s="57"/>
      <c r="G621" s="57"/>
      <c r="H621" s="57"/>
      <c r="I621" s="57"/>
      <c r="J621" s="57"/>
      <c r="K621" s="57"/>
      <c r="L621" s="57"/>
      <c r="M621" s="57"/>
      <c r="N621" s="57"/>
      <c r="O621" s="57"/>
      <c r="P621" s="57"/>
      <c r="Q621" s="57"/>
      <c r="R621" s="2092"/>
      <c r="S621" s="247"/>
    </row>
    <row r="622" spans="1:19">
      <c r="A622" s="247"/>
      <c r="B622" s="57"/>
      <c r="C622" s="57"/>
      <c r="D622" s="57"/>
      <c r="E622" s="57"/>
      <c r="F622" s="57"/>
      <c r="G622" s="57"/>
      <c r="H622" s="57"/>
      <c r="I622" s="57"/>
      <c r="J622" s="57"/>
      <c r="K622" s="57"/>
      <c r="L622" s="57"/>
      <c r="M622" s="57"/>
      <c r="N622" s="57"/>
      <c r="O622" s="57"/>
      <c r="P622" s="57"/>
      <c r="Q622" s="57"/>
      <c r="R622" s="2092"/>
      <c r="S622" s="247"/>
    </row>
    <row r="623" spans="1:19">
      <c r="A623" s="247"/>
      <c r="B623" s="57"/>
      <c r="C623" s="57"/>
      <c r="D623" s="57"/>
      <c r="E623" s="57"/>
      <c r="F623" s="57"/>
      <c r="G623" s="57"/>
      <c r="H623" s="57"/>
      <c r="I623" s="57"/>
      <c r="J623" s="57"/>
      <c r="K623" s="57"/>
      <c r="L623" s="57"/>
      <c r="M623" s="57"/>
      <c r="N623" s="57"/>
      <c r="O623" s="57"/>
      <c r="P623" s="57"/>
      <c r="Q623" s="57"/>
      <c r="R623" s="2092"/>
      <c r="S623" s="247"/>
    </row>
    <row r="624" spans="1:19">
      <c r="A624" s="247"/>
      <c r="B624" s="57"/>
      <c r="C624" s="57"/>
      <c r="D624" s="57"/>
      <c r="E624" s="57"/>
      <c r="F624" s="57"/>
      <c r="G624" s="57"/>
      <c r="H624" s="57"/>
      <c r="I624" s="57"/>
      <c r="J624" s="57"/>
      <c r="K624" s="57"/>
      <c r="L624" s="57"/>
      <c r="M624" s="57"/>
      <c r="N624" s="57"/>
      <c r="O624" s="57"/>
      <c r="P624" s="57"/>
      <c r="Q624" s="57"/>
      <c r="R624" s="2092"/>
      <c r="S624" s="247"/>
    </row>
    <row r="625" spans="1:19">
      <c r="A625" s="247"/>
      <c r="B625" s="57"/>
      <c r="C625" s="57"/>
      <c r="D625" s="57"/>
      <c r="E625" s="57"/>
      <c r="F625" s="57"/>
      <c r="G625" s="57"/>
      <c r="H625" s="57"/>
      <c r="I625" s="57"/>
      <c r="J625" s="57"/>
      <c r="K625" s="57"/>
      <c r="L625" s="57"/>
      <c r="M625" s="57"/>
      <c r="N625" s="57"/>
      <c r="O625" s="57"/>
      <c r="P625" s="57"/>
      <c r="Q625" s="57"/>
      <c r="R625" s="2092"/>
      <c r="S625" s="247"/>
    </row>
    <row r="626" spans="1:19">
      <c r="A626" s="247"/>
      <c r="B626" s="57"/>
      <c r="C626" s="57"/>
      <c r="D626" s="57"/>
      <c r="E626" s="57"/>
      <c r="F626" s="57"/>
      <c r="G626" s="57"/>
      <c r="H626" s="57"/>
      <c r="I626" s="57"/>
      <c r="J626" s="57"/>
      <c r="K626" s="57"/>
      <c r="L626" s="57"/>
      <c r="M626" s="57"/>
      <c r="N626" s="57"/>
      <c r="O626" s="57"/>
      <c r="P626" s="57"/>
      <c r="Q626" s="57"/>
      <c r="R626" s="2092"/>
      <c r="S626" s="247"/>
    </row>
    <row r="627" spans="1:19">
      <c r="A627" s="247"/>
      <c r="B627" s="57"/>
      <c r="C627" s="57"/>
      <c r="D627" s="57"/>
      <c r="E627" s="57"/>
      <c r="F627" s="57"/>
      <c r="G627" s="57"/>
      <c r="H627" s="57"/>
      <c r="I627" s="57"/>
      <c r="J627" s="57"/>
      <c r="K627" s="57"/>
      <c r="L627" s="57"/>
      <c r="M627" s="57"/>
      <c r="N627" s="57"/>
      <c r="O627" s="57"/>
      <c r="P627" s="57"/>
      <c r="Q627" s="57"/>
      <c r="R627" s="2092"/>
      <c r="S627" s="247"/>
    </row>
    <row r="628" spans="1:19">
      <c r="A628" s="247"/>
      <c r="B628" s="57"/>
      <c r="C628" s="57"/>
      <c r="D628" s="57"/>
      <c r="E628" s="57"/>
      <c r="F628" s="57"/>
      <c r="G628" s="57"/>
      <c r="H628" s="57"/>
      <c r="I628" s="57"/>
      <c r="J628" s="57"/>
      <c r="K628" s="57"/>
      <c r="L628" s="57"/>
      <c r="M628" s="57"/>
      <c r="N628" s="57"/>
      <c r="O628" s="57"/>
      <c r="P628" s="57"/>
      <c r="Q628" s="57"/>
      <c r="R628" s="2092"/>
      <c r="S628" s="247"/>
    </row>
    <row r="629" spans="1:19">
      <c r="A629" s="247"/>
      <c r="B629" s="57"/>
      <c r="C629" s="57"/>
      <c r="D629" s="57"/>
      <c r="E629" s="57"/>
      <c r="F629" s="57"/>
      <c r="G629" s="57"/>
      <c r="H629" s="57"/>
      <c r="I629" s="57"/>
      <c r="J629" s="57"/>
      <c r="K629" s="57"/>
      <c r="L629" s="57"/>
      <c r="M629" s="57"/>
      <c r="N629" s="57"/>
      <c r="O629" s="57"/>
      <c r="P629" s="57"/>
      <c r="Q629" s="57"/>
      <c r="R629" s="2092"/>
      <c r="S629" s="247"/>
    </row>
    <row r="630" spans="1:19">
      <c r="A630" s="247"/>
      <c r="B630" s="57"/>
      <c r="C630" s="57"/>
      <c r="D630" s="57"/>
      <c r="E630" s="57"/>
      <c r="F630" s="57"/>
      <c r="G630" s="57"/>
      <c r="H630" s="57"/>
      <c r="I630" s="57"/>
      <c r="J630" s="57"/>
      <c r="K630" s="57"/>
      <c r="L630" s="57"/>
      <c r="M630" s="57"/>
      <c r="N630" s="57"/>
      <c r="O630" s="57"/>
      <c r="P630" s="57"/>
      <c r="Q630" s="57"/>
      <c r="R630" s="2092"/>
      <c r="S630" s="247"/>
    </row>
    <row r="631" spans="1:19">
      <c r="A631" s="247"/>
      <c r="B631" s="57"/>
      <c r="C631" s="57"/>
      <c r="D631" s="57"/>
      <c r="E631" s="57"/>
      <c r="F631" s="57"/>
      <c r="G631" s="57"/>
      <c r="H631" s="57"/>
      <c r="I631" s="57"/>
      <c r="J631" s="57"/>
      <c r="K631" s="57"/>
      <c r="L631" s="57"/>
      <c r="M631" s="57"/>
      <c r="N631" s="57"/>
      <c r="O631" s="57"/>
      <c r="P631" s="57"/>
      <c r="Q631" s="57"/>
      <c r="R631" s="2092"/>
      <c r="S631" s="247"/>
    </row>
    <row r="632" spans="1:19">
      <c r="A632" s="247"/>
      <c r="B632" s="57"/>
      <c r="C632" s="57"/>
      <c r="D632" s="57"/>
      <c r="E632" s="57"/>
      <c r="F632" s="57"/>
      <c r="G632" s="57"/>
      <c r="H632" s="57"/>
      <c r="I632" s="57"/>
      <c r="J632" s="57"/>
      <c r="K632" s="57"/>
      <c r="L632" s="57"/>
      <c r="M632" s="57"/>
      <c r="N632" s="57"/>
      <c r="O632" s="57"/>
      <c r="P632" s="57"/>
      <c r="Q632" s="57"/>
      <c r="R632" s="2092"/>
      <c r="S632" s="247"/>
    </row>
    <row r="633" spans="1:19">
      <c r="A633" s="247"/>
      <c r="B633" s="57"/>
      <c r="C633" s="57"/>
      <c r="D633" s="57"/>
      <c r="E633" s="57"/>
      <c r="F633" s="57"/>
      <c r="G633" s="57"/>
      <c r="H633" s="57"/>
      <c r="I633" s="57"/>
      <c r="J633" s="57"/>
      <c r="K633" s="57"/>
      <c r="L633" s="57"/>
      <c r="M633" s="57"/>
      <c r="N633" s="57"/>
      <c r="O633" s="57"/>
      <c r="P633" s="57"/>
      <c r="Q633" s="57"/>
      <c r="R633" s="2092"/>
      <c r="S633" s="247"/>
    </row>
    <row r="634" spans="1:19">
      <c r="A634" s="247"/>
      <c r="B634" s="57"/>
      <c r="C634" s="57"/>
      <c r="D634" s="57"/>
      <c r="E634" s="57"/>
      <c r="F634" s="57"/>
      <c r="G634" s="57"/>
      <c r="H634" s="57"/>
      <c r="I634" s="57"/>
      <c r="J634" s="57"/>
      <c r="K634" s="57"/>
      <c r="L634" s="57"/>
      <c r="M634" s="57"/>
      <c r="N634" s="57"/>
      <c r="O634" s="57"/>
      <c r="P634" s="57"/>
      <c r="Q634" s="57"/>
      <c r="R634" s="2092"/>
      <c r="S634" s="247"/>
    </row>
    <row r="635" spans="1:19">
      <c r="A635" s="247"/>
      <c r="B635" s="57"/>
      <c r="C635" s="57"/>
      <c r="D635" s="57"/>
      <c r="E635" s="57"/>
      <c r="F635" s="57"/>
      <c r="G635" s="57"/>
      <c r="H635" s="57"/>
      <c r="I635" s="57"/>
      <c r="J635" s="57"/>
      <c r="K635" s="57"/>
      <c r="L635" s="57"/>
      <c r="M635" s="57"/>
      <c r="N635" s="57"/>
      <c r="O635" s="57"/>
      <c r="P635" s="57"/>
      <c r="Q635" s="57"/>
      <c r="R635" s="2092"/>
      <c r="S635" s="247"/>
    </row>
    <row r="636" spans="1:19">
      <c r="A636" s="247"/>
      <c r="B636" s="57"/>
      <c r="C636" s="57"/>
      <c r="D636" s="57"/>
      <c r="E636" s="57"/>
      <c r="F636" s="57"/>
      <c r="G636" s="57"/>
      <c r="H636" s="57"/>
      <c r="I636" s="57"/>
      <c r="J636" s="57"/>
      <c r="K636" s="57"/>
      <c r="L636" s="57"/>
      <c r="M636" s="57"/>
      <c r="N636" s="57"/>
      <c r="O636" s="57"/>
      <c r="P636" s="57"/>
      <c r="Q636" s="57"/>
      <c r="R636" s="2092"/>
      <c r="S636" s="247"/>
    </row>
    <row r="637" spans="1:19">
      <c r="A637" s="247"/>
      <c r="B637" s="57"/>
      <c r="C637" s="57"/>
      <c r="D637" s="57"/>
      <c r="E637" s="57"/>
      <c r="F637" s="57"/>
      <c r="G637" s="57"/>
      <c r="H637" s="57"/>
      <c r="I637" s="57"/>
      <c r="J637" s="57"/>
      <c r="K637" s="57"/>
      <c r="L637" s="57"/>
      <c r="M637" s="57"/>
      <c r="N637" s="57"/>
      <c r="O637" s="57"/>
      <c r="P637" s="57"/>
      <c r="Q637" s="57"/>
      <c r="R637" s="2092"/>
      <c r="S637" s="247"/>
    </row>
    <row r="638" spans="1:19">
      <c r="A638" s="247"/>
      <c r="B638" s="57"/>
      <c r="C638" s="57"/>
      <c r="D638" s="57"/>
      <c r="E638" s="57"/>
      <c r="F638" s="57"/>
      <c r="G638" s="57"/>
      <c r="H638" s="57"/>
      <c r="I638" s="57"/>
      <c r="J638" s="57"/>
      <c r="K638" s="57"/>
      <c r="L638" s="57"/>
      <c r="M638" s="57"/>
      <c r="N638" s="57"/>
      <c r="O638" s="57"/>
      <c r="P638" s="57"/>
      <c r="Q638" s="57"/>
      <c r="R638" s="2092"/>
      <c r="S638" s="247"/>
    </row>
    <row r="639" spans="1:19">
      <c r="A639" s="247"/>
      <c r="B639" s="57"/>
      <c r="C639" s="57"/>
      <c r="D639" s="57"/>
      <c r="E639" s="57"/>
      <c r="F639" s="57"/>
      <c r="G639" s="57"/>
      <c r="H639" s="57"/>
      <c r="I639" s="57"/>
      <c r="J639" s="57"/>
      <c r="K639" s="57"/>
      <c r="L639" s="57"/>
      <c r="M639" s="57"/>
      <c r="N639" s="57"/>
      <c r="O639" s="57"/>
      <c r="P639" s="57"/>
      <c r="Q639" s="57"/>
      <c r="R639" s="2092"/>
      <c r="S639" s="247"/>
    </row>
    <row r="640" spans="1:19">
      <c r="A640" s="247"/>
      <c r="B640" s="57"/>
      <c r="C640" s="57"/>
      <c r="D640" s="57"/>
      <c r="E640" s="57"/>
      <c r="F640" s="57"/>
      <c r="G640" s="57"/>
      <c r="H640" s="57"/>
      <c r="I640" s="57"/>
      <c r="J640" s="57"/>
      <c r="K640" s="57"/>
      <c r="L640" s="57"/>
      <c r="M640" s="57"/>
      <c r="N640" s="57"/>
      <c r="O640" s="57"/>
      <c r="P640" s="57"/>
      <c r="Q640" s="57"/>
      <c r="R640" s="2092"/>
      <c r="S640" s="247"/>
    </row>
    <row r="641" spans="1:19">
      <c r="A641" s="247"/>
      <c r="B641" s="57"/>
      <c r="C641" s="57"/>
      <c r="D641" s="57"/>
      <c r="E641" s="57"/>
      <c r="F641" s="57"/>
      <c r="G641" s="57"/>
      <c r="H641" s="57"/>
      <c r="I641" s="57"/>
      <c r="J641" s="57"/>
      <c r="K641" s="57"/>
      <c r="L641" s="57"/>
      <c r="M641" s="57"/>
      <c r="N641" s="57"/>
      <c r="O641" s="57"/>
      <c r="P641" s="57"/>
      <c r="Q641" s="57"/>
      <c r="R641" s="2092"/>
      <c r="S641" s="247"/>
    </row>
    <row r="642" spans="1:19">
      <c r="A642" s="247"/>
      <c r="B642" s="57"/>
      <c r="C642" s="57"/>
      <c r="D642" s="57"/>
      <c r="E642" s="57"/>
      <c r="F642" s="57"/>
      <c r="G642" s="57"/>
      <c r="H642" s="57"/>
      <c r="I642" s="57"/>
      <c r="J642" s="57"/>
      <c r="K642" s="57"/>
      <c r="L642" s="57"/>
      <c r="M642" s="57"/>
      <c r="N642" s="57"/>
      <c r="O642" s="57"/>
      <c r="P642" s="57"/>
      <c r="Q642" s="57"/>
      <c r="R642" s="2092"/>
      <c r="S642" s="247"/>
    </row>
    <row r="643" spans="1:19">
      <c r="A643" s="247"/>
      <c r="B643" s="57"/>
      <c r="C643" s="57"/>
      <c r="D643" s="57"/>
      <c r="E643" s="57"/>
      <c r="F643" s="57"/>
      <c r="G643" s="57"/>
      <c r="H643" s="57"/>
      <c r="I643" s="57"/>
      <c r="J643" s="57"/>
      <c r="K643" s="57"/>
      <c r="L643" s="57"/>
      <c r="M643" s="57"/>
      <c r="N643" s="57"/>
      <c r="O643" s="57"/>
      <c r="P643" s="57"/>
      <c r="Q643" s="57"/>
      <c r="R643" s="2092"/>
      <c r="S643" s="247"/>
    </row>
    <row r="644" spans="1:19">
      <c r="A644" s="247"/>
      <c r="B644" s="57"/>
      <c r="C644" s="57"/>
      <c r="D644" s="57"/>
      <c r="E644" s="57"/>
      <c r="F644" s="57"/>
      <c r="G644" s="57"/>
      <c r="H644" s="57"/>
      <c r="I644" s="57"/>
      <c r="J644" s="57"/>
      <c r="K644" s="57"/>
      <c r="L644" s="57"/>
      <c r="M644" s="57"/>
      <c r="N644" s="57"/>
      <c r="O644" s="57"/>
      <c r="P644" s="57"/>
      <c r="Q644" s="57"/>
      <c r="R644" s="2092"/>
      <c r="S644" s="247"/>
    </row>
    <row r="645" spans="1:19">
      <c r="A645" s="247"/>
      <c r="B645" s="57"/>
      <c r="C645" s="57"/>
      <c r="D645" s="57"/>
      <c r="E645" s="57"/>
      <c r="F645" s="57"/>
      <c r="G645" s="57"/>
      <c r="H645" s="57"/>
      <c r="I645" s="57"/>
      <c r="J645" s="57"/>
      <c r="K645" s="57"/>
      <c r="L645" s="57"/>
      <c r="M645" s="57"/>
      <c r="N645" s="57"/>
      <c r="O645" s="57"/>
      <c r="P645" s="57"/>
      <c r="Q645" s="57"/>
      <c r="R645" s="2092"/>
      <c r="S645" s="247"/>
    </row>
    <row r="646" spans="1:19">
      <c r="A646" s="247"/>
      <c r="B646" s="57"/>
      <c r="C646" s="57"/>
      <c r="D646" s="57"/>
      <c r="E646" s="57"/>
      <c r="F646" s="57"/>
      <c r="G646" s="57"/>
      <c r="H646" s="57"/>
      <c r="I646" s="57"/>
      <c r="J646" s="57"/>
      <c r="K646" s="57"/>
      <c r="L646" s="57"/>
      <c r="M646" s="57"/>
      <c r="N646" s="57"/>
      <c r="O646" s="57"/>
      <c r="P646" s="57"/>
      <c r="Q646" s="57"/>
      <c r="R646" s="2092"/>
      <c r="S646" s="247"/>
    </row>
    <row r="647" spans="1:19">
      <c r="A647" s="247"/>
      <c r="B647" s="57"/>
      <c r="C647" s="57"/>
      <c r="D647" s="57"/>
      <c r="E647" s="57"/>
      <c r="F647" s="57"/>
      <c r="G647" s="57"/>
      <c r="H647" s="57"/>
      <c r="I647" s="57"/>
      <c r="J647" s="57"/>
      <c r="K647" s="57"/>
      <c r="L647" s="57"/>
      <c r="M647" s="57"/>
      <c r="N647" s="57"/>
      <c r="O647" s="57"/>
      <c r="P647" s="57"/>
      <c r="Q647" s="57"/>
      <c r="R647" s="2092"/>
      <c r="S647" s="247"/>
    </row>
    <row r="648" spans="1:19">
      <c r="A648" s="247"/>
      <c r="B648" s="57"/>
      <c r="C648" s="57"/>
      <c r="D648" s="57"/>
      <c r="E648" s="57"/>
      <c r="F648" s="57"/>
      <c r="G648" s="57"/>
      <c r="H648" s="57"/>
      <c r="I648" s="57"/>
      <c r="J648" s="57"/>
      <c r="K648" s="57"/>
      <c r="L648" s="57"/>
      <c r="M648" s="57"/>
      <c r="N648" s="57"/>
      <c r="O648" s="57"/>
      <c r="P648" s="57"/>
      <c r="Q648" s="57"/>
      <c r="R648" s="2092"/>
      <c r="S648" s="247"/>
    </row>
    <row r="649" spans="1:19">
      <c r="A649" s="247"/>
      <c r="B649" s="57"/>
      <c r="C649" s="57"/>
      <c r="D649" s="57"/>
      <c r="E649" s="57"/>
      <c r="F649" s="57"/>
      <c r="G649" s="57"/>
      <c r="H649" s="57"/>
      <c r="I649" s="57"/>
      <c r="J649" s="57"/>
      <c r="K649" s="57"/>
      <c r="L649" s="57"/>
      <c r="M649" s="57"/>
      <c r="N649" s="57"/>
      <c r="O649" s="57"/>
      <c r="P649" s="57"/>
      <c r="Q649" s="57"/>
      <c r="R649" s="2092"/>
      <c r="S649" s="247"/>
    </row>
    <row r="650" spans="1:19">
      <c r="A650" s="247"/>
      <c r="B650" s="57"/>
      <c r="C650" s="57"/>
      <c r="D650" s="57"/>
      <c r="E650" s="57"/>
      <c r="F650" s="57"/>
      <c r="G650" s="57"/>
      <c r="H650" s="57"/>
      <c r="I650" s="57"/>
      <c r="J650" s="57"/>
      <c r="K650" s="57"/>
      <c r="L650" s="57"/>
      <c r="M650" s="57"/>
      <c r="N650" s="57"/>
      <c r="O650" s="57"/>
      <c r="P650" s="57"/>
      <c r="Q650" s="57"/>
      <c r="R650" s="2092"/>
      <c r="S650" s="247"/>
    </row>
    <row r="651" spans="1:19">
      <c r="A651" s="247"/>
      <c r="B651" s="57"/>
      <c r="C651" s="57"/>
      <c r="D651" s="57"/>
      <c r="E651" s="57"/>
      <c r="F651" s="57"/>
      <c r="G651" s="57"/>
      <c r="H651" s="57"/>
      <c r="I651" s="57"/>
      <c r="J651" s="57"/>
      <c r="K651" s="57"/>
      <c r="L651" s="57"/>
      <c r="M651" s="57"/>
      <c r="N651" s="57"/>
      <c r="O651" s="57"/>
      <c r="P651" s="57"/>
      <c r="Q651" s="57"/>
      <c r="R651" s="2092"/>
      <c r="S651" s="247"/>
    </row>
    <row r="652" spans="1:19">
      <c r="A652" s="247"/>
      <c r="B652" s="57"/>
      <c r="C652" s="57"/>
      <c r="D652" s="57"/>
      <c r="E652" s="57"/>
      <c r="F652" s="57"/>
      <c r="G652" s="57"/>
      <c r="H652" s="57"/>
      <c r="I652" s="57"/>
      <c r="J652" s="57"/>
      <c r="K652" s="57"/>
      <c r="L652" s="57"/>
      <c r="M652" s="57"/>
      <c r="N652" s="57"/>
      <c r="O652" s="57"/>
      <c r="P652" s="57"/>
      <c r="Q652" s="57"/>
      <c r="R652" s="2092"/>
      <c r="S652" s="247"/>
    </row>
    <row r="653" spans="1:19">
      <c r="A653" s="247"/>
      <c r="B653" s="57"/>
      <c r="C653" s="57"/>
      <c r="D653" s="57"/>
      <c r="E653" s="57"/>
      <c r="F653" s="57"/>
      <c r="G653" s="57"/>
      <c r="H653" s="57"/>
      <c r="I653" s="57"/>
      <c r="J653" s="57"/>
      <c r="K653" s="57"/>
      <c r="L653" s="57"/>
      <c r="M653" s="57"/>
      <c r="N653" s="57"/>
      <c r="O653" s="57"/>
      <c r="P653" s="57"/>
      <c r="Q653" s="57"/>
      <c r="R653" s="2092"/>
      <c r="S653" s="247"/>
    </row>
    <row r="654" spans="1:19">
      <c r="A654" s="247"/>
      <c r="B654" s="57"/>
      <c r="C654" s="57"/>
      <c r="D654" s="57"/>
      <c r="E654" s="57"/>
      <c r="F654" s="57"/>
      <c r="G654" s="57"/>
      <c r="H654" s="57"/>
      <c r="I654" s="57"/>
      <c r="J654" s="57"/>
      <c r="K654" s="57"/>
      <c r="L654" s="57"/>
      <c r="M654" s="57"/>
      <c r="N654" s="57"/>
      <c r="O654" s="57"/>
      <c r="P654" s="57"/>
      <c r="Q654" s="57"/>
      <c r="R654" s="2092"/>
      <c r="S654" s="247"/>
    </row>
    <row r="655" spans="1:19">
      <c r="A655" s="247"/>
      <c r="B655" s="57"/>
      <c r="C655" s="57"/>
      <c r="D655" s="57"/>
      <c r="E655" s="57"/>
      <c r="F655" s="57"/>
      <c r="G655" s="57"/>
      <c r="H655" s="57"/>
      <c r="I655" s="57"/>
      <c r="J655" s="57"/>
      <c r="K655" s="57"/>
      <c r="L655" s="57"/>
      <c r="M655" s="57"/>
      <c r="N655" s="57"/>
      <c r="O655" s="57"/>
      <c r="P655" s="57"/>
      <c r="Q655" s="57"/>
      <c r="R655" s="2092"/>
      <c r="S655" s="247"/>
    </row>
    <row r="656" spans="1:19">
      <c r="A656" s="247"/>
      <c r="B656" s="57"/>
      <c r="C656" s="57"/>
      <c r="D656" s="57"/>
      <c r="E656" s="57"/>
      <c r="F656" s="57"/>
      <c r="G656" s="57"/>
      <c r="H656" s="57"/>
      <c r="I656" s="57"/>
      <c r="J656" s="57"/>
      <c r="K656" s="57"/>
      <c r="L656" s="57"/>
      <c r="M656" s="57"/>
      <c r="N656" s="57"/>
      <c r="O656" s="57"/>
      <c r="P656" s="57"/>
      <c r="Q656" s="57"/>
      <c r="R656" s="2092"/>
      <c r="S656" s="247"/>
    </row>
    <row r="657" spans="1:19">
      <c r="A657" s="247"/>
      <c r="B657" s="57"/>
      <c r="C657" s="57"/>
      <c r="D657" s="57"/>
      <c r="E657" s="57"/>
      <c r="F657" s="57"/>
      <c r="G657" s="57"/>
      <c r="H657" s="57"/>
      <c r="I657" s="57"/>
      <c r="J657" s="57"/>
      <c r="K657" s="57"/>
      <c r="L657" s="57"/>
      <c r="M657" s="57"/>
      <c r="N657" s="57"/>
      <c r="O657" s="57"/>
      <c r="P657" s="57"/>
      <c r="Q657" s="57"/>
      <c r="R657" s="2092"/>
      <c r="S657" s="247"/>
    </row>
    <row r="658" spans="1:19">
      <c r="A658" s="247"/>
      <c r="B658" s="57"/>
      <c r="C658" s="57"/>
      <c r="D658" s="57"/>
      <c r="E658" s="57"/>
      <c r="F658" s="57"/>
      <c r="G658" s="57"/>
      <c r="H658" s="57"/>
      <c r="I658" s="57"/>
      <c r="J658" s="57"/>
      <c r="K658" s="57"/>
      <c r="L658" s="57"/>
      <c r="M658" s="57"/>
      <c r="N658" s="57"/>
      <c r="O658" s="57"/>
      <c r="P658" s="57"/>
      <c r="Q658" s="57"/>
      <c r="R658" s="2092"/>
      <c r="S658" s="247"/>
    </row>
    <row r="659" spans="1:19">
      <c r="A659" s="247"/>
      <c r="B659" s="57"/>
      <c r="C659" s="57"/>
      <c r="D659" s="57"/>
      <c r="E659" s="57"/>
      <c r="F659" s="57"/>
      <c r="G659" s="57"/>
      <c r="H659" s="57"/>
      <c r="I659" s="57"/>
      <c r="J659" s="57"/>
      <c r="K659" s="57"/>
      <c r="L659" s="57"/>
      <c r="M659" s="57"/>
      <c r="N659" s="57"/>
      <c r="O659" s="57"/>
      <c r="P659" s="57"/>
      <c r="Q659" s="57"/>
      <c r="R659" s="2092"/>
      <c r="S659" s="247"/>
    </row>
    <row r="660" spans="1:19">
      <c r="A660" s="247"/>
      <c r="B660" s="57"/>
      <c r="C660" s="57"/>
      <c r="D660" s="57"/>
      <c r="E660" s="57"/>
      <c r="F660" s="57"/>
      <c r="G660" s="57"/>
      <c r="H660" s="57"/>
      <c r="I660" s="57"/>
      <c r="J660" s="57"/>
      <c r="K660" s="57"/>
      <c r="L660" s="57"/>
      <c r="M660" s="57"/>
      <c r="N660" s="57"/>
      <c r="O660" s="57"/>
      <c r="P660" s="57"/>
      <c r="Q660" s="57"/>
      <c r="R660" s="2092"/>
      <c r="S660" s="247"/>
    </row>
    <row r="661" spans="1:19">
      <c r="A661" s="247"/>
      <c r="B661" s="57"/>
      <c r="C661" s="57"/>
      <c r="D661" s="57"/>
      <c r="E661" s="57"/>
      <c r="F661" s="57"/>
      <c r="G661" s="57"/>
      <c r="H661" s="57"/>
      <c r="I661" s="57"/>
      <c r="J661" s="57"/>
      <c r="K661" s="57"/>
      <c r="L661" s="57"/>
      <c r="M661" s="57"/>
      <c r="N661" s="57"/>
      <c r="O661" s="57"/>
      <c r="P661" s="57"/>
      <c r="Q661" s="57"/>
      <c r="R661" s="2092"/>
      <c r="S661" s="247"/>
    </row>
    <row r="662" spans="1:19">
      <c r="A662" s="247"/>
      <c r="B662" s="57"/>
      <c r="C662" s="57"/>
      <c r="D662" s="57"/>
      <c r="E662" s="57"/>
      <c r="F662" s="57"/>
      <c r="G662" s="57"/>
      <c r="H662" s="57"/>
      <c r="I662" s="57"/>
      <c r="J662" s="57"/>
      <c r="K662" s="57"/>
      <c r="L662" s="57"/>
      <c r="M662" s="57"/>
      <c r="N662" s="57"/>
      <c r="O662" s="57"/>
      <c r="P662" s="57"/>
      <c r="Q662" s="57"/>
      <c r="R662" s="2092"/>
      <c r="S662" s="247"/>
    </row>
    <row r="663" spans="1:19">
      <c r="A663" s="247"/>
      <c r="B663" s="57"/>
      <c r="C663" s="57"/>
      <c r="D663" s="57"/>
      <c r="E663" s="57"/>
      <c r="F663" s="57"/>
      <c r="G663" s="57"/>
      <c r="H663" s="57"/>
      <c r="I663" s="57"/>
      <c r="J663" s="57"/>
      <c r="K663" s="57"/>
      <c r="L663" s="57"/>
      <c r="M663" s="57"/>
      <c r="N663" s="57"/>
      <c r="O663" s="57"/>
      <c r="P663" s="57"/>
      <c r="Q663" s="57"/>
      <c r="R663" s="2092"/>
      <c r="S663" s="247"/>
    </row>
    <row r="664" spans="1:19">
      <c r="A664" s="247"/>
      <c r="B664" s="57"/>
      <c r="C664" s="57"/>
      <c r="D664" s="57"/>
      <c r="E664" s="57"/>
      <c r="F664" s="57"/>
      <c r="G664" s="57"/>
      <c r="H664" s="57"/>
      <c r="I664" s="57"/>
      <c r="J664" s="57"/>
      <c r="K664" s="57"/>
      <c r="L664" s="57"/>
      <c r="M664" s="57"/>
      <c r="N664" s="57"/>
      <c r="O664" s="57"/>
      <c r="P664" s="57"/>
      <c r="Q664" s="57"/>
      <c r="R664" s="2092"/>
      <c r="S664" s="247"/>
    </row>
    <row r="665" spans="1:19">
      <c r="A665" s="247"/>
      <c r="B665" s="57"/>
      <c r="C665" s="57"/>
      <c r="D665" s="57"/>
      <c r="E665" s="57"/>
      <c r="F665" s="57"/>
      <c r="G665" s="57"/>
      <c r="H665" s="57"/>
      <c r="I665" s="57"/>
      <c r="J665" s="57"/>
      <c r="K665" s="57"/>
      <c r="L665" s="57"/>
      <c r="M665" s="57"/>
      <c r="N665" s="57"/>
      <c r="O665" s="57"/>
      <c r="P665" s="57"/>
      <c r="Q665" s="57"/>
      <c r="R665" s="2092"/>
      <c r="S665" s="247"/>
    </row>
    <row r="666" spans="1:19">
      <c r="A666" s="247"/>
      <c r="B666" s="57"/>
      <c r="C666" s="57"/>
      <c r="D666" s="57"/>
      <c r="E666" s="57"/>
      <c r="F666" s="57"/>
      <c r="G666" s="57"/>
      <c r="H666" s="57"/>
      <c r="I666" s="57"/>
      <c r="J666" s="57"/>
      <c r="K666" s="57"/>
      <c r="L666" s="57"/>
      <c r="M666" s="57"/>
      <c r="N666" s="57"/>
      <c r="O666" s="57"/>
      <c r="P666" s="57"/>
      <c r="Q666" s="57"/>
      <c r="R666" s="2092"/>
      <c r="S666" s="247"/>
    </row>
    <row r="667" spans="1:19">
      <c r="A667" s="247"/>
      <c r="B667" s="57"/>
      <c r="C667" s="57"/>
      <c r="D667" s="57"/>
      <c r="E667" s="57"/>
      <c r="F667" s="57"/>
      <c r="G667" s="57"/>
      <c r="H667" s="57"/>
      <c r="I667" s="57"/>
      <c r="J667" s="57"/>
      <c r="K667" s="57"/>
      <c r="L667" s="57"/>
      <c r="M667" s="57"/>
      <c r="N667" s="57"/>
      <c r="O667" s="57"/>
      <c r="P667" s="57"/>
      <c r="Q667" s="57"/>
      <c r="R667" s="2092"/>
      <c r="S667" s="247"/>
    </row>
    <row r="668" spans="1:19">
      <c r="A668" s="247"/>
      <c r="B668" s="57"/>
      <c r="C668" s="57"/>
      <c r="D668" s="57"/>
      <c r="E668" s="57"/>
      <c r="F668" s="57"/>
      <c r="G668" s="57"/>
      <c r="H668" s="57"/>
      <c r="I668" s="57"/>
      <c r="J668" s="57"/>
      <c r="K668" s="57"/>
      <c r="L668" s="57"/>
      <c r="M668" s="57"/>
      <c r="N668" s="57"/>
      <c r="O668" s="57"/>
      <c r="P668" s="57"/>
      <c r="Q668" s="57"/>
      <c r="R668" s="2092"/>
      <c r="S668" s="247"/>
    </row>
    <row r="669" spans="1:19">
      <c r="A669" s="247"/>
      <c r="B669" s="57"/>
      <c r="C669" s="57"/>
      <c r="D669" s="57"/>
      <c r="E669" s="57"/>
      <c r="F669" s="57"/>
      <c r="G669" s="57"/>
      <c r="H669" s="57"/>
      <c r="I669" s="57"/>
      <c r="J669" s="57"/>
      <c r="K669" s="57"/>
      <c r="L669" s="57"/>
      <c r="M669" s="57"/>
      <c r="N669" s="57"/>
      <c r="O669" s="57"/>
      <c r="P669" s="57"/>
      <c r="Q669" s="57"/>
      <c r="R669" s="2092"/>
      <c r="S669" s="247"/>
    </row>
    <row r="670" spans="1:19">
      <c r="A670" s="247"/>
      <c r="B670" s="57"/>
      <c r="C670" s="57"/>
      <c r="D670" s="57"/>
      <c r="E670" s="57"/>
      <c r="F670" s="57"/>
      <c r="G670" s="57"/>
      <c r="H670" s="57"/>
      <c r="I670" s="57"/>
      <c r="J670" s="57"/>
      <c r="K670" s="57"/>
      <c r="L670" s="57"/>
      <c r="M670" s="57"/>
      <c r="N670" s="57"/>
      <c r="O670" s="57"/>
      <c r="P670" s="57"/>
      <c r="Q670" s="57"/>
      <c r="R670" s="2092"/>
      <c r="S670" s="247"/>
    </row>
    <row r="671" spans="1:19">
      <c r="A671" s="247"/>
      <c r="B671" s="57"/>
      <c r="C671" s="57"/>
      <c r="D671" s="57"/>
      <c r="E671" s="57"/>
      <c r="F671" s="57"/>
      <c r="G671" s="57"/>
      <c r="H671" s="57"/>
      <c r="I671" s="57"/>
      <c r="J671" s="57"/>
      <c r="K671" s="57"/>
      <c r="L671" s="57"/>
      <c r="M671" s="57"/>
      <c r="N671" s="57"/>
      <c r="O671" s="57"/>
      <c r="P671" s="57"/>
      <c r="Q671" s="57"/>
      <c r="R671" s="2092"/>
      <c r="S671" s="247"/>
    </row>
    <row r="672" spans="1:19">
      <c r="A672" s="247"/>
      <c r="B672" s="57"/>
      <c r="C672" s="57"/>
      <c r="D672" s="57"/>
      <c r="E672" s="57"/>
      <c r="F672" s="57"/>
      <c r="G672" s="57"/>
      <c r="H672" s="57"/>
      <c r="I672" s="57"/>
      <c r="J672" s="57"/>
      <c r="K672" s="57"/>
      <c r="L672" s="57"/>
      <c r="M672" s="57"/>
      <c r="N672" s="57"/>
      <c r="O672" s="57"/>
      <c r="P672" s="57"/>
      <c r="Q672" s="57"/>
      <c r="R672" s="2092"/>
      <c r="S672" s="247"/>
    </row>
    <row r="673" spans="1:19">
      <c r="A673" s="247"/>
      <c r="B673" s="57"/>
      <c r="C673" s="57"/>
      <c r="D673" s="57"/>
      <c r="E673" s="57"/>
      <c r="F673" s="57"/>
      <c r="G673" s="57"/>
      <c r="H673" s="57"/>
      <c r="I673" s="57"/>
      <c r="J673" s="57"/>
      <c r="K673" s="57"/>
      <c r="L673" s="57"/>
      <c r="M673" s="57"/>
      <c r="N673" s="57"/>
      <c r="O673" s="57"/>
      <c r="P673" s="57"/>
      <c r="Q673" s="57"/>
      <c r="R673" s="2092"/>
      <c r="S673" s="247"/>
    </row>
    <row r="674" spans="1:19">
      <c r="A674" s="247"/>
      <c r="B674" s="57"/>
      <c r="C674" s="57"/>
      <c r="D674" s="57"/>
      <c r="E674" s="57"/>
      <c r="F674" s="57"/>
      <c r="G674" s="57"/>
      <c r="H674" s="57"/>
      <c r="I674" s="57"/>
      <c r="J674" s="57"/>
      <c r="K674" s="57"/>
      <c r="L674" s="57"/>
      <c r="M674" s="57"/>
      <c r="N674" s="57"/>
      <c r="O674" s="57"/>
      <c r="P674" s="57"/>
      <c r="Q674" s="57"/>
      <c r="R674" s="2092"/>
      <c r="S674" s="247"/>
    </row>
    <row r="675" spans="1:19">
      <c r="A675" s="247"/>
      <c r="B675" s="57"/>
      <c r="C675" s="57"/>
      <c r="D675" s="57"/>
      <c r="E675" s="57"/>
      <c r="F675" s="57"/>
      <c r="G675" s="57"/>
      <c r="H675" s="57"/>
      <c r="I675" s="57"/>
      <c r="J675" s="57"/>
      <c r="K675" s="57"/>
      <c r="L675" s="57"/>
      <c r="M675" s="57"/>
      <c r="N675" s="57"/>
      <c r="O675" s="57"/>
      <c r="P675" s="57"/>
      <c r="Q675" s="57"/>
      <c r="R675" s="2092"/>
      <c r="S675" s="247"/>
    </row>
    <row r="676" spans="1:19">
      <c r="A676" s="247"/>
      <c r="B676" s="57"/>
      <c r="C676" s="57"/>
      <c r="D676" s="57"/>
      <c r="E676" s="57"/>
      <c r="F676" s="57"/>
      <c r="G676" s="57"/>
      <c r="H676" s="57"/>
      <c r="I676" s="57"/>
      <c r="J676" s="57"/>
      <c r="K676" s="57"/>
      <c r="L676" s="57"/>
      <c r="M676" s="57"/>
      <c r="N676" s="57"/>
      <c r="O676" s="57"/>
      <c r="P676" s="57"/>
      <c r="Q676" s="57"/>
      <c r="R676" s="2092"/>
      <c r="S676" s="247"/>
    </row>
    <row r="677" spans="1:19">
      <c r="A677" s="247"/>
      <c r="B677" s="57"/>
      <c r="C677" s="57"/>
      <c r="D677" s="57"/>
      <c r="E677" s="57"/>
      <c r="F677" s="57"/>
      <c r="G677" s="57"/>
      <c r="H677" s="57"/>
      <c r="I677" s="57"/>
      <c r="J677" s="57"/>
      <c r="K677" s="57"/>
      <c r="L677" s="57"/>
      <c r="M677" s="57"/>
      <c r="N677" s="57"/>
      <c r="O677" s="57"/>
      <c r="P677" s="57"/>
      <c r="Q677" s="57"/>
      <c r="R677" s="2092"/>
      <c r="S677" s="247"/>
    </row>
    <row r="678" spans="1:19">
      <c r="A678" s="247"/>
      <c r="B678" s="57"/>
      <c r="C678" s="57"/>
      <c r="D678" s="57"/>
      <c r="E678" s="57"/>
      <c r="F678" s="57"/>
      <c r="G678" s="57"/>
      <c r="H678" s="57"/>
      <c r="I678" s="57"/>
      <c r="J678" s="57"/>
      <c r="K678" s="57"/>
      <c r="L678" s="57"/>
      <c r="M678" s="57"/>
      <c r="N678" s="57"/>
      <c r="O678" s="57"/>
      <c r="P678" s="57"/>
      <c r="Q678" s="57"/>
      <c r="R678" s="2092"/>
      <c r="S678" s="247"/>
    </row>
    <row r="679" spans="1:19">
      <c r="A679" s="247"/>
      <c r="B679" s="57"/>
      <c r="C679" s="57"/>
      <c r="D679" s="57"/>
      <c r="E679" s="57"/>
      <c r="F679" s="57"/>
      <c r="G679" s="57"/>
      <c r="H679" s="57"/>
      <c r="I679" s="57"/>
      <c r="J679" s="57"/>
      <c r="K679" s="57"/>
      <c r="L679" s="57"/>
      <c r="M679" s="57"/>
      <c r="N679" s="57"/>
      <c r="O679" s="57"/>
      <c r="P679" s="57"/>
      <c r="Q679" s="57"/>
      <c r="R679" s="2092"/>
      <c r="S679" s="247"/>
    </row>
    <row r="680" spans="1:19">
      <c r="A680" s="247"/>
      <c r="B680" s="57"/>
      <c r="C680" s="57"/>
      <c r="D680" s="57"/>
      <c r="E680" s="57"/>
      <c r="F680" s="57"/>
      <c r="G680" s="57"/>
      <c r="H680" s="57"/>
      <c r="I680" s="57"/>
      <c r="J680" s="57"/>
      <c r="K680" s="57"/>
      <c r="L680" s="57"/>
      <c r="M680" s="57"/>
      <c r="N680" s="57"/>
      <c r="O680" s="57"/>
      <c r="P680" s="57"/>
      <c r="Q680" s="57"/>
      <c r="R680" s="2092"/>
      <c r="S680" s="247"/>
    </row>
    <row r="681" spans="1:19">
      <c r="A681" s="247"/>
      <c r="B681" s="57"/>
      <c r="C681" s="57"/>
      <c r="D681" s="57"/>
      <c r="E681" s="57"/>
      <c r="F681" s="57"/>
      <c r="G681" s="57"/>
      <c r="H681" s="57"/>
      <c r="I681" s="57"/>
      <c r="J681" s="57"/>
      <c r="K681" s="57"/>
      <c r="L681" s="57"/>
      <c r="M681" s="57"/>
      <c r="N681" s="57"/>
      <c r="O681" s="57"/>
      <c r="P681" s="57"/>
      <c r="Q681" s="57"/>
      <c r="R681" s="2092"/>
      <c r="S681" s="247"/>
    </row>
    <row r="682" spans="1:19">
      <c r="A682" s="247"/>
      <c r="B682" s="57"/>
      <c r="C682" s="57"/>
      <c r="D682" s="57"/>
      <c r="E682" s="57"/>
      <c r="F682" s="57"/>
      <c r="G682" s="57"/>
      <c r="H682" s="57"/>
      <c r="I682" s="57"/>
      <c r="J682" s="57"/>
      <c r="K682" s="57"/>
      <c r="L682" s="57"/>
      <c r="M682" s="57"/>
      <c r="N682" s="57"/>
      <c r="O682" s="57"/>
      <c r="P682" s="57"/>
      <c r="Q682" s="57"/>
      <c r="R682" s="2092"/>
      <c r="S682" s="247"/>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203"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4" zoomScale="115" zoomScaleNormal="100" zoomScaleSheetLayoutView="115" zoomScalePageLayoutView="80" workbookViewId="0">
      <selection activeCell="A31" sqref="A31:I31"/>
    </sheetView>
  </sheetViews>
  <sheetFormatPr defaultRowHeight="21.75" customHeight="1"/>
  <cols>
    <col min="1" max="2" width="12.75" style="1195" bestFit="1" customWidth="1"/>
    <col min="3" max="4" width="12.625" style="1195" customWidth="1"/>
    <col min="5" max="9" width="12.75" style="1195" bestFit="1" customWidth="1"/>
    <col min="10" max="10" width="2.25" style="247" customWidth="1"/>
    <col min="11" max="12" width="12.625" style="247" customWidth="1"/>
    <col min="13" max="13" width="17.125" style="247" customWidth="1"/>
    <col min="14" max="14" width="15.625" style="247" bestFit="1" customWidth="1"/>
    <col min="15" max="19" width="12.75" style="247" bestFit="1" customWidth="1"/>
    <col min="20" max="26" width="9" style="247"/>
    <col min="27" max="16384" width="9" style="1195"/>
  </cols>
  <sheetData>
    <row r="1" spans="1:22" ht="21.75" customHeight="1" thickBot="1">
      <c r="A1" s="1676" t="s">
        <v>2041</v>
      </c>
      <c r="B1" s="1677"/>
      <c r="C1" s="1705" t="s">
        <v>2042</v>
      </c>
      <c r="D1" s="1706" t="s">
        <v>3010</v>
      </c>
      <c r="E1" s="1705" t="s">
        <v>2043</v>
      </c>
      <c r="F1" s="1707" t="s">
        <v>3011</v>
      </c>
      <c r="G1" s="301"/>
      <c r="H1" s="301"/>
      <c r="I1" s="301"/>
      <c r="J1" s="1897"/>
      <c r="K1" s="1897"/>
      <c r="L1" s="1897"/>
      <c r="M1" s="1897"/>
      <c r="N1" s="1897"/>
      <c r="O1" s="1897"/>
      <c r="P1" s="1897"/>
      <c r="Q1" s="1897"/>
      <c r="R1" s="1897"/>
      <c r="S1" s="1897"/>
      <c r="T1" s="1897"/>
      <c r="U1" s="1897"/>
      <c r="V1" s="1897"/>
    </row>
    <row r="2" spans="1:22" ht="21.75" customHeight="1" thickBot="1">
      <c r="A2" s="3796" t="str">
        <f>项目基本情况!K2</f>
        <v>四川省眉山市视高街道新明村、南桥社区出让国有建设用地使用权</v>
      </c>
      <c r="B2" s="3797"/>
      <c r="C2" s="3798"/>
      <c r="D2" s="3798"/>
      <c r="E2" s="3798"/>
      <c r="F2" s="3798"/>
      <c r="G2" s="3797"/>
      <c r="H2" s="3797"/>
      <c r="I2" s="3799"/>
      <c r="J2" s="1898"/>
      <c r="K2" s="1897"/>
      <c r="L2" s="1897"/>
      <c r="M2" s="1897"/>
      <c r="N2" s="1897"/>
      <c r="O2" s="1897"/>
      <c r="P2" s="1897"/>
      <c r="Q2" s="1897"/>
      <c r="R2" s="1897"/>
      <c r="S2" s="1897"/>
      <c r="T2" s="1897"/>
      <c r="U2" s="1897"/>
      <c r="V2" s="1897"/>
    </row>
    <row r="3" spans="1:22" ht="14.25">
      <c r="A3" s="3807" t="s">
        <v>298</v>
      </c>
      <c r="B3" s="3808"/>
      <c r="C3" s="3808"/>
      <c r="D3" s="3808"/>
      <c r="E3" s="3808"/>
      <c r="F3" s="3808"/>
      <c r="G3" s="3808"/>
      <c r="H3" s="3808"/>
      <c r="I3" s="3808"/>
      <c r="J3" s="1898"/>
      <c r="K3" s="1897"/>
      <c r="L3" s="1897"/>
      <c r="M3" s="1897"/>
      <c r="N3" s="1897"/>
      <c r="O3" s="1897"/>
      <c r="P3" s="1897"/>
      <c r="Q3" s="1897"/>
      <c r="R3" s="1897"/>
      <c r="S3" s="1897"/>
      <c r="T3" s="1897"/>
      <c r="U3" s="1897"/>
      <c r="V3" s="1897"/>
    </row>
    <row r="4" spans="1:22" ht="14.25">
      <c r="A4" s="248" t="s">
        <v>299</v>
      </c>
      <c r="B4" s="249" t="s">
        <v>300</v>
      </c>
      <c r="C4" s="250" t="s">
        <v>3009</v>
      </c>
      <c r="D4" s="250" t="s">
        <v>3008</v>
      </c>
      <c r="E4" s="3771" t="s">
        <v>301</v>
      </c>
      <c r="F4" s="3813"/>
      <c r="G4" s="3813"/>
      <c r="H4" s="3813"/>
      <c r="I4" s="3772"/>
      <c r="J4" s="1898"/>
      <c r="K4" s="1897"/>
      <c r="L4" s="3181" t="str">
        <f>IF(ISNUMBER(FIND("比较法",C4)),"比较法",IF(ISNUMBER(FIND("成本法",C4)),"成本法",IF(ISNUMBER(FIND("剩余法",C4)),"剩余法",IF(ISNUMBER(FIND("收益法",C4)),"收益法","基准地价系数修正法"))))</f>
        <v>比较法</v>
      </c>
      <c r="M4" s="929" t="str">
        <f>IF(ISNUMBER(FIND("比较法",D4)),"比较法",IF(ISNUMBER(FIND("成本法",D4)),"成本法",IF(ISNUMBER(FIND("剩余法",D4)),"剩余法",IF(ISNUMBER(FIND("收益法",D4)),"收益法","基准地价系数修正法"))))</f>
        <v>剩余法</v>
      </c>
      <c r="N4" s="1897"/>
      <c r="O4" s="1897"/>
      <c r="P4" s="1897"/>
      <c r="Q4" s="1897"/>
      <c r="R4" s="1897"/>
      <c r="S4" s="1897"/>
      <c r="T4" s="1897"/>
      <c r="U4" s="1897"/>
      <c r="V4" s="1897"/>
    </row>
    <row r="5" spans="1:22" ht="14.25">
      <c r="A5" s="3800" t="s">
        <v>302</v>
      </c>
      <c r="B5" s="3801">
        <v>25</v>
      </c>
      <c r="C5" s="3809"/>
      <c r="D5" s="3812"/>
      <c r="E5" s="251" t="s">
        <v>303</v>
      </c>
      <c r="F5" s="252"/>
      <c r="G5" s="252"/>
      <c r="H5" s="252"/>
      <c r="I5" s="253"/>
      <c r="J5" s="1898"/>
      <c r="K5" s="1897"/>
      <c r="L5" s="1897"/>
      <c r="M5" s="1897"/>
      <c r="N5" s="1897"/>
      <c r="O5" s="1897"/>
      <c r="P5" s="1897"/>
      <c r="Q5" s="1897"/>
      <c r="R5" s="1897"/>
      <c r="S5" s="1897"/>
      <c r="T5" s="1897"/>
      <c r="U5" s="1897"/>
      <c r="V5" s="1897"/>
    </row>
    <row r="6" spans="1:22" ht="14.25">
      <c r="A6" s="3800"/>
      <c r="B6" s="3801"/>
      <c r="C6" s="3810"/>
      <c r="D6" s="3812"/>
      <c r="E6" s="251" t="s">
        <v>304</v>
      </c>
      <c r="F6" s="252"/>
      <c r="G6" s="252"/>
      <c r="H6" s="252"/>
      <c r="I6" s="253"/>
      <c r="J6" s="1898"/>
      <c r="K6" s="1897"/>
      <c r="L6" s="1897"/>
      <c r="M6" s="1897"/>
      <c r="N6" s="1897"/>
      <c r="O6" s="1897"/>
      <c r="P6" s="1897"/>
      <c r="Q6" s="1897"/>
      <c r="R6" s="1897"/>
      <c r="S6" s="1897"/>
      <c r="T6" s="1897"/>
      <c r="U6" s="1897"/>
      <c r="V6" s="1897"/>
    </row>
    <row r="7" spans="1:22" ht="14.25">
      <c r="A7" s="3800"/>
      <c r="B7" s="3801"/>
      <c r="C7" s="3811"/>
      <c r="D7" s="3812"/>
      <c r="E7" s="251" t="s">
        <v>305</v>
      </c>
      <c r="F7" s="252"/>
      <c r="G7" s="252"/>
      <c r="H7" s="252"/>
      <c r="I7" s="253"/>
      <c r="J7" s="1898"/>
      <c r="K7" s="1897"/>
      <c r="L7" s="1897"/>
      <c r="M7" s="1897"/>
      <c r="N7" s="1897"/>
      <c r="O7" s="1897"/>
      <c r="P7" s="1897"/>
      <c r="Q7" s="1897"/>
      <c r="R7" s="1897"/>
      <c r="S7" s="1897"/>
      <c r="T7" s="1897"/>
      <c r="U7" s="1897"/>
      <c r="V7" s="1897"/>
    </row>
    <row r="8" spans="1:22" ht="14.25">
      <c r="A8" s="3800" t="s">
        <v>306</v>
      </c>
      <c r="B8" s="3801">
        <v>15</v>
      </c>
      <c r="C8" s="3809"/>
      <c r="D8" s="3812"/>
      <c r="E8" s="251" t="s">
        <v>307</v>
      </c>
      <c r="F8" s="252"/>
      <c r="G8" s="252"/>
      <c r="H8" s="252"/>
      <c r="I8" s="253"/>
      <c r="J8" s="1898"/>
      <c r="K8" s="1897"/>
      <c r="L8" s="1897"/>
      <c r="M8" s="1897"/>
      <c r="N8" s="1897"/>
      <c r="O8" s="1897"/>
      <c r="P8" s="1897"/>
      <c r="Q8" s="1897"/>
      <c r="R8" s="1897"/>
      <c r="S8" s="1897"/>
      <c r="T8" s="1897"/>
      <c r="U8" s="1897"/>
      <c r="V8" s="1897"/>
    </row>
    <row r="9" spans="1:22" ht="14.25">
      <c r="A9" s="3800"/>
      <c r="B9" s="3801"/>
      <c r="C9" s="3811"/>
      <c r="D9" s="3812"/>
      <c r="E9" s="251" t="s">
        <v>308</v>
      </c>
      <c r="F9" s="252"/>
      <c r="G9" s="252"/>
      <c r="H9" s="252"/>
      <c r="I9" s="253"/>
      <c r="J9" s="1898"/>
      <c r="K9" s="1897"/>
      <c r="L9" s="1897"/>
      <c r="M9" s="1897"/>
      <c r="N9" s="1897"/>
      <c r="O9" s="1897"/>
      <c r="P9" s="1897"/>
      <c r="Q9" s="1897"/>
      <c r="R9" s="1897"/>
      <c r="S9" s="1897"/>
      <c r="T9" s="1897"/>
      <c r="U9" s="1897"/>
      <c r="V9" s="1897"/>
    </row>
    <row r="10" spans="1:22" ht="14.25">
      <c r="A10" s="3800" t="s">
        <v>309</v>
      </c>
      <c r="B10" s="3801">
        <v>15</v>
      </c>
      <c r="C10" s="3809"/>
      <c r="D10" s="3812"/>
      <c r="E10" s="251" t="s">
        <v>310</v>
      </c>
      <c r="F10" s="252"/>
      <c r="G10" s="252"/>
      <c r="H10" s="252"/>
      <c r="I10" s="253"/>
      <c r="J10" s="1898"/>
      <c r="K10" s="1897"/>
      <c r="L10" s="1897"/>
      <c r="M10" s="1897"/>
      <c r="N10" s="1897"/>
      <c r="O10" s="1897"/>
      <c r="P10" s="1897"/>
      <c r="Q10" s="1897"/>
      <c r="R10" s="1897"/>
      <c r="S10" s="1897"/>
      <c r="T10" s="1897"/>
      <c r="U10" s="1897"/>
      <c r="V10" s="1897"/>
    </row>
    <row r="11" spans="1:22" ht="14.25">
      <c r="A11" s="3800"/>
      <c r="B11" s="3801"/>
      <c r="C11" s="3811"/>
      <c r="D11" s="3812"/>
      <c r="E11" s="251" t="s">
        <v>311</v>
      </c>
      <c r="F11" s="252"/>
      <c r="G11" s="252"/>
      <c r="H11" s="252"/>
      <c r="I11" s="253"/>
      <c r="J11" s="1898"/>
      <c r="K11" s="1897"/>
      <c r="L11" s="1897"/>
      <c r="M11" s="1897"/>
      <c r="N11" s="1897"/>
      <c r="O11" s="1897"/>
      <c r="P11" s="1897"/>
      <c r="Q11" s="1897"/>
      <c r="R11" s="1897"/>
      <c r="S11" s="1897"/>
      <c r="T11" s="1897"/>
      <c r="U11" s="1897"/>
      <c r="V11" s="1897"/>
    </row>
    <row r="12" spans="1:22" ht="14.25">
      <c r="A12" s="3800" t="s">
        <v>312</v>
      </c>
      <c r="B12" s="3801">
        <v>15</v>
      </c>
      <c r="C12" s="3809"/>
      <c r="D12" s="3812"/>
      <c r="E12" s="251" t="s">
        <v>313</v>
      </c>
      <c r="F12" s="252"/>
      <c r="G12" s="252"/>
      <c r="H12" s="252"/>
      <c r="I12" s="253"/>
      <c r="J12" s="1898"/>
      <c r="K12" s="1897"/>
      <c r="L12" s="1897"/>
      <c r="M12" s="1897"/>
      <c r="N12" s="1897"/>
      <c r="O12" s="1897"/>
      <c r="P12" s="1897"/>
      <c r="Q12" s="1897"/>
      <c r="R12" s="1897"/>
      <c r="S12" s="1897"/>
      <c r="T12" s="1897"/>
      <c r="U12" s="1897"/>
      <c r="V12" s="1897"/>
    </row>
    <row r="13" spans="1:22" ht="14.25">
      <c r="A13" s="3800"/>
      <c r="B13" s="3801"/>
      <c r="C13" s="3811"/>
      <c r="D13" s="3812"/>
      <c r="E13" s="251" t="s">
        <v>314</v>
      </c>
      <c r="F13" s="252"/>
      <c r="G13" s="252"/>
      <c r="H13" s="252"/>
      <c r="I13" s="253"/>
      <c r="J13" s="1898"/>
      <c r="K13" s="1897"/>
      <c r="L13" s="1897"/>
      <c r="M13" s="1897"/>
      <c r="N13" s="1897"/>
      <c r="O13" s="1897"/>
      <c r="P13" s="1897"/>
      <c r="Q13" s="1897"/>
      <c r="R13" s="1897"/>
      <c r="S13" s="1897"/>
      <c r="T13" s="1897"/>
      <c r="U13" s="1897"/>
      <c r="V13" s="1897"/>
    </row>
    <row r="14" spans="1:22" ht="14.25">
      <c r="A14" s="3800" t="s">
        <v>315</v>
      </c>
      <c r="B14" s="3801">
        <v>30</v>
      </c>
      <c r="C14" s="3809">
        <v>5</v>
      </c>
      <c r="D14" s="3812">
        <v>5</v>
      </c>
      <c r="E14" s="251" t="s">
        <v>316</v>
      </c>
      <c r="F14" s="252"/>
      <c r="G14" s="252"/>
      <c r="H14" s="252"/>
      <c r="I14" s="253"/>
      <c r="J14" s="1898"/>
      <c r="K14" s="1897"/>
      <c r="L14" s="1897"/>
      <c r="M14" s="1897"/>
      <c r="N14" s="1897"/>
      <c r="O14" s="1897"/>
      <c r="P14" s="1897"/>
      <c r="Q14" s="1897"/>
      <c r="R14" s="1897"/>
      <c r="S14" s="1897"/>
      <c r="T14" s="1897"/>
      <c r="U14" s="1897"/>
      <c r="V14" s="1897"/>
    </row>
    <row r="15" spans="1:22" ht="14.25">
      <c r="A15" s="3800"/>
      <c r="B15" s="3801"/>
      <c r="C15" s="3810"/>
      <c r="D15" s="3812"/>
      <c r="E15" s="251" t="s">
        <v>317</v>
      </c>
      <c r="F15" s="252"/>
      <c r="G15" s="252"/>
      <c r="H15" s="252"/>
      <c r="I15" s="253"/>
      <c r="J15" s="1898"/>
      <c r="K15" s="1897"/>
      <c r="L15" s="1897"/>
      <c r="M15" s="1897"/>
      <c r="N15" s="1897"/>
      <c r="O15" s="1897"/>
      <c r="P15" s="1897"/>
      <c r="Q15" s="1897"/>
      <c r="R15" s="1897"/>
      <c r="S15" s="1897"/>
      <c r="T15" s="1897"/>
      <c r="U15" s="1897"/>
      <c r="V15" s="1897"/>
    </row>
    <row r="16" spans="1:22" ht="14.25">
      <c r="A16" s="3800"/>
      <c r="B16" s="3801"/>
      <c r="C16" s="3811"/>
      <c r="D16" s="3812"/>
      <c r="E16" s="251" t="s">
        <v>318</v>
      </c>
      <c r="F16" s="252"/>
      <c r="G16" s="252"/>
      <c r="H16" s="252"/>
      <c r="I16" s="253"/>
      <c r="J16" s="1898"/>
      <c r="K16" s="1897"/>
      <c r="L16" s="1897"/>
      <c r="M16" s="1897"/>
      <c r="N16" s="1897"/>
      <c r="O16" s="1897"/>
      <c r="P16" s="1897"/>
      <c r="Q16" s="1897"/>
      <c r="R16" s="1897"/>
      <c r="S16" s="1897"/>
      <c r="T16" s="1897"/>
      <c r="U16" s="1897"/>
      <c r="V16" s="1897"/>
    </row>
    <row r="17" spans="1:26" ht="15">
      <c r="A17" s="254" t="s">
        <v>319</v>
      </c>
      <c r="B17" s="142"/>
      <c r="C17" s="255">
        <f>SUM(C5:C16)</f>
        <v>5</v>
      </c>
      <c r="D17" s="255">
        <f>SUM(D5:D16)</f>
        <v>5</v>
      </c>
      <c r="E17" s="301"/>
      <c r="F17" s="301"/>
      <c r="G17" s="301"/>
      <c r="H17" s="301"/>
      <c r="I17" s="301"/>
      <c r="J17" s="1898"/>
      <c r="K17" s="1897"/>
      <c r="L17" s="1897"/>
      <c r="M17" s="1897"/>
      <c r="N17" s="1897"/>
      <c r="O17" s="1897"/>
      <c r="P17" s="1897"/>
      <c r="Q17" s="1897"/>
      <c r="R17" s="1897"/>
      <c r="S17" s="1897"/>
      <c r="T17" s="1897"/>
      <c r="U17" s="1897"/>
      <c r="V17" s="1897"/>
    </row>
    <row r="18" spans="1:26" ht="32.450000000000003" customHeight="1" thickBot="1">
      <c r="A18" s="256" t="s">
        <v>320</v>
      </c>
      <c r="B18" s="105"/>
      <c r="C18" s="257">
        <f>ROUND(C17/SUM(C17:D17),2)</f>
        <v>0.5</v>
      </c>
      <c r="D18" s="257">
        <f>1-C18</f>
        <v>0.5</v>
      </c>
      <c r="E18" s="3814" t="s">
        <v>2954</v>
      </c>
      <c r="F18" s="3815"/>
      <c r="G18" s="3815"/>
      <c r="H18" s="3815"/>
      <c r="I18" s="3815"/>
      <c r="J18" s="1897"/>
      <c r="K18" s="1897"/>
      <c r="L18" s="1897"/>
      <c r="M18" s="1897"/>
      <c r="N18" s="1897"/>
      <c r="O18" s="1897"/>
      <c r="P18" s="1897"/>
      <c r="Q18" s="1897"/>
      <c r="R18" s="1897"/>
      <c r="S18" s="1897"/>
      <c r="T18" s="1897"/>
      <c r="U18" s="1897"/>
      <c r="V18" s="1897"/>
    </row>
    <row r="19" spans="1:26" ht="12.75" customHeight="1">
      <c r="A19" s="258" t="s">
        <v>321</v>
      </c>
      <c r="B19" s="259" t="s">
        <v>322</v>
      </c>
      <c r="C19" s="260">
        <f ca="1">SUMIF(INDIRECT("'"&amp;C4&amp;"'"&amp;"!A:A"),结果表!B19,INDIRECT("'"&amp;C4&amp;"'"&amp;"!B:B"))</f>
        <v>100858</v>
      </c>
      <c r="D19" s="261">
        <f ca="1">SUMIF(INDIRECT("'"&amp;D4&amp;"'"&amp;"!A:A"),结果表!B19,INDIRECT("'"&amp;D4&amp;"'"&amp;"!B:B"))</f>
        <v>101944</v>
      </c>
      <c r="E19" s="258" t="s">
        <v>323</v>
      </c>
      <c r="F19" s="259" t="s">
        <v>322</v>
      </c>
      <c r="G19" s="262">
        <f ca="1">ROUND(C19*$C$18+D19*$D$18,0)</f>
        <v>101401</v>
      </c>
      <c r="H19" s="263" t="s">
        <v>324</v>
      </c>
      <c r="I19" s="301"/>
      <c r="J19" s="1897"/>
      <c r="K19" s="3373"/>
      <c r="L19" s="3374"/>
      <c r="M19" s="3380" t="s">
        <v>4181</v>
      </c>
      <c r="N19" s="3381"/>
      <c r="O19" s="3382"/>
      <c r="P19" s="3382"/>
      <c r="Q19" s="3383"/>
      <c r="R19" s="1897"/>
      <c r="S19" s="1897"/>
      <c r="T19" s="1897"/>
      <c r="U19" s="1897"/>
      <c r="V19" s="1897"/>
    </row>
    <row r="20" spans="1:26" ht="15">
      <c r="A20" s="264"/>
      <c r="B20" s="265" t="s">
        <v>325</v>
      </c>
      <c r="C20" s="266">
        <f ca="1">SUMIF(INDIRECT("'"&amp;C4&amp;"'"&amp;"!A:A"),结果表!B20,INDIRECT("'"&amp;C4&amp;"'"&amp;"!B:B"))</f>
        <v>2185</v>
      </c>
      <c r="D20" s="267">
        <f ca="1">SUMIF(INDIRECT("'"&amp;D4&amp;"'"&amp;"!A:A"),结果表!B20,INDIRECT("'"&amp;D4&amp;"'"&amp;"!B:B"))</f>
        <v>2209</v>
      </c>
      <c r="E20" s="264"/>
      <c r="F20" s="265" t="s">
        <v>325</v>
      </c>
      <c r="G20" s="268">
        <f ca="1">ROUND(C20*$C$18+D20*$D$18,0)</f>
        <v>2197</v>
      </c>
      <c r="H20" s="269" t="s">
        <v>326</v>
      </c>
      <c r="I20" s="301"/>
      <c r="J20" s="1897"/>
      <c r="K20" s="3373"/>
      <c r="L20" s="3373"/>
      <c r="M20" s="3387" t="s">
        <v>3962</v>
      </c>
      <c r="N20" s="3390">
        <v>2.4</v>
      </c>
      <c r="O20" s="3384"/>
      <c r="P20" s="3384"/>
      <c r="Q20" s="3385"/>
      <c r="R20" s="1897"/>
      <c r="S20" s="1897"/>
      <c r="T20" s="1897"/>
      <c r="U20" s="1897"/>
      <c r="V20" s="1897"/>
    </row>
    <row r="21" spans="1:26" ht="15" customHeight="1" thickBot="1">
      <c r="A21" s="264"/>
      <c r="B21" s="270" t="s">
        <v>327</v>
      </c>
      <c r="C21" s="271">
        <f ca="1">SUMIF(INDIRECT("'"&amp;C4&amp;"'"&amp;"!A:A"),结果表!B21,INDIRECT("'"&amp;C4&amp;"'"&amp;"!B:B"))</f>
        <v>4705</v>
      </c>
      <c r="D21" s="149">
        <f ca="1">SUMIF(INDIRECT("'"&amp;D4&amp;"'"&amp;"!A:A"),结果表!B21,INDIRECT("'"&amp;D4&amp;"'"&amp;"!B:B"))</f>
        <v>4755</v>
      </c>
      <c r="E21" s="264"/>
      <c r="F21" s="270" t="s">
        <v>327</v>
      </c>
      <c r="G21" s="272">
        <f ca="1">ROUND(C21*$C$18+D21*$D$18,0)</f>
        <v>4730</v>
      </c>
      <c r="H21" s="1196" t="s">
        <v>326</v>
      </c>
      <c r="I21" s="301"/>
      <c r="J21" s="1897"/>
      <c r="K21" s="3374"/>
      <c r="L21" s="3374"/>
      <c r="M21" s="3388" t="s">
        <v>3963</v>
      </c>
      <c r="N21" s="3392">
        <v>311</v>
      </c>
      <c r="O21" s="3386" t="s">
        <v>3964</v>
      </c>
      <c r="P21" s="3386"/>
      <c r="Q21" s="3389">
        <v>1912</v>
      </c>
      <c r="R21" s="1897"/>
      <c r="S21" s="1897"/>
      <c r="T21" s="1897"/>
      <c r="U21" s="1897"/>
      <c r="V21" s="1897"/>
    </row>
    <row r="22" spans="1:26" ht="15.75" thickBot="1">
      <c r="A22" s="126" t="s">
        <v>328</v>
      </c>
      <c r="B22" s="1197"/>
      <c r="C22" s="1198"/>
      <c r="D22" s="273">
        <f ca="1">IF(C19&lt;D19,D19/C19-1,C19/D19-1)</f>
        <v>1.0767613872969983E-2</v>
      </c>
      <c r="E22" s="274"/>
      <c r="F22" s="275"/>
      <c r="G22" s="276">
        <f ca="1">ROUND(G19/('数据-汇总表'!D3/666.67),0)</f>
        <v>315</v>
      </c>
      <c r="H22" s="277" t="s">
        <v>329</v>
      </c>
      <c r="I22" s="301"/>
      <c r="J22" s="1897"/>
      <c r="K22" s="3376" t="s">
        <v>3851</v>
      </c>
      <c r="L22" s="3376"/>
      <c r="M22" s="3380" t="s">
        <v>3959</v>
      </c>
      <c r="N22" s="3381"/>
      <c r="O22" s="3381"/>
      <c r="P22" s="3382"/>
      <c r="Q22" s="3383"/>
      <c r="R22" s="1897"/>
      <c r="S22" s="1897"/>
      <c r="T22" s="1897"/>
      <c r="U22" s="1897"/>
      <c r="V22" s="1897"/>
    </row>
    <row r="23" spans="1:26" ht="15" thickBot="1">
      <c r="A23" s="301"/>
      <c r="B23" s="301"/>
      <c r="C23" s="301"/>
      <c r="D23" s="301"/>
      <c r="E23" s="301"/>
      <c r="F23" s="301"/>
      <c r="G23" s="301"/>
      <c r="H23" s="301"/>
      <c r="I23" s="301"/>
      <c r="J23" s="1897"/>
      <c r="K23" s="3376">
        <f>'2038亩'!C33</f>
        <v>66890</v>
      </c>
      <c r="L23" s="3376" t="s">
        <v>2902</v>
      </c>
      <c r="M23" s="3387" t="s">
        <v>3960</v>
      </c>
      <c r="N23" s="3390">
        <v>2.1</v>
      </c>
      <c r="O23" s="3384"/>
      <c r="P23" s="3384"/>
      <c r="Q23" s="3385"/>
      <c r="R23" s="1897"/>
      <c r="S23" s="1897"/>
      <c r="T23" s="1897"/>
      <c r="U23" s="1897"/>
      <c r="V23" s="1897"/>
    </row>
    <row r="24" spans="1:26" ht="15" thickBot="1">
      <c r="A24" s="3773" t="s">
        <v>330</v>
      </c>
      <c r="B24" s="259" t="s">
        <v>322</v>
      </c>
      <c r="C24" s="278">
        <f>IF(B30=0,0,D30)</f>
        <v>0</v>
      </c>
      <c r="D24" s="279"/>
      <c r="E24" s="301"/>
      <c r="F24" s="301"/>
      <c r="G24" s="301"/>
      <c r="H24" s="301"/>
      <c r="I24" s="301"/>
      <c r="J24" s="1897"/>
      <c r="K24" s="3375" t="s">
        <v>3961</v>
      </c>
      <c r="L24" s="3377">
        <f ca="1">(G19-K23)/K23</f>
        <v>0.51593661234863208</v>
      </c>
      <c r="M24" s="3388" t="str">
        <f>M21</f>
        <v>地面单价（万/亩)</v>
      </c>
      <c r="N24" s="3391">
        <f ca="1">G22</f>
        <v>315</v>
      </c>
      <c r="O24" s="3386" t="str">
        <f>O21</f>
        <v>地上计容楼面单价（元/平方米）</v>
      </c>
      <c r="P24" s="3386"/>
      <c r="Q24" s="3389">
        <f ca="1">ROUND(G19/'数据-汇总表'!F31*10000,0)</f>
        <v>2197</v>
      </c>
      <c r="R24" s="1897"/>
      <c r="S24" s="1897"/>
      <c r="T24" s="1897"/>
      <c r="U24" s="1897"/>
      <c r="V24" s="1897"/>
    </row>
    <row r="25" spans="1:26" ht="18">
      <c r="A25" s="3820"/>
      <c r="B25" s="1265" t="s">
        <v>331</v>
      </c>
      <c r="C25" s="280">
        <f>IF(B30=0,0,C30)</f>
        <v>0</v>
      </c>
      <c r="D25" s="281"/>
      <c r="E25" s="301"/>
      <c r="F25" s="301"/>
      <c r="G25" s="301"/>
      <c r="H25" s="301"/>
      <c r="I25" s="301"/>
      <c r="J25" s="1897"/>
      <c r="K25" s="1200" t="str">
        <f ca="1">项目基本情况!B16&amp;"国有建设用地使用权价格："&amp;O38&amp;"万元"</f>
        <v>出让国有建设用地使用权价格：101401万元</v>
      </c>
      <c r="L25" s="1201"/>
      <c r="M25" s="3378"/>
      <c r="N25" s="3378"/>
      <c r="O25" s="3379"/>
      <c r="P25" s="1897"/>
      <c r="Q25" s="1897"/>
      <c r="R25" s="1897"/>
      <c r="S25" s="1897"/>
      <c r="T25" s="1897"/>
      <c r="U25" s="1897"/>
      <c r="V25" s="1897"/>
    </row>
    <row r="26" spans="1:26" s="1199" customFormat="1" ht="18">
      <c r="A26" s="283" t="s">
        <v>332</v>
      </c>
      <c r="B26" s="284" t="s">
        <v>333</v>
      </c>
      <c r="C26" s="284" t="s">
        <v>334</v>
      </c>
      <c r="D26" s="285" t="s">
        <v>335</v>
      </c>
      <c r="E26" s="301"/>
      <c r="F26" s="301"/>
      <c r="G26" s="301"/>
      <c r="H26" s="301"/>
      <c r="I26" s="301"/>
      <c r="J26" s="1897"/>
      <c r="K26" s="1202" t="str">
        <f ca="1">"大写金额：人民币"&amp;NUMBERSTRING(INT(O38*10000),2)&amp;"元整"</f>
        <v>大写金额：人民币壹拾亿壹仟肆佰零壹万元整</v>
      </c>
      <c r="L26" s="1197"/>
      <c r="M26" s="1197"/>
      <c r="N26" s="1197"/>
      <c r="O26" s="1196"/>
      <c r="P26" s="1897"/>
      <c r="Q26" s="1897"/>
      <c r="R26" s="1897"/>
      <c r="S26" s="1897"/>
      <c r="T26" s="1897"/>
      <c r="U26" s="1897"/>
      <c r="V26" s="1897"/>
      <c r="W26" s="282"/>
      <c r="X26" s="282"/>
      <c r="Y26" s="282"/>
      <c r="Z26" s="282"/>
    </row>
    <row r="27" spans="1:26" ht="18">
      <c r="A27" s="283"/>
      <c r="B27" s="284"/>
      <c r="C27" s="284"/>
      <c r="D27" s="285"/>
      <c r="E27" s="301"/>
      <c r="F27" s="301"/>
      <c r="G27" s="301"/>
      <c r="H27" s="301"/>
      <c r="I27" s="301"/>
      <c r="J27" s="1897"/>
      <c r="K27" s="1202" t="str">
        <f ca="1">"单位面积地价："&amp;M38&amp;"元/平方米"</f>
        <v>单位面积地价：4730元/平方米</v>
      </c>
      <c r="L27" s="1197"/>
      <c r="M27" s="1197"/>
      <c r="N27" s="1197"/>
      <c r="O27" s="1196"/>
      <c r="P27" s="1897"/>
      <c r="Q27" s="1897"/>
      <c r="R27" s="1897"/>
      <c r="S27" s="1897"/>
      <c r="T27" s="1897"/>
      <c r="U27" s="1897"/>
      <c r="V27" s="1897"/>
    </row>
    <row r="28" spans="1:26" ht="18.75" customHeight="1">
      <c r="A28" s="283"/>
      <c r="B28" s="284"/>
      <c r="C28" s="284"/>
      <c r="D28" s="285"/>
      <c r="E28" s="301"/>
      <c r="F28" s="301"/>
      <c r="G28" s="301"/>
      <c r="H28" s="301"/>
      <c r="I28" s="301"/>
      <c r="J28" s="1897"/>
      <c r="K28" s="1202" t="str">
        <f ca="1">"楼面地价："&amp;N38&amp;"元/平方米"</f>
        <v>楼面地价：2197元/平方米</v>
      </c>
      <c r="L28" s="1197"/>
      <c r="M28" s="1197"/>
      <c r="N28" s="1197"/>
      <c r="O28" s="1196"/>
      <c r="P28" s="1897"/>
      <c r="V28" s="1897"/>
    </row>
    <row r="29" spans="1:26" ht="18">
      <c r="A29" s="283"/>
      <c r="B29" s="284"/>
      <c r="C29" s="284"/>
      <c r="D29" s="285"/>
      <c r="E29" s="301"/>
      <c r="F29" s="301"/>
      <c r="G29" s="301"/>
      <c r="H29" s="301"/>
      <c r="I29" s="301"/>
      <c r="J29" s="1897"/>
      <c r="K29" s="1202" t="str">
        <f>IF(OR(项目基本情况!E8="抵押价格",项目基本情况!E8="已注销及未注销"),"抵押价格："&amp;O39&amp;"万元","——")</f>
        <v>——</v>
      </c>
      <c r="L29" s="1197"/>
      <c r="M29" s="1197"/>
      <c r="N29" s="1197"/>
      <c r="O29" s="1196"/>
      <c r="P29" s="1897"/>
      <c r="V29" s="1897"/>
    </row>
    <row r="30" spans="1:26" ht="18.75" thickBot="1">
      <c r="A30" s="2785" t="s">
        <v>336</v>
      </c>
      <c r="B30" s="299"/>
      <c r="C30" s="299"/>
      <c r="D30" s="300"/>
      <c r="E30" s="2988" t="s">
        <v>2955</v>
      </c>
      <c r="F30" s="301"/>
      <c r="G30" s="301"/>
      <c r="H30" s="301"/>
      <c r="I30" s="301"/>
      <c r="J30" s="1897"/>
      <c r="K30" s="1202" t="str">
        <f>IF(K29="——","——","大写金额：人民币"&amp;NUMBERSTRING(INT(O39*10000),2)&amp;"元整")</f>
        <v>——</v>
      </c>
      <c r="L30" s="1197"/>
      <c r="M30" s="1197"/>
      <c r="N30" s="1197"/>
      <c r="O30" s="1196"/>
      <c r="P30" s="1897"/>
      <c r="V30" s="1897"/>
    </row>
    <row r="31" spans="1:26" ht="24" customHeight="1" thickBot="1">
      <c r="A31" s="3816" t="s">
        <v>2956</v>
      </c>
      <c r="B31" s="3816"/>
      <c r="C31" s="3816"/>
      <c r="D31" s="3816"/>
      <c r="E31" s="3816"/>
      <c r="F31" s="3816"/>
      <c r="G31" s="3816"/>
      <c r="H31" s="3816"/>
      <c r="I31" s="3816"/>
      <c r="J31" s="1897"/>
      <c r="K31" s="2308" t="str">
        <f ca="1">IF(项目基本情况!E8="抵押价格","——","抵押担保权已注销时的抵押价格："&amp;O40&amp;"万元")</f>
        <v>抵押担保权已注销时的抵押价格：101401万元</v>
      </c>
      <c r="L31" s="2304"/>
      <c r="M31" s="2304"/>
      <c r="N31" s="2304"/>
      <c r="O31" s="2305"/>
      <c r="P31" s="1897"/>
      <c r="V31" s="1897"/>
    </row>
    <row r="32" spans="1:26" ht="19.5" thickTop="1" thickBot="1">
      <c r="A32" s="264" t="s">
        <v>337</v>
      </c>
      <c r="B32" s="2989" t="s">
        <v>1678</v>
      </c>
      <c r="C32" s="256">
        <f ca="1">G19-C24</f>
        <v>101401</v>
      </c>
      <c r="D32" s="2990" t="s">
        <v>1679</v>
      </c>
      <c r="E32" s="301"/>
      <c r="F32" s="301"/>
      <c r="G32" s="301"/>
      <c r="H32" s="301"/>
      <c r="I32" s="301"/>
      <c r="J32" s="1897"/>
      <c r="K32" s="2303" t="str">
        <f ca="1">IF(K31="——","——","大写金额：人民币"&amp;NUMBERSTRING(INT(O40*10000),2)&amp;"元整")</f>
        <v>大写金额：人民币壹拾亿壹仟肆佰零壹万元整</v>
      </c>
      <c r="L32" s="2306"/>
      <c r="M32" s="2306"/>
      <c r="N32" s="2306"/>
      <c r="O32" s="2307"/>
      <c r="P32" s="1897"/>
      <c r="V32" s="1897"/>
    </row>
    <row r="33" spans="1:26" ht="18.75" thickBot="1">
      <c r="A33" s="288" t="s">
        <v>340</v>
      </c>
      <c r="B33" s="1320" t="s">
        <v>1680</v>
      </c>
      <c r="C33" s="254">
        <f ca="1">ROUND(C32*10000/'数据-汇总表'!E3,0)</f>
        <v>2197</v>
      </c>
      <c r="D33" s="1321" t="s">
        <v>1681</v>
      </c>
      <c r="E33" s="3773" t="s">
        <v>338</v>
      </c>
      <c r="F33" s="286" t="s">
        <v>339</v>
      </c>
      <c r="G33" s="287"/>
      <c r="H33" s="959"/>
      <c r="I33" s="1203"/>
      <c r="J33" s="1897"/>
      <c r="K33" s="1202" t="str">
        <f>IF(项目基本情况!E9="——","——","抵押净值："&amp;C46&amp;"万元")</f>
        <v>——</v>
      </c>
      <c r="L33" s="1197"/>
      <c r="M33" s="1197"/>
      <c r="N33" s="1197"/>
      <c r="O33" s="1196"/>
      <c r="P33" s="1897"/>
      <c r="V33" s="1897"/>
    </row>
    <row r="34" spans="1:26" s="1199" customFormat="1" ht="18.75" thickBot="1">
      <c r="A34" s="290"/>
      <c r="B34" s="1322" t="s">
        <v>1682</v>
      </c>
      <c r="C34" s="254">
        <f ca="1">ROUND(C32*10000/'数据-汇总表'!D3,0)</f>
        <v>4730</v>
      </c>
      <c r="D34" s="1323" t="s">
        <v>1681</v>
      </c>
      <c r="E34" s="3774"/>
      <c r="F34" s="127" t="s">
        <v>341</v>
      </c>
      <c r="G34" s="289"/>
      <c r="H34" s="105"/>
      <c r="I34" s="301"/>
      <c r="J34" s="1897"/>
      <c r="K34" s="1205" t="str">
        <f>IF(K33="——","——","大写金额：人民币"&amp;NUMBERSTRING(INT(O41*10000),2)&amp;"元整")</f>
        <v>——</v>
      </c>
      <c r="L34" s="1206"/>
      <c r="M34" s="1206"/>
      <c r="N34" s="1206"/>
      <c r="O34" s="1207"/>
      <c r="P34" s="1897"/>
      <c r="Q34" s="282"/>
      <c r="R34" s="282"/>
      <c r="S34" s="282"/>
      <c r="T34" s="282"/>
      <c r="U34" s="282"/>
      <c r="V34" s="1897"/>
      <c r="W34" s="282"/>
      <c r="X34" s="282"/>
      <c r="Y34" s="282"/>
      <c r="Z34" s="282"/>
    </row>
    <row r="35" spans="1:26" ht="15.75" thickBot="1">
      <c r="A35" s="274"/>
      <c r="B35" s="1324"/>
      <c r="C35" s="1325">
        <f ca="1">ROUND(C32/('数据-汇总表'!D3/666.67),0)</f>
        <v>315</v>
      </c>
      <c r="D35" s="1326" t="s">
        <v>1683</v>
      </c>
      <c r="E35" s="3775"/>
      <c r="F35" s="291" t="s">
        <v>342</v>
      </c>
      <c r="G35" s="961"/>
      <c r="H35" s="960" t="s">
        <v>343</v>
      </c>
      <c r="I35" s="301"/>
      <c r="J35" s="1897"/>
      <c r="K35" s="3779" t="s">
        <v>350</v>
      </c>
      <c r="L35" s="3779" t="s">
        <v>351</v>
      </c>
      <c r="M35" s="1208" t="s">
        <v>352</v>
      </c>
      <c r="N35" s="3779" t="s">
        <v>353</v>
      </c>
      <c r="O35" s="3779" t="s">
        <v>354</v>
      </c>
      <c r="P35" s="1897"/>
      <c r="V35" s="1897"/>
    </row>
    <row r="36" spans="1:26" ht="16.5" customHeight="1">
      <c r="A36" s="293" t="s">
        <v>344</v>
      </c>
      <c r="B36" s="294" t="s">
        <v>333</v>
      </c>
      <c r="C36" s="295" t="s">
        <v>345</v>
      </c>
      <c r="D36" s="295" t="s">
        <v>346</v>
      </c>
      <c r="E36" s="296" t="s">
        <v>347</v>
      </c>
      <c r="F36" s="301"/>
      <c r="G36" s="301"/>
      <c r="H36" s="301"/>
      <c r="I36" s="301"/>
      <c r="J36" s="1899"/>
      <c r="K36" s="3780"/>
      <c r="L36" s="3780"/>
      <c r="M36" s="1210" t="s">
        <v>355</v>
      </c>
      <c r="N36" s="3780"/>
      <c r="O36" s="3780"/>
      <c r="P36" s="1897"/>
      <c r="V36" s="1897"/>
    </row>
    <row r="37" spans="1:26" ht="16.5" customHeight="1" thickBot="1">
      <c r="A37" s="1204" t="s">
        <v>348</v>
      </c>
      <c r="B37" s="297"/>
      <c r="C37" s="284"/>
      <c r="D37" s="284"/>
      <c r="E37" s="285"/>
      <c r="F37" s="301"/>
      <c r="G37" s="301"/>
      <c r="H37" s="301"/>
      <c r="I37" s="301"/>
      <c r="J37" s="1899"/>
      <c r="K37" s="3781"/>
      <c r="L37" s="3781"/>
      <c r="M37" s="1211"/>
      <c r="N37" s="3781"/>
      <c r="O37" s="3781"/>
      <c r="P37" s="1897"/>
      <c r="V37" s="1897"/>
    </row>
    <row r="38" spans="1:26" ht="16.5" customHeight="1" thickBot="1">
      <c r="A38" s="1204" t="s">
        <v>349</v>
      </c>
      <c r="B38" s="297"/>
      <c r="C38" s="284"/>
      <c r="D38" s="284"/>
      <c r="E38" s="285"/>
      <c r="F38" s="301"/>
      <c r="G38" s="301"/>
      <c r="H38" s="301"/>
      <c r="I38" s="301"/>
      <c r="J38" s="1899"/>
      <c r="K38" s="1212">
        <f>'数据-汇总表'!D3</f>
        <v>214384.13</v>
      </c>
      <c r="L38" s="1213">
        <f>'数据-汇总表'!E3</f>
        <v>461591.08999999997</v>
      </c>
      <c r="M38" s="1213">
        <f ca="1">C34</f>
        <v>4730</v>
      </c>
      <c r="N38" s="1213">
        <f ca="1">C33</f>
        <v>2197</v>
      </c>
      <c r="O38" s="1214">
        <f ca="1">C32</f>
        <v>101401</v>
      </c>
      <c r="P38" s="1897"/>
      <c r="V38" s="1897"/>
    </row>
    <row r="39" spans="1:26" ht="16.5" customHeight="1" thickBot="1">
      <c r="A39" s="1209"/>
      <c r="B39" s="298"/>
      <c r="C39" s="299"/>
      <c r="D39" s="299"/>
      <c r="E39" s="300"/>
      <c r="F39" s="301"/>
      <c r="G39" s="301"/>
      <c r="H39" s="301"/>
      <c r="I39" s="301"/>
      <c r="J39" s="1899"/>
      <c r="K39" s="3792" t="str">
        <f>MID(A44,3,LEN(A44)-2)</f>
        <v/>
      </c>
      <c r="L39" s="3793"/>
      <c r="M39" s="3793"/>
      <c r="N39" s="3794"/>
      <c r="O39" s="1328" t="str">
        <f>C44</f>
        <v>——</v>
      </c>
      <c r="P39" s="1897"/>
      <c r="V39" s="1897"/>
    </row>
    <row r="40" spans="1:26" ht="19.5" thickBot="1">
      <c r="A40" s="104" t="s">
        <v>863</v>
      </c>
      <c r="B40" s="301"/>
      <c r="C40" s="301"/>
      <c r="D40" s="301"/>
      <c r="E40" s="301"/>
      <c r="F40" s="301"/>
      <c r="G40" s="301"/>
      <c r="H40" s="301"/>
      <c r="I40" s="301"/>
      <c r="J40" s="1899"/>
      <c r="K40" s="3792" t="str">
        <f t="shared" ref="K40:K41" si="0">MID(A45,3,LEN(A45)-2)</f>
        <v>抵押担保权已注销时的抵押价格</v>
      </c>
      <c r="L40" s="3793"/>
      <c r="M40" s="3793"/>
      <c r="N40" s="3794"/>
      <c r="O40" s="1328">
        <f ca="1">C45</f>
        <v>101401</v>
      </c>
      <c r="P40" s="1897"/>
      <c r="V40" s="1897"/>
    </row>
    <row r="41" spans="1:26" ht="16.5" thickBot="1">
      <c r="A41" s="302" t="s">
        <v>356</v>
      </c>
      <c r="B41" s="303"/>
      <c r="C41" s="304" t="s">
        <v>357</v>
      </c>
      <c r="D41" s="305" t="s">
        <v>358</v>
      </c>
      <c r="E41" s="305" t="s">
        <v>359</v>
      </c>
      <c r="F41" s="306" t="s">
        <v>360</v>
      </c>
      <c r="G41" s="301"/>
      <c r="H41" s="301"/>
      <c r="I41" s="301"/>
      <c r="J41" s="1899"/>
      <c r="K41" s="3792" t="str">
        <f t="shared" si="0"/>
        <v/>
      </c>
      <c r="L41" s="3793"/>
      <c r="M41" s="3793"/>
      <c r="N41" s="3794"/>
      <c r="O41" s="1328" t="str">
        <f>C46</f>
        <v>——</v>
      </c>
      <c r="P41" s="1897"/>
      <c r="V41" s="1897"/>
    </row>
    <row r="42" spans="1:26" ht="29.25">
      <c r="A42" s="3821" t="s">
        <v>2053</v>
      </c>
      <c r="B42" s="3822"/>
      <c r="C42" s="254">
        <f ca="1">C32</f>
        <v>101401</v>
      </c>
      <c r="D42" s="307">
        <f ca="1">C33</f>
        <v>2197</v>
      </c>
      <c r="E42" s="307">
        <f ca="1">C34</f>
        <v>4730</v>
      </c>
      <c r="F42" s="308">
        <f ca="1">C35</f>
        <v>315</v>
      </c>
      <c r="G42" s="301"/>
      <c r="H42" s="301"/>
      <c r="I42" s="309"/>
      <c r="J42" s="1899"/>
      <c r="K42" s="1215" t="s">
        <v>361</v>
      </c>
      <c r="L42" s="1916" t="s">
        <v>362</v>
      </c>
      <c r="M42" s="1216" t="s">
        <v>363</v>
      </c>
      <c r="N42" s="1917" t="s">
        <v>364</v>
      </c>
      <c r="O42" s="1918" t="s">
        <v>365</v>
      </c>
      <c r="P42" s="1897"/>
      <c r="V42" s="1897"/>
    </row>
    <row r="43" spans="1:26" ht="30">
      <c r="A43" s="3831" t="s">
        <v>2704</v>
      </c>
      <c r="B43" s="3832"/>
      <c r="C43" s="254">
        <f>IF(H33="正常操作",G33+G34+G35,G34+G35)</f>
        <v>0</v>
      </c>
      <c r="D43" s="307" t="s">
        <v>43</v>
      </c>
      <c r="E43" s="307" t="s">
        <v>44</v>
      </c>
      <c r="F43" s="308" t="s">
        <v>44</v>
      </c>
      <c r="G43" s="2569" t="s">
        <v>942</v>
      </c>
      <c r="H43" s="301"/>
      <c r="I43" s="309"/>
      <c r="J43" s="1899"/>
      <c r="K43" s="1217" t="str">
        <f>C4</f>
        <v>比较法-住宅、综合</v>
      </c>
      <c r="L43" s="1218">
        <f ca="1">IF(L42="估价结果/万元",C19,C20)</f>
        <v>100858</v>
      </c>
      <c r="M43" s="1219">
        <f>C18</f>
        <v>0.5</v>
      </c>
      <c r="N43" s="1220">
        <f ca="1">IF(N42="测算结果/万元",G19,G20)</f>
        <v>101401</v>
      </c>
      <c r="O43" s="1221">
        <f ca="1">IF(O42="最终结果/万元",C32,C33)</f>
        <v>101401</v>
      </c>
      <c r="P43" s="1897"/>
      <c r="V43" s="1897"/>
    </row>
    <row r="44" spans="1:26" ht="30.75" thickBot="1">
      <c r="A44" s="3821" t="str">
        <f>IF(OR(项目基本情况!E8="抵押价格",项目基本情况!E8="已注销及未注销"),"3.抵押价格","——")</f>
        <v>——</v>
      </c>
      <c r="B44" s="3822"/>
      <c r="C44" s="254" t="str">
        <f>IF(A44="——","——",C42-C43)</f>
        <v>——</v>
      </c>
      <c r="D44" s="307" t="e">
        <f>ROUND(C44*10000/'数据-汇总表'!E3,0)</f>
        <v>#VALUE!</v>
      </c>
      <c r="E44" s="307" t="e">
        <f>ROUND(C44*10000/'数据-汇总表'!D3,0)</f>
        <v>#VALUE!</v>
      </c>
      <c r="F44" s="308" t="e">
        <f>ROUND(C44/('数据-汇总表'!D3/666.67),0)</f>
        <v>#VALUE!</v>
      </c>
      <c r="G44" s="301"/>
      <c r="H44" s="301"/>
      <c r="I44" s="309"/>
      <c r="J44" s="1899"/>
      <c r="K44" s="1222" t="str">
        <f>D4</f>
        <v>剩余法-待开发</v>
      </c>
      <c r="L44" s="1223">
        <f ca="1">IF(L42="估价结果/万元",D19,D20)</f>
        <v>101944</v>
      </c>
      <c r="M44" s="1224">
        <f>D18</f>
        <v>0.5</v>
      </c>
      <c r="N44" s="1225"/>
      <c r="O44" s="1226"/>
      <c r="P44" s="1897"/>
      <c r="V44" s="1897"/>
    </row>
    <row r="45" spans="1:26" ht="15">
      <c r="A45" s="3826" t="str">
        <f>IF(项目基本情况!E8="已注销及未注销","4.抵押担保权已注销时的抵押价格",IF(项目基本情况!E8="已注销","3.抵押担保权已注销时的抵押价格","——"))</f>
        <v>3.抵押担保权已注销时的抵押价格</v>
      </c>
      <c r="B45" s="3827"/>
      <c r="C45" s="1704">
        <f ca="1">IF(A45="——","——",IF(项目基本情况!E8="抵押价格","——",C32-G34-G35))</f>
        <v>101401</v>
      </c>
      <c r="D45" s="307">
        <f ca="1">ROUND(C45*10000/'数据-汇总表'!E3,0)</f>
        <v>2197</v>
      </c>
      <c r="E45" s="307">
        <f ca="1">ROUND(C45*10000/'数据-汇总表'!D3,0)</f>
        <v>4730</v>
      </c>
      <c r="F45" s="308">
        <f ca="1">ROUND(C45/('数据-汇总表'!D3/666.67),0)</f>
        <v>315</v>
      </c>
      <c r="G45" s="301"/>
      <c r="H45" s="301"/>
      <c r="I45" s="309"/>
      <c r="J45" s="1899"/>
      <c r="K45" s="1897"/>
      <c r="L45" s="1897"/>
      <c r="M45" s="1897"/>
      <c r="N45" s="1897"/>
      <c r="O45" s="1897"/>
      <c r="P45" s="1897"/>
      <c r="V45" s="1897"/>
    </row>
    <row r="46" spans="1:26" ht="15.75" thickBot="1">
      <c r="A46" s="3823" t="str">
        <f>IF(项目基本情况!E9="抵押净值",IF(A45="——","4.抵押净值","5.抵押净值"),"——")</f>
        <v>——</v>
      </c>
      <c r="B46" s="3824"/>
      <c r="C46" s="310" t="str">
        <f>IF(A46="——","——",O79)</f>
        <v>——</v>
      </c>
      <c r="D46" s="307" t="e">
        <f>ROUND(C46*10000/'数据-汇总表'!E3,0)</f>
        <v>#VALUE!</v>
      </c>
      <c r="E46" s="307" t="e">
        <f>ROUND(C46*10000/'数据-汇总表'!D3,0)</f>
        <v>#VALUE!</v>
      </c>
      <c r="F46" s="308" t="e">
        <f>ROUND(C46/('数据-汇总表'!D3/666.67),0)</f>
        <v>#VALUE!</v>
      </c>
      <c r="G46" s="301"/>
      <c r="H46" s="301"/>
      <c r="I46" s="309"/>
      <c r="J46" s="1899"/>
      <c r="K46" s="1897"/>
      <c r="L46" s="1897"/>
      <c r="M46" s="1897"/>
      <c r="N46" s="1897"/>
      <c r="O46" s="1897"/>
      <c r="P46" s="1897"/>
      <c r="Q46" s="1897"/>
      <c r="R46" s="1897"/>
      <c r="S46" s="1897"/>
      <c r="T46" s="1897"/>
      <c r="U46" s="1897"/>
      <c r="V46" s="1897"/>
    </row>
    <row r="47" spans="1:26" ht="15.75">
      <c r="A47" s="311" t="s">
        <v>366</v>
      </c>
      <c r="B47" s="1227"/>
      <c r="C47" s="312" t="s">
        <v>367</v>
      </c>
      <c r="D47" s="313"/>
      <c r="E47" s="313"/>
      <c r="F47" s="313"/>
      <c r="G47" s="314"/>
      <c r="H47" s="315"/>
      <c r="I47" s="316"/>
      <c r="J47" s="1899"/>
      <c r="K47" s="301" t="str">
        <f>IF(C43=0,"本次评估"&amp;IF(G43="设定","设定估价对象","")&amp;"不存在"&amp;MID(A43,3,LEN(A43)-2),"本次评估"&amp;IF(G43="设定","设定","")&amp;MID(A43,3,LEN(A43)-2)&amp;"为人民币"&amp;C43&amp;"万元整。")</f>
        <v>本次评估不存在估价师知悉的法定优先受偿款</v>
      </c>
      <c r="L47" s="1897"/>
      <c r="M47" s="1897"/>
      <c r="N47" s="1897"/>
      <c r="O47" s="1897"/>
      <c r="P47" s="1897"/>
      <c r="Q47" s="1897"/>
      <c r="R47" s="1897"/>
      <c r="S47" s="1897"/>
      <c r="T47" s="1897"/>
      <c r="U47" s="1897"/>
      <c r="V47" s="1897"/>
    </row>
    <row r="48" spans="1:26" ht="12.75">
      <c r="A48" s="317">
        <v>1</v>
      </c>
      <c r="B48" s="318"/>
      <c r="C48" s="318"/>
      <c r="D48" s="313"/>
      <c r="E48" s="313"/>
      <c r="F48" s="313"/>
      <c r="G48" s="313"/>
      <c r="H48" s="319"/>
      <c r="I48" s="320"/>
      <c r="J48" s="1899"/>
      <c r="K48" s="1897"/>
      <c r="L48" s="1897"/>
      <c r="M48" s="1897"/>
      <c r="N48" s="1897"/>
      <c r="O48" s="1897"/>
      <c r="P48" s="1897"/>
      <c r="Q48" s="1897"/>
      <c r="R48" s="1897"/>
      <c r="S48" s="1897"/>
      <c r="T48" s="1897"/>
      <c r="U48" s="1897"/>
      <c r="V48" s="1897"/>
    </row>
    <row r="49" spans="1:22" ht="12.75">
      <c r="A49" s="317">
        <v>2</v>
      </c>
      <c r="B49" s="318"/>
      <c r="C49" s="318"/>
      <c r="D49" s="313"/>
      <c r="E49" s="313"/>
      <c r="F49" s="313"/>
      <c r="G49" s="313"/>
      <c r="H49" s="319"/>
      <c r="I49" s="320"/>
      <c r="J49" s="1900"/>
      <c r="K49" s="1897"/>
      <c r="L49" s="1897"/>
      <c r="M49" s="1897"/>
      <c r="N49" s="1897"/>
      <c r="O49" s="1897"/>
      <c r="P49" s="1897"/>
      <c r="Q49" s="1897"/>
      <c r="R49" s="1897"/>
      <c r="S49" s="1897"/>
      <c r="T49" s="1897"/>
      <c r="U49" s="1897"/>
      <c r="V49" s="1897"/>
    </row>
    <row r="50" spans="1:22" ht="12.75">
      <c r="A50" s="317">
        <v>3</v>
      </c>
      <c r="B50" s="318"/>
      <c r="C50" s="318"/>
      <c r="D50" s="313"/>
      <c r="E50" s="313"/>
      <c r="F50" s="313"/>
      <c r="G50" s="313"/>
      <c r="H50" s="319"/>
      <c r="I50" s="320"/>
      <c r="J50" s="1900"/>
      <c r="K50" s="1897"/>
      <c r="L50" s="1897"/>
      <c r="M50" s="1897"/>
      <c r="N50" s="1897"/>
      <c r="O50" s="1897"/>
      <c r="P50" s="1897"/>
      <c r="Q50" s="1897"/>
      <c r="R50" s="1897"/>
      <c r="S50" s="1897"/>
      <c r="T50" s="1897"/>
      <c r="U50" s="1897"/>
      <c r="V50" s="1897"/>
    </row>
    <row r="51" spans="1:22" ht="12.75">
      <c r="A51" s="321"/>
      <c r="B51" s="322"/>
      <c r="C51" s="322"/>
      <c r="D51" s="323"/>
      <c r="E51" s="323"/>
      <c r="F51" s="323"/>
      <c r="G51" s="323"/>
      <c r="H51" s="324"/>
      <c r="I51" s="325"/>
      <c r="J51" s="1900"/>
      <c r="K51" s="1897"/>
      <c r="L51" s="1897"/>
      <c r="M51" s="1897"/>
      <c r="N51" s="1897"/>
      <c r="O51" s="1897"/>
      <c r="P51" s="1897"/>
      <c r="Q51" s="1897"/>
      <c r="R51" s="1897"/>
      <c r="S51" s="1897"/>
      <c r="T51" s="1897"/>
      <c r="U51" s="1897"/>
      <c r="V51" s="1897"/>
    </row>
    <row r="52" spans="1:22" ht="12.75">
      <c r="A52" s="318"/>
      <c r="B52" s="318"/>
      <c r="C52" s="318"/>
      <c r="D52" s="313"/>
      <c r="E52" s="313"/>
      <c r="F52" s="313"/>
      <c r="G52" s="313"/>
      <c r="H52" s="319"/>
      <c r="I52" s="247"/>
      <c r="J52" s="1900"/>
      <c r="K52" s="1897"/>
      <c r="L52" s="1897"/>
      <c r="M52" s="1897"/>
      <c r="N52" s="1897"/>
      <c r="O52" s="1897"/>
      <c r="P52" s="1897"/>
      <c r="Q52" s="1897"/>
      <c r="R52" s="1897"/>
      <c r="S52" s="1897"/>
      <c r="T52" s="1897"/>
      <c r="U52" s="1897"/>
      <c r="V52" s="1897"/>
    </row>
    <row r="53" spans="1:22" ht="12.75">
      <c r="A53" s="247"/>
      <c r="B53" s="247"/>
      <c r="C53" s="247"/>
      <c r="D53" s="247"/>
      <c r="E53" s="247"/>
      <c r="F53" s="326" t="s">
        <v>368</v>
      </c>
      <c r="G53" s="327"/>
      <c r="H53" s="327"/>
      <c r="I53" s="328" t="s">
        <v>369</v>
      </c>
      <c r="J53" s="1900"/>
      <c r="K53" s="1897"/>
      <c r="L53" s="1897"/>
      <c r="M53" s="1897"/>
      <c r="N53" s="1897"/>
      <c r="O53" s="1897"/>
      <c r="P53" s="1897"/>
      <c r="Q53" s="1897"/>
      <c r="R53" s="1897"/>
      <c r="S53" s="1897"/>
      <c r="T53" s="1897"/>
      <c r="U53" s="1897"/>
      <c r="V53" s="1897"/>
    </row>
    <row r="54" spans="1:22" ht="12.75">
      <c r="A54" s="247"/>
      <c r="B54" s="329" t="s">
        <v>370</v>
      </c>
      <c r="C54" s="247"/>
      <c r="D54" s="247"/>
      <c r="E54" s="247"/>
      <c r="F54" s="247"/>
      <c r="G54" s="247"/>
      <c r="H54" s="247"/>
      <c r="I54" s="247"/>
      <c r="J54" s="1900"/>
      <c r="K54" s="1897"/>
      <c r="L54" s="1897"/>
      <c r="M54" s="1897"/>
      <c r="N54" s="1897"/>
      <c r="O54" s="1897"/>
      <c r="P54" s="1897"/>
      <c r="Q54" s="1897"/>
      <c r="R54" s="1897"/>
      <c r="S54" s="1897"/>
      <c r="T54" s="1897"/>
      <c r="U54" s="1897"/>
      <c r="V54" s="1897"/>
    </row>
    <row r="55" spans="1:22" ht="12.75">
      <c r="A55" s="247"/>
      <c r="B55" s="247"/>
      <c r="C55" s="247"/>
      <c r="D55" s="247"/>
      <c r="E55" s="247"/>
      <c r="F55" s="247"/>
      <c r="G55" s="247"/>
      <c r="H55" s="247"/>
      <c r="I55" s="247"/>
      <c r="J55" s="1900"/>
      <c r="K55" s="1897"/>
      <c r="L55" s="1897"/>
      <c r="M55" s="1897"/>
      <c r="N55" s="1897"/>
      <c r="O55" s="1897"/>
      <c r="P55" s="1897"/>
      <c r="Q55" s="1897"/>
      <c r="R55" s="1897"/>
      <c r="S55" s="1897"/>
      <c r="T55" s="1897"/>
      <c r="U55" s="1897"/>
      <c r="V55" s="1897"/>
    </row>
    <row r="56" spans="1:22" ht="12.75">
      <c r="A56" s="247"/>
      <c r="B56" s="327"/>
      <c r="C56" s="327"/>
      <c r="D56" s="327"/>
      <c r="E56" s="327"/>
      <c r="F56" s="327"/>
      <c r="G56" s="327"/>
      <c r="H56" s="327"/>
      <c r="I56" s="328" t="s">
        <v>371</v>
      </c>
      <c r="J56" s="1900"/>
      <c r="K56" s="1897"/>
      <c r="L56" s="1897"/>
      <c r="M56" s="1897"/>
      <c r="N56" s="1897"/>
      <c r="O56" s="1897"/>
      <c r="P56" s="1897"/>
      <c r="Q56" s="1897"/>
      <c r="R56" s="1897"/>
      <c r="S56" s="1897"/>
      <c r="T56" s="1897"/>
      <c r="U56" s="1897"/>
      <c r="V56" s="1897"/>
    </row>
    <row r="57" spans="1:22" ht="12.75">
      <c r="A57" s="247"/>
      <c r="B57" s="329" t="s">
        <v>372</v>
      </c>
      <c r="C57" s="247"/>
      <c r="D57" s="247"/>
      <c r="E57" s="247"/>
      <c r="F57" s="247"/>
      <c r="G57" s="247"/>
      <c r="H57" s="247"/>
      <c r="I57" s="247"/>
      <c r="J57" s="1900"/>
      <c r="K57" s="1897"/>
      <c r="L57" s="1897"/>
      <c r="M57" s="1897"/>
      <c r="N57" s="1897"/>
      <c r="O57" s="1897"/>
      <c r="P57" s="1897"/>
      <c r="Q57" s="1897"/>
      <c r="R57" s="1897"/>
      <c r="S57" s="1897"/>
      <c r="T57" s="1897"/>
      <c r="U57" s="1897"/>
      <c r="V57" s="1897"/>
    </row>
    <row r="58" spans="1:22" ht="12.75">
      <c r="A58" s="247"/>
      <c r="B58" s="329"/>
      <c r="C58" s="247"/>
      <c r="D58" s="247"/>
      <c r="E58" s="247"/>
      <c r="F58" s="247"/>
      <c r="G58" s="247"/>
      <c r="H58" s="247"/>
      <c r="I58" s="247"/>
      <c r="J58" s="1900"/>
      <c r="K58" s="1897"/>
      <c r="L58" s="1897"/>
      <c r="M58" s="1897"/>
      <c r="N58" s="1897"/>
      <c r="O58" s="1897"/>
      <c r="P58" s="1897"/>
      <c r="Q58" s="1897"/>
      <c r="R58" s="1897"/>
      <c r="S58" s="1897"/>
      <c r="T58" s="1897"/>
      <c r="U58" s="1897"/>
      <c r="V58" s="1897"/>
    </row>
    <row r="59" spans="1:22" ht="12.75">
      <c r="A59" s="247"/>
      <c r="B59" s="327"/>
      <c r="C59" s="327"/>
      <c r="D59" s="327"/>
      <c r="E59" s="327"/>
      <c r="F59" s="327"/>
      <c r="G59" s="327"/>
      <c r="H59" s="327"/>
      <c r="I59" s="328" t="s">
        <v>371</v>
      </c>
      <c r="J59" s="1900"/>
      <c r="K59" s="1897"/>
      <c r="L59" s="1897"/>
      <c r="M59" s="1897"/>
      <c r="N59" s="1897"/>
      <c r="O59" s="1897"/>
      <c r="P59" s="1897"/>
      <c r="Q59" s="1897"/>
      <c r="R59" s="1897"/>
      <c r="S59" s="1897"/>
      <c r="T59" s="1897"/>
      <c r="U59" s="1897"/>
      <c r="V59" s="1897"/>
    </row>
    <row r="60" spans="1:22" ht="12.75">
      <c r="A60" s="247"/>
      <c r="B60" s="247"/>
      <c r="C60" s="247"/>
      <c r="D60" s="247"/>
      <c r="E60" s="247"/>
      <c r="F60" s="247"/>
      <c r="G60" s="247"/>
      <c r="H60" s="247"/>
      <c r="I60" s="247"/>
      <c r="J60" s="1900"/>
      <c r="K60" s="1897"/>
      <c r="L60" s="1897"/>
      <c r="M60" s="1897"/>
      <c r="N60" s="1897"/>
      <c r="O60" s="1897"/>
      <c r="P60" s="1897"/>
      <c r="Q60" s="1897"/>
      <c r="R60" s="1897"/>
      <c r="S60" s="1897"/>
      <c r="T60" s="1897"/>
      <c r="U60" s="1897"/>
      <c r="V60" s="1897"/>
    </row>
    <row r="61" spans="1:22" ht="12.75">
      <c r="A61" s="247"/>
      <c r="B61" s="329"/>
      <c r="C61" s="330"/>
      <c r="D61" s="211"/>
      <c r="E61" s="211"/>
      <c r="F61" s="243"/>
      <c r="G61" s="247"/>
      <c r="H61" s="247"/>
      <c r="I61" s="247"/>
      <c r="J61" s="1900"/>
      <c r="K61" s="1897"/>
      <c r="L61" s="1897"/>
      <c r="M61" s="1897"/>
      <c r="N61" s="1897"/>
      <c r="O61" s="1897"/>
      <c r="P61" s="1897"/>
      <c r="Q61" s="1897"/>
      <c r="R61" s="1897"/>
      <c r="S61" s="1897"/>
      <c r="T61" s="1897"/>
      <c r="U61" s="1897"/>
      <c r="V61" s="1897"/>
    </row>
    <row r="62" spans="1:22" ht="18.75">
      <c r="A62" s="1228" t="s">
        <v>373</v>
      </c>
      <c r="B62" s="1229"/>
      <c r="C62" s="1229"/>
      <c r="D62" s="1230"/>
      <c r="E62" s="1230"/>
      <c r="F62" s="1231"/>
      <c r="G62" s="1231"/>
      <c r="H62" s="1231"/>
      <c r="I62" s="1231"/>
      <c r="J62" s="1901"/>
      <c r="K62" s="1897"/>
      <c r="L62" s="1897"/>
      <c r="M62" s="1897"/>
      <c r="N62" s="1897"/>
      <c r="O62" s="1897"/>
      <c r="P62" s="1897"/>
      <c r="Q62" s="1897"/>
      <c r="R62" s="1897"/>
      <c r="S62" s="1897"/>
      <c r="T62" s="1897"/>
      <c r="U62" s="1897"/>
      <c r="V62" s="1897"/>
    </row>
    <row r="63" spans="1:22" ht="14.25" customHeight="1" thickBot="1">
      <c r="A63" s="3784" t="s">
        <v>374</v>
      </c>
      <c r="B63" s="3785"/>
      <c r="C63" s="3786"/>
      <c r="D63" s="331">
        <f ca="1">ROUND(C42*F63,0)</f>
        <v>101401</v>
      </c>
      <c r="E63" s="292" t="s">
        <v>375</v>
      </c>
      <c r="F63" s="332">
        <v>1</v>
      </c>
      <c r="G63" s="333" t="s">
        <v>376</v>
      </c>
      <c r="H63" s="301"/>
      <c r="I63" s="301"/>
      <c r="J63" s="1897"/>
      <c r="K63" s="1897"/>
      <c r="L63" s="1897"/>
      <c r="M63" s="1897"/>
      <c r="N63" s="1897"/>
      <c r="O63" s="1897"/>
      <c r="P63" s="1897"/>
      <c r="Q63" s="1897"/>
      <c r="R63" s="1897"/>
      <c r="S63" s="1897"/>
      <c r="T63" s="1897"/>
      <c r="U63" s="1897"/>
      <c r="V63" s="1897"/>
    </row>
    <row r="64" spans="1:22" ht="14.25" customHeight="1">
      <c r="A64" s="3828" t="s">
        <v>378</v>
      </c>
      <c r="B64" s="3829"/>
      <c r="C64" s="3829"/>
      <c r="D64" s="3829"/>
      <c r="E64" s="3829"/>
      <c r="F64" s="3829"/>
      <c r="G64" s="3830"/>
      <c r="H64" s="1232"/>
      <c r="I64" s="929"/>
      <c r="J64" s="1888"/>
      <c r="K64" s="1486" t="s">
        <v>377</v>
      </c>
      <c r="L64" s="11"/>
      <c r="M64" s="11"/>
      <c r="N64" s="11"/>
      <c r="O64" s="11"/>
      <c r="P64" s="301"/>
      <c r="Q64" s="1897"/>
      <c r="R64" s="1897"/>
      <c r="S64" s="1897"/>
      <c r="T64" s="1897"/>
      <c r="U64" s="1897"/>
      <c r="V64" s="1897"/>
    </row>
    <row r="65" spans="1:22" ht="12" customHeight="1">
      <c r="A65" s="334" t="s">
        <v>380</v>
      </c>
      <c r="B65" s="335"/>
      <c r="C65" s="336"/>
      <c r="D65" s="337" t="s">
        <v>381</v>
      </c>
      <c r="E65" s="53" t="s">
        <v>382</v>
      </c>
      <c r="F65" s="338" t="s">
        <v>383</v>
      </c>
      <c r="G65" s="339" t="s">
        <v>384</v>
      </c>
      <c r="H65" s="1232"/>
      <c r="I65" s="929"/>
      <c r="J65" s="1888"/>
      <c r="K65" s="1233"/>
      <c r="L65" s="1234"/>
      <c r="M65" s="1234"/>
      <c r="N65" s="1266" t="s">
        <v>379</v>
      </c>
      <c r="O65" s="1267"/>
      <c r="P65" s="1268"/>
      <c r="Q65" s="1897"/>
      <c r="R65" s="1897"/>
      <c r="S65" s="1897"/>
      <c r="T65" s="1897"/>
      <c r="U65" s="1897"/>
      <c r="V65" s="1897"/>
    </row>
    <row r="66" spans="1:22" ht="25.5">
      <c r="A66" s="3825" t="s">
        <v>386</v>
      </c>
      <c r="B66" s="3791"/>
      <c r="C66" s="3791"/>
      <c r="D66" s="251" t="b">
        <f>IF(H66="情况1",0,IF(H66="情况2",D70,IF(H66="情况3",D71,IF(H66="情况4",D72))))</f>
        <v>0</v>
      </c>
      <c r="E66" s="972" t="str">
        <f>IF(H66="情况4","(销售额-原购置价)×税（费）率","销售额×税（费）率")</f>
        <v>销售额×税（费）率</v>
      </c>
      <c r="F66" s="340">
        <f>IF(H66="情况1","免征",'数据-取费表'!B41)</f>
        <v>5.5000000000000007E-2</v>
      </c>
      <c r="G66" s="341" t="s">
        <v>387</v>
      </c>
      <c r="H66" s="189"/>
      <c r="I66" s="1232"/>
      <c r="J66" s="1903"/>
      <c r="K66" s="1235">
        <v>1</v>
      </c>
      <c r="L66" s="3752" t="s">
        <v>385</v>
      </c>
      <c r="M66" s="3753"/>
      <c r="N66" s="2298"/>
      <c r="O66" s="2299"/>
      <c r="P66" s="2300"/>
      <c r="Q66" s="1897"/>
      <c r="R66" s="1897"/>
      <c r="S66" s="1897"/>
      <c r="T66" s="1897"/>
      <c r="U66" s="1897"/>
      <c r="V66" s="1897"/>
    </row>
    <row r="67" spans="1:22" ht="25.5" customHeight="1">
      <c r="A67" s="342" t="s">
        <v>389</v>
      </c>
      <c r="B67" s="3803" t="s">
        <v>390</v>
      </c>
      <c r="C67" s="3803"/>
      <c r="D67" s="343">
        <v>0</v>
      </c>
      <c r="E67" s="41" t="s">
        <v>391</v>
      </c>
      <c r="F67" s="62" t="s">
        <v>21</v>
      </c>
      <c r="G67" s="3787"/>
      <c r="H67" s="2991" t="s">
        <v>2957</v>
      </c>
      <c r="I67" s="2993"/>
      <c r="J67" s="1904"/>
      <c r="K67" s="1876">
        <v>2</v>
      </c>
      <c r="L67" s="3757" t="s">
        <v>388</v>
      </c>
      <c r="M67" s="3757"/>
      <c r="N67" s="1269">
        <f>'数据-取费表'!B2</f>
        <v>44191</v>
      </c>
      <c r="O67" s="1269"/>
      <c r="P67" s="1269"/>
      <c r="Q67" s="1897"/>
      <c r="R67" s="1897"/>
      <c r="S67" s="1897"/>
      <c r="T67" s="1897"/>
      <c r="U67" s="1897"/>
      <c r="V67" s="1897"/>
    </row>
    <row r="68" spans="1:22" ht="25.5" customHeight="1">
      <c r="A68" s="344"/>
      <c r="B68" s="3803" t="s">
        <v>393</v>
      </c>
      <c r="C68" s="3803"/>
      <c r="D68" s="345"/>
      <c r="E68" s="77"/>
      <c r="F68" s="346"/>
      <c r="G68" s="3788"/>
      <c r="H68" s="2992" t="s">
        <v>2958</v>
      </c>
      <c r="I68" s="2993"/>
      <c r="J68" s="1904"/>
      <c r="K68" s="1876">
        <v>3</v>
      </c>
      <c r="L68" s="3757" t="s">
        <v>392</v>
      </c>
      <c r="M68" s="3757"/>
      <c r="N68" s="1237">
        <f ca="1">C42</f>
        <v>101401</v>
      </c>
      <c r="O68" s="1237"/>
      <c r="P68" s="1237"/>
      <c r="Q68" s="1897"/>
      <c r="R68" s="1897"/>
      <c r="S68" s="1897"/>
      <c r="T68" s="1897"/>
      <c r="U68" s="1897"/>
      <c r="V68" s="1897"/>
    </row>
    <row r="69" spans="1:22" ht="23.45" customHeight="1">
      <c r="A69" s="347"/>
      <c r="B69" s="3803" t="s">
        <v>394</v>
      </c>
      <c r="C69" s="3803"/>
      <c r="D69" s="348"/>
      <c r="E69" s="73"/>
      <c r="F69" s="346"/>
      <c r="G69" s="3789"/>
      <c r="H69" s="2992" t="s">
        <v>2959</v>
      </c>
      <c r="I69" s="2993"/>
      <c r="J69" s="1904"/>
      <c r="K69" s="1238">
        <v>4</v>
      </c>
      <c r="L69" s="3758" t="s">
        <v>2856</v>
      </c>
      <c r="M69" s="3759"/>
      <c r="N69" s="1239" t="str">
        <f>C44</f>
        <v>——</v>
      </c>
      <c r="O69" s="1239"/>
      <c r="P69" s="1239"/>
      <c r="Q69" s="1897"/>
      <c r="R69" s="1897"/>
      <c r="S69" s="1897"/>
      <c r="T69" s="1897"/>
      <c r="U69" s="1897"/>
      <c r="V69" s="1897"/>
    </row>
    <row r="70" spans="1:22" ht="24" customHeight="1">
      <c r="A70" s="349" t="s">
        <v>395</v>
      </c>
      <c r="B70" s="3803" t="s">
        <v>396</v>
      </c>
      <c r="C70" s="3803"/>
      <c r="D70" s="348">
        <f ca="1">ROUND(D63*'数据-取费表'!B41/(1+'数据-取费表'!C42),0)</f>
        <v>5311</v>
      </c>
      <c r="E70" s="17" t="s">
        <v>397</v>
      </c>
      <c r="F70" s="350">
        <f>'数据-取费表'!B41</f>
        <v>5.5000000000000007E-2</v>
      </c>
      <c r="G70" s="351"/>
      <c r="H70" s="301"/>
      <c r="I70" s="1236"/>
      <c r="J70" s="1904"/>
      <c r="K70" s="2750"/>
      <c r="L70" s="2751"/>
      <c r="M70" s="2751"/>
      <c r="N70" s="2752" t="s">
        <v>2860</v>
      </c>
      <c r="O70" s="2751"/>
      <c r="P70" s="2753"/>
      <c r="Q70" s="1897"/>
      <c r="R70" s="1897"/>
      <c r="S70" s="1897"/>
      <c r="T70" s="1897"/>
      <c r="U70" s="1897"/>
      <c r="V70" s="1897"/>
    </row>
    <row r="71" spans="1:22" ht="12" customHeight="1">
      <c r="A71" s="349" t="s">
        <v>403</v>
      </c>
      <c r="B71" s="3802" t="s">
        <v>2989</v>
      </c>
      <c r="C71" s="3819"/>
      <c r="D71" s="348">
        <f ca="1">ROUND(D63*'数据-取费表'!B41/(1+'数据-取费表'!C42),0)</f>
        <v>5311</v>
      </c>
      <c r="E71" s="17" t="s">
        <v>397</v>
      </c>
      <c r="F71" s="350">
        <f>'数据-取费表'!B41</f>
        <v>5.5000000000000007E-2</v>
      </c>
      <c r="G71" s="351"/>
      <c r="H71" s="301"/>
      <c r="I71" s="1236"/>
      <c r="J71" s="1904"/>
      <c r="K71" s="2749" t="s">
        <v>398</v>
      </c>
      <c r="L71" s="3760" t="s">
        <v>399</v>
      </c>
      <c r="M71" s="3760"/>
      <c r="N71" s="2749" t="s">
        <v>400</v>
      </c>
      <c r="O71" s="2749" t="s">
        <v>401</v>
      </c>
      <c r="P71" s="2749" t="s">
        <v>402</v>
      </c>
      <c r="Q71" s="1897"/>
      <c r="R71" s="1897"/>
      <c r="S71" s="1897"/>
      <c r="T71" s="1897"/>
      <c r="U71" s="1897"/>
      <c r="V71" s="1897"/>
    </row>
    <row r="72" spans="1:22" ht="12" customHeight="1">
      <c r="A72" s="349" t="s">
        <v>405</v>
      </c>
      <c r="B72" s="3802" t="s">
        <v>2990</v>
      </c>
      <c r="C72" s="3819"/>
      <c r="D72" s="348">
        <f ca="1">C86</f>
        <v>5311</v>
      </c>
      <c r="E72" s="73" t="s">
        <v>406</v>
      </c>
      <c r="F72" s="350">
        <f>'数据-取费表'!B41</f>
        <v>5.5000000000000007E-2</v>
      </c>
      <c r="G72" s="351"/>
      <c r="H72" s="1242"/>
      <c r="I72" s="1236"/>
      <c r="J72" s="1904"/>
      <c r="K72" s="1876">
        <v>1</v>
      </c>
      <c r="L72" s="3756" t="s">
        <v>404</v>
      </c>
      <c r="M72" s="3756"/>
      <c r="N72" s="1240" t="b">
        <f>D66</f>
        <v>0</v>
      </c>
      <c r="O72" s="1759" t="str">
        <f>E66</f>
        <v>销售额×税（费）率</v>
      </c>
      <c r="P72" s="1241">
        <f>F66</f>
        <v>5.5000000000000007E-2</v>
      </c>
      <c r="Q72" s="1897"/>
      <c r="R72" s="1897"/>
      <c r="S72" s="1897"/>
      <c r="T72" s="1897"/>
      <c r="U72" s="1897"/>
      <c r="V72" s="1897"/>
    </row>
    <row r="73" spans="1:22" ht="24" customHeight="1">
      <c r="A73" s="3790" t="s">
        <v>408</v>
      </c>
      <c r="B73" s="3791"/>
      <c r="C73" s="3791"/>
      <c r="D73" s="352">
        <f ca="1">IF(H73="个人住宅",0,ROUND(D63*I73,0))</f>
        <v>51</v>
      </c>
      <c r="E73" s="17" t="s">
        <v>409</v>
      </c>
      <c r="F73" s="350" t="str">
        <f>IF(H73="正常",I73,"免征")</f>
        <v>免征</v>
      </c>
      <c r="G73" s="351"/>
      <c r="H73" s="189"/>
      <c r="I73" s="350">
        <f>'数据-取费表'!B49</f>
        <v>5.0000000000000001E-4</v>
      </c>
      <c r="J73" s="1904"/>
      <c r="K73" s="1876">
        <v>2</v>
      </c>
      <c r="L73" s="3756" t="s">
        <v>407</v>
      </c>
      <c r="M73" s="3756"/>
      <c r="N73" s="1240">
        <f t="shared" ref="N73:P74" ca="1" si="1">D73</f>
        <v>51</v>
      </c>
      <c r="O73" s="1759" t="str">
        <f t="shared" si="1"/>
        <v>销售额×税（费）率</v>
      </c>
      <c r="P73" s="1241" t="str">
        <f t="shared" si="1"/>
        <v>免征</v>
      </c>
      <c r="Q73" s="1897"/>
      <c r="R73" s="1897"/>
      <c r="S73" s="1897"/>
      <c r="T73" s="1897"/>
      <c r="U73" s="1897"/>
      <c r="V73" s="1897"/>
    </row>
    <row r="74" spans="1:22" ht="24.75">
      <c r="A74" s="3790" t="s">
        <v>411</v>
      </c>
      <c r="B74" s="3791"/>
      <c r="C74" s="3791"/>
      <c r="D74" s="352">
        <f ca="1">IF(H74="个人住宅",D75,D76)</f>
        <v>57484</v>
      </c>
      <c r="E74" s="17" t="s">
        <v>412</v>
      </c>
      <c r="F74" s="350" t="str">
        <f>IF(H74="正常",F76,"免征")</f>
        <v>免征</v>
      </c>
      <c r="G74" s="962" t="s">
        <v>413</v>
      </c>
      <c r="H74" s="353"/>
      <c r="I74" s="42"/>
      <c r="J74" s="1904"/>
      <c r="K74" s="1876">
        <v>3</v>
      </c>
      <c r="L74" s="3756" t="s">
        <v>410</v>
      </c>
      <c r="M74" s="3756"/>
      <c r="N74" s="1240">
        <f t="shared" ca="1" si="1"/>
        <v>57484</v>
      </c>
      <c r="O74" s="1759" t="str">
        <f t="shared" si="1"/>
        <v>增值额×税（费）率</v>
      </c>
      <c r="P74" s="1243" t="str">
        <f t="shared" si="1"/>
        <v>免征</v>
      </c>
      <c r="Q74" s="1897"/>
      <c r="R74" s="1897"/>
      <c r="S74" s="1897"/>
      <c r="T74" s="1897"/>
      <c r="U74" s="1897"/>
      <c r="V74" s="1897"/>
    </row>
    <row r="75" spans="1:22" ht="12.75">
      <c r="A75" s="349" t="s">
        <v>414</v>
      </c>
      <c r="B75" s="3771" t="s">
        <v>415</v>
      </c>
      <c r="C75" s="3772"/>
      <c r="D75" s="354">
        <v>0</v>
      </c>
      <c r="E75" s="41" t="s">
        <v>416</v>
      </c>
      <c r="F75" s="355"/>
      <c r="G75" s="351"/>
      <c r="H75" s="42"/>
      <c r="I75" s="42"/>
      <c r="J75" s="1904"/>
      <c r="K75" s="2743">
        <f>IF(H77="非个人房产","",4)</f>
        <v>4</v>
      </c>
      <c r="L75" s="3756" t="str">
        <f>IF(H77="非个人房产","——","个人所得税")</f>
        <v>个人所得税</v>
      </c>
      <c r="M75" s="3756"/>
      <c r="N75" s="1244">
        <f>D77</f>
        <v>0</v>
      </c>
      <c r="O75" s="1772" t="str">
        <f>E77</f>
        <v>差额计税</v>
      </c>
      <c r="P75" s="1245">
        <f>F77</f>
        <v>0.01</v>
      </c>
      <c r="Q75" s="1897"/>
      <c r="R75" s="1897"/>
      <c r="S75" s="1897"/>
      <c r="T75" s="1897"/>
      <c r="U75" s="1897"/>
      <c r="V75" s="1897"/>
    </row>
    <row r="76" spans="1:22" ht="24.75">
      <c r="A76" s="349" t="s">
        <v>395</v>
      </c>
      <c r="B76" s="3771" t="s">
        <v>418</v>
      </c>
      <c r="C76" s="3813"/>
      <c r="D76" s="352">
        <f ca="1">IF(H76="转让取得",C99,C115)</f>
        <v>57484</v>
      </c>
      <c r="E76" s="17" t="s">
        <v>419</v>
      </c>
      <c r="F76" s="53" t="s">
        <v>21</v>
      </c>
      <c r="G76" s="351"/>
      <c r="H76" s="353"/>
      <c r="I76" s="42"/>
      <c r="J76" s="1904"/>
      <c r="K76" s="2743" t="str">
        <f>IF(项目基本情况!K6="上海银行",IF(K75="",4,K75+1),"")</f>
        <v/>
      </c>
      <c r="L76" s="3767" t="str">
        <f>IF(项目基本情况!K6="上海银行","其他处置费用","")</f>
        <v/>
      </c>
      <c r="M76" s="3768"/>
      <c r="N76" s="1240" t="str">
        <f>IF(项目基本情况!K6="上海银行",N89,"")</f>
        <v/>
      </c>
      <c r="O76" s="3769" t="str">
        <f>IF(项目基本情况!K6="上海银行","包含处置中涉及的律师、诉讼、拍卖、评估等费用","")</f>
        <v/>
      </c>
      <c r="P76" s="3770"/>
      <c r="Q76" s="1897"/>
      <c r="R76" s="1897"/>
      <c r="S76" s="1897"/>
      <c r="T76" s="1897"/>
      <c r="U76" s="1897"/>
      <c r="V76" s="1897"/>
    </row>
    <row r="77" spans="1:22" ht="24.75" thickBot="1">
      <c r="A77" s="3782" t="s">
        <v>421</v>
      </c>
      <c r="B77" s="3783"/>
      <c r="C77" s="3783"/>
      <c r="D77" s="2996">
        <f>IF(H77="非个人房产","——",IF(H77="个人住宅（满五唯一有凭证）",0,IF(H77="个人其他（无凭证）",ROUND(D63*F77,0),ROUND(C84*F77,0))))</f>
        <v>0</v>
      </c>
      <c r="E77" s="2997" t="str">
        <f>IF(H77="非个人房产","——",IF(H77="个人其他（无凭证）","销售额×税（费）率",IF(H77="个人住宅（满五唯一有凭证）","免征","差额计税")))</f>
        <v>差额计税</v>
      </c>
      <c r="F77" s="2998">
        <f>IF(OR(H77="非个人房产",H77="个人住宅（满五唯一有凭证）"),"——",IF(H77="个人其他（有凭证）",20%,1%))</f>
        <v>0.01</v>
      </c>
      <c r="G77" s="963" t="s">
        <v>413</v>
      </c>
      <c r="H77" s="2995"/>
      <c r="I77" s="2994" t="s">
        <v>2960</v>
      </c>
      <c r="J77" s="1904"/>
      <c r="K77" s="3778">
        <f>IF(AND(K75="",K76=""),4,IF(项目基本情况!K6="上海银行",K76+1,K75+1))</f>
        <v>5</v>
      </c>
      <c r="L77" s="3756" t="s">
        <v>2857</v>
      </c>
      <c r="M77" s="2748" t="s">
        <v>417</v>
      </c>
      <c r="N77" s="1246"/>
      <c r="O77" s="1247">
        <f ca="1">SUMIF(N72:N76,"&lt;9e307")</f>
        <v>57535</v>
      </c>
      <c r="P77" s="1248"/>
      <c r="Q77" s="2746" t="e">
        <f ca="1">O77/N69</f>
        <v>#VALUE!</v>
      </c>
      <c r="R77" s="1897"/>
      <c r="S77" s="1897"/>
      <c r="T77" s="1897"/>
      <c r="U77" s="1897"/>
      <c r="V77" s="1897"/>
    </row>
    <row r="78" spans="1:22" ht="12" customHeight="1">
      <c r="A78" s="1249"/>
      <c r="B78" s="301"/>
      <c r="C78" s="301"/>
      <c r="D78" s="301"/>
      <c r="E78" s="42"/>
      <c r="F78" s="42"/>
      <c r="G78" s="42"/>
      <c r="H78" s="982"/>
      <c r="I78" s="301"/>
      <c r="J78" s="1904"/>
      <c r="K78" s="3778"/>
      <c r="L78" s="3756"/>
      <c r="M78" s="2748" t="s">
        <v>420</v>
      </c>
      <c r="N78" s="1246"/>
      <c r="O78" s="1247" t="str">
        <f ca="1">NUMBERSTRING(INT(O77*10000),2)&amp;"元整"</f>
        <v>伍亿柒仟伍佰叁拾伍万元整</v>
      </c>
      <c r="P78" s="1248"/>
      <c r="Q78" s="1897"/>
      <c r="R78" s="1897"/>
      <c r="S78" s="1897"/>
      <c r="T78" s="1897"/>
      <c r="U78" s="1897"/>
      <c r="V78" s="1897"/>
    </row>
    <row r="79" spans="1:22" ht="13.5" thickBot="1">
      <c r="A79" s="3833" t="s">
        <v>422</v>
      </c>
      <c r="B79" s="3833"/>
      <c r="C79" s="3833"/>
      <c r="D79" s="3833"/>
      <c r="E79" s="3833"/>
      <c r="F79" s="42"/>
      <c r="G79" s="42"/>
      <c r="H79" s="982"/>
      <c r="I79" s="301"/>
      <c r="J79" s="1904"/>
      <c r="K79" s="3754">
        <f>K77+1</f>
        <v>6</v>
      </c>
      <c r="L79" s="3756" t="s">
        <v>2858</v>
      </c>
      <c r="M79" s="2748" t="s">
        <v>417</v>
      </c>
      <c r="N79" s="1246"/>
      <c r="O79" s="1247" t="e">
        <f ca="1">N69-O77</f>
        <v>#VALUE!</v>
      </c>
      <c r="P79" s="1248"/>
      <c r="Q79" s="1897"/>
      <c r="R79" s="1897"/>
      <c r="S79" s="1897"/>
      <c r="T79" s="1897"/>
      <c r="U79" s="1897"/>
      <c r="V79" s="1897"/>
    </row>
    <row r="80" spans="1:22" ht="12.75">
      <c r="A80" s="3764" t="s">
        <v>423</v>
      </c>
      <c r="B80" s="3765"/>
      <c r="C80" s="973"/>
      <c r="D80" s="973" t="s">
        <v>424</v>
      </c>
      <c r="E80" s="356" t="s">
        <v>425</v>
      </c>
      <c r="F80" s="42"/>
      <c r="G80" s="42"/>
      <c r="H80" s="982"/>
      <c r="I80" s="301"/>
      <c r="J80" s="1897"/>
      <c r="K80" s="3755"/>
      <c r="L80" s="3756"/>
      <c r="M80" s="2748" t="s">
        <v>420</v>
      </c>
      <c r="N80" s="1246"/>
      <c r="O80" s="1247" t="e">
        <f ca="1">NUMBERSTRING(INT(O79*10000),2)&amp;"元整"</f>
        <v>#VALUE!</v>
      </c>
      <c r="P80" s="1248"/>
      <c r="Q80" s="1897"/>
      <c r="R80" s="1897"/>
      <c r="S80" s="1897"/>
      <c r="T80" s="1897"/>
      <c r="U80" s="1897"/>
      <c r="V80" s="1897"/>
    </row>
    <row r="81" spans="1:26" ht="13.5" thickBot="1">
      <c r="A81" s="367" t="s">
        <v>1813</v>
      </c>
      <c r="B81" s="357" t="s">
        <v>426</v>
      </c>
      <c r="C81" s="358">
        <f ca="1">ROUND((C82+C83)/(1+'数据-取费表'!C42),0)</f>
        <v>96572</v>
      </c>
      <c r="D81" s="359"/>
      <c r="E81" s="360"/>
      <c r="F81" s="42"/>
      <c r="G81" s="42"/>
      <c r="H81" s="982"/>
      <c r="I81" s="301"/>
      <c r="J81" s="1897"/>
      <c r="K81" s="2743">
        <f>K79+1</f>
        <v>7</v>
      </c>
      <c r="L81" s="3776" t="s">
        <v>2859</v>
      </c>
      <c r="M81" s="3777"/>
      <c r="N81" s="1250"/>
      <c r="O81" s="1251" t="e">
        <f ca="1">ROUND(O79*10000/'数据-汇总表'!E3,0)</f>
        <v>#VALUE!</v>
      </c>
      <c r="P81" s="1252"/>
      <c r="Q81" s="1897"/>
      <c r="R81" s="1897"/>
      <c r="S81" s="1897"/>
      <c r="T81" s="1897"/>
      <c r="U81" s="1897"/>
      <c r="V81" s="1897"/>
    </row>
    <row r="82" spans="1:26" ht="13.5" thickTop="1">
      <c r="A82" s="361" t="s">
        <v>1814</v>
      </c>
      <c r="B82" s="362" t="s">
        <v>427</v>
      </c>
      <c r="C82" s="363">
        <f ca="1">D63</f>
        <v>101401</v>
      </c>
      <c r="D82" s="364" t="s">
        <v>19</v>
      </c>
      <c r="E82" s="365"/>
      <c r="F82" s="42"/>
      <c r="G82" s="42"/>
      <c r="H82" s="982"/>
      <c r="I82" s="301"/>
      <c r="J82" s="1897"/>
      <c r="K82" s="1897"/>
      <c r="L82" s="1897"/>
      <c r="M82" s="1897"/>
      <c r="N82" s="1897"/>
      <c r="O82" s="1897"/>
      <c r="P82" s="1897"/>
      <c r="Q82" s="1897"/>
      <c r="R82" s="1897"/>
      <c r="S82" s="1897"/>
      <c r="T82" s="1897"/>
      <c r="U82" s="1897"/>
      <c r="V82" s="1897"/>
    </row>
    <row r="83" spans="1:26" ht="12.75">
      <c r="A83" s="361" t="s">
        <v>1815</v>
      </c>
      <c r="B83" s="362" t="s">
        <v>428</v>
      </c>
      <c r="C83" s="366"/>
      <c r="D83" s="364"/>
      <c r="E83" s="365"/>
      <c r="F83" s="42"/>
      <c r="G83" s="42"/>
      <c r="H83" s="982"/>
      <c r="I83" s="301"/>
      <c r="J83" s="1897"/>
      <c r="K83" s="3766" t="s">
        <v>2847</v>
      </c>
      <c r="L83" s="2754" t="s">
        <v>2848</v>
      </c>
      <c r="M83" s="2744" t="e">
        <f>IF(N69&gt;10000,N69*0.5%,IF(AND(N69&gt;1000,N69&lt;=10000),N69*1%,IF(AND(N69&gt;100,N69&lt;=1000),N69*3%,IF(AND(N69&gt;10,N69&lt;=100),N69*5%,N69*8%))))</f>
        <v>#VALUE!</v>
      </c>
      <c r="N83" s="53" t="e">
        <f>ROUND(M83,1)</f>
        <v>#VALUE!</v>
      </c>
      <c r="O83" s="2747"/>
      <c r="P83" s="1897"/>
      <c r="Q83" s="1897"/>
      <c r="R83" s="1897"/>
      <c r="S83" s="1897"/>
      <c r="T83" s="1897"/>
      <c r="U83" s="1897"/>
      <c r="V83" s="1897"/>
    </row>
    <row r="84" spans="1:26" ht="12.75">
      <c r="A84" s="367" t="s">
        <v>1816</v>
      </c>
      <c r="B84" s="368" t="s">
        <v>429</v>
      </c>
      <c r="C84" s="369"/>
      <c r="D84" s="370" t="s">
        <v>19</v>
      </c>
      <c r="E84" s="2772" t="s">
        <v>2898</v>
      </c>
      <c r="F84" s="42"/>
      <c r="G84" s="42"/>
      <c r="H84" s="982"/>
      <c r="I84" s="301"/>
      <c r="J84" s="1897"/>
      <c r="K84" s="3766"/>
      <c r="L84" s="2754" t="s">
        <v>2849</v>
      </c>
      <c r="M84" s="2744"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897" t="s">
        <v>2850</v>
      </c>
      <c r="P84" s="1897"/>
      <c r="Q84" s="1897"/>
      <c r="R84" s="1897"/>
      <c r="S84" s="1897"/>
      <c r="T84" s="1897"/>
      <c r="U84" s="1897"/>
      <c r="V84" s="1897"/>
    </row>
    <row r="85" spans="1:26" ht="12.75">
      <c r="A85" s="367" t="s">
        <v>1817</v>
      </c>
      <c r="B85" s="368" t="s">
        <v>430</v>
      </c>
      <c r="C85" s="371">
        <f ca="1">C81-C84</f>
        <v>96572</v>
      </c>
      <c r="D85" s="364" t="s">
        <v>19</v>
      </c>
      <c r="E85" s="365"/>
      <c r="F85" s="42"/>
      <c r="G85" s="42"/>
      <c r="H85" s="982"/>
      <c r="I85" s="301"/>
      <c r="J85" s="1897"/>
      <c r="K85" s="3766"/>
      <c r="L85" s="2754" t="s">
        <v>2851</v>
      </c>
      <c r="M85" s="2744" t="e">
        <f>IF(N69&gt;1000,N69*0.1%,IF(AND(N69&gt;500,N69&lt;=1000),N69*0.5%,IF(AND(N69&gt;50,N69&lt;=500),N69*1%,IF(AND(N69&gt;1,N69&lt;=50),N69*1.5%))))</f>
        <v>#VALUE!</v>
      </c>
      <c r="N85" s="53" t="e">
        <f t="shared" si="2"/>
        <v>#VALUE!</v>
      </c>
      <c r="O85" s="1897" t="s">
        <v>2850</v>
      </c>
      <c r="P85" s="1897"/>
      <c r="Q85" s="1897"/>
      <c r="R85" s="1897"/>
      <c r="S85" s="1897"/>
      <c r="T85" s="1897"/>
      <c r="U85" s="1897"/>
      <c r="V85" s="1897"/>
    </row>
    <row r="86" spans="1:26" ht="13.5" thickBot="1">
      <c r="A86" s="372" t="s">
        <v>1818</v>
      </c>
      <c r="B86" s="373" t="s">
        <v>431</v>
      </c>
      <c r="C86" s="374">
        <f ca="1">IF(C85&lt;=0,0,ROUND(C85*D86,0))</f>
        <v>5311</v>
      </c>
      <c r="D86" s="375">
        <f>'数据-取费表'!B41</f>
        <v>5.5000000000000007E-2</v>
      </c>
      <c r="E86" s="376"/>
      <c r="F86" s="42"/>
      <c r="G86" s="42"/>
      <c r="H86" s="982"/>
      <c r="I86" s="301"/>
      <c r="J86" s="1897"/>
      <c r="K86" s="3766"/>
      <c r="L86" s="2754" t="s">
        <v>2852</v>
      </c>
      <c r="M86" s="2744" t="e">
        <f>N69*0.5%</f>
        <v>#VALUE!</v>
      </c>
      <c r="N86" s="53" t="e">
        <f>IF(M86&gt;0.5,0.5,ROUND(M86,0))</f>
        <v>#VALUE!</v>
      </c>
      <c r="O86" s="1897" t="s">
        <v>2853</v>
      </c>
      <c r="P86" s="1897"/>
      <c r="Q86" s="1897"/>
      <c r="R86" s="1897"/>
      <c r="S86" s="1897"/>
      <c r="T86" s="1897"/>
      <c r="U86" s="1897"/>
      <c r="V86" s="1897"/>
    </row>
    <row r="87" spans="1:26" s="1199" customFormat="1" ht="14.25" customHeight="1">
      <c r="A87" s="1253"/>
      <c r="B87" s="1254"/>
      <c r="C87" s="1255"/>
      <c r="D87" s="1256"/>
      <c r="E87" s="1257"/>
      <c r="F87" s="42"/>
      <c r="G87" s="42"/>
      <c r="H87" s="982"/>
      <c r="I87" s="301"/>
      <c r="J87" s="1897"/>
      <c r="K87" s="3766"/>
      <c r="L87" s="2754" t="s">
        <v>2854</v>
      </c>
      <c r="M87" s="2744"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47"/>
      <c r="P87" s="1897"/>
      <c r="Q87" s="1897"/>
      <c r="R87" s="1897"/>
      <c r="S87" s="1897"/>
      <c r="T87" s="1897"/>
      <c r="U87" s="1897"/>
      <c r="V87" s="1897"/>
      <c r="W87" s="282"/>
      <c r="X87" s="282"/>
      <c r="Y87" s="282"/>
      <c r="Z87" s="282"/>
    </row>
    <row r="88" spans="1:26" s="1258" customFormat="1" ht="15" thickBot="1">
      <c r="A88" s="3805" t="s">
        <v>432</v>
      </c>
      <c r="B88" s="3806"/>
      <c r="C88" s="3806"/>
      <c r="D88" s="3806"/>
      <c r="E88" s="3806"/>
      <c r="F88" s="3806"/>
      <c r="G88" s="3806"/>
      <c r="H88" s="3806"/>
      <c r="I88" s="1259"/>
      <c r="J88" s="1905"/>
      <c r="K88" s="3766"/>
      <c r="L88" s="2754" t="s">
        <v>2855</v>
      </c>
      <c r="M88" s="2744" t="e">
        <f>IF(N69&gt;10000,N69*0.5%,IF(AND(N69&gt;5000,N69&lt;=10000),N69*1%,IF(AND(N69&gt;1000,N69&lt;=5000),N69*2%,IF(AND(N69&gt;200,N69&lt;=1000),N69*3%,N69*5%))))</f>
        <v>#VALUE!</v>
      </c>
      <c r="N88" s="53" t="e">
        <f>ROUND(M88,1)</f>
        <v>#VALUE!</v>
      </c>
      <c r="O88" s="2747"/>
      <c r="P88" s="1902"/>
      <c r="Q88" s="1902"/>
      <c r="R88" s="1902"/>
      <c r="S88" s="1902"/>
      <c r="T88" s="1902"/>
      <c r="U88" s="1902"/>
      <c r="V88" s="1902"/>
      <c r="W88" s="1906"/>
      <c r="X88" s="1906"/>
      <c r="Y88" s="1906"/>
      <c r="Z88" s="1906"/>
    </row>
    <row r="89" spans="1:26" s="1258" customFormat="1" ht="14.25">
      <c r="A89" s="3764" t="s">
        <v>423</v>
      </c>
      <c r="B89" s="3765"/>
      <c r="C89" s="973"/>
      <c r="D89" s="973" t="s">
        <v>424</v>
      </c>
      <c r="E89" s="377" t="s">
        <v>433</v>
      </c>
      <c r="F89" s="378"/>
      <c r="G89" s="378"/>
      <c r="H89" s="379"/>
      <c r="I89" s="1260"/>
      <c r="J89" s="1907"/>
      <c r="K89" s="3766"/>
      <c r="L89" s="2754" t="s">
        <v>27</v>
      </c>
      <c r="M89" s="2745"/>
      <c r="N89" s="53" t="e">
        <f>ROUND(SUM(N83:N88),0)</f>
        <v>#VALUE!</v>
      </c>
      <c r="O89" s="2755" t="e">
        <f>N89/N69</f>
        <v>#VALUE!</v>
      </c>
      <c r="P89" s="1902"/>
      <c r="Q89" s="1902"/>
      <c r="R89" s="1902"/>
      <c r="S89" s="1902"/>
      <c r="T89" s="1902"/>
      <c r="U89" s="1902"/>
      <c r="V89" s="1902"/>
      <c r="W89" s="1906"/>
      <c r="X89" s="1906"/>
      <c r="Y89" s="1906"/>
      <c r="Z89" s="1906"/>
    </row>
    <row r="90" spans="1:26" s="1258" customFormat="1" ht="14.25" hidden="1">
      <c r="A90" s="367" t="s">
        <v>1813</v>
      </c>
      <c r="B90" s="368" t="s">
        <v>434</v>
      </c>
      <c r="C90" s="371">
        <f ca="1">ROUND(D63/(1+'数据-取费表'!C42),0)</f>
        <v>96572</v>
      </c>
      <c r="D90" s="364" t="s">
        <v>19</v>
      </c>
      <c r="E90" s="970"/>
      <c r="F90" s="969"/>
      <c r="G90" s="969"/>
      <c r="H90" s="380"/>
      <c r="I90" s="1260"/>
      <c r="J90" s="1907"/>
      <c r="K90" s="1902"/>
      <c r="L90" s="1902"/>
      <c r="M90" s="1902"/>
      <c r="N90" s="1902"/>
      <c r="O90" s="1902"/>
      <c r="P90" s="1902"/>
      <c r="Q90" s="1902"/>
      <c r="R90" s="1902"/>
      <c r="S90" s="1902"/>
      <c r="T90" s="1902"/>
      <c r="U90" s="1902"/>
      <c r="V90" s="1902"/>
      <c r="W90" s="1906"/>
      <c r="X90" s="1906"/>
      <c r="Y90" s="1906"/>
      <c r="Z90" s="1906"/>
    </row>
    <row r="91" spans="1:26" s="1258" customFormat="1" ht="14.25" hidden="1">
      <c r="A91" s="367" t="s">
        <v>1819</v>
      </c>
      <c r="B91" s="338" t="s">
        <v>435</v>
      </c>
      <c r="C91" s="371">
        <f ca="1">C92+C96</f>
        <v>483</v>
      </c>
      <c r="D91" s="364" t="s">
        <v>19</v>
      </c>
      <c r="E91" s="970"/>
      <c r="F91" s="969"/>
      <c r="G91" s="969"/>
      <c r="H91" s="380"/>
      <c r="I91" s="1260"/>
      <c r="J91" s="1907"/>
      <c r="K91" s="1902"/>
      <c r="L91" s="1902"/>
      <c r="M91" s="1902"/>
      <c r="N91" s="1902"/>
      <c r="O91" s="1902"/>
      <c r="P91" s="1902"/>
      <c r="Q91" s="1902"/>
      <c r="R91" s="1902"/>
      <c r="S91" s="1902"/>
      <c r="T91" s="1902"/>
      <c r="U91" s="1902"/>
      <c r="V91" s="1902"/>
      <c r="W91" s="1906"/>
      <c r="X91" s="1906"/>
      <c r="Y91" s="1906"/>
      <c r="Z91" s="1906"/>
    </row>
    <row r="92" spans="1:26" s="1258" customFormat="1" ht="24" hidden="1">
      <c r="A92" s="381" t="s">
        <v>1820</v>
      </c>
      <c r="B92" s="362" t="s">
        <v>436</v>
      </c>
      <c r="C92" s="364">
        <f>ROUND(IF(G95="2016年5月1日后购买",C93/(1+'数据-取费表'!C30)+C94+C95,C93+C94+C95),0)</f>
        <v>0</v>
      </c>
      <c r="D92" s="364" t="s">
        <v>19</v>
      </c>
      <c r="E92" s="970"/>
      <c r="F92" s="969"/>
      <c r="G92" s="969"/>
      <c r="H92" s="380"/>
      <c r="I92" s="1260"/>
      <c r="J92" s="1907"/>
      <c r="K92" s="1902"/>
      <c r="L92" s="1902"/>
      <c r="M92" s="1902"/>
      <c r="N92" s="1902"/>
      <c r="O92" s="1902"/>
      <c r="P92" s="1902"/>
      <c r="Q92" s="1902"/>
      <c r="R92" s="1902"/>
      <c r="S92" s="1902"/>
      <c r="T92" s="1902"/>
      <c r="U92" s="1902"/>
      <c r="V92" s="1902"/>
      <c r="W92" s="1906"/>
      <c r="X92" s="1906"/>
      <c r="Y92" s="1906"/>
      <c r="Z92" s="1906"/>
    </row>
    <row r="93" spans="1:26" s="1258" customFormat="1" ht="14.25" hidden="1">
      <c r="A93" s="381" t="s">
        <v>1821</v>
      </c>
      <c r="B93" s="362" t="s">
        <v>437</v>
      </c>
      <c r="C93" s="382"/>
      <c r="D93" s="364" t="s">
        <v>19</v>
      </c>
      <c r="E93" s="383" t="s">
        <v>438</v>
      </c>
      <c r="F93" s="384"/>
      <c r="G93" s="383" t="s">
        <v>439</v>
      </c>
      <c r="H93" s="385">
        <v>5</v>
      </c>
      <c r="I93" s="11"/>
      <c r="J93" s="1902"/>
      <c r="K93" s="1902"/>
      <c r="L93" s="1902"/>
      <c r="M93" s="1902"/>
      <c r="N93" s="1902"/>
      <c r="O93" s="1902"/>
      <c r="P93" s="1902"/>
      <c r="Q93" s="1902"/>
      <c r="R93" s="1902"/>
      <c r="S93" s="1902"/>
      <c r="T93" s="1902"/>
      <c r="U93" s="1902"/>
      <c r="V93" s="1902"/>
      <c r="W93" s="1906"/>
      <c r="X93" s="1906"/>
      <c r="Y93" s="1906"/>
      <c r="Z93" s="1906"/>
    </row>
    <row r="94" spans="1:26" s="1258" customFormat="1" ht="24.75" hidden="1" customHeight="1">
      <c r="A94" s="381" t="s">
        <v>1822</v>
      </c>
      <c r="B94" s="386" t="s">
        <v>440</v>
      </c>
      <c r="C94" s="364">
        <f>IF(F93="购房发票",ROUND(C93*H93*5%,0),0)</f>
        <v>0</v>
      </c>
      <c r="D94" s="387">
        <v>0.05</v>
      </c>
      <c r="E94" s="3802" t="s">
        <v>441</v>
      </c>
      <c r="F94" s="3803"/>
      <c r="G94" s="3803"/>
      <c r="H94" s="3804"/>
      <c r="I94" s="1260"/>
      <c r="J94" s="1907"/>
      <c r="K94" s="1902"/>
      <c r="L94" s="1902"/>
      <c r="M94" s="1902"/>
      <c r="N94" s="1902"/>
      <c r="O94" s="1902"/>
      <c r="P94" s="1902"/>
      <c r="Q94" s="1902"/>
      <c r="R94" s="1902"/>
      <c r="S94" s="1902"/>
      <c r="T94" s="1902"/>
      <c r="U94" s="1902"/>
      <c r="V94" s="1902"/>
      <c r="W94" s="1906"/>
      <c r="X94" s="1906"/>
      <c r="Y94" s="1906"/>
      <c r="Z94" s="1906"/>
    </row>
    <row r="95" spans="1:26" s="1258" customFormat="1" ht="24.75" hidden="1" customHeight="1">
      <c r="A95" s="381" t="s">
        <v>1823</v>
      </c>
      <c r="B95" s="362" t="s">
        <v>442</v>
      </c>
      <c r="C95" s="364">
        <f>ROUND(IF(G95="个人买卖住房",0,IF(G95="2016年5月1日前购买",C93*D95,C93*D95/(1+'数据-取费表'!C42))),0)</f>
        <v>0</v>
      </c>
      <c r="D95" s="388">
        <f>'数据-取费表'!B48+'数据-取费表'!B49</f>
        <v>4.0500000000000001E-2</v>
      </c>
      <c r="E95" s="26" t="s">
        <v>443</v>
      </c>
      <c r="F95" s="389"/>
      <c r="G95" s="390"/>
      <c r="H95" s="978" t="str">
        <f>IF(G95="个人买卖住房","免征印花税"," ")</f>
        <v xml:space="preserve"> </v>
      </c>
      <c r="I95" s="1260"/>
      <c r="J95" s="1907"/>
      <c r="K95" s="1902"/>
      <c r="L95" s="1902"/>
      <c r="M95" s="1902"/>
      <c r="N95" s="1902"/>
      <c r="O95" s="1902"/>
      <c r="P95" s="1902"/>
      <c r="Q95" s="1902"/>
      <c r="R95" s="1902"/>
      <c r="S95" s="1902"/>
      <c r="T95" s="1902"/>
      <c r="U95" s="1902"/>
      <c r="V95" s="1902"/>
      <c r="W95" s="1906"/>
      <c r="X95" s="1906"/>
      <c r="Y95" s="1906"/>
      <c r="Z95" s="1906"/>
    </row>
    <row r="96" spans="1:26" s="1258" customFormat="1" ht="24.75" hidden="1" customHeight="1">
      <c r="A96" s="381" t="s">
        <v>1824</v>
      </c>
      <c r="B96" s="362" t="s">
        <v>444</v>
      </c>
      <c r="C96" s="391">
        <f ca="1">ROUND(D63*D96/(1+'数据-取费表'!C42),0)</f>
        <v>483</v>
      </c>
      <c r="D96" s="392">
        <f>'数据-取费表'!B43</f>
        <v>5.000000000000001E-3</v>
      </c>
      <c r="E96" s="3761" t="s">
        <v>2407</v>
      </c>
      <c r="F96" s="3762"/>
      <c r="G96" s="3762"/>
      <c r="H96" s="3763"/>
      <c r="I96" s="1261"/>
      <c r="J96" s="1908"/>
      <c r="K96" s="1902"/>
      <c r="L96" s="1902"/>
      <c r="M96" s="1902"/>
      <c r="N96" s="1902"/>
      <c r="O96" s="1902"/>
      <c r="P96" s="1902"/>
      <c r="Q96" s="1902"/>
      <c r="R96" s="1902"/>
      <c r="S96" s="1902"/>
      <c r="T96" s="1902"/>
      <c r="U96" s="1902"/>
      <c r="V96" s="1902"/>
      <c r="W96" s="1906"/>
      <c r="X96" s="1906"/>
      <c r="Y96" s="1906"/>
      <c r="Z96" s="1906"/>
    </row>
    <row r="97" spans="1:26" s="1258" customFormat="1" ht="14.25" hidden="1">
      <c r="A97" s="1533" t="s">
        <v>1825</v>
      </c>
      <c r="B97" s="368" t="s">
        <v>445</v>
      </c>
      <c r="C97" s="371">
        <f ca="1">C90-C91</f>
        <v>96089</v>
      </c>
      <c r="D97" s="364" t="s">
        <v>19</v>
      </c>
      <c r="E97" s="970"/>
      <c r="F97" s="969"/>
      <c r="G97" s="969"/>
      <c r="H97" s="380"/>
      <c r="I97" s="1260"/>
      <c r="J97" s="1907"/>
      <c r="K97" s="1902"/>
      <c r="L97" s="1902"/>
      <c r="M97" s="1902"/>
      <c r="N97" s="1902"/>
      <c r="O97" s="1902"/>
      <c r="P97" s="1902"/>
      <c r="Q97" s="1902"/>
      <c r="R97" s="1902"/>
      <c r="S97" s="1902"/>
      <c r="T97" s="1902"/>
      <c r="U97" s="1902"/>
      <c r="V97" s="1902"/>
      <c r="W97" s="1906"/>
      <c r="X97" s="1906"/>
      <c r="Y97" s="1906"/>
      <c r="Z97" s="1906"/>
    </row>
    <row r="98" spans="1:26" s="1258" customFormat="1" ht="24" hidden="1">
      <c r="A98" s="1533" t="s">
        <v>1826</v>
      </c>
      <c r="B98" s="368" t="s">
        <v>446</v>
      </c>
      <c r="C98" s="393">
        <f ca="1">IF(C97&lt;=0,0,C97/C91)</f>
        <v>198.94202898550725</v>
      </c>
      <c r="D98" s="364"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69"/>
      <c r="G98" s="969"/>
      <c r="H98" s="380"/>
      <c r="I98" s="1260"/>
      <c r="J98" s="1907"/>
      <c r="K98" s="1902"/>
      <c r="L98" s="1902"/>
      <c r="M98" s="1902"/>
      <c r="N98" s="1902"/>
      <c r="O98" s="1902"/>
      <c r="P98" s="1902"/>
      <c r="Q98" s="1902"/>
      <c r="R98" s="1902"/>
      <c r="S98" s="1902"/>
      <c r="T98" s="1902"/>
      <c r="U98" s="1902"/>
      <c r="V98" s="1902"/>
      <c r="W98" s="1906"/>
      <c r="X98" s="1906"/>
      <c r="Y98" s="1906"/>
      <c r="Z98" s="1906"/>
    </row>
    <row r="99" spans="1:26" s="1258" customFormat="1" ht="24.75" hidden="1" thickBot="1">
      <c r="A99" s="1534" t="s">
        <v>1827</v>
      </c>
      <c r="B99" s="373" t="s">
        <v>447</v>
      </c>
      <c r="C99" s="394">
        <f ca="1">ROUND(IF(C97&lt;=0,0,IF(C98&gt;=200%,C97*60%-C91*35%,IF(C98&gt;=100%,C97*50%-C91*15%,IF(C98&gt;=50%,C97*40%-C91*5%,IF(C98&lt;50%,C97*30%,0))))),0)</f>
        <v>57484</v>
      </c>
      <c r="D99" s="395" t="s">
        <v>19</v>
      </c>
      <c r="E99" s="396"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7"/>
      <c r="G99" s="397"/>
      <c r="H99" s="398"/>
      <c r="I99" s="1260"/>
      <c r="J99" s="1907"/>
      <c r="K99" s="1902"/>
      <c r="L99" s="1902"/>
      <c r="M99" s="1902"/>
      <c r="N99" s="1902"/>
      <c r="O99" s="1902"/>
      <c r="P99" s="1902"/>
      <c r="Q99" s="1902"/>
      <c r="R99" s="1902"/>
      <c r="S99" s="1902"/>
      <c r="T99" s="1902"/>
      <c r="U99" s="1902"/>
      <c r="V99" s="1902"/>
      <c r="W99" s="1906"/>
      <c r="X99" s="1906"/>
      <c r="Y99" s="1906"/>
      <c r="Z99" s="1906"/>
    </row>
    <row r="100" spans="1:26" s="1258" customFormat="1" ht="7.5" customHeight="1">
      <c r="A100" s="1262"/>
      <c r="B100" s="1263"/>
      <c r="C100" s="11"/>
      <c r="D100" s="11"/>
      <c r="E100" s="1263"/>
      <c r="F100" s="1263"/>
      <c r="G100" s="1263"/>
      <c r="H100" s="1264"/>
      <c r="I100" s="1261"/>
      <c r="J100" s="1908"/>
      <c r="K100" s="1902"/>
      <c r="L100" s="1902"/>
      <c r="M100" s="1902"/>
      <c r="N100" s="1902"/>
      <c r="O100" s="1902"/>
      <c r="P100" s="1902"/>
      <c r="Q100" s="1902"/>
      <c r="R100" s="1902"/>
      <c r="S100" s="1902"/>
      <c r="T100" s="1902"/>
      <c r="U100" s="1902"/>
      <c r="V100" s="1902"/>
      <c r="W100" s="1906"/>
      <c r="X100" s="1906"/>
      <c r="Y100" s="1906"/>
      <c r="Z100" s="1906"/>
    </row>
    <row r="101" spans="1:26" s="1258" customFormat="1" ht="15" thickBot="1">
      <c r="A101" s="3805" t="s">
        <v>448</v>
      </c>
      <c r="B101" s="3806"/>
      <c r="C101" s="3806"/>
      <c r="D101" s="3806"/>
      <c r="E101" s="3806"/>
      <c r="F101" s="3806"/>
      <c r="G101" s="3806"/>
      <c r="H101" s="3806"/>
      <c r="I101" s="11"/>
      <c r="J101" s="1902"/>
      <c r="K101" s="1902"/>
      <c r="L101" s="1902"/>
      <c r="M101" s="1902"/>
      <c r="N101" s="1902"/>
      <c r="O101" s="1902"/>
      <c r="P101" s="1902"/>
      <c r="Q101" s="1902"/>
      <c r="R101" s="1902"/>
      <c r="S101" s="1902"/>
      <c r="T101" s="1902"/>
      <c r="U101" s="1902"/>
      <c r="V101" s="1902"/>
      <c r="W101" s="1906"/>
      <c r="X101" s="1906"/>
      <c r="Y101" s="1906"/>
      <c r="Z101" s="1906"/>
    </row>
    <row r="102" spans="1:26" s="1258" customFormat="1" ht="14.25">
      <c r="A102" s="3764" t="s">
        <v>423</v>
      </c>
      <c r="B102" s="3765"/>
      <c r="C102" s="973"/>
      <c r="D102" s="973" t="s">
        <v>424</v>
      </c>
      <c r="E102" s="377" t="s">
        <v>433</v>
      </c>
      <c r="F102" s="378"/>
      <c r="G102" s="378"/>
      <c r="H102" s="399"/>
      <c r="I102" s="11"/>
      <c r="J102" s="1902"/>
      <c r="K102" s="1902"/>
      <c r="L102" s="1902"/>
      <c r="M102" s="1902"/>
      <c r="N102" s="1902"/>
      <c r="O102" s="1902"/>
      <c r="P102" s="1902"/>
      <c r="Q102" s="1902"/>
      <c r="R102" s="1902"/>
      <c r="S102" s="1902"/>
      <c r="T102" s="1902"/>
      <c r="U102" s="1902"/>
      <c r="V102" s="1902"/>
      <c r="W102" s="1906"/>
      <c r="X102" s="1906"/>
      <c r="Y102" s="1906"/>
      <c r="Z102" s="1906"/>
    </row>
    <row r="103" spans="1:26" s="1258" customFormat="1" ht="14.25">
      <c r="A103" s="367" t="s">
        <v>1813</v>
      </c>
      <c r="B103" s="368" t="s">
        <v>434</v>
      </c>
      <c r="C103" s="371">
        <f ca="1">ROUND(D63/(1+'数据-取费表'!C42),0)</f>
        <v>96572</v>
      </c>
      <c r="D103" s="364" t="s">
        <v>19</v>
      </c>
      <c r="E103" s="970"/>
      <c r="F103" s="969"/>
      <c r="G103" s="969"/>
      <c r="H103" s="400"/>
      <c r="I103" s="11"/>
      <c r="J103" s="1902"/>
      <c r="K103" s="1902"/>
      <c r="L103" s="1902"/>
      <c r="M103" s="1902"/>
      <c r="N103" s="1902"/>
      <c r="O103" s="1902"/>
      <c r="P103" s="1902"/>
      <c r="Q103" s="1902"/>
      <c r="R103" s="1902"/>
      <c r="S103" s="1902"/>
      <c r="T103" s="1902"/>
      <c r="U103" s="1902"/>
      <c r="V103" s="1902"/>
      <c r="W103" s="1906"/>
      <c r="X103" s="1906"/>
      <c r="Y103" s="1906"/>
      <c r="Z103" s="1906"/>
    </row>
    <row r="104" spans="1:26" s="1258" customFormat="1" ht="14.25">
      <c r="A104" s="367" t="s">
        <v>1819</v>
      </c>
      <c r="B104" s="338" t="s">
        <v>435</v>
      </c>
      <c r="C104" s="371">
        <f ca="1">IF(H106="仅含出让金",C105+C108+C109+C110+C111+C112,C105+C109+C110+C111+C112)</f>
        <v>483</v>
      </c>
      <c r="D104" s="401"/>
      <c r="E104" s="970"/>
      <c r="F104" s="969"/>
      <c r="G104" s="969"/>
      <c r="H104" s="400"/>
      <c r="I104" s="11"/>
      <c r="J104" s="1902"/>
      <c r="K104" s="1902"/>
      <c r="L104" s="1902"/>
      <c r="M104" s="1902"/>
      <c r="N104" s="1902"/>
      <c r="O104" s="1902"/>
      <c r="P104" s="1902"/>
      <c r="Q104" s="1902"/>
      <c r="R104" s="1902"/>
      <c r="S104" s="1902"/>
      <c r="T104" s="1902"/>
      <c r="U104" s="1902"/>
      <c r="V104" s="1902"/>
      <c r="W104" s="1906"/>
      <c r="X104" s="1906"/>
      <c r="Y104" s="1906"/>
      <c r="Z104" s="1906"/>
    </row>
    <row r="105" spans="1:26" s="1258" customFormat="1" ht="14.25">
      <c r="A105" s="381" t="s">
        <v>1820</v>
      </c>
      <c r="B105" s="362" t="s">
        <v>449</v>
      </c>
      <c r="C105" s="391">
        <f>C106+C107</f>
        <v>0</v>
      </c>
      <c r="D105" s="392"/>
      <c r="E105" s="964"/>
      <c r="F105" s="965"/>
      <c r="G105" s="965"/>
      <c r="H105" s="966"/>
      <c r="I105" s="11"/>
      <c r="J105" s="1902"/>
      <c r="K105" s="1902"/>
      <c r="L105" s="1902"/>
      <c r="M105" s="1902"/>
      <c r="N105" s="1902"/>
      <c r="O105" s="1902"/>
      <c r="P105" s="1902"/>
      <c r="Q105" s="1902"/>
      <c r="R105" s="1902"/>
      <c r="S105" s="1902"/>
      <c r="T105" s="1902"/>
      <c r="U105" s="1902"/>
      <c r="V105" s="1902"/>
      <c r="W105" s="1906"/>
      <c r="X105" s="1906"/>
      <c r="Y105" s="1906"/>
      <c r="Z105" s="1906"/>
    </row>
    <row r="106" spans="1:26" s="1258" customFormat="1" ht="14.25">
      <c r="A106" s="381" t="s">
        <v>1821</v>
      </c>
      <c r="B106" s="362" t="s">
        <v>450</v>
      </c>
      <c r="C106" s="402"/>
      <c r="D106" s="392"/>
      <c r="E106" s="403" t="s">
        <v>451</v>
      </c>
      <c r="F106" s="965"/>
      <c r="G106" s="404" t="s">
        <v>452</v>
      </c>
      <c r="H106" s="405" t="s">
        <v>3774</v>
      </c>
      <c r="I106" s="11"/>
      <c r="J106" s="1902"/>
      <c r="K106" s="3229" t="s">
        <v>2982</v>
      </c>
      <c r="L106" s="1902"/>
      <c r="M106" s="1902"/>
      <c r="N106" s="1902"/>
      <c r="O106" s="1902"/>
      <c r="P106" s="1902"/>
      <c r="Q106" s="1902"/>
      <c r="R106" s="1902"/>
      <c r="S106" s="1902"/>
      <c r="T106" s="1902"/>
      <c r="U106" s="1902"/>
      <c r="V106" s="1902"/>
      <c r="W106" s="1906"/>
      <c r="X106" s="1906"/>
      <c r="Y106" s="1906"/>
      <c r="Z106" s="1906"/>
    </row>
    <row r="107" spans="1:26" s="1258" customFormat="1" ht="14.25">
      <c r="A107" s="381" t="s">
        <v>1822</v>
      </c>
      <c r="B107" s="362" t="s">
        <v>442</v>
      </c>
      <c r="C107" s="391">
        <f>ROUND(C106*D107,0)</f>
        <v>0</v>
      </c>
      <c r="D107" s="392">
        <f>'数据-取费表'!B48+'数据-取费表'!B49</f>
        <v>4.0500000000000001E-2</v>
      </c>
      <c r="E107" s="403" t="s">
        <v>453</v>
      </c>
      <c r="F107" s="965"/>
      <c r="G107" s="965"/>
      <c r="H107" s="966"/>
      <c r="I107" s="11"/>
      <c r="J107" s="1902"/>
      <c r="K107" s="1902"/>
      <c r="L107" s="1902"/>
      <c r="M107" s="1902"/>
      <c r="N107" s="1902"/>
      <c r="O107" s="1902"/>
      <c r="P107" s="1902"/>
      <c r="Q107" s="1902"/>
      <c r="R107" s="1902"/>
      <c r="S107" s="1902"/>
      <c r="T107" s="1902"/>
      <c r="U107" s="1902"/>
      <c r="V107" s="1902"/>
      <c r="W107" s="1906"/>
      <c r="X107" s="1906"/>
      <c r="Y107" s="1906"/>
      <c r="Z107" s="1906"/>
    </row>
    <row r="108" spans="1:26" s="1258" customFormat="1" ht="14.25">
      <c r="A108" s="381" t="s">
        <v>1824</v>
      </c>
      <c r="B108" s="362" t="s">
        <v>454</v>
      </c>
      <c r="C108" s="402"/>
      <c r="D108" s="392"/>
      <c r="E108" s="403" t="str">
        <f>IF(H106="-","土地取得成本中已包含该笔费用"," ")</f>
        <v xml:space="preserve"> </v>
      </c>
      <c r="F108" s="965"/>
      <c r="G108" s="3817" t="s">
        <v>2952</v>
      </c>
      <c r="H108" s="3818"/>
      <c r="I108" s="2844"/>
      <c r="J108" s="1902"/>
      <c r="K108" s="3229" t="s">
        <v>2983</v>
      </c>
      <c r="L108" s="1902"/>
      <c r="M108" s="1902"/>
      <c r="N108" s="1902"/>
      <c r="O108" s="1902"/>
      <c r="P108" s="1902"/>
      <c r="Q108" s="1902"/>
      <c r="R108" s="1902"/>
      <c r="S108" s="1902"/>
      <c r="T108" s="1902"/>
      <c r="U108" s="1902"/>
      <c r="V108" s="1902"/>
      <c r="W108" s="1906"/>
      <c r="X108" s="1906"/>
      <c r="Y108" s="1906"/>
      <c r="Z108" s="1906"/>
    </row>
    <row r="109" spans="1:26" s="1258" customFormat="1" ht="24" customHeight="1">
      <c r="A109" s="1535" t="s">
        <v>1828</v>
      </c>
      <c r="B109" s="362" t="s">
        <v>455</v>
      </c>
      <c r="C109" s="391">
        <f>IF(H109="——",IF(F1="现房",'剩余法-现房'!C18,0),I109)</f>
        <v>0</v>
      </c>
      <c r="D109" s="392"/>
      <c r="E109" s="3795" t="s">
        <v>456</v>
      </c>
      <c r="F109" s="3762"/>
      <c r="G109" s="3762"/>
      <c r="H109" s="1841" t="s">
        <v>942</v>
      </c>
      <c r="I109" s="1842"/>
      <c r="J109" s="1902"/>
      <c r="K109" s="1902"/>
      <c r="L109" s="1902"/>
      <c r="M109" s="1902"/>
      <c r="N109" s="1902"/>
      <c r="O109" s="1902"/>
      <c r="P109" s="1902"/>
      <c r="Q109" s="1902"/>
      <c r="R109" s="1902"/>
      <c r="S109" s="1902"/>
      <c r="T109" s="1902"/>
      <c r="U109" s="1902"/>
      <c r="V109" s="1902"/>
      <c r="W109" s="1906"/>
      <c r="X109" s="1906"/>
      <c r="Y109" s="1906"/>
      <c r="Z109" s="1906"/>
    </row>
    <row r="110" spans="1:26" s="1258" customFormat="1" ht="25.5" customHeight="1">
      <c r="A110" s="1535" t="s">
        <v>1829</v>
      </c>
      <c r="B110" s="362" t="s">
        <v>457</v>
      </c>
      <c r="C110" s="391">
        <f>ROUND((C105+C108+C109)*D110,0)</f>
        <v>0</v>
      </c>
      <c r="D110" s="3260">
        <v>0</v>
      </c>
      <c r="E110" s="3795" t="s">
        <v>458</v>
      </c>
      <c r="F110" s="3762"/>
      <c r="G110" s="3762"/>
      <c r="H110" s="3763"/>
      <c r="I110" s="11"/>
      <c r="J110" s="1902"/>
      <c r="K110" s="3230" t="s">
        <v>2984</v>
      </c>
      <c r="L110" s="1902"/>
      <c r="M110" s="1902"/>
      <c r="N110" s="1902"/>
      <c r="O110" s="1902"/>
      <c r="P110" s="1902"/>
      <c r="Q110" s="1902"/>
      <c r="R110" s="1902"/>
      <c r="S110" s="1902"/>
      <c r="T110" s="1902"/>
      <c r="U110" s="1902"/>
      <c r="V110" s="1902"/>
      <c r="W110" s="1906"/>
      <c r="X110" s="1906"/>
      <c r="Y110" s="1906"/>
      <c r="Z110" s="1906"/>
    </row>
    <row r="111" spans="1:26" s="1258" customFormat="1" ht="25.5" customHeight="1">
      <c r="A111" s="1535" t="s">
        <v>1830</v>
      </c>
      <c r="B111" s="362" t="s">
        <v>444</v>
      </c>
      <c r="C111" s="391">
        <f ca="1">ROUND(D63*D111/(1+'数据-取费表'!C42),0)</f>
        <v>483</v>
      </c>
      <c r="D111" s="392">
        <f>'数据-取费表'!B43</f>
        <v>5.000000000000001E-3</v>
      </c>
      <c r="E111" s="3761" t="s">
        <v>2407</v>
      </c>
      <c r="F111" s="3762"/>
      <c r="G111" s="3762"/>
      <c r="H111" s="3763"/>
      <c r="I111" s="11"/>
      <c r="J111" s="1902"/>
      <c r="K111" s="1902"/>
      <c r="L111" s="1902"/>
      <c r="M111" s="1902"/>
      <c r="N111" s="1902"/>
      <c r="O111" s="1902"/>
      <c r="P111" s="1902"/>
      <c r="Q111" s="1902"/>
      <c r="R111" s="1902"/>
      <c r="S111" s="1902"/>
      <c r="T111" s="1902"/>
      <c r="U111" s="1902"/>
      <c r="V111" s="1902"/>
      <c r="W111" s="1906"/>
      <c r="X111" s="1906"/>
      <c r="Y111" s="1906"/>
      <c r="Z111" s="1906"/>
    </row>
    <row r="112" spans="1:26" s="1258" customFormat="1" ht="25.5" customHeight="1">
      <c r="A112" s="1535" t="s">
        <v>1831</v>
      </c>
      <c r="B112" s="362" t="s">
        <v>459</v>
      </c>
      <c r="C112" s="391">
        <f>ROUND(C108*D112,0)</f>
        <v>0</v>
      </c>
      <c r="D112" s="392">
        <v>0.2</v>
      </c>
      <c r="E112" s="3795" t="s">
        <v>2430</v>
      </c>
      <c r="F112" s="3762"/>
      <c r="G112" s="3762"/>
      <c r="H112" s="3763"/>
      <c r="I112" s="11"/>
      <c r="J112" s="1902"/>
      <c r="K112" s="1902"/>
      <c r="L112" s="1902"/>
      <c r="M112" s="1902"/>
      <c r="N112" s="1902"/>
      <c r="O112" s="1902"/>
      <c r="P112" s="1902"/>
      <c r="Q112" s="1902"/>
      <c r="R112" s="1902"/>
      <c r="S112" s="1902"/>
      <c r="T112" s="1902"/>
      <c r="U112" s="1902"/>
      <c r="V112" s="1902"/>
      <c r="W112" s="1906"/>
      <c r="X112" s="1906"/>
      <c r="Y112" s="1906"/>
      <c r="Z112" s="1906"/>
    </row>
    <row r="113" spans="1:26" s="1258" customFormat="1" ht="14.25">
      <c r="A113" s="1533" t="s">
        <v>1825</v>
      </c>
      <c r="B113" s="368" t="s">
        <v>445</v>
      </c>
      <c r="C113" s="371">
        <f ca="1">ROUND(C103-C104,0)</f>
        <v>96089</v>
      </c>
      <c r="D113" s="364" t="s">
        <v>19</v>
      </c>
      <c r="E113" s="970"/>
      <c r="F113" s="969"/>
      <c r="G113" s="969"/>
      <c r="H113" s="400"/>
      <c r="I113" s="11"/>
      <c r="J113" s="1902"/>
      <c r="K113" s="1902"/>
      <c r="L113" s="1902"/>
      <c r="M113" s="1902"/>
      <c r="N113" s="1902"/>
      <c r="O113" s="1902"/>
      <c r="P113" s="1902"/>
      <c r="Q113" s="1902"/>
      <c r="R113" s="1902"/>
      <c r="S113" s="1902"/>
      <c r="T113" s="1902"/>
      <c r="U113" s="1902"/>
      <c r="V113" s="1902"/>
      <c r="W113" s="1906"/>
      <c r="X113" s="1906"/>
      <c r="Y113" s="1906"/>
      <c r="Z113" s="1906"/>
    </row>
    <row r="114" spans="1:26" s="1258" customFormat="1" ht="24">
      <c r="A114" s="1533" t="s">
        <v>1826</v>
      </c>
      <c r="B114" s="368" t="s">
        <v>446</v>
      </c>
      <c r="C114" s="393">
        <f ca="1">IF(C113&lt;=0,0,C113/C104)</f>
        <v>198.94202898550725</v>
      </c>
      <c r="D114" s="364"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69"/>
      <c r="G114" s="969"/>
      <c r="H114" s="400"/>
      <c r="I114" s="11"/>
      <c r="J114" s="1902"/>
      <c r="K114" s="1902"/>
      <c r="L114" s="1902"/>
      <c r="M114" s="1902"/>
      <c r="N114" s="1902"/>
      <c r="O114" s="1902"/>
      <c r="P114" s="1902"/>
      <c r="Q114" s="1902"/>
      <c r="R114" s="1902"/>
      <c r="S114" s="1902"/>
      <c r="T114" s="1902"/>
      <c r="U114" s="1902"/>
      <c r="V114" s="1902"/>
      <c r="W114" s="1906"/>
      <c r="X114" s="1906"/>
      <c r="Y114" s="1906"/>
      <c r="Z114" s="1906"/>
    </row>
    <row r="115" spans="1:26" s="1258" customFormat="1" ht="24.75" thickBot="1">
      <c r="A115" s="1534" t="s">
        <v>1827</v>
      </c>
      <c r="B115" s="373" t="s">
        <v>447</v>
      </c>
      <c r="C115" s="394">
        <f ca="1">ROUND(IF(C113&lt;=0,0,IF(C114&gt;=200%,C113*60%-C104*35%,IF(C114&gt;=100%,C113*50%-C104*15%,IF(C114&gt;=50%,C113*40%-C104*5%,IF(C114&lt;50%,C113*30%,0))))),0)</f>
        <v>57484</v>
      </c>
      <c r="D115" s="395" t="s">
        <v>19</v>
      </c>
      <c r="E115" s="396"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7"/>
      <c r="G115" s="397"/>
      <c r="H115" s="406"/>
      <c r="I115" s="11"/>
      <c r="J115" s="1902"/>
      <c r="K115" s="1902"/>
      <c r="L115" s="1902"/>
      <c r="M115" s="1902"/>
      <c r="N115" s="1902"/>
      <c r="O115" s="1902"/>
      <c r="P115" s="1902"/>
      <c r="Q115" s="1902"/>
      <c r="R115" s="1902"/>
      <c r="S115" s="1902"/>
      <c r="T115" s="1902"/>
      <c r="U115" s="1902"/>
      <c r="V115" s="1902"/>
      <c r="W115" s="1906"/>
      <c r="X115" s="1906"/>
      <c r="Y115" s="1906"/>
      <c r="Z115" s="1906"/>
    </row>
    <row r="116" spans="1:26" s="1910" customFormat="1" ht="21.75" customHeight="1">
      <c r="J116" s="1909"/>
      <c r="K116" s="1897"/>
      <c r="L116" s="1897"/>
      <c r="M116" s="1897"/>
      <c r="N116" s="1897"/>
      <c r="O116" s="1897"/>
    </row>
    <row r="117" spans="1:26" s="1910" customFormat="1" ht="21.75" customHeight="1">
      <c r="J117" s="1909"/>
    </row>
    <row r="118" spans="1:26" s="1910" customFormat="1" ht="21.75" customHeight="1">
      <c r="J118" s="1909"/>
    </row>
    <row r="119" spans="1:26" s="1910" customFormat="1" ht="21.75" customHeight="1">
      <c r="J119" s="1909"/>
    </row>
    <row r="120" spans="1:26" s="1910" customFormat="1" ht="21.75" customHeight="1">
      <c r="J120" s="1909"/>
    </row>
    <row r="121" spans="1:26" s="1910" customFormat="1" ht="21.75" customHeight="1"/>
    <row r="122" spans="1:26" s="1910" customFormat="1" ht="21.75" customHeight="1">
      <c r="J122" s="1911"/>
    </row>
    <row r="123" spans="1:26" s="1910" customFormat="1" ht="21.75" customHeight="1"/>
    <row r="124" spans="1:26" s="1910" customFormat="1" ht="21.75" customHeight="1"/>
    <row r="125" spans="1:26" s="1910" customFormat="1" ht="21.75" customHeight="1">
      <c r="J125" s="1911"/>
    </row>
    <row r="126" spans="1:26" s="1910" customFormat="1" ht="21.75" customHeight="1"/>
    <row r="127" spans="1:26" s="1910" customFormat="1" ht="21.75" customHeight="1"/>
    <row r="128" spans="1:26" s="1910" customFormat="1" ht="21.75" customHeight="1">
      <c r="J128" s="1911"/>
    </row>
    <row r="129" spans="2:6" s="1910" customFormat="1" ht="21.75" customHeight="1"/>
    <row r="130" spans="2:6" s="1910" customFormat="1" ht="21.75" customHeight="1">
      <c r="B130" s="1912"/>
      <c r="C130" s="1913"/>
      <c r="D130" s="1914"/>
      <c r="E130" s="1914"/>
      <c r="F130" s="1915"/>
    </row>
    <row r="131" spans="2:6" s="1910" customFormat="1" ht="21.75" customHeight="1"/>
    <row r="132" spans="2:6" s="1910" customFormat="1" ht="21.75" customHeight="1"/>
    <row r="133" spans="2:6" s="1910" customFormat="1" ht="21.75" customHeight="1"/>
    <row r="134" spans="2:6" s="1910" customFormat="1" ht="21.75" customHeight="1"/>
    <row r="135" spans="2:6" s="1910" customFormat="1" ht="21.75" customHeight="1"/>
    <row r="136" spans="2:6" s="1910" customFormat="1" ht="21.75" customHeight="1"/>
    <row r="137" spans="2:6" s="1910" customFormat="1" ht="21.75" customHeight="1"/>
    <row r="138" spans="2:6" s="1910" customFormat="1" ht="21.75" customHeight="1"/>
    <row r="139" spans="2:6" s="1910" customFormat="1" ht="21.75" customHeight="1"/>
    <row r="140" spans="2:6" s="1910" customFormat="1" ht="21.75" customHeight="1"/>
    <row r="141" spans="2:6" s="1910" customFormat="1" ht="21.75" customHeight="1"/>
    <row r="142" spans="2:6" s="1910" customFormat="1" ht="21.75" customHeight="1"/>
    <row r="143" spans="2:6" s="1910" customFormat="1" ht="21.75" customHeight="1"/>
    <row r="144" spans="2:6" s="1910" customFormat="1" ht="21.75" customHeight="1"/>
    <row r="145" s="1910" customFormat="1" ht="21.75" customHeight="1"/>
    <row r="146" s="1910" customFormat="1" ht="21.75" customHeight="1"/>
    <row r="147" s="1910" customFormat="1" ht="21.75" customHeight="1"/>
    <row r="148" s="1910" customFormat="1" ht="21.75" customHeight="1"/>
    <row r="149" s="1910" customFormat="1" ht="21.75" customHeight="1"/>
    <row r="150" s="1910" customFormat="1" ht="21.75" customHeight="1"/>
    <row r="151" s="1910" customFormat="1" ht="21.75" customHeight="1"/>
    <row r="152" s="1910" customFormat="1" ht="21.75" customHeight="1"/>
    <row r="153" s="1910" customFormat="1" ht="21.75" customHeight="1"/>
    <row r="154" s="1910" customFormat="1" ht="21.75" customHeight="1"/>
    <row r="155" s="1910" customFormat="1" ht="21.75" customHeight="1"/>
    <row r="156" s="1910" customFormat="1" ht="21.75" customHeight="1"/>
    <row r="157" s="1910" customFormat="1" ht="21.75" customHeight="1"/>
    <row r="158" s="1910" customFormat="1" ht="21.75" customHeight="1"/>
    <row r="159" s="1910" customFormat="1" ht="21.75" customHeight="1"/>
    <row r="160" s="1910" customFormat="1" ht="21.75" customHeight="1"/>
    <row r="161" s="1910" customFormat="1" ht="21.75" customHeight="1"/>
    <row r="162" s="1910" customFormat="1" ht="21.75" customHeight="1"/>
    <row r="163" s="1910" customFormat="1" ht="21.75" customHeight="1"/>
    <row r="164" s="1910" customFormat="1" ht="21.75" customHeight="1"/>
    <row r="165" s="1910" customFormat="1" ht="21.75" customHeight="1"/>
    <row r="166" s="1910" customFormat="1" ht="21.75" customHeight="1"/>
    <row r="167" s="1910" customFormat="1" ht="21.75" customHeight="1"/>
    <row r="168" s="1910" customFormat="1" ht="21.75" customHeight="1"/>
    <row r="169" s="1910" customFormat="1" ht="21.75" customHeight="1"/>
    <row r="170" s="1910" customFormat="1" ht="21.75" customHeight="1"/>
    <row r="171" s="1910" customFormat="1" ht="21.75" customHeight="1"/>
    <row r="172" s="1910" customFormat="1" ht="21.75" customHeight="1"/>
    <row r="173" s="1910" customFormat="1" ht="21.75" customHeight="1"/>
    <row r="174" s="1910" customFormat="1" ht="21.75" customHeight="1"/>
    <row r="175" s="1910" customFormat="1" ht="21.75" customHeight="1"/>
    <row r="176" s="1910" customFormat="1" ht="21.75" customHeight="1"/>
    <row r="177" spans="11:15" s="1910" customFormat="1" ht="21.75" customHeight="1"/>
    <row r="178" spans="11:15" s="1910" customFormat="1" ht="21.75" customHeight="1"/>
    <row r="179" spans="11:15" s="1910" customFormat="1" ht="21.75" customHeight="1"/>
    <row r="180" spans="11:15" s="1910" customFormat="1" ht="21.75" customHeight="1"/>
    <row r="181" spans="11:15" s="1910" customFormat="1" ht="21.75" customHeight="1"/>
    <row r="182" spans="11:15" s="1910" customFormat="1" ht="21.75" customHeight="1"/>
    <row r="183" spans="11:15" s="1910" customFormat="1" ht="21.75" customHeight="1"/>
    <row r="184" spans="11:15" s="1910" customFormat="1" ht="21.75" customHeight="1"/>
    <row r="185" spans="11:15" s="247" customFormat="1" ht="21.75" customHeight="1">
      <c r="K185" s="1910"/>
      <c r="L185" s="1910"/>
      <c r="M185" s="1910"/>
      <c r="N185" s="1910"/>
      <c r="O185" s="1910"/>
    </row>
    <row r="186" spans="11:15" s="247" customFormat="1" ht="21.75" customHeight="1"/>
    <row r="187" spans="11:15" s="247" customFormat="1" ht="21.75" customHeight="1"/>
    <row r="188" spans="11:15" s="247" customFormat="1" ht="21.75" customHeight="1"/>
    <row r="189" spans="11:15" s="247" customFormat="1" ht="21.75" customHeight="1"/>
    <row r="190" spans="11:15" s="247" customFormat="1" ht="21.75" customHeight="1"/>
    <row r="191" spans="11:15" s="247" customFormat="1" ht="21.75" customHeight="1"/>
    <row r="192" spans="11:15" s="247" customFormat="1" ht="21.75" customHeight="1"/>
    <row r="193" s="247" customFormat="1" ht="21.75" customHeight="1"/>
    <row r="194" s="247" customFormat="1" ht="21.75" customHeight="1"/>
    <row r="195" s="247" customFormat="1" ht="21.75" customHeight="1"/>
    <row r="196" s="247" customFormat="1" ht="21.75" customHeight="1"/>
    <row r="197" s="247" customFormat="1" ht="21.75" customHeight="1"/>
    <row r="198" s="247" customFormat="1" ht="21.75" customHeight="1"/>
    <row r="199" s="247" customFormat="1" ht="21.75" customHeight="1"/>
    <row r="200" s="247" customFormat="1" ht="21.75" customHeight="1"/>
    <row r="201" s="247" customFormat="1" ht="21.75" customHeight="1"/>
    <row r="202" s="247" customFormat="1" ht="21.75" customHeight="1"/>
    <row r="203" s="247" customFormat="1" ht="21.75" customHeight="1"/>
    <row r="204" s="247" customFormat="1" ht="21.75" customHeight="1"/>
    <row r="205" s="247" customFormat="1" ht="21.75" customHeight="1"/>
    <row r="206" s="247"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202" priority="21" stopIfTrue="1" operator="equal">
      <formula>25</formula>
    </cfRule>
  </conditionalFormatting>
  <conditionalFormatting sqref="C8:C9">
    <cfRule type="cellIs" dxfId="201" priority="19" stopIfTrue="1" operator="equal">
      <formula>15</formula>
    </cfRule>
  </conditionalFormatting>
  <conditionalFormatting sqref="C14:C16">
    <cfRule type="cellIs" dxfId="200" priority="13" stopIfTrue="1" operator="equal">
      <formula>30</formula>
    </cfRule>
  </conditionalFormatting>
  <conditionalFormatting sqref="D5:D7">
    <cfRule type="cellIs" dxfId="199" priority="10" stopIfTrue="1" operator="equal">
      <formula>25</formula>
    </cfRule>
  </conditionalFormatting>
  <conditionalFormatting sqref="D8:D9">
    <cfRule type="cellIs" dxfId="198" priority="9" stopIfTrue="1" operator="equal">
      <formula>15</formula>
    </cfRule>
  </conditionalFormatting>
  <conditionalFormatting sqref="C10:D13">
    <cfRule type="cellIs" dxfId="197" priority="8" stopIfTrue="1" operator="equal">
      <formula>15</formula>
    </cfRule>
  </conditionalFormatting>
  <conditionalFormatting sqref="D14:D16">
    <cfRule type="cellIs" dxfId="196" priority="6" stopIfTrue="1" operator="equal">
      <formula>30</formula>
    </cfRule>
  </conditionalFormatting>
  <conditionalFormatting sqref="C108">
    <cfRule type="expression" dxfId="195" priority="3" stopIfTrue="1">
      <formula>$H$106&lt;&gt;"仅含出让金"</formula>
    </cfRule>
  </conditionalFormatting>
  <conditionalFormatting sqref="C109">
    <cfRule type="expression" dxfId="194" priority="2" stopIfTrue="1">
      <formula>$H$109="由企业提供"</formula>
    </cfRule>
  </conditionalFormatting>
  <conditionalFormatting sqref="I33">
    <cfRule type="expression" dxfId="193"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4" zoomScale="85" zoomScaleNormal="95" zoomScaleSheetLayoutView="85" workbookViewId="0">
      <selection activeCell="E131" sqref="E131"/>
    </sheetView>
  </sheetViews>
  <sheetFormatPr defaultColWidth="9" defaultRowHeight="14.25"/>
  <cols>
    <col min="1" max="1" width="15.625" style="1281" customWidth="1"/>
    <col min="2" max="2" width="15.75" style="1281" customWidth="1"/>
    <col min="3" max="3" width="15.25" style="1281" customWidth="1"/>
    <col min="4" max="4" width="12.25" style="1281" customWidth="1"/>
    <col min="5" max="5" width="16.125" style="1281" customWidth="1"/>
    <col min="6" max="6" width="12.25" style="1281" customWidth="1"/>
    <col min="7" max="7" width="15.625" style="1281" customWidth="1"/>
    <col min="8" max="8" width="12.25" style="1281" customWidth="1"/>
    <col min="9" max="9" width="15.62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30" s="1280" customFormat="1" ht="28.5" customHeight="1">
      <c r="A1" s="488" t="s">
        <v>510</v>
      </c>
      <c r="B1" s="489"/>
      <c r="C1" s="490" t="s">
        <v>511</v>
      </c>
      <c r="D1" s="491" t="s">
        <v>512</v>
      </c>
      <c r="E1" s="492"/>
      <c r="F1" s="414"/>
      <c r="G1" s="492"/>
      <c r="H1" s="492"/>
      <c r="I1" s="492"/>
      <c r="J1" s="492"/>
      <c r="K1" s="493"/>
      <c r="L1" s="3195"/>
      <c r="M1" s="3196"/>
      <c r="N1" s="3196"/>
      <c r="O1" s="3196"/>
      <c r="P1" s="2000"/>
      <c r="Q1" s="2000"/>
      <c r="R1" s="2000"/>
      <c r="S1" s="2000"/>
      <c r="T1" s="2000"/>
      <c r="U1" s="2000"/>
      <c r="V1" s="2000"/>
      <c r="W1" s="2000"/>
      <c r="X1" s="2000"/>
      <c r="Y1" s="2000"/>
      <c r="Z1" s="2000"/>
      <c r="AA1" s="2000"/>
      <c r="AB1" s="2000"/>
      <c r="AC1" s="3197"/>
      <c r="AD1" s="1279"/>
    </row>
    <row r="2" spans="1:30" s="1280" customFormat="1" ht="28.5" customHeight="1">
      <c r="A2" s="409" t="s">
        <v>461</v>
      </c>
      <c r="B2" s="494">
        <f>F68</f>
        <v>100858</v>
      </c>
      <c r="C2" s="3205"/>
      <c r="D2" s="3205"/>
      <c r="E2" s="3207"/>
      <c r="F2" s="3208"/>
      <c r="G2" s="3207"/>
      <c r="H2" s="3207"/>
      <c r="I2" s="3207"/>
      <c r="J2" s="3207"/>
      <c r="K2" s="3209"/>
      <c r="L2" s="1999"/>
      <c r="M2" s="2000"/>
      <c r="N2" s="2000"/>
      <c r="O2" s="2000"/>
      <c r="P2" s="2000"/>
      <c r="Q2" s="2000"/>
      <c r="R2" s="2000"/>
      <c r="S2" s="2000"/>
      <c r="T2" s="2000"/>
      <c r="U2" s="2000"/>
      <c r="V2" s="2000"/>
      <c r="W2" s="2000"/>
      <c r="X2" s="2000"/>
      <c r="Y2" s="2000"/>
      <c r="Z2" s="2000"/>
      <c r="AA2" s="2000"/>
      <c r="AB2" s="2000"/>
      <c r="AC2" s="3197"/>
      <c r="AD2" s="1279"/>
    </row>
    <row r="3" spans="1:30" s="1280" customFormat="1" ht="28.5" customHeight="1">
      <c r="A3" s="1318" t="s">
        <v>1674</v>
      </c>
      <c r="B3" s="496">
        <f>ROUND(B2*10000/'数据-汇总表'!E3,0)</f>
        <v>2185</v>
      </c>
      <c r="C3" s="3206"/>
      <c r="D3" s="3210"/>
      <c r="E3" s="3206"/>
      <c r="F3" s="3206"/>
      <c r="G3" s="3207"/>
      <c r="H3" s="3207"/>
      <c r="I3" s="3207"/>
      <c r="J3" s="3207"/>
      <c r="K3" s="3209"/>
      <c r="L3" s="1999"/>
      <c r="M3" s="2000"/>
      <c r="N3" s="2000"/>
      <c r="O3" s="2000"/>
      <c r="P3" s="2000"/>
      <c r="Q3" s="2000"/>
      <c r="R3" s="2000"/>
      <c r="S3" s="2000"/>
      <c r="T3" s="2000"/>
      <c r="U3" s="2000"/>
      <c r="V3" s="2000"/>
      <c r="W3" s="2000"/>
      <c r="X3" s="2000"/>
      <c r="Y3" s="2000"/>
      <c r="Z3" s="2000"/>
      <c r="AA3" s="2000"/>
      <c r="AB3" s="3198"/>
      <c r="AC3" s="1930"/>
    </row>
    <row r="4" spans="1:30" s="1280" customFormat="1" ht="28.5" customHeight="1">
      <c r="A4" s="497" t="s">
        <v>514</v>
      </c>
      <c r="B4" s="413">
        <f>IF(B48="单位面积地价",C50,ROUND(B2*10000/'数据-汇总表'!D3,0))</f>
        <v>4705</v>
      </c>
      <c r="C4" s="3206"/>
      <c r="D4" s="3210"/>
      <c r="E4" s="3347"/>
      <c r="F4" s="3206"/>
      <c r="G4" s="3207"/>
      <c r="H4" s="3207"/>
      <c r="I4" s="3207"/>
      <c r="J4" s="3207"/>
      <c r="K4" s="3209"/>
      <c r="L4" s="1999"/>
      <c r="M4" s="2000"/>
      <c r="N4" s="2000"/>
      <c r="O4" s="2000"/>
      <c r="P4" s="2000"/>
      <c r="Q4" s="2000"/>
      <c r="R4" s="2000"/>
      <c r="S4" s="2000"/>
      <c r="T4" s="2000"/>
      <c r="U4" s="2000"/>
      <c r="V4" s="2000"/>
      <c r="W4" s="2000"/>
      <c r="X4" s="2000"/>
      <c r="Y4" s="2000"/>
      <c r="Z4" s="2000"/>
      <c r="AA4" s="2000"/>
      <c r="AB4" s="2000"/>
      <c r="AC4" s="1930"/>
    </row>
    <row r="5" spans="1:30" s="1280" customFormat="1" ht="28.5" customHeight="1" thickBot="1">
      <c r="A5" s="415"/>
      <c r="B5" s="416">
        <f>ROUND(B2/('数据-汇总表'!D3/666.67),0)</f>
        <v>314</v>
      </c>
      <c r="C5" s="417" t="s">
        <v>463</v>
      </c>
      <c r="D5" s="3206"/>
      <c r="E5" s="3347"/>
      <c r="F5" s="3206"/>
      <c r="G5" s="3308"/>
      <c r="H5" s="3207"/>
      <c r="I5" s="3308"/>
      <c r="J5" s="3207"/>
      <c r="K5" s="3209"/>
      <c r="L5" s="1999"/>
      <c r="M5" s="2000"/>
      <c r="N5" s="2000"/>
      <c r="O5" s="2000"/>
      <c r="P5" s="2000"/>
      <c r="Q5" s="2000"/>
      <c r="R5" s="2000"/>
      <c r="S5" s="2000"/>
      <c r="T5" s="2000"/>
      <c r="U5" s="2000"/>
      <c r="V5" s="2000"/>
      <c r="W5" s="2000"/>
      <c r="X5" s="2000"/>
      <c r="Y5" s="2000"/>
      <c r="Z5" s="2000"/>
      <c r="AA5" s="2000"/>
      <c r="AB5" s="2000"/>
      <c r="AC5" s="1930"/>
    </row>
    <row r="6" spans="1:30" ht="20.25">
      <c r="A6" s="498" t="s">
        <v>515</v>
      </c>
      <c r="B6" s="499"/>
      <c r="C6" s="3856" t="s">
        <v>516</v>
      </c>
      <c r="D6" s="3857"/>
      <c r="E6" s="3856" t="s">
        <v>517</v>
      </c>
      <c r="F6" s="3857"/>
      <c r="G6" s="3856" t="s">
        <v>518</v>
      </c>
      <c r="H6" s="3857"/>
      <c r="I6" s="3856" t="s">
        <v>519</v>
      </c>
      <c r="J6" s="3857"/>
      <c r="K6" s="500" t="s">
        <v>520</v>
      </c>
      <c r="L6" s="2001"/>
      <c r="M6" s="2000"/>
      <c r="N6" s="2000"/>
      <c r="O6" s="2002"/>
      <c r="P6" s="3858" t="s">
        <v>521</v>
      </c>
      <c r="Q6" s="3859"/>
      <c r="R6" s="3844" t="s">
        <v>517</v>
      </c>
      <c r="S6" s="3845"/>
      <c r="T6" s="3844" t="s">
        <v>518</v>
      </c>
      <c r="U6" s="3845"/>
      <c r="V6" s="3864" t="s">
        <v>519</v>
      </c>
      <c r="W6" s="3864"/>
      <c r="X6" s="1489"/>
      <c r="Y6" s="3844" t="s">
        <v>521</v>
      </c>
      <c r="Z6" s="3845"/>
      <c r="AA6" s="3839" t="s">
        <v>517</v>
      </c>
      <c r="AB6" s="3840" t="s">
        <v>518</v>
      </c>
      <c r="AC6" s="3839" t="s">
        <v>519</v>
      </c>
    </row>
    <row r="7" spans="1:30" ht="41.25" customHeight="1">
      <c r="A7" s="501"/>
      <c r="B7" s="502"/>
      <c r="C7" s="3867" t="s">
        <v>2887</v>
      </c>
      <c r="D7" s="3868"/>
      <c r="E7" s="3867" t="str">
        <f>'土地案例（住宅）'!A4</f>
        <v>视高街道腾飞大道西侧,南天府大道北侧</v>
      </c>
      <c r="F7" s="3868"/>
      <c r="G7" s="3867" t="str">
        <f>'土地案例（住宅）'!A32</f>
        <v>视高街道物流大道北侧,腾飞达到西侧</v>
      </c>
      <c r="H7" s="3868"/>
      <c r="I7" s="3867" t="str">
        <f>'土地案例（住宅）'!A51</f>
        <v>清水西路东侧,南天府大道北侧</v>
      </c>
      <c r="J7" s="3868"/>
      <c r="K7" s="500"/>
      <c r="L7" s="2001"/>
      <c r="M7" s="2000"/>
      <c r="N7" s="2000"/>
      <c r="O7" s="2002"/>
      <c r="P7" s="3860"/>
      <c r="Q7" s="3861"/>
      <c r="R7" s="3846"/>
      <c r="S7" s="3847"/>
      <c r="T7" s="3846"/>
      <c r="U7" s="3847"/>
      <c r="V7" s="3864"/>
      <c r="W7" s="3864"/>
      <c r="X7" s="1489"/>
      <c r="Y7" s="3846"/>
      <c r="Z7" s="3847"/>
      <c r="AA7" s="3840"/>
      <c r="AB7" s="3840"/>
      <c r="AC7" s="3840"/>
    </row>
    <row r="8" spans="1:30" ht="21" thickBot="1">
      <c r="A8" s="501"/>
      <c r="B8" s="502"/>
      <c r="C8" s="3869" t="s">
        <v>2891</v>
      </c>
      <c r="D8" s="3870"/>
      <c r="E8" s="3869" t="str">
        <f>'土地案例（住宅）'!H4</f>
        <v>2020(TR)-80</v>
      </c>
      <c r="F8" s="3870"/>
      <c r="G8" s="3865" t="str">
        <f>'土地案例（住宅）'!H32</f>
        <v>2020(TR)-74</v>
      </c>
      <c r="H8" s="3866"/>
      <c r="I8" s="3865" t="str">
        <f>'土地案例（住宅）'!H51</f>
        <v>2020(TR)-39号</v>
      </c>
      <c r="J8" s="3866"/>
      <c r="K8" s="500" t="s">
        <v>522</v>
      </c>
      <c r="L8" s="2001"/>
      <c r="M8" s="2000"/>
      <c r="N8" s="2000"/>
      <c r="O8" s="2002"/>
      <c r="P8" s="3862"/>
      <c r="Q8" s="3863"/>
      <c r="R8" s="3846"/>
      <c r="S8" s="3847"/>
      <c r="T8" s="3848"/>
      <c r="U8" s="3849"/>
      <c r="V8" s="3864"/>
      <c r="W8" s="3864"/>
      <c r="X8" s="1489"/>
      <c r="Y8" s="3848"/>
      <c r="Z8" s="3849"/>
      <c r="AA8" s="3841"/>
      <c r="AB8" s="3841"/>
      <c r="AC8" s="3841"/>
    </row>
    <row r="9" spans="1:30" s="1194" customFormat="1" ht="21" thickBot="1">
      <c r="A9" s="2615"/>
      <c r="B9" s="2622" t="s">
        <v>523</v>
      </c>
      <c r="C9" s="2614">
        <f>'数据-取费表'!B2</f>
        <v>44191</v>
      </c>
      <c r="D9" s="506">
        <v>100</v>
      </c>
      <c r="E9" s="507" t="str">
        <f>'土地案例（住宅）'!AA4</f>
        <v>2020-12-08</v>
      </c>
      <c r="F9" s="508">
        <f>SUMIF(72:72,YEAR(E9)&amp;"-"&amp;INT((MONTH(E9)+2)/3),73:73)</f>
        <v>100</v>
      </c>
      <c r="G9" s="509" t="str">
        <f>'土地案例（住宅）'!AA32</f>
        <v>2020-10-30</v>
      </c>
      <c r="H9" s="506">
        <f>SUMIF(72:72,YEAR(G9)&amp;"-"&amp;INT((MONTH(G9)+2)/3),73:73)</f>
        <v>100</v>
      </c>
      <c r="I9" s="509" t="str">
        <f>'土地案例（住宅）'!AA51</f>
        <v>2020-09-22</v>
      </c>
      <c r="J9" s="506">
        <f>SUMIF(72:72,YEAR(I9)&amp;"-"&amp;INT((MONTH(I9)+2)/3),73:73)</f>
        <v>99.75</v>
      </c>
      <c r="K9" s="510"/>
      <c r="L9" s="2003"/>
      <c r="M9" s="2000"/>
      <c r="N9" s="2000"/>
      <c r="O9" s="2004"/>
      <c r="P9" s="3842" t="s">
        <v>524</v>
      </c>
      <c r="Q9" s="3851"/>
      <c r="R9" s="1490" t="s">
        <v>8</v>
      </c>
      <c r="S9" s="1491">
        <f t="shared" ref="S9:S17" si="0">F9</f>
        <v>100</v>
      </c>
      <c r="T9" s="1490" t="s">
        <v>8</v>
      </c>
      <c r="U9" s="1491">
        <f t="shared" ref="U9:U17" si="1">H9</f>
        <v>100</v>
      </c>
      <c r="V9" s="1490" t="s">
        <v>8</v>
      </c>
      <c r="W9" s="1491">
        <f t="shared" ref="W9:W17" si="2">J9</f>
        <v>99.75</v>
      </c>
      <c r="X9" s="1492"/>
      <c r="Y9" s="3842" t="s">
        <v>524</v>
      </c>
      <c r="Z9" s="3843"/>
      <c r="AA9" s="1493">
        <f>D9/F9</f>
        <v>1</v>
      </c>
      <c r="AB9" s="1493">
        <f>D9/H9</f>
        <v>1</v>
      </c>
      <c r="AC9" s="1493">
        <f>D9/J9</f>
        <v>1.0025062656641603</v>
      </c>
    </row>
    <row r="10" spans="1:30" s="1194" customFormat="1" ht="21" thickBot="1">
      <c r="A10" s="2616"/>
      <c r="B10" s="2623" t="s">
        <v>525</v>
      </c>
      <c r="C10" s="837" t="s">
        <v>526</v>
      </c>
      <c r="D10" s="506">
        <v>100</v>
      </c>
      <c r="E10" s="511" t="s">
        <v>3713</v>
      </c>
      <c r="F10" s="508">
        <f>SUMIF(75:75,E10,76:76)-SUMIF(75:75,C10,76:76)+100</f>
        <v>100</v>
      </c>
      <c r="G10" s="511" t="s">
        <v>3713</v>
      </c>
      <c r="H10" s="506">
        <f>SUMIF(75:75,G10,76:76)-SUMIF(75:75,C10,76:76)+100</f>
        <v>100</v>
      </c>
      <c r="I10" s="511" t="s">
        <v>3713</v>
      </c>
      <c r="J10" s="506">
        <f>SUMIF(75:75,I10,76:76)-SUMIF(75:75,C10,76:76)+100</f>
        <v>100</v>
      </c>
      <c r="K10" s="510"/>
      <c r="L10" s="2003"/>
      <c r="M10" s="2000"/>
      <c r="N10" s="2000"/>
      <c r="O10" s="2004"/>
      <c r="P10" s="3842" t="s">
        <v>527</v>
      </c>
      <c r="Q10" s="3843"/>
      <c r="R10" s="1490" t="s">
        <v>8</v>
      </c>
      <c r="S10" s="1491">
        <f t="shared" si="0"/>
        <v>100</v>
      </c>
      <c r="T10" s="1490" t="s">
        <v>8</v>
      </c>
      <c r="U10" s="1491">
        <f t="shared" si="1"/>
        <v>100</v>
      </c>
      <c r="V10" s="1490" t="s">
        <v>8</v>
      </c>
      <c r="W10" s="1491">
        <f t="shared" si="2"/>
        <v>100</v>
      </c>
      <c r="X10" s="1492"/>
      <c r="Y10" s="3842" t="s">
        <v>527</v>
      </c>
      <c r="Z10" s="3843"/>
      <c r="AA10" s="1493">
        <f t="shared" ref="AA10:AA47" si="3">D10/F10</f>
        <v>1</v>
      </c>
      <c r="AB10" s="1493">
        <f t="shared" ref="AB10:AB47" si="4">D10/H10</f>
        <v>1</v>
      </c>
      <c r="AC10" s="1493">
        <f t="shared" ref="AC10:AC47" si="5">D10/J10</f>
        <v>1</v>
      </c>
    </row>
    <row r="11" spans="1:30" s="1194" customFormat="1" ht="20.25">
      <c r="A11" s="2617"/>
      <c r="B11" s="2624" t="s">
        <v>2730</v>
      </c>
      <c r="C11" s="2611"/>
      <c r="D11" s="244">
        <v>100</v>
      </c>
      <c r="E11" s="512"/>
      <c r="F11" s="244">
        <f>SUMIF(77:77,E11,78:78)-SUMIF(77:77,C11,78:78)+100</f>
        <v>100</v>
      </c>
      <c r="G11" s="512"/>
      <c r="H11" s="244">
        <f>SUMIF(77:77,G11,78:78)-SUMIF(77:77,C11,78:78)+100</f>
        <v>100</v>
      </c>
      <c r="I11" s="512"/>
      <c r="J11" s="244">
        <f>SUMIF(77:77,I11,78:78)-SUMIF(77:77,C11,78:78)+100</f>
        <v>100</v>
      </c>
      <c r="K11" s="510"/>
      <c r="L11" s="2003"/>
      <c r="M11" s="2000"/>
      <c r="N11" s="2000"/>
      <c r="O11" s="2005"/>
      <c r="P11" s="3850" t="s">
        <v>529</v>
      </c>
      <c r="Q11" s="1125" t="str">
        <f t="shared" ref="Q11:Q17" si="6">B11</f>
        <v>用途</v>
      </c>
      <c r="R11" s="1490" t="s">
        <v>8</v>
      </c>
      <c r="S11" s="1491">
        <f t="shared" si="0"/>
        <v>100</v>
      </c>
      <c r="T11" s="1490" t="s">
        <v>8</v>
      </c>
      <c r="U11" s="1491">
        <f t="shared" si="1"/>
        <v>100</v>
      </c>
      <c r="V11" s="1490" t="s">
        <v>8</v>
      </c>
      <c r="W11" s="1491">
        <f t="shared" si="2"/>
        <v>100</v>
      </c>
      <c r="X11" s="1492"/>
      <c r="Y11" s="3801" t="s">
        <v>530</v>
      </c>
      <c r="Z11" s="1124" t="str">
        <f t="shared" ref="Z11:Z17" si="7">Q11</f>
        <v>用途</v>
      </c>
      <c r="AA11" s="1493">
        <f t="shared" si="3"/>
        <v>1</v>
      </c>
      <c r="AB11" s="1493">
        <f t="shared" si="4"/>
        <v>1</v>
      </c>
      <c r="AC11" s="1493">
        <f t="shared" si="5"/>
        <v>1</v>
      </c>
    </row>
    <row r="12" spans="1:30" s="1282" customFormat="1" ht="27">
      <c r="A12" s="2618"/>
      <c r="B12" s="2623" t="s">
        <v>2731</v>
      </c>
      <c r="C12" s="891"/>
      <c r="D12" s="245">
        <v>100</v>
      </c>
      <c r="E12" s="515"/>
      <c r="F12" s="245">
        <f>ROUND(100/'数据-取费表'!G16,0)</f>
        <v>100</v>
      </c>
      <c r="G12" s="516"/>
      <c r="H12" s="245">
        <f>ROUND(100/'数据-取费表'!G16,0)</f>
        <v>100</v>
      </c>
      <c r="I12" s="516"/>
      <c r="J12" s="245">
        <f>ROUND(100/'数据-取费表'!G16,0)</f>
        <v>100</v>
      </c>
      <c r="K12" s="517"/>
      <c r="L12" s="2006"/>
      <c r="M12" s="2000"/>
      <c r="N12" s="2000"/>
      <c r="O12" s="2007"/>
      <c r="P12" s="3850"/>
      <c r="Q12" s="1125" t="str">
        <f t="shared" si="6"/>
        <v>土地使用年限（年）</v>
      </c>
      <c r="R12" s="1490" t="s">
        <v>8</v>
      </c>
      <c r="S12" s="1491">
        <f t="shared" si="0"/>
        <v>100</v>
      </c>
      <c r="T12" s="1490" t="s">
        <v>8</v>
      </c>
      <c r="U12" s="1491">
        <f t="shared" si="1"/>
        <v>100</v>
      </c>
      <c r="V12" s="1490" t="s">
        <v>8</v>
      </c>
      <c r="W12" s="1491">
        <f t="shared" si="2"/>
        <v>100</v>
      </c>
      <c r="X12" s="1492"/>
      <c r="Y12" s="3801"/>
      <c r="Z12" s="1124" t="str">
        <f t="shared" si="7"/>
        <v>土地使用年限（年）</v>
      </c>
      <c r="AA12" s="1493">
        <f t="shared" si="3"/>
        <v>1</v>
      </c>
      <c r="AB12" s="1493">
        <f t="shared" si="4"/>
        <v>1</v>
      </c>
      <c r="AC12" s="1493">
        <f t="shared" si="5"/>
        <v>1</v>
      </c>
    </row>
    <row r="13" spans="1:30" ht="20.25">
      <c r="A13" s="2619"/>
      <c r="B13" s="2623" t="s">
        <v>2732</v>
      </c>
      <c r="C13" s="520">
        <f>'数据-汇总表'!I6</f>
        <v>2.15</v>
      </c>
      <c r="D13" s="245">
        <v>100</v>
      </c>
      <c r="E13" s="519">
        <v>2.5</v>
      </c>
      <c r="F13" s="245">
        <f>LOOKUP(E13,82:82,83:83)-LOOKUP(C13,82:82,83:83)+100</f>
        <v>100</v>
      </c>
      <c r="G13" s="520">
        <v>1.8</v>
      </c>
      <c r="H13" s="245">
        <f>LOOKUP(G13,82:82,83:83)-LOOKUP(C13,82:82,83:83)+100</f>
        <v>102</v>
      </c>
      <c r="I13" s="519">
        <v>2.5</v>
      </c>
      <c r="J13" s="245">
        <f>LOOKUP(I13,82:82,83:83)-LOOKUP(C13,82:82,83:83)+100</f>
        <v>100</v>
      </c>
      <c r="K13" s="521">
        <v>2</v>
      </c>
      <c r="L13" s="2008"/>
      <c r="M13" s="2000"/>
      <c r="N13" s="2000"/>
      <c r="O13" s="2009"/>
      <c r="P13" s="3850"/>
      <c r="Q13" s="1125" t="str">
        <f t="shared" si="6"/>
        <v>容积率</v>
      </c>
      <c r="R13" s="1490" t="s">
        <v>8</v>
      </c>
      <c r="S13" s="1491">
        <f t="shared" si="0"/>
        <v>100</v>
      </c>
      <c r="T13" s="1490" t="s">
        <v>8</v>
      </c>
      <c r="U13" s="1491">
        <f t="shared" si="1"/>
        <v>102</v>
      </c>
      <c r="V13" s="1490" t="s">
        <v>8</v>
      </c>
      <c r="W13" s="1491">
        <f t="shared" si="2"/>
        <v>100</v>
      </c>
      <c r="X13" s="1492"/>
      <c r="Y13" s="3801"/>
      <c r="Z13" s="1124" t="str">
        <f t="shared" si="7"/>
        <v>容积率</v>
      </c>
      <c r="AA13" s="1493">
        <f t="shared" si="3"/>
        <v>1</v>
      </c>
      <c r="AB13" s="1493">
        <f t="shared" si="4"/>
        <v>0.98039215686274506</v>
      </c>
      <c r="AC13" s="1493">
        <f t="shared" si="5"/>
        <v>1</v>
      </c>
    </row>
    <row r="14" spans="1:30" s="1194" customFormat="1" ht="20.25">
      <c r="A14" s="2616"/>
      <c r="B14" s="2625" t="s">
        <v>2733</v>
      </c>
      <c r="C14" s="2612" t="s">
        <v>11220</v>
      </c>
      <c r="D14" s="524">
        <v>100</v>
      </c>
      <c r="E14" s="3361" t="str">
        <f>D84</f>
        <v>有</v>
      </c>
      <c r="F14" s="245">
        <f>SUMIF(84:84,E14,85:85)-SUMIF(84:84,C14,85:85)+100</f>
        <v>95</v>
      </c>
      <c r="G14" s="3360" t="str">
        <f>C84</f>
        <v>无</v>
      </c>
      <c r="H14" s="245">
        <f>SUMIF(84:84,G14,85:85)-SUMIF(84:84,C14,85:85)+100</f>
        <v>100</v>
      </c>
      <c r="I14" s="3628" t="str">
        <f>D84</f>
        <v>有</v>
      </c>
      <c r="J14" s="245">
        <f>SUMIF(84:84,I14,85:85)-SUMIF(84:84,C14,85:85)+100</f>
        <v>95</v>
      </c>
      <c r="K14" s="517"/>
      <c r="L14" s="2003"/>
      <c r="M14" s="2000"/>
      <c r="N14" s="2000"/>
      <c r="O14" s="2005"/>
      <c r="P14" s="3850"/>
      <c r="Q14" s="1125" t="str">
        <f t="shared" si="6"/>
        <v>配建</v>
      </c>
      <c r="R14" s="1490" t="s">
        <v>8</v>
      </c>
      <c r="S14" s="1491">
        <f t="shared" si="0"/>
        <v>95</v>
      </c>
      <c r="T14" s="1490" t="s">
        <v>8</v>
      </c>
      <c r="U14" s="1491">
        <f t="shared" si="1"/>
        <v>100</v>
      </c>
      <c r="V14" s="1490" t="s">
        <v>8</v>
      </c>
      <c r="W14" s="1491">
        <f t="shared" si="2"/>
        <v>95</v>
      </c>
      <c r="X14" s="1492"/>
      <c r="Y14" s="3801"/>
      <c r="Z14" s="1124" t="str">
        <f t="shared" si="7"/>
        <v>配建</v>
      </c>
      <c r="AA14" s="1493">
        <f>D14/F14</f>
        <v>1.0526315789473684</v>
      </c>
      <c r="AB14" s="1493">
        <f>D14/H14</f>
        <v>1</v>
      </c>
      <c r="AC14" s="1493">
        <f>D14/J14</f>
        <v>1.0526315789473684</v>
      </c>
    </row>
    <row r="15" spans="1:30" ht="20.25">
      <c r="A15" s="2620"/>
      <c r="B15" s="3345" t="s">
        <v>3843</v>
      </c>
      <c r="C15" s="3349">
        <f>'2038亩'!G33</f>
        <v>7.132488194258689E-2</v>
      </c>
      <c r="D15" s="526">
        <v>100</v>
      </c>
      <c r="E15" s="3346"/>
      <c r="F15" s="245">
        <f>SUMIF(86:86,E15,87:87)-SUMIF(86:86,C15,87:87)+100</f>
        <v>100</v>
      </c>
      <c r="G15" s="3348"/>
      <c r="H15" s="526">
        <f>SUMIF(86:86,G15,87:87)-SUMIF(86:86,C15,87:87)+100</f>
        <v>100</v>
      </c>
      <c r="I15" s="3348"/>
      <c r="J15" s="526">
        <f>SUMIF(86:86,I15,87:87)-SUMIF(86:86,C15,87:87)+100</f>
        <v>100</v>
      </c>
      <c r="K15" s="517"/>
      <c r="L15" s="2010"/>
      <c r="M15" s="2000"/>
      <c r="N15" s="2000"/>
      <c r="O15" s="2009"/>
      <c r="P15" s="3850"/>
      <c r="Q15" s="1125" t="str">
        <f t="shared" si="6"/>
        <v>商业占比</v>
      </c>
      <c r="R15" s="1490" t="s">
        <v>8</v>
      </c>
      <c r="S15" s="1491">
        <f t="shared" si="0"/>
        <v>100</v>
      </c>
      <c r="T15" s="1490" t="s">
        <v>8</v>
      </c>
      <c r="U15" s="1491">
        <f t="shared" si="1"/>
        <v>100</v>
      </c>
      <c r="V15" s="1490" t="s">
        <v>8</v>
      </c>
      <c r="W15" s="1491">
        <f t="shared" si="2"/>
        <v>100</v>
      </c>
      <c r="X15" s="1492"/>
      <c r="Y15" s="3801"/>
      <c r="Z15" s="1124" t="str">
        <f t="shared" si="7"/>
        <v>商业占比</v>
      </c>
      <c r="AA15" s="1493">
        <f>D15/F15</f>
        <v>1</v>
      </c>
      <c r="AB15" s="1493">
        <f>D15/H15</f>
        <v>1</v>
      </c>
      <c r="AC15" s="1493">
        <f>D15/J15</f>
        <v>1</v>
      </c>
    </row>
    <row r="16" spans="1:30" ht="29.25" thickBot="1">
      <c r="A16" s="2621"/>
      <c r="B16" s="2627"/>
      <c r="C16" s="896"/>
      <c r="D16" s="532">
        <v>100</v>
      </c>
      <c r="E16" s="527" t="s">
        <v>11219</v>
      </c>
      <c r="F16" s="532">
        <f>SUMIF(88:88,E16,89:89)-SUMIF(88:88,C16,89:89)+100</f>
        <v>100</v>
      </c>
      <c r="G16" s="528"/>
      <c r="H16" s="532">
        <f>SUMIF(88:88,G16,89:89)-SUMIF(88:88,C16,89:89)+100</f>
        <v>100</v>
      </c>
      <c r="I16" s="528" t="s">
        <v>11225</v>
      </c>
      <c r="J16" s="532">
        <f>SUMIF(88:88,I16,89:89)-SUMIF(88:88,C16,89:89)+100</f>
        <v>100</v>
      </c>
      <c r="K16" s="517"/>
      <c r="L16" s="2010"/>
      <c r="M16" s="2000"/>
      <c r="N16" s="2000"/>
      <c r="O16" s="2009"/>
      <c r="P16" s="3850"/>
      <c r="Q16" s="1125">
        <f t="shared" si="6"/>
        <v>0</v>
      </c>
      <c r="R16" s="1490" t="s">
        <v>8</v>
      </c>
      <c r="S16" s="1491">
        <f t="shared" si="0"/>
        <v>100</v>
      </c>
      <c r="T16" s="1490" t="s">
        <v>8</v>
      </c>
      <c r="U16" s="1491">
        <f t="shared" si="1"/>
        <v>100</v>
      </c>
      <c r="V16" s="1490" t="s">
        <v>8</v>
      </c>
      <c r="W16" s="1491">
        <f t="shared" si="2"/>
        <v>100</v>
      </c>
      <c r="X16" s="1492"/>
      <c r="Y16" s="3801"/>
      <c r="Z16" s="1124">
        <f t="shared" si="7"/>
        <v>0</v>
      </c>
      <c r="AA16" s="1493">
        <f>D16/F16</f>
        <v>1</v>
      </c>
      <c r="AB16" s="1493">
        <f>D16/H16</f>
        <v>1</v>
      </c>
      <c r="AC16" s="1493">
        <f>D16/J16</f>
        <v>1</v>
      </c>
    </row>
    <row r="17" spans="1:29" ht="99.75">
      <c r="A17" s="2613" t="s">
        <v>2728</v>
      </c>
      <c r="B17" s="564" t="s">
        <v>295</v>
      </c>
      <c r="C17" s="534" t="str">
        <f>估价对象房地状况!C15</f>
        <v>估价对象周边居住用地比例、居住小区规模和社区发展完善程度，综合评价居住社区成熟度一般</v>
      </c>
      <c r="D17" s="537">
        <v>100</v>
      </c>
      <c r="E17" s="538"/>
      <c r="F17" s="535">
        <f>SUMIF(90:90,E18,91:91)-SUMIF(90:90,C18,91:91)+100</f>
        <v>110</v>
      </c>
      <c r="G17" s="536"/>
      <c r="H17" s="535">
        <f>SUMIF(90:90,G18,91:91)-SUMIF(90:90,C18,91:91)+100</f>
        <v>110</v>
      </c>
      <c r="I17" s="538"/>
      <c r="J17" s="535">
        <f>SUMIF(90:90,I18,91:91)-SUMIF(90:90,C18,91:91)+100</f>
        <v>110</v>
      </c>
      <c r="K17" s="521">
        <v>5</v>
      </c>
      <c r="L17" s="2010"/>
      <c r="M17" s="2000"/>
      <c r="N17" s="2000"/>
      <c r="O17" s="2009"/>
      <c r="P17" s="3852" t="s">
        <v>534</v>
      </c>
      <c r="Q17" s="1494" t="str">
        <f t="shared" si="6"/>
        <v>居住社区成熟度</v>
      </c>
      <c r="R17" s="1495" t="s">
        <v>8</v>
      </c>
      <c r="S17" s="1496">
        <f t="shared" si="0"/>
        <v>110</v>
      </c>
      <c r="T17" s="1495" t="s">
        <v>8</v>
      </c>
      <c r="U17" s="1496">
        <f t="shared" si="1"/>
        <v>110</v>
      </c>
      <c r="V17" s="1495" t="s">
        <v>8</v>
      </c>
      <c r="W17" s="1496">
        <f t="shared" si="2"/>
        <v>110</v>
      </c>
      <c r="X17" s="1489"/>
      <c r="Y17" s="3852" t="s">
        <v>534</v>
      </c>
      <c r="Z17" s="1497" t="str">
        <f t="shared" si="7"/>
        <v>居住社区成熟度</v>
      </c>
      <c r="AA17" s="1498">
        <f t="shared" si="3"/>
        <v>0.90909090909090906</v>
      </c>
      <c r="AB17" s="1498">
        <f t="shared" si="4"/>
        <v>0.90909090909090906</v>
      </c>
      <c r="AC17" s="1498">
        <f t="shared" si="5"/>
        <v>0.90909090909090906</v>
      </c>
    </row>
    <row r="18" spans="1:29" ht="20.25">
      <c r="A18" s="518"/>
      <c r="B18" s="539"/>
      <c r="C18" s="540" t="s">
        <v>3729</v>
      </c>
      <c r="D18" s="543"/>
      <c r="E18" s="544" t="s">
        <v>3725</v>
      </c>
      <c r="F18" s="541"/>
      <c r="G18" s="542" t="s">
        <v>3725</v>
      </c>
      <c r="H18" s="545"/>
      <c r="I18" s="544" t="s">
        <v>3725</v>
      </c>
      <c r="J18" s="541"/>
      <c r="K18" s="517"/>
      <c r="L18" s="2010"/>
      <c r="M18" s="2000"/>
      <c r="N18" s="2000"/>
      <c r="O18" s="2009"/>
      <c r="P18" s="3853"/>
      <c r="Q18" s="1494"/>
      <c r="R18" s="1495"/>
      <c r="S18" s="1496"/>
      <c r="T18" s="1495"/>
      <c r="U18" s="1496"/>
      <c r="V18" s="1495"/>
      <c r="W18" s="1496"/>
      <c r="X18" s="1489"/>
      <c r="Y18" s="3853"/>
      <c r="Z18" s="1497"/>
      <c r="AA18" s="1498">
        <v>1</v>
      </c>
      <c r="AB18" s="1498">
        <v>1</v>
      </c>
      <c r="AC18" s="1498">
        <v>1</v>
      </c>
    </row>
    <row r="19" spans="1:29" ht="71.25">
      <c r="A19" s="518"/>
      <c r="B19" s="546" t="s">
        <v>535</v>
      </c>
      <c r="C19" s="547" t="str">
        <f>估价对象房地状况!C16</f>
        <v>估价对象位于XX商圈，周边商业氛围成熟，人流量大，商业繁华度好</v>
      </c>
      <c r="D19" s="549">
        <v>100</v>
      </c>
      <c r="E19" s="550"/>
      <c r="F19" s="545">
        <f>SUMIF(92:92,E20,93:93)-SUMIF(92:92,C20,93:93)+100</f>
        <v>105</v>
      </c>
      <c r="G19" s="548"/>
      <c r="H19" s="551">
        <f>SUMIF(92:92,G20,93:93)-SUMIF(92:92,C20,93:93)+100</f>
        <v>105</v>
      </c>
      <c r="I19" s="550"/>
      <c r="J19" s="551">
        <f>SUMIF(92:92,I20,93:93)-SUMIF(92:92,C20,93:93)+100</f>
        <v>105</v>
      </c>
      <c r="K19" s="521">
        <v>5</v>
      </c>
      <c r="L19" s="2010"/>
      <c r="M19" s="2000"/>
      <c r="N19" s="2000"/>
      <c r="O19" s="2009"/>
      <c r="P19" s="3853"/>
      <c r="Q19" s="1494" t="str">
        <f>B19</f>
        <v>商业繁华度</v>
      </c>
      <c r="R19" s="1495" t="s">
        <v>8</v>
      </c>
      <c r="S19" s="1496">
        <f>F19</f>
        <v>105</v>
      </c>
      <c r="T19" s="1495" t="s">
        <v>8</v>
      </c>
      <c r="U19" s="1496">
        <f>H19</f>
        <v>105</v>
      </c>
      <c r="V19" s="1495" t="s">
        <v>8</v>
      </c>
      <c r="W19" s="1496">
        <f>J19</f>
        <v>105</v>
      </c>
      <c r="X19" s="1489"/>
      <c r="Y19" s="3853"/>
      <c r="Z19" s="1497" t="str">
        <f>Q19</f>
        <v>商业繁华度</v>
      </c>
      <c r="AA19" s="1498">
        <f t="shared" si="3"/>
        <v>0.95238095238095233</v>
      </c>
      <c r="AB19" s="1498">
        <f t="shared" si="4"/>
        <v>0.95238095238095233</v>
      </c>
      <c r="AC19" s="1498">
        <f t="shared" si="5"/>
        <v>0.95238095238095233</v>
      </c>
    </row>
    <row r="20" spans="1:29" ht="20.25">
      <c r="A20" s="518"/>
      <c r="B20" s="552"/>
      <c r="C20" s="553" t="s">
        <v>3729</v>
      </c>
      <c r="D20" s="549"/>
      <c r="E20" s="555" t="s">
        <v>3732</v>
      </c>
      <c r="F20" s="545"/>
      <c r="G20" s="554" t="s">
        <v>3732</v>
      </c>
      <c r="H20" s="541"/>
      <c r="I20" s="555" t="s">
        <v>3732</v>
      </c>
      <c r="J20" s="541"/>
      <c r="K20" s="517"/>
      <c r="L20" s="2010"/>
      <c r="M20" s="2000"/>
      <c r="N20" s="2000"/>
      <c r="O20" s="2009"/>
      <c r="P20" s="3853"/>
      <c r="Q20" s="1494"/>
      <c r="R20" s="1495"/>
      <c r="S20" s="1496"/>
      <c r="T20" s="1495"/>
      <c r="U20" s="1496"/>
      <c r="V20" s="1495"/>
      <c r="W20" s="1496"/>
      <c r="X20" s="1489"/>
      <c r="Y20" s="3853"/>
      <c r="Z20" s="1497"/>
      <c r="AA20" s="1498">
        <v>1</v>
      </c>
      <c r="AB20" s="1498">
        <v>1</v>
      </c>
      <c r="AC20" s="1498">
        <v>1</v>
      </c>
    </row>
    <row r="21" spans="1:29" ht="71.25">
      <c r="A21" s="518"/>
      <c r="B21" s="546" t="s">
        <v>536</v>
      </c>
      <c r="C21" s="547" t="str">
        <f>估价对象房地状况!C17</f>
        <v>估价对象位于XX商圈，周边办公楼项目较多，入驻率高，办公集聚程度较好</v>
      </c>
      <c r="D21" s="557">
        <v>100</v>
      </c>
      <c r="E21" s="558"/>
      <c r="F21" s="551">
        <f>SUMIF(94:94,E22,95:95)-SUMIF(94:94,C22,95:95)+100</f>
        <v>100</v>
      </c>
      <c r="G21" s="556"/>
      <c r="H21" s="545">
        <f>SUMIF(94:94,G22,95:95)-SUMIF(94:94,C22,95:95)+100</f>
        <v>100</v>
      </c>
      <c r="I21" s="558"/>
      <c r="J21" s="545">
        <f>SUMIF(94:94,I22,95:95)-SUMIF(94:94,C22,95:95)+100</f>
        <v>100</v>
      </c>
      <c r="K21" s="521"/>
      <c r="L21" s="2010"/>
      <c r="M21" s="2000"/>
      <c r="N21" s="2000"/>
      <c r="O21" s="2009"/>
      <c r="P21" s="3853"/>
      <c r="Q21" s="1494" t="str">
        <f>B21</f>
        <v>办公集聚程度</v>
      </c>
      <c r="R21" s="1495" t="s">
        <v>8</v>
      </c>
      <c r="S21" s="1496">
        <f>F21</f>
        <v>100</v>
      </c>
      <c r="T21" s="1495" t="s">
        <v>8</v>
      </c>
      <c r="U21" s="1496">
        <f>H21</f>
        <v>100</v>
      </c>
      <c r="V21" s="1495" t="s">
        <v>8</v>
      </c>
      <c r="W21" s="1496">
        <f>J21</f>
        <v>100</v>
      </c>
      <c r="X21" s="1489"/>
      <c r="Y21" s="3853"/>
      <c r="Z21" s="1497" t="str">
        <f>Q21</f>
        <v>办公集聚程度</v>
      </c>
      <c r="AA21" s="1498">
        <f t="shared" si="3"/>
        <v>1</v>
      </c>
      <c r="AB21" s="1498">
        <f t="shared" si="4"/>
        <v>1</v>
      </c>
      <c r="AC21" s="1498">
        <f t="shared" si="5"/>
        <v>1</v>
      </c>
    </row>
    <row r="22" spans="1:29" ht="20.25">
      <c r="A22" s="518"/>
      <c r="B22" s="552"/>
      <c r="C22" s="540"/>
      <c r="D22" s="543"/>
      <c r="E22" s="544"/>
      <c r="F22" s="541"/>
      <c r="G22" s="542"/>
      <c r="H22" s="541"/>
      <c r="I22" s="544"/>
      <c r="J22" s="541"/>
      <c r="K22" s="517"/>
      <c r="L22" s="2010"/>
      <c r="M22" s="2000"/>
      <c r="N22" s="2000"/>
      <c r="O22" s="2009"/>
      <c r="P22" s="3853"/>
      <c r="Q22" s="1494"/>
      <c r="R22" s="1495"/>
      <c r="S22" s="1496"/>
      <c r="T22" s="1495"/>
      <c r="U22" s="1496"/>
      <c r="V22" s="1495"/>
      <c r="W22" s="1496"/>
      <c r="X22" s="1489"/>
      <c r="Y22" s="3853"/>
      <c r="Z22" s="1497"/>
      <c r="AA22" s="1498">
        <v>1</v>
      </c>
      <c r="AB22" s="1498">
        <v>1</v>
      </c>
      <c r="AC22" s="1498">
        <v>1</v>
      </c>
    </row>
    <row r="23" spans="1:29" ht="85.5">
      <c r="A23" s="518"/>
      <c r="B23" s="546" t="s">
        <v>537</v>
      </c>
      <c r="C23" s="559" t="str">
        <f>估价对象房地状况!C18</f>
        <v>估价对象周边道路状况、公共交通通达情况、停车便捷程度，综合评价交通便捷度较好</v>
      </c>
      <c r="D23" s="549">
        <v>100</v>
      </c>
      <c r="E23" s="550"/>
      <c r="F23" s="551">
        <f>SUMIF(96:96,E24,97:97)-SUMIF(96:96,C24,97:97)+100</f>
        <v>105</v>
      </c>
      <c r="G23" s="548"/>
      <c r="H23" s="545">
        <f>SUMIF(96:96,G24,97:97)-SUMIF(96:96,C24,97:97)+100</f>
        <v>105</v>
      </c>
      <c r="I23" s="550"/>
      <c r="J23" s="545">
        <f>SUMIF(96:96,I24,97:97)-SUMIF(96:96,C24,97:97)+100</f>
        <v>105</v>
      </c>
      <c r="K23" s="521">
        <v>5</v>
      </c>
      <c r="L23" s="2010"/>
      <c r="M23" s="2000"/>
      <c r="N23" s="2000"/>
      <c r="O23" s="2009"/>
      <c r="P23" s="3853"/>
      <c r="Q23" s="1494" t="str">
        <f>B23</f>
        <v>交通便捷度</v>
      </c>
      <c r="R23" s="1495" t="s">
        <v>8</v>
      </c>
      <c r="S23" s="1496">
        <f>F23</f>
        <v>105</v>
      </c>
      <c r="T23" s="1495" t="s">
        <v>8</v>
      </c>
      <c r="U23" s="1496">
        <f>H23</f>
        <v>105</v>
      </c>
      <c r="V23" s="1495" t="s">
        <v>8</v>
      </c>
      <c r="W23" s="1496">
        <f>J23</f>
        <v>105</v>
      </c>
      <c r="X23" s="1489"/>
      <c r="Y23" s="3853"/>
      <c r="Z23" s="1497" t="str">
        <f>Q23</f>
        <v>交通便捷度</v>
      </c>
      <c r="AA23" s="1498">
        <f t="shared" si="3"/>
        <v>0.95238095238095233</v>
      </c>
      <c r="AB23" s="1498">
        <f t="shared" si="4"/>
        <v>0.95238095238095233</v>
      </c>
      <c r="AC23" s="1498">
        <f t="shared" si="5"/>
        <v>0.95238095238095233</v>
      </c>
    </row>
    <row r="24" spans="1:29" ht="20.25">
      <c r="A24" s="518"/>
      <c r="B24" s="564"/>
      <c r="C24" s="540" t="s">
        <v>3732</v>
      </c>
      <c r="D24" s="543"/>
      <c r="E24" s="544" t="s">
        <v>3725</v>
      </c>
      <c r="F24" s="541"/>
      <c r="G24" s="542" t="s">
        <v>3725</v>
      </c>
      <c r="H24" s="541"/>
      <c r="I24" s="544" t="s">
        <v>3725</v>
      </c>
      <c r="J24" s="541"/>
      <c r="K24" s="517"/>
      <c r="L24" s="2010"/>
      <c r="M24" s="2000"/>
      <c r="N24" s="2000"/>
      <c r="O24" s="2009"/>
      <c r="P24" s="3853"/>
      <c r="Q24" s="1494"/>
      <c r="R24" s="1495"/>
      <c r="S24" s="1496"/>
      <c r="T24" s="1495"/>
      <c r="U24" s="1496"/>
      <c r="V24" s="1495"/>
      <c r="W24" s="1496"/>
      <c r="X24" s="1489"/>
      <c r="Y24" s="3853"/>
      <c r="Z24" s="1497"/>
      <c r="AA24" s="1498">
        <v>1</v>
      </c>
      <c r="AB24" s="1498">
        <v>1</v>
      </c>
      <c r="AC24" s="1498">
        <v>1</v>
      </c>
    </row>
    <row r="25" spans="1:29" ht="27">
      <c r="A25" s="501"/>
      <c r="B25" s="249" t="s">
        <v>538</v>
      </c>
      <c r="C25" s="559">
        <f>估价对象房地状况!C19</f>
        <v>0</v>
      </c>
      <c r="D25" s="549">
        <v>100</v>
      </c>
      <c r="E25" s="550"/>
      <c r="F25" s="551">
        <f>SUMIF(98:98,E26,99:99)-SUMIF(98:98,C26,99:99)+100</f>
        <v>100</v>
      </c>
      <c r="G25" s="548"/>
      <c r="H25" s="545">
        <f>SUMIF(98:98,G26,99:99)-SUMIF(98:98,C26,99:99)+100</f>
        <v>100</v>
      </c>
      <c r="I25" s="550"/>
      <c r="J25" s="545">
        <f>SUMIF(98:98,I26,99:99)-SUMIF(98:98,C26,99:99)+100</f>
        <v>100</v>
      </c>
      <c r="K25" s="521">
        <v>5</v>
      </c>
      <c r="L25" s="2010"/>
      <c r="M25" s="2000"/>
      <c r="N25" s="2000"/>
      <c r="O25" s="2009"/>
      <c r="P25" s="3853"/>
      <c r="Q25" s="1494" t="str">
        <f t="shared" ref="Q25:Q39" si="8">B25</f>
        <v>区域土地利用方向</v>
      </c>
      <c r="R25" s="1495" t="s">
        <v>8</v>
      </c>
      <c r="S25" s="1496">
        <f>F25</f>
        <v>100</v>
      </c>
      <c r="T25" s="1495" t="s">
        <v>8</v>
      </c>
      <c r="U25" s="1496">
        <f>H25</f>
        <v>100</v>
      </c>
      <c r="V25" s="1495" t="s">
        <v>8</v>
      </c>
      <c r="W25" s="1496">
        <f>J25</f>
        <v>100</v>
      </c>
      <c r="X25" s="1489"/>
      <c r="Y25" s="3853"/>
      <c r="Z25" s="1497" t="str">
        <f>Q25</f>
        <v>区域土地利用方向</v>
      </c>
      <c r="AA25" s="1498">
        <f t="shared" si="3"/>
        <v>1</v>
      </c>
      <c r="AB25" s="1498">
        <f t="shared" si="4"/>
        <v>1</v>
      </c>
      <c r="AC25" s="1498">
        <f t="shared" si="5"/>
        <v>1</v>
      </c>
    </row>
    <row r="26" spans="1:29" ht="20.25">
      <c r="A26" s="501"/>
      <c r="B26" s="985"/>
      <c r="C26" s="540" t="s">
        <v>3725</v>
      </c>
      <c r="D26" s="543"/>
      <c r="E26" s="540" t="s">
        <v>3725</v>
      </c>
      <c r="F26" s="541"/>
      <c r="G26" s="540" t="s">
        <v>3725</v>
      </c>
      <c r="H26" s="541"/>
      <c r="I26" s="540" t="s">
        <v>3725</v>
      </c>
      <c r="J26" s="541"/>
      <c r="K26" s="517"/>
      <c r="L26" s="2010"/>
      <c r="M26" s="2000"/>
      <c r="N26" s="2000"/>
      <c r="O26" s="2009"/>
      <c r="P26" s="3853"/>
      <c r="Q26" s="1494"/>
      <c r="R26" s="1495"/>
      <c r="S26" s="1496"/>
      <c r="T26" s="1495"/>
      <c r="U26" s="1496"/>
      <c r="V26" s="1495"/>
      <c r="W26" s="1496"/>
      <c r="X26" s="1489"/>
      <c r="Y26" s="3853"/>
      <c r="Z26" s="1497"/>
      <c r="AA26" s="1498"/>
      <c r="AB26" s="1498"/>
      <c r="AC26" s="1498"/>
    </row>
    <row r="27" spans="1:29" ht="57">
      <c r="A27" s="501"/>
      <c r="B27" s="564" t="s">
        <v>539</v>
      </c>
      <c r="C27" s="547" t="str">
        <f>估价对象房地状况!C20</f>
        <v>区域自然环境：；人文环境；综合评价环境状况一般</v>
      </c>
      <c r="D27" s="549">
        <v>100</v>
      </c>
      <c r="E27" s="550"/>
      <c r="F27" s="545">
        <f>SUMIF(100:100,E28,101:101)-SUMIF(100:100,C28,101:101)+100</f>
        <v>100</v>
      </c>
      <c r="G27" s="548"/>
      <c r="H27" s="545">
        <f>SUMIF(100:100,G28,101:101)-SUMIF(100:100,C28,101:101)+100</f>
        <v>100</v>
      </c>
      <c r="I27" s="550"/>
      <c r="J27" s="545">
        <f>SUMIF(100:100,I28,101:101)-SUMIF(100:100,C28,101:101)+100</f>
        <v>100</v>
      </c>
      <c r="K27" s="521">
        <v>3</v>
      </c>
      <c r="L27" s="2010"/>
      <c r="M27" s="2000"/>
      <c r="N27" s="2000"/>
      <c r="O27" s="2009"/>
      <c r="P27" s="3853"/>
      <c r="Q27" s="1494" t="str">
        <f t="shared" si="8"/>
        <v>自然及人文环境状况</v>
      </c>
      <c r="R27" s="1495" t="s">
        <v>8</v>
      </c>
      <c r="S27" s="1496">
        <f>F27</f>
        <v>100</v>
      </c>
      <c r="T27" s="1495" t="s">
        <v>8</v>
      </c>
      <c r="U27" s="1496">
        <f>H27</f>
        <v>100</v>
      </c>
      <c r="V27" s="1495" t="s">
        <v>8</v>
      </c>
      <c r="W27" s="1496">
        <f>J27</f>
        <v>100</v>
      </c>
      <c r="X27" s="1489"/>
      <c r="Y27" s="3853"/>
      <c r="Z27" s="1497" t="str">
        <f>Q27</f>
        <v>自然及人文环境状况</v>
      </c>
      <c r="AA27" s="1498">
        <f t="shared" si="3"/>
        <v>1</v>
      </c>
      <c r="AB27" s="1498">
        <f t="shared" si="4"/>
        <v>1</v>
      </c>
      <c r="AC27" s="1498">
        <f t="shared" si="5"/>
        <v>1</v>
      </c>
    </row>
    <row r="28" spans="1:29" ht="20.25">
      <c r="A28" s="501"/>
      <c r="B28" s="552"/>
      <c r="C28" s="540" t="s">
        <v>3725</v>
      </c>
      <c r="D28" s="543"/>
      <c r="E28" s="562" t="s">
        <v>3725</v>
      </c>
      <c r="F28" s="541"/>
      <c r="G28" s="540" t="s">
        <v>3725</v>
      </c>
      <c r="H28" s="541"/>
      <c r="I28" s="562" t="s">
        <v>3725</v>
      </c>
      <c r="J28" s="541"/>
      <c r="K28" s="517"/>
      <c r="L28" s="2010"/>
      <c r="M28" s="2000"/>
      <c r="N28" s="2000"/>
      <c r="O28" s="2009"/>
      <c r="P28" s="3853"/>
      <c r="Q28" s="1494"/>
      <c r="R28" s="1495"/>
      <c r="S28" s="1496"/>
      <c r="T28" s="1495"/>
      <c r="U28" s="1496"/>
      <c r="V28" s="1495"/>
      <c r="W28" s="1496"/>
      <c r="X28" s="1489"/>
      <c r="Y28" s="3853"/>
      <c r="Z28" s="1497"/>
      <c r="AA28" s="1498">
        <v>1</v>
      </c>
      <c r="AB28" s="1498">
        <v>1</v>
      </c>
      <c r="AC28" s="1498">
        <v>1</v>
      </c>
    </row>
    <row r="29" spans="1:29" s="1194" customFormat="1" ht="42.75">
      <c r="A29" s="563"/>
      <c r="B29" s="2421" t="s">
        <v>2524</v>
      </c>
      <c r="C29" s="559" t="str">
        <f>估价对象房地状况!C21</f>
        <v>估价对象所在区域公共配套设施齐备情况</v>
      </c>
      <c r="D29" s="549">
        <v>100</v>
      </c>
      <c r="E29" s="550"/>
      <c r="F29" s="545">
        <f>SUMIF(102:102,E30,103:103)-SUMIF(102:102,C30,103:103)+100</f>
        <v>110</v>
      </c>
      <c r="G29" s="548"/>
      <c r="H29" s="545">
        <f>SUMIF(102:102,G30,103:103)-SUMIF(102:102,C30,103:103)+100</f>
        <v>110</v>
      </c>
      <c r="I29" s="550"/>
      <c r="J29" s="545">
        <f>SUMIF(102:102,I30,103:103)-SUMIF(102:102,C30,103:103)+100</f>
        <v>110</v>
      </c>
      <c r="K29" s="521">
        <v>5</v>
      </c>
      <c r="L29" s="2003"/>
      <c r="M29" s="2000"/>
      <c r="N29" s="2000"/>
      <c r="O29" s="2005"/>
      <c r="P29" s="3853"/>
      <c r="Q29" s="1125" t="str">
        <f t="shared" si="8"/>
        <v>公共配套设施</v>
      </c>
      <c r="R29" s="1490" t="s">
        <v>8</v>
      </c>
      <c r="S29" s="1491">
        <f>F29</f>
        <v>110</v>
      </c>
      <c r="T29" s="1490" t="s">
        <v>8</v>
      </c>
      <c r="U29" s="1491">
        <f>H29</f>
        <v>110</v>
      </c>
      <c r="V29" s="1490" t="s">
        <v>8</v>
      </c>
      <c r="W29" s="1491">
        <f>J29</f>
        <v>110</v>
      </c>
      <c r="X29" s="1492"/>
      <c r="Y29" s="3853"/>
      <c r="Z29" s="1124" t="str">
        <f>Q29</f>
        <v>公共配套设施</v>
      </c>
      <c r="AA29" s="1498">
        <f>D29/F29</f>
        <v>0.90909090909090906</v>
      </c>
      <c r="AB29" s="1498">
        <f>D29/H29</f>
        <v>0.90909090909090906</v>
      </c>
      <c r="AC29" s="1498">
        <f>D29/J29</f>
        <v>0.90909090909090906</v>
      </c>
    </row>
    <row r="30" spans="1:29" s="1194" customFormat="1" ht="20.25">
      <c r="A30" s="563"/>
      <c r="B30" s="552"/>
      <c r="C30" s="565" t="s">
        <v>3729</v>
      </c>
      <c r="D30" s="543"/>
      <c r="E30" s="562" t="s">
        <v>3725</v>
      </c>
      <c r="F30" s="541"/>
      <c r="G30" s="540" t="s">
        <v>3725</v>
      </c>
      <c r="H30" s="541"/>
      <c r="I30" s="562" t="s">
        <v>3725</v>
      </c>
      <c r="J30" s="541"/>
      <c r="K30" s="517"/>
      <c r="L30" s="2003"/>
      <c r="M30" s="2000"/>
      <c r="N30" s="2000"/>
      <c r="O30" s="2005"/>
      <c r="P30" s="3853"/>
      <c r="Q30" s="1125"/>
      <c r="R30" s="1490"/>
      <c r="S30" s="1491"/>
      <c r="T30" s="1490"/>
      <c r="U30" s="1491"/>
      <c r="V30" s="1490"/>
      <c r="W30" s="1491"/>
      <c r="X30" s="1492"/>
      <c r="Y30" s="3853"/>
      <c r="Z30" s="1124"/>
      <c r="AA30" s="1498">
        <v>1</v>
      </c>
      <c r="AB30" s="1498">
        <v>1</v>
      </c>
      <c r="AC30" s="1498">
        <v>1</v>
      </c>
    </row>
    <row r="31" spans="1:29" s="1194" customFormat="1" ht="28.5">
      <c r="A31" s="563"/>
      <c r="B31" s="2421" t="s">
        <v>2525</v>
      </c>
      <c r="C31" s="559" t="str">
        <f>估价对象房地状况!C22</f>
        <v>估价对象所在区域基础设施水平</v>
      </c>
      <c r="D31" s="549">
        <v>100</v>
      </c>
      <c r="E31" s="550"/>
      <c r="F31" s="545">
        <f>SUMIF(104:104,E32,105:105)-SUMIF(104:104,C32,105:105)+100</f>
        <v>100</v>
      </c>
      <c r="G31" s="548"/>
      <c r="H31" s="545">
        <f>SUMIF(104:104,G32,105:105)-SUMIF(104:104,C32,105:105)+100</f>
        <v>100</v>
      </c>
      <c r="I31" s="550"/>
      <c r="J31" s="545">
        <f>SUMIF(104:104,I32,105:105)-SUMIF(104:104,C32,105:105)+100</f>
        <v>100</v>
      </c>
      <c r="K31" s="521">
        <v>3</v>
      </c>
      <c r="L31" s="2003"/>
      <c r="M31" s="2000"/>
      <c r="N31" s="2000"/>
      <c r="O31" s="2005"/>
      <c r="P31" s="3853"/>
      <c r="Q31" s="2414" t="str">
        <f t="shared" ref="Q31" si="9">B31</f>
        <v>基础设施水平</v>
      </c>
      <c r="R31" s="1490" t="s">
        <v>8</v>
      </c>
      <c r="S31" s="1491">
        <f>F31</f>
        <v>100</v>
      </c>
      <c r="T31" s="1490" t="s">
        <v>8</v>
      </c>
      <c r="U31" s="1491">
        <f>H31</f>
        <v>100</v>
      </c>
      <c r="V31" s="1490" t="s">
        <v>8</v>
      </c>
      <c r="W31" s="1491">
        <f>J31</f>
        <v>100</v>
      </c>
      <c r="X31" s="1492"/>
      <c r="Y31" s="3853"/>
      <c r="Z31" s="2413" t="str">
        <f>Q31</f>
        <v>基础设施水平</v>
      </c>
      <c r="AA31" s="1498">
        <f>D31/F31</f>
        <v>1</v>
      </c>
      <c r="AB31" s="1498">
        <f>D31/H31</f>
        <v>1</v>
      </c>
      <c r="AC31" s="1498">
        <f>D31/J31</f>
        <v>1</v>
      </c>
    </row>
    <row r="32" spans="1:29" s="1194" customFormat="1" ht="20.25">
      <c r="A32" s="563"/>
      <c r="B32" s="552"/>
      <c r="C32" s="565" t="s">
        <v>3730</v>
      </c>
      <c r="D32" s="543"/>
      <c r="E32" s="2422" t="s">
        <v>3730</v>
      </c>
      <c r="F32" s="541"/>
      <c r="G32" s="565" t="s">
        <v>3730</v>
      </c>
      <c r="H32" s="541"/>
      <c r="I32" s="565" t="s">
        <v>3730</v>
      </c>
      <c r="J32" s="541"/>
      <c r="K32" s="517"/>
      <c r="L32" s="2003"/>
      <c r="M32" s="2000"/>
      <c r="N32" s="2000"/>
      <c r="O32" s="2005"/>
      <c r="P32" s="3853"/>
      <c r="Q32" s="2414"/>
      <c r="R32" s="1490"/>
      <c r="S32" s="1491"/>
      <c r="T32" s="1490"/>
      <c r="U32" s="1491"/>
      <c r="V32" s="1490"/>
      <c r="W32" s="1491"/>
      <c r="X32" s="1492"/>
      <c r="Y32" s="3853"/>
      <c r="Z32" s="2413"/>
      <c r="AA32" s="1498">
        <v>1</v>
      </c>
      <c r="AB32" s="1498">
        <v>1</v>
      </c>
      <c r="AC32" s="1498">
        <v>1</v>
      </c>
    </row>
    <row r="33" spans="1:29" ht="20.25">
      <c r="A33" s="518"/>
      <c r="B33" s="552" t="s">
        <v>541</v>
      </c>
      <c r="C33" s="566"/>
      <c r="D33" s="561">
        <v>100</v>
      </c>
      <c r="E33" s="569"/>
      <c r="F33" s="526">
        <f>SUMIF(106:106,E33,107:107)-SUMIF(106:106,C33,107:107)+100</f>
        <v>100</v>
      </c>
      <c r="G33" s="566"/>
      <c r="H33" s="526">
        <f>SUMIF(106:106,G33,107:107)-SUMIF(106:106,C33,107:107)+100</f>
        <v>100</v>
      </c>
      <c r="I33" s="566"/>
      <c r="J33" s="526">
        <f>SUMIF(106:106,I33,107:107)-SUMIF(106:106,C33,107:107)+100</f>
        <v>100</v>
      </c>
      <c r="K33" s="521"/>
      <c r="L33" s="2010"/>
      <c r="M33" s="2000"/>
      <c r="N33" s="2000"/>
      <c r="O33" s="2009"/>
      <c r="P33" s="3853"/>
      <c r="Q33" s="1494" t="str">
        <f t="shared" si="8"/>
        <v>临街状况</v>
      </c>
      <c r="R33" s="1495" t="s">
        <v>8</v>
      </c>
      <c r="S33" s="1496">
        <f t="shared" ref="S33:S47" si="10">F33</f>
        <v>100</v>
      </c>
      <c r="T33" s="1495" t="s">
        <v>8</v>
      </c>
      <c r="U33" s="1496">
        <f t="shared" ref="U33:U47" si="11">H33</f>
        <v>100</v>
      </c>
      <c r="V33" s="1495" t="s">
        <v>8</v>
      </c>
      <c r="W33" s="1496">
        <f t="shared" ref="W33:W47" si="12">J33</f>
        <v>100</v>
      </c>
      <c r="X33" s="1489"/>
      <c r="Y33" s="3853"/>
      <c r="Z33" s="1497" t="str">
        <f t="shared" ref="Z33:Z47" si="13">Q33</f>
        <v>临街状况</v>
      </c>
      <c r="AA33" s="1498">
        <f t="shared" si="3"/>
        <v>1</v>
      </c>
      <c r="AB33" s="1498">
        <f t="shared" si="4"/>
        <v>1</v>
      </c>
      <c r="AC33" s="1498">
        <f t="shared" si="5"/>
        <v>1</v>
      </c>
    </row>
    <row r="34" spans="1:29" ht="27">
      <c r="A34" s="518"/>
      <c r="B34" s="564" t="s">
        <v>542</v>
      </c>
      <c r="C34" s="548"/>
      <c r="D34" s="549">
        <v>100</v>
      </c>
      <c r="E34" s="550"/>
      <c r="F34" s="545">
        <f>SUMIF(108:108,E35,109:109)-SUMIF(108:108,C35,109:109)+100</f>
        <v>100</v>
      </c>
      <c r="G34" s="548"/>
      <c r="H34" s="545">
        <f>SUMIF(108:108,G35,109:109)-SUMIF(108:108,C35,109:109)+100</f>
        <v>100</v>
      </c>
      <c r="I34" s="550"/>
      <c r="J34" s="545">
        <f>SUMIF(108:108,I35,109:109)-SUMIF(108:108,C35,109:109)+100</f>
        <v>100</v>
      </c>
      <c r="K34" s="521"/>
      <c r="L34" s="2010"/>
      <c r="M34" s="2000"/>
      <c r="N34" s="2000"/>
      <c r="O34" s="2009"/>
      <c r="P34" s="3853"/>
      <c r="Q34" s="1494" t="str">
        <f t="shared" si="8"/>
        <v>毗邻道路的类型与等级</v>
      </c>
      <c r="R34" s="1495" t="s">
        <v>8</v>
      </c>
      <c r="S34" s="1496">
        <f t="shared" si="10"/>
        <v>100</v>
      </c>
      <c r="T34" s="1495" t="s">
        <v>8</v>
      </c>
      <c r="U34" s="1496">
        <f t="shared" si="11"/>
        <v>100</v>
      </c>
      <c r="V34" s="1495" t="s">
        <v>8</v>
      </c>
      <c r="W34" s="1496">
        <f t="shared" si="12"/>
        <v>100</v>
      </c>
      <c r="X34" s="1489"/>
      <c r="Y34" s="3853"/>
      <c r="Z34" s="1497" t="str">
        <f t="shared" si="13"/>
        <v>毗邻道路的类型与等级</v>
      </c>
      <c r="AA34" s="1498">
        <f t="shared" si="3"/>
        <v>1</v>
      </c>
      <c r="AB34" s="1498">
        <f t="shared" si="4"/>
        <v>1</v>
      </c>
      <c r="AC34" s="1498">
        <f t="shared" si="5"/>
        <v>1</v>
      </c>
    </row>
    <row r="35" spans="1:29" ht="20.25">
      <c r="A35" s="518"/>
      <c r="B35" s="552"/>
      <c r="C35" s="540"/>
      <c r="D35" s="543"/>
      <c r="E35" s="562"/>
      <c r="F35" s="541"/>
      <c r="G35" s="540"/>
      <c r="H35" s="541"/>
      <c r="I35" s="562"/>
      <c r="J35" s="541"/>
      <c r="K35" s="567"/>
      <c r="L35" s="2010"/>
      <c r="M35" s="2000"/>
      <c r="N35" s="2000"/>
      <c r="O35" s="2009"/>
      <c r="P35" s="3853"/>
      <c r="Q35" s="1494"/>
      <c r="R35" s="1495"/>
      <c r="S35" s="1496"/>
      <c r="T35" s="1495"/>
      <c r="U35" s="1496"/>
      <c r="V35" s="1495"/>
      <c r="W35" s="1496"/>
      <c r="X35" s="1489"/>
      <c r="Y35" s="3853"/>
      <c r="Z35" s="1497"/>
      <c r="AA35" s="1498">
        <v>1</v>
      </c>
      <c r="AB35" s="1498">
        <v>1</v>
      </c>
      <c r="AC35" s="1498">
        <v>1</v>
      </c>
    </row>
    <row r="36" spans="1:29" ht="20.25">
      <c r="A36" s="518"/>
      <c r="B36" s="568" t="s">
        <v>543</v>
      </c>
      <c r="C36" s="566"/>
      <c r="D36" s="561">
        <v>100</v>
      </c>
      <c r="E36" s="569"/>
      <c r="F36" s="526">
        <f>SUMIF(110:110,E36,111:111)-SUMIF(110:110,C36,111:111)+100</f>
        <v>100</v>
      </c>
      <c r="G36" s="566"/>
      <c r="H36" s="526">
        <f>SUMIF(110:110,G36,111:111)-SUMIF(110:110,C36,111:111)+100</f>
        <v>100</v>
      </c>
      <c r="I36" s="569"/>
      <c r="J36" s="526">
        <f>SUMIF(110:110,I36,111:111)-SUMIF(110:110,C36,111:111)+100</f>
        <v>100</v>
      </c>
      <c r="K36" s="570"/>
      <c r="L36" s="2010"/>
      <c r="M36" s="2000"/>
      <c r="N36" s="2000"/>
      <c r="O36" s="2009"/>
      <c r="P36" s="3853"/>
      <c r="Q36" s="1494" t="str">
        <f t="shared" si="8"/>
        <v>土地级别</v>
      </c>
      <c r="R36" s="1495" t="s">
        <v>8</v>
      </c>
      <c r="S36" s="1496">
        <f t="shared" si="10"/>
        <v>100</v>
      </c>
      <c r="T36" s="1495" t="s">
        <v>8</v>
      </c>
      <c r="U36" s="1496">
        <f t="shared" si="11"/>
        <v>100</v>
      </c>
      <c r="V36" s="1495" t="s">
        <v>8</v>
      </c>
      <c r="W36" s="1496">
        <f t="shared" si="12"/>
        <v>100</v>
      </c>
      <c r="X36" s="1489"/>
      <c r="Y36" s="3853"/>
      <c r="Z36" s="1497" t="str">
        <f t="shared" si="13"/>
        <v>土地级别</v>
      </c>
      <c r="AA36" s="1498">
        <f t="shared" si="3"/>
        <v>1</v>
      </c>
      <c r="AB36" s="1498">
        <f t="shared" si="4"/>
        <v>1</v>
      </c>
      <c r="AC36" s="1498">
        <f t="shared" si="5"/>
        <v>1</v>
      </c>
    </row>
    <row r="37" spans="1:29" ht="20.25">
      <c r="A37" s="501"/>
      <c r="B37" s="571"/>
      <c r="C37" s="572"/>
      <c r="D37" s="561">
        <v>100</v>
      </c>
      <c r="E37" s="528"/>
      <c r="F37" s="526">
        <f>SUMIF(112:112,E37,113:113)-SUMIF(112:112,C37,113:113)+100</f>
        <v>100</v>
      </c>
      <c r="G37" s="572"/>
      <c r="H37" s="526">
        <f>SUMIF(112:112,G37,113:113)-SUMIF(112:112,C37,113:113)+100</f>
        <v>100</v>
      </c>
      <c r="I37" s="528"/>
      <c r="J37" s="526">
        <f>SUMIF(112:112,I37,113:113)-SUMIF(112:112,C37,113:113)+100</f>
        <v>100</v>
      </c>
      <c r="K37" s="567"/>
      <c r="L37" s="2010"/>
      <c r="M37" s="2000"/>
      <c r="N37" s="2000"/>
      <c r="O37" s="2009"/>
      <c r="P37" s="3853"/>
      <c r="Q37" s="1494">
        <f t="shared" si="8"/>
        <v>0</v>
      </c>
      <c r="R37" s="1495" t="s">
        <v>8</v>
      </c>
      <c r="S37" s="1496">
        <f t="shared" si="10"/>
        <v>100</v>
      </c>
      <c r="T37" s="1495" t="s">
        <v>8</v>
      </c>
      <c r="U37" s="1496">
        <f t="shared" si="11"/>
        <v>100</v>
      </c>
      <c r="V37" s="1495" t="s">
        <v>8</v>
      </c>
      <c r="W37" s="1496">
        <f t="shared" si="12"/>
        <v>100</v>
      </c>
      <c r="X37" s="1489"/>
      <c r="Y37" s="3853"/>
      <c r="Z37" s="1497">
        <f t="shared" si="13"/>
        <v>0</v>
      </c>
      <c r="AA37" s="1498">
        <f t="shared" si="3"/>
        <v>1</v>
      </c>
      <c r="AB37" s="1498">
        <f t="shared" si="4"/>
        <v>1</v>
      </c>
      <c r="AC37" s="1498">
        <f t="shared" si="5"/>
        <v>1</v>
      </c>
    </row>
    <row r="38" spans="1:29" ht="20.25">
      <c r="A38" s="573"/>
      <c r="B38" s="574"/>
      <c r="C38" s="572"/>
      <c r="D38" s="561">
        <v>100</v>
      </c>
      <c r="E38" s="528"/>
      <c r="F38" s="526">
        <f>SUMIF(114:114,E39,115:115)-SUMIF(114:114,C39,115:115)+100</f>
        <v>100</v>
      </c>
      <c r="G38" s="572"/>
      <c r="H38" s="526">
        <f>SUMIF(114:114,G38,115:115)-SUMIF(114:114,C38,115:115)+100</f>
        <v>100</v>
      </c>
      <c r="I38" s="528"/>
      <c r="J38" s="526">
        <f>SUMIF(114:114,I38,115:115)-SUMIF(114:114,C38,115:115)+100</f>
        <v>100</v>
      </c>
      <c r="K38" s="567"/>
      <c r="L38" s="2010"/>
      <c r="M38" s="2000"/>
      <c r="N38" s="2000"/>
      <c r="O38" s="2009"/>
      <c r="P38" s="3854" t="s">
        <v>544</v>
      </c>
      <c r="Q38" s="1494">
        <f t="shared" si="8"/>
        <v>0</v>
      </c>
      <c r="R38" s="1495" t="s">
        <v>8</v>
      </c>
      <c r="S38" s="1496">
        <f t="shared" si="10"/>
        <v>100</v>
      </c>
      <c r="T38" s="1495" t="s">
        <v>8</v>
      </c>
      <c r="U38" s="1496">
        <f t="shared" si="11"/>
        <v>100</v>
      </c>
      <c r="V38" s="1495" t="s">
        <v>8</v>
      </c>
      <c r="W38" s="1496">
        <f t="shared" si="12"/>
        <v>100</v>
      </c>
      <c r="X38" s="1489"/>
      <c r="Y38" s="3855" t="s">
        <v>544</v>
      </c>
      <c r="Z38" s="1497">
        <f t="shared" si="13"/>
        <v>0</v>
      </c>
      <c r="AA38" s="1498">
        <f t="shared" si="3"/>
        <v>1</v>
      </c>
      <c r="AB38" s="1498">
        <f t="shared" si="4"/>
        <v>1</v>
      </c>
      <c r="AC38" s="1498">
        <f t="shared" si="5"/>
        <v>1</v>
      </c>
    </row>
    <row r="39" spans="1:29" s="1283" customFormat="1" ht="21" thickBot="1">
      <c r="A39" s="575"/>
      <c r="B39" s="576"/>
      <c r="C39" s="577"/>
      <c r="D39" s="724">
        <v>100</v>
      </c>
      <c r="E39" s="579"/>
      <c r="F39" s="532">
        <f>SUMIF(116:116,E39,117:117)-SUMIF(116:116,C39,117:117)+100</f>
        <v>100</v>
      </c>
      <c r="G39" s="725"/>
      <c r="H39" s="532">
        <f>SUMIF(116:116,G39,117:117)-SUMIF(116:116,C39,117:117)+100</f>
        <v>100</v>
      </c>
      <c r="I39" s="579"/>
      <c r="J39" s="532">
        <f>SUMIF(116:116,I39,117:117)-SUMIF(116:116,C39,117:117)+100</f>
        <v>100</v>
      </c>
      <c r="K39" s="567"/>
      <c r="L39" s="2008"/>
      <c r="M39" s="2000"/>
      <c r="N39" s="2000"/>
      <c r="O39" s="2011"/>
      <c r="P39" s="3855"/>
      <c r="Q39" s="1494">
        <f t="shared" si="8"/>
        <v>0</v>
      </c>
      <c r="R39" s="1499" t="s">
        <v>8</v>
      </c>
      <c r="S39" s="1500">
        <f t="shared" si="10"/>
        <v>100</v>
      </c>
      <c r="T39" s="1499" t="s">
        <v>8</v>
      </c>
      <c r="U39" s="1500">
        <f t="shared" si="11"/>
        <v>100</v>
      </c>
      <c r="V39" s="1499" t="s">
        <v>8</v>
      </c>
      <c r="W39" s="1500">
        <f t="shared" si="12"/>
        <v>100</v>
      </c>
      <c r="X39" s="1501"/>
      <c r="Y39" s="3855"/>
      <c r="Z39" s="1502">
        <f t="shared" si="13"/>
        <v>0</v>
      </c>
      <c r="AA39" s="1498">
        <f t="shared" si="3"/>
        <v>1</v>
      </c>
      <c r="AB39" s="1498">
        <f t="shared" si="4"/>
        <v>1</v>
      </c>
      <c r="AC39" s="1498">
        <f t="shared" si="5"/>
        <v>1</v>
      </c>
    </row>
    <row r="40" spans="1:29" ht="20.25">
      <c r="A40" s="2610" t="s">
        <v>2729</v>
      </c>
      <c r="B40" s="581" t="s">
        <v>546</v>
      </c>
      <c r="C40" s="582">
        <f>'数据-汇总表'!D3</f>
        <v>214384.13</v>
      </c>
      <c r="D40" s="583">
        <v>100</v>
      </c>
      <c r="E40" s="582">
        <f>'土地案例（住宅）'!J4</f>
        <v>12799.18</v>
      </c>
      <c r="F40" s="583">
        <f>LOOKUP(E40,119:119,120:120)-LOOKUP(C40,119:119,120:120)+100</f>
        <v>100</v>
      </c>
      <c r="G40" s="582">
        <f>'土地案例（住宅）'!J32</f>
        <v>56366.559999999998</v>
      </c>
      <c r="H40" s="583">
        <f>LOOKUP(G40,119:119,120:120)-LOOKUP(C40,119:119,120:120)+100</f>
        <v>100</v>
      </c>
      <c r="I40" s="584">
        <f>'土地案例（住宅）'!J51</f>
        <v>60892.85</v>
      </c>
      <c r="J40" s="583">
        <f>LOOKUP(I40,119:119,120:120)-LOOKUP(C40,119:119,120:120)+100</f>
        <v>100</v>
      </c>
      <c r="K40" s="567"/>
      <c r="L40" s="2010"/>
      <c r="M40" s="2000"/>
      <c r="N40" s="2000"/>
      <c r="O40" s="2009"/>
      <c r="P40" s="3855"/>
      <c r="Q40" s="1494" t="str">
        <f>B40</f>
        <v>宗地面积</v>
      </c>
      <c r="R40" s="1495" t="s">
        <v>8</v>
      </c>
      <c r="S40" s="1496">
        <f t="shared" si="10"/>
        <v>100</v>
      </c>
      <c r="T40" s="1495" t="s">
        <v>8</v>
      </c>
      <c r="U40" s="1496">
        <f t="shared" si="11"/>
        <v>100</v>
      </c>
      <c r="V40" s="1495" t="s">
        <v>8</v>
      </c>
      <c r="W40" s="1496">
        <f t="shared" si="12"/>
        <v>100</v>
      </c>
      <c r="X40" s="1489"/>
      <c r="Y40" s="3855"/>
      <c r="Z40" s="1497" t="str">
        <f t="shared" si="13"/>
        <v>宗地面积</v>
      </c>
      <c r="AA40" s="1498">
        <f t="shared" si="3"/>
        <v>1</v>
      </c>
      <c r="AB40" s="1498">
        <f t="shared" si="4"/>
        <v>1</v>
      </c>
      <c r="AC40" s="1498">
        <f t="shared" si="5"/>
        <v>1</v>
      </c>
    </row>
    <row r="41" spans="1:29" ht="20.25">
      <c r="A41" s="580"/>
      <c r="B41" s="513" t="s">
        <v>547</v>
      </c>
      <c r="C41" s="585"/>
      <c r="D41" s="526">
        <v>100</v>
      </c>
      <c r="E41" s="585"/>
      <c r="F41" s="526">
        <f>SUMIF(121:121,E41,122:122)-SUMIF(121:121,C41,122:122)+100</f>
        <v>100</v>
      </c>
      <c r="G41" s="585"/>
      <c r="H41" s="526">
        <f>SUMIF(121:121,G41,122:122)-SUMIF(121:121,C41,122:122)+100</f>
        <v>100</v>
      </c>
      <c r="I41" s="585"/>
      <c r="J41" s="526">
        <f>SUMIF(121:121,I41,122:122)-SUMIF(121:121,C41,122:122)+100</f>
        <v>100</v>
      </c>
      <c r="K41" s="570"/>
      <c r="L41" s="2010"/>
      <c r="M41" s="2000"/>
      <c r="N41" s="2000"/>
      <c r="O41" s="2009"/>
      <c r="P41" s="3855"/>
      <c r="Q41" s="1494" t="str">
        <f t="shared" ref="Q41:Q47" si="14">B41</f>
        <v>宗地形状</v>
      </c>
      <c r="R41" s="1495" t="s">
        <v>8</v>
      </c>
      <c r="S41" s="1496">
        <f t="shared" si="10"/>
        <v>100</v>
      </c>
      <c r="T41" s="1495" t="s">
        <v>8</v>
      </c>
      <c r="U41" s="1496">
        <f t="shared" si="11"/>
        <v>100</v>
      </c>
      <c r="V41" s="1495" t="s">
        <v>8</v>
      </c>
      <c r="W41" s="1496">
        <f t="shared" si="12"/>
        <v>100</v>
      </c>
      <c r="X41" s="1489"/>
      <c r="Y41" s="3855"/>
      <c r="Z41" s="1497" t="str">
        <f t="shared" si="13"/>
        <v>宗地形状</v>
      </c>
      <c r="AA41" s="1498">
        <f t="shared" si="3"/>
        <v>1</v>
      </c>
      <c r="AB41" s="1498">
        <f t="shared" si="4"/>
        <v>1</v>
      </c>
      <c r="AC41" s="1498">
        <f t="shared" si="5"/>
        <v>1</v>
      </c>
    </row>
    <row r="42" spans="1:29" ht="20.25">
      <c r="A42" s="580"/>
      <c r="B42" s="513" t="s">
        <v>548</v>
      </c>
      <c r="C42" s="585"/>
      <c r="D42" s="526">
        <v>100</v>
      </c>
      <c r="E42" s="585"/>
      <c r="F42" s="526">
        <f>SUMIF(123:123,E42,124:124)-SUMIF(123:123,C42,124:124)+100</f>
        <v>100</v>
      </c>
      <c r="G42" s="585"/>
      <c r="H42" s="526">
        <f>SUMIF(123:123,G42,124:124)-SUMIF(123:123,C42,124:124)+100</f>
        <v>100</v>
      </c>
      <c r="I42" s="585"/>
      <c r="J42" s="526">
        <f>SUMIF(123:123,I42,124:124)-SUMIF(123:123,C42,124:124)+100</f>
        <v>100</v>
      </c>
      <c r="K42" s="570"/>
      <c r="L42" s="2010"/>
      <c r="M42" s="2000"/>
      <c r="N42" s="2000"/>
      <c r="O42" s="2009"/>
      <c r="P42" s="3855"/>
      <c r="Q42" s="1494" t="str">
        <f t="shared" si="14"/>
        <v>临街宽度及深度</v>
      </c>
      <c r="R42" s="1495" t="s">
        <v>8</v>
      </c>
      <c r="S42" s="1496">
        <f t="shared" si="10"/>
        <v>100</v>
      </c>
      <c r="T42" s="1495" t="s">
        <v>8</v>
      </c>
      <c r="U42" s="1496">
        <f t="shared" si="11"/>
        <v>100</v>
      </c>
      <c r="V42" s="1495" t="s">
        <v>8</v>
      </c>
      <c r="W42" s="1496">
        <f t="shared" si="12"/>
        <v>100</v>
      </c>
      <c r="X42" s="1489"/>
      <c r="Y42" s="3855"/>
      <c r="Z42" s="1497" t="str">
        <f t="shared" si="13"/>
        <v>临街宽度及深度</v>
      </c>
      <c r="AA42" s="1498">
        <f t="shared" si="3"/>
        <v>1</v>
      </c>
      <c r="AB42" s="1498">
        <f t="shared" si="4"/>
        <v>1</v>
      </c>
      <c r="AC42" s="1498">
        <f t="shared" si="5"/>
        <v>1</v>
      </c>
    </row>
    <row r="43" spans="1:29" s="1194" customFormat="1" ht="20.25">
      <c r="A43" s="586"/>
      <c r="B43" s="1795" t="s">
        <v>2403</v>
      </c>
      <c r="C43" s="587" t="s">
        <v>3723</v>
      </c>
      <c r="D43" s="245">
        <v>100</v>
      </c>
      <c r="E43" s="587" t="s">
        <v>3723</v>
      </c>
      <c r="F43" s="526">
        <f>SUMIF(125:125,E43,126:126)-SUMIF(125:125,C43,126:126)+100</f>
        <v>100</v>
      </c>
      <c r="G43" s="587" t="s">
        <v>3723</v>
      </c>
      <c r="H43" s="526">
        <f>SUMIF(125:125,G43,126:126)-SUMIF(125:125,C43,126:126)+100</f>
        <v>100</v>
      </c>
      <c r="I43" s="587" t="s">
        <v>3723</v>
      </c>
      <c r="J43" s="526">
        <f>SUMIF(125:125,I43,126:126)-SUMIF(125:125,C43,126:126)+100</f>
        <v>100</v>
      </c>
      <c r="K43" s="570"/>
      <c r="L43" s="2003"/>
      <c r="M43" s="2000"/>
      <c r="N43" s="2000"/>
      <c r="O43" s="2005"/>
      <c r="P43" s="3855"/>
      <c r="Q43" s="1494" t="str">
        <f t="shared" si="14"/>
        <v>宗地开发程度</v>
      </c>
      <c r="R43" s="1490" t="s">
        <v>8</v>
      </c>
      <c r="S43" s="1491">
        <f t="shared" si="10"/>
        <v>100</v>
      </c>
      <c r="T43" s="1490" t="s">
        <v>8</v>
      </c>
      <c r="U43" s="1491">
        <f t="shared" si="11"/>
        <v>100</v>
      </c>
      <c r="V43" s="1490" t="s">
        <v>8</v>
      </c>
      <c r="W43" s="1491">
        <f t="shared" si="12"/>
        <v>100</v>
      </c>
      <c r="X43" s="1492"/>
      <c r="Y43" s="3855"/>
      <c r="Z43" s="1124" t="str">
        <f t="shared" si="13"/>
        <v>宗地开发程度</v>
      </c>
      <c r="AA43" s="1493">
        <f t="shared" si="3"/>
        <v>1</v>
      </c>
      <c r="AB43" s="1493">
        <f t="shared" si="4"/>
        <v>1</v>
      </c>
      <c r="AC43" s="1493">
        <f t="shared" si="5"/>
        <v>1</v>
      </c>
    </row>
    <row r="44" spans="1:29" ht="20.25">
      <c r="A44" s="580"/>
      <c r="B44" s="513" t="s">
        <v>549</v>
      </c>
      <c r="C44" s="585" t="s">
        <v>3725</v>
      </c>
      <c r="D44" s="526">
        <v>100</v>
      </c>
      <c r="E44" s="585" t="s">
        <v>3725</v>
      </c>
      <c r="F44" s="526">
        <f>SUMIF(127:127,E44,128:128)-SUMIF(127:127,C44,128:128)+100</f>
        <v>100</v>
      </c>
      <c r="G44" s="585" t="s">
        <v>3725</v>
      </c>
      <c r="H44" s="526">
        <f>SUMIF(127:127,G44,128:128)-SUMIF(127:127,C44,128:128)+100</f>
        <v>100</v>
      </c>
      <c r="I44" s="585" t="s">
        <v>3725</v>
      </c>
      <c r="J44" s="526">
        <f>SUMIF(127:127,I44,128:128)-SUMIF(127:127,C44,128:128)+100</f>
        <v>100</v>
      </c>
      <c r="K44" s="570"/>
      <c r="L44" s="2010"/>
      <c r="M44" s="2000"/>
      <c r="N44" s="2000"/>
      <c r="O44" s="2009"/>
      <c r="P44" s="3855" t="s">
        <v>544</v>
      </c>
      <c r="Q44" s="1494" t="str">
        <f t="shared" si="14"/>
        <v>工程地质条件</v>
      </c>
      <c r="R44" s="1495" t="s">
        <v>8</v>
      </c>
      <c r="S44" s="1496">
        <f t="shared" si="10"/>
        <v>100</v>
      </c>
      <c r="T44" s="1495" t="s">
        <v>8</v>
      </c>
      <c r="U44" s="1496">
        <f t="shared" si="11"/>
        <v>100</v>
      </c>
      <c r="V44" s="1495" t="s">
        <v>8</v>
      </c>
      <c r="W44" s="1496">
        <f t="shared" si="12"/>
        <v>100</v>
      </c>
      <c r="X44" s="1489"/>
      <c r="Y44" s="3855" t="s">
        <v>544</v>
      </c>
      <c r="Z44" s="1497" t="str">
        <f t="shared" si="13"/>
        <v>工程地质条件</v>
      </c>
      <c r="AA44" s="1498">
        <f t="shared" si="3"/>
        <v>1</v>
      </c>
      <c r="AB44" s="1498">
        <f t="shared" si="4"/>
        <v>1</v>
      </c>
      <c r="AC44" s="1498">
        <f t="shared" si="5"/>
        <v>1</v>
      </c>
    </row>
    <row r="45" spans="1:29" ht="20.25">
      <c r="A45" s="580"/>
      <c r="B45" s="3334" t="s">
        <v>3831</v>
      </c>
      <c r="C45" s="528" t="str">
        <f>C129</f>
        <v>特大/特小</v>
      </c>
      <c r="D45" s="526">
        <v>100</v>
      </c>
      <c r="E45" s="528" t="str">
        <f>D129</f>
        <v>较大/较小</v>
      </c>
      <c r="F45" s="526">
        <f>SUMIF(129:129,E45,130:130)-SUMIF(129:129,C45,130:130)+100</f>
        <v>100.5</v>
      </c>
      <c r="G45" s="528" t="str">
        <f>E129</f>
        <v>适宜</v>
      </c>
      <c r="H45" s="526">
        <f>SUMIF(129:129,G45,130:130)-SUMIF(129:129,C45,130:130)+100</f>
        <v>101</v>
      </c>
      <c r="I45" s="527" t="str">
        <f>E129</f>
        <v>适宜</v>
      </c>
      <c r="J45" s="526">
        <f>SUMIF(129:129,I45,130:130)-SUMIF(129:129,C45,130:130)+100</f>
        <v>101</v>
      </c>
      <c r="K45" s="567"/>
      <c r="L45" s="2010"/>
      <c r="M45" s="2000"/>
      <c r="N45" s="2000"/>
      <c r="O45" s="2009"/>
      <c r="P45" s="3855"/>
      <c r="Q45" s="1494" t="str">
        <f t="shared" si="14"/>
        <v>宗地面积</v>
      </c>
      <c r="R45" s="1495" t="s">
        <v>8</v>
      </c>
      <c r="S45" s="1496">
        <f t="shared" si="10"/>
        <v>100.5</v>
      </c>
      <c r="T45" s="1495" t="s">
        <v>8</v>
      </c>
      <c r="U45" s="1496">
        <f t="shared" si="11"/>
        <v>101</v>
      </c>
      <c r="V45" s="1495" t="s">
        <v>8</v>
      </c>
      <c r="W45" s="1496">
        <f t="shared" si="12"/>
        <v>101</v>
      </c>
      <c r="X45" s="1489"/>
      <c r="Y45" s="3855"/>
      <c r="Z45" s="1497" t="str">
        <f t="shared" si="13"/>
        <v>宗地面积</v>
      </c>
      <c r="AA45" s="1498">
        <f t="shared" si="3"/>
        <v>0.99502487562189057</v>
      </c>
      <c r="AB45" s="1498">
        <f t="shared" si="4"/>
        <v>0.99009900990099009</v>
      </c>
      <c r="AC45" s="1498">
        <f t="shared" si="5"/>
        <v>0.99009900990099009</v>
      </c>
    </row>
    <row r="46" spans="1:29" ht="20.25">
      <c r="A46" s="580"/>
      <c r="B46" s="588"/>
      <c r="C46" s="528"/>
      <c r="D46" s="526">
        <v>100</v>
      </c>
      <c r="E46" s="528"/>
      <c r="F46" s="526">
        <f>SUMIF(131:131,E46,132:132)-SUMIF(131:131,C46,132:132)+100</f>
        <v>100</v>
      </c>
      <c r="G46" s="528"/>
      <c r="H46" s="526">
        <f>SUMIF(131:131,G46,132:132)-SUMIF(131:131,C46,132:132)+100</f>
        <v>100</v>
      </c>
      <c r="I46" s="527"/>
      <c r="J46" s="526">
        <f>SUMIF(131:131,I46,132:132)-SUMIF(131:131,C46,132:132)+100</f>
        <v>100</v>
      </c>
      <c r="K46" s="567"/>
      <c r="L46" s="2010"/>
      <c r="M46" s="2000"/>
      <c r="N46" s="2000"/>
      <c r="O46" s="2009"/>
      <c r="P46" s="3855"/>
      <c r="Q46" s="1494">
        <f t="shared" si="14"/>
        <v>0</v>
      </c>
      <c r="R46" s="1495" t="s">
        <v>8</v>
      </c>
      <c r="S46" s="1496">
        <f t="shared" si="10"/>
        <v>100</v>
      </c>
      <c r="T46" s="1495" t="s">
        <v>8</v>
      </c>
      <c r="U46" s="1496">
        <f t="shared" si="11"/>
        <v>100</v>
      </c>
      <c r="V46" s="1495" t="s">
        <v>8</v>
      </c>
      <c r="W46" s="1496">
        <f t="shared" si="12"/>
        <v>100</v>
      </c>
      <c r="X46" s="1489"/>
      <c r="Y46" s="3855"/>
      <c r="Z46" s="1497">
        <f t="shared" si="13"/>
        <v>0</v>
      </c>
      <c r="AA46" s="1498">
        <f t="shared" si="3"/>
        <v>1</v>
      </c>
      <c r="AB46" s="1498">
        <f t="shared" si="4"/>
        <v>1</v>
      </c>
      <c r="AC46" s="1498">
        <f t="shared" si="5"/>
        <v>1</v>
      </c>
    </row>
    <row r="47" spans="1:29" s="1283" customFormat="1" ht="21" thickBot="1">
      <c r="A47" s="589"/>
      <c r="B47" s="588"/>
      <c r="C47" s="590"/>
      <c r="D47" s="591">
        <v>100</v>
      </c>
      <c r="E47" s="528"/>
      <c r="F47" s="532">
        <f>SUMIF(133:133,E47,134:134)-SUMIF(133:133,C47,134:134)+100</f>
        <v>100</v>
      </c>
      <c r="G47" s="528"/>
      <c r="H47" s="532">
        <f>SUMIF(133:133,G47,134:134)-SUMIF(133:133,C47,134:134)+100</f>
        <v>100</v>
      </c>
      <c r="I47" s="528"/>
      <c r="J47" s="532">
        <f>SUMIF(133:133,I47,134:134)-SUMIF(133:133,C47,134:134)+100</f>
        <v>100</v>
      </c>
      <c r="K47" s="592"/>
      <c r="L47" s="2008"/>
      <c r="M47" s="2000"/>
      <c r="N47" s="2000"/>
      <c r="O47" s="2011"/>
      <c r="P47" s="3855"/>
      <c r="Q47" s="1494">
        <f t="shared" si="14"/>
        <v>0</v>
      </c>
      <c r="R47" s="1499" t="s">
        <v>8</v>
      </c>
      <c r="S47" s="1500">
        <f t="shared" si="10"/>
        <v>100</v>
      </c>
      <c r="T47" s="1499" t="s">
        <v>8</v>
      </c>
      <c r="U47" s="1500">
        <f t="shared" si="11"/>
        <v>100</v>
      </c>
      <c r="V47" s="1499" t="s">
        <v>8</v>
      </c>
      <c r="W47" s="1500">
        <f t="shared" si="12"/>
        <v>100</v>
      </c>
      <c r="X47" s="1501"/>
      <c r="Y47" s="3855"/>
      <c r="Z47" s="1502">
        <f t="shared" si="13"/>
        <v>0</v>
      </c>
      <c r="AA47" s="1498">
        <f t="shared" si="3"/>
        <v>1</v>
      </c>
      <c r="AB47" s="1498">
        <f t="shared" si="4"/>
        <v>1</v>
      </c>
      <c r="AC47" s="1498">
        <f t="shared" si="5"/>
        <v>1</v>
      </c>
    </row>
    <row r="48" spans="1:29" ht="20.25">
      <c r="A48" s="593" t="s">
        <v>550</v>
      </c>
      <c r="B48" s="594" t="s">
        <v>3712</v>
      </c>
      <c r="C48" s="595" t="s">
        <v>1</v>
      </c>
      <c r="D48" s="596"/>
      <c r="E48" s="597">
        <f>ROUNDDOWN('土地案例（住宅）'!AK4,0)</f>
        <v>2812</v>
      </c>
      <c r="F48" s="598"/>
      <c r="G48" s="599">
        <f>ROUNDDOWN('土地案例（住宅）'!AK32,0)</f>
        <v>3001</v>
      </c>
      <c r="H48" s="600"/>
      <c r="I48" s="597">
        <f>ROUNDDOWN('土地案例（住宅）'!AK51,0)</f>
        <v>2760</v>
      </c>
      <c r="J48" s="600"/>
      <c r="K48" s="1284"/>
      <c r="L48" s="2012"/>
      <c r="M48" s="2000"/>
      <c r="N48" s="2000"/>
      <c r="O48" s="2013"/>
      <c r="P48" s="3850" t="str">
        <f>A48</f>
        <v>成交单价</v>
      </c>
      <c r="Q48" s="3850"/>
      <c r="R48" s="3864">
        <f>E48</f>
        <v>2812</v>
      </c>
      <c r="S48" s="3864"/>
      <c r="T48" s="3864">
        <f>G48</f>
        <v>3001</v>
      </c>
      <c r="U48" s="3864"/>
      <c r="V48" s="3864">
        <f>I48</f>
        <v>2760</v>
      </c>
      <c r="W48" s="3864"/>
      <c r="X48" s="1484"/>
      <c r="Y48" s="1503"/>
      <c r="Z48" s="1484"/>
      <c r="AA48" s="1484"/>
      <c r="AB48" s="1484"/>
      <c r="AC48" s="1484"/>
    </row>
    <row r="49" spans="1:29" ht="21" thickBot="1">
      <c r="A49" s="601" t="s">
        <v>2667</v>
      </c>
      <c r="B49" s="602"/>
      <c r="C49" s="603">
        <f>R50</f>
        <v>2185</v>
      </c>
      <c r="D49" s="2999" t="s">
        <v>2961</v>
      </c>
      <c r="E49" s="603">
        <f>R49</f>
        <v>2208</v>
      </c>
      <c r="F49" s="3000"/>
      <c r="G49" s="604">
        <f>T49</f>
        <v>2184</v>
      </c>
      <c r="H49" s="3000"/>
      <c r="I49" s="603">
        <f>V49</f>
        <v>2162</v>
      </c>
      <c r="J49" s="3000"/>
      <c r="K49" s="3001">
        <f>F49+H49+J49</f>
        <v>0</v>
      </c>
      <c r="L49" s="2012"/>
      <c r="M49" s="2000"/>
      <c r="N49" s="2000"/>
      <c r="O49" s="2013"/>
      <c r="P49" s="3850" t="str">
        <f>A49</f>
        <v>比较价格（元/平方米）</v>
      </c>
      <c r="Q49" s="3850"/>
      <c r="R49" s="3874">
        <f>ROUND(PRODUCT(R48,AA9:AA47),0)</f>
        <v>2208</v>
      </c>
      <c r="S49" s="3874"/>
      <c r="T49" s="3874">
        <f>ROUND(PRODUCT(T48,AB9:AB47),0)</f>
        <v>2184</v>
      </c>
      <c r="U49" s="3874"/>
      <c r="V49" s="3874">
        <f>ROUND(PRODUCT(V48,AC9:AC47),0)</f>
        <v>2162</v>
      </c>
      <c r="W49" s="3874"/>
      <c r="X49" s="1484"/>
      <c r="Y49" s="1484"/>
      <c r="Z49" s="1484"/>
      <c r="AA49" s="1484"/>
      <c r="AB49" s="1484"/>
      <c r="AC49" s="1484"/>
    </row>
    <row r="50" spans="1:29" ht="18.75" customHeight="1" thickBot="1">
      <c r="A50" s="605" t="s">
        <v>2893</v>
      </c>
      <c r="B50" s="606"/>
      <c r="C50" s="607">
        <f>R50</f>
        <v>2185</v>
      </c>
      <c r="D50" s="607"/>
      <c r="E50" s="607"/>
      <c r="F50" s="607"/>
      <c r="G50" s="607"/>
      <c r="H50" s="607"/>
      <c r="I50" s="607"/>
      <c r="J50" s="607"/>
      <c r="K50" s="1285"/>
      <c r="L50" s="2012"/>
      <c r="M50" s="2000"/>
      <c r="N50" s="2000"/>
      <c r="O50" s="2013"/>
      <c r="P50" s="3871" t="str">
        <f>A50</f>
        <v>估价对象XX用房的比较价格（楼面单价，元/平方米）</v>
      </c>
      <c r="Q50" s="3872"/>
      <c r="R50" s="3873">
        <f>ROUND(IF(D49="简单平均",AVERAGE(R49:W49),R49*F49+T49*H49+V49*J49),0)</f>
        <v>2185</v>
      </c>
      <c r="S50" s="3873"/>
      <c r="T50" s="3873"/>
      <c r="U50" s="3873"/>
      <c r="V50" s="3873"/>
      <c r="W50" s="3873"/>
      <c r="X50" s="1484"/>
      <c r="Y50" s="1484"/>
      <c r="Z50" s="1484"/>
      <c r="AA50" s="1484"/>
      <c r="AB50" s="1484"/>
      <c r="AC50" s="1484"/>
    </row>
    <row r="51" spans="1:29" ht="20.25">
      <c r="A51" s="3199"/>
      <c r="B51" s="3199"/>
      <c r="C51" s="3199"/>
      <c r="D51" s="3199"/>
      <c r="E51" s="3199"/>
      <c r="F51" s="3199"/>
      <c r="G51" s="3201"/>
      <c r="H51" s="3199"/>
      <c r="I51" s="3199"/>
      <c r="J51" s="3199"/>
      <c r="K51" s="3202"/>
      <c r="L51" s="2017"/>
      <c r="M51" s="2000"/>
      <c r="N51" s="2000"/>
      <c r="O51" s="2013"/>
      <c r="P51" s="2013"/>
      <c r="Q51" s="2013"/>
      <c r="R51" s="2013"/>
      <c r="S51" s="2013"/>
      <c r="T51" s="2013"/>
      <c r="U51" s="2013"/>
      <c r="V51" s="2013"/>
      <c r="W51" s="2013"/>
      <c r="X51" s="2013"/>
      <c r="Y51" s="2013"/>
      <c r="Z51" s="2013"/>
      <c r="AA51" s="2013"/>
      <c r="AB51" s="2013"/>
      <c r="AC51" s="2013"/>
    </row>
    <row r="52" spans="1:29" ht="20.25">
      <c r="A52" s="3199"/>
      <c r="B52" s="3199"/>
      <c r="C52" s="3199"/>
      <c r="D52" s="3199"/>
      <c r="E52" s="3199"/>
      <c r="F52" s="3199"/>
      <c r="G52" s="3199"/>
      <c r="H52" s="3199"/>
      <c r="I52" s="3199"/>
      <c r="J52" s="3199"/>
      <c r="K52" s="3202"/>
      <c r="L52" s="2017"/>
      <c r="M52" s="2000"/>
      <c r="N52" s="2000"/>
      <c r="O52" s="2013"/>
      <c r="P52" s="2013"/>
      <c r="Q52" s="2013"/>
      <c r="R52" s="2013"/>
      <c r="S52" s="2013"/>
      <c r="T52" s="2013"/>
      <c r="U52" s="2013"/>
      <c r="V52" s="2013"/>
      <c r="W52" s="2013"/>
      <c r="X52" s="2013"/>
      <c r="Y52" s="2013"/>
      <c r="Z52" s="2013"/>
      <c r="AA52" s="2013"/>
      <c r="AB52" s="2013"/>
      <c r="AC52" s="2013"/>
    </row>
    <row r="53" spans="1:29" ht="13.5" customHeight="1">
      <c r="A53" s="3199"/>
      <c r="B53" s="3199"/>
      <c r="C53" s="608" t="s">
        <v>551</v>
      </c>
      <c r="D53" s="609"/>
      <c r="E53" s="610">
        <f>IF(E48&lt;E49,E49/E48-1,E48/E49-1)</f>
        <v>0.27355072463768115</v>
      </c>
      <c r="F53" s="611" t="str">
        <f>IF(OR(E53&gt;=0.3,E53&lt;=-0.3),"超过30%","")</f>
        <v/>
      </c>
      <c r="G53" s="610">
        <f>IF(G48&lt;G49,G49/G48-1,G48/G49-1)</f>
        <v>0.37408424908424909</v>
      </c>
      <c r="H53" s="611" t="str">
        <f>IF(OR(G53&gt;=0.3,G53&lt;=-0.3),"超过30%","")</f>
        <v>超过30%</v>
      </c>
      <c r="I53" s="610">
        <f>IF(I48&lt;I49,I49/I48-1,I48/I49-1)</f>
        <v>0.27659574468085113</v>
      </c>
      <c r="J53" s="611" t="str">
        <f>IF(OR(I53&gt;=0.3,I53&lt;=-0.3),"超过30%","")</f>
        <v/>
      </c>
      <c r="K53" s="3202"/>
      <c r="L53" s="2017"/>
      <c r="M53" s="2000"/>
      <c r="N53" s="2000"/>
      <c r="O53" s="2013"/>
      <c r="P53" s="2013"/>
      <c r="Q53" s="2013"/>
      <c r="R53" s="2013"/>
      <c r="S53" s="2013"/>
      <c r="T53" s="2013"/>
      <c r="U53" s="2013"/>
      <c r="V53" s="2013"/>
      <c r="W53" s="2013"/>
      <c r="X53" s="2013"/>
      <c r="Y53" s="2013"/>
      <c r="Z53" s="2013"/>
      <c r="AA53" s="2013"/>
      <c r="AB53" s="2013"/>
      <c r="AC53" s="2013"/>
    </row>
    <row r="54" spans="1:29" ht="13.5" customHeight="1">
      <c r="A54" s="3199"/>
      <c r="B54" s="3199"/>
      <c r="C54" s="608" t="s">
        <v>552</v>
      </c>
      <c r="D54" s="612"/>
      <c r="E54" s="610">
        <f>IF(E49&lt;G49,G49/E49-1,E49/G49-1)</f>
        <v>1.098901098901095E-2</v>
      </c>
      <c r="F54" s="611" t="str">
        <f>IF(OR(E54&gt;=0.2,E54&lt;=-0.2),"超过20%","")</f>
        <v/>
      </c>
      <c r="G54" s="610">
        <f>IF(G49&lt;I49,I49/G49-1,G49/I49-1)</f>
        <v>1.0175763182238562E-2</v>
      </c>
      <c r="H54" s="611" t="str">
        <f>IF(OR(G54&gt;=0.2,G54&lt;=-0.2),"超过20%","")</f>
        <v/>
      </c>
      <c r="I54" s="610">
        <f>IF(I49&lt;E49,E49/I49-1,I49/E49-1)</f>
        <v>2.1276595744680771E-2</v>
      </c>
      <c r="J54" s="611" t="str">
        <f>IF(OR(I54&gt;=0.2,I54&lt;=-0.2),"超过20%","")</f>
        <v/>
      </c>
      <c r="K54" s="3202"/>
      <c r="L54" s="2017"/>
      <c r="M54" s="2000"/>
      <c r="N54" s="2000"/>
      <c r="O54" s="2013"/>
      <c r="P54" s="2013"/>
      <c r="Q54" s="2013"/>
      <c r="R54" s="2013"/>
      <c r="S54" s="2013"/>
      <c r="T54" s="2013"/>
      <c r="U54" s="2013"/>
      <c r="V54" s="2013"/>
      <c r="W54" s="2013"/>
      <c r="X54" s="2013"/>
      <c r="Y54" s="2013"/>
      <c r="Z54" s="2013"/>
      <c r="AA54" s="2013"/>
      <c r="AB54" s="2013"/>
      <c r="AC54" s="2013"/>
    </row>
    <row r="55" spans="1:29" s="1288" customFormat="1" ht="13.5" customHeight="1">
      <c r="A55" s="3200"/>
      <c r="B55" s="3200"/>
      <c r="C55" s="608" t="s">
        <v>553</v>
      </c>
      <c r="D55" s="612"/>
      <c r="E55" s="610">
        <f>IF(E48&lt;G48,G48/E48-1,E48/G48-1)</f>
        <v>6.7211948790896203E-2</v>
      </c>
      <c r="F55" s="611" t="str">
        <f>IF(OR(E55&gt;=0.3,E55&lt;=-0.3),"超过30%","")</f>
        <v/>
      </c>
      <c r="G55" s="610">
        <f>IF(G48&lt;I48,I48/G48-1,G48/I48-1)</f>
        <v>8.7318840579710066E-2</v>
      </c>
      <c r="H55" s="611" t="str">
        <f>IF(OR(G55&gt;=0.3,G55&lt;=-0.3),"超过30%","")</f>
        <v/>
      </c>
      <c r="I55" s="610">
        <f>IF(I48&lt;E48,E48/I48-1,I48/E48-1)</f>
        <v>1.8840579710144967E-2</v>
      </c>
      <c r="J55" s="611" t="str">
        <f>IF(OR(I55&gt;=0.3,I55&lt;=-0.3),"超过30%","")</f>
        <v/>
      </c>
      <c r="K55" s="3203"/>
      <c r="L55" s="2020"/>
      <c r="M55" s="2000"/>
      <c r="N55" s="2000"/>
      <c r="O55" s="2014"/>
      <c r="P55" s="2014"/>
      <c r="Q55" s="2014"/>
      <c r="R55" s="2014"/>
      <c r="S55" s="2014"/>
      <c r="T55" s="2014"/>
      <c r="U55" s="2014"/>
      <c r="V55" s="2014"/>
      <c r="W55" s="2014"/>
      <c r="X55" s="2014"/>
      <c r="Y55" s="2014"/>
      <c r="Z55" s="2014"/>
      <c r="AA55" s="2014"/>
      <c r="AB55" s="2014"/>
      <c r="AC55" s="2014"/>
    </row>
    <row r="56" spans="1:29" s="1288" customFormat="1" ht="21" thickBot="1">
      <c r="A56" s="2014"/>
      <c r="B56" s="2015"/>
      <c r="C56" s="2018"/>
      <c r="D56" s="2014"/>
      <c r="E56" s="2014"/>
      <c r="F56" s="2014"/>
      <c r="G56" s="2014"/>
      <c r="H56" s="2014"/>
      <c r="I56" s="2014"/>
      <c r="J56" s="2014"/>
      <c r="K56" s="3203"/>
      <c r="L56" s="2020"/>
      <c r="M56" s="2000"/>
      <c r="N56" s="2000"/>
      <c r="O56" s="2014"/>
      <c r="P56" s="2014"/>
      <c r="Q56" s="2014"/>
      <c r="R56" s="2014"/>
      <c r="S56" s="2014"/>
      <c r="T56" s="2014"/>
      <c r="U56" s="2014"/>
      <c r="V56" s="2014"/>
      <c r="W56" s="2014"/>
      <c r="X56" s="2014"/>
      <c r="Y56" s="2014"/>
      <c r="Z56" s="2014"/>
      <c r="AA56" s="2014"/>
      <c r="AB56" s="2014"/>
      <c r="AC56" s="2014"/>
    </row>
    <row r="57" spans="1:29" ht="26.25" customHeight="1">
      <c r="A57" s="613" t="s">
        <v>554</v>
      </c>
      <c r="B57" s="614" t="s">
        <v>555</v>
      </c>
      <c r="C57" s="1485" t="s">
        <v>3720</v>
      </c>
      <c r="D57" s="2093" t="s">
        <v>2278</v>
      </c>
      <c r="E57" s="615" t="s">
        <v>556</v>
      </c>
      <c r="F57" s="616" t="s">
        <v>557</v>
      </c>
      <c r="G57" s="3834" t="s">
        <v>2266</v>
      </c>
      <c r="H57" s="3835"/>
      <c r="I57" s="1481" t="s">
        <v>1712</v>
      </c>
      <c r="J57" s="1481" t="str">
        <f>项目基本情况!F41</f>
        <v>四川省眉山市视高街道新明村、南桥社区</v>
      </c>
      <c r="K57" s="2021" t="s">
        <v>1713</v>
      </c>
      <c r="L57" s="2017"/>
      <c r="M57" s="2013"/>
      <c r="N57" s="2013"/>
      <c r="O57" s="2013"/>
      <c r="P57" s="2013"/>
      <c r="Q57" s="2013"/>
      <c r="R57" s="2013"/>
      <c r="S57" s="2013"/>
      <c r="T57" s="2013"/>
      <c r="U57" s="2013"/>
      <c r="V57" s="2013"/>
      <c r="W57" s="2013"/>
      <c r="X57" s="2013"/>
      <c r="Y57" s="2013"/>
      <c r="Z57" s="2013"/>
      <c r="AA57" s="2013"/>
      <c r="AB57" s="2013"/>
      <c r="AC57" s="2013"/>
    </row>
    <row r="58" spans="1:29" s="1289" customFormat="1" ht="12.75">
      <c r="A58" s="617" t="s">
        <v>558</v>
      </c>
      <c r="B58" s="618">
        <f>C50</f>
        <v>2185</v>
      </c>
      <c r="C58" s="619">
        <v>1</v>
      </c>
      <c r="D58" s="2094">
        <v>1</v>
      </c>
      <c r="E58" s="619">
        <f>'数据-汇总表'!E8+'数据-汇总表'!E9</f>
        <v>461591.08999999997</v>
      </c>
      <c r="F58" s="620">
        <f t="shared" ref="F58:F67" si="15">ROUND(B58*E58/10000,0)</f>
        <v>100858</v>
      </c>
      <c r="G58" s="3836"/>
      <c r="H58" s="3837"/>
      <c r="I58" s="1482">
        <v>1</v>
      </c>
      <c r="J58" s="1482">
        <v>1</v>
      </c>
      <c r="K58" s="3204"/>
      <c r="L58" s="2022"/>
      <c r="M58" s="2022"/>
      <c r="N58" s="2022"/>
      <c r="O58" s="2022"/>
      <c r="P58" s="2022"/>
      <c r="Q58" s="2022"/>
      <c r="R58" s="2022"/>
      <c r="S58" s="2022"/>
      <c r="T58" s="2022"/>
      <c r="U58" s="2022"/>
      <c r="V58" s="2022"/>
      <c r="W58" s="2022"/>
      <c r="X58" s="2022"/>
      <c r="Y58" s="2022"/>
      <c r="Z58" s="2022"/>
      <c r="AA58" s="2022"/>
      <c r="AB58" s="2022"/>
      <c r="AC58" s="2022"/>
    </row>
    <row r="59" spans="1:29" s="1289" customFormat="1" ht="12.75">
      <c r="A59" s="621" t="s">
        <v>559</v>
      </c>
      <c r="B59" s="622">
        <f>ROUND($C$50*C59*D59,0)</f>
        <v>0</v>
      </c>
      <c r="C59" s="364">
        <f t="shared" ref="C59:C67" si="16">IF($C$57="北京市系数",I59,J59)</f>
        <v>0</v>
      </c>
      <c r="D59" s="2095">
        <v>0.25</v>
      </c>
      <c r="E59" s="623">
        <v>0</v>
      </c>
      <c r="F59" s="620">
        <f t="shared" si="15"/>
        <v>0</v>
      </c>
      <c r="G59" s="3838" t="s">
        <v>2267</v>
      </c>
      <c r="H59" s="1848">
        <f>项目基本情况!B43</f>
        <v>0</v>
      </c>
      <c r="I59" s="1482">
        <f>SUMIF(修正!$A$45:$A$56,H59,修正!B45:B56)</f>
        <v>0</v>
      </c>
      <c r="J59" s="1483"/>
      <c r="K59" s="3204"/>
      <c r="L59" s="2022"/>
      <c r="M59" s="2022"/>
      <c r="N59" s="2022"/>
      <c r="O59" s="2022"/>
      <c r="P59" s="2022"/>
      <c r="Q59" s="2022"/>
      <c r="R59" s="2022"/>
      <c r="S59" s="2022"/>
      <c r="T59" s="2022"/>
      <c r="U59" s="2022"/>
      <c r="V59" s="2022"/>
      <c r="W59" s="2022"/>
      <c r="X59" s="2022"/>
      <c r="Y59" s="2022"/>
      <c r="Z59" s="2022"/>
      <c r="AA59" s="2022"/>
      <c r="AB59" s="2022"/>
      <c r="AC59" s="2022"/>
    </row>
    <row r="60" spans="1:29" s="1289" customFormat="1" ht="12.75">
      <c r="A60" s="621" t="s">
        <v>560</v>
      </c>
      <c r="B60" s="622">
        <f t="shared" ref="B60:B67" si="17">ROUND($C$50*C60*D60,0)</f>
        <v>0</v>
      </c>
      <c r="C60" s="364">
        <f t="shared" si="16"/>
        <v>0</v>
      </c>
      <c r="D60" s="2095">
        <v>0.25</v>
      </c>
      <c r="E60" s="623">
        <v>0</v>
      </c>
      <c r="F60" s="620">
        <f t="shared" si="15"/>
        <v>0</v>
      </c>
      <c r="G60" s="3838"/>
      <c r="H60" s="1848">
        <f>项目基本情况!B43</f>
        <v>0</v>
      </c>
      <c r="I60" s="1482">
        <f>SUMIF(修正!$A$45:$A$56,H60,修正!C45:C56)</f>
        <v>0</v>
      </c>
      <c r="J60" s="1483"/>
      <c r="K60" s="3204"/>
      <c r="L60" s="2022"/>
      <c r="M60" s="2022"/>
      <c r="N60" s="2022"/>
      <c r="O60" s="2022"/>
      <c r="P60" s="2022"/>
      <c r="Q60" s="2022"/>
      <c r="R60" s="2022"/>
      <c r="S60" s="2022"/>
      <c r="T60" s="2022"/>
      <c r="U60" s="2022"/>
      <c r="V60" s="2022"/>
      <c r="W60" s="2022"/>
      <c r="X60" s="2022"/>
      <c r="Y60" s="2022"/>
      <c r="Z60" s="2022"/>
      <c r="AA60" s="2022"/>
      <c r="AB60" s="2022"/>
      <c r="AC60" s="2022"/>
    </row>
    <row r="61" spans="1:29" s="1289" customFormat="1" ht="12.75">
      <c r="A61" s="621" t="s">
        <v>561</v>
      </c>
      <c r="B61" s="622">
        <f t="shared" si="17"/>
        <v>0</v>
      </c>
      <c r="C61" s="364">
        <f t="shared" si="16"/>
        <v>0</v>
      </c>
      <c r="D61" s="2095">
        <v>0.25</v>
      </c>
      <c r="E61" s="623">
        <v>0</v>
      </c>
      <c r="F61" s="620">
        <f t="shared" si="15"/>
        <v>0</v>
      </c>
      <c r="G61" s="3838"/>
      <c r="H61" s="1848">
        <f>项目基本情况!B43</f>
        <v>0</v>
      </c>
      <c r="I61" s="1482">
        <f>SUMIF(修正!$A$45:$A$56,H61,修正!D45:D56)</f>
        <v>0</v>
      </c>
      <c r="J61" s="1483"/>
      <c r="K61" s="3204"/>
      <c r="L61" s="2022"/>
      <c r="M61" s="2022"/>
      <c r="N61" s="2022"/>
      <c r="O61" s="2022"/>
      <c r="P61" s="2022"/>
      <c r="Q61" s="2022"/>
      <c r="R61" s="2022"/>
      <c r="S61" s="2022"/>
      <c r="T61" s="2022"/>
      <c r="U61" s="2022"/>
      <c r="V61" s="2022"/>
      <c r="W61" s="2022"/>
      <c r="X61" s="2022"/>
      <c r="Y61" s="2022"/>
      <c r="Z61" s="2022"/>
      <c r="AA61" s="2022"/>
      <c r="AB61" s="2022"/>
      <c r="AC61" s="2022"/>
    </row>
    <row r="62" spans="1:29" s="1289" customFormat="1" ht="12.75">
      <c r="A62" s="621" t="s">
        <v>562</v>
      </c>
      <c r="B62" s="622">
        <f t="shared" si="17"/>
        <v>0</v>
      </c>
      <c r="C62" s="364">
        <f t="shared" si="16"/>
        <v>0</v>
      </c>
      <c r="D62" s="2095">
        <v>0.25</v>
      </c>
      <c r="E62" s="623">
        <v>0</v>
      </c>
      <c r="F62" s="620">
        <f t="shared" si="15"/>
        <v>0</v>
      </c>
      <c r="G62" s="3838"/>
      <c r="H62" s="1848">
        <f>项目基本情况!B43</f>
        <v>0</v>
      </c>
      <c r="I62" s="1482">
        <f>SUMIF(修正!$A$45:$A$56,H62,修正!E45:E56)</f>
        <v>0</v>
      </c>
      <c r="J62" s="1483"/>
      <c r="K62" s="3204"/>
      <c r="L62" s="2022"/>
      <c r="M62" s="2022"/>
      <c r="N62" s="2022"/>
      <c r="O62" s="2022"/>
      <c r="P62" s="2022"/>
      <c r="Q62" s="2022"/>
      <c r="R62" s="2022"/>
      <c r="S62" s="2022"/>
      <c r="T62" s="2022"/>
      <c r="U62" s="2022"/>
      <c r="V62" s="2022"/>
      <c r="W62" s="2022"/>
      <c r="X62" s="2022"/>
      <c r="Y62" s="2022"/>
      <c r="Z62" s="2022"/>
      <c r="AA62" s="2022"/>
      <c r="AB62" s="2022"/>
      <c r="AC62" s="2022"/>
    </row>
    <row r="63" spans="1:29" s="1289" customFormat="1" ht="12.75">
      <c r="A63" s="2197" t="s">
        <v>2310</v>
      </c>
      <c r="B63" s="622">
        <f t="shared" si="17"/>
        <v>0</v>
      </c>
      <c r="C63" s="364">
        <f t="shared" si="16"/>
        <v>0</v>
      </c>
      <c r="D63" s="2095">
        <v>0.25</v>
      </c>
      <c r="E63" s="625">
        <f>'数据-汇总表'!E11</f>
        <v>0</v>
      </c>
      <c r="F63" s="620">
        <f t="shared" si="15"/>
        <v>0</v>
      </c>
      <c r="G63" s="1845" t="s">
        <v>2268</v>
      </c>
      <c r="H63" s="1848">
        <f>项目基本情况!C43</f>
        <v>0</v>
      </c>
      <c r="I63" s="1482">
        <f>SUMIF(修正!$A$45:$A$56,H63,修正!F45:F56)</f>
        <v>0</v>
      </c>
      <c r="J63" s="1483"/>
      <c r="K63" s="3204"/>
      <c r="L63" s="2022"/>
      <c r="M63" s="2022"/>
      <c r="N63" s="2022"/>
      <c r="O63" s="2022"/>
      <c r="P63" s="2022"/>
      <c r="Q63" s="2022"/>
      <c r="R63" s="2022"/>
      <c r="S63" s="2022"/>
      <c r="T63" s="2022"/>
      <c r="U63" s="2022"/>
      <c r="V63" s="2022"/>
      <c r="W63" s="2022"/>
      <c r="X63" s="2022"/>
      <c r="Y63" s="2022"/>
      <c r="Z63" s="2022"/>
      <c r="AA63" s="2022"/>
      <c r="AB63" s="2022"/>
      <c r="AC63" s="2022"/>
    </row>
    <row r="64" spans="1:29" s="1289" customFormat="1" ht="12.75">
      <c r="A64" s="621" t="s">
        <v>563</v>
      </c>
      <c r="B64" s="622">
        <f t="shared" si="17"/>
        <v>0</v>
      </c>
      <c r="C64" s="364">
        <f t="shared" si="16"/>
        <v>0</v>
      </c>
      <c r="D64" s="2095">
        <v>0.25</v>
      </c>
      <c r="E64" s="625">
        <f>'数据-汇总表'!E12</f>
        <v>0</v>
      </c>
      <c r="F64" s="620">
        <f t="shared" si="15"/>
        <v>0</v>
      </c>
      <c r="G64" s="1846" t="s">
        <v>1667</v>
      </c>
      <c r="H64" s="1844">
        <f>IF(G64="商业",项目基本情况!B43,IF(G64="办公",项目基本情况!C43,IF(G64="住宅",项目基本情况!D43,项目基本情况!E43)))</f>
        <v>0</v>
      </c>
      <c r="I64" s="1482">
        <f>SUMIF(修正!$A$45:$A$56,H64,修正!G45:G56)</f>
        <v>0</v>
      </c>
      <c r="J64" s="1483"/>
      <c r="K64" s="3204"/>
      <c r="L64" s="2022"/>
      <c r="M64" s="2022"/>
      <c r="N64" s="2022"/>
      <c r="O64" s="2022"/>
      <c r="P64" s="2022"/>
      <c r="Q64" s="2022"/>
      <c r="R64" s="2022"/>
      <c r="S64" s="2022"/>
      <c r="T64" s="2022"/>
      <c r="U64" s="2022"/>
      <c r="V64" s="2022"/>
      <c r="W64" s="2022"/>
      <c r="X64" s="2022"/>
      <c r="Y64" s="2022"/>
      <c r="Z64" s="2022"/>
      <c r="AA64" s="2022"/>
      <c r="AB64" s="2022"/>
      <c r="AC64" s="2022"/>
    </row>
    <row r="65" spans="1:29" s="1289" customFormat="1" ht="12.75">
      <c r="A65" s="621" t="s">
        <v>564</v>
      </c>
      <c r="B65" s="622">
        <f t="shared" si="17"/>
        <v>0</v>
      </c>
      <c r="C65" s="364">
        <f t="shared" si="16"/>
        <v>0</v>
      </c>
      <c r="D65" s="2095">
        <v>0.25</v>
      </c>
      <c r="E65" s="625">
        <f>'数据-汇总表'!E13</f>
        <v>0</v>
      </c>
      <c r="F65" s="620">
        <f t="shared" si="15"/>
        <v>0</v>
      </c>
      <c r="G65" s="1846" t="s">
        <v>913</v>
      </c>
      <c r="H65" s="1844">
        <f>IF(G65="商业",项目基本情况!B43,IF(G65="办公",项目基本情况!C43,IF(G65="住宅",项目基本情况!D43,项目基本情况!E43)))</f>
        <v>0</v>
      </c>
      <c r="I65" s="1482">
        <f>SUMIF(修正!$A$45:$A$56,H65,修正!H45:H56)</f>
        <v>0</v>
      </c>
      <c r="J65" s="1483"/>
      <c r="K65" s="3204"/>
      <c r="L65" s="2022"/>
      <c r="M65" s="2022"/>
      <c r="N65" s="2022"/>
      <c r="O65" s="2022"/>
      <c r="P65" s="2022"/>
      <c r="Q65" s="2022"/>
      <c r="R65" s="2022"/>
      <c r="S65" s="2022"/>
      <c r="T65" s="2022"/>
      <c r="U65" s="2022"/>
      <c r="V65" s="2022"/>
      <c r="W65" s="2022"/>
      <c r="X65" s="2022"/>
      <c r="Y65" s="2022"/>
      <c r="Z65" s="2022"/>
      <c r="AA65" s="2022"/>
      <c r="AB65" s="2022"/>
      <c r="AC65" s="2022"/>
    </row>
    <row r="66" spans="1:29" s="1289" customFormat="1" ht="12.75">
      <c r="A66" s="621" t="s">
        <v>565</v>
      </c>
      <c r="B66" s="622">
        <f t="shared" si="17"/>
        <v>0</v>
      </c>
      <c r="C66" s="364">
        <f t="shared" si="16"/>
        <v>0</v>
      </c>
      <c r="D66" s="2095">
        <v>0.25</v>
      </c>
      <c r="E66" s="625">
        <f>'数据-汇总表'!E14</f>
        <v>0</v>
      </c>
      <c r="F66" s="620">
        <f t="shared" si="15"/>
        <v>0</v>
      </c>
      <c r="G66" s="1845" t="s">
        <v>2267</v>
      </c>
      <c r="H66" s="1848">
        <f>项目基本情况!B43</f>
        <v>0</v>
      </c>
      <c r="I66" s="1482">
        <f>SUMIF(修正!$A$45:$A$56,H66,修正!H45:H56)</f>
        <v>0</v>
      </c>
      <c r="J66" s="1483"/>
      <c r="K66" s="3204"/>
      <c r="L66" s="2022"/>
      <c r="M66" s="2022"/>
      <c r="N66" s="2022"/>
      <c r="O66" s="2022"/>
      <c r="P66" s="2022"/>
      <c r="Q66" s="2022"/>
      <c r="R66" s="2022"/>
      <c r="S66" s="2022"/>
      <c r="T66" s="2022"/>
      <c r="U66" s="2022"/>
      <c r="V66" s="2022"/>
      <c r="W66" s="2022"/>
      <c r="X66" s="2022"/>
      <c r="Y66" s="2022"/>
      <c r="Z66" s="2022"/>
      <c r="AA66" s="2022"/>
      <c r="AB66" s="2022"/>
      <c r="AC66" s="2022"/>
    </row>
    <row r="67" spans="1:29" s="1289" customFormat="1" ht="13.5" thickBot="1">
      <c r="A67" s="621" t="s">
        <v>566</v>
      </c>
      <c r="B67" s="622">
        <f t="shared" si="17"/>
        <v>0</v>
      </c>
      <c r="C67" s="364">
        <f t="shared" si="16"/>
        <v>0</v>
      </c>
      <c r="D67" s="2095">
        <v>0.25</v>
      </c>
      <c r="E67" s="625">
        <f>'数据-汇总表'!E15</f>
        <v>0</v>
      </c>
      <c r="F67" s="620">
        <f t="shared" si="15"/>
        <v>0</v>
      </c>
      <c r="G67" s="1847" t="s">
        <v>2268</v>
      </c>
      <c r="H67" s="1849">
        <f>项目基本情况!C43</f>
        <v>0</v>
      </c>
      <c r="I67" s="1482">
        <f>SUMIF(修正!$A$45:$A$56,H67,修正!H45:H56)</f>
        <v>0</v>
      </c>
      <c r="J67" s="1483"/>
      <c r="K67" s="3204"/>
      <c r="L67" s="2022"/>
      <c r="M67" s="2022"/>
      <c r="N67" s="2022"/>
      <c r="O67" s="2022"/>
      <c r="P67" s="2022"/>
      <c r="Q67" s="2022"/>
      <c r="R67" s="2022"/>
      <c r="S67" s="2022"/>
      <c r="T67" s="2022"/>
      <c r="U67" s="2022"/>
      <c r="V67" s="2022"/>
      <c r="W67" s="2022"/>
      <c r="X67" s="2022"/>
      <c r="Y67" s="2022"/>
      <c r="Z67" s="2022"/>
      <c r="AA67" s="2022"/>
      <c r="AB67" s="2022"/>
      <c r="AC67" s="2022"/>
    </row>
    <row r="68" spans="1:29" s="1289" customFormat="1" ht="13.5" thickBot="1">
      <c r="A68" s="626" t="s">
        <v>567</v>
      </c>
      <c r="B68" s="627" t="s">
        <v>17</v>
      </c>
      <c r="C68" s="627" t="s">
        <v>18</v>
      </c>
      <c r="D68" s="627" t="s">
        <v>2279</v>
      </c>
      <c r="E68" s="627">
        <f>IF(B48="楼面地价",SUM(E58:E67),'数据-汇总表'!D3)</f>
        <v>461591.08999999997</v>
      </c>
      <c r="F68" s="628">
        <f>IF(B48="楼面地价",SUM(F58:F67),ROUND(C50*E68/10000,0))</f>
        <v>100858</v>
      </c>
      <c r="G68" s="2023"/>
      <c r="H68" s="2023"/>
      <c r="I68" s="2023"/>
      <c r="J68" s="2023"/>
      <c r="K68" s="2023"/>
      <c r="L68" s="2022"/>
      <c r="M68" s="2022"/>
      <c r="N68" s="2022"/>
      <c r="O68" s="2022"/>
      <c r="P68" s="2022"/>
      <c r="Q68" s="2022"/>
      <c r="R68" s="2022"/>
      <c r="S68" s="2022"/>
      <c r="T68" s="2022"/>
      <c r="U68" s="2022"/>
      <c r="V68" s="2022"/>
      <c r="W68" s="2022"/>
      <c r="X68" s="2022"/>
      <c r="Y68" s="2022"/>
      <c r="Z68" s="2022"/>
      <c r="AA68" s="2022"/>
      <c r="AB68" s="2022"/>
      <c r="AC68" s="2022"/>
    </row>
    <row r="69" spans="1:29">
      <c r="A69" s="2013"/>
      <c r="B69" s="2015"/>
      <c r="C69" s="2018"/>
      <c r="D69" s="2013"/>
      <c r="E69" s="2013"/>
      <c r="F69" s="2013"/>
      <c r="G69" s="2013"/>
      <c r="H69" s="2013"/>
      <c r="I69" s="2013"/>
      <c r="J69" s="2013"/>
      <c r="K69" s="2016"/>
      <c r="L69" s="2017"/>
      <c r="M69" s="2013"/>
      <c r="N69" s="2013"/>
      <c r="O69" s="2013"/>
      <c r="P69" s="2013"/>
      <c r="Q69" s="2013"/>
      <c r="R69" s="2013"/>
      <c r="S69" s="2013"/>
      <c r="T69" s="2013"/>
      <c r="U69" s="2013"/>
      <c r="V69" s="2013"/>
      <c r="W69" s="2013"/>
      <c r="X69" s="2013"/>
      <c r="Y69" s="2013"/>
      <c r="Z69" s="2013"/>
      <c r="AA69" s="2013"/>
      <c r="AB69" s="2013"/>
      <c r="AC69" s="2013"/>
    </row>
    <row r="70" spans="1:29">
      <c r="A70" s="2013"/>
      <c r="B70" s="2015"/>
      <c r="C70" s="2502" t="str">
        <f>YEAR(C9)&amp;"-"&amp;MONTH(C9)&amp;"-1"</f>
        <v>2020-12-1</v>
      </c>
      <c r="D70" s="2502">
        <f>EDATE(C70,-3)</f>
        <v>44075</v>
      </c>
      <c r="E70" s="2502">
        <f t="shared" ref="E70:N70" si="18">EDATE(D70,-3)</f>
        <v>43983</v>
      </c>
      <c r="F70" s="2502">
        <f t="shared" si="18"/>
        <v>43891</v>
      </c>
      <c r="G70" s="2502">
        <f t="shared" si="18"/>
        <v>43800</v>
      </c>
      <c r="H70" s="2502">
        <f t="shared" si="18"/>
        <v>43709</v>
      </c>
      <c r="I70" s="2502">
        <f t="shared" si="18"/>
        <v>43617</v>
      </c>
      <c r="J70" s="2502">
        <f t="shared" si="18"/>
        <v>43525</v>
      </c>
      <c r="K70" s="2502">
        <f t="shared" si="18"/>
        <v>43435</v>
      </c>
      <c r="L70" s="2502">
        <f t="shared" si="18"/>
        <v>43344</v>
      </c>
      <c r="M70" s="2502">
        <f t="shared" si="18"/>
        <v>43252</v>
      </c>
      <c r="N70" s="2502">
        <f t="shared" si="18"/>
        <v>43160</v>
      </c>
      <c r="O70" s="2013"/>
      <c r="P70" s="2013"/>
      <c r="Q70" s="2013"/>
      <c r="R70" s="2013"/>
      <c r="S70" s="2013"/>
      <c r="T70" s="2013"/>
      <c r="U70" s="2013"/>
      <c r="V70" s="2013"/>
      <c r="W70" s="2013"/>
      <c r="X70" s="2013"/>
      <c r="Y70" s="2013"/>
      <c r="Z70" s="2013"/>
      <c r="AA70" s="2013"/>
      <c r="AB70" s="2013"/>
      <c r="AC70" s="2013"/>
    </row>
    <row r="71" spans="1:29" ht="21.75" thickBot="1">
      <c r="A71" s="1506" t="s">
        <v>568</v>
      </c>
      <c r="B71" s="1484"/>
      <c r="C71" s="1505"/>
      <c r="D71" s="1505"/>
      <c r="E71" s="1505"/>
      <c r="F71" s="1507"/>
      <c r="G71" s="1507"/>
      <c r="H71" s="1505"/>
      <c r="I71" s="1505"/>
      <c r="J71" s="1505"/>
      <c r="K71" s="1508"/>
      <c r="L71" s="1504"/>
      <c r="M71" s="1505"/>
      <c r="N71" s="1505"/>
      <c r="O71" s="2024"/>
      <c r="P71" s="2024"/>
      <c r="Q71" s="2025"/>
      <c r="R71" s="2013"/>
      <c r="S71" s="2013"/>
      <c r="T71" s="2013"/>
      <c r="U71" s="2013"/>
      <c r="V71" s="2013"/>
      <c r="W71" s="2013"/>
      <c r="X71" s="2013"/>
      <c r="Y71" s="2013"/>
      <c r="Z71" s="2013"/>
      <c r="AA71" s="2013"/>
      <c r="AB71" s="2013"/>
      <c r="AC71" s="2013"/>
    </row>
    <row r="72" spans="1:29" s="1290" customFormat="1" ht="15">
      <c r="A72" s="2407" t="s">
        <v>2508</v>
      </c>
      <c r="B72" s="2408"/>
      <c r="C72" s="2499" t="str">
        <f>YEAR(C70)&amp;"-"&amp;ROUNDUP(MONTH(C70)/3,0)</f>
        <v>2020-4</v>
      </c>
      <c r="D72" s="2504" t="str">
        <f>YEAR(D70)&amp;"-"&amp;ROUNDUP(MONTH(D70)/3,0)</f>
        <v>2020-3</v>
      </c>
      <c r="E72" s="2504" t="str">
        <f t="shared" ref="E72:N72" si="19">YEAR(E70)&amp;"-"&amp;ROUNDUP(MONTH(E70)/3,0)</f>
        <v>2020-2</v>
      </c>
      <c r="F72" s="2504" t="str">
        <f t="shared" si="19"/>
        <v>2020-1</v>
      </c>
      <c r="G72" s="2504" t="str">
        <f t="shared" si="19"/>
        <v>2019-4</v>
      </c>
      <c r="H72" s="2504" t="str">
        <f t="shared" si="19"/>
        <v>2019-3</v>
      </c>
      <c r="I72" s="2504" t="str">
        <f t="shared" si="19"/>
        <v>2019-2</v>
      </c>
      <c r="J72" s="2504" t="str">
        <f t="shared" si="19"/>
        <v>2019-1</v>
      </c>
      <c r="K72" s="2504" t="str">
        <f t="shared" si="19"/>
        <v>2018-4</v>
      </c>
      <c r="L72" s="2504" t="str">
        <f t="shared" si="19"/>
        <v>2018-3</v>
      </c>
      <c r="M72" s="2504" t="str">
        <f t="shared" si="19"/>
        <v>2018-2</v>
      </c>
      <c r="N72" s="2504" t="str">
        <f t="shared" si="19"/>
        <v>2018-1</v>
      </c>
      <c r="O72" s="2026"/>
      <c r="P72" s="2027"/>
      <c r="Q72" s="2028"/>
      <c r="R72" s="2028"/>
      <c r="S72" s="2028"/>
      <c r="T72" s="2028"/>
      <c r="U72" s="2028"/>
      <c r="V72" s="2028"/>
      <c r="W72" s="2028"/>
      <c r="X72" s="2028"/>
      <c r="Y72" s="2028"/>
      <c r="Z72" s="2028"/>
      <c r="AA72" s="2028"/>
      <c r="AB72" s="2028"/>
      <c r="AC72" s="2028"/>
    </row>
    <row r="73" spans="1:29" s="1194" customFormat="1" ht="27" customHeight="1">
      <c r="A73" s="2509" t="s">
        <v>913</v>
      </c>
      <c r="B73" s="465" t="str">
        <f>"北京市平均增长率"&amp;TEXT(SUMIF(基准地价!N21:N25,A73,基准地价!P21:P25),"0.00%")</f>
        <v>北京市平均增长率1.90%</v>
      </c>
      <c r="C73" s="3364">
        <v>100</v>
      </c>
      <c r="D73" s="3365">
        <f>C73-$C$74</f>
        <v>99.75</v>
      </c>
      <c r="E73" s="3365">
        <f t="shared" ref="E73:N73" si="20">D73-$C$74</f>
        <v>99.5</v>
      </c>
      <c r="F73" s="3365">
        <f t="shared" si="20"/>
        <v>99.25</v>
      </c>
      <c r="G73" s="3365">
        <f t="shared" si="20"/>
        <v>99</v>
      </c>
      <c r="H73" s="3365">
        <f t="shared" si="20"/>
        <v>98.75</v>
      </c>
      <c r="I73" s="3365">
        <f t="shared" si="20"/>
        <v>98.5</v>
      </c>
      <c r="J73" s="3365">
        <f t="shared" si="20"/>
        <v>98.25</v>
      </c>
      <c r="K73" s="3365">
        <f t="shared" si="20"/>
        <v>98</v>
      </c>
      <c r="L73" s="3365">
        <f t="shared" si="20"/>
        <v>97.75</v>
      </c>
      <c r="M73" s="3365">
        <f t="shared" si="20"/>
        <v>97.5</v>
      </c>
      <c r="N73" s="3365">
        <f t="shared" si="20"/>
        <v>97.25</v>
      </c>
      <c r="O73" s="2029"/>
      <c r="P73" s="2025"/>
      <c r="Q73" s="1891"/>
      <c r="R73" s="1891"/>
      <c r="S73" s="1891"/>
      <c r="T73" s="1891"/>
      <c r="U73" s="1891"/>
      <c r="V73" s="1891"/>
      <c r="W73" s="1891"/>
      <c r="X73" s="1891"/>
      <c r="Y73" s="1891"/>
      <c r="Z73" s="1891"/>
      <c r="AA73" s="1891"/>
      <c r="AB73" s="1891"/>
      <c r="AC73" s="1891"/>
    </row>
    <row r="74" spans="1:29" s="1194" customFormat="1" ht="15" customHeight="1" thickBot="1">
      <c r="A74" s="2500" t="s">
        <v>2621</v>
      </c>
      <c r="B74" s="2508"/>
      <c r="C74" s="3363">
        <v>0.25</v>
      </c>
      <c r="D74" s="2496"/>
      <c r="E74" s="2496"/>
      <c r="F74" s="2496"/>
      <c r="G74" s="2496"/>
      <c r="H74" s="2496"/>
      <c r="I74" s="2496"/>
      <c r="J74" s="2496"/>
      <c r="K74" s="2496"/>
      <c r="L74" s="2496"/>
      <c r="M74" s="2496"/>
      <c r="N74" s="2496"/>
      <c r="O74" s="2029"/>
      <c r="P74" s="2025"/>
      <c r="Q74" s="2025"/>
      <c r="R74" s="1891"/>
      <c r="S74" s="1891"/>
      <c r="T74" s="1891"/>
      <c r="U74" s="1891"/>
      <c r="V74" s="1891"/>
      <c r="W74" s="1891"/>
      <c r="X74" s="1891"/>
      <c r="Y74" s="1891"/>
      <c r="Z74" s="1891"/>
      <c r="AA74" s="1891"/>
      <c r="AB74" s="1891"/>
      <c r="AC74" s="1891"/>
    </row>
    <row r="75" spans="1:29" s="1194" customFormat="1" ht="15">
      <c r="A75" s="643" t="s">
        <v>525</v>
      </c>
      <c r="B75" s="632"/>
      <c r="C75" s="644" t="s">
        <v>570</v>
      </c>
      <c r="D75" s="645"/>
      <c r="E75" s="645"/>
      <c r="F75" s="645"/>
      <c r="G75" s="645"/>
      <c r="H75" s="645"/>
      <c r="I75" s="645"/>
      <c r="J75" s="645"/>
      <c r="K75" s="645"/>
      <c r="L75" s="646"/>
      <c r="M75" s="647"/>
      <c r="N75" s="2029"/>
      <c r="O75" s="2029"/>
      <c r="P75" s="2030"/>
      <c r="Q75" s="2025"/>
      <c r="R75" s="1891"/>
      <c r="S75" s="1891"/>
      <c r="T75" s="1891"/>
      <c r="U75" s="1891"/>
      <c r="V75" s="1891"/>
      <c r="W75" s="1891"/>
      <c r="X75" s="1891"/>
      <c r="Y75" s="1891"/>
      <c r="Z75" s="1891"/>
      <c r="AA75" s="1891"/>
      <c r="AB75" s="1891"/>
      <c r="AC75" s="1891"/>
    </row>
    <row r="76" spans="1:29" s="1194" customFormat="1" ht="15.75" thickBot="1">
      <c r="A76" s="643"/>
      <c r="B76" s="632"/>
      <c r="C76" s="633">
        <v>100</v>
      </c>
      <c r="D76" s="634"/>
      <c r="E76" s="634"/>
      <c r="F76" s="634"/>
      <c r="G76" s="634"/>
      <c r="H76" s="634"/>
      <c r="I76" s="634"/>
      <c r="J76" s="634"/>
      <c r="K76" s="634"/>
      <c r="L76" s="634"/>
      <c r="M76" s="636"/>
      <c r="N76" s="2029"/>
      <c r="O76" s="2029"/>
      <c r="P76" s="2025"/>
      <c r="Q76" s="2025"/>
      <c r="R76" s="1891"/>
      <c r="S76" s="1891"/>
      <c r="T76" s="1891"/>
      <c r="U76" s="1891"/>
      <c r="V76" s="1891"/>
      <c r="W76" s="1891"/>
      <c r="X76" s="1891"/>
      <c r="Y76" s="1891"/>
      <c r="Z76" s="1891"/>
      <c r="AA76" s="1891"/>
      <c r="AB76" s="1891"/>
      <c r="AC76" s="1891"/>
    </row>
    <row r="77" spans="1:29">
      <c r="A77" s="648" t="s">
        <v>571</v>
      </c>
      <c r="B77" s="649" t="s">
        <v>528</v>
      </c>
      <c r="C77" s="584"/>
      <c r="D77" s="584"/>
      <c r="E77" s="584"/>
      <c r="F77" s="584"/>
      <c r="G77" s="584"/>
      <c r="H77" s="584"/>
      <c r="I77" s="584"/>
      <c r="J77" s="584"/>
      <c r="K77" s="650"/>
      <c r="L77" s="651"/>
      <c r="M77" s="652"/>
      <c r="N77" s="2031"/>
      <c r="O77" s="2031"/>
      <c r="P77" s="2032"/>
      <c r="Q77" s="2025"/>
      <c r="R77" s="2013"/>
      <c r="S77" s="2013"/>
      <c r="T77" s="2013"/>
      <c r="U77" s="2013"/>
      <c r="V77" s="2013"/>
      <c r="W77" s="2013"/>
      <c r="X77" s="2013"/>
      <c r="Y77" s="2013"/>
      <c r="Z77" s="2013"/>
      <c r="AA77" s="2013"/>
      <c r="AB77" s="2013"/>
      <c r="AC77" s="2013"/>
    </row>
    <row r="78" spans="1:29" ht="15.75" thickBot="1">
      <c r="A78" s="653"/>
      <c r="B78" s="654"/>
      <c r="C78" s="655">
        <v>100</v>
      </c>
      <c r="D78" s="655">
        <v>100</v>
      </c>
      <c r="E78" s="655">
        <v>100</v>
      </c>
      <c r="F78" s="655">
        <v>100</v>
      </c>
      <c r="G78" s="655"/>
      <c r="H78" s="655"/>
      <c r="I78" s="655"/>
      <c r="J78" s="655"/>
      <c r="K78" s="655"/>
      <c r="L78" s="655"/>
      <c r="M78" s="656"/>
      <c r="N78" s="2033"/>
      <c r="O78" s="2033"/>
      <c r="P78" s="2032"/>
      <c r="Q78" s="2025"/>
      <c r="R78" s="2013"/>
      <c r="S78" s="2013"/>
      <c r="T78" s="2013"/>
      <c r="U78" s="2013"/>
      <c r="V78" s="2013"/>
      <c r="W78" s="2013"/>
      <c r="X78" s="2013"/>
      <c r="Y78" s="2013"/>
      <c r="Z78" s="2013"/>
      <c r="AA78" s="2013"/>
      <c r="AB78" s="2013"/>
      <c r="AC78" s="2013"/>
    </row>
    <row r="79" spans="1:29" ht="27.75" thickTop="1">
      <c r="A79" s="653"/>
      <c r="B79" s="657" t="s">
        <v>531</v>
      </c>
      <c r="C79" s="658"/>
      <c r="D79" s="658"/>
      <c r="E79" s="658"/>
      <c r="F79" s="658"/>
      <c r="G79" s="658"/>
      <c r="H79" s="658"/>
      <c r="I79" s="658"/>
      <c r="J79" s="658"/>
      <c r="K79" s="659"/>
      <c r="L79" s="660"/>
      <c r="M79" s="661"/>
      <c r="N79" s="2031"/>
      <c r="O79" s="2031"/>
      <c r="P79" s="2032"/>
      <c r="Q79" s="2025"/>
      <c r="R79" s="2013"/>
      <c r="S79" s="2013"/>
      <c r="T79" s="2013"/>
      <c r="U79" s="2013"/>
      <c r="V79" s="2013"/>
      <c r="W79" s="2013"/>
      <c r="X79" s="2013"/>
      <c r="Y79" s="2013"/>
      <c r="Z79" s="2013"/>
      <c r="AA79" s="2013"/>
      <c r="AB79" s="2013"/>
      <c r="AC79" s="2013"/>
    </row>
    <row r="80" spans="1:29" ht="15.75" thickBot="1">
      <c r="A80" s="653"/>
      <c r="B80" s="662"/>
      <c r="C80" s="663"/>
      <c r="D80" s="663"/>
      <c r="E80" s="663"/>
      <c r="F80" s="663"/>
      <c r="G80" s="663"/>
      <c r="H80" s="663"/>
      <c r="I80" s="663"/>
      <c r="J80" s="663"/>
      <c r="K80" s="663"/>
      <c r="L80" s="663"/>
      <c r="M80" s="664"/>
      <c r="N80" s="2033"/>
      <c r="O80" s="2033"/>
      <c r="P80" s="2032"/>
      <c r="Q80" s="2025"/>
      <c r="R80" s="2013"/>
      <c r="S80" s="2013"/>
      <c r="T80" s="2013"/>
      <c r="U80" s="2013"/>
      <c r="V80" s="2013"/>
      <c r="W80" s="2013"/>
      <c r="X80" s="2013"/>
      <c r="Y80" s="2013"/>
      <c r="Z80" s="2013"/>
      <c r="AA80" s="2013"/>
      <c r="AB80" s="2013"/>
      <c r="AC80" s="2013"/>
    </row>
    <row r="81" spans="1:29" ht="15.75" thickTop="1">
      <c r="A81" s="653"/>
      <c r="B81" s="665" t="s">
        <v>532</v>
      </c>
      <c r="C81" s="666" t="str">
        <f>C82&amp;"（含）"&amp;"-"&amp;D82</f>
        <v>1（含）-2</v>
      </c>
      <c r="D81" s="666" t="str">
        <f t="shared" ref="D81:L81" si="21">D82&amp;"（含）"&amp;"-"&amp;E82</f>
        <v>2（含）-3</v>
      </c>
      <c r="E81" s="666" t="str">
        <f t="shared" si="21"/>
        <v>3（含）-</v>
      </c>
      <c r="F81" s="666" t="str">
        <f t="shared" si="21"/>
        <v>（含）-</v>
      </c>
      <c r="G81" s="666" t="str">
        <f t="shared" si="21"/>
        <v>（含）-</v>
      </c>
      <c r="H81" s="666" t="str">
        <f t="shared" si="21"/>
        <v>（含）-</v>
      </c>
      <c r="I81" s="666" t="str">
        <f t="shared" si="21"/>
        <v>（含）-</v>
      </c>
      <c r="J81" s="666" t="str">
        <f t="shared" si="21"/>
        <v>（含）-</v>
      </c>
      <c r="K81" s="666" t="str">
        <f t="shared" si="21"/>
        <v>（含）-</v>
      </c>
      <c r="L81" s="666" t="str">
        <f t="shared" si="21"/>
        <v>（含）-</v>
      </c>
      <c r="M81" s="541" t="str">
        <f>M82&amp;"（含）"&amp;"-"&amp;P82</f>
        <v>（含）-</v>
      </c>
      <c r="N81" s="2033"/>
      <c r="O81" s="2033"/>
      <c r="P81" s="2032"/>
      <c r="Q81" s="2025"/>
      <c r="R81" s="2013"/>
      <c r="S81" s="2013"/>
      <c r="T81" s="2013"/>
      <c r="U81" s="2013"/>
      <c r="V81" s="2013"/>
      <c r="W81" s="2013"/>
      <c r="X81" s="2013"/>
      <c r="Y81" s="2013"/>
      <c r="Z81" s="2013"/>
      <c r="AA81" s="2013"/>
      <c r="AB81" s="2013"/>
      <c r="AC81" s="2013"/>
    </row>
    <row r="82" spans="1:29" ht="15">
      <c r="A82" s="653"/>
      <c r="B82" s="667"/>
      <c r="C82" s="527">
        <v>1</v>
      </c>
      <c r="D82" s="527">
        <v>2</v>
      </c>
      <c r="E82" s="527">
        <v>3</v>
      </c>
      <c r="F82" s="527"/>
      <c r="G82" s="527"/>
      <c r="H82" s="527"/>
      <c r="I82" s="527"/>
      <c r="J82" s="527"/>
      <c r="K82" s="668"/>
      <c r="L82" s="669"/>
      <c r="M82" s="670"/>
      <c r="N82" s="2031"/>
      <c r="O82" s="2031"/>
      <c r="P82" s="2032"/>
      <c r="Q82" s="2025"/>
      <c r="R82" s="2013"/>
      <c r="S82" s="2013"/>
      <c r="T82" s="2013"/>
      <c r="U82" s="2013"/>
      <c r="V82" s="2013"/>
      <c r="W82" s="2013"/>
      <c r="X82" s="2013"/>
      <c r="Y82" s="2013"/>
      <c r="Z82" s="2013"/>
      <c r="AA82" s="2013"/>
      <c r="AB82" s="2013"/>
      <c r="AC82" s="2013"/>
    </row>
    <row r="83" spans="1:29" ht="15.75" thickBot="1">
      <c r="A83" s="653"/>
      <c r="B83" s="654"/>
      <c r="C83" s="663">
        <v>100</v>
      </c>
      <c r="D83" s="663">
        <f>IF($B$48="单位面积地价",C83+$K13,C83-$K13)</f>
        <v>98</v>
      </c>
      <c r="E83" s="663">
        <f t="shared" ref="E83:M83" si="22">IF($B$48="单位面积地价",D83+$K13,D83-$K13)</f>
        <v>96</v>
      </c>
      <c r="F83" s="663">
        <f t="shared" si="22"/>
        <v>94</v>
      </c>
      <c r="G83" s="663">
        <f t="shared" si="22"/>
        <v>92</v>
      </c>
      <c r="H83" s="663">
        <f t="shared" si="22"/>
        <v>90</v>
      </c>
      <c r="I83" s="663">
        <f t="shared" si="22"/>
        <v>88</v>
      </c>
      <c r="J83" s="663">
        <f t="shared" si="22"/>
        <v>86</v>
      </c>
      <c r="K83" s="663">
        <f t="shared" si="22"/>
        <v>84</v>
      </c>
      <c r="L83" s="663">
        <f t="shared" si="22"/>
        <v>82</v>
      </c>
      <c r="M83" s="663">
        <f t="shared" si="22"/>
        <v>80</v>
      </c>
      <c r="N83" s="2033"/>
      <c r="O83" s="2033"/>
      <c r="P83" s="2032"/>
      <c r="Q83" s="2025"/>
      <c r="R83" s="2013"/>
      <c r="S83" s="2013"/>
      <c r="T83" s="2013"/>
      <c r="U83" s="2013"/>
      <c r="V83" s="2013"/>
      <c r="W83" s="2013"/>
      <c r="X83" s="2013"/>
      <c r="Y83" s="2013"/>
      <c r="Z83" s="2013"/>
      <c r="AA83" s="2013"/>
      <c r="AB83" s="2013"/>
      <c r="AC83" s="2013"/>
    </row>
    <row r="84" spans="1:29" s="1283" customFormat="1" ht="15.75" thickTop="1">
      <c r="A84" s="671"/>
      <c r="B84" s="657" t="str">
        <f>B14</f>
        <v>配建</v>
      </c>
      <c r="C84" s="3280" t="s">
        <v>11221</v>
      </c>
      <c r="D84" s="1315" t="s">
        <v>11222</v>
      </c>
      <c r="E84" s="3280"/>
      <c r="F84" s="672"/>
      <c r="G84" s="672"/>
      <c r="H84" s="673"/>
      <c r="I84" s="673"/>
      <c r="J84" s="673"/>
      <c r="K84" s="673"/>
      <c r="L84" s="674"/>
      <c r="M84" s="675"/>
      <c r="N84" s="2034"/>
      <c r="O84" s="2034"/>
      <c r="P84" s="2035"/>
      <c r="Q84" s="2036"/>
      <c r="R84" s="2037"/>
      <c r="S84" s="2037"/>
      <c r="T84" s="2037"/>
      <c r="U84" s="2037"/>
      <c r="V84" s="2037"/>
      <c r="W84" s="2037"/>
      <c r="X84" s="2037"/>
      <c r="Y84" s="2037"/>
      <c r="Z84" s="2037"/>
      <c r="AA84" s="2037"/>
      <c r="AB84" s="2037"/>
      <c r="AC84" s="2037"/>
    </row>
    <row r="85" spans="1:29" s="1283" customFormat="1" ht="15.75" thickBot="1">
      <c r="A85" s="671"/>
      <c r="B85" s="662"/>
      <c r="C85" s="676">
        <v>100</v>
      </c>
      <c r="D85" s="655">
        <v>95</v>
      </c>
      <c r="E85" s="655"/>
      <c r="F85" s="655"/>
      <c r="G85" s="655"/>
      <c r="H85" s="655"/>
      <c r="I85" s="655"/>
      <c r="J85" s="655"/>
      <c r="K85" s="655"/>
      <c r="L85" s="655"/>
      <c r="M85" s="656"/>
      <c r="N85" s="2033"/>
      <c r="O85" s="2033"/>
      <c r="P85" s="2035"/>
      <c r="Q85" s="2036"/>
      <c r="R85" s="2037"/>
      <c r="S85" s="2037"/>
      <c r="T85" s="2037"/>
      <c r="U85" s="2037"/>
      <c r="V85" s="2037"/>
      <c r="W85" s="2037"/>
      <c r="X85" s="2037"/>
      <c r="Y85" s="2037"/>
      <c r="Z85" s="2037"/>
      <c r="AA85" s="2037"/>
      <c r="AB85" s="2037"/>
      <c r="AC85" s="2037"/>
    </row>
    <row r="86" spans="1:29" s="1283" customFormat="1" ht="15.75" thickTop="1">
      <c r="A86" s="671"/>
      <c r="B86" s="657" t="str">
        <f>B15</f>
        <v>商业占比</v>
      </c>
      <c r="C86" s="672"/>
      <c r="D86" s="672"/>
      <c r="E86" s="672"/>
      <c r="F86" s="672"/>
      <c r="G86" s="672"/>
      <c r="H86" s="673"/>
      <c r="I86" s="673"/>
      <c r="J86" s="673"/>
      <c r="K86" s="673"/>
      <c r="L86" s="674"/>
      <c r="M86" s="675"/>
      <c r="N86" s="2034"/>
      <c r="O86" s="2034"/>
      <c r="P86" s="2038"/>
      <c r="Q86" s="2039"/>
      <c r="R86" s="2037"/>
      <c r="S86" s="2037"/>
      <c r="T86" s="2037"/>
      <c r="U86" s="2037"/>
      <c r="V86" s="2037"/>
      <c r="W86" s="2037"/>
      <c r="X86" s="2037"/>
      <c r="Y86" s="2037"/>
      <c r="Z86" s="2037"/>
      <c r="AA86" s="2037"/>
      <c r="AB86" s="2037"/>
      <c r="AC86" s="2037"/>
    </row>
    <row r="87" spans="1:29" s="1283" customFormat="1" ht="15.75" thickBot="1">
      <c r="A87" s="671"/>
      <c r="B87" s="662"/>
      <c r="C87" s="676"/>
      <c r="D87" s="676"/>
      <c r="E87" s="676"/>
      <c r="F87" s="676"/>
      <c r="G87" s="676"/>
      <c r="H87" s="677"/>
      <c r="I87" s="677"/>
      <c r="J87" s="677"/>
      <c r="K87" s="677"/>
      <c r="L87" s="677"/>
      <c r="M87" s="678"/>
      <c r="N87" s="2034"/>
      <c r="O87" s="2034"/>
      <c r="P87" s="2035"/>
      <c r="Q87" s="2036"/>
      <c r="R87" s="2037"/>
      <c r="S87" s="2037"/>
      <c r="T87" s="2037"/>
      <c r="U87" s="2037"/>
      <c r="V87" s="2037"/>
      <c r="W87" s="2037"/>
      <c r="X87" s="2037"/>
      <c r="Y87" s="2037"/>
      <c r="Z87" s="2037"/>
      <c r="AA87" s="2037"/>
      <c r="AB87" s="2037"/>
      <c r="AC87" s="2037"/>
    </row>
    <row r="88" spans="1:29" s="1283" customFormat="1" ht="15.75" thickTop="1">
      <c r="A88" s="671"/>
      <c r="B88" s="665">
        <f>B16</f>
        <v>0</v>
      </c>
      <c r="C88" s="645"/>
      <c r="D88" s="645"/>
      <c r="E88" s="645"/>
      <c r="F88" s="645"/>
      <c r="G88" s="645"/>
      <c r="H88" s="679"/>
      <c r="I88" s="679"/>
      <c r="J88" s="679"/>
      <c r="K88" s="679"/>
      <c r="L88" s="680"/>
      <c r="M88" s="681"/>
      <c r="N88" s="2034"/>
      <c r="O88" s="2034"/>
      <c r="P88" s="2040"/>
      <c r="Q88" s="2036"/>
      <c r="R88" s="2037"/>
      <c r="S88" s="2037"/>
      <c r="T88" s="2037"/>
      <c r="U88" s="2037"/>
      <c r="V88" s="2037"/>
      <c r="W88" s="2037"/>
      <c r="X88" s="2037"/>
      <c r="Y88" s="2037"/>
      <c r="Z88" s="2037"/>
      <c r="AA88" s="2037"/>
      <c r="AB88" s="2037"/>
      <c r="AC88" s="2037"/>
    </row>
    <row r="89" spans="1:29" s="1283" customFormat="1" ht="15.75" thickBot="1">
      <c r="A89" s="682"/>
      <c r="B89" s="683"/>
      <c r="C89" s="684"/>
      <c r="D89" s="684"/>
      <c r="E89" s="684"/>
      <c r="F89" s="684"/>
      <c r="G89" s="684"/>
      <c r="H89" s="685"/>
      <c r="I89" s="685"/>
      <c r="J89" s="685"/>
      <c r="K89" s="685"/>
      <c r="L89" s="685"/>
      <c r="M89" s="686"/>
      <c r="N89" s="2034"/>
      <c r="O89" s="2034"/>
      <c r="P89" s="2035"/>
      <c r="Q89" s="2036"/>
      <c r="R89" s="2037"/>
      <c r="S89" s="2037"/>
      <c r="T89" s="2037"/>
      <c r="U89" s="2037"/>
      <c r="V89" s="2037"/>
      <c r="W89" s="2037"/>
      <c r="X89" s="2037"/>
      <c r="Y89" s="2037"/>
      <c r="Z89" s="2037"/>
      <c r="AA89" s="2037"/>
      <c r="AB89" s="2037"/>
      <c r="AC89" s="2037"/>
    </row>
    <row r="90" spans="1:29">
      <c r="A90" s="648" t="s">
        <v>533</v>
      </c>
      <c r="B90" s="649" t="s">
        <v>572</v>
      </c>
      <c r="C90" s="687" t="s">
        <v>573</v>
      </c>
      <c r="D90" s="687" t="s">
        <v>574</v>
      </c>
      <c r="E90" s="687" t="s">
        <v>575</v>
      </c>
      <c r="F90" s="687" t="s">
        <v>576</v>
      </c>
      <c r="G90" s="687" t="s">
        <v>577</v>
      </c>
      <c r="H90" s="688"/>
      <c r="I90" s="688"/>
      <c r="J90" s="688"/>
      <c r="K90" s="689"/>
      <c r="L90" s="690"/>
      <c r="M90" s="691"/>
      <c r="N90" s="2031"/>
      <c r="O90" s="2031"/>
      <c r="P90" s="2041"/>
      <c r="Q90" s="2025"/>
      <c r="R90" s="2013"/>
      <c r="S90" s="2013"/>
      <c r="T90" s="2013"/>
      <c r="U90" s="2013"/>
      <c r="V90" s="2013"/>
      <c r="W90" s="2013"/>
      <c r="X90" s="2013"/>
      <c r="Y90" s="2013"/>
      <c r="Z90" s="2013"/>
      <c r="AA90" s="2013"/>
      <c r="AB90" s="2013"/>
      <c r="AC90" s="2013"/>
    </row>
    <row r="91" spans="1:29" ht="15.75" thickBot="1">
      <c r="A91" s="653"/>
      <c r="B91" s="662"/>
      <c r="C91" s="663">
        <v>100</v>
      </c>
      <c r="D91" s="663">
        <f>C91-$K17</f>
        <v>95</v>
      </c>
      <c r="E91" s="663">
        <f>D91-$K17</f>
        <v>90</v>
      </c>
      <c r="F91" s="663">
        <f>E91-$K17</f>
        <v>85</v>
      </c>
      <c r="G91" s="663">
        <f>F91-$K17</f>
        <v>80</v>
      </c>
      <c r="H91" s="663"/>
      <c r="I91" s="663"/>
      <c r="J91" s="663"/>
      <c r="K91" s="663"/>
      <c r="L91" s="663"/>
      <c r="M91" s="664"/>
      <c r="N91" s="2033"/>
      <c r="O91" s="2033"/>
      <c r="P91" s="2032"/>
      <c r="Q91" s="2025"/>
      <c r="R91" s="2013"/>
      <c r="S91" s="2013"/>
      <c r="T91" s="2013"/>
      <c r="U91" s="2013"/>
      <c r="V91" s="2013"/>
      <c r="W91" s="2013"/>
      <c r="X91" s="2013"/>
      <c r="Y91" s="2013"/>
      <c r="Z91" s="2013"/>
      <c r="AA91" s="2013"/>
      <c r="AB91" s="2013"/>
      <c r="AC91" s="2013"/>
    </row>
    <row r="92" spans="1:29" ht="15.75" thickTop="1">
      <c r="A92" s="653"/>
      <c r="B92" s="657" t="s">
        <v>578</v>
      </c>
      <c r="C92" s="692" t="s">
        <v>573</v>
      </c>
      <c r="D92" s="692" t="s">
        <v>574</v>
      </c>
      <c r="E92" s="692" t="s">
        <v>575</v>
      </c>
      <c r="F92" s="692" t="s">
        <v>576</v>
      </c>
      <c r="G92" s="692" t="s">
        <v>577</v>
      </c>
      <c r="H92" s="658"/>
      <c r="I92" s="658"/>
      <c r="J92" s="658"/>
      <c r="K92" s="659"/>
      <c r="L92" s="660"/>
      <c r="M92" s="661"/>
      <c r="N92" s="2031"/>
      <c r="O92" s="2031"/>
      <c r="P92" s="2032"/>
      <c r="Q92" s="2025"/>
      <c r="R92" s="2013"/>
      <c r="S92" s="2013"/>
      <c r="T92" s="2013"/>
      <c r="U92" s="2013"/>
      <c r="V92" s="2013"/>
      <c r="W92" s="2013"/>
      <c r="X92" s="2013"/>
      <c r="Y92" s="2013"/>
      <c r="Z92" s="2013"/>
      <c r="AA92" s="2013"/>
      <c r="AB92" s="2013"/>
      <c r="AC92" s="2013"/>
    </row>
    <row r="93" spans="1:29" ht="15.75" thickBot="1">
      <c r="A93" s="653"/>
      <c r="B93" s="662"/>
      <c r="C93" s="663">
        <v>100</v>
      </c>
      <c r="D93" s="663">
        <f>C93-$K19</f>
        <v>95</v>
      </c>
      <c r="E93" s="663">
        <f>D93-$K19</f>
        <v>90</v>
      </c>
      <c r="F93" s="663">
        <f>E93-$K19</f>
        <v>85</v>
      </c>
      <c r="G93" s="663">
        <f>F93-$K19</f>
        <v>80</v>
      </c>
      <c r="H93" s="663"/>
      <c r="I93" s="663"/>
      <c r="J93" s="663"/>
      <c r="K93" s="663"/>
      <c r="L93" s="663"/>
      <c r="M93" s="664"/>
      <c r="N93" s="2033"/>
      <c r="O93" s="2033"/>
      <c r="P93" s="2032"/>
      <c r="Q93" s="2025"/>
      <c r="R93" s="2013"/>
      <c r="S93" s="2013"/>
      <c r="T93" s="2013"/>
      <c r="U93" s="2013"/>
      <c r="V93" s="2013"/>
      <c r="W93" s="2013"/>
      <c r="X93" s="2013"/>
      <c r="Y93" s="2013"/>
      <c r="Z93" s="2013"/>
      <c r="AA93" s="2013"/>
      <c r="AB93" s="2013"/>
      <c r="AC93" s="2013"/>
    </row>
    <row r="94" spans="1:29" ht="15.75" thickTop="1">
      <c r="A94" s="653"/>
      <c r="B94" s="657" t="s">
        <v>579</v>
      </c>
      <c r="C94" s="692" t="s">
        <v>573</v>
      </c>
      <c r="D94" s="692" t="s">
        <v>574</v>
      </c>
      <c r="E94" s="692" t="s">
        <v>575</v>
      </c>
      <c r="F94" s="692" t="s">
        <v>576</v>
      </c>
      <c r="G94" s="692" t="s">
        <v>577</v>
      </c>
      <c r="H94" s="658"/>
      <c r="I94" s="658"/>
      <c r="J94" s="658"/>
      <c r="K94" s="659"/>
      <c r="L94" s="660"/>
      <c r="M94" s="661"/>
      <c r="N94" s="2031"/>
      <c r="O94" s="2031"/>
      <c r="P94" s="2032"/>
      <c r="Q94" s="2025"/>
      <c r="R94" s="2013"/>
      <c r="S94" s="2013"/>
      <c r="T94" s="2013"/>
      <c r="U94" s="2013"/>
      <c r="V94" s="2013"/>
      <c r="W94" s="2013"/>
      <c r="X94" s="2013"/>
      <c r="Y94" s="2013"/>
      <c r="Z94" s="2013"/>
      <c r="AA94" s="2013"/>
      <c r="AB94" s="2013"/>
      <c r="AC94" s="2013"/>
    </row>
    <row r="95" spans="1:29" ht="15.75" thickBot="1">
      <c r="A95" s="653"/>
      <c r="B95" s="662"/>
      <c r="C95" s="663">
        <v>100</v>
      </c>
      <c r="D95" s="663">
        <f>C95-$K21</f>
        <v>100</v>
      </c>
      <c r="E95" s="663">
        <f>D95-$K21</f>
        <v>100</v>
      </c>
      <c r="F95" s="663">
        <f>E95-$K21</f>
        <v>100</v>
      </c>
      <c r="G95" s="663">
        <f>F95-$K21</f>
        <v>100</v>
      </c>
      <c r="H95" s="663"/>
      <c r="I95" s="663"/>
      <c r="J95" s="663"/>
      <c r="K95" s="663"/>
      <c r="L95" s="663"/>
      <c r="M95" s="664"/>
      <c r="N95" s="2033"/>
      <c r="O95" s="2033"/>
      <c r="P95" s="2032"/>
      <c r="Q95" s="2025"/>
      <c r="R95" s="2013"/>
      <c r="S95" s="2013"/>
      <c r="T95" s="2013"/>
      <c r="U95" s="2013"/>
      <c r="V95" s="2013"/>
      <c r="W95" s="2013"/>
      <c r="X95" s="2013"/>
      <c r="Y95" s="2013"/>
      <c r="Z95" s="2013"/>
      <c r="AA95" s="2013"/>
      <c r="AB95" s="2013"/>
      <c r="AC95" s="2013"/>
    </row>
    <row r="96" spans="1:29" ht="15.75" thickTop="1">
      <c r="A96" s="653"/>
      <c r="B96" s="657" t="s">
        <v>580</v>
      </c>
      <c r="C96" s="692" t="s">
        <v>573</v>
      </c>
      <c r="D96" s="692" t="s">
        <v>574</v>
      </c>
      <c r="E96" s="692" t="s">
        <v>575</v>
      </c>
      <c r="F96" s="692" t="s">
        <v>576</v>
      </c>
      <c r="G96" s="692" t="s">
        <v>577</v>
      </c>
      <c r="H96" s="658"/>
      <c r="I96" s="658"/>
      <c r="J96" s="658"/>
      <c r="K96" s="659"/>
      <c r="L96" s="660"/>
      <c r="M96" s="661"/>
      <c r="N96" s="2031"/>
      <c r="O96" s="2031"/>
      <c r="P96" s="2032"/>
      <c r="Q96" s="2025"/>
      <c r="R96" s="2013"/>
      <c r="S96" s="2013"/>
      <c r="T96" s="2013"/>
      <c r="U96" s="2013"/>
      <c r="V96" s="2013"/>
      <c r="W96" s="2013"/>
      <c r="X96" s="2013"/>
      <c r="Y96" s="2013"/>
      <c r="Z96" s="2013"/>
      <c r="AA96" s="2013"/>
      <c r="AB96" s="2013"/>
      <c r="AC96" s="2013"/>
    </row>
    <row r="97" spans="1:29" ht="15.75" thickBot="1">
      <c r="A97" s="653"/>
      <c r="B97" s="662"/>
      <c r="C97" s="663">
        <v>100</v>
      </c>
      <c r="D97" s="663">
        <f>C97-$K23</f>
        <v>95</v>
      </c>
      <c r="E97" s="663">
        <f>D97-$K23</f>
        <v>90</v>
      </c>
      <c r="F97" s="663">
        <f>E97-$K23</f>
        <v>85</v>
      </c>
      <c r="G97" s="663">
        <f>F97-$K23</f>
        <v>80</v>
      </c>
      <c r="H97" s="663"/>
      <c r="I97" s="663"/>
      <c r="J97" s="663"/>
      <c r="K97" s="663"/>
      <c r="L97" s="663"/>
      <c r="M97" s="664"/>
      <c r="N97" s="2033"/>
      <c r="O97" s="2033"/>
      <c r="P97" s="2032"/>
      <c r="Q97" s="2025"/>
      <c r="R97" s="2013"/>
      <c r="S97" s="2013"/>
      <c r="T97" s="2013"/>
      <c r="U97" s="2013"/>
      <c r="V97" s="2013"/>
      <c r="W97" s="2013"/>
      <c r="X97" s="2013"/>
      <c r="Y97" s="2013"/>
      <c r="Z97" s="2013"/>
      <c r="AA97" s="2013"/>
      <c r="AB97" s="2013"/>
      <c r="AC97" s="2013"/>
    </row>
    <row r="98" spans="1:29" s="1194" customFormat="1" ht="27.75" thickTop="1">
      <c r="A98" s="693"/>
      <c r="B98" s="657" t="s">
        <v>581</v>
      </c>
      <c r="C98" s="692" t="s">
        <v>573</v>
      </c>
      <c r="D98" s="692" t="s">
        <v>574</v>
      </c>
      <c r="E98" s="692" t="s">
        <v>575</v>
      </c>
      <c r="F98" s="692" t="s">
        <v>576</v>
      </c>
      <c r="G98" s="692" t="s">
        <v>577</v>
      </c>
      <c r="H98" s="692"/>
      <c r="I98" s="692"/>
      <c r="J98" s="692"/>
      <c r="K98" s="692"/>
      <c r="L98" s="694"/>
      <c r="M98" s="695"/>
      <c r="N98" s="2029"/>
      <c r="O98" s="2029"/>
      <c r="P98" s="2032"/>
      <c r="Q98" s="2025"/>
      <c r="R98" s="1891"/>
      <c r="S98" s="1891"/>
      <c r="T98" s="1891"/>
      <c r="U98" s="1891"/>
      <c r="V98" s="1891"/>
      <c r="W98" s="1891"/>
      <c r="X98" s="1891"/>
      <c r="Y98" s="1891"/>
      <c r="Z98" s="1891"/>
      <c r="AA98" s="1891"/>
      <c r="AB98" s="1891"/>
      <c r="AC98" s="1891"/>
    </row>
    <row r="99" spans="1:29" s="1194" customFormat="1" ht="15.75" thickBot="1">
      <c r="A99" s="693"/>
      <c r="B99" s="662"/>
      <c r="C99" s="696">
        <v>100</v>
      </c>
      <c r="D99" s="663">
        <f>C99-$K25</f>
        <v>95</v>
      </c>
      <c r="E99" s="663">
        <f>D99-$K25</f>
        <v>90</v>
      </c>
      <c r="F99" s="663">
        <f>E99-$K25</f>
        <v>85</v>
      </c>
      <c r="G99" s="663">
        <f>F99-$K25</f>
        <v>80</v>
      </c>
      <c r="H99" s="663"/>
      <c r="I99" s="663"/>
      <c r="J99" s="663"/>
      <c r="K99" s="663"/>
      <c r="L99" s="663"/>
      <c r="M99" s="664"/>
      <c r="N99" s="2033"/>
      <c r="O99" s="2033"/>
      <c r="P99" s="2032"/>
      <c r="Q99" s="2025"/>
      <c r="R99" s="1891"/>
      <c r="S99" s="1891"/>
      <c r="T99" s="1891"/>
      <c r="U99" s="1891"/>
      <c r="V99" s="1891"/>
      <c r="W99" s="1891"/>
      <c r="X99" s="1891"/>
      <c r="Y99" s="1891"/>
      <c r="Z99" s="1891"/>
      <c r="AA99" s="1891"/>
      <c r="AB99" s="1891"/>
      <c r="AC99" s="1891"/>
    </row>
    <row r="100" spans="1:29" s="1194" customFormat="1" ht="27.75" thickTop="1">
      <c r="A100" s="693"/>
      <c r="B100" s="657" t="s">
        <v>582</v>
      </c>
      <c r="C100" s="687" t="s">
        <v>573</v>
      </c>
      <c r="D100" s="687" t="s">
        <v>574</v>
      </c>
      <c r="E100" s="687" t="s">
        <v>575</v>
      </c>
      <c r="F100" s="687" t="s">
        <v>576</v>
      </c>
      <c r="G100" s="687" t="s">
        <v>577</v>
      </c>
      <c r="H100" s="692"/>
      <c r="I100" s="692"/>
      <c r="J100" s="692"/>
      <c r="K100" s="692"/>
      <c r="L100" s="692"/>
      <c r="M100" s="695"/>
      <c r="N100" s="2029"/>
      <c r="O100" s="2029"/>
      <c r="P100" s="2032"/>
      <c r="Q100" s="2025"/>
      <c r="R100" s="1891"/>
      <c r="S100" s="1891"/>
      <c r="T100" s="1891"/>
      <c r="U100" s="1891"/>
      <c r="V100" s="1891"/>
      <c r="W100" s="1891"/>
      <c r="X100" s="1891"/>
      <c r="Y100" s="1891"/>
      <c r="Z100" s="1891"/>
      <c r="AA100" s="1891"/>
      <c r="AB100" s="1891"/>
      <c r="AC100" s="1891"/>
    </row>
    <row r="101" spans="1:29" s="1194" customFormat="1" ht="15.75" thickBot="1">
      <c r="A101" s="693"/>
      <c r="B101" s="662"/>
      <c r="C101" s="663">
        <v>100</v>
      </c>
      <c r="D101" s="663">
        <f>C101-$K27</f>
        <v>97</v>
      </c>
      <c r="E101" s="663">
        <f>D101-$K27</f>
        <v>94</v>
      </c>
      <c r="F101" s="663">
        <f>E101-$K27</f>
        <v>91</v>
      </c>
      <c r="G101" s="663">
        <f>F101-$K27</f>
        <v>88</v>
      </c>
      <c r="H101" s="663"/>
      <c r="I101" s="663"/>
      <c r="J101" s="663"/>
      <c r="K101" s="663"/>
      <c r="L101" s="663"/>
      <c r="M101" s="664"/>
      <c r="N101" s="2033"/>
      <c r="O101" s="2033"/>
      <c r="P101" s="2032"/>
      <c r="Q101" s="2025"/>
      <c r="R101" s="1891"/>
      <c r="S101" s="1891"/>
      <c r="T101" s="1891"/>
      <c r="U101" s="1891"/>
      <c r="V101" s="1891"/>
      <c r="W101" s="1891"/>
      <c r="X101" s="1891"/>
      <c r="Y101" s="1891"/>
      <c r="Z101" s="1891"/>
      <c r="AA101" s="1891"/>
      <c r="AB101" s="1891"/>
      <c r="AC101" s="1891"/>
    </row>
    <row r="102" spans="1:29" s="1283" customFormat="1" ht="15.75" thickTop="1">
      <c r="A102" s="671"/>
      <c r="B102" s="1796" t="s">
        <v>2524</v>
      </c>
      <c r="C102" s="687" t="s">
        <v>573</v>
      </c>
      <c r="D102" s="687" t="s">
        <v>574</v>
      </c>
      <c r="E102" s="687" t="s">
        <v>575</v>
      </c>
      <c r="F102" s="687" t="s">
        <v>576</v>
      </c>
      <c r="G102" s="687" t="s">
        <v>577</v>
      </c>
      <c r="H102" s="697"/>
      <c r="I102" s="697"/>
      <c r="J102" s="697"/>
      <c r="K102" s="697"/>
      <c r="L102" s="698"/>
      <c r="M102" s="699"/>
      <c r="N102" s="2034"/>
      <c r="O102" s="2034"/>
      <c r="P102" s="2035"/>
      <c r="Q102" s="2036"/>
      <c r="R102" s="2037"/>
      <c r="S102" s="2037"/>
      <c r="T102" s="2037"/>
      <c r="U102" s="2037"/>
      <c r="V102" s="2037"/>
      <c r="W102" s="2037"/>
      <c r="X102" s="2037"/>
      <c r="Y102" s="2037"/>
      <c r="Z102" s="2037"/>
      <c r="AA102" s="2037"/>
      <c r="AB102" s="2037"/>
      <c r="AC102" s="2037"/>
    </row>
    <row r="103" spans="1:29" s="1283" customFormat="1" ht="15.75" thickBot="1">
      <c r="A103" s="671"/>
      <c r="B103" s="662"/>
      <c r="C103" s="663">
        <v>100</v>
      </c>
      <c r="D103" s="663">
        <f>C103-$K29</f>
        <v>95</v>
      </c>
      <c r="E103" s="663">
        <f>D103-$K29</f>
        <v>90</v>
      </c>
      <c r="F103" s="663">
        <f>E103-$K29</f>
        <v>85</v>
      </c>
      <c r="G103" s="663">
        <f>F103-$K29</f>
        <v>80</v>
      </c>
      <c r="H103" s="700"/>
      <c r="I103" s="700"/>
      <c r="J103" s="700"/>
      <c r="K103" s="700"/>
      <c r="L103" s="700"/>
      <c r="M103" s="701"/>
      <c r="N103" s="2034"/>
      <c r="O103" s="2034"/>
      <c r="P103" s="2035"/>
      <c r="Q103" s="2036"/>
      <c r="R103" s="2037"/>
      <c r="S103" s="2037"/>
      <c r="T103" s="2037"/>
      <c r="U103" s="2037"/>
      <c r="V103" s="2037"/>
      <c r="W103" s="2037"/>
      <c r="X103" s="2037"/>
      <c r="Y103" s="2037"/>
      <c r="Z103" s="2037"/>
      <c r="AA103" s="2037"/>
      <c r="AB103" s="2037"/>
      <c r="AC103" s="2037"/>
    </row>
    <row r="104" spans="1:29" s="1283" customFormat="1" ht="15.75" thickTop="1">
      <c r="A104" s="671"/>
      <c r="B104" s="2427" t="s">
        <v>2526</v>
      </c>
      <c r="C104" s="2428" t="s">
        <v>2527</v>
      </c>
      <c r="D104" s="2428" t="s">
        <v>2528</v>
      </c>
      <c r="E104" s="2428" t="s">
        <v>2529</v>
      </c>
      <c r="F104" s="2428" t="s">
        <v>2530</v>
      </c>
      <c r="G104" s="2428" t="s">
        <v>2531</v>
      </c>
      <c r="H104" s="697"/>
      <c r="I104" s="697"/>
      <c r="J104" s="697"/>
      <c r="K104" s="697"/>
      <c r="L104" s="697"/>
      <c r="M104" s="699"/>
      <c r="N104" s="2034"/>
      <c r="O104" s="2034"/>
      <c r="P104" s="2035"/>
      <c r="Q104" s="2036"/>
      <c r="R104" s="2037"/>
      <c r="S104" s="2037"/>
      <c r="T104" s="2037"/>
      <c r="U104" s="2037"/>
      <c r="V104" s="2037"/>
      <c r="W104" s="2037"/>
      <c r="X104" s="2037"/>
      <c r="Y104" s="2037"/>
      <c r="Z104" s="2037"/>
      <c r="AA104" s="2037"/>
      <c r="AB104" s="2037"/>
      <c r="AC104" s="2037"/>
    </row>
    <row r="105" spans="1:29" s="1283" customFormat="1" ht="15.75" thickBot="1">
      <c r="A105" s="671"/>
      <c r="B105" s="665"/>
      <c r="C105" s="663">
        <v>100</v>
      </c>
      <c r="D105" s="663">
        <f>C105-$K31</f>
        <v>97</v>
      </c>
      <c r="E105" s="663">
        <f>D105-$K31</f>
        <v>94</v>
      </c>
      <c r="F105" s="663">
        <f>E105-$K31</f>
        <v>91</v>
      </c>
      <c r="G105" s="663">
        <f>F105-$K31</f>
        <v>88</v>
      </c>
      <c r="H105" s="667"/>
      <c r="I105" s="667"/>
      <c r="J105" s="667"/>
      <c r="K105" s="667"/>
      <c r="L105" s="667"/>
      <c r="M105" s="2420"/>
      <c r="N105" s="2034"/>
      <c r="O105" s="2034"/>
      <c r="P105" s="2035"/>
      <c r="Q105" s="2036"/>
      <c r="R105" s="2037"/>
      <c r="S105" s="2037"/>
      <c r="T105" s="2037"/>
      <c r="U105" s="2037"/>
      <c r="V105" s="2037"/>
      <c r="W105" s="2037"/>
      <c r="X105" s="2037"/>
      <c r="Y105" s="2037"/>
      <c r="Z105" s="2037"/>
      <c r="AA105" s="2037"/>
      <c r="AB105" s="2037"/>
      <c r="AC105" s="2037"/>
    </row>
    <row r="106" spans="1:29" ht="15.75" thickTop="1">
      <c r="A106" s="653"/>
      <c r="B106" s="657" t="str">
        <f>B33</f>
        <v>临街状况</v>
      </c>
      <c r="C106" s="658" t="s">
        <v>583</v>
      </c>
      <c r="D106" s="658" t="s">
        <v>584</v>
      </c>
      <c r="E106" s="658" t="s">
        <v>585</v>
      </c>
      <c r="F106" s="658" t="s">
        <v>586</v>
      </c>
      <c r="G106" s="658"/>
      <c r="H106" s="658"/>
      <c r="I106" s="658"/>
      <c r="J106" s="658"/>
      <c r="K106" s="659"/>
      <c r="L106" s="660"/>
      <c r="M106" s="661"/>
      <c r="N106" s="2031"/>
      <c r="O106" s="2031"/>
      <c r="P106" s="2032"/>
      <c r="Q106" s="2025"/>
      <c r="R106" s="2013"/>
      <c r="S106" s="2013"/>
      <c r="T106" s="2013"/>
      <c r="U106" s="2013"/>
      <c r="V106" s="2013"/>
      <c r="W106" s="2013"/>
      <c r="X106" s="2013"/>
      <c r="Y106" s="2013"/>
      <c r="Z106" s="2013"/>
      <c r="AA106" s="2013"/>
      <c r="AB106" s="2013"/>
      <c r="AC106" s="2013"/>
    </row>
    <row r="107" spans="1:29" ht="15.75" thickBot="1">
      <c r="A107" s="653"/>
      <c r="B107" s="662"/>
      <c r="C107" s="663">
        <v>100</v>
      </c>
      <c r="D107" s="663">
        <f>C107-$K33</f>
        <v>100</v>
      </c>
      <c r="E107" s="663">
        <f t="shared" ref="E107:M107" si="23">D107-$K33</f>
        <v>100</v>
      </c>
      <c r="F107" s="663">
        <f t="shared" si="23"/>
        <v>100</v>
      </c>
      <c r="G107" s="663">
        <f t="shared" si="23"/>
        <v>100</v>
      </c>
      <c r="H107" s="663">
        <f t="shared" si="23"/>
        <v>100</v>
      </c>
      <c r="I107" s="663">
        <f t="shared" si="23"/>
        <v>100</v>
      </c>
      <c r="J107" s="663">
        <f t="shared" si="23"/>
        <v>100</v>
      </c>
      <c r="K107" s="663">
        <f t="shared" si="23"/>
        <v>100</v>
      </c>
      <c r="L107" s="663">
        <f t="shared" si="23"/>
        <v>100</v>
      </c>
      <c r="M107" s="663">
        <f t="shared" si="23"/>
        <v>100</v>
      </c>
      <c r="N107" s="2033"/>
      <c r="O107" s="2033"/>
      <c r="P107" s="2032"/>
      <c r="Q107" s="2025"/>
      <c r="R107" s="2013"/>
      <c r="S107" s="2013"/>
      <c r="T107" s="2013"/>
      <c r="U107" s="2013"/>
      <c r="V107" s="2013"/>
      <c r="W107" s="2013"/>
      <c r="X107" s="2013"/>
      <c r="Y107" s="2013"/>
      <c r="Z107" s="2013"/>
      <c r="AA107" s="2013"/>
      <c r="AB107" s="2013"/>
      <c r="AC107" s="2013"/>
    </row>
    <row r="108" spans="1:29" ht="27.75" thickTop="1">
      <c r="A108" s="653"/>
      <c r="B108" s="657" t="s">
        <v>542</v>
      </c>
      <c r="C108" s="672"/>
      <c r="D108" s="672"/>
      <c r="E108" s="672"/>
      <c r="F108" s="672"/>
      <c r="G108" s="672"/>
      <c r="H108" s="702"/>
      <c r="I108" s="702"/>
      <c r="J108" s="702"/>
      <c r="K108" s="703"/>
      <c r="L108" s="704"/>
      <c r="M108" s="705"/>
      <c r="N108" s="2031"/>
      <c r="O108" s="2031"/>
      <c r="P108" s="2032"/>
      <c r="Q108" s="2025"/>
      <c r="R108" s="2013"/>
      <c r="S108" s="2013"/>
      <c r="T108" s="2013"/>
      <c r="U108" s="2013"/>
      <c r="V108" s="2013"/>
      <c r="W108" s="2013"/>
      <c r="X108" s="2013"/>
      <c r="Y108" s="2013"/>
      <c r="Z108" s="2013"/>
      <c r="AA108" s="2013"/>
      <c r="AB108" s="2013"/>
      <c r="AC108" s="2013"/>
    </row>
    <row r="109" spans="1:29" ht="15.75" thickBot="1">
      <c r="A109" s="653"/>
      <c r="B109" s="662"/>
      <c r="C109" s="663">
        <v>100</v>
      </c>
      <c r="D109" s="663">
        <f>C109-$K34</f>
        <v>100</v>
      </c>
      <c r="E109" s="663">
        <f t="shared" ref="E109:M109" si="24">D109-$K34</f>
        <v>100</v>
      </c>
      <c r="F109" s="663">
        <f t="shared" si="24"/>
        <v>100</v>
      </c>
      <c r="G109" s="663">
        <f t="shared" si="24"/>
        <v>100</v>
      </c>
      <c r="H109" s="663">
        <f t="shared" si="24"/>
        <v>100</v>
      </c>
      <c r="I109" s="663">
        <f t="shared" si="24"/>
        <v>100</v>
      </c>
      <c r="J109" s="663">
        <f t="shared" si="24"/>
        <v>100</v>
      </c>
      <c r="K109" s="663">
        <f t="shared" si="24"/>
        <v>100</v>
      </c>
      <c r="L109" s="663">
        <f t="shared" si="24"/>
        <v>100</v>
      </c>
      <c r="M109" s="663">
        <f t="shared" si="24"/>
        <v>100</v>
      </c>
      <c r="N109" s="2033"/>
      <c r="O109" s="2033"/>
      <c r="P109" s="2032"/>
      <c r="Q109" s="2025"/>
      <c r="R109" s="2013"/>
      <c r="S109" s="2013"/>
      <c r="T109" s="2013"/>
      <c r="U109" s="2013"/>
      <c r="V109" s="2013"/>
      <c r="W109" s="2013"/>
      <c r="X109" s="2013"/>
      <c r="Y109" s="2013"/>
      <c r="Z109" s="2013"/>
      <c r="AA109" s="2013"/>
      <c r="AB109" s="2013"/>
      <c r="AC109" s="2013"/>
    </row>
    <row r="110" spans="1:29" ht="15.75" thickTop="1">
      <c r="A110" s="653"/>
      <c r="B110" s="657" t="s">
        <v>543</v>
      </c>
      <c r="C110" s="702"/>
      <c r="D110" s="702"/>
      <c r="E110" s="702"/>
      <c r="F110" s="702"/>
      <c r="G110" s="702"/>
      <c r="H110" s="702"/>
      <c r="I110" s="702"/>
      <c r="J110" s="702"/>
      <c r="K110" s="703"/>
      <c r="L110" s="704"/>
      <c r="M110" s="705"/>
      <c r="N110" s="2031"/>
      <c r="O110" s="2031"/>
      <c r="P110" s="2032"/>
      <c r="Q110" s="2025"/>
      <c r="R110" s="2013"/>
      <c r="S110" s="2013"/>
      <c r="T110" s="2013"/>
      <c r="U110" s="2013"/>
      <c r="V110" s="2013"/>
      <c r="W110" s="2013"/>
      <c r="X110" s="2013"/>
      <c r="Y110" s="2013"/>
      <c r="Z110" s="2013"/>
      <c r="AA110" s="2013"/>
      <c r="AB110" s="2013"/>
      <c r="AC110" s="2013"/>
    </row>
    <row r="111" spans="1:29" ht="15.75" thickBot="1">
      <c r="A111" s="653"/>
      <c r="B111" s="662"/>
      <c r="C111" s="663">
        <v>100</v>
      </c>
      <c r="D111" s="663">
        <f>C111-$K36</f>
        <v>100</v>
      </c>
      <c r="E111" s="663">
        <f t="shared" ref="E111:M111" si="25">D111-$K36</f>
        <v>100</v>
      </c>
      <c r="F111" s="663">
        <f t="shared" si="25"/>
        <v>100</v>
      </c>
      <c r="G111" s="663">
        <f t="shared" si="25"/>
        <v>100</v>
      </c>
      <c r="H111" s="663">
        <f t="shared" si="25"/>
        <v>100</v>
      </c>
      <c r="I111" s="663">
        <f t="shared" si="25"/>
        <v>100</v>
      </c>
      <c r="J111" s="663">
        <f t="shared" si="25"/>
        <v>100</v>
      </c>
      <c r="K111" s="663">
        <f t="shared" si="25"/>
        <v>100</v>
      </c>
      <c r="L111" s="663">
        <f t="shared" si="25"/>
        <v>100</v>
      </c>
      <c r="M111" s="663">
        <f t="shared" si="25"/>
        <v>100</v>
      </c>
      <c r="N111" s="2033"/>
      <c r="O111" s="2033"/>
      <c r="P111" s="2032"/>
      <c r="Q111" s="2025"/>
      <c r="R111" s="2013"/>
      <c r="S111" s="2013"/>
      <c r="T111" s="2013"/>
      <c r="U111" s="2013"/>
      <c r="V111" s="2013"/>
      <c r="W111" s="2013"/>
      <c r="X111" s="2013"/>
      <c r="Y111" s="2013"/>
      <c r="Z111" s="2013"/>
      <c r="AA111" s="2013"/>
      <c r="AB111" s="2013"/>
      <c r="AC111" s="2013"/>
    </row>
    <row r="112" spans="1:29" ht="15.75" thickTop="1">
      <c r="A112" s="653"/>
      <c r="B112" s="665">
        <f>B37</f>
        <v>0</v>
      </c>
      <c r="C112" s="672"/>
      <c r="D112" s="672"/>
      <c r="E112" s="672"/>
      <c r="F112" s="672"/>
      <c r="G112" s="706"/>
      <c r="H112" s="706"/>
      <c r="I112" s="706"/>
      <c r="J112" s="706"/>
      <c r="K112" s="707"/>
      <c r="L112" s="708"/>
      <c r="M112" s="709"/>
      <c r="N112" s="2031"/>
      <c r="O112" s="2031"/>
      <c r="P112" s="2032"/>
      <c r="Q112" s="2025"/>
      <c r="R112" s="2013"/>
      <c r="S112" s="2013"/>
      <c r="T112" s="2013"/>
      <c r="U112" s="2013"/>
      <c r="V112" s="2013"/>
      <c r="W112" s="2013"/>
      <c r="X112" s="2013"/>
      <c r="Y112" s="2013"/>
      <c r="Z112" s="2013"/>
      <c r="AA112" s="2013"/>
      <c r="AB112" s="2013"/>
      <c r="AC112" s="2013"/>
    </row>
    <row r="113" spans="1:29" ht="15.75" thickBot="1">
      <c r="A113" s="653"/>
      <c r="B113" s="683"/>
      <c r="C113" s="676"/>
      <c r="D113" s="676"/>
      <c r="E113" s="676"/>
      <c r="F113" s="676"/>
      <c r="G113" s="710"/>
      <c r="H113" s="710"/>
      <c r="I113" s="710"/>
      <c r="J113" s="710"/>
      <c r="K113" s="710"/>
      <c r="L113" s="710"/>
      <c r="M113" s="711"/>
      <c r="N113" s="2033"/>
      <c r="O113" s="2033"/>
      <c r="P113" s="2032"/>
      <c r="Q113" s="2025"/>
      <c r="R113" s="2013"/>
      <c r="S113" s="2013"/>
      <c r="T113" s="2013"/>
      <c r="U113" s="2013"/>
      <c r="V113" s="2013"/>
      <c r="W113" s="2013"/>
      <c r="X113" s="2013"/>
      <c r="Y113" s="2013"/>
      <c r="Z113" s="2013"/>
      <c r="AA113" s="2013"/>
      <c r="AB113" s="2013"/>
      <c r="AC113" s="2013"/>
    </row>
    <row r="114" spans="1:29" ht="15" thickTop="1">
      <c r="A114" s="573"/>
      <c r="B114" s="657">
        <f>B38</f>
        <v>0</v>
      </c>
      <c r="C114" s="645"/>
      <c r="D114" s="645"/>
      <c r="E114" s="645"/>
      <c r="F114" s="645"/>
      <c r="G114" s="702"/>
      <c r="H114" s="702"/>
      <c r="I114" s="702"/>
      <c r="J114" s="702"/>
      <c r="K114" s="703"/>
      <c r="L114" s="704"/>
      <c r="M114" s="705"/>
      <c r="N114" s="2031"/>
      <c r="O114" s="2031"/>
      <c r="P114" s="2032"/>
      <c r="Q114" s="2025"/>
      <c r="R114" s="2013"/>
      <c r="S114" s="2013"/>
      <c r="T114" s="2013"/>
      <c r="U114" s="2013"/>
      <c r="V114" s="2013"/>
      <c r="W114" s="2013"/>
      <c r="X114" s="2013"/>
      <c r="Y114" s="2013"/>
      <c r="Z114" s="2013"/>
      <c r="AA114" s="2013"/>
      <c r="AB114" s="2013"/>
      <c r="AC114" s="2013"/>
    </row>
    <row r="115" spans="1:29" ht="15.75" thickBot="1">
      <c r="A115" s="653"/>
      <c r="B115" s="662"/>
      <c r="C115" s="684"/>
      <c r="D115" s="684"/>
      <c r="E115" s="684"/>
      <c r="F115" s="684"/>
      <c r="G115" s="655"/>
      <c r="H115" s="655"/>
      <c r="I115" s="655"/>
      <c r="J115" s="655"/>
      <c r="K115" s="655"/>
      <c r="L115" s="655"/>
      <c r="M115" s="656"/>
      <c r="N115" s="2033"/>
      <c r="O115" s="2033"/>
      <c r="P115" s="2032"/>
      <c r="Q115" s="2025"/>
      <c r="R115" s="2013"/>
      <c r="S115" s="2013"/>
      <c r="T115" s="2013"/>
      <c r="U115" s="2013"/>
      <c r="V115" s="2013"/>
      <c r="W115" s="2013"/>
      <c r="X115" s="2013"/>
      <c r="Y115" s="2013"/>
      <c r="Z115" s="2013"/>
      <c r="AA115" s="2013"/>
      <c r="AB115" s="2013"/>
      <c r="AC115" s="2013"/>
    </row>
    <row r="116" spans="1:29" s="1283" customFormat="1" ht="15" thickTop="1">
      <c r="A116" s="712"/>
      <c r="B116" s="713">
        <f>B39</f>
        <v>0</v>
      </c>
      <c r="C116" s="714"/>
      <c r="D116" s="714"/>
      <c r="E116" s="714"/>
      <c r="F116" s="714"/>
      <c r="G116" s="714"/>
      <c r="H116" s="714"/>
      <c r="I116" s="714"/>
      <c r="J116" s="715"/>
      <c r="K116" s="715"/>
      <c r="L116" s="716"/>
      <c r="M116" s="717"/>
      <c r="N116" s="2034"/>
      <c r="O116" s="2034"/>
      <c r="P116" s="2035"/>
      <c r="Q116" s="2036"/>
      <c r="R116" s="2037"/>
      <c r="S116" s="2037"/>
      <c r="T116" s="2037"/>
      <c r="U116" s="2037"/>
      <c r="V116" s="2037"/>
      <c r="W116" s="2037"/>
      <c r="X116" s="2037"/>
      <c r="Y116" s="2037"/>
      <c r="Z116" s="2037"/>
      <c r="AA116" s="2037"/>
      <c r="AB116" s="2037"/>
      <c r="AC116" s="2037"/>
    </row>
    <row r="117" spans="1:29" s="1283" customFormat="1" ht="15.75" thickBot="1">
      <c r="A117" s="671"/>
      <c r="B117" s="665"/>
      <c r="C117" s="634"/>
      <c r="D117" s="578"/>
      <c r="E117" s="578"/>
      <c r="F117" s="578"/>
      <c r="G117" s="578"/>
      <c r="H117" s="578"/>
      <c r="I117" s="578"/>
      <c r="J117" s="578"/>
      <c r="K117" s="578"/>
      <c r="L117" s="578"/>
      <c r="M117" s="718"/>
      <c r="N117" s="2033"/>
      <c r="O117" s="2033"/>
      <c r="P117" s="2035"/>
      <c r="Q117" s="2036"/>
      <c r="R117" s="2037"/>
      <c r="S117" s="2037"/>
      <c r="T117" s="2037"/>
      <c r="U117" s="2037"/>
      <c r="V117" s="2037"/>
      <c r="W117" s="2037"/>
      <c r="X117" s="2037"/>
      <c r="Y117" s="2037"/>
      <c r="Z117" s="2037"/>
      <c r="AA117" s="2037"/>
      <c r="AB117" s="2037"/>
      <c r="AC117" s="2037"/>
    </row>
    <row r="118" spans="1:29">
      <c r="A118" s="648" t="s">
        <v>545</v>
      </c>
      <c r="B118" s="649" t="s">
        <v>587</v>
      </c>
      <c r="C118" s="688" t="str">
        <f t="shared" ref="C118:L118" si="26">C119&amp;"(含)"&amp;"-"&amp;D119</f>
        <v>0(含)-</v>
      </c>
      <c r="D118" s="688" t="str">
        <f t="shared" si="26"/>
        <v>(含)-</v>
      </c>
      <c r="E118" s="688" t="str">
        <f t="shared" si="26"/>
        <v>(含)-</v>
      </c>
      <c r="F118" s="688" t="str">
        <f t="shared" si="26"/>
        <v>(含)-</v>
      </c>
      <c r="G118" s="688" t="str">
        <f t="shared" si="26"/>
        <v>(含)-</v>
      </c>
      <c r="H118" s="688" t="str">
        <f t="shared" si="26"/>
        <v>(含)-</v>
      </c>
      <c r="I118" s="688" t="str">
        <f t="shared" si="26"/>
        <v>(含)-</v>
      </c>
      <c r="J118" s="2765" t="str">
        <f t="shared" si="26"/>
        <v>(含)-</v>
      </c>
      <c r="K118" s="2765" t="str">
        <f t="shared" si="26"/>
        <v>(含)-</v>
      </c>
      <c r="L118" s="2766" t="str">
        <f t="shared" si="26"/>
        <v>(含)-</v>
      </c>
      <c r="M118" s="2767" t="str">
        <f>M119&amp;"(含)"&amp;"-"&amp;P119</f>
        <v>(含)-</v>
      </c>
      <c r="N118" s="2031"/>
      <c r="O118" s="2031"/>
      <c r="P118" s="2032"/>
      <c r="Q118" s="2025"/>
      <c r="R118" s="2013"/>
      <c r="S118" s="2013"/>
      <c r="T118" s="2013"/>
      <c r="U118" s="2013"/>
      <c r="V118" s="2013"/>
      <c r="W118" s="2013"/>
      <c r="X118" s="2013"/>
      <c r="Y118" s="2013"/>
      <c r="Z118" s="2013"/>
      <c r="AA118" s="2013"/>
      <c r="AB118" s="2013"/>
      <c r="AC118" s="2013"/>
    </row>
    <row r="119" spans="1:29" ht="15">
      <c r="A119" s="653"/>
      <c r="B119" s="665"/>
      <c r="C119" s="714">
        <v>0</v>
      </c>
      <c r="D119" s="714"/>
      <c r="E119" s="714"/>
      <c r="F119" s="714"/>
      <c r="G119" s="714"/>
      <c r="H119" s="714"/>
      <c r="I119" s="714"/>
      <c r="J119" s="2208"/>
      <c r="K119" s="2208"/>
      <c r="L119" s="2209"/>
      <c r="M119" s="2210"/>
      <c r="N119" s="2031"/>
      <c r="O119" s="2031"/>
      <c r="P119" s="2032"/>
      <c r="Q119" s="2025"/>
      <c r="R119" s="2013"/>
      <c r="S119" s="2013"/>
      <c r="T119" s="2013"/>
      <c r="U119" s="2013"/>
      <c r="V119" s="2013"/>
      <c r="W119" s="2013"/>
      <c r="X119" s="2013"/>
      <c r="Y119" s="2013"/>
      <c r="Z119" s="2013"/>
      <c r="AA119" s="2013"/>
      <c r="AB119" s="2013"/>
      <c r="AC119" s="2013"/>
    </row>
    <row r="120" spans="1:29" ht="15.75" thickBot="1">
      <c r="A120" s="653"/>
      <c r="B120" s="662"/>
      <c r="C120" s="684"/>
      <c r="D120" s="710"/>
      <c r="E120" s="710"/>
      <c r="F120" s="710"/>
      <c r="G120" s="710"/>
      <c r="H120" s="710"/>
      <c r="I120" s="710"/>
      <c r="J120" s="710"/>
      <c r="K120" s="710"/>
      <c r="L120" s="710"/>
      <c r="M120" s="711"/>
      <c r="N120" s="2033"/>
      <c r="O120" s="2033"/>
      <c r="P120" s="2032"/>
      <c r="Q120" s="2025"/>
      <c r="R120" s="2013"/>
      <c r="S120" s="2013"/>
      <c r="T120" s="2013"/>
      <c r="U120" s="2013"/>
      <c r="V120" s="2013"/>
      <c r="W120" s="2013"/>
      <c r="X120" s="2013"/>
      <c r="Y120" s="2013"/>
      <c r="Z120" s="2013"/>
      <c r="AA120" s="2013"/>
      <c r="AB120" s="2013"/>
      <c r="AC120" s="2013"/>
    </row>
    <row r="121" spans="1:29" ht="15" thickTop="1">
      <c r="A121" s="719"/>
      <c r="B121" s="657" t="s">
        <v>588</v>
      </c>
      <c r="C121" s="3279" t="s">
        <v>3721</v>
      </c>
      <c r="D121" s="3279" t="s">
        <v>3722</v>
      </c>
      <c r="E121" s="702"/>
      <c r="F121" s="702"/>
      <c r="G121" s="702"/>
      <c r="H121" s="702"/>
      <c r="I121" s="702"/>
      <c r="J121" s="702"/>
      <c r="K121" s="703"/>
      <c r="L121" s="704"/>
      <c r="M121" s="705"/>
      <c r="N121" s="2031"/>
      <c r="O121" s="2031"/>
      <c r="P121" s="2032"/>
      <c r="Q121" s="2025"/>
      <c r="R121" s="2013"/>
      <c r="S121" s="2013"/>
      <c r="T121" s="2013"/>
      <c r="U121" s="2013"/>
      <c r="V121" s="2013"/>
      <c r="W121" s="2013"/>
      <c r="X121" s="2013"/>
      <c r="Y121" s="2013"/>
      <c r="Z121" s="2013"/>
      <c r="AA121" s="2013"/>
      <c r="AB121" s="2013"/>
      <c r="AC121" s="2013"/>
    </row>
    <row r="122" spans="1:29" ht="15.75" thickBot="1">
      <c r="A122" s="653"/>
      <c r="B122" s="662"/>
      <c r="C122" s="663">
        <v>100</v>
      </c>
      <c r="D122" s="663">
        <f t="shared" ref="D122:M122" si="27">C122-$K41</f>
        <v>100</v>
      </c>
      <c r="E122" s="663">
        <f t="shared" si="27"/>
        <v>100</v>
      </c>
      <c r="F122" s="663">
        <f t="shared" si="27"/>
        <v>100</v>
      </c>
      <c r="G122" s="663">
        <f t="shared" si="27"/>
        <v>100</v>
      </c>
      <c r="H122" s="663">
        <f t="shared" si="27"/>
        <v>100</v>
      </c>
      <c r="I122" s="663">
        <f t="shared" si="27"/>
        <v>100</v>
      </c>
      <c r="J122" s="663">
        <f t="shared" si="27"/>
        <v>100</v>
      </c>
      <c r="K122" s="663">
        <f t="shared" si="27"/>
        <v>100</v>
      </c>
      <c r="L122" s="663">
        <f t="shared" si="27"/>
        <v>100</v>
      </c>
      <c r="M122" s="664">
        <f t="shared" si="27"/>
        <v>100</v>
      </c>
      <c r="N122" s="2033"/>
      <c r="O122" s="2033"/>
      <c r="P122" s="2032"/>
      <c r="Q122" s="2025"/>
      <c r="R122" s="2013"/>
      <c r="S122" s="2013"/>
      <c r="T122" s="2013"/>
      <c r="U122" s="2013"/>
      <c r="V122" s="2013"/>
      <c r="W122" s="2013"/>
      <c r="X122" s="2013"/>
      <c r="Y122" s="2013"/>
      <c r="Z122" s="2013"/>
      <c r="AA122" s="2013"/>
      <c r="AB122" s="2013"/>
      <c r="AC122" s="2013"/>
    </row>
    <row r="123" spans="1:29" ht="15" thickTop="1">
      <c r="A123" s="719"/>
      <c r="B123" s="657" t="s">
        <v>589</v>
      </c>
      <c r="C123" s="672"/>
      <c r="D123" s="672"/>
      <c r="E123" s="672"/>
      <c r="F123" s="702"/>
      <c r="G123" s="702"/>
      <c r="H123" s="702"/>
      <c r="I123" s="702"/>
      <c r="J123" s="702"/>
      <c r="K123" s="703"/>
      <c r="L123" s="704"/>
      <c r="M123" s="705"/>
      <c r="N123" s="2031"/>
      <c r="O123" s="2031"/>
      <c r="P123" s="2032"/>
      <c r="Q123" s="2025"/>
      <c r="R123" s="2013"/>
      <c r="S123" s="2013"/>
      <c r="T123" s="2013"/>
      <c r="U123" s="2013"/>
      <c r="V123" s="2013"/>
      <c r="W123" s="2013"/>
      <c r="X123" s="2013"/>
      <c r="Y123" s="2013"/>
      <c r="Z123" s="2013"/>
      <c r="AA123" s="2013"/>
      <c r="AB123" s="2013"/>
      <c r="AC123" s="2013"/>
    </row>
    <row r="124" spans="1:29" ht="15.75" thickBot="1">
      <c r="A124" s="653"/>
      <c r="B124" s="662"/>
      <c r="C124" s="663">
        <v>100</v>
      </c>
      <c r="D124" s="663">
        <f t="shared" ref="D124:M124" si="28">C124-$K42</f>
        <v>100</v>
      </c>
      <c r="E124" s="663">
        <f t="shared" si="28"/>
        <v>100</v>
      </c>
      <c r="F124" s="663">
        <f t="shared" si="28"/>
        <v>100</v>
      </c>
      <c r="G124" s="663">
        <f t="shared" si="28"/>
        <v>100</v>
      </c>
      <c r="H124" s="663">
        <f t="shared" si="28"/>
        <v>100</v>
      </c>
      <c r="I124" s="663">
        <f t="shared" si="28"/>
        <v>100</v>
      </c>
      <c r="J124" s="663">
        <f t="shared" si="28"/>
        <v>100</v>
      </c>
      <c r="K124" s="663">
        <f t="shared" si="28"/>
        <v>100</v>
      </c>
      <c r="L124" s="663">
        <f t="shared" si="28"/>
        <v>100</v>
      </c>
      <c r="M124" s="664">
        <f t="shared" si="28"/>
        <v>100</v>
      </c>
      <c r="N124" s="2033"/>
      <c r="O124" s="2033"/>
      <c r="P124" s="2032"/>
      <c r="Q124" s="2025"/>
      <c r="R124" s="2013"/>
      <c r="S124" s="2013"/>
      <c r="T124" s="2013"/>
      <c r="U124" s="2013"/>
      <c r="V124" s="2013"/>
      <c r="W124" s="2013"/>
      <c r="X124" s="2013"/>
      <c r="Y124" s="2013"/>
      <c r="Z124" s="2013"/>
      <c r="AA124" s="2013"/>
      <c r="AB124" s="2013"/>
      <c r="AC124" s="2013"/>
    </row>
    <row r="125" spans="1:29" s="1283" customFormat="1" ht="15" thickTop="1">
      <c r="A125" s="712"/>
      <c r="B125" s="1796" t="s">
        <v>2404</v>
      </c>
      <c r="C125" s="1315" t="s">
        <v>3724</v>
      </c>
      <c r="D125" s="1315"/>
      <c r="E125" s="1315"/>
      <c r="F125" s="1315"/>
      <c r="G125" s="1315"/>
      <c r="H125" s="702"/>
      <c r="I125" s="702"/>
      <c r="J125" s="702"/>
      <c r="K125" s="703"/>
      <c r="L125" s="704"/>
      <c r="M125" s="705"/>
      <c r="N125" s="2034"/>
      <c r="O125" s="2034"/>
      <c r="P125" s="2035"/>
      <c r="Q125" s="2036"/>
      <c r="R125" s="2037"/>
      <c r="S125" s="2037"/>
      <c r="T125" s="2037"/>
      <c r="U125" s="2037"/>
      <c r="V125" s="2037"/>
      <c r="W125" s="2037"/>
      <c r="X125" s="2037"/>
      <c r="Y125" s="2037"/>
      <c r="Z125" s="2037"/>
      <c r="AA125" s="2037"/>
      <c r="AB125" s="2037"/>
      <c r="AC125" s="2037"/>
    </row>
    <row r="126" spans="1:29" s="1283" customFormat="1" ht="15.75" thickBot="1">
      <c r="A126" s="671"/>
      <c r="B126" s="662"/>
      <c r="C126" s="663">
        <v>100</v>
      </c>
      <c r="D126" s="663">
        <f>C126-$K43</f>
        <v>100</v>
      </c>
      <c r="E126" s="663">
        <f t="shared" ref="E126:M126" si="29">D126-$K43</f>
        <v>100</v>
      </c>
      <c r="F126" s="663">
        <f t="shared" si="29"/>
        <v>100</v>
      </c>
      <c r="G126" s="663">
        <f t="shared" si="29"/>
        <v>100</v>
      </c>
      <c r="H126" s="663">
        <f t="shared" si="29"/>
        <v>100</v>
      </c>
      <c r="I126" s="663">
        <f t="shared" si="29"/>
        <v>100</v>
      </c>
      <c r="J126" s="663">
        <f t="shared" si="29"/>
        <v>100</v>
      </c>
      <c r="K126" s="663">
        <f t="shared" si="29"/>
        <v>100</v>
      </c>
      <c r="L126" s="663">
        <f t="shared" si="29"/>
        <v>100</v>
      </c>
      <c r="M126" s="664">
        <f t="shared" si="29"/>
        <v>100</v>
      </c>
      <c r="N126" s="2034"/>
      <c r="O126" s="2034"/>
      <c r="P126" s="2035"/>
      <c r="Q126" s="2036"/>
      <c r="R126" s="2037"/>
      <c r="S126" s="2037"/>
      <c r="T126" s="2037"/>
      <c r="U126" s="2037"/>
      <c r="V126" s="2037"/>
      <c r="W126" s="2037"/>
      <c r="X126" s="2037"/>
      <c r="Y126" s="2037"/>
      <c r="Z126" s="2037"/>
      <c r="AA126" s="2037"/>
      <c r="AB126" s="2037"/>
      <c r="AC126" s="2037"/>
    </row>
    <row r="127" spans="1:29" ht="15" thickTop="1">
      <c r="A127" s="719"/>
      <c r="B127" s="657" t="s">
        <v>590</v>
      </c>
      <c r="C127" s="3280" t="s">
        <v>3726</v>
      </c>
      <c r="D127" s="672"/>
      <c r="E127" s="702"/>
      <c r="F127" s="702"/>
      <c r="G127" s="702"/>
      <c r="H127" s="702"/>
      <c r="I127" s="702"/>
      <c r="J127" s="702"/>
      <c r="K127" s="703"/>
      <c r="L127" s="704"/>
      <c r="M127" s="705"/>
      <c r="N127" s="2031"/>
      <c r="O127" s="2031"/>
      <c r="P127" s="2032"/>
      <c r="Q127" s="2025"/>
      <c r="R127" s="2013"/>
      <c r="S127" s="2013"/>
      <c r="T127" s="2013"/>
      <c r="U127" s="2013"/>
      <c r="V127" s="2013"/>
      <c r="W127" s="2013"/>
      <c r="X127" s="2013"/>
      <c r="Y127" s="2013"/>
      <c r="Z127" s="2013"/>
      <c r="AA127" s="2013"/>
      <c r="AB127" s="2013"/>
      <c r="AC127" s="2013"/>
    </row>
    <row r="128" spans="1:29" ht="15.75" thickBot="1">
      <c r="A128" s="653"/>
      <c r="B128" s="662"/>
      <c r="C128" s="663">
        <v>100</v>
      </c>
      <c r="D128" s="663">
        <f t="shared" ref="D128:M128" si="30">C128-$K44</f>
        <v>100</v>
      </c>
      <c r="E128" s="663">
        <f t="shared" si="30"/>
        <v>100</v>
      </c>
      <c r="F128" s="663">
        <f t="shared" si="30"/>
        <v>100</v>
      </c>
      <c r="G128" s="663">
        <f t="shared" si="30"/>
        <v>100</v>
      </c>
      <c r="H128" s="663">
        <f t="shared" si="30"/>
        <v>100</v>
      </c>
      <c r="I128" s="663">
        <f t="shared" si="30"/>
        <v>100</v>
      </c>
      <c r="J128" s="663">
        <f t="shared" si="30"/>
        <v>100</v>
      </c>
      <c r="K128" s="663">
        <f t="shared" si="30"/>
        <v>100</v>
      </c>
      <c r="L128" s="663">
        <f t="shared" si="30"/>
        <v>100</v>
      </c>
      <c r="M128" s="664">
        <f t="shared" si="30"/>
        <v>100</v>
      </c>
      <c r="N128" s="2033"/>
      <c r="O128" s="2033"/>
      <c r="P128" s="2032"/>
      <c r="Q128" s="2025"/>
      <c r="R128" s="2013"/>
      <c r="S128" s="2013"/>
      <c r="T128" s="2013"/>
      <c r="U128" s="2013"/>
      <c r="V128" s="2013"/>
      <c r="W128" s="2013"/>
      <c r="X128" s="2013"/>
      <c r="Y128" s="2013"/>
      <c r="Z128" s="2013"/>
      <c r="AA128" s="2013"/>
      <c r="AB128" s="2013"/>
      <c r="AC128" s="2013"/>
    </row>
    <row r="129" spans="1:29" ht="15" thickTop="1">
      <c r="A129" s="719"/>
      <c r="B129" s="657" t="str">
        <f>B45</f>
        <v>宗地面积</v>
      </c>
      <c r="C129" s="672" t="s">
        <v>3832</v>
      </c>
      <c r="D129" s="672" t="s">
        <v>3833</v>
      </c>
      <c r="E129" s="3280" t="s">
        <v>3834</v>
      </c>
      <c r="F129" s="672"/>
      <c r="G129" s="672"/>
      <c r="H129" s="702"/>
      <c r="I129" s="702"/>
      <c r="J129" s="702"/>
      <c r="K129" s="703"/>
      <c r="L129" s="704"/>
      <c r="M129" s="705"/>
      <c r="N129" s="2031"/>
      <c r="O129" s="2031"/>
      <c r="P129" s="2032"/>
      <c r="Q129" s="2025"/>
      <c r="R129" s="2013"/>
      <c r="S129" s="2013"/>
      <c r="T129" s="2013"/>
      <c r="U129" s="2013"/>
      <c r="V129" s="2013"/>
      <c r="W129" s="2013"/>
      <c r="X129" s="2013"/>
      <c r="Y129" s="2013"/>
      <c r="Z129" s="2013"/>
      <c r="AA129" s="2013"/>
      <c r="AB129" s="2013"/>
      <c r="AC129" s="2013"/>
    </row>
    <row r="130" spans="1:29" ht="15.75" thickBot="1">
      <c r="A130" s="653"/>
      <c r="B130" s="662"/>
      <c r="C130" s="676">
        <v>100</v>
      </c>
      <c r="D130" s="676">
        <v>100.5</v>
      </c>
      <c r="E130" s="676">
        <v>101</v>
      </c>
      <c r="F130" s="676"/>
      <c r="G130" s="655"/>
      <c r="H130" s="655"/>
      <c r="I130" s="655"/>
      <c r="J130" s="655"/>
      <c r="K130" s="655"/>
      <c r="L130" s="655"/>
      <c r="M130" s="656"/>
      <c r="N130" s="2033"/>
      <c r="O130" s="2033"/>
      <c r="P130" s="2032"/>
      <c r="Q130" s="2025"/>
      <c r="R130" s="2013"/>
      <c r="S130" s="2013"/>
      <c r="T130" s="2013"/>
      <c r="U130" s="2013"/>
      <c r="V130" s="2013"/>
      <c r="W130" s="2013"/>
      <c r="X130" s="2013"/>
      <c r="Y130" s="2013"/>
      <c r="Z130" s="2013"/>
      <c r="AA130" s="2013"/>
      <c r="AB130" s="2013"/>
      <c r="AC130" s="2013"/>
    </row>
    <row r="131" spans="1:29" ht="15" thickTop="1">
      <c r="A131" s="719"/>
      <c r="B131" s="657">
        <f>B46</f>
        <v>0</v>
      </c>
      <c r="C131" s="645" t="s">
        <v>3835</v>
      </c>
      <c r="D131" s="645" t="s">
        <v>3837</v>
      </c>
      <c r="E131" s="645" t="s">
        <v>3836</v>
      </c>
      <c r="F131" s="645"/>
      <c r="G131" s="702"/>
      <c r="H131" s="702"/>
      <c r="I131" s="702"/>
      <c r="J131" s="702"/>
      <c r="K131" s="703"/>
      <c r="L131" s="704"/>
      <c r="M131" s="705"/>
      <c r="N131" s="2031"/>
      <c r="O131" s="2031"/>
      <c r="P131" s="2032"/>
      <c r="Q131" s="2025"/>
      <c r="R131" s="2013"/>
      <c r="S131" s="2013"/>
      <c r="T131" s="2013"/>
      <c r="U131" s="2013"/>
      <c r="V131" s="2013"/>
      <c r="W131" s="2013"/>
      <c r="X131" s="2013"/>
      <c r="Y131" s="2013"/>
      <c r="Z131" s="2013"/>
      <c r="AA131" s="2013"/>
      <c r="AB131" s="2013"/>
      <c r="AC131" s="2013"/>
    </row>
    <row r="132" spans="1:29" ht="15.75" thickBot="1">
      <c r="A132" s="653"/>
      <c r="B132" s="662"/>
      <c r="C132" s="684"/>
      <c r="D132" s="684"/>
      <c r="E132" s="684"/>
      <c r="F132" s="684"/>
      <c r="G132" s="655"/>
      <c r="H132" s="655"/>
      <c r="I132" s="655"/>
      <c r="J132" s="655"/>
      <c r="K132" s="655"/>
      <c r="L132" s="655"/>
      <c r="M132" s="656"/>
      <c r="N132" s="2033"/>
      <c r="O132" s="2033"/>
      <c r="P132" s="2032"/>
      <c r="Q132" s="2025"/>
      <c r="R132" s="2013"/>
      <c r="S132" s="2013"/>
      <c r="T132" s="2013"/>
      <c r="U132" s="2013"/>
      <c r="V132" s="2013"/>
      <c r="W132" s="2013"/>
      <c r="X132" s="2013"/>
      <c r="Y132" s="2013"/>
      <c r="Z132" s="2013"/>
      <c r="AA132" s="2013"/>
      <c r="AB132" s="2013"/>
      <c r="AC132" s="2013"/>
    </row>
    <row r="133" spans="1:29" s="1283" customFormat="1" ht="15" thickTop="1">
      <c r="A133" s="712"/>
      <c r="B133" s="657">
        <f>B47</f>
        <v>0</v>
      </c>
      <c r="C133" s="645"/>
      <c r="D133" s="645"/>
      <c r="E133" s="645"/>
      <c r="F133" s="645"/>
      <c r="G133" s="673"/>
      <c r="H133" s="673"/>
      <c r="I133" s="673"/>
      <c r="J133" s="673"/>
      <c r="K133" s="673"/>
      <c r="L133" s="674"/>
      <c r="M133" s="675"/>
      <c r="N133" s="2034"/>
      <c r="O133" s="2034"/>
      <c r="P133" s="2035"/>
      <c r="Q133" s="2036"/>
      <c r="R133" s="2037"/>
      <c r="S133" s="2037"/>
      <c r="T133" s="2037"/>
      <c r="U133" s="2037"/>
      <c r="V133" s="2037"/>
      <c r="W133" s="2037"/>
      <c r="X133" s="2037"/>
      <c r="Y133" s="2037"/>
      <c r="Z133" s="2037"/>
      <c r="AA133" s="2037"/>
      <c r="AB133" s="2037"/>
      <c r="AC133" s="2037"/>
    </row>
    <row r="134" spans="1:29" s="1283" customFormat="1" ht="15.75" thickBot="1">
      <c r="A134" s="682"/>
      <c r="B134" s="720"/>
      <c r="C134" s="684"/>
      <c r="D134" s="684"/>
      <c r="E134" s="684"/>
      <c r="F134" s="684"/>
      <c r="G134" s="710"/>
      <c r="H134" s="710"/>
      <c r="I134" s="710"/>
      <c r="J134" s="710"/>
      <c r="K134" s="710"/>
      <c r="L134" s="710"/>
      <c r="M134" s="711"/>
      <c r="N134" s="2034"/>
      <c r="O134" s="2034"/>
      <c r="P134" s="2035"/>
      <c r="Q134" s="2036"/>
      <c r="R134" s="2037"/>
      <c r="S134" s="2037"/>
      <c r="T134" s="2037"/>
      <c r="U134" s="2037"/>
      <c r="V134" s="2037"/>
      <c r="W134" s="2037"/>
      <c r="X134" s="2037"/>
      <c r="Y134" s="2037"/>
      <c r="Z134" s="2037"/>
      <c r="AA134" s="2037"/>
      <c r="AB134" s="2037"/>
      <c r="AC134" s="2037"/>
    </row>
    <row r="135" spans="1:29" s="1509" customFormat="1">
      <c r="A135" s="2042"/>
      <c r="B135" s="2042"/>
      <c r="C135" s="2042"/>
      <c r="D135" s="2042"/>
      <c r="E135" s="2042"/>
      <c r="F135" s="2042"/>
      <c r="G135" s="2042"/>
      <c r="H135" s="2042"/>
      <c r="I135" s="2042"/>
      <c r="J135" s="2042"/>
      <c r="K135" s="2043"/>
      <c r="L135" s="2044"/>
      <c r="M135" s="2042"/>
      <c r="N135" s="2042"/>
      <c r="O135" s="2042"/>
      <c r="P135" s="2042"/>
      <c r="Q135" s="2042"/>
      <c r="R135" s="2042"/>
      <c r="S135" s="2042"/>
      <c r="T135" s="2042"/>
      <c r="U135" s="2042"/>
      <c r="V135" s="2042"/>
      <c r="W135" s="2042"/>
      <c r="X135" s="2042"/>
      <c r="Y135" s="2042"/>
      <c r="Z135" s="2042"/>
      <c r="AA135" s="2042"/>
      <c r="AB135" s="2042"/>
      <c r="AC135" s="2042"/>
    </row>
    <row r="136" spans="1:29" s="1509" customFormat="1">
      <c r="A136" s="2042"/>
      <c r="B136" s="2042"/>
      <c r="C136" s="2042"/>
      <c r="D136" s="2042"/>
      <c r="E136" s="2042"/>
      <c r="F136" s="2042"/>
      <c r="G136" s="2042"/>
      <c r="H136" s="2042"/>
      <c r="I136" s="2042"/>
      <c r="J136" s="2042"/>
      <c r="K136" s="2043"/>
      <c r="L136" s="2044"/>
      <c r="M136" s="2042"/>
      <c r="N136" s="2042"/>
      <c r="O136" s="2042"/>
      <c r="P136" s="2042"/>
      <c r="Q136" s="2042"/>
      <c r="R136" s="2042"/>
      <c r="S136" s="2042"/>
      <c r="T136" s="2042"/>
      <c r="U136" s="2042"/>
      <c r="V136" s="2042"/>
      <c r="W136" s="2042"/>
      <c r="X136" s="2042"/>
      <c r="Y136" s="2042"/>
      <c r="Z136" s="2042"/>
      <c r="AA136" s="2042"/>
      <c r="AB136" s="2042"/>
      <c r="AC136" s="2042"/>
    </row>
    <row r="137" spans="1:29" s="1509" customFormat="1">
      <c r="A137" s="2042"/>
      <c r="B137" s="2042"/>
      <c r="C137" s="2042"/>
      <c r="D137" s="2042"/>
      <c r="E137" s="2042"/>
      <c r="F137" s="2042"/>
      <c r="G137" s="2042"/>
      <c r="H137" s="2042"/>
      <c r="I137" s="2042"/>
      <c r="J137" s="2042"/>
      <c r="K137" s="2043"/>
      <c r="L137" s="2044"/>
      <c r="M137" s="2042"/>
      <c r="N137" s="2042"/>
      <c r="O137" s="2042"/>
      <c r="P137" s="2042"/>
      <c r="Q137" s="2042"/>
      <c r="R137" s="2042"/>
      <c r="S137" s="2042"/>
      <c r="T137" s="2042"/>
      <c r="U137" s="2042"/>
      <c r="V137" s="2042"/>
      <c r="W137" s="2042"/>
      <c r="X137" s="2042"/>
      <c r="Y137" s="2042"/>
      <c r="Z137" s="2042"/>
      <c r="AA137" s="2042"/>
      <c r="AB137" s="2042"/>
      <c r="AC137" s="2042"/>
    </row>
    <row r="138" spans="1:29" s="1509" customFormat="1">
      <c r="A138" s="2042"/>
      <c r="B138" s="2042"/>
      <c r="C138" s="2042"/>
      <c r="D138" s="2042"/>
      <c r="E138" s="2042"/>
      <c r="F138" s="2042"/>
      <c r="G138" s="2042"/>
      <c r="H138" s="2042"/>
      <c r="I138" s="2042"/>
      <c r="J138" s="2042"/>
      <c r="K138" s="2043"/>
      <c r="L138" s="2044"/>
      <c r="M138" s="2042"/>
      <c r="N138" s="2042"/>
      <c r="O138" s="2042"/>
      <c r="P138" s="2042"/>
      <c r="Q138" s="2042"/>
      <c r="R138" s="2042"/>
      <c r="S138" s="2042"/>
      <c r="T138" s="2042"/>
      <c r="U138" s="2042"/>
      <c r="V138" s="2042"/>
      <c r="W138" s="2042"/>
      <c r="X138" s="2042"/>
      <c r="Y138" s="2042"/>
      <c r="Z138" s="2042"/>
      <c r="AA138" s="2042"/>
      <c r="AB138" s="2042"/>
      <c r="AC138" s="2042"/>
    </row>
    <row r="139" spans="1:29" s="1509" customFormat="1">
      <c r="A139" s="2042"/>
      <c r="B139" s="2042"/>
      <c r="C139" s="2042"/>
      <c r="D139" s="2042"/>
      <c r="E139" s="2042"/>
      <c r="F139" s="2042"/>
      <c r="G139" s="2042"/>
      <c r="H139" s="2042"/>
      <c r="I139" s="2042"/>
      <c r="J139" s="2042"/>
      <c r="K139" s="2043"/>
      <c r="L139" s="2044"/>
      <c r="M139" s="2042"/>
      <c r="N139" s="2042"/>
      <c r="O139" s="2042"/>
      <c r="P139" s="2042"/>
      <c r="Q139" s="2042"/>
      <c r="R139" s="2042"/>
      <c r="S139" s="2042"/>
      <c r="T139" s="2042"/>
      <c r="U139" s="2042"/>
      <c r="V139" s="2042"/>
      <c r="W139" s="2042"/>
      <c r="X139" s="2042"/>
      <c r="Y139" s="2042"/>
      <c r="Z139" s="2042"/>
      <c r="AA139" s="2042"/>
      <c r="AB139" s="2042"/>
      <c r="AC139" s="2042"/>
    </row>
    <row r="140" spans="1:29" s="1509" customFormat="1">
      <c r="A140" s="2042"/>
      <c r="B140" s="2042"/>
      <c r="C140" s="2042"/>
      <c r="D140" s="2042"/>
      <c r="E140" s="2042"/>
      <c r="F140" s="2042"/>
      <c r="G140" s="2042"/>
      <c r="H140" s="2042"/>
      <c r="I140" s="2042"/>
      <c r="J140" s="2042"/>
      <c r="K140" s="2043"/>
      <c r="L140" s="2044"/>
      <c r="M140" s="2042"/>
      <c r="N140" s="2042"/>
      <c r="O140" s="2042"/>
      <c r="P140" s="2042"/>
      <c r="Q140" s="2042"/>
      <c r="R140" s="2042"/>
      <c r="S140" s="2042"/>
      <c r="T140" s="2042"/>
      <c r="U140" s="2042"/>
      <c r="V140" s="2042"/>
      <c r="W140" s="2042"/>
      <c r="X140" s="2042"/>
      <c r="Y140" s="2042"/>
      <c r="Z140" s="2042"/>
      <c r="AA140" s="2042"/>
      <c r="AB140" s="2042"/>
      <c r="AC140" s="2042"/>
    </row>
    <row r="141" spans="1:29" s="1509" customFormat="1">
      <c r="A141" s="2042"/>
      <c r="B141" s="2042"/>
      <c r="C141" s="2042"/>
      <c r="D141" s="2042"/>
      <c r="E141" s="2042"/>
      <c r="F141" s="2042"/>
      <c r="G141" s="2042"/>
      <c r="H141" s="2042"/>
      <c r="I141" s="2042"/>
      <c r="J141" s="2042"/>
      <c r="K141" s="2043"/>
      <c r="L141" s="2044"/>
      <c r="M141" s="2042"/>
      <c r="N141" s="2042"/>
      <c r="O141" s="2042"/>
      <c r="P141" s="2042"/>
      <c r="Q141" s="2042"/>
      <c r="R141" s="2042"/>
      <c r="S141" s="2042"/>
      <c r="T141" s="2042"/>
      <c r="U141" s="2042"/>
      <c r="V141" s="2042"/>
      <c r="W141" s="2042"/>
      <c r="X141" s="2042"/>
      <c r="Y141" s="2042"/>
      <c r="Z141" s="2042"/>
      <c r="AA141" s="2042"/>
      <c r="AB141" s="2042"/>
      <c r="AC141" s="2042"/>
    </row>
    <row r="142" spans="1:29" s="1509" customFormat="1">
      <c r="A142" s="2042"/>
      <c r="B142" s="2042"/>
      <c r="C142" s="2042"/>
      <c r="D142" s="2042"/>
      <c r="E142" s="2042"/>
      <c r="F142" s="2042"/>
      <c r="G142" s="2042"/>
      <c r="H142" s="2042"/>
      <c r="I142" s="2042"/>
      <c r="J142" s="2042"/>
      <c r="K142" s="2043"/>
      <c r="L142" s="2044"/>
      <c r="M142" s="2042"/>
      <c r="N142" s="2042"/>
      <c r="O142" s="2042"/>
      <c r="P142" s="2042"/>
      <c r="Q142" s="2042"/>
      <c r="R142" s="2042"/>
      <c r="S142" s="2042"/>
      <c r="T142" s="2042"/>
      <c r="U142" s="2042"/>
      <c r="V142" s="2042"/>
      <c r="W142" s="2042"/>
      <c r="X142" s="2042"/>
      <c r="Y142" s="2042"/>
      <c r="Z142" s="2042"/>
      <c r="AA142" s="2042"/>
      <c r="AB142" s="2042"/>
      <c r="AC142" s="2042"/>
    </row>
    <row r="143" spans="1:29" s="1509" customFormat="1">
      <c r="A143" s="2042"/>
      <c r="B143" s="2042"/>
      <c r="C143" s="2042"/>
      <c r="D143" s="2042"/>
      <c r="E143" s="2042"/>
      <c r="F143" s="2042"/>
      <c r="G143" s="2042"/>
      <c r="H143" s="2042"/>
      <c r="I143" s="2042"/>
      <c r="J143" s="2042"/>
      <c r="K143" s="2043"/>
      <c r="L143" s="2044"/>
      <c r="M143" s="2042"/>
      <c r="N143" s="2042"/>
      <c r="O143" s="2042"/>
      <c r="P143" s="2042"/>
      <c r="Q143" s="2042"/>
      <c r="R143" s="2042"/>
      <c r="S143" s="2042"/>
      <c r="T143" s="2042"/>
      <c r="U143" s="2042"/>
      <c r="V143" s="2042"/>
      <c r="W143" s="2042"/>
      <c r="X143" s="2042"/>
      <c r="Y143" s="2042"/>
      <c r="Z143" s="2042"/>
      <c r="AA143" s="2042"/>
      <c r="AB143" s="2042"/>
      <c r="AC143" s="2042"/>
    </row>
    <row r="144" spans="1:29" s="1509" customFormat="1">
      <c r="A144" s="2042"/>
      <c r="B144" s="2042"/>
      <c r="C144" s="2042"/>
      <c r="D144" s="2042"/>
      <c r="E144" s="2042"/>
      <c r="F144" s="2042"/>
      <c r="G144" s="2042"/>
      <c r="H144" s="2042"/>
      <c r="I144" s="2042"/>
      <c r="J144" s="2042"/>
      <c r="K144" s="2043"/>
      <c r="L144" s="2044"/>
      <c r="M144" s="2042"/>
      <c r="N144" s="2042"/>
      <c r="O144" s="2042"/>
      <c r="P144" s="2042"/>
      <c r="Q144" s="2042"/>
      <c r="R144" s="2042"/>
      <c r="S144" s="2042"/>
      <c r="T144" s="2042"/>
      <c r="U144" s="2042"/>
      <c r="V144" s="2042"/>
      <c r="W144" s="2042"/>
      <c r="X144" s="2042"/>
      <c r="Y144" s="2042"/>
      <c r="Z144" s="2042"/>
      <c r="AA144" s="2042"/>
      <c r="AB144" s="2042"/>
      <c r="AC144" s="2042"/>
    </row>
    <row r="145" spans="1:29" s="1509" customFormat="1">
      <c r="A145" s="2042"/>
      <c r="B145" s="2042"/>
      <c r="C145" s="2042"/>
      <c r="D145" s="2042"/>
      <c r="E145" s="2042"/>
      <c r="F145" s="2042"/>
      <c r="G145" s="2042"/>
      <c r="H145" s="2042"/>
      <c r="I145" s="2042"/>
      <c r="J145" s="2042"/>
      <c r="K145" s="2043"/>
      <c r="L145" s="2044"/>
      <c r="M145" s="2042"/>
      <c r="N145" s="2042"/>
      <c r="O145" s="2042"/>
      <c r="P145" s="2042"/>
      <c r="Q145" s="2042"/>
      <c r="R145" s="2042"/>
      <c r="S145" s="2042"/>
      <c r="T145" s="2042"/>
      <c r="U145" s="2042"/>
      <c r="V145" s="2042"/>
      <c r="W145" s="2042"/>
      <c r="X145" s="2042"/>
      <c r="Y145" s="2042"/>
      <c r="Z145" s="2042"/>
      <c r="AA145" s="2042"/>
      <c r="AB145" s="2042"/>
      <c r="AC145" s="2042"/>
    </row>
    <row r="146" spans="1:29" s="1509" customFormat="1">
      <c r="A146" s="2042"/>
      <c r="B146" s="2042"/>
      <c r="C146" s="2042"/>
      <c r="D146" s="2042"/>
      <c r="E146" s="2042"/>
      <c r="F146" s="2042"/>
      <c r="G146" s="2042"/>
      <c r="H146" s="2042"/>
      <c r="I146" s="2042"/>
      <c r="J146" s="2042"/>
      <c r="K146" s="2043"/>
      <c r="L146" s="2044"/>
      <c r="M146" s="2042"/>
      <c r="N146" s="2042"/>
      <c r="O146" s="2042"/>
      <c r="P146" s="2042"/>
      <c r="Q146" s="2042"/>
      <c r="R146" s="2042"/>
      <c r="S146" s="2042"/>
      <c r="T146" s="2042"/>
      <c r="U146" s="2042"/>
      <c r="V146" s="2042"/>
      <c r="W146" s="2042"/>
      <c r="X146" s="2042"/>
      <c r="Y146" s="2042"/>
      <c r="Z146" s="2042"/>
      <c r="AA146" s="2042"/>
      <c r="AB146" s="2042"/>
      <c r="AC146" s="2042"/>
    </row>
    <row r="147" spans="1:29" s="1509" customFormat="1">
      <c r="A147" s="2042"/>
      <c r="B147" s="2042"/>
      <c r="C147" s="2042"/>
      <c r="D147" s="2042"/>
      <c r="E147" s="2042"/>
      <c r="F147" s="2042"/>
      <c r="G147" s="2042"/>
      <c r="H147" s="2042"/>
      <c r="I147" s="2042"/>
      <c r="J147" s="2042"/>
      <c r="K147" s="2043"/>
      <c r="L147" s="2044"/>
      <c r="M147" s="2042"/>
      <c r="N147" s="2042"/>
      <c r="O147" s="2042"/>
      <c r="P147" s="2042"/>
      <c r="Q147" s="2042"/>
      <c r="R147" s="2042"/>
      <c r="S147" s="2042"/>
      <c r="T147" s="2042"/>
      <c r="U147" s="2042"/>
      <c r="V147" s="2042"/>
      <c r="W147" s="2042"/>
      <c r="X147" s="2042"/>
      <c r="Y147" s="2042"/>
      <c r="Z147" s="2042"/>
      <c r="AA147" s="2042"/>
      <c r="AB147" s="2042"/>
      <c r="AC147" s="2042"/>
    </row>
    <row r="148" spans="1:29" s="1509" customFormat="1">
      <c r="A148" s="2042"/>
      <c r="B148" s="2042"/>
      <c r="C148" s="2042"/>
      <c r="D148" s="2042"/>
      <c r="E148" s="2042"/>
      <c r="F148" s="2042"/>
      <c r="G148" s="2042"/>
      <c r="H148" s="2042"/>
      <c r="I148" s="2042"/>
      <c r="J148" s="2042"/>
      <c r="K148" s="2043"/>
      <c r="L148" s="2044"/>
      <c r="M148" s="2042"/>
      <c r="N148" s="2042"/>
      <c r="O148" s="2042"/>
      <c r="P148" s="2042"/>
      <c r="Q148" s="2042"/>
      <c r="R148" s="2042"/>
      <c r="S148" s="2042"/>
      <c r="T148" s="2042"/>
      <c r="U148" s="2042"/>
      <c r="V148" s="2042"/>
      <c r="W148" s="2042"/>
      <c r="X148" s="2042"/>
      <c r="Y148" s="2042"/>
      <c r="Z148" s="2042"/>
      <c r="AA148" s="2042"/>
      <c r="AB148" s="2042"/>
      <c r="AC148" s="2042"/>
    </row>
    <row r="149" spans="1:29" s="1509" customFormat="1">
      <c r="A149" s="2042"/>
      <c r="B149" s="2042"/>
      <c r="C149" s="2042"/>
      <c r="D149" s="2042"/>
      <c r="E149" s="2042"/>
      <c r="F149" s="2042"/>
      <c r="G149" s="2042"/>
      <c r="H149" s="2042"/>
      <c r="I149" s="2042"/>
      <c r="J149" s="2042"/>
      <c r="K149" s="2043"/>
      <c r="L149" s="2044"/>
      <c r="M149" s="2042"/>
      <c r="N149" s="2042"/>
      <c r="O149" s="2042"/>
      <c r="P149" s="2042"/>
      <c r="Q149" s="2042"/>
      <c r="R149" s="2042"/>
      <c r="S149" s="2042"/>
      <c r="T149" s="2042"/>
      <c r="U149" s="2042"/>
      <c r="V149" s="2042"/>
      <c r="W149" s="2042"/>
      <c r="X149" s="2042"/>
      <c r="Y149" s="2042"/>
      <c r="Z149" s="2042"/>
      <c r="AA149" s="2042"/>
      <c r="AB149" s="2042"/>
      <c r="AC149" s="2042"/>
    </row>
    <row r="150" spans="1:29" s="1509" customFormat="1">
      <c r="A150" s="2042"/>
      <c r="B150" s="2042"/>
      <c r="C150" s="2042"/>
      <c r="D150" s="2042"/>
      <c r="E150" s="2042"/>
      <c r="F150" s="2042"/>
      <c r="G150" s="2042"/>
      <c r="H150" s="2042"/>
      <c r="I150" s="2042"/>
      <c r="J150" s="2042"/>
      <c r="K150" s="2043"/>
      <c r="L150" s="2044"/>
      <c r="M150" s="2042"/>
      <c r="N150" s="2042"/>
      <c r="O150" s="2042"/>
      <c r="P150" s="2042"/>
      <c r="Q150" s="2042"/>
      <c r="R150" s="2042"/>
      <c r="S150" s="2042"/>
      <c r="T150" s="2042"/>
      <c r="U150" s="2042"/>
      <c r="V150" s="2042"/>
      <c r="W150" s="2042"/>
      <c r="X150" s="2042"/>
      <c r="Y150" s="2042"/>
      <c r="Z150" s="2042"/>
      <c r="AA150" s="2042"/>
      <c r="AB150" s="2042"/>
      <c r="AC150" s="2042"/>
    </row>
    <row r="151" spans="1:29" s="1509" customFormat="1">
      <c r="A151" s="2042"/>
      <c r="B151" s="2042"/>
      <c r="C151" s="2042"/>
      <c r="D151" s="2042"/>
      <c r="E151" s="2042"/>
      <c r="F151" s="2042"/>
      <c r="G151" s="2042"/>
      <c r="H151" s="2042"/>
      <c r="I151" s="2042"/>
      <c r="J151" s="2042"/>
      <c r="K151" s="2043"/>
      <c r="L151" s="2044"/>
      <c r="M151" s="2042"/>
      <c r="N151" s="2042"/>
      <c r="O151" s="2042"/>
      <c r="P151" s="2042"/>
      <c r="Q151" s="2042"/>
      <c r="R151" s="2042"/>
      <c r="S151" s="2042"/>
      <c r="T151" s="2042"/>
      <c r="U151" s="2042"/>
      <c r="V151" s="2042"/>
      <c r="W151" s="2042"/>
      <c r="X151" s="2042"/>
      <c r="Y151" s="2042"/>
      <c r="Z151" s="2042"/>
      <c r="AA151" s="2042"/>
      <c r="AB151" s="2042"/>
      <c r="AC151" s="2042"/>
    </row>
    <row r="152" spans="1:29" s="1509" customFormat="1">
      <c r="A152" s="2042"/>
      <c r="B152" s="2042"/>
      <c r="C152" s="2042"/>
      <c r="D152" s="2042"/>
      <c r="E152" s="2042"/>
      <c r="F152" s="2042"/>
      <c r="G152" s="2042"/>
      <c r="H152" s="2042"/>
      <c r="I152" s="2042"/>
      <c r="J152" s="2042"/>
      <c r="K152" s="2043"/>
      <c r="L152" s="2044"/>
      <c r="M152" s="2042"/>
      <c r="N152" s="2042"/>
      <c r="O152" s="2042"/>
      <c r="P152" s="2042"/>
      <c r="Q152" s="2042"/>
      <c r="R152" s="2042"/>
      <c r="S152" s="2042"/>
      <c r="T152" s="2042"/>
      <c r="U152" s="2042"/>
      <c r="V152" s="2042"/>
      <c r="W152" s="2042"/>
      <c r="X152" s="2042"/>
      <c r="Y152" s="2042"/>
      <c r="Z152" s="2042"/>
      <c r="AA152" s="2042"/>
      <c r="AB152" s="2042"/>
      <c r="AC152" s="2042"/>
    </row>
    <row r="153" spans="1:29" s="1509" customFormat="1">
      <c r="A153" s="2042"/>
      <c r="B153" s="2042"/>
      <c r="C153" s="2042"/>
      <c r="D153" s="2042"/>
      <c r="E153" s="2042"/>
      <c r="F153" s="2042"/>
      <c r="G153" s="2042"/>
      <c r="H153" s="2042"/>
      <c r="I153" s="2042"/>
      <c r="J153" s="2042"/>
      <c r="K153" s="2043"/>
      <c r="L153" s="2044"/>
      <c r="M153" s="2042"/>
      <c r="N153" s="2042"/>
      <c r="O153" s="2042"/>
      <c r="P153" s="2042"/>
      <c r="Q153" s="2042"/>
      <c r="R153" s="2042"/>
      <c r="S153" s="2042"/>
      <c r="T153" s="2042"/>
      <c r="U153" s="2042"/>
      <c r="V153" s="2042"/>
      <c r="W153" s="2042"/>
      <c r="X153" s="2042"/>
      <c r="Y153" s="2042"/>
      <c r="Z153" s="2042"/>
      <c r="AA153" s="2042"/>
      <c r="AB153" s="2042"/>
      <c r="AC153" s="2042"/>
    </row>
    <row r="154" spans="1:29" s="1509" customFormat="1">
      <c r="A154" s="2042"/>
      <c r="B154" s="2042"/>
      <c r="C154" s="2042"/>
      <c r="D154" s="2042"/>
      <c r="E154" s="2042"/>
      <c r="F154" s="2042"/>
      <c r="G154" s="2042"/>
      <c r="H154" s="2042"/>
      <c r="I154" s="2042"/>
      <c r="J154" s="2042"/>
      <c r="K154" s="2043"/>
      <c r="L154" s="2044"/>
      <c r="M154" s="2042"/>
      <c r="N154" s="2042"/>
      <c r="O154" s="2042"/>
      <c r="P154" s="2042"/>
      <c r="Q154" s="2042"/>
      <c r="R154" s="2042"/>
      <c r="S154" s="2042"/>
      <c r="T154" s="2042"/>
      <c r="U154" s="2042"/>
      <c r="V154" s="2042"/>
      <c r="W154" s="2042"/>
      <c r="X154" s="2042"/>
      <c r="Y154" s="2042"/>
      <c r="Z154" s="2042"/>
      <c r="AA154" s="2042"/>
      <c r="AB154" s="2042"/>
      <c r="AC154" s="2042"/>
    </row>
    <row r="155" spans="1:29" s="1509" customFormat="1">
      <c r="A155" s="2042"/>
      <c r="B155" s="2042"/>
      <c r="C155" s="2042"/>
      <c r="D155" s="2042"/>
      <c r="E155" s="2042"/>
      <c r="F155" s="2042"/>
      <c r="G155" s="2042"/>
      <c r="H155" s="2042"/>
      <c r="I155" s="2042"/>
      <c r="J155" s="2042"/>
      <c r="K155" s="2043"/>
      <c r="L155" s="2044"/>
      <c r="M155" s="2042"/>
      <c r="N155" s="2042"/>
      <c r="O155" s="2042"/>
      <c r="P155" s="2042"/>
      <c r="Q155" s="2042"/>
      <c r="R155" s="2042"/>
      <c r="S155" s="2042"/>
      <c r="T155" s="2042"/>
      <c r="U155" s="2042"/>
      <c r="V155" s="2042"/>
      <c r="W155" s="2042"/>
      <c r="X155" s="2042"/>
      <c r="Y155" s="2042"/>
      <c r="Z155" s="2042"/>
      <c r="AA155" s="2042"/>
      <c r="AB155" s="2042"/>
      <c r="AC155" s="2042"/>
    </row>
    <row r="156" spans="1:29" s="1509" customFormat="1">
      <c r="A156" s="2042"/>
      <c r="B156" s="2042"/>
      <c r="C156" s="2042"/>
      <c r="D156" s="2042"/>
      <c r="E156" s="2042"/>
      <c r="F156" s="2042"/>
      <c r="G156" s="2042"/>
      <c r="H156" s="2042"/>
      <c r="I156" s="2042"/>
      <c r="J156" s="2042"/>
      <c r="K156" s="2043"/>
      <c r="L156" s="2044"/>
      <c r="M156" s="2042"/>
      <c r="N156" s="2042"/>
      <c r="O156" s="2042"/>
      <c r="P156" s="2042"/>
      <c r="Q156" s="2042"/>
      <c r="R156" s="2042"/>
      <c r="S156" s="2042"/>
      <c r="T156" s="2042"/>
      <c r="U156" s="2042"/>
      <c r="V156" s="2042"/>
      <c r="W156" s="2042"/>
      <c r="X156" s="2042"/>
      <c r="Y156" s="2042"/>
      <c r="Z156" s="2042"/>
      <c r="AA156" s="2042"/>
      <c r="AB156" s="2042"/>
      <c r="AC156" s="2042"/>
    </row>
    <row r="157" spans="1:29" s="1509" customFormat="1">
      <c r="A157" s="2042"/>
      <c r="B157" s="2042"/>
      <c r="C157" s="2042"/>
      <c r="D157" s="2042"/>
      <c r="E157" s="2042"/>
      <c r="F157" s="2042"/>
      <c r="G157" s="2042"/>
      <c r="H157" s="2042"/>
      <c r="I157" s="2042"/>
      <c r="J157" s="2042"/>
      <c r="K157" s="2043"/>
      <c r="L157" s="2044"/>
      <c r="M157" s="2042"/>
      <c r="N157" s="2042"/>
      <c r="O157" s="2042"/>
      <c r="P157" s="2042"/>
      <c r="Q157" s="2042"/>
      <c r="R157" s="2042"/>
      <c r="S157" s="2042"/>
      <c r="T157" s="2042"/>
      <c r="U157" s="2042"/>
      <c r="V157" s="2042"/>
      <c r="W157" s="2042"/>
      <c r="X157" s="2042"/>
      <c r="Y157" s="2042"/>
      <c r="Z157" s="2042"/>
      <c r="AA157" s="2042"/>
      <c r="AB157" s="2042"/>
      <c r="AC157" s="2042"/>
    </row>
    <row r="158" spans="1:29" s="1509" customFormat="1">
      <c r="A158" s="2042"/>
      <c r="B158" s="2042"/>
      <c r="C158" s="2042"/>
      <c r="D158" s="2042"/>
      <c r="E158" s="2042"/>
      <c r="F158" s="2042"/>
      <c r="G158" s="2042"/>
      <c r="H158" s="2042"/>
      <c r="I158" s="2042"/>
      <c r="J158" s="2042"/>
      <c r="K158" s="2043"/>
      <c r="L158" s="2044"/>
      <c r="M158" s="2042"/>
      <c r="N158" s="2042"/>
      <c r="O158" s="2042"/>
      <c r="P158" s="2042"/>
      <c r="Q158" s="2042"/>
      <c r="R158" s="2042"/>
      <c r="S158" s="2042"/>
      <c r="T158" s="2042"/>
      <c r="U158" s="2042"/>
      <c r="V158" s="2042"/>
      <c r="W158" s="2042"/>
      <c r="X158" s="2042"/>
      <c r="Y158" s="2042"/>
      <c r="Z158" s="2042"/>
      <c r="AA158" s="2042"/>
      <c r="AB158" s="2042"/>
      <c r="AC158" s="2042"/>
    </row>
    <row r="159" spans="1:29" s="1509" customFormat="1">
      <c r="A159" s="2042"/>
      <c r="B159" s="2042"/>
      <c r="C159" s="2042"/>
      <c r="D159" s="2042"/>
      <c r="E159" s="2042"/>
      <c r="F159" s="2042"/>
      <c r="G159" s="2042"/>
      <c r="H159" s="2042"/>
      <c r="I159" s="2042"/>
      <c r="J159" s="2042"/>
      <c r="K159" s="2043"/>
      <c r="L159" s="2044"/>
      <c r="M159" s="2042"/>
      <c r="N159" s="2042"/>
      <c r="O159" s="2042"/>
      <c r="P159" s="2042"/>
      <c r="Q159" s="2042"/>
      <c r="R159" s="2042"/>
      <c r="S159" s="2042"/>
      <c r="T159" s="2042"/>
      <c r="U159" s="2042"/>
      <c r="V159" s="2042"/>
      <c r="W159" s="2042"/>
      <c r="X159" s="2042"/>
      <c r="Y159" s="2042"/>
      <c r="Z159" s="2042"/>
      <c r="AA159" s="2042"/>
      <c r="AB159" s="2042"/>
      <c r="AC159" s="2042"/>
    </row>
    <row r="160" spans="1:29" s="1509" customFormat="1">
      <c r="A160" s="2042"/>
      <c r="B160" s="2042"/>
      <c r="C160" s="2042"/>
      <c r="D160" s="2042"/>
      <c r="E160" s="2042"/>
      <c r="F160" s="2042"/>
      <c r="G160" s="2042"/>
      <c r="H160" s="2042"/>
      <c r="I160" s="2042"/>
      <c r="J160" s="2042"/>
      <c r="K160" s="2043"/>
      <c r="L160" s="2044"/>
      <c r="M160" s="2042"/>
      <c r="N160" s="2042"/>
      <c r="O160" s="2042"/>
      <c r="P160" s="2042"/>
      <c r="Q160" s="2042"/>
      <c r="R160" s="2042"/>
      <c r="S160" s="2042"/>
      <c r="T160" s="2042"/>
      <c r="U160" s="2042"/>
      <c r="V160" s="2042"/>
      <c r="W160" s="2042"/>
      <c r="X160" s="2042"/>
      <c r="Y160" s="2042"/>
      <c r="Z160" s="2042"/>
      <c r="AA160" s="2042"/>
      <c r="AB160" s="2042"/>
      <c r="AC160" s="2042"/>
    </row>
    <row r="161" spans="1:29" s="1509" customFormat="1">
      <c r="A161" s="2042"/>
      <c r="B161" s="2042"/>
      <c r="C161" s="2042"/>
      <c r="D161" s="2042"/>
      <c r="E161" s="2042"/>
      <c r="F161" s="2042"/>
      <c r="G161" s="2042"/>
      <c r="H161" s="2042"/>
      <c r="I161" s="2042"/>
      <c r="J161" s="2042"/>
      <c r="K161" s="2043"/>
      <c r="L161" s="2044"/>
      <c r="M161" s="2042"/>
      <c r="N161" s="2042"/>
      <c r="O161" s="2042"/>
      <c r="P161" s="2042"/>
      <c r="Q161" s="2042"/>
      <c r="R161" s="2042"/>
      <c r="S161" s="2042"/>
      <c r="T161" s="2042"/>
      <c r="U161" s="2042"/>
      <c r="V161" s="2042"/>
      <c r="W161" s="2042"/>
      <c r="X161" s="2042"/>
      <c r="Y161" s="2042"/>
      <c r="Z161" s="2042"/>
      <c r="AA161" s="2042"/>
      <c r="AB161" s="2042"/>
      <c r="AC161" s="2042"/>
    </row>
    <row r="162" spans="1:29" s="1509" customFormat="1">
      <c r="A162" s="2042"/>
      <c r="B162" s="2042"/>
      <c r="C162" s="2042"/>
      <c r="D162" s="2042"/>
      <c r="E162" s="2042"/>
      <c r="F162" s="2042"/>
      <c r="G162" s="2042"/>
      <c r="H162" s="2042"/>
      <c r="I162" s="2042"/>
      <c r="J162" s="2042"/>
      <c r="K162" s="2043"/>
      <c r="L162" s="2044"/>
      <c r="M162" s="2042"/>
      <c r="N162" s="2042"/>
      <c r="O162" s="2042"/>
      <c r="P162" s="2042"/>
      <c r="Q162" s="2042"/>
      <c r="R162" s="2042"/>
      <c r="S162" s="2042"/>
      <c r="T162" s="2042"/>
      <c r="U162" s="2042"/>
      <c r="V162" s="2042"/>
      <c r="W162" s="2042"/>
      <c r="X162" s="2042"/>
      <c r="Y162" s="2042"/>
      <c r="Z162" s="2042"/>
      <c r="AA162" s="2042"/>
      <c r="AB162" s="2042"/>
      <c r="AC162" s="2042"/>
    </row>
    <row r="163" spans="1:29" s="1509" customFormat="1">
      <c r="A163" s="2042"/>
      <c r="B163" s="2042"/>
      <c r="C163" s="2042"/>
      <c r="D163" s="2042"/>
      <c r="E163" s="2042"/>
      <c r="F163" s="2042"/>
      <c r="G163" s="2042"/>
      <c r="H163" s="2042"/>
      <c r="I163" s="2042"/>
      <c r="J163" s="2042"/>
      <c r="K163" s="2043"/>
      <c r="L163" s="2044"/>
      <c r="M163" s="2042"/>
      <c r="N163" s="2042"/>
      <c r="O163" s="2042"/>
      <c r="P163" s="2042"/>
      <c r="Q163" s="2042"/>
      <c r="R163" s="2042"/>
      <c r="S163" s="2042"/>
      <c r="T163" s="2042"/>
      <c r="U163" s="2042"/>
      <c r="V163" s="2042"/>
      <c r="W163" s="2042"/>
      <c r="X163" s="2042"/>
      <c r="Y163" s="2042"/>
      <c r="Z163" s="2042"/>
      <c r="AA163" s="2042"/>
      <c r="AB163" s="2042"/>
      <c r="AC163" s="2042"/>
    </row>
    <row r="164" spans="1:29" s="1509" customFormat="1">
      <c r="A164" s="2042"/>
      <c r="B164" s="2042"/>
      <c r="C164" s="2042"/>
      <c r="D164" s="2042"/>
      <c r="E164" s="2042"/>
      <c r="F164" s="2042"/>
      <c r="G164" s="2042"/>
      <c r="H164" s="2042"/>
      <c r="I164" s="2042"/>
      <c r="J164" s="2042"/>
      <c r="K164" s="2043"/>
      <c r="L164" s="2044"/>
      <c r="M164" s="2042"/>
      <c r="N164" s="2042"/>
      <c r="O164" s="2042"/>
      <c r="P164" s="2042"/>
      <c r="Q164" s="2042"/>
      <c r="R164" s="2042"/>
      <c r="S164" s="2042"/>
      <c r="T164" s="2042"/>
      <c r="U164" s="2042"/>
      <c r="V164" s="2042"/>
      <c r="W164" s="2042"/>
      <c r="X164" s="2042"/>
      <c r="Y164" s="2042"/>
      <c r="Z164" s="2042"/>
      <c r="AA164" s="2042"/>
      <c r="AB164" s="2042"/>
      <c r="AC164" s="2042"/>
    </row>
    <row r="165" spans="1:29" s="1509" customFormat="1">
      <c r="A165" s="2042"/>
      <c r="B165" s="2042"/>
      <c r="C165" s="2042"/>
      <c r="D165" s="2042"/>
      <c r="E165" s="2042"/>
      <c r="F165" s="2042"/>
      <c r="G165" s="2042"/>
      <c r="H165" s="2042"/>
      <c r="I165" s="2042"/>
      <c r="J165" s="2042"/>
      <c r="K165" s="2043"/>
      <c r="L165" s="2044"/>
      <c r="M165" s="2042"/>
      <c r="N165" s="2042"/>
      <c r="O165" s="2042"/>
      <c r="P165" s="2042"/>
      <c r="Q165" s="2042"/>
      <c r="R165" s="2042"/>
      <c r="S165" s="2042"/>
      <c r="T165" s="2042"/>
      <c r="U165" s="2042"/>
      <c r="V165" s="2042"/>
      <c r="W165" s="2042"/>
      <c r="X165" s="2042"/>
      <c r="Y165" s="2042"/>
      <c r="Z165" s="2042"/>
      <c r="AA165" s="2042"/>
      <c r="AB165" s="2042"/>
      <c r="AC165" s="2042"/>
    </row>
    <row r="166" spans="1:29" s="1509" customFormat="1">
      <c r="A166" s="2042"/>
      <c r="B166" s="2042"/>
      <c r="C166" s="2042"/>
      <c r="D166" s="2042"/>
      <c r="E166" s="2042"/>
      <c r="F166" s="2042"/>
      <c r="G166" s="2042"/>
      <c r="H166" s="2042"/>
      <c r="I166" s="2042"/>
      <c r="J166" s="2042"/>
      <c r="K166" s="2043"/>
      <c r="L166" s="2044"/>
      <c r="M166" s="2042"/>
      <c r="N166" s="2042"/>
      <c r="O166" s="2042"/>
      <c r="P166" s="2042"/>
      <c r="Q166" s="2042"/>
      <c r="R166" s="2042"/>
      <c r="S166" s="2042"/>
      <c r="T166" s="2042"/>
      <c r="U166" s="2042"/>
      <c r="V166" s="2042"/>
      <c r="W166" s="2042"/>
      <c r="X166" s="2042"/>
      <c r="Y166" s="2042"/>
      <c r="Z166" s="2042"/>
      <c r="AA166" s="2042"/>
      <c r="AB166" s="2042"/>
      <c r="AC166" s="2042"/>
    </row>
    <row r="167" spans="1:29" s="1509" customFormat="1">
      <c r="A167" s="2042"/>
      <c r="B167" s="2042"/>
      <c r="C167" s="2042"/>
      <c r="D167" s="2042"/>
      <c r="E167" s="2042"/>
      <c r="F167" s="2042"/>
      <c r="G167" s="2042"/>
      <c r="H167" s="2042"/>
      <c r="I167" s="2042"/>
      <c r="J167" s="2042"/>
      <c r="K167" s="2043"/>
      <c r="L167" s="2044"/>
      <c r="M167" s="2042"/>
      <c r="N167" s="2042"/>
      <c r="O167" s="2042"/>
      <c r="P167" s="2042"/>
      <c r="Q167" s="2042"/>
      <c r="R167" s="2042"/>
      <c r="S167" s="2042"/>
      <c r="T167" s="2042"/>
      <c r="U167" s="2042"/>
      <c r="V167" s="2042"/>
      <c r="W167" s="2042"/>
      <c r="X167" s="2042"/>
      <c r="Y167" s="2042"/>
      <c r="Z167" s="2042"/>
      <c r="AA167" s="2042"/>
      <c r="AB167" s="2042"/>
      <c r="AC167" s="2042"/>
    </row>
    <row r="168" spans="1:29" s="1509" customFormat="1">
      <c r="A168" s="2042"/>
      <c r="B168" s="2042"/>
      <c r="C168" s="2042"/>
      <c r="D168" s="2042"/>
      <c r="E168" s="2042"/>
      <c r="F168" s="2042"/>
      <c r="G168" s="2042"/>
      <c r="H168" s="2042"/>
      <c r="I168" s="2042"/>
      <c r="J168" s="2042"/>
      <c r="K168" s="2043"/>
      <c r="L168" s="2044"/>
      <c r="M168" s="2042"/>
      <c r="N168" s="2042"/>
      <c r="O168" s="2042"/>
      <c r="P168" s="2042"/>
      <c r="Q168" s="2042"/>
      <c r="R168" s="2042"/>
      <c r="S168" s="2042"/>
      <c r="T168" s="2042"/>
      <c r="U168" s="2042"/>
      <c r="V168" s="2042"/>
      <c r="W168" s="2042"/>
      <c r="X168" s="2042"/>
      <c r="Y168" s="2042"/>
      <c r="Z168" s="2042"/>
      <c r="AA168" s="2042"/>
      <c r="AB168" s="2042"/>
      <c r="AC168" s="2042"/>
    </row>
    <row r="169" spans="1:29" s="1509" customFormat="1">
      <c r="A169" s="2042"/>
      <c r="B169" s="2042"/>
      <c r="C169" s="2042"/>
      <c r="D169" s="2042"/>
      <c r="E169" s="2042"/>
      <c r="F169" s="2042"/>
      <c r="G169" s="2042"/>
      <c r="H169" s="2042"/>
      <c r="I169" s="2042"/>
      <c r="J169" s="2042"/>
      <c r="K169" s="2043"/>
      <c r="L169" s="2044"/>
      <c r="M169" s="2042"/>
      <c r="N169" s="2042"/>
      <c r="O169" s="2042"/>
      <c r="P169" s="2042"/>
      <c r="Q169" s="2042"/>
      <c r="R169" s="2042"/>
      <c r="S169" s="2042"/>
      <c r="T169" s="2042"/>
      <c r="U169" s="2042"/>
      <c r="V169" s="2042"/>
      <c r="W169" s="2042"/>
      <c r="X169" s="2042"/>
      <c r="Y169" s="2042"/>
      <c r="Z169" s="2042"/>
      <c r="AA169" s="2042"/>
      <c r="AB169" s="2042"/>
      <c r="AC169" s="2042"/>
    </row>
    <row r="170" spans="1:29" s="1509" customFormat="1">
      <c r="A170" s="2042"/>
      <c r="B170" s="2042"/>
      <c r="C170" s="2042"/>
      <c r="D170" s="2042"/>
      <c r="E170" s="2042"/>
      <c r="F170" s="2042"/>
      <c r="G170" s="2042"/>
      <c r="H170" s="2042"/>
      <c r="I170" s="2042"/>
      <c r="J170" s="2042"/>
      <c r="K170" s="2043"/>
      <c r="L170" s="2044"/>
      <c r="M170" s="2042"/>
      <c r="N170" s="2042"/>
      <c r="O170" s="2042"/>
      <c r="P170" s="2042"/>
      <c r="Q170" s="2042"/>
      <c r="R170" s="2042"/>
      <c r="S170" s="2042"/>
      <c r="T170" s="2042"/>
      <c r="U170" s="2042"/>
      <c r="V170" s="2042"/>
      <c r="W170" s="2042"/>
      <c r="X170" s="2042"/>
      <c r="Y170" s="2042"/>
      <c r="Z170" s="2042"/>
      <c r="AA170" s="2042"/>
      <c r="AB170" s="2042"/>
      <c r="AC170" s="2042"/>
    </row>
    <row r="171" spans="1:29" s="1509" customFormat="1">
      <c r="A171" s="2042"/>
      <c r="B171" s="2042"/>
      <c r="C171" s="2042"/>
      <c r="D171" s="2042"/>
      <c r="E171" s="2042"/>
      <c r="F171" s="2042"/>
      <c r="G171" s="2042"/>
      <c r="H171" s="2042"/>
      <c r="I171" s="2042"/>
      <c r="J171" s="2042"/>
      <c r="K171" s="2043"/>
      <c r="L171" s="2044"/>
      <c r="M171" s="2042"/>
      <c r="N171" s="2042"/>
      <c r="O171" s="2042"/>
      <c r="P171" s="2042"/>
      <c r="Q171" s="2042"/>
      <c r="R171" s="2042"/>
      <c r="S171" s="2042"/>
      <c r="T171" s="2042"/>
      <c r="U171" s="2042"/>
      <c r="V171" s="2042"/>
      <c r="W171" s="2042"/>
      <c r="X171" s="2042"/>
      <c r="Y171" s="2042"/>
      <c r="Z171" s="2042"/>
      <c r="AA171" s="2042"/>
      <c r="AB171" s="2042"/>
      <c r="AC171" s="2042"/>
    </row>
    <row r="172" spans="1:29" s="1509" customFormat="1">
      <c r="A172" s="2042"/>
      <c r="B172" s="2042"/>
      <c r="C172" s="2042"/>
      <c r="D172" s="2042"/>
      <c r="E172" s="2042"/>
      <c r="F172" s="2042"/>
      <c r="G172" s="2042"/>
      <c r="H172" s="2042"/>
      <c r="I172" s="2042"/>
      <c r="J172" s="2042"/>
      <c r="K172" s="2043"/>
      <c r="L172" s="2044"/>
      <c r="M172" s="2042"/>
      <c r="N172" s="2042"/>
      <c r="O172" s="2042"/>
      <c r="P172" s="2042"/>
      <c r="Q172" s="2042"/>
      <c r="R172" s="2042"/>
      <c r="S172" s="2042"/>
      <c r="T172" s="2042"/>
      <c r="U172" s="2042"/>
      <c r="V172" s="2042"/>
      <c r="W172" s="2042"/>
      <c r="X172" s="2042"/>
      <c r="Y172" s="2042"/>
      <c r="Z172" s="2042"/>
      <c r="AA172" s="2042"/>
      <c r="AB172" s="2042"/>
      <c r="AC172" s="2042"/>
    </row>
    <row r="173" spans="1:29" s="1509" customFormat="1">
      <c r="A173" s="2042"/>
      <c r="B173" s="2042"/>
      <c r="C173" s="2042"/>
      <c r="D173" s="2042"/>
      <c r="E173" s="2042"/>
      <c r="F173" s="2042"/>
      <c r="G173" s="2042"/>
      <c r="H173" s="2042"/>
      <c r="I173" s="2042"/>
      <c r="J173" s="2042"/>
      <c r="K173" s="2043"/>
      <c r="L173" s="2044"/>
      <c r="M173" s="2042"/>
      <c r="N173" s="2042"/>
      <c r="O173" s="2042"/>
      <c r="P173" s="2042"/>
      <c r="Q173" s="2042"/>
      <c r="R173" s="2042"/>
      <c r="S173" s="2042"/>
      <c r="T173" s="2042"/>
      <c r="U173" s="2042"/>
      <c r="V173" s="2042"/>
      <c r="W173" s="2042"/>
      <c r="X173" s="2042"/>
      <c r="Y173" s="2042"/>
      <c r="Z173" s="2042"/>
      <c r="AA173" s="2042"/>
      <c r="AB173" s="2042"/>
      <c r="AC173" s="2042"/>
    </row>
    <row r="174" spans="1:29" s="1509" customFormat="1">
      <c r="A174" s="2042"/>
      <c r="B174" s="2042"/>
      <c r="C174" s="2042"/>
      <c r="D174" s="2042"/>
      <c r="E174" s="2042"/>
      <c r="F174" s="2042"/>
      <c r="G174" s="2042"/>
      <c r="H174" s="2042"/>
      <c r="I174" s="2042"/>
      <c r="J174" s="2042"/>
      <c r="K174" s="2043"/>
      <c r="L174" s="2044"/>
      <c r="M174" s="2042"/>
      <c r="N174" s="2042"/>
      <c r="O174" s="2042"/>
      <c r="P174" s="2042"/>
      <c r="Q174" s="2042"/>
      <c r="R174" s="2042"/>
      <c r="S174" s="2042"/>
      <c r="T174" s="2042"/>
      <c r="U174" s="2042"/>
      <c r="V174" s="2042"/>
      <c r="W174" s="2042"/>
      <c r="X174" s="2042"/>
      <c r="Y174" s="2042"/>
      <c r="Z174" s="2042"/>
      <c r="AA174" s="2042"/>
      <c r="AB174" s="2042"/>
      <c r="AC174" s="2042"/>
    </row>
    <row r="175" spans="1:29" s="1509" customFormat="1">
      <c r="A175" s="2042"/>
      <c r="B175" s="2042"/>
      <c r="C175" s="2042"/>
      <c r="D175" s="2042"/>
      <c r="E175" s="2042"/>
      <c r="F175" s="2042"/>
      <c r="G175" s="2042"/>
      <c r="H175" s="2042"/>
      <c r="I175" s="2042"/>
      <c r="J175" s="2042"/>
      <c r="K175" s="2043"/>
      <c r="L175" s="2044"/>
      <c r="M175" s="2042"/>
      <c r="N175" s="2042"/>
      <c r="O175" s="2042"/>
      <c r="P175" s="2042"/>
      <c r="Q175" s="2042"/>
      <c r="R175" s="2042"/>
      <c r="S175" s="2042"/>
      <c r="T175" s="2042"/>
      <c r="U175" s="2042"/>
      <c r="V175" s="2042"/>
      <c r="W175" s="2042"/>
      <c r="X175" s="2042"/>
      <c r="Y175" s="2042"/>
      <c r="Z175" s="2042"/>
      <c r="AA175" s="2042"/>
      <c r="AB175" s="2042"/>
      <c r="AC175" s="2042"/>
    </row>
    <row r="176" spans="1:29" s="1509" customFormat="1">
      <c r="A176" s="2042"/>
      <c r="B176" s="2042"/>
      <c r="C176" s="2042"/>
      <c r="D176" s="2042"/>
      <c r="E176" s="2042"/>
      <c r="F176" s="2042"/>
      <c r="G176" s="2042"/>
      <c r="H176" s="2042"/>
      <c r="I176" s="2042"/>
      <c r="J176" s="2042"/>
      <c r="K176" s="2043"/>
      <c r="L176" s="2044"/>
      <c r="M176" s="2042"/>
      <c r="N176" s="2042"/>
      <c r="O176" s="2042"/>
      <c r="P176" s="2042"/>
      <c r="Q176" s="2042"/>
      <c r="R176" s="2042"/>
      <c r="S176" s="2042"/>
      <c r="T176" s="2042"/>
      <c r="U176" s="2042"/>
      <c r="V176" s="2042"/>
      <c r="W176" s="2042"/>
      <c r="X176" s="2042"/>
      <c r="Y176" s="2042"/>
      <c r="Z176" s="2042"/>
      <c r="AA176" s="2042"/>
      <c r="AB176" s="2042"/>
      <c r="AC176" s="2042"/>
    </row>
    <row r="177" spans="1:29" s="1509" customFormat="1">
      <c r="A177" s="2042"/>
      <c r="B177" s="2042"/>
      <c r="C177" s="2042"/>
      <c r="D177" s="2042"/>
      <c r="E177" s="2042"/>
      <c r="F177" s="2042"/>
      <c r="G177" s="2042"/>
      <c r="H177" s="2042"/>
      <c r="I177" s="2042"/>
      <c r="J177" s="2042"/>
      <c r="K177" s="2043"/>
      <c r="L177" s="2044"/>
      <c r="M177" s="2042"/>
      <c r="N177" s="2042"/>
      <c r="O177" s="2042"/>
      <c r="P177" s="2042"/>
      <c r="Q177" s="2042"/>
      <c r="R177" s="2042"/>
      <c r="S177" s="2042"/>
      <c r="T177" s="2042"/>
      <c r="U177" s="2042"/>
      <c r="V177" s="2042"/>
      <c r="W177" s="2042"/>
      <c r="X177" s="2042"/>
      <c r="Y177" s="2042"/>
      <c r="Z177" s="2042"/>
      <c r="AA177" s="2042"/>
      <c r="AB177" s="2042"/>
      <c r="AC177" s="2042"/>
    </row>
    <row r="178" spans="1:29" s="1509" customFormat="1">
      <c r="A178" s="2042"/>
      <c r="B178" s="2042"/>
      <c r="C178" s="2042"/>
      <c r="D178" s="2042"/>
      <c r="E178" s="2042"/>
      <c r="F178" s="2042"/>
      <c r="G178" s="2042"/>
      <c r="H178" s="2042"/>
      <c r="I178" s="2042"/>
      <c r="J178" s="2042"/>
      <c r="K178" s="2043"/>
      <c r="L178" s="2044"/>
      <c r="M178" s="2042"/>
      <c r="N178" s="2042"/>
      <c r="O178" s="2042"/>
      <c r="P178" s="2042"/>
      <c r="Q178" s="2042"/>
      <c r="R178" s="2042"/>
      <c r="S178" s="2042"/>
      <c r="T178" s="2042"/>
      <c r="U178" s="2042"/>
      <c r="V178" s="2042"/>
      <c r="W178" s="2042"/>
      <c r="X178" s="2042"/>
      <c r="Y178" s="2042"/>
      <c r="Z178" s="2042"/>
      <c r="AA178" s="2042"/>
      <c r="AB178" s="2042"/>
      <c r="AC178" s="2042"/>
    </row>
    <row r="179" spans="1:29" s="1509" customFormat="1">
      <c r="A179" s="2042"/>
      <c r="B179" s="2042"/>
      <c r="C179" s="2042"/>
      <c r="D179" s="2042"/>
      <c r="E179" s="2042"/>
      <c r="F179" s="2042"/>
      <c r="G179" s="2042"/>
      <c r="H179" s="2042"/>
      <c r="I179" s="2042"/>
      <c r="J179" s="2042"/>
      <c r="K179" s="2043"/>
      <c r="L179" s="2044"/>
      <c r="M179" s="2042"/>
      <c r="N179" s="2042"/>
      <c r="O179" s="2042"/>
      <c r="P179" s="2042"/>
      <c r="Q179" s="2042"/>
      <c r="R179" s="2042"/>
      <c r="S179" s="2042"/>
      <c r="T179" s="2042"/>
      <c r="U179" s="2042"/>
      <c r="V179" s="2042"/>
      <c r="W179" s="2042"/>
      <c r="X179" s="2042"/>
      <c r="Y179" s="2042"/>
      <c r="Z179" s="2042"/>
      <c r="AA179" s="2042"/>
      <c r="AB179" s="2042"/>
      <c r="AC179" s="2042"/>
    </row>
    <row r="180" spans="1:29" s="1509" customFormat="1">
      <c r="A180" s="2042"/>
      <c r="B180" s="2042"/>
      <c r="C180" s="2042"/>
      <c r="D180" s="2042"/>
      <c r="E180" s="2042"/>
      <c r="F180" s="2042"/>
      <c r="G180" s="2042"/>
      <c r="H180" s="2042"/>
      <c r="I180" s="2042"/>
      <c r="J180" s="2042"/>
      <c r="K180" s="2043"/>
      <c r="L180" s="2044"/>
      <c r="M180" s="2042"/>
      <c r="N180" s="2042"/>
      <c r="O180" s="2042"/>
      <c r="P180" s="2042"/>
      <c r="Q180" s="2042"/>
      <c r="R180" s="2042"/>
      <c r="S180" s="2042"/>
      <c r="T180" s="2042"/>
      <c r="U180" s="2042"/>
      <c r="V180" s="2042"/>
      <c r="W180" s="2042"/>
      <c r="X180" s="2042"/>
      <c r="Y180" s="2042"/>
      <c r="Z180" s="2042"/>
      <c r="AA180" s="2042"/>
      <c r="AB180" s="2042"/>
      <c r="AC180" s="2042"/>
    </row>
    <row r="181" spans="1:29" s="1509" customFormat="1">
      <c r="A181" s="2042"/>
      <c r="B181" s="2042"/>
      <c r="C181" s="2042"/>
      <c r="D181" s="2042"/>
      <c r="E181" s="2042"/>
      <c r="F181" s="2042"/>
      <c r="G181" s="2042"/>
      <c r="H181" s="2042"/>
      <c r="I181" s="2042"/>
      <c r="J181" s="2042"/>
      <c r="K181" s="2043"/>
      <c r="L181" s="2044"/>
      <c r="M181" s="2042"/>
      <c r="N181" s="2042"/>
      <c r="O181" s="2042"/>
      <c r="P181" s="2042"/>
      <c r="Q181" s="2042"/>
      <c r="R181" s="2042"/>
      <c r="S181" s="2042"/>
      <c r="T181" s="2042"/>
      <c r="U181" s="2042"/>
      <c r="V181" s="2042"/>
      <c r="W181" s="2042"/>
      <c r="X181" s="2042"/>
      <c r="Y181" s="2042"/>
      <c r="Z181" s="2042"/>
      <c r="AA181" s="2042"/>
      <c r="AB181" s="2042"/>
      <c r="AC181" s="2042"/>
    </row>
    <row r="182" spans="1:29" s="1509" customFormat="1">
      <c r="A182" s="2042"/>
      <c r="B182" s="2042"/>
      <c r="C182" s="2042"/>
      <c r="D182" s="2042"/>
      <c r="E182" s="2042"/>
      <c r="F182" s="2042"/>
      <c r="G182" s="2042"/>
      <c r="H182" s="2042"/>
      <c r="I182" s="2042"/>
      <c r="J182" s="2042"/>
      <c r="K182" s="2043"/>
      <c r="L182" s="2044"/>
      <c r="M182" s="2042"/>
      <c r="N182" s="2042"/>
      <c r="O182" s="2042"/>
      <c r="P182" s="2042"/>
      <c r="Q182" s="2042"/>
      <c r="R182" s="2042"/>
      <c r="S182" s="2042"/>
      <c r="T182" s="2042"/>
      <c r="U182" s="2042"/>
      <c r="V182" s="2042"/>
      <c r="W182" s="2042"/>
      <c r="X182" s="2042"/>
      <c r="Y182" s="2042"/>
      <c r="Z182" s="2042"/>
      <c r="AA182" s="2042"/>
      <c r="AB182" s="2042"/>
      <c r="AC182" s="2042"/>
    </row>
    <row r="183" spans="1:29" s="1509" customFormat="1">
      <c r="A183" s="2042"/>
      <c r="B183" s="2042"/>
      <c r="C183" s="2042"/>
      <c r="D183" s="2042"/>
      <c r="E183" s="2042"/>
      <c r="F183" s="2042"/>
      <c r="G183" s="2042"/>
      <c r="H183" s="2042"/>
      <c r="I183" s="2042"/>
      <c r="J183" s="2042"/>
      <c r="K183" s="2043"/>
      <c r="L183" s="2044"/>
      <c r="M183" s="2042"/>
      <c r="N183" s="2042"/>
      <c r="O183" s="2042"/>
      <c r="P183" s="2042"/>
      <c r="Q183" s="2042"/>
      <c r="R183" s="2042"/>
      <c r="S183" s="2042"/>
      <c r="T183" s="2042"/>
      <c r="U183" s="2042"/>
      <c r="V183" s="2042"/>
      <c r="W183" s="2042"/>
      <c r="X183" s="2042"/>
      <c r="Y183" s="2042"/>
      <c r="Z183" s="2042"/>
      <c r="AA183" s="2042"/>
      <c r="AB183" s="2042"/>
      <c r="AC183" s="2042"/>
    </row>
    <row r="184" spans="1:29" s="1509" customFormat="1">
      <c r="A184" s="2042"/>
      <c r="B184" s="2042"/>
      <c r="C184" s="2042"/>
      <c r="D184" s="2042"/>
      <c r="E184" s="2042"/>
      <c r="F184" s="2042"/>
      <c r="G184" s="2042"/>
      <c r="H184" s="2042"/>
      <c r="I184" s="2042"/>
      <c r="J184" s="2042"/>
      <c r="K184" s="2043"/>
      <c r="L184" s="2044"/>
      <c r="M184" s="2042"/>
      <c r="N184" s="2042"/>
      <c r="O184" s="2042"/>
      <c r="P184" s="2042"/>
      <c r="Q184" s="2042"/>
      <c r="R184" s="2042"/>
      <c r="S184" s="2042"/>
      <c r="T184" s="2042"/>
      <c r="U184" s="2042"/>
      <c r="V184" s="2042"/>
      <c r="W184" s="2042"/>
      <c r="X184" s="2042"/>
      <c r="Y184" s="2042"/>
      <c r="Z184" s="2042"/>
      <c r="AA184" s="2042"/>
      <c r="AB184" s="2042"/>
      <c r="AC184" s="2042"/>
    </row>
    <row r="185" spans="1:29" s="1509" customFormat="1">
      <c r="A185" s="2042"/>
      <c r="B185" s="2042"/>
      <c r="C185" s="2042"/>
      <c r="D185" s="2042"/>
      <c r="E185" s="2042"/>
      <c r="F185" s="2042"/>
      <c r="G185" s="2042"/>
      <c r="H185" s="2042"/>
      <c r="I185" s="2042"/>
      <c r="J185" s="2042"/>
      <c r="K185" s="2043"/>
      <c r="L185" s="2044"/>
      <c r="M185" s="2042"/>
      <c r="N185" s="2042"/>
      <c r="O185" s="2042"/>
      <c r="P185" s="2042"/>
      <c r="Q185" s="2042"/>
      <c r="R185" s="2042"/>
      <c r="S185" s="2042"/>
      <c r="T185" s="2042"/>
      <c r="U185" s="2042"/>
      <c r="V185" s="2042"/>
      <c r="W185" s="2042"/>
      <c r="X185" s="2042"/>
      <c r="Y185" s="2042"/>
      <c r="Z185" s="2042"/>
      <c r="AA185" s="2042"/>
      <c r="AB185" s="2042"/>
      <c r="AC185" s="2042"/>
    </row>
    <row r="186" spans="1:29" s="1509" customFormat="1">
      <c r="A186" s="2042"/>
      <c r="B186" s="2042"/>
      <c r="C186" s="2042"/>
      <c r="D186" s="2042"/>
      <c r="E186" s="2042"/>
      <c r="F186" s="2042"/>
      <c r="G186" s="2042"/>
      <c r="H186" s="2042"/>
      <c r="I186" s="2042"/>
      <c r="J186" s="2042"/>
      <c r="K186" s="2043"/>
      <c r="L186" s="2044"/>
      <c r="M186" s="2042"/>
      <c r="N186" s="2042"/>
      <c r="O186" s="2042"/>
      <c r="P186" s="2042"/>
      <c r="Q186" s="2042"/>
      <c r="R186" s="2042"/>
      <c r="S186" s="2042"/>
      <c r="T186" s="2042"/>
      <c r="U186" s="2042"/>
      <c r="V186" s="2042"/>
      <c r="W186" s="2042"/>
      <c r="X186" s="2042"/>
      <c r="Y186" s="2042"/>
      <c r="Z186" s="2042"/>
      <c r="AA186" s="2042"/>
      <c r="AB186" s="2042"/>
      <c r="AC186" s="2042"/>
    </row>
    <row r="187" spans="1:29" s="1509" customFormat="1">
      <c r="A187" s="2042"/>
      <c r="B187" s="2042"/>
      <c r="C187" s="2042"/>
      <c r="D187" s="2042"/>
      <c r="E187" s="2042"/>
      <c r="F187" s="2042"/>
      <c r="G187" s="2042"/>
      <c r="H187" s="2042"/>
      <c r="I187" s="2042"/>
      <c r="J187" s="2042"/>
      <c r="K187" s="2043"/>
      <c r="L187" s="2044"/>
      <c r="M187" s="2042"/>
      <c r="N187" s="2042"/>
      <c r="O187" s="2042"/>
      <c r="P187" s="2042"/>
      <c r="Q187" s="2042"/>
      <c r="R187" s="2042"/>
      <c r="S187" s="2042"/>
      <c r="T187" s="2042"/>
      <c r="U187" s="2042"/>
      <c r="V187" s="2042"/>
      <c r="W187" s="2042"/>
      <c r="X187" s="2042"/>
      <c r="Y187" s="2042"/>
      <c r="Z187" s="2042"/>
      <c r="AA187" s="2042"/>
      <c r="AB187" s="2042"/>
      <c r="AC187" s="2042"/>
    </row>
    <row r="188" spans="1:29" s="1509" customFormat="1">
      <c r="A188" s="2042"/>
      <c r="B188" s="2042"/>
      <c r="C188" s="2042"/>
      <c r="D188" s="2042"/>
      <c r="E188" s="2042"/>
      <c r="F188" s="2042"/>
      <c r="G188" s="2042"/>
      <c r="H188" s="2042"/>
      <c r="I188" s="2042"/>
      <c r="J188" s="2042"/>
      <c r="K188" s="2043"/>
      <c r="L188" s="2044"/>
      <c r="M188" s="2042"/>
      <c r="N188" s="2042"/>
      <c r="O188" s="2042"/>
      <c r="P188" s="2042"/>
      <c r="Q188" s="2042"/>
      <c r="R188" s="2042"/>
      <c r="S188" s="2042"/>
      <c r="T188" s="2042"/>
      <c r="U188" s="2042"/>
      <c r="V188" s="2042"/>
      <c r="W188" s="2042"/>
      <c r="X188" s="2042"/>
      <c r="Y188" s="2042"/>
      <c r="Z188" s="2042"/>
      <c r="AA188" s="2042"/>
      <c r="AB188" s="2042"/>
      <c r="AC188" s="2042"/>
    </row>
    <row r="189" spans="1:29" s="1509" customFormat="1">
      <c r="A189" s="2042"/>
      <c r="B189" s="2042"/>
      <c r="C189" s="2042"/>
      <c r="D189" s="2042"/>
      <c r="E189" s="2042"/>
      <c r="F189" s="2042"/>
      <c r="G189" s="2042"/>
      <c r="H189" s="2042"/>
      <c r="I189" s="2042"/>
      <c r="J189" s="2042"/>
      <c r="K189" s="2043"/>
      <c r="L189" s="2044"/>
      <c r="M189" s="2042"/>
      <c r="N189" s="2042"/>
      <c r="O189" s="2042"/>
      <c r="P189" s="2042"/>
      <c r="Q189" s="2042"/>
      <c r="R189" s="2042"/>
      <c r="S189" s="2042"/>
      <c r="T189" s="2042"/>
      <c r="U189" s="2042"/>
      <c r="V189" s="2042"/>
      <c r="W189" s="2042"/>
      <c r="X189" s="2042"/>
      <c r="Y189" s="2042"/>
      <c r="Z189" s="2042"/>
      <c r="AA189" s="2042"/>
      <c r="AB189" s="2042"/>
      <c r="AC189" s="2042"/>
    </row>
    <row r="190" spans="1:29" s="1509" customFormat="1">
      <c r="A190" s="2042"/>
      <c r="B190" s="2042"/>
      <c r="C190" s="2042"/>
      <c r="D190" s="2042"/>
      <c r="E190" s="2042"/>
      <c r="F190" s="2042"/>
      <c r="G190" s="2042"/>
      <c r="H190" s="2042"/>
      <c r="I190" s="2042"/>
      <c r="J190" s="2042"/>
      <c r="K190" s="2043"/>
      <c r="L190" s="2044"/>
      <c r="M190" s="2042"/>
      <c r="N190" s="2042"/>
      <c r="O190" s="2042"/>
      <c r="P190" s="2042"/>
      <c r="Q190" s="2042"/>
      <c r="R190" s="2042"/>
      <c r="S190" s="2042"/>
      <c r="T190" s="2042"/>
      <c r="U190" s="2042"/>
      <c r="V190" s="2042"/>
      <c r="W190" s="2042"/>
      <c r="X190" s="2042"/>
      <c r="Y190" s="2042"/>
      <c r="Z190" s="2042"/>
      <c r="AA190" s="2042"/>
      <c r="AB190" s="2042"/>
      <c r="AC190" s="2042"/>
    </row>
    <row r="191" spans="1:29" s="1509" customFormat="1">
      <c r="A191" s="2042"/>
      <c r="B191" s="2042"/>
      <c r="C191" s="2042"/>
      <c r="D191" s="2042"/>
      <c r="E191" s="2042"/>
      <c r="F191" s="2042"/>
      <c r="G191" s="2042"/>
      <c r="H191" s="2042"/>
      <c r="I191" s="2042"/>
      <c r="J191" s="2042"/>
      <c r="K191" s="2043"/>
      <c r="L191" s="2044"/>
      <c r="M191" s="2042"/>
      <c r="N191" s="2042"/>
      <c r="O191" s="2042"/>
      <c r="P191" s="2042"/>
      <c r="Q191" s="2042"/>
      <c r="R191" s="2042"/>
      <c r="S191" s="2042"/>
      <c r="T191" s="2042"/>
      <c r="U191" s="2042"/>
      <c r="V191" s="2042"/>
      <c r="W191" s="2042"/>
      <c r="X191" s="2042"/>
      <c r="Y191" s="2042"/>
      <c r="Z191" s="2042"/>
      <c r="AA191" s="2042"/>
      <c r="AB191" s="2042"/>
      <c r="AC191" s="2042"/>
    </row>
    <row r="192" spans="1:29" s="1509" customFormat="1">
      <c r="A192" s="2042"/>
      <c r="B192" s="2042"/>
      <c r="C192" s="2042"/>
      <c r="D192" s="2042"/>
      <c r="E192" s="2042"/>
      <c r="F192" s="2042"/>
      <c r="G192" s="2042"/>
      <c r="H192" s="2042"/>
      <c r="I192" s="2042"/>
      <c r="J192" s="2042"/>
      <c r="K192" s="2043"/>
      <c r="L192" s="2044"/>
      <c r="M192" s="2042"/>
      <c r="N192" s="2042"/>
      <c r="O192" s="2042"/>
      <c r="P192" s="2042"/>
      <c r="Q192" s="2042"/>
      <c r="R192" s="2042"/>
      <c r="S192" s="2042"/>
      <c r="T192" s="2042"/>
      <c r="U192" s="2042"/>
      <c r="V192" s="2042"/>
      <c r="W192" s="2042"/>
      <c r="X192" s="2042"/>
      <c r="Y192" s="2042"/>
      <c r="Z192" s="2042"/>
      <c r="AA192" s="2042"/>
      <c r="AB192" s="2042"/>
      <c r="AC192" s="2042"/>
    </row>
    <row r="193" spans="1:29" s="1509" customFormat="1">
      <c r="A193" s="2042"/>
      <c r="B193" s="2042"/>
      <c r="C193" s="2042"/>
      <c r="D193" s="2042"/>
      <c r="E193" s="2042"/>
      <c r="F193" s="2042"/>
      <c r="G193" s="2042"/>
      <c r="H193" s="2042"/>
      <c r="I193" s="2042"/>
      <c r="J193" s="2042"/>
      <c r="K193" s="2043"/>
      <c r="L193" s="2044"/>
      <c r="M193" s="2042"/>
      <c r="N193" s="2042"/>
      <c r="O193" s="2042"/>
      <c r="P193" s="2042"/>
      <c r="Q193" s="2042"/>
      <c r="R193" s="2042"/>
      <c r="S193" s="2042"/>
      <c r="T193" s="2042"/>
      <c r="U193" s="2042"/>
      <c r="V193" s="2042"/>
      <c r="W193" s="2042"/>
      <c r="X193" s="2042"/>
      <c r="Y193" s="2042"/>
      <c r="Z193" s="2042"/>
      <c r="AA193" s="2042"/>
      <c r="AB193" s="2042"/>
      <c r="AC193" s="2042"/>
    </row>
    <row r="194" spans="1:29" s="1509" customFormat="1">
      <c r="A194" s="2042"/>
      <c r="B194" s="2042"/>
      <c r="C194" s="2042"/>
      <c r="D194" s="2042"/>
      <c r="E194" s="2042"/>
      <c r="F194" s="2042"/>
      <c r="G194" s="2042"/>
      <c r="H194" s="2042"/>
      <c r="I194" s="2042"/>
      <c r="J194" s="2042"/>
      <c r="K194" s="2043"/>
      <c r="L194" s="2044"/>
      <c r="M194" s="2042"/>
      <c r="N194" s="2042"/>
      <c r="O194" s="2042"/>
      <c r="P194" s="2042"/>
      <c r="Q194" s="2042"/>
      <c r="R194" s="2042"/>
      <c r="S194" s="2042"/>
      <c r="T194" s="2042"/>
      <c r="U194" s="2042"/>
      <c r="V194" s="2042"/>
      <c r="W194" s="2042"/>
      <c r="X194" s="2042"/>
      <c r="Y194" s="2042"/>
      <c r="Z194" s="2042"/>
      <c r="AA194" s="2042"/>
      <c r="AB194" s="2042"/>
      <c r="AC194" s="2042"/>
    </row>
    <row r="195" spans="1:29" s="1509" customFormat="1">
      <c r="A195" s="2042"/>
      <c r="B195" s="2042"/>
      <c r="C195" s="2042"/>
      <c r="D195" s="2042"/>
      <c r="E195" s="2042"/>
      <c r="F195" s="2042"/>
      <c r="G195" s="2042"/>
      <c r="H195" s="2042"/>
      <c r="I195" s="2042"/>
      <c r="J195" s="2042"/>
      <c r="K195" s="2043"/>
      <c r="L195" s="2044"/>
      <c r="M195" s="2042"/>
      <c r="N195" s="2042"/>
      <c r="O195" s="2042"/>
      <c r="P195" s="2042"/>
      <c r="Q195" s="2042"/>
      <c r="R195" s="2042"/>
      <c r="S195" s="2042"/>
      <c r="T195" s="2042"/>
      <c r="U195" s="2042"/>
      <c r="V195" s="2042"/>
      <c r="W195" s="2042"/>
      <c r="X195" s="2042"/>
      <c r="Y195" s="2042"/>
      <c r="Z195" s="2042"/>
      <c r="AA195" s="2042"/>
      <c r="AB195" s="2042"/>
      <c r="AC195" s="2042"/>
    </row>
    <row r="196" spans="1:29" s="1509" customFormat="1">
      <c r="A196" s="2042"/>
      <c r="B196" s="2042"/>
      <c r="C196" s="2042"/>
      <c r="D196" s="2042"/>
      <c r="E196" s="2042"/>
      <c r="F196" s="2042"/>
      <c r="G196" s="2042"/>
      <c r="H196" s="2042"/>
      <c r="I196" s="2042"/>
      <c r="J196" s="2042"/>
      <c r="K196" s="2043"/>
      <c r="L196" s="2044"/>
      <c r="M196" s="2042"/>
      <c r="N196" s="2042"/>
      <c r="O196" s="2042"/>
      <c r="P196" s="2042"/>
      <c r="Q196" s="2042"/>
      <c r="R196" s="2042"/>
      <c r="S196" s="2042"/>
      <c r="T196" s="2042"/>
      <c r="U196" s="2042"/>
      <c r="V196" s="2042"/>
      <c r="W196" s="2042"/>
      <c r="X196" s="2042"/>
      <c r="Y196" s="2042"/>
      <c r="Z196" s="2042"/>
      <c r="AA196" s="2042"/>
      <c r="AB196" s="2042"/>
      <c r="AC196" s="2042"/>
    </row>
    <row r="197" spans="1:29" s="1509" customFormat="1">
      <c r="A197" s="2042"/>
      <c r="B197" s="2042"/>
      <c r="C197" s="2042"/>
      <c r="D197" s="2042"/>
      <c r="E197" s="2042"/>
      <c r="F197" s="2042"/>
      <c r="G197" s="2042"/>
      <c r="H197" s="2042"/>
      <c r="I197" s="2042"/>
      <c r="J197" s="2042"/>
      <c r="K197" s="2043"/>
      <c r="L197" s="2044"/>
      <c r="M197" s="2042"/>
      <c r="N197" s="2042"/>
      <c r="O197" s="2042"/>
      <c r="P197" s="2042"/>
      <c r="Q197" s="2042"/>
      <c r="R197" s="2042"/>
      <c r="S197" s="2042"/>
      <c r="T197" s="2042"/>
      <c r="U197" s="2042"/>
      <c r="V197" s="2042"/>
      <c r="W197" s="2042"/>
      <c r="X197" s="2042"/>
      <c r="Y197" s="2042"/>
      <c r="Z197" s="2042"/>
      <c r="AA197" s="2042"/>
      <c r="AB197" s="2042"/>
      <c r="AC197" s="2042"/>
    </row>
    <row r="198" spans="1:29" s="1509" customFormat="1">
      <c r="A198" s="2042"/>
      <c r="B198" s="2042"/>
      <c r="C198" s="2042"/>
      <c r="D198" s="2042"/>
      <c r="E198" s="2042"/>
      <c r="F198" s="2042"/>
      <c r="G198" s="2042"/>
      <c r="H198" s="2042"/>
      <c r="I198" s="2042"/>
      <c r="J198" s="2042"/>
      <c r="K198" s="2043"/>
      <c r="L198" s="2044"/>
      <c r="M198" s="2042"/>
      <c r="N198" s="2042"/>
      <c r="O198" s="2042"/>
      <c r="P198" s="2042"/>
      <c r="Q198" s="2042"/>
      <c r="R198" s="2042"/>
      <c r="S198" s="2042"/>
      <c r="T198" s="2042"/>
      <c r="U198" s="2042"/>
      <c r="V198" s="2042"/>
      <c r="W198" s="2042"/>
      <c r="X198" s="2042"/>
      <c r="Y198" s="2042"/>
      <c r="Z198" s="2042"/>
      <c r="AA198" s="2042"/>
      <c r="AB198" s="2042"/>
      <c r="AC198" s="2042"/>
    </row>
    <row r="199" spans="1:29" s="1509" customFormat="1">
      <c r="A199" s="2042"/>
      <c r="B199" s="2042"/>
      <c r="C199" s="2042"/>
      <c r="D199" s="2042"/>
      <c r="E199" s="2042"/>
      <c r="F199" s="2042"/>
      <c r="G199" s="2042"/>
      <c r="H199" s="2042"/>
      <c r="I199" s="2042"/>
      <c r="J199" s="2042"/>
      <c r="K199" s="2043"/>
      <c r="L199" s="2044"/>
      <c r="M199" s="2042"/>
      <c r="N199" s="2042"/>
      <c r="O199" s="2042"/>
      <c r="P199" s="2042"/>
      <c r="Q199" s="2042"/>
      <c r="R199" s="2042"/>
      <c r="S199" s="2042"/>
      <c r="T199" s="2042"/>
      <c r="U199" s="2042"/>
      <c r="V199" s="2042"/>
      <c r="W199" s="2042"/>
      <c r="X199" s="2042"/>
      <c r="Y199" s="2042"/>
      <c r="Z199" s="2042"/>
      <c r="AA199" s="2042"/>
      <c r="AB199" s="2042"/>
      <c r="AC199" s="2042"/>
    </row>
    <row r="200" spans="1:29" s="1509" customFormat="1">
      <c r="A200" s="2042"/>
      <c r="B200" s="2042"/>
      <c r="C200" s="2042"/>
      <c r="D200" s="2042"/>
      <c r="E200" s="2042"/>
      <c r="F200" s="2042"/>
      <c r="G200" s="2042"/>
      <c r="H200" s="2042"/>
      <c r="I200" s="2042"/>
      <c r="J200" s="2042"/>
      <c r="K200" s="2043"/>
      <c r="L200" s="2044"/>
      <c r="M200" s="2042"/>
      <c r="N200" s="2042"/>
      <c r="O200" s="2042"/>
      <c r="P200" s="2042"/>
      <c r="Q200" s="2042"/>
      <c r="R200" s="2042"/>
      <c r="S200" s="2042"/>
      <c r="T200" s="2042"/>
      <c r="U200" s="2042"/>
      <c r="V200" s="2042"/>
      <c r="W200" s="2042"/>
      <c r="X200" s="2042"/>
      <c r="Y200" s="2042"/>
      <c r="Z200" s="2042"/>
      <c r="AA200" s="2042"/>
      <c r="AB200" s="2042"/>
      <c r="AC200" s="2042"/>
    </row>
    <row r="201" spans="1:29" s="1509" customFormat="1">
      <c r="A201" s="2042"/>
      <c r="B201" s="2042"/>
      <c r="C201" s="2042"/>
      <c r="D201" s="2042"/>
      <c r="E201" s="2042"/>
      <c r="F201" s="2042"/>
      <c r="G201" s="2042"/>
      <c r="H201" s="2042"/>
      <c r="I201" s="2042"/>
      <c r="J201" s="2042"/>
      <c r="K201" s="2043"/>
      <c r="L201" s="2044"/>
      <c r="M201" s="2042"/>
      <c r="N201" s="2042"/>
      <c r="O201" s="2042"/>
      <c r="P201" s="2042"/>
      <c r="Q201" s="2042"/>
      <c r="R201" s="2042"/>
      <c r="S201" s="2042"/>
      <c r="T201" s="2042"/>
      <c r="U201" s="2042"/>
      <c r="V201" s="2042"/>
      <c r="W201" s="2042"/>
      <c r="X201" s="2042"/>
      <c r="Y201" s="2042"/>
      <c r="Z201" s="2042"/>
      <c r="AA201" s="2042"/>
      <c r="AB201" s="2042"/>
      <c r="AC201" s="2042"/>
    </row>
    <row r="202" spans="1:29" s="1509" customFormat="1">
      <c r="A202" s="2042"/>
      <c r="B202" s="2042"/>
      <c r="C202" s="2042"/>
      <c r="D202" s="2042"/>
      <c r="E202" s="2042"/>
      <c r="F202" s="2042"/>
      <c r="G202" s="2042"/>
      <c r="H202" s="2042"/>
      <c r="I202" s="2042"/>
      <c r="J202" s="2042"/>
      <c r="K202" s="2043"/>
      <c r="L202" s="2044"/>
      <c r="M202" s="2042"/>
      <c r="N202" s="2042"/>
      <c r="O202" s="2042"/>
      <c r="P202" s="2042"/>
      <c r="Q202" s="2042"/>
      <c r="R202" s="2042"/>
      <c r="S202" s="2042"/>
      <c r="T202" s="2042"/>
      <c r="U202" s="2042"/>
      <c r="V202" s="2042"/>
      <c r="W202" s="2042"/>
      <c r="X202" s="2042"/>
      <c r="Y202" s="2042"/>
      <c r="Z202" s="2042"/>
      <c r="AA202" s="2042"/>
      <c r="AB202" s="2042"/>
      <c r="AC202" s="2042"/>
    </row>
    <row r="203" spans="1:29" s="1509" customFormat="1">
      <c r="A203" s="2042"/>
      <c r="B203" s="2042"/>
      <c r="C203" s="2042"/>
      <c r="D203" s="2042"/>
      <c r="E203" s="2042"/>
      <c r="F203" s="2042"/>
      <c r="G203" s="2042"/>
      <c r="H203" s="2042"/>
      <c r="I203" s="2042"/>
      <c r="J203" s="2042"/>
      <c r="K203" s="2043"/>
      <c r="L203" s="2044"/>
      <c r="M203" s="2042"/>
      <c r="N203" s="2042"/>
      <c r="O203" s="2042"/>
      <c r="P203" s="2042"/>
      <c r="Q203" s="2042"/>
      <c r="R203" s="2042"/>
      <c r="S203" s="2042"/>
      <c r="T203" s="2042"/>
      <c r="U203" s="2042"/>
      <c r="V203" s="2042"/>
      <c r="W203" s="2042"/>
      <c r="X203" s="2042"/>
      <c r="Y203" s="2042"/>
      <c r="Z203" s="2042"/>
      <c r="AA203" s="2042"/>
      <c r="AB203" s="2042"/>
      <c r="AC203" s="2042"/>
    </row>
    <row r="204" spans="1:29" s="1509" customFormat="1">
      <c r="A204" s="2042"/>
      <c r="B204" s="2042"/>
      <c r="C204" s="2042"/>
      <c r="D204" s="2042"/>
      <c r="E204" s="2042"/>
      <c r="F204" s="2042"/>
      <c r="G204" s="2042"/>
      <c r="H204" s="2042"/>
      <c r="I204" s="2042"/>
      <c r="J204" s="2042"/>
      <c r="K204" s="2043"/>
      <c r="L204" s="2044"/>
      <c r="M204" s="2042"/>
      <c r="N204" s="2042"/>
      <c r="O204" s="2042"/>
      <c r="P204" s="2042"/>
      <c r="Q204" s="2042"/>
      <c r="R204" s="2042"/>
      <c r="S204" s="2042"/>
      <c r="T204" s="2042"/>
      <c r="U204" s="2042"/>
      <c r="V204" s="2042"/>
      <c r="W204" s="2042"/>
      <c r="X204" s="2042"/>
      <c r="Y204" s="2042"/>
      <c r="Z204" s="2042"/>
      <c r="AA204" s="2042"/>
      <c r="AB204" s="2042"/>
      <c r="AC204" s="2042"/>
    </row>
    <row r="205" spans="1:29" s="1509" customFormat="1">
      <c r="A205" s="2042"/>
      <c r="B205" s="2042"/>
      <c r="C205" s="2042"/>
      <c r="D205" s="2042"/>
      <c r="E205" s="2042"/>
      <c r="F205" s="2042"/>
      <c r="G205" s="2042"/>
      <c r="H205" s="2042"/>
      <c r="I205" s="2042"/>
      <c r="J205" s="2042"/>
      <c r="K205" s="2043"/>
      <c r="L205" s="2044"/>
      <c r="M205" s="2042"/>
      <c r="N205" s="2042"/>
      <c r="O205" s="2042"/>
      <c r="P205" s="2042"/>
      <c r="Q205" s="2042"/>
      <c r="R205" s="2042"/>
      <c r="S205" s="2042"/>
      <c r="T205" s="2042"/>
      <c r="U205" s="2042"/>
      <c r="V205" s="2042"/>
      <c r="W205" s="2042"/>
      <c r="X205" s="2042"/>
      <c r="Y205" s="2042"/>
      <c r="Z205" s="2042"/>
      <c r="AA205" s="2042"/>
      <c r="AB205" s="2042"/>
      <c r="AC205" s="2042"/>
    </row>
    <row r="206" spans="1:29" s="1509" customFormat="1">
      <c r="A206" s="2042"/>
      <c r="B206" s="2042"/>
      <c r="C206" s="2042"/>
      <c r="D206" s="2042"/>
      <c r="E206" s="2042"/>
      <c r="F206" s="2042"/>
      <c r="G206" s="2042"/>
      <c r="H206" s="2042"/>
      <c r="I206" s="2042"/>
      <c r="J206" s="2042"/>
      <c r="K206" s="2043"/>
      <c r="L206" s="2044"/>
      <c r="M206" s="2042"/>
      <c r="N206" s="2042"/>
      <c r="O206" s="2042"/>
      <c r="P206" s="2042"/>
      <c r="Q206" s="2042"/>
      <c r="R206" s="2042"/>
      <c r="S206" s="2042"/>
      <c r="T206" s="2042"/>
      <c r="U206" s="2042"/>
      <c r="V206" s="2042"/>
      <c r="W206" s="2042"/>
      <c r="X206" s="2042"/>
      <c r="Y206" s="2042"/>
      <c r="Z206" s="2042"/>
      <c r="AA206" s="2042"/>
      <c r="AB206" s="2042"/>
      <c r="AC206" s="2042"/>
    </row>
    <row r="207" spans="1:29" s="1509" customFormat="1">
      <c r="A207" s="2042"/>
      <c r="B207" s="2042"/>
      <c r="C207" s="2042"/>
      <c r="D207" s="2042"/>
      <c r="E207" s="2042"/>
      <c r="F207" s="2042"/>
      <c r="G207" s="2042"/>
      <c r="H207" s="2042"/>
      <c r="I207" s="2042"/>
      <c r="J207" s="2042"/>
      <c r="K207" s="2043"/>
      <c r="L207" s="2044"/>
      <c r="M207" s="2042"/>
      <c r="N207" s="2042"/>
      <c r="O207" s="2042"/>
      <c r="P207" s="2042"/>
      <c r="Q207" s="2042"/>
      <c r="R207" s="2042"/>
      <c r="S207" s="2042"/>
      <c r="T207" s="2042"/>
      <c r="U207" s="2042"/>
      <c r="V207" s="2042"/>
      <c r="W207" s="2042"/>
      <c r="X207" s="2042"/>
      <c r="Y207" s="2042"/>
      <c r="Z207" s="2042"/>
      <c r="AA207" s="2042"/>
      <c r="AB207" s="2042"/>
      <c r="AC207" s="2042"/>
    </row>
    <row r="208" spans="1:29" s="1509" customFormat="1">
      <c r="A208" s="2042"/>
      <c r="B208" s="2042"/>
      <c r="C208" s="2042"/>
      <c r="D208" s="2042"/>
      <c r="E208" s="2042"/>
      <c r="F208" s="2042"/>
      <c r="G208" s="2042"/>
      <c r="H208" s="2042"/>
      <c r="I208" s="2042"/>
      <c r="J208" s="2042"/>
      <c r="K208" s="2043"/>
      <c r="L208" s="2044"/>
      <c r="M208" s="2042"/>
      <c r="N208" s="2042"/>
      <c r="O208" s="2042"/>
      <c r="P208" s="2042"/>
      <c r="Q208" s="2042"/>
      <c r="R208" s="2042"/>
      <c r="S208" s="2042"/>
      <c r="T208" s="2042"/>
      <c r="U208" s="2042"/>
      <c r="V208" s="2042"/>
      <c r="W208" s="2042"/>
      <c r="X208" s="2042"/>
      <c r="Y208" s="2042"/>
      <c r="Z208" s="2042"/>
      <c r="AA208" s="2042"/>
      <c r="AB208" s="2042"/>
      <c r="AC208" s="2042"/>
    </row>
    <row r="209" spans="1:29" s="1509" customFormat="1">
      <c r="A209" s="2042"/>
      <c r="B209" s="2042"/>
      <c r="C209" s="2042"/>
      <c r="D209" s="2042"/>
      <c r="E209" s="2042"/>
      <c r="F209" s="2042"/>
      <c r="G209" s="2042"/>
      <c r="H209" s="2042"/>
      <c r="I209" s="2042"/>
      <c r="J209" s="2042"/>
      <c r="K209" s="2043"/>
      <c r="L209" s="2044"/>
      <c r="M209" s="2042"/>
      <c r="N209" s="2042"/>
      <c r="O209" s="2042"/>
      <c r="P209" s="2042"/>
      <c r="Q209" s="2042"/>
      <c r="R209" s="2042"/>
      <c r="S209" s="2042"/>
      <c r="T209" s="2042"/>
      <c r="U209" s="2042"/>
      <c r="V209" s="2042"/>
      <c r="W209" s="2042"/>
      <c r="X209" s="2042"/>
      <c r="Y209" s="2042"/>
      <c r="Z209" s="2042"/>
      <c r="AA209" s="2042"/>
      <c r="AB209" s="2042"/>
      <c r="AC209" s="2042"/>
    </row>
    <row r="210" spans="1:29" s="1509" customFormat="1">
      <c r="A210" s="2042"/>
      <c r="B210" s="2042"/>
      <c r="C210" s="2042"/>
      <c r="D210" s="2042"/>
      <c r="E210" s="2042"/>
      <c r="F210" s="2042"/>
      <c r="G210" s="2042"/>
      <c r="H210" s="2042"/>
      <c r="I210" s="2042"/>
      <c r="J210" s="2042"/>
      <c r="K210" s="2043"/>
      <c r="L210" s="2044"/>
      <c r="M210" s="2042"/>
      <c r="N210" s="2042"/>
      <c r="O210" s="2042"/>
      <c r="P210" s="2042"/>
      <c r="Q210" s="2042"/>
      <c r="R210" s="2042"/>
      <c r="S210" s="2042"/>
      <c r="T210" s="2042"/>
      <c r="U210" s="2042"/>
      <c r="V210" s="2042"/>
      <c r="W210" s="2042"/>
      <c r="X210" s="2042"/>
      <c r="Y210" s="2042"/>
      <c r="Z210" s="2042"/>
      <c r="AA210" s="2042"/>
      <c r="AB210" s="2042"/>
      <c r="AC210" s="2042"/>
    </row>
    <row r="211" spans="1:29" s="1509" customFormat="1">
      <c r="A211" s="2042"/>
      <c r="B211" s="2042"/>
      <c r="C211" s="2042"/>
      <c r="D211" s="2042"/>
      <c r="E211" s="2042"/>
      <c r="F211" s="2042"/>
      <c r="G211" s="2042"/>
      <c r="H211" s="2042"/>
      <c r="I211" s="2042"/>
      <c r="J211" s="2042"/>
      <c r="K211" s="2043"/>
      <c r="L211" s="2044"/>
      <c r="M211" s="2042"/>
      <c r="N211" s="2042"/>
      <c r="O211" s="2042"/>
      <c r="P211" s="2042"/>
      <c r="Q211" s="2042"/>
      <c r="R211" s="2042"/>
      <c r="S211" s="2042"/>
      <c r="T211" s="2042"/>
      <c r="U211" s="2042"/>
      <c r="V211" s="2042"/>
      <c r="W211" s="2042"/>
      <c r="X211" s="2042"/>
      <c r="Y211" s="2042"/>
      <c r="Z211" s="2042"/>
      <c r="AA211" s="2042"/>
      <c r="AB211" s="2042"/>
      <c r="AC211" s="2042"/>
    </row>
    <row r="212" spans="1:29" s="1509" customFormat="1">
      <c r="A212" s="2042"/>
      <c r="B212" s="2042"/>
      <c r="C212" s="2042"/>
      <c r="D212" s="2042"/>
      <c r="E212" s="2042"/>
      <c r="F212" s="2042"/>
      <c r="G212" s="2042"/>
      <c r="H212" s="2042"/>
      <c r="I212" s="2042"/>
      <c r="J212" s="2042"/>
      <c r="K212" s="2043"/>
      <c r="L212" s="2044"/>
      <c r="M212" s="2042"/>
      <c r="N212" s="2042"/>
      <c r="O212" s="2042"/>
      <c r="P212" s="2042"/>
      <c r="Q212" s="2042"/>
      <c r="R212" s="2042"/>
      <c r="S212" s="2042"/>
      <c r="T212" s="2042"/>
      <c r="U212" s="2042"/>
      <c r="V212" s="2042"/>
      <c r="W212" s="2042"/>
      <c r="X212" s="2042"/>
      <c r="Y212" s="2042"/>
      <c r="Z212" s="2042"/>
      <c r="AA212" s="2042"/>
      <c r="AB212" s="2042"/>
      <c r="AC212" s="2042"/>
    </row>
    <row r="213" spans="1:29" s="1509" customFormat="1">
      <c r="A213" s="2042"/>
      <c r="B213" s="2042"/>
      <c r="C213" s="2042"/>
      <c r="D213" s="2042"/>
      <c r="E213" s="2042"/>
      <c r="F213" s="2042"/>
      <c r="G213" s="2042"/>
      <c r="H213" s="2042"/>
      <c r="I213" s="2042"/>
      <c r="J213" s="2042"/>
      <c r="K213" s="2043"/>
      <c r="L213" s="2044"/>
      <c r="M213" s="2042"/>
      <c r="N213" s="2042"/>
      <c r="O213" s="2042"/>
      <c r="P213" s="2042"/>
      <c r="Q213" s="2042"/>
      <c r="R213" s="2042"/>
      <c r="S213" s="2042"/>
      <c r="T213" s="2042"/>
      <c r="U213" s="2042"/>
      <c r="V213" s="2042"/>
      <c r="W213" s="2042"/>
      <c r="X213" s="2042"/>
      <c r="Y213" s="2042"/>
      <c r="Z213" s="2042"/>
      <c r="AA213" s="2042"/>
      <c r="AB213" s="2042"/>
      <c r="AC213" s="2042"/>
    </row>
    <row r="214" spans="1:29" s="1509" customFormat="1">
      <c r="A214" s="2042"/>
      <c r="B214" s="2042"/>
      <c r="C214" s="2042"/>
      <c r="D214" s="2042"/>
      <c r="E214" s="2042"/>
      <c r="F214" s="2042"/>
      <c r="G214" s="2042"/>
      <c r="H214" s="2042"/>
      <c r="I214" s="2042"/>
      <c r="J214" s="2042"/>
      <c r="K214" s="2043"/>
      <c r="L214" s="2044"/>
      <c r="M214" s="2042"/>
      <c r="N214" s="2042"/>
      <c r="O214" s="2042"/>
      <c r="P214" s="2042"/>
      <c r="Q214" s="2042"/>
      <c r="R214" s="2042"/>
      <c r="S214" s="2042"/>
      <c r="T214" s="2042"/>
      <c r="U214" s="2042"/>
      <c r="V214" s="2042"/>
      <c r="W214" s="2042"/>
      <c r="X214" s="2042"/>
      <c r="Y214" s="2042"/>
      <c r="Z214" s="2042"/>
      <c r="AA214" s="2042"/>
      <c r="AB214" s="2042"/>
      <c r="AC214" s="2042"/>
    </row>
    <row r="215" spans="1:29" s="1509" customFormat="1">
      <c r="A215" s="2042"/>
      <c r="B215" s="2042"/>
      <c r="C215" s="2042"/>
      <c r="D215" s="2042"/>
      <c r="E215" s="2042"/>
      <c r="F215" s="2042"/>
      <c r="G215" s="2042"/>
      <c r="H215" s="2042"/>
      <c r="I215" s="2042"/>
      <c r="J215" s="2042"/>
      <c r="K215" s="2043"/>
      <c r="L215" s="2044"/>
      <c r="M215" s="2042"/>
      <c r="N215" s="2042"/>
      <c r="O215" s="2042"/>
      <c r="P215" s="2042"/>
      <c r="Q215" s="2042"/>
      <c r="R215" s="2042"/>
      <c r="S215" s="2042"/>
      <c r="T215" s="2042"/>
      <c r="U215" s="2042"/>
      <c r="V215" s="2042"/>
      <c r="W215" s="2042"/>
      <c r="X215" s="2042"/>
      <c r="Y215" s="2042"/>
      <c r="Z215" s="2042"/>
      <c r="AA215" s="2042"/>
      <c r="AB215" s="2042"/>
      <c r="AC215" s="2042"/>
    </row>
    <row r="216" spans="1:29" s="1509" customFormat="1">
      <c r="A216" s="2042"/>
      <c r="B216" s="2042"/>
      <c r="C216" s="2042"/>
      <c r="D216" s="2042"/>
      <c r="E216" s="2042"/>
      <c r="F216" s="2042"/>
      <c r="G216" s="2042"/>
      <c r="H216" s="2042"/>
      <c r="I216" s="2042"/>
      <c r="J216" s="2042"/>
      <c r="K216" s="2043"/>
      <c r="L216" s="2044"/>
      <c r="M216" s="2042"/>
      <c r="N216" s="2042"/>
      <c r="O216" s="2042"/>
      <c r="P216" s="2042"/>
      <c r="Q216" s="2042"/>
      <c r="R216" s="2042"/>
      <c r="S216" s="2042"/>
      <c r="T216" s="2042"/>
      <c r="U216" s="2042"/>
      <c r="V216" s="2042"/>
      <c r="W216" s="2042"/>
      <c r="X216" s="2042"/>
      <c r="Y216" s="2042"/>
      <c r="Z216" s="2042"/>
      <c r="AA216" s="2042"/>
      <c r="AB216" s="2042"/>
      <c r="AC216" s="2042"/>
    </row>
    <row r="217" spans="1:29" s="1509" customFormat="1">
      <c r="A217" s="2042"/>
      <c r="B217" s="2042"/>
      <c r="C217" s="2042"/>
      <c r="D217" s="2042"/>
      <c r="E217" s="2042"/>
      <c r="F217" s="2042"/>
      <c r="G217" s="2042"/>
      <c r="H217" s="2042"/>
      <c r="I217" s="2042"/>
      <c r="J217" s="2042"/>
      <c r="K217" s="2043"/>
      <c r="L217" s="2044"/>
      <c r="M217" s="2042"/>
      <c r="N217" s="2042"/>
      <c r="O217" s="2042"/>
      <c r="P217" s="2042"/>
      <c r="Q217" s="2042"/>
      <c r="R217" s="2042"/>
      <c r="S217" s="2042"/>
      <c r="T217" s="2042"/>
      <c r="U217" s="2042"/>
      <c r="V217" s="2042"/>
      <c r="W217" s="2042"/>
      <c r="X217" s="2042"/>
      <c r="Y217" s="2042"/>
      <c r="Z217" s="2042"/>
      <c r="AA217" s="2042"/>
      <c r="AB217" s="2042"/>
      <c r="AC217" s="2042"/>
    </row>
    <row r="218" spans="1:29" s="1509" customFormat="1">
      <c r="A218" s="2042"/>
      <c r="B218" s="2042"/>
      <c r="C218" s="2042"/>
      <c r="D218" s="2042"/>
      <c r="E218" s="2042"/>
      <c r="F218" s="2042"/>
      <c r="G218" s="2042"/>
      <c r="H218" s="2042"/>
      <c r="I218" s="2042"/>
      <c r="J218" s="2042"/>
      <c r="K218" s="2043"/>
      <c r="L218" s="2044"/>
      <c r="M218" s="2042"/>
      <c r="N218" s="2042"/>
      <c r="O218" s="2042"/>
      <c r="P218" s="2042"/>
      <c r="Q218" s="2042"/>
      <c r="R218" s="2042"/>
      <c r="S218" s="2042"/>
      <c r="T218" s="2042"/>
      <c r="U218" s="2042"/>
      <c r="V218" s="2042"/>
      <c r="W218" s="2042"/>
      <c r="X218" s="2042"/>
      <c r="Y218" s="2042"/>
      <c r="Z218" s="2042"/>
      <c r="AA218" s="2042"/>
      <c r="AB218" s="2042"/>
      <c r="AC218" s="2042"/>
    </row>
    <row r="219" spans="1:29" s="1509" customFormat="1">
      <c r="A219" s="2042"/>
      <c r="B219" s="2042"/>
      <c r="C219" s="2042"/>
      <c r="D219" s="2042"/>
      <c r="E219" s="2042"/>
      <c r="F219" s="2042"/>
      <c r="G219" s="2042"/>
      <c r="H219" s="2042"/>
      <c r="I219" s="2042"/>
      <c r="J219" s="2042"/>
      <c r="K219" s="2043"/>
      <c r="L219" s="2044"/>
      <c r="M219" s="2042"/>
      <c r="N219" s="2042"/>
      <c r="O219" s="2042"/>
      <c r="P219" s="2042"/>
      <c r="Q219" s="2042"/>
      <c r="R219" s="2042"/>
      <c r="S219" s="2042"/>
      <c r="T219" s="2042"/>
      <c r="U219" s="2042"/>
      <c r="V219" s="2042"/>
      <c r="W219" s="2042"/>
      <c r="X219" s="2042"/>
      <c r="Y219" s="2042"/>
      <c r="Z219" s="2042"/>
      <c r="AA219" s="2042"/>
      <c r="AB219" s="2042"/>
      <c r="AC219" s="2042"/>
    </row>
    <row r="220" spans="1:29" s="1509" customFormat="1">
      <c r="A220" s="2042"/>
      <c r="B220" s="2042"/>
      <c r="C220" s="2042"/>
      <c r="D220" s="2042"/>
      <c r="E220" s="2042"/>
      <c r="F220" s="2042"/>
      <c r="G220" s="2042"/>
      <c r="H220" s="2042"/>
      <c r="I220" s="2042"/>
      <c r="J220" s="2042"/>
      <c r="K220" s="2043"/>
      <c r="L220" s="2044"/>
      <c r="M220" s="2042"/>
      <c r="N220" s="2042"/>
      <c r="O220" s="2042"/>
      <c r="P220" s="2042"/>
      <c r="Q220" s="2042"/>
      <c r="R220" s="2042"/>
      <c r="S220" s="2042"/>
      <c r="T220" s="2042"/>
      <c r="U220" s="2042"/>
      <c r="V220" s="2042"/>
      <c r="W220" s="2042"/>
      <c r="X220" s="2042"/>
      <c r="Y220" s="2042"/>
      <c r="Z220" s="2042"/>
      <c r="AA220" s="2042"/>
      <c r="AB220" s="2042"/>
      <c r="AC220" s="2042"/>
    </row>
    <row r="221" spans="1:29" s="1509" customFormat="1">
      <c r="A221" s="2042"/>
      <c r="B221" s="2042"/>
      <c r="C221" s="2042"/>
      <c r="D221" s="2042"/>
      <c r="E221" s="2042"/>
      <c r="F221" s="2042"/>
      <c r="G221" s="2042"/>
      <c r="H221" s="2042"/>
      <c r="I221" s="2042"/>
      <c r="J221" s="2042"/>
      <c r="K221" s="2043"/>
      <c r="L221" s="2044"/>
      <c r="M221" s="2042"/>
      <c r="N221" s="2042"/>
      <c r="O221" s="2042"/>
      <c r="P221" s="2042"/>
      <c r="Q221" s="2042"/>
      <c r="R221" s="2042"/>
      <c r="S221" s="2042"/>
      <c r="T221" s="2042"/>
      <c r="U221" s="2042"/>
      <c r="V221" s="2042"/>
      <c r="W221" s="2042"/>
      <c r="X221" s="2042"/>
      <c r="Y221" s="2042"/>
      <c r="Z221" s="2042"/>
      <c r="AA221" s="2042"/>
      <c r="AB221" s="2042"/>
      <c r="AC221" s="2042"/>
    </row>
    <row r="222" spans="1:29" s="1509" customFormat="1">
      <c r="A222" s="2042"/>
      <c r="B222" s="2042"/>
      <c r="C222" s="2042"/>
      <c r="D222" s="2042"/>
      <c r="E222" s="2042"/>
      <c r="F222" s="2042"/>
      <c r="G222" s="2042"/>
      <c r="H222" s="2042"/>
      <c r="I222" s="2042"/>
      <c r="J222" s="2042"/>
      <c r="K222" s="2043"/>
      <c r="L222" s="2044"/>
      <c r="M222" s="2042"/>
      <c r="N222" s="2042"/>
      <c r="O222" s="2042"/>
      <c r="P222" s="2042"/>
      <c r="Q222" s="2042"/>
      <c r="R222" s="2042"/>
      <c r="S222" s="2042"/>
      <c r="T222" s="2042"/>
      <c r="U222" s="2042"/>
      <c r="V222" s="2042"/>
      <c r="W222" s="2042"/>
      <c r="X222" s="2042"/>
      <c r="Y222" s="2042"/>
      <c r="Z222" s="2042"/>
      <c r="AA222" s="2042"/>
      <c r="AB222" s="2042"/>
      <c r="AC222" s="2042"/>
    </row>
    <row r="223" spans="1:29" s="1509" customFormat="1">
      <c r="A223" s="2042"/>
      <c r="B223" s="2042"/>
      <c r="C223" s="2042"/>
      <c r="D223" s="2042"/>
      <c r="E223" s="2042"/>
      <c r="F223" s="2042"/>
      <c r="G223" s="2042"/>
      <c r="H223" s="2042"/>
      <c r="I223" s="2042"/>
      <c r="J223" s="2042"/>
      <c r="K223" s="2043"/>
      <c r="L223" s="2044"/>
      <c r="M223" s="2042"/>
      <c r="N223" s="2042"/>
      <c r="O223" s="2042"/>
      <c r="P223" s="2042"/>
      <c r="Q223" s="2042"/>
      <c r="R223" s="2042"/>
      <c r="S223" s="2042"/>
      <c r="T223" s="2042"/>
      <c r="U223" s="2042"/>
      <c r="V223" s="2042"/>
      <c r="W223" s="2042"/>
      <c r="X223" s="2042"/>
      <c r="Y223" s="2042"/>
      <c r="Z223" s="2042"/>
      <c r="AA223" s="2042"/>
      <c r="AB223" s="2042"/>
      <c r="AC223" s="2042"/>
    </row>
    <row r="224" spans="1:29" s="1509" customFormat="1">
      <c r="A224" s="2042"/>
      <c r="B224" s="2042"/>
      <c r="C224" s="2042"/>
      <c r="D224" s="2042"/>
      <c r="E224" s="2042"/>
      <c r="F224" s="2042"/>
      <c r="G224" s="2042"/>
      <c r="H224" s="2042"/>
      <c r="I224" s="2042"/>
      <c r="J224" s="2042"/>
      <c r="K224" s="2043"/>
      <c r="L224" s="2044"/>
      <c r="M224" s="2042"/>
      <c r="N224" s="2042"/>
      <c r="O224" s="2042"/>
      <c r="P224" s="2042"/>
      <c r="Q224" s="2042"/>
      <c r="R224" s="2042"/>
      <c r="S224" s="2042"/>
      <c r="T224" s="2042"/>
      <c r="U224" s="2042"/>
      <c r="V224" s="2042"/>
      <c r="W224" s="2042"/>
      <c r="X224" s="2042"/>
      <c r="Y224" s="2042"/>
      <c r="Z224" s="2042"/>
      <c r="AA224" s="2042"/>
      <c r="AB224" s="2042"/>
      <c r="AC224" s="2042"/>
    </row>
    <row r="225" spans="1:29" s="1509" customFormat="1">
      <c r="A225" s="2042"/>
      <c r="B225" s="2042"/>
      <c r="C225" s="2042"/>
      <c r="D225" s="2042"/>
      <c r="E225" s="2042"/>
      <c r="F225" s="2042"/>
      <c r="G225" s="2042"/>
      <c r="H225" s="2042"/>
      <c r="I225" s="2042"/>
      <c r="J225" s="2042"/>
      <c r="K225" s="2043"/>
      <c r="L225" s="2044"/>
      <c r="M225" s="2042"/>
      <c r="N225" s="2042"/>
      <c r="O225" s="2042"/>
      <c r="P225" s="2042"/>
      <c r="Q225" s="2042"/>
      <c r="R225" s="2042"/>
      <c r="S225" s="2042"/>
      <c r="T225" s="2042"/>
      <c r="U225" s="2042"/>
      <c r="V225" s="2042"/>
      <c r="W225" s="2042"/>
      <c r="X225" s="2042"/>
      <c r="Y225" s="2042"/>
      <c r="Z225" s="2042"/>
      <c r="AA225" s="2042"/>
      <c r="AB225" s="2042"/>
      <c r="AC225" s="2042"/>
    </row>
    <row r="226" spans="1:29" s="1509" customFormat="1">
      <c r="A226" s="2042"/>
      <c r="B226" s="2042"/>
      <c r="C226" s="2042"/>
      <c r="D226" s="2042"/>
      <c r="E226" s="2042"/>
      <c r="F226" s="2042"/>
      <c r="G226" s="2042"/>
      <c r="H226" s="2042"/>
      <c r="I226" s="2042"/>
      <c r="J226" s="2042"/>
      <c r="K226" s="2043"/>
      <c r="L226" s="2044"/>
      <c r="M226" s="2042"/>
      <c r="N226" s="2042"/>
      <c r="O226" s="2042"/>
      <c r="P226" s="2042"/>
      <c r="Q226" s="2042"/>
      <c r="R226" s="2042"/>
      <c r="S226" s="2042"/>
      <c r="T226" s="2042"/>
      <c r="U226" s="2042"/>
      <c r="V226" s="2042"/>
      <c r="W226" s="2042"/>
      <c r="X226" s="2042"/>
      <c r="Y226" s="2042"/>
      <c r="Z226" s="2042"/>
      <c r="AA226" s="2042"/>
      <c r="AB226" s="2042"/>
      <c r="AC226" s="2042"/>
    </row>
    <row r="227" spans="1:29" s="1509" customFormat="1">
      <c r="A227" s="2042"/>
      <c r="B227" s="2042"/>
      <c r="C227" s="2042"/>
      <c r="D227" s="2042"/>
      <c r="E227" s="2042"/>
      <c r="F227" s="2042"/>
      <c r="G227" s="2042"/>
      <c r="H227" s="2042"/>
      <c r="I227" s="2042"/>
      <c r="J227" s="2042"/>
      <c r="K227" s="2043"/>
      <c r="L227" s="2044"/>
      <c r="M227" s="2042"/>
      <c r="N227" s="2042"/>
      <c r="O227" s="2042"/>
      <c r="P227" s="2042"/>
      <c r="Q227" s="2042"/>
      <c r="R227" s="2042"/>
      <c r="S227" s="2042"/>
      <c r="T227" s="2042"/>
      <c r="U227" s="2042"/>
      <c r="V227" s="2042"/>
      <c r="W227" s="2042"/>
      <c r="X227" s="2042"/>
      <c r="Y227" s="2042"/>
      <c r="Z227" s="2042"/>
      <c r="AA227" s="2042"/>
      <c r="AB227" s="2042"/>
      <c r="AC227" s="2042"/>
    </row>
    <row r="228" spans="1:29" s="1509" customFormat="1">
      <c r="A228" s="2042"/>
      <c r="B228" s="2042"/>
      <c r="C228" s="2042"/>
      <c r="D228" s="2042"/>
      <c r="E228" s="2042"/>
      <c r="F228" s="2042"/>
      <c r="G228" s="2042"/>
      <c r="H228" s="2042"/>
      <c r="I228" s="2042"/>
      <c r="J228" s="2042"/>
      <c r="K228" s="2043"/>
      <c r="L228" s="2044"/>
      <c r="M228" s="2042"/>
      <c r="N228" s="2042"/>
      <c r="O228" s="2042"/>
      <c r="P228" s="2042"/>
      <c r="Q228" s="2042"/>
      <c r="R228" s="2042"/>
      <c r="S228" s="2042"/>
      <c r="T228" s="2042"/>
      <c r="U228" s="2042"/>
      <c r="V228" s="2042"/>
      <c r="W228" s="2042"/>
      <c r="X228" s="2042"/>
      <c r="Y228" s="2042"/>
      <c r="Z228" s="2042"/>
      <c r="AA228" s="2042"/>
      <c r="AB228" s="2042"/>
      <c r="AC228" s="2042"/>
    </row>
    <row r="229" spans="1:29" s="1509" customFormat="1">
      <c r="A229" s="2042"/>
      <c r="B229" s="2042"/>
      <c r="C229" s="2042"/>
      <c r="D229" s="2042"/>
      <c r="E229" s="2042"/>
      <c r="F229" s="2042"/>
      <c r="G229" s="2042"/>
      <c r="H229" s="2042"/>
      <c r="I229" s="2042"/>
      <c r="J229" s="2042"/>
      <c r="K229" s="2043"/>
      <c r="L229" s="2044"/>
      <c r="M229" s="2042"/>
      <c r="N229" s="2042"/>
      <c r="O229" s="2042"/>
      <c r="P229" s="2042"/>
      <c r="Q229" s="2042"/>
      <c r="R229" s="2042"/>
      <c r="S229" s="2042"/>
      <c r="T229" s="2042"/>
      <c r="U229" s="2042"/>
      <c r="V229" s="2042"/>
      <c r="W229" s="2042"/>
      <c r="X229" s="2042"/>
      <c r="Y229" s="2042"/>
      <c r="Z229" s="2042"/>
      <c r="AA229" s="2042"/>
      <c r="AB229" s="2042"/>
      <c r="AC229" s="2042"/>
    </row>
    <row r="230" spans="1:29" s="1509" customFormat="1">
      <c r="A230" s="2042"/>
      <c r="B230" s="2042"/>
      <c r="C230" s="2042"/>
      <c r="D230" s="2042"/>
      <c r="E230" s="2042"/>
      <c r="F230" s="2042"/>
      <c r="G230" s="2042"/>
      <c r="H230" s="2042"/>
      <c r="I230" s="2042"/>
      <c r="J230" s="2042"/>
      <c r="K230" s="2043"/>
      <c r="L230" s="2044"/>
      <c r="M230" s="2042"/>
      <c r="N230" s="2042"/>
      <c r="O230" s="2042"/>
      <c r="P230" s="2042"/>
      <c r="Q230" s="2042"/>
      <c r="R230" s="2042"/>
      <c r="S230" s="2042"/>
      <c r="T230" s="2042"/>
      <c r="U230" s="2042"/>
      <c r="V230" s="2042"/>
      <c r="W230" s="2042"/>
      <c r="X230" s="2042"/>
      <c r="Y230" s="2042"/>
      <c r="Z230" s="2042"/>
      <c r="AA230" s="2042"/>
      <c r="AB230" s="2042"/>
      <c r="AC230" s="2042"/>
    </row>
    <row r="231" spans="1:29" s="1509" customFormat="1">
      <c r="A231" s="2042"/>
      <c r="B231" s="2042"/>
      <c r="C231" s="2042"/>
      <c r="D231" s="2042"/>
      <c r="E231" s="2042"/>
      <c r="F231" s="2042"/>
      <c r="G231" s="2042"/>
      <c r="H231" s="2042"/>
      <c r="I231" s="2042"/>
      <c r="J231" s="2042"/>
      <c r="K231" s="2043"/>
      <c r="L231" s="2044"/>
      <c r="M231" s="2042"/>
      <c r="N231" s="2042"/>
      <c r="O231" s="2042"/>
      <c r="P231" s="2042"/>
      <c r="Q231" s="2042"/>
      <c r="R231" s="2042"/>
      <c r="S231" s="2042"/>
      <c r="T231" s="2042"/>
      <c r="U231" s="2042"/>
      <c r="V231" s="2042"/>
      <c r="W231" s="2042"/>
      <c r="X231" s="2042"/>
      <c r="Y231" s="2042"/>
      <c r="Z231" s="2042"/>
      <c r="AA231" s="2042"/>
      <c r="AB231" s="2042"/>
      <c r="AC231" s="2042"/>
    </row>
    <row r="232" spans="1:29" s="1509" customFormat="1">
      <c r="A232" s="2042"/>
      <c r="B232" s="2042"/>
      <c r="C232" s="2042"/>
      <c r="D232" s="2042"/>
      <c r="E232" s="2042"/>
      <c r="F232" s="2042"/>
      <c r="G232" s="2042"/>
      <c r="H232" s="2042"/>
      <c r="I232" s="2042"/>
      <c r="J232" s="2042"/>
      <c r="K232" s="2043"/>
      <c r="L232" s="2044"/>
      <c r="M232" s="2042"/>
      <c r="N232" s="2042"/>
      <c r="O232" s="2042"/>
      <c r="P232" s="2042"/>
      <c r="Q232" s="2042"/>
      <c r="R232" s="2042"/>
      <c r="S232" s="2042"/>
      <c r="T232" s="2042"/>
      <c r="U232" s="2042"/>
      <c r="V232" s="2042"/>
      <c r="W232" s="2042"/>
      <c r="X232" s="2042"/>
      <c r="Y232" s="2042"/>
      <c r="Z232" s="2042"/>
      <c r="AA232" s="2042"/>
      <c r="AB232" s="2042"/>
      <c r="AC232" s="2042"/>
    </row>
    <row r="233" spans="1:29" s="1509" customFormat="1">
      <c r="A233" s="2042"/>
      <c r="B233" s="2042"/>
      <c r="C233" s="2042"/>
      <c r="D233" s="2042"/>
      <c r="E233" s="2042"/>
      <c r="F233" s="2042"/>
      <c r="G233" s="2042"/>
      <c r="H233" s="2042"/>
      <c r="I233" s="2042"/>
      <c r="J233" s="2042"/>
      <c r="K233" s="2043"/>
      <c r="L233" s="2044"/>
      <c r="M233" s="2042"/>
      <c r="N233" s="2042"/>
      <c r="O233" s="2042"/>
      <c r="P233" s="2042"/>
      <c r="Q233" s="2042"/>
      <c r="R233" s="2042"/>
      <c r="S233" s="2042"/>
      <c r="T233" s="2042"/>
      <c r="U233" s="2042"/>
      <c r="V233" s="2042"/>
      <c r="W233" s="2042"/>
      <c r="X233" s="2042"/>
      <c r="Y233" s="2042"/>
      <c r="Z233" s="2042"/>
      <c r="AA233" s="2042"/>
      <c r="AB233" s="2042"/>
      <c r="AC233" s="2042"/>
    </row>
    <row r="234" spans="1:29" s="1509" customFormat="1">
      <c r="A234" s="2042"/>
      <c r="B234" s="2042"/>
      <c r="C234" s="2042"/>
      <c r="D234" s="2042"/>
      <c r="E234" s="2042"/>
      <c r="F234" s="2042"/>
      <c r="G234" s="2042"/>
      <c r="H234" s="2042"/>
      <c r="I234" s="2042"/>
      <c r="J234" s="2042"/>
      <c r="K234" s="2043"/>
      <c r="L234" s="2044"/>
      <c r="M234" s="2042"/>
      <c r="N234" s="2042"/>
      <c r="O234" s="2042"/>
      <c r="P234" s="2042"/>
      <c r="Q234" s="2042"/>
      <c r="R234" s="2042"/>
      <c r="S234" s="2042"/>
      <c r="T234" s="2042"/>
      <c r="U234" s="2042"/>
      <c r="V234" s="2042"/>
      <c r="W234" s="2042"/>
      <c r="X234" s="2042"/>
      <c r="Y234" s="2042"/>
      <c r="Z234" s="2042"/>
      <c r="AA234" s="2042"/>
      <c r="AB234" s="2042"/>
      <c r="AC234" s="2042"/>
    </row>
    <row r="235" spans="1:29" s="1509" customFormat="1">
      <c r="A235" s="2042"/>
      <c r="B235" s="2042"/>
      <c r="C235" s="2042"/>
      <c r="D235" s="2042"/>
      <c r="E235" s="2042"/>
      <c r="F235" s="2042"/>
      <c r="G235" s="2042"/>
      <c r="H235" s="2042"/>
      <c r="I235" s="2042"/>
      <c r="J235" s="2042"/>
      <c r="K235" s="2043"/>
      <c r="L235" s="2044"/>
      <c r="M235" s="2042"/>
      <c r="N235" s="2042"/>
      <c r="O235" s="2042"/>
      <c r="P235" s="2042"/>
      <c r="Q235" s="2042"/>
      <c r="R235" s="2042"/>
      <c r="S235" s="2042"/>
      <c r="T235" s="2042"/>
      <c r="U235" s="2042"/>
      <c r="V235" s="2042"/>
      <c r="W235" s="2042"/>
      <c r="X235" s="2042"/>
      <c r="Y235" s="2042"/>
      <c r="Z235" s="2042"/>
      <c r="AA235" s="2042"/>
      <c r="AB235" s="2042"/>
      <c r="AC235" s="2042"/>
    </row>
    <row r="236" spans="1:29" s="1509" customFormat="1">
      <c r="A236" s="2042"/>
      <c r="B236" s="2042"/>
      <c r="C236" s="2042"/>
      <c r="D236" s="2042"/>
      <c r="E236" s="2042"/>
      <c r="F236" s="2042"/>
      <c r="G236" s="2042"/>
      <c r="H236" s="2042"/>
      <c r="I236" s="2042"/>
      <c r="J236" s="2042"/>
      <c r="K236" s="2043"/>
      <c r="L236" s="2044"/>
      <c r="M236" s="2042"/>
      <c r="N236" s="2042"/>
      <c r="O236" s="2042"/>
      <c r="P236" s="2042"/>
      <c r="Q236" s="2042"/>
      <c r="R236" s="2042"/>
      <c r="S236" s="2042"/>
      <c r="T236" s="2042"/>
      <c r="U236" s="2042"/>
      <c r="V236" s="2042"/>
      <c r="W236" s="2042"/>
      <c r="X236" s="2042"/>
      <c r="Y236" s="2042"/>
      <c r="Z236" s="2042"/>
      <c r="AA236" s="2042"/>
      <c r="AB236" s="2042"/>
      <c r="AC236" s="2042"/>
    </row>
    <row r="237" spans="1:29" s="1509" customFormat="1">
      <c r="A237" s="2042"/>
      <c r="B237" s="2042"/>
      <c r="C237" s="2042"/>
      <c r="D237" s="2042"/>
      <c r="E237" s="2042"/>
      <c r="F237" s="2042"/>
      <c r="G237" s="2042"/>
      <c r="H237" s="2042"/>
      <c r="I237" s="2042"/>
      <c r="J237" s="2042"/>
      <c r="K237" s="2043"/>
      <c r="L237" s="2044"/>
      <c r="M237" s="2042"/>
      <c r="N237" s="2042"/>
      <c r="O237" s="2042"/>
      <c r="P237" s="2042"/>
      <c r="Q237" s="2042"/>
      <c r="R237" s="2042"/>
      <c r="S237" s="2042"/>
      <c r="T237" s="2042"/>
      <c r="U237" s="2042"/>
      <c r="V237" s="2042"/>
      <c r="W237" s="2042"/>
      <c r="X237" s="2042"/>
      <c r="Y237" s="2042"/>
      <c r="Z237" s="2042"/>
      <c r="AA237" s="2042"/>
      <c r="AB237" s="2042"/>
      <c r="AC237" s="2042"/>
    </row>
    <row r="238" spans="1:29" s="1509" customFormat="1">
      <c r="A238" s="2042"/>
      <c r="B238" s="2042"/>
      <c r="C238" s="2042"/>
      <c r="D238" s="2042"/>
      <c r="E238" s="2042"/>
      <c r="F238" s="2042"/>
      <c r="G238" s="2042"/>
      <c r="H238" s="2042"/>
      <c r="I238" s="2042"/>
      <c r="J238" s="2042"/>
      <c r="K238" s="2043"/>
      <c r="L238" s="2044"/>
      <c r="M238" s="2042"/>
      <c r="N238" s="2042"/>
      <c r="O238" s="2042"/>
      <c r="P238" s="2042"/>
      <c r="Q238" s="2042"/>
      <c r="R238" s="2042"/>
      <c r="S238" s="2042"/>
      <c r="T238" s="2042"/>
      <c r="U238" s="2042"/>
      <c r="V238" s="2042"/>
      <c r="W238" s="2042"/>
      <c r="X238" s="2042"/>
      <c r="Y238" s="2042"/>
      <c r="Z238" s="2042"/>
      <c r="AA238" s="2042"/>
      <c r="AB238" s="2042"/>
      <c r="AC238" s="2042"/>
    </row>
    <row r="239" spans="1:29" s="1509" customFormat="1">
      <c r="A239" s="2042"/>
      <c r="B239" s="2042"/>
      <c r="C239" s="2042"/>
      <c r="D239" s="2042"/>
      <c r="E239" s="2042"/>
      <c r="F239" s="2042"/>
      <c r="G239" s="2042"/>
      <c r="H239" s="2042"/>
      <c r="I239" s="2042"/>
      <c r="J239" s="2042"/>
      <c r="K239" s="2043"/>
      <c r="L239" s="2044"/>
      <c r="M239" s="2042"/>
      <c r="N239" s="2042"/>
      <c r="O239" s="2042"/>
      <c r="P239" s="2042"/>
      <c r="Q239" s="2042"/>
      <c r="R239" s="2042"/>
      <c r="S239" s="2042"/>
      <c r="T239" s="2042"/>
      <c r="U239" s="2042"/>
      <c r="V239" s="2042"/>
      <c r="W239" s="2042"/>
      <c r="X239" s="2042"/>
      <c r="Y239" s="2042"/>
      <c r="Z239" s="2042"/>
      <c r="AA239" s="2042"/>
      <c r="AB239" s="2042"/>
      <c r="AC239" s="2042"/>
    </row>
    <row r="240" spans="1:29" s="1509" customFormat="1">
      <c r="A240" s="2042"/>
      <c r="B240" s="2042"/>
      <c r="C240" s="2042"/>
      <c r="D240" s="2042"/>
      <c r="E240" s="2042"/>
      <c r="F240" s="2042"/>
      <c r="G240" s="2042"/>
      <c r="H240" s="2042"/>
      <c r="I240" s="2042"/>
      <c r="J240" s="2042"/>
      <c r="K240" s="2043"/>
      <c r="L240" s="2044"/>
      <c r="M240" s="2042"/>
      <c r="N240" s="2042"/>
      <c r="O240" s="2042"/>
      <c r="P240" s="2042"/>
      <c r="Q240" s="2042"/>
      <c r="R240" s="2042"/>
      <c r="S240" s="2042"/>
      <c r="T240" s="2042"/>
      <c r="U240" s="2042"/>
      <c r="V240" s="2042"/>
      <c r="W240" s="2042"/>
      <c r="X240" s="2042"/>
      <c r="Y240" s="2042"/>
      <c r="Z240" s="2042"/>
      <c r="AA240" s="2042"/>
      <c r="AB240" s="2042"/>
      <c r="AC240" s="2042"/>
    </row>
    <row r="241" spans="1:29" s="1509" customFormat="1">
      <c r="A241" s="2042"/>
      <c r="B241" s="2042"/>
      <c r="C241" s="2042"/>
      <c r="D241" s="2042"/>
      <c r="E241" s="2042"/>
      <c r="F241" s="2042"/>
      <c r="G241" s="2042"/>
      <c r="H241" s="2042"/>
      <c r="I241" s="2042"/>
      <c r="J241" s="2042"/>
      <c r="K241" s="2043"/>
      <c r="L241" s="2044"/>
      <c r="M241" s="2042"/>
      <c r="N241" s="2042"/>
      <c r="O241" s="2042"/>
      <c r="P241" s="2042"/>
      <c r="Q241" s="2042"/>
      <c r="R241" s="2042"/>
      <c r="S241" s="2042"/>
      <c r="T241" s="2042"/>
      <c r="U241" s="2042"/>
      <c r="V241" s="2042"/>
      <c r="W241" s="2042"/>
      <c r="X241" s="2042"/>
      <c r="Y241" s="2042"/>
      <c r="Z241" s="2042"/>
      <c r="AA241" s="2042"/>
      <c r="AB241" s="2042"/>
      <c r="AC241" s="2042"/>
    </row>
    <row r="242" spans="1:29" s="1509" customFormat="1">
      <c r="A242" s="2042"/>
      <c r="B242" s="2042"/>
      <c r="C242" s="2042"/>
      <c r="D242" s="2042"/>
      <c r="E242" s="2042"/>
      <c r="F242" s="2042"/>
      <c r="G242" s="2042"/>
      <c r="H242" s="2042"/>
      <c r="I242" s="2042"/>
      <c r="J242" s="2042"/>
      <c r="K242" s="2043"/>
      <c r="L242" s="2044"/>
      <c r="M242" s="2042"/>
      <c r="N242" s="2042"/>
      <c r="O242" s="2042"/>
      <c r="P242" s="2042"/>
      <c r="Q242" s="2042"/>
      <c r="R242" s="2042"/>
      <c r="S242" s="2042"/>
      <c r="T242" s="2042"/>
      <c r="U242" s="2042"/>
      <c r="V242" s="2042"/>
      <c r="W242" s="2042"/>
      <c r="X242" s="2042"/>
      <c r="Y242" s="2042"/>
      <c r="Z242" s="2042"/>
      <c r="AA242" s="2042"/>
      <c r="AB242" s="2042"/>
      <c r="AC242" s="2042"/>
    </row>
    <row r="243" spans="1:29" s="1509" customFormat="1">
      <c r="A243" s="2042"/>
      <c r="B243" s="2042"/>
      <c r="C243" s="2042"/>
      <c r="D243" s="2042"/>
      <c r="E243" s="2042"/>
      <c r="F243" s="2042"/>
      <c r="G243" s="2042"/>
      <c r="H243" s="2042"/>
      <c r="I243" s="2042"/>
      <c r="J243" s="2042"/>
      <c r="K243" s="2043"/>
      <c r="L243" s="2044"/>
      <c r="M243" s="2042"/>
      <c r="N243" s="2042"/>
      <c r="O243" s="2042"/>
      <c r="P243" s="2042"/>
      <c r="Q243" s="2042"/>
      <c r="R243" s="2042"/>
      <c r="S243" s="2042"/>
      <c r="T243" s="2042"/>
      <c r="U243" s="2042"/>
      <c r="V243" s="2042"/>
      <c r="W243" s="2042"/>
      <c r="X243" s="2042"/>
      <c r="Y243" s="2042"/>
      <c r="Z243" s="2042"/>
      <c r="AA243" s="2042"/>
      <c r="AB243" s="2042"/>
      <c r="AC243" s="2042"/>
    </row>
    <row r="244" spans="1:29" s="1509" customFormat="1">
      <c r="A244" s="2042"/>
      <c r="B244" s="2042"/>
      <c r="C244" s="2042"/>
      <c r="D244" s="2042"/>
      <c r="E244" s="2042"/>
      <c r="F244" s="2042"/>
      <c r="G244" s="2042"/>
      <c r="H244" s="2042"/>
      <c r="I244" s="2042"/>
      <c r="J244" s="2042"/>
      <c r="K244" s="2043"/>
      <c r="L244" s="2044"/>
      <c r="M244" s="2042"/>
      <c r="N244" s="2042"/>
      <c r="O244" s="2042"/>
      <c r="P244" s="2042"/>
      <c r="Q244" s="2042"/>
      <c r="R244" s="2042"/>
      <c r="S244" s="2042"/>
      <c r="T244" s="2042"/>
      <c r="U244" s="2042"/>
      <c r="V244" s="2042"/>
      <c r="W244" s="2042"/>
      <c r="X244" s="2042"/>
      <c r="Y244" s="2042"/>
      <c r="Z244" s="2042"/>
      <c r="AA244" s="2042"/>
      <c r="AB244" s="2042"/>
      <c r="AC244" s="2042"/>
    </row>
    <row r="245" spans="1:29" s="1509" customFormat="1">
      <c r="A245" s="2042"/>
      <c r="B245" s="2042"/>
      <c r="C245" s="2042"/>
      <c r="D245" s="2042"/>
      <c r="E245" s="2042"/>
      <c r="F245" s="2042"/>
      <c r="G245" s="2042"/>
      <c r="H245" s="2042"/>
      <c r="I245" s="2042"/>
      <c r="J245" s="2042"/>
      <c r="K245" s="2043"/>
      <c r="L245" s="2044"/>
      <c r="M245" s="2042"/>
      <c r="N245" s="2042"/>
      <c r="O245" s="2042"/>
      <c r="P245" s="2042"/>
      <c r="Q245" s="2042"/>
      <c r="R245" s="2042"/>
      <c r="S245" s="2042"/>
      <c r="T245" s="2042"/>
      <c r="U245" s="2042"/>
      <c r="V245" s="2042"/>
      <c r="W245" s="2042"/>
      <c r="X245" s="2042"/>
      <c r="Y245" s="2042"/>
      <c r="Z245" s="2042"/>
      <c r="AA245" s="2042"/>
      <c r="AB245" s="2042"/>
      <c r="AC245" s="2042"/>
    </row>
    <row r="246" spans="1:29" s="1509" customFormat="1">
      <c r="A246" s="2042"/>
      <c r="B246" s="2042"/>
      <c r="C246" s="2042"/>
      <c r="D246" s="2042"/>
      <c r="E246" s="2042"/>
      <c r="F246" s="2042"/>
      <c r="G246" s="2042"/>
      <c r="H246" s="2042"/>
      <c r="I246" s="2042"/>
      <c r="J246" s="2042"/>
      <c r="K246" s="2043"/>
      <c r="L246" s="2044"/>
      <c r="M246" s="2042"/>
      <c r="N246" s="2042"/>
      <c r="O246" s="2042"/>
      <c r="P246" s="2042"/>
      <c r="Q246" s="2042"/>
      <c r="R246" s="2042"/>
      <c r="S246" s="2042"/>
      <c r="T246" s="2042"/>
      <c r="U246" s="2042"/>
      <c r="V246" s="2042"/>
      <c r="W246" s="2042"/>
      <c r="X246" s="2042"/>
      <c r="Y246" s="2042"/>
      <c r="Z246" s="2042"/>
      <c r="AA246" s="2042"/>
      <c r="AB246" s="2042"/>
      <c r="AC246" s="2042"/>
    </row>
    <row r="247" spans="1:29" s="1509" customFormat="1">
      <c r="A247" s="2042"/>
      <c r="B247" s="2042"/>
      <c r="C247" s="2042"/>
      <c r="D247" s="2042"/>
      <c r="E247" s="2042"/>
      <c r="F247" s="2042"/>
      <c r="G247" s="2042"/>
      <c r="H247" s="2042"/>
      <c r="I247" s="2042"/>
      <c r="J247" s="2042"/>
      <c r="K247" s="2043"/>
      <c r="L247" s="2044"/>
      <c r="M247" s="2042"/>
      <c r="N247" s="2042"/>
      <c r="O247" s="2042"/>
      <c r="P247" s="2042"/>
      <c r="Q247" s="2042"/>
      <c r="R247" s="2042"/>
      <c r="S247" s="2042"/>
      <c r="T247" s="2042"/>
      <c r="U247" s="2042"/>
      <c r="V247" s="2042"/>
      <c r="W247" s="2042"/>
      <c r="X247" s="2042"/>
      <c r="Y247" s="2042"/>
      <c r="Z247" s="2042"/>
      <c r="AA247" s="2042"/>
      <c r="AB247" s="2042"/>
      <c r="AC247" s="2042"/>
    </row>
    <row r="248" spans="1:29" s="1509" customFormat="1">
      <c r="A248" s="2042"/>
      <c r="B248" s="2042"/>
      <c r="C248" s="2042"/>
      <c r="D248" s="2042"/>
      <c r="E248" s="2042"/>
      <c r="F248" s="2042"/>
      <c r="G248" s="2042"/>
      <c r="H248" s="2042"/>
      <c r="I248" s="2042"/>
      <c r="J248" s="2042"/>
      <c r="K248" s="2043"/>
      <c r="L248" s="2044"/>
      <c r="M248" s="2042"/>
      <c r="N248" s="2042"/>
      <c r="O248" s="2042"/>
      <c r="P248" s="2042"/>
      <c r="Q248" s="2042"/>
      <c r="R248" s="2042"/>
      <c r="S248" s="2042"/>
      <c r="T248" s="2042"/>
      <c r="U248" s="2042"/>
      <c r="V248" s="2042"/>
      <c r="W248" s="2042"/>
      <c r="X248" s="2042"/>
      <c r="Y248" s="2042"/>
      <c r="Z248" s="2042"/>
      <c r="AA248" s="2042"/>
      <c r="AB248" s="2042"/>
      <c r="AC248" s="2042"/>
    </row>
    <row r="249" spans="1:29" s="1509" customFormat="1">
      <c r="A249" s="2042"/>
      <c r="B249" s="2042"/>
      <c r="C249" s="2042"/>
      <c r="D249" s="2042"/>
      <c r="E249" s="2042"/>
      <c r="F249" s="2042"/>
      <c r="G249" s="2042"/>
      <c r="H249" s="2042"/>
      <c r="I249" s="2042"/>
      <c r="J249" s="2042"/>
      <c r="K249" s="2043"/>
      <c r="L249" s="2044"/>
      <c r="M249" s="2042"/>
      <c r="N249" s="2042"/>
      <c r="O249" s="2042"/>
      <c r="P249" s="2042"/>
      <c r="Q249" s="2042"/>
      <c r="R249" s="2042"/>
      <c r="S249" s="2042"/>
      <c r="T249" s="2042"/>
      <c r="U249" s="2042"/>
      <c r="V249" s="2042"/>
      <c r="W249" s="2042"/>
      <c r="X249" s="2042"/>
      <c r="Y249" s="2042"/>
      <c r="Z249" s="2042"/>
      <c r="AA249" s="2042"/>
      <c r="AB249" s="2042"/>
      <c r="AC249" s="2042"/>
    </row>
    <row r="250" spans="1:29" s="1509" customFormat="1">
      <c r="A250" s="2042"/>
      <c r="B250" s="2042"/>
      <c r="C250" s="2042"/>
      <c r="D250" s="2042"/>
      <c r="E250" s="2042"/>
      <c r="F250" s="2042"/>
      <c r="G250" s="2042"/>
      <c r="H250" s="2042"/>
      <c r="I250" s="2042"/>
      <c r="J250" s="2042"/>
      <c r="K250" s="2043"/>
      <c r="L250" s="2044"/>
      <c r="M250" s="2042"/>
      <c r="N250" s="2042"/>
      <c r="O250" s="2042"/>
      <c r="P250" s="2042"/>
      <c r="Q250" s="2042"/>
      <c r="R250" s="2042"/>
      <c r="S250" s="2042"/>
      <c r="T250" s="2042"/>
      <c r="U250" s="2042"/>
      <c r="V250" s="2042"/>
      <c r="W250" s="2042"/>
      <c r="X250" s="2042"/>
      <c r="Y250" s="2042"/>
      <c r="Z250" s="2042"/>
      <c r="AA250" s="2042"/>
      <c r="AB250" s="2042"/>
      <c r="AC250" s="2042"/>
    </row>
    <row r="251" spans="1:29" s="1509" customFormat="1">
      <c r="A251" s="2042"/>
      <c r="B251" s="2042"/>
      <c r="C251" s="2042"/>
      <c r="D251" s="2042"/>
      <c r="E251" s="2042"/>
      <c r="F251" s="2042"/>
      <c r="G251" s="2042"/>
      <c r="H251" s="2042"/>
      <c r="I251" s="2042"/>
      <c r="J251" s="2042"/>
      <c r="K251" s="2043"/>
      <c r="L251" s="2044"/>
      <c r="M251" s="2042"/>
      <c r="N251" s="2042"/>
      <c r="O251" s="2042"/>
      <c r="P251" s="2042"/>
      <c r="Q251" s="2042"/>
      <c r="R251" s="2042"/>
      <c r="S251" s="2042"/>
      <c r="T251" s="2042"/>
      <c r="U251" s="2042"/>
      <c r="V251" s="2042"/>
      <c r="W251" s="2042"/>
      <c r="X251" s="2042"/>
      <c r="Y251" s="2042"/>
      <c r="Z251" s="2042"/>
      <c r="AA251" s="2042"/>
      <c r="AB251" s="2042"/>
      <c r="AC251" s="2042"/>
    </row>
    <row r="252" spans="1:29" s="1509" customFormat="1">
      <c r="A252" s="2042"/>
      <c r="B252" s="2042"/>
      <c r="C252" s="2042"/>
      <c r="D252" s="2042"/>
      <c r="E252" s="2042"/>
      <c r="F252" s="2042"/>
      <c r="G252" s="2042"/>
      <c r="H252" s="2042"/>
      <c r="I252" s="2042"/>
      <c r="J252" s="2042"/>
      <c r="K252" s="2043"/>
      <c r="L252" s="2044"/>
      <c r="M252" s="2042"/>
      <c r="N252" s="2042"/>
      <c r="O252" s="2042"/>
      <c r="P252" s="2042"/>
      <c r="Q252" s="2042"/>
      <c r="R252" s="2042"/>
      <c r="S252" s="2042"/>
      <c r="T252" s="2042"/>
      <c r="U252" s="2042"/>
      <c r="V252" s="2042"/>
      <c r="W252" s="2042"/>
      <c r="X252" s="2042"/>
      <c r="Y252" s="2042"/>
      <c r="Z252" s="2042"/>
      <c r="AA252" s="2042"/>
      <c r="AB252" s="2042"/>
      <c r="AC252" s="2042"/>
    </row>
    <row r="253" spans="1:29" s="1509" customFormat="1">
      <c r="A253" s="2042"/>
      <c r="B253" s="2042"/>
      <c r="C253" s="2042"/>
      <c r="D253" s="2042"/>
      <c r="E253" s="2042"/>
      <c r="F253" s="2042"/>
      <c r="G253" s="2042"/>
      <c r="H253" s="2042"/>
      <c r="I253" s="2042"/>
      <c r="J253" s="2042"/>
      <c r="K253" s="2043"/>
      <c r="L253" s="2044"/>
      <c r="M253" s="2042"/>
      <c r="N253" s="2042"/>
      <c r="O253" s="2042"/>
      <c r="P253" s="2042"/>
      <c r="Q253" s="2042"/>
      <c r="R253" s="2042"/>
      <c r="S253" s="2042"/>
      <c r="T253" s="2042"/>
      <c r="U253" s="2042"/>
      <c r="V253" s="2042"/>
      <c r="W253" s="2042"/>
      <c r="X253" s="2042"/>
      <c r="Y253" s="2042"/>
      <c r="Z253" s="2042"/>
      <c r="AA253" s="2042"/>
      <c r="AB253" s="2042"/>
      <c r="AC253" s="2042"/>
    </row>
    <row r="254" spans="1:29" s="1509" customFormat="1">
      <c r="A254" s="2042"/>
      <c r="B254" s="2042"/>
      <c r="C254" s="2042"/>
      <c r="D254" s="2042"/>
      <c r="E254" s="2042"/>
      <c r="F254" s="2042"/>
      <c r="G254" s="2042"/>
      <c r="H254" s="2042"/>
      <c r="I254" s="2042"/>
      <c r="J254" s="2042"/>
      <c r="K254" s="2043"/>
      <c r="L254" s="2044"/>
      <c r="M254" s="2042"/>
      <c r="N254" s="2042"/>
      <c r="O254" s="2042"/>
      <c r="P254" s="2042"/>
      <c r="Q254" s="2042"/>
      <c r="R254" s="2042"/>
      <c r="S254" s="2042"/>
      <c r="T254" s="2042"/>
      <c r="U254" s="2042"/>
      <c r="V254" s="2042"/>
      <c r="W254" s="2042"/>
      <c r="X254" s="2042"/>
      <c r="Y254" s="2042"/>
      <c r="Z254" s="2042"/>
      <c r="AA254" s="2042"/>
      <c r="AB254" s="2042"/>
      <c r="AC254" s="2042"/>
    </row>
    <row r="255" spans="1:29" s="1509" customFormat="1">
      <c r="A255" s="2042"/>
      <c r="B255" s="2042"/>
      <c r="C255" s="2042"/>
      <c r="D255" s="2042"/>
      <c r="E255" s="2042"/>
      <c r="F255" s="2042"/>
      <c r="G255" s="2042"/>
      <c r="H255" s="2042"/>
      <c r="I255" s="2042"/>
      <c r="J255" s="2042"/>
      <c r="K255" s="2043"/>
      <c r="L255" s="2044"/>
      <c r="M255" s="2042"/>
      <c r="N255" s="2042"/>
      <c r="O255" s="2042"/>
      <c r="P255" s="2042"/>
      <c r="Q255" s="2042"/>
      <c r="R255" s="2042"/>
      <c r="S255" s="2042"/>
      <c r="T255" s="2042"/>
      <c r="U255" s="2042"/>
      <c r="V255" s="2042"/>
      <c r="W255" s="2042"/>
      <c r="X255" s="2042"/>
      <c r="Y255" s="2042"/>
      <c r="Z255" s="2042"/>
      <c r="AA255" s="2042"/>
      <c r="AB255" s="2042"/>
      <c r="AC255" s="2042"/>
    </row>
    <row r="256" spans="1:29" s="1509" customFormat="1">
      <c r="K256" s="1510"/>
      <c r="L256" s="1511"/>
    </row>
    <row r="257" spans="11:12" s="1509" customFormat="1">
      <c r="K257" s="1510"/>
      <c r="L257" s="1511"/>
    </row>
    <row r="258" spans="11:12" s="1509" customFormat="1">
      <c r="K258" s="1510"/>
      <c r="L258" s="1511"/>
    </row>
    <row r="259" spans="11:12" s="1509" customFormat="1">
      <c r="K259" s="1510"/>
      <c r="L259" s="1511"/>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92" priority="18" stopIfTrue="1" operator="containsText" text="超过">
      <formula>NOT(ISERROR(SEARCH("超过",F53)))</formula>
    </cfRule>
  </conditionalFormatting>
  <conditionalFormatting sqref="J55">
    <cfRule type="containsText" dxfId="191" priority="17" stopIfTrue="1" operator="containsText" text="超过">
      <formula>NOT(ISERROR(SEARCH("超过",J55)))</formula>
    </cfRule>
  </conditionalFormatting>
  <conditionalFormatting sqref="H55">
    <cfRule type="containsText" dxfId="190" priority="16" stopIfTrue="1" operator="containsText" text="超过">
      <formula>NOT(ISERROR(SEARCH("超过",H55)))</formula>
    </cfRule>
  </conditionalFormatting>
  <conditionalFormatting sqref="F55">
    <cfRule type="containsText" dxfId="189" priority="15" stopIfTrue="1" operator="containsText" text="超过">
      <formula>NOT(ISERROR(SEARCH("超过",F55)))</formula>
    </cfRule>
  </conditionalFormatting>
  <conditionalFormatting sqref="F54 H54 J54">
    <cfRule type="containsText" dxfId="188" priority="14" stopIfTrue="1" operator="containsText" text="超过">
      <formula>NOT(ISERROR(SEARCH("超过",F54)))</formula>
    </cfRule>
  </conditionalFormatting>
  <conditionalFormatting sqref="E53">
    <cfRule type="expression" dxfId="187" priority="13" stopIfTrue="1">
      <formula>$F$53="超过30%"</formula>
    </cfRule>
  </conditionalFormatting>
  <conditionalFormatting sqref="G55">
    <cfRule type="expression" dxfId="186" priority="12" stopIfTrue="1">
      <formula>$H$55="超过30%"</formula>
    </cfRule>
  </conditionalFormatting>
  <conditionalFormatting sqref="E54">
    <cfRule type="expression" dxfId="185" priority="11" stopIfTrue="1">
      <formula>$F$54="超过20%"</formula>
    </cfRule>
  </conditionalFormatting>
  <conditionalFormatting sqref="E55">
    <cfRule type="expression" dxfId="184" priority="10" stopIfTrue="1">
      <formula>$F$55="超过30%"</formula>
    </cfRule>
  </conditionalFormatting>
  <conditionalFormatting sqref="G53">
    <cfRule type="expression" dxfId="183" priority="9" stopIfTrue="1">
      <formula>$H$55+$H$53="超过30%"</formula>
    </cfRule>
  </conditionalFormatting>
  <conditionalFormatting sqref="G54">
    <cfRule type="expression" dxfId="182" priority="8" stopIfTrue="1">
      <formula>$H$54="超过20%"</formula>
    </cfRule>
  </conditionalFormatting>
  <conditionalFormatting sqref="I53">
    <cfRule type="expression" dxfId="181" priority="7" stopIfTrue="1">
      <formula>$J$53="超过30%"</formula>
    </cfRule>
  </conditionalFormatting>
  <conditionalFormatting sqref="I54">
    <cfRule type="expression" dxfId="180" priority="6" stopIfTrue="1">
      <formula>$J$54="超过20%"</formula>
    </cfRule>
  </conditionalFormatting>
  <conditionalFormatting sqref="I55">
    <cfRule type="expression" dxfId="179" priority="5" stopIfTrue="1">
      <formula>$J$55="超过30%"</formula>
    </cfRule>
  </conditionalFormatting>
  <conditionalFormatting sqref="F49">
    <cfRule type="expression" dxfId="178" priority="4">
      <formula>$D$49="简单平均"</formula>
    </cfRule>
  </conditionalFormatting>
  <conditionalFormatting sqref="H49">
    <cfRule type="expression" dxfId="177" priority="3">
      <formula>$D$49="简单平均"</formula>
    </cfRule>
  </conditionalFormatting>
  <conditionalFormatting sqref="J49">
    <cfRule type="expression" dxfId="176" priority="2">
      <formula>$D$49="简单平均"</formula>
    </cfRule>
  </conditionalFormatting>
  <conditionalFormatting sqref="F9:F47 H9:H47 J9:J47">
    <cfRule type="cellIs" dxfId="175"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2" manualBreakCount="2">
    <brk id="50" max="10" man="1"/>
    <brk id="55" max="13" man="1"/>
  </row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T228"/>
  <sheetViews>
    <sheetView tabSelected="1" workbookViewId="0">
      <pane xSplit="8" ySplit="1" topLeftCell="I2" activePane="bottomRight" state="frozen"/>
      <selection pane="topRight" activeCell="I1" sqref="I1"/>
      <selection pane="bottomLeft" activeCell="A2" sqref="A2"/>
      <selection pane="bottomRight" activeCell="J56" sqref="J56"/>
    </sheetView>
  </sheetViews>
  <sheetFormatPr defaultRowHeight="13.5"/>
  <cols>
    <col min="1" max="1" width="31.375" customWidth="1"/>
    <col min="2" max="7" width="0" hidden="1" customWidth="1"/>
    <col min="8" max="8" width="14" customWidth="1"/>
    <col min="9" max="9" width="23" customWidth="1"/>
    <col min="10" max="11" width="14.875" customWidth="1"/>
    <col min="12" max="12" width="25.375" customWidth="1"/>
    <col min="13" max="26" width="0" hidden="1" customWidth="1"/>
    <col min="27" max="27" width="12" customWidth="1"/>
    <col min="28" max="29" width="0" hidden="1" customWidth="1"/>
    <col min="30" max="30" width="31.125" customWidth="1"/>
    <col min="31" max="32" width="0" hidden="1" customWidth="1"/>
    <col min="33" max="33" width="12.625" customWidth="1"/>
    <col min="34" max="34" width="12.625" hidden="1" customWidth="1"/>
    <col min="35" max="35" width="16.75" customWidth="1"/>
    <col min="36" max="36" width="12.625" hidden="1" customWidth="1"/>
    <col min="37" max="37" width="15.625" customWidth="1"/>
    <col min="38" max="39" width="0" hidden="1" customWidth="1"/>
    <col min="42" max="44" width="0" hidden="1" customWidth="1"/>
  </cols>
  <sheetData>
    <row r="1" spans="1:46">
      <c r="A1" s="3283" t="s">
        <v>3012</v>
      </c>
      <c r="B1" s="3283" t="s">
        <v>3013</v>
      </c>
      <c r="C1" s="3283" t="s">
        <v>3014</v>
      </c>
      <c r="D1" s="3283" t="s">
        <v>3015</v>
      </c>
      <c r="E1" s="3283" t="s">
        <v>3016</v>
      </c>
      <c r="F1" s="3283" t="s">
        <v>3017</v>
      </c>
      <c r="G1" s="3283" t="s">
        <v>3018</v>
      </c>
      <c r="H1" s="3283" t="s">
        <v>3019</v>
      </c>
      <c r="I1" s="3283" t="s">
        <v>3020</v>
      </c>
      <c r="J1" s="3283" t="s">
        <v>3021</v>
      </c>
      <c r="K1" s="3283" t="s">
        <v>3022</v>
      </c>
      <c r="L1" s="3283" t="s">
        <v>2018</v>
      </c>
      <c r="M1" s="3283" t="s">
        <v>3023</v>
      </c>
      <c r="N1" s="3283" t="s">
        <v>3024</v>
      </c>
      <c r="O1" s="3283" t="s">
        <v>3025</v>
      </c>
      <c r="P1" s="3283" t="s">
        <v>3026</v>
      </c>
      <c r="Q1" s="3283" t="s">
        <v>3027</v>
      </c>
      <c r="R1" s="3283" t="s">
        <v>3028</v>
      </c>
      <c r="S1" s="3283" t="s">
        <v>3029</v>
      </c>
      <c r="T1" s="3283" t="s">
        <v>3030</v>
      </c>
      <c r="U1" s="3283" t="s">
        <v>3031</v>
      </c>
      <c r="V1" s="3283" t="s">
        <v>3032</v>
      </c>
      <c r="W1" s="3283" t="s">
        <v>3033</v>
      </c>
      <c r="X1" s="3283" t="s">
        <v>3034</v>
      </c>
      <c r="Y1" s="3283" t="s">
        <v>3035</v>
      </c>
      <c r="Z1" s="3283" t="s">
        <v>3036</v>
      </c>
      <c r="AA1" s="3283" t="s">
        <v>3037</v>
      </c>
      <c r="AB1" s="3283" t="s">
        <v>3038</v>
      </c>
      <c r="AC1" s="3283" t="s">
        <v>3039</v>
      </c>
      <c r="AD1" s="3283" t="s">
        <v>3040</v>
      </c>
      <c r="AE1" s="3283" t="s">
        <v>3041</v>
      </c>
      <c r="AF1" s="3283" t="s">
        <v>3042</v>
      </c>
      <c r="AG1" s="3283" t="s">
        <v>3043</v>
      </c>
      <c r="AH1" s="3283" t="s">
        <v>3044</v>
      </c>
      <c r="AI1" s="3283" t="s">
        <v>3045</v>
      </c>
      <c r="AJ1" s="3283" t="s">
        <v>3046</v>
      </c>
      <c r="AK1" s="3283" t="s">
        <v>3047</v>
      </c>
      <c r="AL1" s="3283" t="s">
        <v>3048</v>
      </c>
      <c r="AM1" s="3283" t="s">
        <v>3049</v>
      </c>
      <c r="AN1" s="3283" t="s">
        <v>3050</v>
      </c>
      <c r="AO1" s="3283" t="s">
        <v>3051</v>
      </c>
      <c r="AP1" s="3283" t="s">
        <v>3052</v>
      </c>
      <c r="AQ1" s="3283" t="s">
        <v>3053</v>
      </c>
      <c r="AR1" s="3283" t="s">
        <v>3054</v>
      </c>
      <c r="AS1" s="3283" t="s">
        <v>3055</v>
      </c>
    </row>
    <row r="2" spans="1:46" ht="14.25">
      <c r="A2" s="3370" t="s">
        <v>3864</v>
      </c>
      <c r="B2" s="3370" t="s">
        <v>3056</v>
      </c>
      <c r="C2" s="3370" t="s">
        <v>3057</v>
      </c>
      <c r="D2" s="3370" t="s">
        <v>3058</v>
      </c>
      <c r="E2" s="3370" t="s">
        <v>2791</v>
      </c>
      <c r="F2" s="3370" t="s">
        <v>3864</v>
      </c>
      <c r="G2" s="3370" t="s">
        <v>3059</v>
      </c>
      <c r="H2" s="3370" t="s">
        <v>3865</v>
      </c>
      <c r="I2" s="3370" t="s">
        <v>3060</v>
      </c>
      <c r="J2" s="3370">
        <v>36091.730000000003</v>
      </c>
      <c r="K2" s="3370">
        <v>54137.599999999999</v>
      </c>
      <c r="L2" s="3370" t="s">
        <v>3413</v>
      </c>
      <c r="M2" s="3370" t="s">
        <v>2791</v>
      </c>
      <c r="N2" s="3370" t="s">
        <v>3061</v>
      </c>
      <c r="O2" s="3370" t="s">
        <v>3080</v>
      </c>
      <c r="P2" s="3370" t="s">
        <v>2791</v>
      </c>
      <c r="Q2" s="3370" t="s">
        <v>2791</v>
      </c>
      <c r="R2" s="3370" t="s">
        <v>2791</v>
      </c>
      <c r="S2" s="3370" t="s">
        <v>2791</v>
      </c>
      <c r="T2" s="3370" t="s">
        <v>2791</v>
      </c>
      <c r="U2" s="3370" t="s">
        <v>2791</v>
      </c>
      <c r="V2" s="3370" t="s">
        <v>2791</v>
      </c>
      <c r="W2" s="3370" t="s">
        <v>3085</v>
      </c>
      <c r="X2" s="3370" t="s">
        <v>3866</v>
      </c>
      <c r="Y2" s="3370" t="s">
        <v>3867</v>
      </c>
      <c r="Z2" s="3370" t="s">
        <v>3867</v>
      </c>
      <c r="AA2" s="3370" t="s">
        <v>3867</v>
      </c>
      <c r="AB2" s="3370" t="s">
        <v>3868</v>
      </c>
      <c r="AC2" s="3370" t="s">
        <v>3088</v>
      </c>
      <c r="AD2" s="3370" t="s">
        <v>3143</v>
      </c>
      <c r="AE2" s="3370">
        <v>4332</v>
      </c>
      <c r="AF2" s="3370">
        <v>21660</v>
      </c>
      <c r="AG2" s="3370">
        <v>27150</v>
      </c>
      <c r="AH2" s="3370">
        <v>400.09</v>
      </c>
      <c r="AI2" s="3370">
        <v>501.5</v>
      </c>
      <c r="AJ2" s="3370">
        <v>4000.91</v>
      </c>
      <c r="AK2" s="3370">
        <v>5015</v>
      </c>
      <c r="AL2" s="3370" t="s">
        <v>2791</v>
      </c>
      <c r="AM2" s="3370" t="s">
        <v>2791</v>
      </c>
      <c r="AN2" s="3370">
        <v>25.35</v>
      </c>
      <c r="AO2" s="3370" t="s">
        <v>3063</v>
      </c>
      <c r="AP2" s="3370" t="s">
        <v>2791</v>
      </c>
      <c r="AQ2" s="3370" t="s">
        <v>2791</v>
      </c>
      <c r="AR2" s="3370" t="s">
        <v>2791</v>
      </c>
      <c r="AS2" s="3370" t="s">
        <v>3064</v>
      </c>
      <c r="AT2" s="3627" t="s">
        <v>11217</v>
      </c>
    </row>
    <row r="3" spans="1:46">
      <c r="A3" s="3370" t="s">
        <v>3864</v>
      </c>
      <c r="B3" s="3370" t="s">
        <v>3056</v>
      </c>
      <c r="C3" s="3370" t="s">
        <v>3057</v>
      </c>
      <c r="D3" s="3370" t="s">
        <v>3058</v>
      </c>
      <c r="E3" s="3370" t="s">
        <v>2791</v>
      </c>
      <c r="F3" s="3370" t="s">
        <v>3864</v>
      </c>
      <c r="G3" s="3370" t="s">
        <v>3059</v>
      </c>
      <c r="H3" s="3370" t="s">
        <v>3869</v>
      </c>
      <c r="I3" s="3370" t="s">
        <v>3060</v>
      </c>
      <c r="J3" s="3370">
        <v>36091.730000000003</v>
      </c>
      <c r="K3" s="3370">
        <v>54137.599999999999</v>
      </c>
      <c r="L3" s="3370" t="s">
        <v>3413</v>
      </c>
      <c r="M3" s="3370" t="s">
        <v>2791</v>
      </c>
      <c r="N3" s="3370" t="s">
        <v>3061</v>
      </c>
      <c r="O3" s="3370" t="s">
        <v>3080</v>
      </c>
      <c r="P3" s="3370" t="s">
        <v>2791</v>
      </c>
      <c r="Q3" s="3370" t="s">
        <v>2791</v>
      </c>
      <c r="R3" s="3370" t="s">
        <v>2791</v>
      </c>
      <c r="S3" s="3370" t="s">
        <v>2791</v>
      </c>
      <c r="T3" s="3370" t="s">
        <v>2791</v>
      </c>
      <c r="U3" s="3370" t="s">
        <v>2791</v>
      </c>
      <c r="V3" s="3370" t="s">
        <v>2791</v>
      </c>
      <c r="W3" s="3370" t="s">
        <v>3085</v>
      </c>
      <c r="X3" s="3370" t="s">
        <v>3866</v>
      </c>
      <c r="Y3" s="3370" t="s">
        <v>3867</v>
      </c>
      <c r="Z3" s="3370" t="s">
        <v>3867</v>
      </c>
      <c r="AA3" s="3370" t="s">
        <v>3867</v>
      </c>
      <c r="AB3" s="3370" t="s">
        <v>3868</v>
      </c>
      <c r="AC3" s="3370" t="s">
        <v>3088</v>
      </c>
      <c r="AD3" s="3370" t="s">
        <v>3143</v>
      </c>
      <c r="AE3" s="3370">
        <v>4332</v>
      </c>
      <c r="AF3" s="3370">
        <v>21660</v>
      </c>
      <c r="AG3" s="3370">
        <v>29750</v>
      </c>
      <c r="AH3" s="3370">
        <v>400.09</v>
      </c>
      <c r="AI3" s="3370">
        <v>549.53</v>
      </c>
      <c r="AJ3" s="3370">
        <v>4000.91</v>
      </c>
      <c r="AK3" s="3370">
        <v>5495.26</v>
      </c>
      <c r="AL3" s="3370" t="s">
        <v>2791</v>
      </c>
      <c r="AM3" s="3370" t="s">
        <v>2791</v>
      </c>
      <c r="AN3" s="3370">
        <v>37.35</v>
      </c>
      <c r="AO3" s="3370" t="s">
        <v>3063</v>
      </c>
      <c r="AP3" s="3370" t="s">
        <v>2791</v>
      </c>
      <c r="AQ3" s="3370" t="s">
        <v>2791</v>
      </c>
      <c r="AR3" s="3370" t="s">
        <v>2791</v>
      </c>
      <c r="AS3" s="3370" t="s">
        <v>3064</v>
      </c>
    </row>
    <row r="4" spans="1:46" s="3554" customFormat="1">
      <c r="A4" s="3555" t="s">
        <v>3870</v>
      </c>
      <c r="B4" s="3555" t="s">
        <v>3056</v>
      </c>
      <c r="C4" s="3555" t="s">
        <v>3057</v>
      </c>
      <c r="D4" s="3555" t="s">
        <v>3058</v>
      </c>
      <c r="E4" s="3555" t="s">
        <v>2791</v>
      </c>
      <c r="F4" s="3555" t="s">
        <v>3870</v>
      </c>
      <c r="G4" s="3555" t="s">
        <v>3059</v>
      </c>
      <c r="H4" s="3555" t="s">
        <v>3871</v>
      </c>
      <c r="I4" s="3555" t="s">
        <v>3060</v>
      </c>
      <c r="J4" s="3555">
        <v>12799.18</v>
      </c>
      <c r="K4" s="3555">
        <v>31997.95</v>
      </c>
      <c r="L4" s="3555" t="s">
        <v>3141</v>
      </c>
      <c r="M4" s="3555" t="s">
        <v>2791</v>
      </c>
      <c r="N4" s="3555" t="s">
        <v>3076</v>
      </c>
      <c r="O4" s="3555" t="s">
        <v>3078</v>
      </c>
      <c r="P4" s="3555" t="s">
        <v>2791</v>
      </c>
      <c r="Q4" s="3555" t="s">
        <v>2791</v>
      </c>
      <c r="R4" s="3555" t="s">
        <v>2791</v>
      </c>
      <c r="S4" s="3555" t="s">
        <v>2791</v>
      </c>
      <c r="T4" s="3555" t="s">
        <v>2791</v>
      </c>
      <c r="U4" s="3555" t="s">
        <v>2791</v>
      </c>
      <c r="V4" s="3555" t="s">
        <v>2791</v>
      </c>
      <c r="W4" s="3555" t="s">
        <v>3085</v>
      </c>
      <c r="X4" s="3555" t="s">
        <v>3866</v>
      </c>
      <c r="Y4" s="3555" t="s">
        <v>3867</v>
      </c>
      <c r="Z4" s="3555" t="s">
        <v>3867</v>
      </c>
      <c r="AA4" s="3555" t="s">
        <v>3867</v>
      </c>
      <c r="AB4" s="3555" t="s">
        <v>3868</v>
      </c>
      <c r="AC4" s="3555" t="s">
        <v>3088</v>
      </c>
      <c r="AD4" s="3555" t="s">
        <v>3872</v>
      </c>
      <c r="AE4" s="3555">
        <v>1602</v>
      </c>
      <c r="AF4" s="3555">
        <v>8010</v>
      </c>
      <c r="AG4" s="3555">
        <v>9000</v>
      </c>
      <c r="AH4" s="3555">
        <v>417.21</v>
      </c>
      <c r="AI4" s="3555">
        <v>468.78</v>
      </c>
      <c r="AJ4" s="3555">
        <v>2503.2800000000002</v>
      </c>
      <c r="AK4" s="3555">
        <v>2812.67</v>
      </c>
      <c r="AL4" s="3555" t="s">
        <v>2791</v>
      </c>
      <c r="AM4" s="3555" t="s">
        <v>2791</v>
      </c>
      <c r="AN4" s="3555">
        <v>12.36</v>
      </c>
      <c r="AO4" s="3555" t="s">
        <v>3063</v>
      </c>
      <c r="AP4" s="3555" t="s">
        <v>2791</v>
      </c>
      <c r="AQ4" s="3555" t="s">
        <v>2791</v>
      </c>
      <c r="AR4" s="3555" t="s">
        <v>2791</v>
      </c>
      <c r="AS4" s="3555" t="s">
        <v>3064</v>
      </c>
      <c r="AT4" s="3558" t="s">
        <v>3965</v>
      </c>
    </row>
    <row r="5" spans="1:46">
      <c r="A5" s="3370" t="s">
        <v>3864</v>
      </c>
      <c r="B5" s="3370" t="s">
        <v>3056</v>
      </c>
      <c r="C5" s="3370" t="s">
        <v>3057</v>
      </c>
      <c r="D5" s="3370" t="s">
        <v>3058</v>
      </c>
      <c r="E5" s="3370" t="s">
        <v>2791</v>
      </c>
      <c r="F5" s="3370" t="s">
        <v>3864</v>
      </c>
      <c r="G5" s="3370" t="s">
        <v>3059</v>
      </c>
      <c r="H5" s="3370" t="s">
        <v>3873</v>
      </c>
      <c r="I5" s="3370" t="s">
        <v>3060</v>
      </c>
      <c r="J5" s="3370">
        <v>66297.86</v>
      </c>
      <c r="K5" s="3370">
        <v>99446.79</v>
      </c>
      <c r="L5" s="3370" t="s">
        <v>3413</v>
      </c>
      <c r="M5" s="3370" t="s">
        <v>2791</v>
      </c>
      <c r="N5" s="3370" t="s">
        <v>3874</v>
      </c>
      <c r="O5" s="3370" t="s">
        <v>3875</v>
      </c>
      <c r="P5" s="3370" t="s">
        <v>2791</v>
      </c>
      <c r="Q5" s="3370" t="s">
        <v>2791</v>
      </c>
      <c r="R5" s="3370" t="s">
        <v>2791</v>
      </c>
      <c r="S5" s="3370" t="s">
        <v>2791</v>
      </c>
      <c r="T5" s="3370" t="s">
        <v>2791</v>
      </c>
      <c r="U5" s="3370" t="s">
        <v>2791</v>
      </c>
      <c r="V5" s="3370" t="s">
        <v>2791</v>
      </c>
      <c r="W5" s="3370" t="s">
        <v>3085</v>
      </c>
      <c r="X5" s="3370" t="s">
        <v>3866</v>
      </c>
      <c r="Y5" s="3370" t="s">
        <v>3867</v>
      </c>
      <c r="Z5" s="3370" t="s">
        <v>3867</v>
      </c>
      <c r="AA5" s="3370" t="s">
        <v>3867</v>
      </c>
      <c r="AB5" s="3370" t="s">
        <v>3868</v>
      </c>
      <c r="AC5" s="3370" t="s">
        <v>3088</v>
      </c>
      <c r="AD5" s="3370" t="s">
        <v>3143</v>
      </c>
      <c r="AE5" s="3370">
        <v>7958</v>
      </c>
      <c r="AF5" s="3370">
        <v>39790</v>
      </c>
      <c r="AG5" s="3370">
        <v>47400</v>
      </c>
      <c r="AH5" s="3370">
        <v>400.11</v>
      </c>
      <c r="AI5" s="3370">
        <v>476.64</v>
      </c>
      <c r="AJ5" s="3370">
        <v>4001.13</v>
      </c>
      <c r="AK5" s="3370">
        <v>4766.3599999999997</v>
      </c>
      <c r="AL5" s="3370" t="s">
        <v>2791</v>
      </c>
      <c r="AM5" s="3370" t="s">
        <v>2791</v>
      </c>
      <c r="AN5" s="3370">
        <v>19.13</v>
      </c>
      <c r="AO5" s="3370" t="s">
        <v>3063</v>
      </c>
      <c r="AP5" s="3370" t="s">
        <v>2791</v>
      </c>
      <c r="AQ5" s="3370" t="s">
        <v>2791</v>
      </c>
      <c r="AR5" s="3370" t="s">
        <v>2791</v>
      </c>
      <c r="AS5" s="3370" t="s">
        <v>3064</v>
      </c>
    </row>
    <row r="6" spans="1:46" s="3340" customFormat="1" hidden="1">
      <c r="A6" s="3339" t="s">
        <v>3090</v>
      </c>
      <c r="B6" s="3339" t="s">
        <v>3056</v>
      </c>
      <c r="C6" s="3339" t="s">
        <v>3057</v>
      </c>
      <c r="D6" s="3339" t="s">
        <v>3058</v>
      </c>
      <c r="E6" s="3339" t="s">
        <v>2791</v>
      </c>
      <c r="F6" s="3339" t="s">
        <v>3090</v>
      </c>
      <c r="G6" s="3339" t="s">
        <v>3059</v>
      </c>
      <c r="H6" s="3339" t="s">
        <v>3876</v>
      </c>
      <c r="I6" s="3339" t="s">
        <v>3060</v>
      </c>
      <c r="J6" s="3339">
        <v>49523.06</v>
      </c>
      <c r="K6" s="3339">
        <v>74284.59</v>
      </c>
      <c r="L6" s="3339" t="s">
        <v>3092</v>
      </c>
      <c r="M6" s="3339" t="s">
        <v>2791</v>
      </c>
      <c r="N6" s="3339" t="s">
        <v>3071</v>
      </c>
      <c r="O6" s="3339" t="s">
        <v>3072</v>
      </c>
      <c r="P6" s="3339" t="s">
        <v>2791</v>
      </c>
      <c r="Q6" s="3339" t="s">
        <v>2791</v>
      </c>
      <c r="R6" s="3339" t="s">
        <v>2791</v>
      </c>
      <c r="S6" s="3339" t="s">
        <v>2791</v>
      </c>
      <c r="T6" s="3339" t="s">
        <v>2791</v>
      </c>
      <c r="U6" s="3339" t="s">
        <v>2791</v>
      </c>
      <c r="V6" s="3339" t="s">
        <v>2791</v>
      </c>
      <c r="W6" s="3339" t="s">
        <v>3085</v>
      </c>
      <c r="X6" s="3339" t="s">
        <v>3877</v>
      </c>
      <c r="Y6" s="3339" t="s">
        <v>3878</v>
      </c>
      <c r="Z6" s="3339" t="s">
        <v>3878</v>
      </c>
      <c r="AA6" s="3339" t="s">
        <v>3878</v>
      </c>
      <c r="AB6" s="3339" t="s">
        <v>3879</v>
      </c>
      <c r="AC6" s="3339" t="s">
        <v>3088</v>
      </c>
      <c r="AD6" s="3339" t="s">
        <v>3094</v>
      </c>
      <c r="AE6" s="3339">
        <v>14857</v>
      </c>
      <c r="AF6" s="3339">
        <v>14857</v>
      </c>
      <c r="AG6" s="3339">
        <v>14857</v>
      </c>
      <c r="AH6" s="3339">
        <v>200</v>
      </c>
      <c r="AI6" s="3339">
        <v>200</v>
      </c>
      <c r="AJ6" s="3339">
        <v>2000.01</v>
      </c>
      <c r="AK6" s="3339">
        <v>2000</v>
      </c>
      <c r="AL6" s="3339" t="s">
        <v>2791</v>
      </c>
      <c r="AM6" s="3339" t="s">
        <v>2791</v>
      </c>
      <c r="AN6" s="3339">
        <v>0</v>
      </c>
      <c r="AO6" s="3339" t="s">
        <v>3063</v>
      </c>
      <c r="AP6" s="3339" t="s">
        <v>2791</v>
      </c>
      <c r="AQ6" s="3339" t="s">
        <v>2791</v>
      </c>
      <c r="AR6" s="3339" t="s">
        <v>2791</v>
      </c>
      <c r="AS6" s="3339" t="s">
        <v>3064</v>
      </c>
    </row>
    <row r="7" spans="1:46" s="3340" customFormat="1" hidden="1">
      <c r="A7" s="3339" t="s">
        <v>3171</v>
      </c>
      <c r="B7" s="3339" t="s">
        <v>3056</v>
      </c>
      <c r="C7" s="3339" t="s">
        <v>3057</v>
      </c>
      <c r="D7" s="3339" t="s">
        <v>3058</v>
      </c>
      <c r="E7" s="3339" t="s">
        <v>2791</v>
      </c>
      <c r="F7" s="3339" t="s">
        <v>3171</v>
      </c>
      <c r="G7" s="3339" t="s">
        <v>3059</v>
      </c>
      <c r="H7" s="3339" t="s">
        <v>3880</v>
      </c>
      <c r="I7" s="3339" t="s">
        <v>3060</v>
      </c>
      <c r="J7" s="3339">
        <v>48628.08</v>
      </c>
      <c r="K7" s="3339">
        <v>72942.12</v>
      </c>
      <c r="L7" s="3339" t="s">
        <v>3092</v>
      </c>
      <c r="M7" s="3339" t="s">
        <v>2791</v>
      </c>
      <c r="N7" s="3339" t="s">
        <v>3071</v>
      </c>
      <c r="O7" s="3339" t="s">
        <v>3073</v>
      </c>
      <c r="P7" s="3339" t="s">
        <v>2791</v>
      </c>
      <c r="Q7" s="3339" t="s">
        <v>2791</v>
      </c>
      <c r="R7" s="3339" t="s">
        <v>2791</v>
      </c>
      <c r="S7" s="3339" t="s">
        <v>2791</v>
      </c>
      <c r="T7" s="3339" t="s">
        <v>2791</v>
      </c>
      <c r="U7" s="3339" t="s">
        <v>2791</v>
      </c>
      <c r="V7" s="3339" t="s">
        <v>2791</v>
      </c>
      <c r="W7" s="3339" t="s">
        <v>3085</v>
      </c>
      <c r="X7" s="3339" t="s">
        <v>3877</v>
      </c>
      <c r="Y7" s="3339" t="s">
        <v>3878</v>
      </c>
      <c r="Z7" s="3339" t="s">
        <v>3878</v>
      </c>
      <c r="AA7" s="3339" t="s">
        <v>3878</v>
      </c>
      <c r="AB7" s="3339" t="s">
        <v>3879</v>
      </c>
      <c r="AC7" s="3339" t="s">
        <v>3088</v>
      </c>
      <c r="AD7" s="3339" t="s">
        <v>3881</v>
      </c>
      <c r="AE7" s="3339">
        <v>14589</v>
      </c>
      <c r="AF7" s="3339">
        <v>14589</v>
      </c>
      <c r="AG7" s="3339">
        <v>14589</v>
      </c>
      <c r="AH7" s="3339">
        <v>200.01</v>
      </c>
      <c r="AI7" s="3339">
        <v>200.01</v>
      </c>
      <c r="AJ7" s="3339">
        <v>2000.07</v>
      </c>
      <c r="AK7" s="3339">
        <v>2000.07</v>
      </c>
      <c r="AL7" s="3339" t="s">
        <v>2791</v>
      </c>
      <c r="AM7" s="3339" t="s">
        <v>2791</v>
      </c>
      <c r="AN7" s="3339">
        <v>0</v>
      </c>
      <c r="AO7" s="3339" t="s">
        <v>3063</v>
      </c>
      <c r="AP7" s="3339" t="s">
        <v>2791</v>
      </c>
      <c r="AQ7" s="3339" t="s">
        <v>2791</v>
      </c>
      <c r="AR7" s="3339" t="s">
        <v>2791</v>
      </c>
      <c r="AS7" s="3339" t="s">
        <v>3064</v>
      </c>
    </row>
    <row r="8" spans="1:46" s="3340" customFormat="1" hidden="1">
      <c r="A8" s="3339" t="s">
        <v>3171</v>
      </c>
      <c r="B8" s="3339" t="s">
        <v>3056</v>
      </c>
      <c r="C8" s="3339" t="s">
        <v>3057</v>
      </c>
      <c r="D8" s="3339" t="s">
        <v>3058</v>
      </c>
      <c r="E8" s="3339" t="s">
        <v>2791</v>
      </c>
      <c r="F8" s="3339" t="s">
        <v>3171</v>
      </c>
      <c r="G8" s="3339" t="s">
        <v>3059</v>
      </c>
      <c r="H8" s="3339" t="s">
        <v>3882</v>
      </c>
      <c r="I8" s="3339" t="s">
        <v>3060</v>
      </c>
      <c r="J8" s="3339">
        <v>51840</v>
      </c>
      <c r="K8" s="3339">
        <v>77760</v>
      </c>
      <c r="L8" s="3339" t="s">
        <v>3092</v>
      </c>
      <c r="M8" s="3339" t="s">
        <v>2791</v>
      </c>
      <c r="N8" s="3339" t="s">
        <v>3071</v>
      </c>
      <c r="O8" s="3339" t="s">
        <v>3073</v>
      </c>
      <c r="P8" s="3339" t="s">
        <v>2791</v>
      </c>
      <c r="Q8" s="3339" t="s">
        <v>2791</v>
      </c>
      <c r="R8" s="3339" t="s">
        <v>2791</v>
      </c>
      <c r="S8" s="3339" t="s">
        <v>2791</v>
      </c>
      <c r="T8" s="3339" t="s">
        <v>2791</v>
      </c>
      <c r="U8" s="3339" t="s">
        <v>2791</v>
      </c>
      <c r="V8" s="3339" t="s">
        <v>2791</v>
      </c>
      <c r="W8" s="3339" t="s">
        <v>3085</v>
      </c>
      <c r="X8" s="3339" t="s">
        <v>3877</v>
      </c>
      <c r="Y8" s="3339" t="s">
        <v>3878</v>
      </c>
      <c r="Z8" s="3339" t="s">
        <v>3878</v>
      </c>
      <c r="AA8" s="3339" t="s">
        <v>3878</v>
      </c>
      <c r="AB8" s="3339" t="s">
        <v>3879</v>
      </c>
      <c r="AC8" s="3339" t="s">
        <v>3088</v>
      </c>
      <c r="AD8" s="3339" t="s">
        <v>3881</v>
      </c>
      <c r="AE8" s="3339">
        <v>15552</v>
      </c>
      <c r="AF8" s="3339">
        <v>15552</v>
      </c>
      <c r="AG8" s="3339">
        <v>15552</v>
      </c>
      <c r="AH8" s="3339">
        <v>200</v>
      </c>
      <c r="AI8" s="3339">
        <v>200</v>
      </c>
      <c r="AJ8" s="3339">
        <v>2000</v>
      </c>
      <c r="AK8" s="3339">
        <v>2000</v>
      </c>
      <c r="AL8" s="3339" t="s">
        <v>2791</v>
      </c>
      <c r="AM8" s="3339" t="s">
        <v>2791</v>
      </c>
      <c r="AN8" s="3339">
        <v>0</v>
      </c>
      <c r="AO8" s="3339" t="s">
        <v>3063</v>
      </c>
      <c r="AP8" s="3339" t="s">
        <v>2791</v>
      </c>
      <c r="AQ8" s="3339" t="s">
        <v>2791</v>
      </c>
      <c r="AR8" s="3339" t="s">
        <v>2791</v>
      </c>
      <c r="AS8" s="3339" t="s">
        <v>3064</v>
      </c>
    </row>
    <row r="9" spans="1:46" s="3340" customFormat="1" hidden="1">
      <c r="A9" s="3339" t="s">
        <v>3171</v>
      </c>
      <c r="B9" s="3339" t="s">
        <v>3056</v>
      </c>
      <c r="C9" s="3339" t="s">
        <v>3057</v>
      </c>
      <c r="D9" s="3339" t="s">
        <v>3058</v>
      </c>
      <c r="E9" s="3339" t="s">
        <v>2791</v>
      </c>
      <c r="F9" s="3339" t="s">
        <v>3171</v>
      </c>
      <c r="G9" s="3339" t="s">
        <v>3059</v>
      </c>
      <c r="H9" s="3339" t="s">
        <v>3883</v>
      </c>
      <c r="I9" s="3339" t="s">
        <v>3060</v>
      </c>
      <c r="J9" s="3339">
        <v>51182.5</v>
      </c>
      <c r="K9" s="3339">
        <v>76773.75</v>
      </c>
      <c r="L9" s="3339" t="s">
        <v>3092</v>
      </c>
      <c r="M9" s="3339" t="s">
        <v>2791</v>
      </c>
      <c r="N9" s="3339" t="s">
        <v>3071</v>
      </c>
      <c r="O9" s="3339" t="s">
        <v>3072</v>
      </c>
      <c r="P9" s="3339" t="s">
        <v>2791</v>
      </c>
      <c r="Q9" s="3339" t="s">
        <v>2791</v>
      </c>
      <c r="R9" s="3339" t="s">
        <v>2791</v>
      </c>
      <c r="S9" s="3339" t="s">
        <v>2791</v>
      </c>
      <c r="T9" s="3339" t="s">
        <v>2791</v>
      </c>
      <c r="U9" s="3339" t="s">
        <v>2791</v>
      </c>
      <c r="V9" s="3339" t="s">
        <v>2791</v>
      </c>
      <c r="W9" s="3339" t="s">
        <v>3085</v>
      </c>
      <c r="X9" s="3339" t="s">
        <v>3877</v>
      </c>
      <c r="Y9" s="3339" t="s">
        <v>3878</v>
      </c>
      <c r="Z9" s="3339" t="s">
        <v>3878</v>
      </c>
      <c r="AA9" s="3339" t="s">
        <v>3878</v>
      </c>
      <c r="AB9" s="3339" t="s">
        <v>3879</v>
      </c>
      <c r="AC9" s="3339" t="s">
        <v>3088</v>
      </c>
      <c r="AD9" s="3339" t="s">
        <v>3881</v>
      </c>
      <c r="AE9" s="3339">
        <v>15355</v>
      </c>
      <c r="AF9" s="3339">
        <v>15355</v>
      </c>
      <c r="AG9" s="3339">
        <v>15355</v>
      </c>
      <c r="AH9" s="3339">
        <v>200</v>
      </c>
      <c r="AI9" s="3339">
        <v>200</v>
      </c>
      <c r="AJ9" s="3339">
        <v>2000.03</v>
      </c>
      <c r="AK9" s="3339">
        <v>2000.02</v>
      </c>
      <c r="AL9" s="3339" t="s">
        <v>2791</v>
      </c>
      <c r="AM9" s="3339" t="s">
        <v>2791</v>
      </c>
      <c r="AN9" s="3339">
        <v>0</v>
      </c>
      <c r="AO9" s="3339" t="s">
        <v>3063</v>
      </c>
      <c r="AP9" s="3339" t="s">
        <v>2791</v>
      </c>
      <c r="AQ9" s="3339" t="s">
        <v>2791</v>
      </c>
      <c r="AR9" s="3339" t="s">
        <v>2791</v>
      </c>
      <c r="AS9" s="3339" t="s">
        <v>3064</v>
      </c>
    </row>
    <row r="10" spans="1:46" s="3336" customFormat="1">
      <c r="A10" s="3335" t="s">
        <v>3884</v>
      </c>
      <c r="B10" s="3335" t="s">
        <v>3056</v>
      </c>
      <c r="C10" s="3335" t="s">
        <v>3057</v>
      </c>
      <c r="D10" s="3335" t="s">
        <v>3058</v>
      </c>
      <c r="E10" s="3335" t="s">
        <v>2791</v>
      </c>
      <c r="F10" s="3335" t="s">
        <v>3884</v>
      </c>
      <c r="G10" s="3335" t="s">
        <v>3059</v>
      </c>
      <c r="H10" s="3335" t="s">
        <v>3885</v>
      </c>
      <c r="I10" s="3335" t="s">
        <v>3060</v>
      </c>
      <c r="J10" s="3335">
        <v>47487.12</v>
      </c>
      <c r="K10" s="3335">
        <v>109220.38</v>
      </c>
      <c r="L10" s="3335" t="s">
        <v>3886</v>
      </c>
      <c r="M10" s="3335" t="s">
        <v>2791</v>
      </c>
      <c r="N10" s="3335" t="s">
        <v>3108</v>
      </c>
      <c r="O10" s="3335" t="s">
        <v>3078</v>
      </c>
      <c r="P10" s="3335" t="s">
        <v>2791</v>
      </c>
      <c r="Q10" s="3335" t="s">
        <v>2791</v>
      </c>
      <c r="R10" s="3335" t="s">
        <v>2791</v>
      </c>
      <c r="S10" s="3335" t="s">
        <v>2791</v>
      </c>
      <c r="T10" s="3335" t="s">
        <v>2791</v>
      </c>
      <c r="U10" s="3335" t="s">
        <v>2791</v>
      </c>
      <c r="V10" s="3335" t="s">
        <v>2791</v>
      </c>
      <c r="W10" s="3335" t="s">
        <v>3085</v>
      </c>
      <c r="X10" s="3335" t="s">
        <v>3887</v>
      </c>
      <c r="Y10" s="3335" t="s">
        <v>3888</v>
      </c>
      <c r="Z10" s="3335" t="s">
        <v>3888</v>
      </c>
      <c r="AA10" s="3335" t="s">
        <v>3888</v>
      </c>
      <c r="AB10" s="3335" t="s">
        <v>3889</v>
      </c>
      <c r="AC10" s="3335" t="s">
        <v>3088</v>
      </c>
      <c r="AD10" s="3630" t="s">
        <v>3958</v>
      </c>
      <c r="AE10" s="3335">
        <v>3506</v>
      </c>
      <c r="AF10" s="3335">
        <v>17530</v>
      </c>
      <c r="AG10" s="3335">
        <v>17530</v>
      </c>
      <c r="AH10" s="3335">
        <v>246.1</v>
      </c>
      <c r="AI10" s="3335">
        <v>246.1</v>
      </c>
      <c r="AJ10" s="3335">
        <v>1605.01</v>
      </c>
      <c r="AK10" s="3335">
        <v>1605</v>
      </c>
      <c r="AL10" s="3335" t="s">
        <v>2791</v>
      </c>
      <c r="AM10" s="3335" t="s">
        <v>2791</v>
      </c>
      <c r="AN10" s="3335">
        <v>0</v>
      </c>
      <c r="AO10" s="3335" t="s">
        <v>3063</v>
      </c>
      <c r="AP10" s="3335" t="s">
        <v>2791</v>
      </c>
      <c r="AQ10" s="3335" t="s">
        <v>2791</v>
      </c>
      <c r="AR10" s="3335" t="s">
        <v>2791</v>
      </c>
      <c r="AS10" s="3335" t="s">
        <v>3064</v>
      </c>
      <c r="AT10" s="3335" t="s">
        <v>11218</v>
      </c>
    </row>
    <row r="11" spans="1:46">
      <c r="A11" s="3370" t="s">
        <v>3884</v>
      </c>
      <c r="B11" s="3370" t="s">
        <v>3056</v>
      </c>
      <c r="C11" s="3370" t="s">
        <v>3057</v>
      </c>
      <c r="D11" s="3370" t="s">
        <v>3058</v>
      </c>
      <c r="E11" s="3370" t="s">
        <v>2791</v>
      </c>
      <c r="F11" s="3370" t="s">
        <v>3884</v>
      </c>
      <c r="G11" s="3370" t="s">
        <v>3059</v>
      </c>
      <c r="H11" s="3370" t="s">
        <v>3891</v>
      </c>
      <c r="I11" s="3370" t="s">
        <v>3060</v>
      </c>
      <c r="J11" s="3370">
        <v>68629.990000000005</v>
      </c>
      <c r="K11" s="3370">
        <v>157848.98000000001</v>
      </c>
      <c r="L11" s="3370" t="s">
        <v>3886</v>
      </c>
      <c r="M11" s="3370" t="s">
        <v>2791</v>
      </c>
      <c r="N11" s="3370" t="s">
        <v>3108</v>
      </c>
      <c r="O11" s="3370" t="s">
        <v>3078</v>
      </c>
      <c r="P11" s="3370" t="s">
        <v>2791</v>
      </c>
      <c r="Q11" s="3370" t="s">
        <v>2791</v>
      </c>
      <c r="R11" s="3370" t="s">
        <v>2791</v>
      </c>
      <c r="S11" s="3370" t="s">
        <v>2791</v>
      </c>
      <c r="T11" s="3370" t="s">
        <v>2791</v>
      </c>
      <c r="U11" s="3370" t="s">
        <v>2791</v>
      </c>
      <c r="V11" s="3370" t="s">
        <v>2791</v>
      </c>
      <c r="W11" s="3370" t="s">
        <v>3085</v>
      </c>
      <c r="X11" s="3370" t="s">
        <v>3887</v>
      </c>
      <c r="Y11" s="3370" t="s">
        <v>3888</v>
      </c>
      <c r="Z11" s="3370" t="s">
        <v>3888</v>
      </c>
      <c r="AA11" s="3370" t="s">
        <v>3888</v>
      </c>
      <c r="AB11" s="3370" t="s">
        <v>3889</v>
      </c>
      <c r="AC11" s="3370" t="s">
        <v>3088</v>
      </c>
      <c r="AD11" s="3370" t="s">
        <v>3890</v>
      </c>
      <c r="AE11" s="3370">
        <v>5066</v>
      </c>
      <c r="AF11" s="3370">
        <v>25330</v>
      </c>
      <c r="AG11" s="3370">
        <v>25330</v>
      </c>
      <c r="AH11" s="3370">
        <v>246.05</v>
      </c>
      <c r="AI11" s="3370">
        <v>246.05</v>
      </c>
      <c r="AJ11" s="3370">
        <v>1604.69</v>
      </c>
      <c r="AK11" s="3370">
        <v>1604.7</v>
      </c>
      <c r="AL11" s="3370" t="s">
        <v>2791</v>
      </c>
      <c r="AM11" s="3370" t="s">
        <v>2791</v>
      </c>
      <c r="AN11" s="3370">
        <v>0</v>
      </c>
      <c r="AO11" s="3370" t="s">
        <v>3063</v>
      </c>
      <c r="AP11" s="3370" t="s">
        <v>2791</v>
      </c>
      <c r="AQ11" s="3370" t="s">
        <v>2791</v>
      </c>
      <c r="AR11" s="3370" t="s">
        <v>2791</v>
      </c>
      <c r="AS11" s="3370" t="s">
        <v>3064</v>
      </c>
    </row>
    <row r="12" spans="1:46" s="3340" customFormat="1" hidden="1">
      <c r="A12" s="3339" t="s">
        <v>3892</v>
      </c>
      <c r="B12" s="3339" t="s">
        <v>3056</v>
      </c>
      <c r="C12" s="3339" t="s">
        <v>3057</v>
      </c>
      <c r="D12" s="3339" t="s">
        <v>3058</v>
      </c>
      <c r="E12" s="3339" t="s">
        <v>2791</v>
      </c>
      <c r="F12" s="3339" t="s">
        <v>3892</v>
      </c>
      <c r="G12" s="3339" t="s">
        <v>3059</v>
      </c>
      <c r="H12" s="3339" t="s">
        <v>3893</v>
      </c>
      <c r="I12" s="3339" t="s">
        <v>3060</v>
      </c>
      <c r="J12" s="3339">
        <v>61469.63</v>
      </c>
      <c r="K12" s="3339">
        <v>122939.26</v>
      </c>
      <c r="L12" s="3339" t="s">
        <v>3485</v>
      </c>
      <c r="M12" s="3339" t="s">
        <v>2791</v>
      </c>
      <c r="N12" s="3339" t="s">
        <v>3894</v>
      </c>
      <c r="O12" s="3339" t="s">
        <v>3895</v>
      </c>
      <c r="P12" s="3339" t="s">
        <v>2791</v>
      </c>
      <c r="Q12" s="3339" t="s">
        <v>2791</v>
      </c>
      <c r="R12" s="3339" t="s">
        <v>2791</v>
      </c>
      <c r="S12" s="3339" t="s">
        <v>2791</v>
      </c>
      <c r="T12" s="3339" t="s">
        <v>2791</v>
      </c>
      <c r="U12" s="3339" t="s">
        <v>2791</v>
      </c>
      <c r="V12" s="3339" t="s">
        <v>2791</v>
      </c>
      <c r="W12" s="3339" t="s">
        <v>3085</v>
      </c>
      <c r="X12" s="3339" t="s">
        <v>3896</v>
      </c>
      <c r="Y12" s="3339" t="s">
        <v>3897</v>
      </c>
      <c r="Z12" s="3339" t="s">
        <v>3897</v>
      </c>
      <c r="AA12" s="3339" t="s">
        <v>3897</v>
      </c>
      <c r="AB12" s="3339" t="s">
        <v>3898</v>
      </c>
      <c r="AC12" s="3339" t="s">
        <v>3088</v>
      </c>
      <c r="AD12" s="3339" t="s">
        <v>3899</v>
      </c>
      <c r="AE12" s="3339">
        <v>11065</v>
      </c>
      <c r="AF12" s="3339">
        <v>11065</v>
      </c>
      <c r="AG12" s="3339">
        <v>12100</v>
      </c>
      <c r="AH12" s="3339">
        <v>120.01</v>
      </c>
      <c r="AI12" s="3339">
        <v>131.22999999999999</v>
      </c>
      <c r="AJ12" s="3339">
        <v>900.03</v>
      </c>
      <c r="AK12" s="3339">
        <v>984.23</v>
      </c>
      <c r="AL12" s="3339" t="s">
        <v>2791</v>
      </c>
      <c r="AM12" s="3339" t="s">
        <v>2791</v>
      </c>
      <c r="AN12" s="3339">
        <v>9.35</v>
      </c>
      <c r="AO12" s="3339" t="s">
        <v>3063</v>
      </c>
      <c r="AP12" s="3339" t="s">
        <v>2791</v>
      </c>
      <c r="AQ12" s="3339" t="s">
        <v>2791</v>
      </c>
      <c r="AR12" s="3339" t="s">
        <v>2791</v>
      </c>
      <c r="AS12" s="3339" t="s">
        <v>3081</v>
      </c>
    </row>
    <row r="13" spans="1:46" s="3340" customFormat="1" hidden="1">
      <c r="A13" s="3339" t="s">
        <v>3900</v>
      </c>
      <c r="B13" s="3339" t="s">
        <v>3056</v>
      </c>
      <c r="C13" s="3339" t="s">
        <v>3057</v>
      </c>
      <c r="D13" s="3339" t="s">
        <v>3058</v>
      </c>
      <c r="E13" s="3339" t="s">
        <v>2791</v>
      </c>
      <c r="F13" s="3339" t="s">
        <v>3900</v>
      </c>
      <c r="G13" s="3339" t="s">
        <v>3059</v>
      </c>
      <c r="H13" s="3339" t="s">
        <v>3901</v>
      </c>
      <c r="I13" s="3339" t="s">
        <v>3060</v>
      </c>
      <c r="J13" s="3339">
        <v>51466.1</v>
      </c>
      <c r="K13" s="3339">
        <v>128665.25</v>
      </c>
      <c r="L13" s="3339" t="s">
        <v>3902</v>
      </c>
      <c r="M13" s="3339" t="s">
        <v>2791</v>
      </c>
      <c r="N13" s="3339" t="s">
        <v>3061</v>
      </c>
      <c r="O13" s="3339" t="s">
        <v>3062</v>
      </c>
      <c r="P13" s="3339" t="s">
        <v>2791</v>
      </c>
      <c r="Q13" s="3339" t="s">
        <v>2791</v>
      </c>
      <c r="R13" s="3339" t="s">
        <v>2791</v>
      </c>
      <c r="S13" s="3339" t="s">
        <v>2791</v>
      </c>
      <c r="T13" s="3339" t="s">
        <v>2791</v>
      </c>
      <c r="U13" s="3339" t="s">
        <v>2791</v>
      </c>
      <c r="V13" s="3339" t="s">
        <v>2791</v>
      </c>
      <c r="W13" s="3339" t="s">
        <v>3085</v>
      </c>
      <c r="X13" s="3339" t="s">
        <v>3903</v>
      </c>
      <c r="Y13" s="3339" t="s">
        <v>3904</v>
      </c>
      <c r="Z13" s="3339" t="s">
        <v>3904</v>
      </c>
      <c r="AA13" s="3339" t="s">
        <v>3904</v>
      </c>
      <c r="AB13" s="3339" t="s">
        <v>3905</v>
      </c>
      <c r="AC13" s="3339" t="s">
        <v>3088</v>
      </c>
      <c r="AD13" s="3339" t="s">
        <v>3906</v>
      </c>
      <c r="AE13" s="3339">
        <v>18015</v>
      </c>
      <c r="AF13" s="3339">
        <v>36030</v>
      </c>
      <c r="AG13" s="3339">
        <v>36030</v>
      </c>
      <c r="AH13" s="3339">
        <v>466.71</v>
      </c>
      <c r="AI13" s="3339">
        <v>466.71</v>
      </c>
      <c r="AJ13" s="3339">
        <v>2800.28</v>
      </c>
      <c r="AK13" s="3339">
        <v>2800.28</v>
      </c>
      <c r="AL13" s="3339" t="s">
        <v>2791</v>
      </c>
      <c r="AM13" s="3339" t="s">
        <v>2791</v>
      </c>
      <c r="AN13" s="3339">
        <v>0</v>
      </c>
      <c r="AO13" s="3339" t="s">
        <v>3063</v>
      </c>
      <c r="AP13" s="3339" t="s">
        <v>2791</v>
      </c>
      <c r="AQ13" s="3339" t="s">
        <v>2791</v>
      </c>
      <c r="AR13" s="3339" t="s">
        <v>2791</v>
      </c>
      <c r="AS13" s="3339" t="s">
        <v>3064</v>
      </c>
    </row>
    <row r="14" spans="1:46" s="3340" customFormat="1" hidden="1">
      <c r="A14" s="3339" t="s">
        <v>3907</v>
      </c>
      <c r="B14" s="3339" t="s">
        <v>3056</v>
      </c>
      <c r="C14" s="3339" t="s">
        <v>3057</v>
      </c>
      <c r="D14" s="3339" t="s">
        <v>3058</v>
      </c>
      <c r="E14" s="3339" t="s">
        <v>2791</v>
      </c>
      <c r="F14" s="3339" t="s">
        <v>3907</v>
      </c>
      <c r="G14" s="3339" t="s">
        <v>3059</v>
      </c>
      <c r="H14" s="3339" t="s">
        <v>3908</v>
      </c>
      <c r="I14" s="3339" t="s">
        <v>3060</v>
      </c>
      <c r="J14" s="3339">
        <v>37607.370000000003</v>
      </c>
      <c r="K14" s="3339">
        <v>94018.43</v>
      </c>
      <c r="L14" s="3339" t="s">
        <v>3902</v>
      </c>
      <c r="M14" s="3339" t="s">
        <v>2791</v>
      </c>
      <c r="N14" s="3339" t="s">
        <v>3061</v>
      </c>
      <c r="O14" s="3339" t="s">
        <v>3062</v>
      </c>
      <c r="P14" s="3339" t="s">
        <v>2791</v>
      </c>
      <c r="Q14" s="3339" t="s">
        <v>2791</v>
      </c>
      <c r="R14" s="3339" t="s">
        <v>2791</v>
      </c>
      <c r="S14" s="3339" t="s">
        <v>2791</v>
      </c>
      <c r="T14" s="3339" t="s">
        <v>2791</v>
      </c>
      <c r="U14" s="3339" t="s">
        <v>2791</v>
      </c>
      <c r="V14" s="3339" t="s">
        <v>2791</v>
      </c>
      <c r="W14" s="3339" t="s">
        <v>3085</v>
      </c>
      <c r="X14" s="3339" t="s">
        <v>3909</v>
      </c>
      <c r="Y14" s="3339" t="s">
        <v>3877</v>
      </c>
      <c r="Z14" s="3339" t="s">
        <v>3877</v>
      </c>
      <c r="AA14" s="3339" t="s">
        <v>3877</v>
      </c>
      <c r="AB14" s="3339" t="s">
        <v>3910</v>
      </c>
      <c r="AC14" s="3339" t="s">
        <v>3088</v>
      </c>
      <c r="AD14" s="3339" t="s">
        <v>3906</v>
      </c>
      <c r="AE14" s="3339">
        <v>13165</v>
      </c>
      <c r="AF14" s="3339">
        <v>26330</v>
      </c>
      <c r="AG14" s="3339">
        <v>26330</v>
      </c>
      <c r="AH14" s="3339">
        <v>466.75</v>
      </c>
      <c r="AI14" s="3339">
        <v>466.75</v>
      </c>
      <c r="AJ14" s="3339">
        <v>2800.51</v>
      </c>
      <c r="AK14" s="3339">
        <v>2800.51</v>
      </c>
      <c r="AL14" s="3339" t="s">
        <v>2791</v>
      </c>
      <c r="AM14" s="3339" t="s">
        <v>2791</v>
      </c>
      <c r="AN14" s="3339">
        <v>0</v>
      </c>
      <c r="AO14" s="3339" t="s">
        <v>3063</v>
      </c>
      <c r="AP14" s="3339" t="s">
        <v>2791</v>
      </c>
      <c r="AQ14" s="3339" t="s">
        <v>2791</v>
      </c>
      <c r="AR14" s="3339" t="s">
        <v>2791</v>
      </c>
      <c r="AS14" s="3339" t="s">
        <v>3064</v>
      </c>
    </row>
    <row r="15" spans="1:46" s="3340" customFormat="1" hidden="1">
      <c r="A15" s="3339" t="s">
        <v>3900</v>
      </c>
      <c r="B15" s="3339" t="s">
        <v>3056</v>
      </c>
      <c r="C15" s="3339" t="s">
        <v>3057</v>
      </c>
      <c r="D15" s="3339" t="s">
        <v>3058</v>
      </c>
      <c r="E15" s="3339" t="s">
        <v>2791</v>
      </c>
      <c r="F15" s="3339" t="s">
        <v>3900</v>
      </c>
      <c r="G15" s="3339" t="s">
        <v>3059</v>
      </c>
      <c r="H15" s="3339" t="s">
        <v>3911</v>
      </c>
      <c r="I15" s="3339" t="s">
        <v>3060</v>
      </c>
      <c r="J15" s="3339">
        <v>46180.46</v>
      </c>
      <c r="K15" s="3339">
        <v>115451.15</v>
      </c>
      <c r="L15" s="3339" t="s">
        <v>3902</v>
      </c>
      <c r="M15" s="3339" t="s">
        <v>2791</v>
      </c>
      <c r="N15" s="3339" t="s">
        <v>3061</v>
      </c>
      <c r="O15" s="3339" t="s">
        <v>3062</v>
      </c>
      <c r="P15" s="3339" t="s">
        <v>2791</v>
      </c>
      <c r="Q15" s="3339" t="s">
        <v>2791</v>
      </c>
      <c r="R15" s="3339" t="s">
        <v>2791</v>
      </c>
      <c r="S15" s="3339" t="s">
        <v>2791</v>
      </c>
      <c r="T15" s="3339" t="s">
        <v>2791</v>
      </c>
      <c r="U15" s="3339" t="s">
        <v>2791</v>
      </c>
      <c r="V15" s="3339" t="s">
        <v>2791</v>
      </c>
      <c r="W15" s="3339" t="s">
        <v>3085</v>
      </c>
      <c r="X15" s="3339" t="s">
        <v>3909</v>
      </c>
      <c r="Y15" s="3339" t="s">
        <v>3877</v>
      </c>
      <c r="Z15" s="3339" t="s">
        <v>3877</v>
      </c>
      <c r="AA15" s="3339" t="s">
        <v>3877</v>
      </c>
      <c r="AB15" s="3339" t="s">
        <v>3910</v>
      </c>
      <c r="AC15" s="3339" t="s">
        <v>3088</v>
      </c>
      <c r="AD15" s="3339" t="s">
        <v>3906</v>
      </c>
      <c r="AE15" s="3339">
        <v>16165</v>
      </c>
      <c r="AF15" s="3339">
        <v>32330</v>
      </c>
      <c r="AG15" s="3339">
        <v>32330</v>
      </c>
      <c r="AH15" s="3339">
        <v>466.72</v>
      </c>
      <c r="AI15" s="3339">
        <v>466.72</v>
      </c>
      <c r="AJ15" s="3339">
        <v>2800.31</v>
      </c>
      <c r="AK15" s="3339">
        <v>2800.32</v>
      </c>
      <c r="AL15" s="3339" t="s">
        <v>2791</v>
      </c>
      <c r="AM15" s="3339" t="s">
        <v>2791</v>
      </c>
      <c r="AN15" s="3339">
        <v>0</v>
      </c>
      <c r="AO15" s="3339" t="s">
        <v>3063</v>
      </c>
      <c r="AP15" s="3339" t="s">
        <v>2791</v>
      </c>
      <c r="AQ15" s="3339" t="s">
        <v>2791</v>
      </c>
      <c r="AR15" s="3339" t="s">
        <v>2791</v>
      </c>
      <c r="AS15" s="3339" t="s">
        <v>3064</v>
      </c>
    </row>
    <row r="16" spans="1:46" s="3372" customFormat="1">
      <c r="A16" s="3371" t="s">
        <v>3912</v>
      </c>
      <c r="B16" s="3371" t="s">
        <v>3056</v>
      </c>
      <c r="C16" s="3371" t="s">
        <v>3057</v>
      </c>
      <c r="D16" s="3371" t="s">
        <v>3058</v>
      </c>
      <c r="E16" s="3371" t="s">
        <v>2791</v>
      </c>
      <c r="F16" s="3371" t="s">
        <v>3912</v>
      </c>
      <c r="G16" s="3371" t="s">
        <v>3059</v>
      </c>
      <c r="H16" s="3371" t="s">
        <v>3913</v>
      </c>
      <c r="I16" s="3371" t="s">
        <v>3060</v>
      </c>
      <c r="J16" s="3371">
        <v>16336.39</v>
      </c>
      <c r="K16" s="3371">
        <v>17153.21</v>
      </c>
      <c r="L16" s="3371" t="s">
        <v>3914</v>
      </c>
      <c r="M16" s="3371" t="s">
        <v>2791</v>
      </c>
      <c r="N16" s="3371" t="s">
        <v>3915</v>
      </c>
      <c r="O16" s="3371" t="s">
        <v>3916</v>
      </c>
      <c r="P16" s="3371" t="s">
        <v>2791</v>
      </c>
      <c r="Q16" s="3371" t="s">
        <v>2791</v>
      </c>
      <c r="R16" s="3371" t="s">
        <v>2791</v>
      </c>
      <c r="S16" s="3371" t="s">
        <v>2791</v>
      </c>
      <c r="T16" s="3371" t="s">
        <v>2791</v>
      </c>
      <c r="U16" s="3371" t="s">
        <v>2791</v>
      </c>
      <c r="V16" s="3371" t="s">
        <v>2791</v>
      </c>
      <c r="W16" s="3371" t="s">
        <v>3085</v>
      </c>
      <c r="X16" s="3371" t="s">
        <v>3065</v>
      </c>
      <c r="Y16" s="3371" t="s">
        <v>3917</v>
      </c>
      <c r="Z16" s="3371" t="s">
        <v>3917</v>
      </c>
      <c r="AA16" s="3371" t="s">
        <v>3917</v>
      </c>
      <c r="AB16" s="3371" t="s">
        <v>3918</v>
      </c>
      <c r="AC16" s="3371" t="s">
        <v>3088</v>
      </c>
      <c r="AD16" s="3371" t="s">
        <v>3919</v>
      </c>
      <c r="AE16" s="3371">
        <v>2548</v>
      </c>
      <c r="AF16" s="3371">
        <v>5096</v>
      </c>
      <c r="AG16" s="3371">
        <v>5096</v>
      </c>
      <c r="AH16" s="3371">
        <v>207.96</v>
      </c>
      <c r="AI16" s="3371">
        <v>207.96</v>
      </c>
      <c r="AJ16" s="3371">
        <v>2970.87</v>
      </c>
      <c r="AK16" s="3371">
        <v>2970.86</v>
      </c>
      <c r="AL16" s="3371" t="s">
        <v>2791</v>
      </c>
      <c r="AM16" s="3371" t="s">
        <v>2791</v>
      </c>
      <c r="AN16" s="3371">
        <v>0</v>
      </c>
      <c r="AO16" s="3371" t="s">
        <v>3063</v>
      </c>
      <c r="AP16" s="3371" t="s">
        <v>2791</v>
      </c>
      <c r="AQ16" s="3371" t="s">
        <v>2791</v>
      </c>
      <c r="AR16" s="3371" t="s">
        <v>2791</v>
      </c>
      <c r="AS16" s="3371" t="s">
        <v>3064</v>
      </c>
    </row>
    <row r="17" spans="1:45" s="3372" customFormat="1">
      <c r="A17" s="3371" t="s">
        <v>3912</v>
      </c>
      <c r="B17" s="3371" t="s">
        <v>3056</v>
      </c>
      <c r="C17" s="3371" t="s">
        <v>3057</v>
      </c>
      <c r="D17" s="3371" t="s">
        <v>3058</v>
      </c>
      <c r="E17" s="3371" t="s">
        <v>2791</v>
      </c>
      <c r="F17" s="3371" t="s">
        <v>3912</v>
      </c>
      <c r="G17" s="3371" t="s">
        <v>3059</v>
      </c>
      <c r="H17" s="3371" t="s">
        <v>3920</v>
      </c>
      <c r="I17" s="3371" t="s">
        <v>3060</v>
      </c>
      <c r="J17" s="3371">
        <v>14073.67</v>
      </c>
      <c r="K17" s="3371">
        <v>14777.35</v>
      </c>
      <c r="L17" s="3371" t="s">
        <v>3914</v>
      </c>
      <c r="M17" s="3371" t="s">
        <v>2791</v>
      </c>
      <c r="N17" s="3371" t="s">
        <v>3915</v>
      </c>
      <c r="O17" s="3371" t="s">
        <v>3916</v>
      </c>
      <c r="P17" s="3371" t="s">
        <v>2791</v>
      </c>
      <c r="Q17" s="3371" t="s">
        <v>2791</v>
      </c>
      <c r="R17" s="3371" t="s">
        <v>2791</v>
      </c>
      <c r="S17" s="3371" t="s">
        <v>2791</v>
      </c>
      <c r="T17" s="3371" t="s">
        <v>2791</v>
      </c>
      <c r="U17" s="3371" t="s">
        <v>2791</v>
      </c>
      <c r="V17" s="3371" t="s">
        <v>2791</v>
      </c>
      <c r="W17" s="3371" t="s">
        <v>3085</v>
      </c>
      <c r="X17" s="3371" t="s">
        <v>3065</v>
      </c>
      <c r="Y17" s="3371" t="s">
        <v>3917</v>
      </c>
      <c r="Z17" s="3371" t="s">
        <v>3917</v>
      </c>
      <c r="AA17" s="3371" t="s">
        <v>3917</v>
      </c>
      <c r="AB17" s="3371" t="s">
        <v>3918</v>
      </c>
      <c r="AC17" s="3371" t="s">
        <v>3088</v>
      </c>
      <c r="AD17" s="3371" t="s">
        <v>3919</v>
      </c>
      <c r="AE17" s="3371">
        <v>2196</v>
      </c>
      <c r="AF17" s="3371">
        <v>4391</v>
      </c>
      <c r="AG17" s="3371">
        <v>4391</v>
      </c>
      <c r="AH17" s="3371">
        <v>208</v>
      </c>
      <c r="AI17" s="3371">
        <v>208</v>
      </c>
      <c r="AJ17" s="3371">
        <v>2971.43</v>
      </c>
      <c r="AK17" s="3371">
        <v>2971.44</v>
      </c>
      <c r="AL17" s="3371" t="s">
        <v>2791</v>
      </c>
      <c r="AM17" s="3371" t="s">
        <v>2791</v>
      </c>
      <c r="AN17" s="3371">
        <v>0</v>
      </c>
      <c r="AO17" s="3371" t="s">
        <v>3063</v>
      </c>
      <c r="AP17" s="3371" t="s">
        <v>2791</v>
      </c>
      <c r="AQ17" s="3371" t="s">
        <v>2791</v>
      </c>
      <c r="AR17" s="3371" t="s">
        <v>2791</v>
      </c>
      <c r="AS17" s="3371" t="s">
        <v>3064</v>
      </c>
    </row>
    <row r="18" spans="1:45" s="3372" customFormat="1">
      <c r="A18" s="3371" t="s">
        <v>3912</v>
      </c>
      <c r="B18" s="3371" t="s">
        <v>3056</v>
      </c>
      <c r="C18" s="3371" t="s">
        <v>3057</v>
      </c>
      <c r="D18" s="3371" t="s">
        <v>3058</v>
      </c>
      <c r="E18" s="3371" t="s">
        <v>2791</v>
      </c>
      <c r="F18" s="3371" t="s">
        <v>3912</v>
      </c>
      <c r="G18" s="3371" t="s">
        <v>3059</v>
      </c>
      <c r="H18" s="3371" t="s">
        <v>3921</v>
      </c>
      <c r="I18" s="3371" t="s">
        <v>3060</v>
      </c>
      <c r="J18" s="3371">
        <v>64072.72</v>
      </c>
      <c r="K18" s="3371">
        <v>198625.43</v>
      </c>
      <c r="L18" s="3371" t="s">
        <v>3922</v>
      </c>
      <c r="M18" s="3371" t="s">
        <v>2791</v>
      </c>
      <c r="N18" s="3371" t="s">
        <v>3923</v>
      </c>
      <c r="O18" s="3371" t="s">
        <v>3066</v>
      </c>
      <c r="P18" s="3371" t="s">
        <v>2791</v>
      </c>
      <c r="Q18" s="3371" t="s">
        <v>2791</v>
      </c>
      <c r="R18" s="3371" t="s">
        <v>2791</v>
      </c>
      <c r="S18" s="3371" t="s">
        <v>2791</v>
      </c>
      <c r="T18" s="3371" t="s">
        <v>2791</v>
      </c>
      <c r="U18" s="3371" t="s">
        <v>2791</v>
      </c>
      <c r="V18" s="3371" t="s">
        <v>2791</v>
      </c>
      <c r="W18" s="3371" t="s">
        <v>3085</v>
      </c>
      <c r="X18" s="3371" t="s">
        <v>3065</v>
      </c>
      <c r="Y18" s="3371" t="s">
        <v>3917</v>
      </c>
      <c r="Z18" s="3371" t="s">
        <v>3917</v>
      </c>
      <c r="AA18" s="3371" t="s">
        <v>3917</v>
      </c>
      <c r="AB18" s="3371" t="s">
        <v>3918</v>
      </c>
      <c r="AC18" s="3371" t="s">
        <v>3088</v>
      </c>
      <c r="AD18" s="3371" t="s">
        <v>3919</v>
      </c>
      <c r="AE18" s="3371">
        <v>10092</v>
      </c>
      <c r="AF18" s="3371">
        <v>20184</v>
      </c>
      <c r="AG18" s="3371">
        <v>20184</v>
      </c>
      <c r="AH18" s="3371">
        <v>210.01</v>
      </c>
      <c r="AI18" s="3371">
        <v>210.01</v>
      </c>
      <c r="AJ18" s="3371">
        <v>1016.18</v>
      </c>
      <c r="AK18" s="3371">
        <v>1016.17</v>
      </c>
      <c r="AL18" s="3371" t="s">
        <v>2791</v>
      </c>
      <c r="AM18" s="3371" t="s">
        <v>2791</v>
      </c>
      <c r="AN18" s="3371">
        <v>0</v>
      </c>
      <c r="AO18" s="3371" t="s">
        <v>3063</v>
      </c>
      <c r="AP18" s="3371" t="s">
        <v>2791</v>
      </c>
      <c r="AQ18" s="3371" t="s">
        <v>2791</v>
      </c>
      <c r="AR18" s="3371" t="s">
        <v>2791</v>
      </c>
      <c r="AS18" s="3371" t="s">
        <v>3064</v>
      </c>
    </row>
    <row r="19" spans="1:45" s="3372" customFormat="1">
      <c r="A19" s="3371" t="s">
        <v>3912</v>
      </c>
      <c r="B19" s="3371" t="s">
        <v>3056</v>
      </c>
      <c r="C19" s="3371" t="s">
        <v>3057</v>
      </c>
      <c r="D19" s="3371" t="s">
        <v>3058</v>
      </c>
      <c r="E19" s="3371" t="s">
        <v>2791</v>
      </c>
      <c r="F19" s="3371" t="s">
        <v>3912</v>
      </c>
      <c r="G19" s="3371" t="s">
        <v>3059</v>
      </c>
      <c r="H19" s="3371" t="s">
        <v>3924</v>
      </c>
      <c r="I19" s="3371" t="s">
        <v>3060</v>
      </c>
      <c r="J19" s="3371">
        <v>28618.32</v>
      </c>
      <c r="K19" s="3371">
        <v>30049.24</v>
      </c>
      <c r="L19" s="3371" t="s">
        <v>3914</v>
      </c>
      <c r="M19" s="3371" t="s">
        <v>2791</v>
      </c>
      <c r="N19" s="3371" t="s">
        <v>3915</v>
      </c>
      <c r="O19" s="3371" t="s">
        <v>3916</v>
      </c>
      <c r="P19" s="3371" t="s">
        <v>2791</v>
      </c>
      <c r="Q19" s="3371" t="s">
        <v>2791</v>
      </c>
      <c r="R19" s="3371" t="s">
        <v>2791</v>
      </c>
      <c r="S19" s="3371" t="s">
        <v>2791</v>
      </c>
      <c r="T19" s="3371" t="s">
        <v>2791</v>
      </c>
      <c r="U19" s="3371" t="s">
        <v>2791</v>
      </c>
      <c r="V19" s="3371" t="s">
        <v>2791</v>
      </c>
      <c r="W19" s="3371" t="s">
        <v>3085</v>
      </c>
      <c r="X19" s="3371" t="s">
        <v>3065</v>
      </c>
      <c r="Y19" s="3371" t="s">
        <v>3917</v>
      </c>
      <c r="Z19" s="3371" t="s">
        <v>3917</v>
      </c>
      <c r="AA19" s="3371" t="s">
        <v>3917</v>
      </c>
      <c r="AB19" s="3371" t="s">
        <v>3918</v>
      </c>
      <c r="AC19" s="3371" t="s">
        <v>3088</v>
      </c>
      <c r="AD19" s="3371" t="s">
        <v>3919</v>
      </c>
      <c r="AE19" s="3371">
        <v>4465</v>
      </c>
      <c r="AF19" s="3371">
        <v>8930</v>
      </c>
      <c r="AG19" s="3371">
        <v>8930</v>
      </c>
      <c r="AH19" s="3371">
        <v>208.03</v>
      </c>
      <c r="AI19" s="3371">
        <v>208.03</v>
      </c>
      <c r="AJ19" s="3371">
        <v>2971.78</v>
      </c>
      <c r="AK19" s="3371">
        <v>2971.78</v>
      </c>
      <c r="AL19" s="3371" t="s">
        <v>2791</v>
      </c>
      <c r="AM19" s="3371" t="s">
        <v>2791</v>
      </c>
      <c r="AN19" s="3371">
        <v>0</v>
      </c>
      <c r="AO19" s="3371" t="s">
        <v>3063</v>
      </c>
      <c r="AP19" s="3371" t="s">
        <v>2791</v>
      </c>
      <c r="AQ19" s="3371" t="s">
        <v>2791</v>
      </c>
      <c r="AR19" s="3371" t="s">
        <v>2791</v>
      </c>
      <c r="AS19" s="3371" t="s">
        <v>3064</v>
      </c>
    </row>
    <row r="20" spans="1:45" s="3372" customFormat="1">
      <c r="A20" s="3371" t="s">
        <v>3912</v>
      </c>
      <c r="B20" s="3371" t="s">
        <v>3056</v>
      </c>
      <c r="C20" s="3371" t="s">
        <v>3057</v>
      </c>
      <c r="D20" s="3371" t="s">
        <v>3058</v>
      </c>
      <c r="E20" s="3371" t="s">
        <v>2791</v>
      </c>
      <c r="F20" s="3371" t="s">
        <v>3912</v>
      </c>
      <c r="G20" s="3371" t="s">
        <v>3059</v>
      </c>
      <c r="H20" s="3371" t="s">
        <v>3925</v>
      </c>
      <c r="I20" s="3371" t="s">
        <v>3060</v>
      </c>
      <c r="J20" s="3371">
        <v>55706.06</v>
      </c>
      <c r="K20" s="3371">
        <v>161547.57</v>
      </c>
      <c r="L20" s="3371" t="s">
        <v>3926</v>
      </c>
      <c r="M20" s="3371" t="s">
        <v>2791</v>
      </c>
      <c r="N20" s="3371" t="s">
        <v>3923</v>
      </c>
      <c r="O20" s="3371" t="s">
        <v>3066</v>
      </c>
      <c r="P20" s="3371" t="s">
        <v>2791</v>
      </c>
      <c r="Q20" s="3371" t="s">
        <v>2791</v>
      </c>
      <c r="R20" s="3371" t="s">
        <v>2791</v>
      </c>
      <c r="S20" s="3371" t="s">
        <v>2791</v>
      </c>
      <c r="T20" s="3371" t="s">
        <v>2791</v>
      </c>
      <c r="U20" s="3371" t="s">
        <v>2791</v>
      </c>
      <c r="V20" s="3371" t="s">
        <v>2791</v>
      </c>
      <c r="W20" s="3371" t="s">
        <v>3085</v>
      </c>
      <c r="X20" s="3371" t="s">
        <v>3065</v>
      </c>
      <c r="Y20" s="3371" t="s">
        <v>3917</v>
      </c>
      <c r="Z20" s="3371" t="s">
        <v>3917</v>
      </c>
      <c r="AA20" s="3371" t="s">
        <v>3917</v>
      </c>
      <c r="AB20" s="3371" t="s">
        <v>3918</v>
      </c>
      <c r="AC20" s="3371" t="s">
        <v>3088</v>
      </c>
      <c r="AD20" s="3371" t="s">
        <v>3919</v>
      </c>
      <c r="AE20" s="3371">
        <v>8691</v>
      </c>
      <c r="AF20" s="3371">
        <v>17381</v>
      </c>
      <c r="AG20" s="3371">
        <v>17381</v>
      </c>
      <c r="AH20" s="3371">
        <v>208.01</v>
      </c>
      <c r="AI20" s="3371">
        <v>208.01</v>
      </c>
      <c r="AJ20" s="3371">
        <v>1075.9000000000001</v>
      </c>
      <c r="AK20" s="3371">
        <v>1075.9100000000001</v>
      </c>
      <c r="AL20" s="3371" t="s">
        <v>2791</v>
      </c>
      <c r="AM20" s="3371" t="s">
        <v>2791</v>
      </c>
      <c r="AN20" s="3371">
        <v>0</v>
      </c>
      <c r="AO20" s="3371" t="s">
        <v>3063</v>
      </c>
      <c r="AP20" s="3371" t="s">
        <v>2791</v>
      </c>
      <c r="AQ20" s="3371" t="s">
        <v>2791</v>
      </c>
      <c r="AR20" s="3371" t="s">
        <v>2791</v>
      </c>
      <c r="AS20" s="3371" t="s">
        <v>3064</v>
      </c>
    </row>
    <row r="21" spans="1:45" s="3372" customFormat="1" hidden="1">
      <c r="A21" s="3371" t="s">
        <v>3927</v>
      </c>
      <c r="B21" s="3371" t="s">
        <v>3056</v>
      </c>
      <c r="C21" s="3371" t="s">
        <v>3057</v>
      </c>
      <c r="D21" s="3371" t="s">
        <v>3058</v>
      </c>
      <c r="E21" s="3371" t="s">
        <v>2791</v>
      </c>
      <c r="F21" s="3371" t="s">
        <v>3927</v>
      </c>
      <c r="G21" s="3371" t="s">
        <v>3059</v>
      </c>
      <c r="H21" s="3371" t="s">
        <v>3928</v>
      </c>
      <c r="I21" s="3371" t="s">
        <v>3099</v>
      </c>
      <c r="J21" s="3371">
        <v>43619.78</v>
      </c>
      <c r="K21" s="3371">
        <v>109049.45</v>
      </c>
      <c r="L21" s="3371" t="s">
        <v>3929</v>
      </c>
      <c r="M21" s="3371" t="s">
        <v>2791</v>
      </c>
      <c r="N21" s="3371" t="s">
        <v>3061</v>
      </c>
      <c r="O21" s="3371" t="s">
        <v>3062</v>
      </c>
      <c r="P21" s="3371" t="s">
        <v>2791</v>
      </c>
      <c r="Q21" s="3371" t="s">
        <v>2791</v>
      </c>
      <c r="R21" s="3371" t="s">
        <v>2791</v>
      </c>
      <c r="S21" s="3371" t="s">
        <v>2791</v>
      </c>
      <c r="T21" s="3371" t="s">
        <v>2791</v>
      </c>
      <c r="U21" s="3371" t="s">
        <v>2791</v>
      </c>
      <c r="V21" s="3371" t="s">
        <v>2791</v>
      </c>
      <c r="W21" s="3371" t="s">
        <v>3085</v>
      </c>
      <c r="X21" s="3371" t="s">
        <v>3930</v>
      </c>
      <c r="Y21" s="3371" t="s">
        <v>3931</v>
      </c>
      <c r="Z21" s="3371" t="s">
        <v>3917</v>
      </c>
      <c r="AA21" s="3371" t="s">
        <v>3917</v>
      </c>
      <c r="AB21" s="3371" t="s">
        <v>3932</v>
      </c>
      <c r="AC21" s="3371" t="s">
        <v>3088</v>
      </c>
      <c r="AD21" s="3371" t="s">
        <v>3899</v>
      </c>
      <c r="AE21" s="3371">
        <v>14178</v>
      </c>
      <c r="AF21" s="3371">
        <v>32720</v>
      </c>
      <c r="AG21" s="3371">
        <v>39200</v>
      </c>
      <c r="AH21" s="3371">
        <v>500.08</v>
      </c>
      <c r="AI21" s="3371">
        <v>599.12</v>
      </c>
      <c r="AJ21" s="3371">
        <v>3000.47</v>
      </c>
      <c r="AK21" s="3371">
        <v>3594.69</v>
      </c>
      <c r="AL21" s="3371" t="s">
        <v>2791</v>
      </c>
      <c r="AM21" s="3371" t="s">
        <v>2791</v>
      </c>
      <c r="AN21" s="3371">
        <v>19.8</v>
      </c>
      <c r="AO21" s="3371" t="s">
        <v>3063</v>
      </c>
      <c r="AP21" s="3371" t="s">
        <v>2791</v>
      </c>
      <c r="AQ21" s="3371" t="s">
        <v>2791</v>
      </c>
      <c r="AR21" s="3371" t="s">
        <v>2791</v>
      </c>
      <c r="AS21" s="3371" t="s">
        <v>3146</v>
      </c>
    </row>
    <row r="22" spans="1:45" s="3372" customFormat="1">
      <c r="A22" s="3371" t="s">
        <v>3912</v>
      </c>
      <c r="B22" s="3371" t="s">
        <v>3056</v>
      </c>
      <c r="C22" s="3371" t="s">
        <v>3057</v>
      </c>
      <c r="D22" s="3371" t="s">
        <v>3058</v>
      </c>
      <c r="E22" s="3371" t="s">
        <v>2791</v>
      </c>
      <c r="F22" s="3371" t="s">
        <v>3912</v>
      </c>
      <c r="G22" s="3371" t="s">
        <v>3059</v>
      </c>
      <c r="H22" s="3371" t="s">
        <v>3933</v>
      </c>
      <c r="I22" s="3371" t="s">
        <v>3060</v>
      </c>
      <c r="J22" s="3371">
        <v>47252.21</v>
      </c>
      <c r="K22" s="3371">
        <v>141756.63</v>
      </c>
      <c r="L22" s="3371" t="s">
        <v>3934</v>
      </c>
      <c r="M22" s="3371" t="s">
        <v>2791</v>
      </c>
      <c r="N22" s="3371" t="s">
        <v>3923</v>
      </c>
      <c r="O22" s="3371" t="s">
        <v>3066</v>
      </c>
      <c r="P22" s="3371" t="s">
        <v>2791</v>
      </c>
      <c r="Q22" s="3371" t="s">
        <v>2791</v>
      </c>
      <c r="R22" s="3371" t="s">
        <v>2791</v>
      </c>
      <c r="S22" s="3371" t="s">
        <v>2791</v>
      </c>
      <c r="T22" s="3371" t="s">
        <v>2791</v>
      </c>
      <c r="U22" s="3371" t="s">
        <v>2791</v>
      </c>
      <c r="V22" s="3371" t="s">
        <v>2791</v>
      </c>
      <c r="W22" s="3371" t="s">
        <v>3085</v>
      </c>
      <c r="X22" s="3371" t="s">
        <v>3065</v>
      </c>
      <c r="Y22" s="3371" t="s">
        <v>3917</v>
      </c>
      <c r="Z22" s="3371" t="s">
        <v>3917</v>
      </c>
      <c r="AA22" s="3371" t="s">
        <v>3917</v>
      </c>
      <c r="AB22" s="3371" t="s">
        <v>3918</v>
      </c>
      <c r="AC22" s="3371" t="s">
        <v>3088</v>
      </c>
      <c r="AD22" s="3371" t="s">
        <v>3919</v>
      </c>
      <c r="AE22" s="3371">
        <v>7372</v>
      </c>
      <c r="AF22" s="3371">
        <v>14743</v>
      </c>
      <c r="AG22" s="3371">
        <v>14743</v>
      </c>
      <c r="AH22" s="3371">
        <v>208</v>
      </c>
      <c r="AI22" s="3371">
        <v>208</v>
      </c>
      <c r="AJ22" s="3371">
        <v>1040.02</v>
      </c>
      <c r="AK22" s="3371">
        <v>1040.01</v>
      </c>
      <c r="AL22" s="3371" t="s">
        <v>2791</v>
      </c>
      <c r="AM22" s="3371" t="s">
        <v>2791</v>
      </c>
      <c r="AN22" s="3371">
        <v>0</v>
      </c>
      <c r="AO22" s="3371" t="s">
        <v>3063</v>
      </c>
      <c r="AP22" s="3371" t="s">
        <v>2791</v>
      </c>
      <c r="AQ22" s="3371" t="s">
        <v>2791</v>
      </c>
      <c r="AR22" s="3371" t="s">
        <v>2791</v>
      </c>
      <c r="AS22" s="3371" t="s">
        <v>3064</v>
      </c>
    </row>
    <row r="23" spans="1:45" s="3372" customFormat="1">
      <c r="A23" s="3371" t="s">
        <v>3912</v>
      </c>
      <c r="B23" s="3371" t="s">
        <v>3056</v>
      </c>
      <c r="C23" s="3371" t="s">
        <v>3057</v>
      </c>
      <c r="D23" s="3371" t="s">
        <v>3058</v>
      </c>
      <c r="E23" s="3371" t="s">
        <v>2791</v>
      </c>
      <c r="F23" s="3371" t="s">
        <v>3912</v>
      </c>
      <c r="G23" s="3371" t="s">
        <v>3059</v>
      </c>
      <c r="H23" s="3371" t="s">
        <v>3935</v>
      </c>
      <c r="I23" s="3371" t="s">
        <v>3060</v>
      </c>
      <c r="J23" s="3371">
        <v>33705.47</v>
      </c>
      <c r="K23" s="3371">
        <v>60669.85</v>
      </c>
      <c r="L23" s="3371" t="s">
        <v>3067</v>
      </c>
      <c r="M23" s="3371" t="s">
        <v>2791</v>
      </c>
      <c r="N23" s="3371" t="s">
        <v>3068</v>
      </c>
      <c r="O23" s="3371" t="s">
        <v>3936</v>
      </c>
      <c r="P23" s="3371" t="s">
        <v>2791</v>
      </c>
      <c r="Q23" s="3371" t="s">
        <v>2791</v>
      </c>
      <c r="R23" s="3371" t="s">
        <v>2791</v>
      </c>
      <c r="S23" s="3371" t="s">
        <v>2791</v>
      </c>
      <c r="T23" s="3371" t="s">
        <v>2791</v>
      </c>
      <c r="U23" s="3371" t="s">
        <v>2791</v>
      </c>
      <c r="V23" s="3371" t="s">
        <v>2791</v>
      </c>
      <c r="W23" s="3371" t="s">
        <v>3085</v>
      </c>
      <c r="X23" s="3371" t="s">
        <v>3065</v>
      </c>
      <c r="Y23" s="3371" t="s">
        <v>3917</v>
      </c>
      <c r="Z23" s="3371" t="s">
        <v>3917</v>
      </c>
      <c r="AA23" s="3371" t="s">
        <v>3917</v>
      </c>
      <c r="AB23" s="3371" t="s">
        <v>3918</v>
      </c>
      <c r="AC23" s="3371" t="s">
        <v>3088</v>
      </c>
      <c r="AD23" s="3371" t="s">
        <v>3919</v>
      </c>
      <c r="AE23" s="3371">
        <v>5259</v>
      </c>
      <c r="AF23" s="3371">
        <v>10517</v>
      </c>
      <c r="AG23" s="3371">
        <v>10517</v>
      </c>
      <c r="AH23" s="3371">
        <v>208.02</v>
      </c>
      <c r="AI23" s="3371">
        <v>208.02</v>
      </c>
      <c r="AJ23" s="3371">
        <v>1733.48</v>
      </c>
      <c r="AK23" s="3371">
        <v>1733.48</v>
      </c>
      <c r="AL23" s="3371" t="s">
        <v>2791</v>
      </c>
      <c r="AM23" s="3371" t="s">
        <v>2791</v>
      </c>
      <c r="AN23" s="3371">
        <v>0</v>
      </c>
      <c r="AO23" s="3371" t="s">
        <v>3063</v>
      </c>
      <c r="AP23" s="3371" t="s">
        <v>2791</v>
      </c>
      <c r="AQ23" s="3371" t="s">
        <v>2791</v>
      </c>
      <c r="AR23" s="3371" t="s">
        <v>2791</v>
      </c>
      <c r="AS23" s="3371" t="s">
        <v>3064</v>
      </c>
    </row>
    <row r="24" spans="1:45" s="3372" customFormat="1">
      <c r="A24" s="3371" t="s">
        <v>3912</v>
      </c>
      <c r="B24" s="3371" t="s">
        <v>3056</v>
      </c>
      <c r="C24" s="3371" t="s">
        <v>3057</v>
      </c>
      <c r="D24" s="3371" t="s">
        <v>3058</v>
      </c>
      <c r="E24" s="3371" t="s">
        <v>2791</v>
      </c>
      <c r="F24" s="3371" t="s">
        <v>3912</v>
      </c>
      <c r="G24" s="3371" t="s">
        <v>3059</v>
      </c>
      <c r="H24" s="3371" t="s">
        <v>3937</v>
      </c>
      <c r="I24" s="3371" t="s">
        <v>3060</v>
      </c>
      <c r="J24" s="3371">
        <v>22952.09</v>
      </c>
      <c r="K24" s="3371">
        <v>66561.06</v>
      </c>
      <c r="L24" s="3371" t="s">
        <v>3926</v>
      </c>
      <c r="M24" s="3371" t="s">
        <v>2791</v>
      </c>
      <c r="N24" s="3371" t="s">
        <v>3923</v>
      </c>
      <c r="O24" s="3371" t="s">
        <v>3066</v>
      </c>
      <c r="P24" s="3371" t="s">
        <v>2791</v>
      </c>
      <c r="Q24" s="3371" t="s">
        <v>2791</v>
      </c>
      <c r="R24" s="3371" t="s">
        <v>2791</v>
      </c>
      <c r="S24" s="3371" t="s">
        <v>2791</v>
      </c>
      <c r="T24" s="3371" t="s">
        <v>2791</v>
      </c>
      <c r="U24" s="3371" t="s">
        <v>2791</v>
      </c>
      <c r="V24" s="3371" t="s">
        <v>2791</v>
      </c>
      <c r="W24" s="3371" t="s">
        <v>3085</v>
      </c>
      <c r="X24" s="3371" t="s">
        <v>3065</v>
      </c>
      <c r="Y24" s="3371" t="s">
        <v>3917</v>
      </c>
      <c r="Z24" s="3371" t="s">
        <v>3917</v>
      </c>
      <c r="AA24" s="3371" t="s">
        <v>3917</v>
      </c>
      <c r="AB24" s="3371" t="s">
        <v>3918</v>
      </c>
      <c r="AC24" s="3371" t="s">
        <v>3088</v>
      </c>
      <c r="AD24" s="3371" t="s">
        <v>3919</v>
      </c>
      <c r="AE24" s="3371">
        <v>3581</v>
      </c>
      <c r="AF24" s="3371">
        <v>7162</v>
      </c>
      <c r="AG24" s="3371">
        <v>7162</v>
      </c>
      <c r="AH24" s="3371">
        <v>208.03</v>
      </c>
      <c r="AI24" s="3371">
        <v>208.03</v>
      </c>
      <c r="AJ24" s="3371">
        <v>1076</v>
      </c>
      <c r="AK24" s="3371">
        <v>1076</v>
      </c>
      <c r="AL24" s="3371" t="s">
        <v>2791</v>
      </c>
      <c r="AM24" s="3371" t="s">
        <v>2791</v>
      </c>
      <c r="AN24" s="3371">
        <v>0</v>
      </c>
      <c r="AO24" s="3371" t="s">
        <v>3063</v>
      </c>
      <c r="AP24" s="3371" t="s">
        <v>2791</v>
      </c>
      <c r="AQ24" s="3371" t="s">
        <v>2791</v>
      </c>
      <c r="AR24" s="3371" t="s">
        <v>2791</v>
      </c>
      <c r="AS24" s="3371" t="s">
        <v>3064</v>
      </c>
    </row>
    <row r="25" spans="1:45" s="3340" customFormat="1" hidden="1">
      <c r="A25" s="3339" t="s">
        <v>3069</v>
      </c>
      <c r="B25" s="3339" t="s">
        <v>3056</v>
      </c>
      <c r="C25" s="3339" t="s">
        <v>3057</v>
      </c>
      <c r="D25" s="3339" t="s">
        <v>3058</v>
      </c>
      <c r="E25" s="3339" t="s">
        <v>2791</v>
      </c>
      <c r="F25" s="3339" t="s">
        <v>3069</v>
      </c>
      <c r="G25" s="3339" t="s">
        <v>3059</v>
      </c>
      <c r="H25" s="3339" t="s">
        <v>3938</v>
      </c>
      <c r="I25" s="3339" t="s">
        <v>3060</v>
      </c>
      <c r="J25" s="3339">
        <v>68877.740000000005</v>
      </c>
      <c r="K25" s="3339">
        <v>82653.289999999994</v>
      </c>
      <c r="L25" s="3339" t="s">
        <v>3070</v>
      </c>
      <c r="M25" s="3339" t="s">
        <v>2791</v>
      </c>
      <c r="N25" s="3339" t="s">
        <v>3071</v>
      </c>
      <c r="O25" s="3339" t="s">
        <v>3072</v>
      </c>
      <c r="P25" s="3339" t="s">
        <v>2791</v>
      </c>
      <c r="Q25" s="3339" t="s">
        <v>2791</v>
      </c>
      <c r="R25" s="3339" t="s">
        <v>2791</v>
      </c>
      <c r="S25" s="3339" t="s">
        <v>2791</v>
      </c>
      <c r="T25" s="3339" t="s">
        <v>2791</v>
      </c>
      <c r="U25" s="3339" t="s">
        <v>2791</v>
      </c>
      <c r="V25" s="3339" t="s">
        <v>2791</v>
      </c>
      <c r="W25" s="3339" t="s">
        <v>3085</v>
      </c>
      <c r="X25" s="3339" t="s">
        <v>3939</v>
      </c>
      <c r="Y25" s="3339" t="s">
        <v>3940</v>
      </c>
      <c r="Z25" s="3339" t="s">
        <v>3940</v>
      </c>
      <c r="AA25" s="3339" t="s">
        <v>3940</v>
      </c>
      <c r="AB25" s="3339" t="s">
        <v>3941</v>
      </c>
      <c r="AC25" s="3339" t="s">
        <v>3088</v>
      </c>
      <c r="AD25" s="3339" t="s">
        <v>3942</v>
      </c>
      <c r="AE25" s="3339">
        <v>16531</v>
      </c>
      <c r="AF25" s="3339">
        <v>16531</v>
      </c>
      <c r="AG25" s="3339">
        <v>16531</v>
      </c>
      <c r="AH25" s="3339">
        <v>160</v>
      </c>
      <c r="AI25" s="3339">
        <v>160</v>
      </c>
      <c r="AJ25" s="3339">
        <v>2000.04</v>
      </c>
      <c r="AK25" s="3339">
        <v>2000.03</v>
      </c>
      <c r="AL25" s="3339" t="s">
        <v>2791</v>
      </c>
      <c r="AM25" s="3339" t="s">
        <v>2791</v>
      </c>
      <c r="AN25" s="3339">
        <v>0</v>
      </c>
      <c r="AO25" s="3339" t="s">
        <v>3063</v>
      </c>
      <c r="AP25" s="3339" t="s">
        <v>2791</v>
      </c>
      <c r="AQ25" s="3339" t="s">
        <v>2791</v>
      </c>
      <c r="AR25" s="3339" t="s">
        <v>2791</v>
      </c>
      <c r="AS25" s="3339" t="s">
        <v>3064</v>
      </c>
    </row>
    <row r="26" spans="1:45" s="3340" customFormat="1" hidden="1">
      <c r="A26" s="3339" t="s">
        <v>3069</v>
      </c>
      <c r="B26" s="3339" t="s">
        <v>3056</v>
      </c>
      <c r="C26" s="3339" t="s">
        <v>3057</v>
      </c>
      <c r="D26" s="3339" t="s">
        <v>3058</v>
      </c>
      <c r="E26" s="3339" t="s">
        <v>2791</v>
      </c>
      <c r="F26" s="3339" t="s">
        <v>3069</v>
      </c>
      <c r="G26" s="3339" t="s">
        <v>3059</v>
      </c>
      <c r="H26" s="3339" t="s">
        <v>3943</v>
      </c>
      <c r="I26" s="3339" t="s">
        <v>3060</v>
      </c>
      <c r="J26" s="3339">
        <v>54558.86</v>
      </c>
      <c r="K26" s="3339">
        <v>65470.63</v>
      </c>
      <c r="L26" s="3339" t="s">
        <v>3070</v>
      </c>
      <c r="M26" s="3339" t="s">
        <v>2791</v>
      </c>
      <c r="N26" s="3339" t="s">
        <v>3071</v>
      </c>
      <c r="O26" s="3339" t="s">
        <v>3073</v>
      </c>
      <c r="P26" s="3339" t="s">
        <v>2791</v>
      </c>
      <c r="Q26" s="3339" t="s">
        <v>2791</v>
      </c>
      <c r="R26" s="3339" t="s">
        <v>2791</v>
      </c>
      <c r="S26" s="3339" t="s">
        <v>2791</v>
      </c>
      <c r="T26" s="3339" t="s">
        <v>2791</v>
      </c>
      <c r="U26" s="3339" t="s">
        <v>2791</v>
      </c>
      <c r="V26" s="3339" t="s">
        <v>2791</v>
      </c>
      <c r="W26" s="3339" t="s">
        <v>3085</v>
      </c>
      <c r="X26" s="3339" t="s">
        <v>3939</v>
      </c>
      <c r="Y26" s="3339" t="s">
        <v>3940</v>
      </c>
      <c r="Z26" s="3339" t="s">
        <v>3940</v>
      </c>
      <c r="AA26" s="3339" t="s">
        <v>3940</v>
      </c>
      <c r="AB26" s="3339" t="s">
        <v>3941</v>
      </c>
      <c r="AC26" s="3339" t="s">
        <v>3088</v>
      </c>
      <c r="AD26" s="3339" t="s">
        <v>3089</v>
      </c>
      <c r="AE26" s="3339">
        <v>13100</v>
      </c>
      <c r="AF26" s="3339">
        <v>13100</v>
      </c>
      <c r="AG26" s="3339">
        <v>13100</v>
      </c>
      <c r="AH26" s="3339">
        <v>160.07</v>
      </c>
      <c r="AI26" s="3339">
        <v>160.07</v>
      </c>
      <c r="AJ26" s="3339">
        <v>2000.89</v>
      </c>
      <c r="AK26" s="3339">
        <v>2000.9</v>
      </c>
      <c r="AL26" s="3339" t="s">
        <v>2791</v>
      </c>
      <c r="AM26" s="3339" t="s">
        <v>2791</v>
      </c>
      <c r="AN26" s="3339">
        <v>0</v>
      </c>
      <c r="AO26" s="3339" t="s">
        <v>3063</v>
      </c>
      <c r="AP26" s="3339" t="s">
        <v>2791</v>
      </c>
      <c r="AQ26" s="3339" t="s">
        <v>2791</v>
      </c>
      <c r="AR26" s="3339" t="s">
        <v>2791</v>
      </c>
      <c r="AS26" s="3339" t="s">
        <v>3064</v>
      </c>
    </row>
    <row r="27" spans="1:45" s="3340" customFormat="1" hidden="1">
      <c r="A27" s="3339" t="s">
        <v>3069</v>
      </c>
      <c r="B27" s="3339" t="s">
        <v>3056</v>
      </c>
      <c r="C27" s="3339" t="s">
        <v>3057</v>
      </c>
      <c r="D27" s="3339" t="s">
        <v>3058</v>
      </c>
      <c r="E27" s="3339" t="s">
        <v>2791</v>
      </c>
      <c r="F27" s="3339" t="s">
        <v>3069</v>
      </c>
      <c r="G27" s="3339" t="s">
        <v>3059</v>
      </c>
      <c r="H27" s="3339" t="s">
        <v>3944</v>
      </c>
      <c r="I27" s="3339" t="s">
        <v>3060</v>
      </c>
      <c r="J27" s="3339">
        <v>56897.599999999999</v>
      </c>
      <c r="K27" s="3339">
        <v>102415.67999999999</v>
      </c>
      <c r="L27" s="3339" t="s">
        <v>3067</v>
      </c>
      <c r="M27" s="3339" t="s">
        <v>2791</v>
      </c>
      <c r="N27" s="3339" t="s">
        <v>3071</v>
      </c>
      <c r="O27" s="3339" t="s">
        <v>3074</v>
      </c>
      <c r="P27" s="3339" t="s">
        <v>2791</v>
      </c>
      <c r="Q27" s="3339" t="s">
        <v>2791</v>
      </c>
      <c r="R27" s="3339" t="s">
        <v>2791</v>
      </c>
      <c r="S27" s="3339" t="s">
        <v>2791</v>
      </c>
      <c r="T27" s="3339" t="s">
        <v>2791</v>
      </c>
      <c r="U27" s="3339" t="s">
        <v>2791</v>
      </c>
      <c r="V27" s="3339" t="s">
        <v>2791</v>
      </c>
      <c r="W27" s="3339" t="s">
        <v>3085</v>
      </c>
      <c r="X27" s="3339" t="s">
        <v>3939</v>
      </c>
      <c r="Y27" s="3339" t="s">
        <v>3940</v>
      </c>
      <c r="Z27" s="3339" t="s">
        <v>3940</v>
      </c>
      <c r="AA27" s="3339" t="s">
        <v>3940</v>
      </c>
      <c r="AB27" s="3339" t="s">
        <v>3941</v>
      </c>
      <c r="AC27" s="3339" t="s">
        <v>3088</v>
      </c>
      <c r="AD27" s="3339" t="s">
        <v>3089</v>
      </c>
      <c r="AE27" s="3339">
        <v>20484</v>
      </c>
      <c r="AF27" s="3339">
        <v>20484</v>
      </c>
      <c r="AG27" s="3339">
        <v>20484</v>
      </c>
      <c r="AH27" s="3339">
        <v>240.01</v>
      </c>
      <c r="AI27" s="3339">
        <v>240.01</v>
      </c>
      <c r="AJ27" s="3339">
        <v>2000.08</v>
      </c>
      <c r="AK27" s="3339">
        <v>2000.07</v>
      </c>
      <c r="AL27" s="3339" t="s">
        <v>2791</v>
      </c>
      <c r="AM27" s="3339" t="s">
        <v>2791</v>
      </c>
      <c r="AN27" s="3339">
        <v>0</v>
      </c>
      <c r="AO27" s="3339" t="s">
        <v>3063</v>
      </c>
      <c r="AP27" s="3339" t="s">
        <v>2791</v>
      </c>
      <c r="AQ27" s="3339" t="s">
        <v>2791</v>
      </c>
      <c r="AR27" s="3339" t="s">
        <v>2791</v>
      </c>
      <c r="AS27" s="3339" t="s">
        <v>3064</v>
      </c>
    </row>
    <row r="28" spans="1:45" s="3340" customFormat="1" hidden="1">
      <c r="A28" s="3339" t="s">
        <v>3069</v>
      </c>
      <c r="B28" s="3339" t="s">
        <v>3056</v>
      </c>
      <c r="C28" s="3339" t="s">
        <v>3057</v>
      </c>
      <c r="D28" s="3339" t="s">
        <v>3058</v>
      </c>
      <c r="E28" s="3339" t="s">
        <v>2791</v>
      </c>
      <c r="F28" s="3339" t="s">
        <v>3069</v>
      </c>
      <c r="G28" s="3339" t="s">
        <v>3059</v>
      </c>
      <c r="H28" s="3339" t="s">
        <v>3945</v>
      </c>
      <c r="I28" s="3339" t="s">
        <v>3060</v>
      </c>
      <c r="J28" s="3339">
        <v>51430.06</v>
      </c>
      <c r="K28" s="3339">
        <v>61716.07</v>
      </c>
      <c r="L28" s="3339" t="s">
        <v>3070</v>
      </c>
      <c r="M28" s="3339" t="s">
        <v>2791</v>
      </c>
      <c r="N28" s="3339" t="s">
        <v>3071</v>
      </c>
      <c r="O28" s="3339" t="s">
        <v>3072</v>
      </c>
      <c r="P28" s="3339" t="s">
        <v>2791</v>
      </c>
      <c r="Q28" s="3339" t="s">
        <v>2791</v>
      </c>
      <c r="R28" s="3339" t="s">
        <v>2791</v>
      </c>
      <c r="S28" s="3339" t="s">
        <v>2791</v>
      </c>
      <c r="T28" s="3339" t="s">
        <v>2791</v>
      </c>
      <c r="U28" s="3339" t="s">
        <v>2791</v>
      </c>
      <c r="V28" s="3339" t="s">
        <v>2791</v>
      </c>
      <c r="W28" s="3339" t="s">
        <v>3085</v>
      </c>
      <c r="X28" s="3339" t="s">
        <v>3939</v>
      </c>
      <c r="Y28" s="3339" t="s">
        <v>3940</v>
      </c>
      <c r="Z28" s="3339" t="s">
        <v>3940</v>
      </c>
      <c r="AA28" s="3339" t="s">
        <v>3940</v>
      </c>
      <c r="AB28" s="3339" t="s">
        <v>3941</v>
      </c>
      <c r="AC28" s="3339" t="s">
        <v>3088</v>
      </c>
      <c r="AD28" s="3339" t="s">
        <v>3942</v>
      </c>
      <c r="AE28" s="3339">
        <v>12344</v>
      </c>
      <c r="AF28" s="3339">
        <v>12344</v>
      </c>
      <c r="AG28" s="3339">
        <v>12344</v>
      </c>
      <c r="AH28" s="3339">
        <v>160.01</v>
      </c>
      <c r="AI28" s="3339">
        <v>160.01</v>
      </c>
      <c r="AJ28" s="3339">
        <v>2000.12</v>
      </c>
      <c r="AK28" s="3339">
        <v>2000.13</v>
      </c>
      <c r="AL28" s="3339" t="s">
        <v>2791</v>
      </c>
      <c r="AM28" s="3339" t="s">
        <v>2791</v>
      </c>
      <c r="AN28" s="3339">
        <v>0</v>
      </c>
      <c r="AO28" s="3339" t="s">
        <v>3063</v>
      </c>
      <c r="AP28" s="3339" t="s">
        <v>2791</v>
      </c>
      <c r="AQ28" s="3339" t="s">
        <v>2791</v>
      </c>
      <c r="AR28" s="3339" t="s">
        <v>2791</v>
      </c>
      <c r="AS28" s="3339" t="s">
        <v>3064</v>
      </c>
    </row>
    <row r="29" spans="1:45">
      <c r="A29" s="3370" t="s">
        <v>3946</v>
      </c>
      <c r="B29" s="3370" t="s">
        <v>3056</v>
      </c>
      <c r="C29" s="3370" t="s">
        <v>3057</v>
      </c>
      <c r="D29" s="3370" t="s">
        <v>3058</v>
      </c>
      <c r="E29" s="3370" t="s">
        <v>2791</v>
      </c>
      <c r="F29" s="3370" t="s">
        <v>3946</v>
      </c>
      <c r="G29" s="3370" t="s">
        <v>3059</v>
      </c>
      <c r="H29" s="3370" t="s">
        <v>4180</v>
      </c>
      <c r="I29" s="3370" t="s">
        <v>3060</v>
      </c>
      <c r="J29" s="3370">
        <v>19411.07</v>
      </c>
      <c r="K29" s="3370">
        <v>48527.68</v>
      </c>
      <c r="L29" s="3370" t="s">
        <v>3075</v>
      </c>
      <c r="M29" s="3370" t="s">
        <v>2791</v>
      </c>
      <c r="N29" s="3370" t="s">
        <v>3076</v>
      </c>
      <c r="O29" s="3370" t="s">
        <v>3077</v>
      </c>
      <c r="P29" s="3370" t="s">
        <v>2791</v>
      </c>
      <c r="Q29" s="3370" t="s">
        <v>2791</v>
      </c>
      <c r="R29" s="3370" t="s">
        <v>2791</v>
      </c>
      <c r="S29" s="3370" t="s">
        <v>2791</v>
      </c>
      <c r="T29" s="3370" t="s">
        <v>2791</v>
      </c>
      <c r="U29" s="3370" t="s">
        <v>2791</v>
      </c>
      <c r="V29" s="3370" t="s">
        <v>2791</v>
      </c>
      <c r="W29" s="3370" t="s">
        <v>3085</v>
      </c>
      <c r="X29" s="3370" t="s">
        <v>3947</v>
      </c>
      <c r="Y29" s="3370" t="s">
        <v>3948</v>
      </c>
      <c r="Z29" s="3370" t="s">
        <v>3948</v>
      </c>
      <c r="AA29" s="3370" t="s">
        <v>3948</v>
      </c>
      <c r="AB29" s="3370" t="s">
        <v>3949</v>
      </c>
      <c r="AC29" s="3370" t="s">
        <v>3088</v>
      </c>
      <c r="AD29" s="3370" t="s">
        <v>3950</v>
      </c>
      <c r="AE29" s="3370">
        <v>3884</v>
      </c>
      <c r="AF29" s="3370">
        <v>19420</v>
      </c>
      <c r="AG29" s="3370">
        <v>29200</v>
      </c>
      <c r="AH29" s="3370">
        <v>666.97</v>
      </c>
      <c r="AI29" s="3370">
        <v>1002.86</v>
      </c>
      <c r="AJ29" s="3370">
        <v>4001.83</v>
      </c>
      <c r="AK29" s="3370">
        <v>6017.18</v>
      </c>
      <c r="AL29" s="3370" t="s">
        <v>2791</v>
      </c>
      <c r="AM29" s="3370" t="s">
        <v>2791</v>
      </c>
      <c r="AN29" s="3370">
        <v>50.36</v>
      </c>
      <c r="AO29" s="3370" t="s">
        <v>3063</v>
      </c>
      <c r="AP29" s="3370" t="s">
        <v>2791</v>
      </c>
      <c r="AQ29" s="3370" t="s">
        <v>2791</v>
      </c>
      <c r="AR29" s="3370" t="s">
        <v>2791</v>
      </c>
      <c r="AS29" s="3370" t="s">
        <v>3064</v>
      </c>
    </row>
    <row r="30" spans="1:45">
      <c r="A30" s="3370" t="s">
        <v>3946</v>
      </c>
      <c r="B30" s="3370" t="s">
        <v>3056</v>
      </c>
      <c r="C30" s="3370" t="s">
        <v>3057</v>
      </c>
      <c r="D30" s="3370" t="s">
        <v>3058</v>
      </c>
      <c r="E30" s="3370" t="s">
        <v>2791</v>
      </c>
      <c r="F30" s="3370" t="s">
        <v>3946</v>
      </c>
      <c r="G30" s="3370" t="s">
        <v>3059</v>
      </c>
      <c r="H30" s="3370" t="s">
        <v>3951</v>
      </c>
      <c r="I30" s="3370" t="s">
        <v>3060</v>
      </c>
      <c r="J30" s="3370">
        <v>9811.5499999999993</v>
      </c>
      <c r="K30" s="3370">
        <v>24528.880000000001</v>
      </c>
      <c r="L30" s="3370" t="s">
        <v>3075</v>
      </c>
      <c r="M30" s="3370" t="s">
        <v>2791</v>
      </c>
      <c r="N30" s="3370" t="s">
        <v>3076</v>
      </c>
      <c r="O30" s="3370" t="s">
        <v>3078</v>
      </c>
      <c r="P30" s="3370" t="s">
        <v>2791</v>
      </c>
      <c r="Q30" s="3370" t="s">
        <v>2791</v>
      </c>
      <c r="R30" s="3370" t="s">
        <v>2791</v>
      </c>
      <c r="S30" s="3370" t="s">
        <v>2791</v>
      </c>
      <c r="T30" s="3370" t="s">
        <v>2791</v>
      </c>
      <c r="U30" s="3370" t="s">
        <v>2791</v>
      </c>
      <c r="V30" s="3370" t="s">
        <v>2791</v>
      </c>
      <c r="W30" s="3370" t="s">
        <v>3085</v>
      </c>
      <c r="X30" s="3370" t="s">
        <v>3947</v>
      </c>
      <c r="Y30" s="3370" t="s">
        <v>3948</v>
      </c>
      <c r="Z30" s="3370" t="s">
        <v>3948</v>
      </c>
      <c r="AA30" s="3370" t="s">
        <v>3948</v>
      </c>
      <c r="AB30" s="3370" t="s">
        <v>3949</v>
      </c>
      <c r="AC30" s="3370" t="s">
        <v>3088</v>
      </c>
      <c r="AD30" s="3370" t="s">
        <v>3950</v>
      </c>
      <c r="AE30" s="3370">
        <v>1964</v>
      </c>
      <c r="AF30" s="3370">
        <v>9820</v>
      </c>
      <c r="AG30" s="3370">
        <v>11800</v>
      </c>
      <c r="AH30" s="3370">
        <v>667.24</v>
      </c>
      <c r="AI30" s="3370">
        <v>801.78</v>
      </c>
      <c r="AJ30" s="3370">
        <v>4003.44</v>
      </c>
      <c r="AK30" s="3370">
        <v>4810.6499999999996</v>
      </c>
      <c r="AL30" s="3370" t="s">
        <v>2791</v>
      </c>
      <c r="AM30" s="3370" t="s">
        <v>2791</v>
      </c>
      <c r="AN30" s="3370">
        <v>20.16</v>
      </c>
      <c r="AO30" s="3370" t="s">
        <v>3063</v>
      </c>
      <c r="AP30" s="3370" t="s">
        <v>2791</v>
      </c>
      <c r="AQ30" s="3370" t="s">
        <v>2791</v>
      </c>
      <c r="AR30" s="3370" t="s">
        <v>2791</v>
      </c>
      <c r="AS30" s="3370" t="s">
        <v>3064</v>
      </c>
    </row>
    <row r="31" spans="1:45">
      <c r="A31" s="3370" t="s">
        <v>3946</v>
      </c>
      <c r="B31" s="3370" t="s">
        <v>3056</v>
      </c>
      <c r="C31" s="3370" t="s">
        <v>3057</v>
      </c>
      <c r="D31" s="3370" t="s">
        <v>3058</v>
      </c>
      <c r="E31" s="3370" t="s">
        <v>2791</v>
      </c>
      <c r="F31" s="3370" t="s">
        <v>3946</v>
      </c>
      <c r="G31" s="3370" t="s">
        <v>3059</v>
      </c>
      <c r="H31" s="3370" t="s">
        <v>3952</v>
      </c>
      <c r="I31" s="3370" t="s">
        <v>3060</v>
      </c>
      <c r="J31" s="3370">
        <v>7412.18</v>
      </c>
      <c r="K31" s="3370">
        <v>18530.45</v>
      </c>
      <c r="L31" s="3370" t="s">
        <v>3075</v>
      </c>
      <c r="M31" s="3370" t="s">
        <v>2791</v>
      </c>
      <c r="N31" s="3370" t="s">
        <v>3076</v>
      </c>
      <c r="O31" s="3370" t="s">
        <v>3077</v>
      </c>
      <c r="P31" s="3370" t="s">
        <v>2791</v>
      </c>
      <c r="Q31" s="3370" t="s">
        <v>2791</v>
      </c>
      <c r="R31" s="3370" t="s">
        <v>2791</v>
      </c>
      <c r="S31" s="3370" t="s">
        <v>2791</v>
      </c>
      <c r="T31" s="3370" t="s">
        <v>2791</v>
      </c>
      <c r="U31" s="3370" t="s">
        <v>2791</v>
      </c>
      <c r="V31" s="3370" t="s">
        <v>2791</v>
      </c>
      <c r="W31" s="3370" t="s">
        <v>3085</v>
      </c>
      <c r="X31" s="3370" t="s">
        <v>3947</v>
      </c>
      <c r="Y31" s="3370" t="s">
        <v>3948</v>
      </c>
      <c r="Z31" s="3370" t="s">
        <v>3948</v>
      </c>
      <c r="AA31" s="3370" t="s">
        <v>3948</v>
      </c>
      <c r="AB31" s="3370" t="s">
        <v>3949</v>
      </c>
      <c r="AC31" s="3370" t="s">
        <v>3088</v>
      </c>
      <c r="AD31" s="3370" t="s">
        <v>3950</v>
      </c>
      <c r="AE31" s="3370">
        <v>1484</v>
      </c>
      <c r="AF31" s="3370">
        <v>7420</v>
      </c>
      <c r="AG31" s="3370">
        <v>11300</v>
      </c>
      <c r="AH31" s="3370">
        <v>667.37</v>
      </c>
      <c r="AI31" s="3370">
        <v>1016.35</v>
      </c>
      <c r="AJ31" s="3370">
        <v>4004.21</v>
      </c>
      <c r="AK31" s="3370">
        <v>6098.06</v>
      </c>
      <c r="AL31" s="3370" t="s">
        <v>2791</v>
      </c>
      <c r="AM31" s="3370" t="s">
        <v>2791</v>
      </c>
      <c r="AN31" s="3370">
        <v>52.29</v>
      </c>
      <c r="AO31" s="3370" t="s">
        <v>3063</v>
      </c>
      <c r="AP31" s="3370" t="s">
        <v>2791</v>
      </c>
      <c r="AQ31" s="3370" t="s">
        <v>2791</v>
      </c>
      <c r="AR31" s="3370" t="s">
        <v>2791</v>
      </c>
      <c r="AS31" s="3370" t="s">
        <v>3064</v>
      </c>
    </row>
    <row r="32" spans="1:45" s="3554" customFormat="1">
      <c r="A32" s="3555" t="s">
        <v>3953</v>
      </c>
      <c r="B32" s="3555" t="s">
        <v>3056</v>
      </c>
      <c r="C32" s="3555" t="s">
        <v>3057</v>
      </c>
      <c r="D32" s="3555" t="s">
        <v>3058</v>
      </c>
      <c r="E32" s="3555" t="s">
        <v>2791</v>
      </c>
      <c r="F32" s="3555" t="s">
        <v>3953</v>
      </c>
      <c r="G32" s="3555" t="s">
        <v>3059</v>
      </c>
      <c r="H32" s="3555" t="s">
        <v>3954</v>
      </c>
      <c r="I32" s="3555" t="s">
        <v>3060</v>
      </c>
      <c r="J32" s="3555">
        <v>56366.559999999998</v>
      </c>
      <c r="K32" s="3555">
        <v>101459.81</v>
      </c>
      <c r="L32" s="3555" t="s">
        <v>3079</v>
      </c>
      <c r="M32" s="3555" t="s">
        <v>2791</v>
      </c>
      <c r="N32" s="3555" t="s">
        <v>3061</v>
      </c>
      <c r="O32" s="3555" t="s">
        <v>3080</v>
      </c>
      <c r="P32" s="3555" t="s">
        <v>2791</v>
      </c>
      <c r="Q32" s="3555" t="s">
        <v>2791</v>
      </c>
      <c r="R32" s="3555" t="s">
        <v>2791</v>
      </c>
      <c r="S32" s="3555" t="s">
        <v>2791</v>
      </c>
      <c r="T32" s="3555" t="s">
        <v>2791</v>
      </c>
      <c r="U32" s="3555" t="s">
        <v>2791</v>
      </c>
      <c r="V32" s="3555" t="s">
        <v>2791</v>
      </c>
      <c r="W32" s="3555" t="s">
        <v>3085</v>
      </c>
      <c r="X32" s="3555" t="s">
        <v>3947</v>
      </c>
      <c r="Y32" s="3555" t="s">
        <v>3955</v>
      </c>
      <c r="Z32" s="3555" t="s">
        <v>3955</v>
      </c>
      <c r="AA32" s="3555" t="s">
        <v>3955</v>
      </c>
      <c r="AB32" s="3555" t="s">
        <v>3956</v>
      </c>
      <c r="AC32" s="3555" t="s">
        <v>3088</v>
      </c>
      <c r="AD32" s="3555" t="s">
        <v>3143</v>
      </c>
      <c r="AE32" s="3555">
        <v>6088</v>
      </c>
      <c r="AF32" s="3555">
        <v>30440</v>
      </c>
      <c r="AG32" s="3555">
        <v>30450</v>
      </c>
      <c r="AH32" s="3555">
        <v>360.02</v>
      </c>
      <c r="AI32" s="3555">
        <v>360.14</v>
      </c>
      <c r="AJ32" s="3555">
        <v>3000.2</v>
      </c>
      <c r="AK32" s="3555">
        <v>3001.19</v>
      </c>
      <c r="AL32" s="3555" t="s">
        <v>2791</v>
      </c>
      <c r="AM32" s="3555" t="s">
        <v>2791</v>
      </c>
      <c r="AN32" s="3555">
        <v>0.03</v>
      </c>
      <c r="AO32" s="3555" t="s">
        <v>3063</v>
      </c>
      <c r="AP32" s="3555" t="s">
        <v>2791</v>
      </c>
      <c r="AQ32" s="3555" t="s">
        <v>2791</v>
      </c>
      <c r="AR32" s="3555" t="s">
        <v>2791</v>
      </c>
      <c r="AS32" s="3555" t="s">
        <v>3081</v>
      </c>
    </row>
    <row r="33" spans="1:45" s="3626" customFormat="1" ht="14.25" thickBot="1">
      <c r="A33" s="3625" t="s">
        <v>3953</v>
      </c>
      <c r="B33" s="3625" t="s">
        <v>3056</v>
      </c>
      <c r="C33" s="3625" t="s">
        <v>3057</v>
      </c>
      <c r="D33" s="3625" t="s">
        <v>3058</v>
      </c>
      <c r="E33" s="3625" t="s">
        <v>2791</v>
      </c>
      <c r="F33" s="3625" t="s">
        <v>3953</v>
      </c>
      <c r="G33" s="3625" t="s">
        <v>3059</v>
      </c>
      <c r="H33" s="3625" t="s">
        <v>3957</v>
      </c>
      <c r="I33" s="3625" t="s">
        <v>3060</v>
      </c>
      <c r="J33" s="3625">
        <v>38670.629999999997</v>
      </c>
      <c r="K33" s="3625">
        <v>69607.13</v>
      </c>
      <c r="L33" s="3625" t="s">
        <v>3079</v>
      </c>
      <c r="M33" s="3625" t="s">
        <v>2791</v>
      </c>
      <c r="N33" s="3625" t="s">
        <v>3874</v>
      </c>
      <c r="O33" s="3625" t="s">
        <v>3875</v>
      </c>
      <c r="P33" s="3625" t="s">
        <v>2791</v>
      </c>
      <c r="Q33" s="3625" t="s">
        <v>2791</v>
      </c>
      <c r="R33" s="3625" t="s">
        <v>2791</v>
      </c>
      <c r="S33" s="3625" t="s">
        <v>2791</v>
      </c>
      <c r="T33" s="3625" t="s">
        <v>2791</v>
      </c>
      <c r="U33" s="3625" t="s">
        <v>2791</v>
      </c>
      <c r="V33" s="3625" t="s">
        <v>2791</v>
      </c>
      <c r="W33" s="3625" t="s">
        <v>3085</v>
      </c>
      <c r="X33" s="3625" t="s">
        <v>3947</v>
      </c>
      <c r="Y33" s="3625" t="s">
        <v>3955</v>
      </c>
      <c r="Z33" s="3625" t="s">
        <v>3955</v>
      </c>
      <c r="AA33" s="3625" t="s">
        <v>3955</v>
      </c>
      <c r="AB33" s="3625" t="s">
        <v>3956</v>
      </c>
      <c r="AC33" s="3625" t="s">
        <v>3088</v>
      </c>
      <c r="AD33" s="3625" t="s">
        <v>3143</v>
      </c>
      <c r="AE33" s="3625">
        <v>4178</v>
      </c>
      <c r="AF33" s="3625">
        <v>20890</v>
      </c>
      <c r="AG33" s="3625">
        <v>20900</v>
      </c>
      <c r="AH33" s="3625">
        <v>360.14</v>
      </c>
      <c r="AI33" s="3625">
        <v>360.31</v>
      </c>
      <c r="AJ33" s="3625">
        <v>3001.12</v>
      </c>
      <c r="AK33" s="3625">
        <v>3002.57</v>
      </c>
      <c r="AL33" s="3625" t="s">
        <v>2791</v>
      </c>
      <c r="AM33" s="3625" t="s">
        <v>2791</v>
      </c>
      <c r="AN33" s="3625">
        <v>0.05</v>
      </c>
      <c r="AO33" s="3625" t="s">
        <v>3063</v>
      </c>
      <c r="AP33" s="3625" t="s">
        <v>2791</v>
      </c>
      <c r="AQ33" s="3625" t="s">
        <v>2791</v>
      </c>
      <c r="AR33" s="3625" t="s">
        <v>2791</v>
      </c>
      <c r="AS33" s="3625" t="s">
        <v>3081</v>
      </c>
    </row>
    <row r="34" spans="1:45" s="3278" customFormat="1" ht="14.25" hidden="1" thickTop="1">
      <c r="A34" s="3277" t="s">
        <v>3083</v>
      </c>
      <c r="B34" s="3277" t="s">
        <v>3056</v>
      </c>
      <c r="C34" s="3277" t="s">
        <v>3057</v>
      </c>
      <c r="D34" s="3277" t="s">
        <v>3058</v>
      </c>
      <c r="E34" s="3277" t="s">
        <v>2791</v>
      </c>
      <c r="F34" s="3277" t="s">
        <v>3083</v>
      </c>
      <c r="G34" s="3277" t="s">
        <v>3059</v>
      </c>
      <c r="H34" s="3277" t="s">
        <v>3084</v>
      </c>
      <c r="I34" s="3277" t="s">
        <v>3060</v>
      </c>
      <c r="J34" s="3277">
        <v>28431.200000000001</v>
      </c>
      <c r="K34" s="3277">
        <v>34117.440000000002</v>
      </c>
      <c r="L34" s="3277" t="s">
        <v>3070</v>
      </c>
      <c r="M34" s="3277" t="s">
        <v>2791</v>
      </c>
      <c r="N34" s="3277" t="s">
        <v>3071</v>
      </c>
      <c r="O34" s="3277" t="s">
        <v>3072</v>
      </c>
      <c r="P34" s="3277" t="s">
        <v>2791</v>
      </c>
      <c r="Q34" s="3277" t="s">
        <v>2791</v>
      </c>
      <c r="R34" s="3277" t="s">
        <v>2791</v>
      </c>
      <c r="S34" s="3277" t="s">
        <v>2791</v>
      </c>
      <c r="T34" s="3277" t="s">
        <v>2791</v>
      </c>
      <c r="U34" s="3277" t="s">
        <v>2791</v>
      </c>
      <c r="V34" s="3277" t="s">
        <v>2791</v>
      </c>
      <c r="W34" s="3277" t="s">
        <v>3085</v>
      </c>
      <c r="X34" s="3277" t="s">
        <v>3086</v>
      </c>
      <c r="Y34" s="3277" t="s">
        <v>3065</v>
      </c>
      <c r="Z34" s="3277" t="s">
        <v>3065</v>
      </c>
      <c r="AA34" s="3277" t="s">
        <v>3065</v>
      </c>
      <c r="AB34" s="3277" t="s">
        <v>3087</v>
      </c>
      <c r="AC34" s="3277" t="s">
        <v>3088</v>
      </c>
      <c r="AD34" s="3277" t="s">
        <v>3089</v>
      </c>
      <c r="AE34" s="3277">
        <v>6825</v>
      </c>
      <c r="AF34" s="3277">
        <v>6825</v>
      </c>
      <c r="AG34" s="3277">
        <v>6825</v>
      </c>
      <c r="AH34" s="3277">
        <v>160.04</v>
      </c>
      <c r="AI34" s="3277">
        <v>160.04</v>
      </c>
      <c r="AJ34" s="3277">
        <v>2000.44</v>
      </c>
      <c r="AK34" s="3277">
        <v>2000.44</v>
      </c>
      <c r="AL34" s="3277" t="s">
        <v>2791</v>
      </c>
      <c r="AM34" s="3277" t="s">
        <v>2791</v>
      </c>
      <c r="AN34" s="3277">
        <v>0</v>
      </c>
      <c r="AO34" s="3277" t="s">
        <v>3063</v>
      </c>
      <c r="AP34" s="3277" t="s">
        <v>2791</v>
      </c>
      <c r="AQ34" s="3277" t="s">
        <v>2791</v>
      </c>
      <c r="AR34" s="3277" t="s">
        <v>2791</v>
      </c>
      <c r="AS34" s="3277" t="s">
        <v>3064</v>
      </c>
    </row>
    <row r="35" spans="1:45" s="3278" customFormat="1" hidden="1">
      <c r="A35" s="3277" t="s">
        <v>3090</v>
      </c>
      <c r="B35" s="3277" t="s">
        <v>3056</v>
      </c>
      <c r="C35" s="3277" t="s">
        <v>3057</v>
      </c>
      <c r="D35" s="3277" t="s">
        <v>3058</v>
      </c>
      <c r="E35" s="3277" t="s">
        <v>2791</v>
      </c>
      <c r="F35" s="3277" t="s">
        <v>3090</v>
      </c>
      <c r="G35" s="3277" t="s">
        <v>3059</v>
      </c>
      <c r="H35" s="3277" t="s">
        <v>3091</v>
      </c>
      <c r="I35" s="3277" t="s">
        <v>3099</v>
      </c>
      <c r="J35" s="3277">
        <v>36063.68</v>
      </c>
      <c r="K35" s="3277">
        <v>54095.519999999997</v>
      </c>
      <c r="L35" s="3277" t="s">
        <v>3092</v>
      </c>
      <c r="M35" s="3277" t="s">
        <v>2791</v>
      </c>
      <c r="N35" s="3277" t="s">
        <v>3071</v>
      </c>
      <c r="O35" s="3277" t="s">
        <v>3093</v>
      </c>
      <c r="P35" s="3277" t="s">
        <v>2791</v>
      </c>
      <c r="Q35" s="3277" t="s">
        <v>2791</v>
      </c>
      <c r="R35" s="3277" t="s">
        <v>2791</v>
      </c>
      <c r="S35" s="3277" t="s">
        <v>2791</v>
      </c>
      <c r="T35" s="3277" t="s">
        <v>2791</v>
      </c>
      <c r="U35" s="3277" t="s">
        <v>2791</v>
      </c>
      <c r="V35" s="3277" t="s">
        <v>2791</v>
      </c>
      <c r="W35" s="3277" t="s">
        <v>3085</v>
      </c>
      <c r="X35" s="3277" t="s">
        <v>3340</v>
      </c>
      <c r="Y35" s="3277" t="s">
        <v>3341</v>
      </c>
      <c r="Z35" s="3277" t="s">
        <v>3341</v>
      </c>
      <c r="AA35" s="3277" t="s">
        <v>3065</v>
      </c>
      <c r="AB35" s="3277" t="s">
        <v>3342</v>
      </c>
      <c r="AC35" s="3277" t="s">
        <v>3088</v>
      </c>
      <c r="AD35" s="3277" t="s">
        <v>3094</v>
      </c>
      <c r="AE35" s="3277">
        <v>10820</v>
      </c>
      <c r="AF35" s="3277">
        <v>10820</v>
      </c>
      <c r="AG35" s="3277">
        <v>10820</v>
      </c>
      <c r="AH35" s="3277">
        <v>200.02</v>
      </c>
      <c r="AI35" s="3277">
        <v>200.02</v>
      </c>
      <c r="AJ35" s="3277">
        <v>2000.16</v>
      </c>
      <c r="AK35" s="3277">
        <v>2000.17</v>
      </c>
      <c r="AL35" s="3277" t="s">
        <v>2791</v>
      </c>
      <c r="AM35" s="3277" t="s">
        <v>2791</v>
      </c>
      <c r="AN35" s="3277">
        <v>0</v>
      </c>
      <c r="AO35" s="3277" t="s">
        <v>3063</v>
      </c>
      <c r="AP35" s="3277" t="s">
        <v>2791</v>
      </c>
      <c r="AQ35" s="3277" t="s">
        <v>2791</v>
      </c>
      <c r="AR35" s="3277" t="s">
        <v>2791</v>
      </c>
      <c r="AS35" s="3277" t="s">
        <v>3082</v>
      </c>
    </row>
    <row r="36" spans="1:45" s="3278" customFormat="1" hidden="1">
      <c r="A36" s="3277" t="s">
        <v>3090</v>
      </c>
      <c r="B36" s="3277" t="s">
        <v>3056</v>
      </c>
      <c r="C36" s="3277" t="s">
        <v>3057</v>
      </c>
      <c r="D36" s="3277" t="s">
        <v>3058</v>
      </c>
      <c r="E36" s="3277" t="s">
        <v>2791</v>
      </c>
      <c r="F36" s="3277" t="s">
        <v>3090</v>
      </c>
      <c r="G36" s="3277" t="s">
        <v>3059</v>
      </c>
      <c r="H36" s="3277" t="s">
        <v>3091</v>
      </c>
      <c r="I36" s="3277" t="s">
        <v>3060</v>
      </c>
      <c r="J36" s="3277">
        <v>36063.68</v>
      </c>
      <c r="K36" s="3277">
        <v>54095.519999999997</v>
      </c>
      <c r="L36" s="3277" t="s">
        <v>3092</v>
      </c>
      <c r="M36" s="3277" t="s">
        <v>2791</v>
      </c>
      <c r="N36" s="3277" t="s">
        <v>3071</v>
      </c>
      <c r="O36" s="3277" t="s">
        <v>3093</v>
      </c>
      <c r="P36" s="3277" t="s">
        <v>2791</v>
      </c>
      <c r="Q36" s="3277" t="s">
        <v>2791</v>
      </c>
      <c r="R36" s="3277" t="s">
        <v>2791</v>
      </c>
      <c r="S36" s="3277" t="s">
        <v>2791</v>
      </c>
      <c r="T36" s="3277" t="s">
        <v>2791</v>
      </c>
      <c r="U36" s="3277" t="s">
        <v>2791</v>
      </c>
      <c r="V36" s="3277" t="s">
        <v>2791</v>
      </c>
      <c r="W36" s="3277" t="s">
        <v>3085</v>
      </c>
      <c r="X36" s="3277" t="s">
        <v>3086</v>
      </c>
      <c r="Y36" s="3277" t="s">
        <v>3065</v>
      </c>
      <c r="Z36" s="3277" t="s">
        <v>3065</v>
      </c>
      <c r="AA36" s="3277" t="s">
        <v>3065</v>
      </c>
      <c r="AB36" s="3277" t="s">
        <v>3087</v>
      </c>
      <c r="AC36" s="3277" t="s">
        <v>3088</v>
      </c>
      <c r="AD36" s="3277" t="s">
        <v>3094</v>
      </c>
      <c r="AE36" s="3277">
        <v>10820</v>
      </c>
      <c r="AF36" s="3277">
        <v>10820</v>
      </c>
      <c r="AG36" s="3277">
        <v>10820</v>
      </c>
      <c r="AH36" s="3277">
        <v>200.02</v>
      </c>
      <c r="AI36" s="3277">
        <v>200.02</v>
      </c>
      <c r="AJ36" s="3277">
        <v>2000.16</v>
      </c>
      <c r="AK36" s="3277">
        <v>2000.17</v>
      </c>
      <c r="AL36" s="3277" t="s">
        <v>2791</v>
      </c>
      <c r="AM36" s="3277" t="s">
        <v>2791</v>
      </c>
      <c r="AN36" s="3277">
        <v>0</v>
      </c>
      <c r="AO36" s="3277" t="s">
        <v>3063</v>
      </c>
      <c r="AP36" s="3277" t="s">
        <v>2791</v>
      </c>
      <c r="AQ36" s="3277" t="s">
        <v>2791</v>
      </c>
      <c r="AR36" s="3277" t="s">
        <v>2791</v>
      </c>
      <c r="AS36" s="3277" t="s">
        <v>3064</v>
      </c>
    </row>
    <row r="37" spans="1:45" s="3278" customFormat="1" hidden="1">
      <c r="A37" s="3277" t="s">
        <v>3069</v>
      </c>
      <c r="B37" s="3277" t="s">
        <v>3056</v>
      </c>
      <c r="C37" s="3277" t="s">
        <v>3057</v>
      </c>
      <c r="D37" s="3277" t="s">
        <v>3058</v>
      </c>
      <c r="E37" s="3277" t="s">
        <v>2791</v>
      </c>
      <c r="F37" s="3277" t="s">
        <v>3069</v>
      </c>
      <c r="G37" s="3277" t="s">
        <v>3059</v>
      </c>
      <c r="H37" s="3277" t="s">
        <v>3095</v>
      </c>
      <c r="I37" s="3277" t="s">
        <v>3060</v>
      </c>
      <c r="J37" s="3277">
        <v>63229.66</v>
      </c>
      <c r="K37" s="3277">
        <v>113813.39</v>
      </c>
      <c r="L37" s="3277" t="s">
        <v>3067</v>
      </c>
      <c r="M37" s="3277" t="s">
        <v>2791</v>
      </c>
      <c r="N37" s="3277" t="s">
        <v>3071</v>
      </c>
      <c r="O37" s="3277" t="s">
        <v>3074</v>
      </c>
      <c r="P37" s="3277" t="s">
        <v>2791</v>
      </c>
      <c r="Q37" s="3277" t="s">
        <v>2791</v>
      </c>
      <c r="R37" s="3277" t="s">
        <v>2791</v>
      </c>
      <c r="S37" s="3277" t="s">
        <v>2791</v>
      </c>
      <c r="T37" s="3277" t="s">
        <v>2791</v>
      </c>
      <c r="U37" s="3277" t="s">
        <v>2791</v>
      </c>
      <c r="V37" s="3277" t="s">
        <v>2791</v>
      </c>
      <c r="W37" s="3277" t="s">
        <v>3085</v>
      </c>
      <c r="X37" s="3277" t="s">
        <v>3086</v>
      </c>
      <c r="Y37" s="3277" t="s">
        <v>3065</v>
      </c>
      <c r="Z37" s="3277" t="s">
        <v>3065</v>
      </c>
      <c r="AA37" s="3277" t="s">
        <v>3065</v>
      </c>
      <c r="AB37" s="3277" t="s">
        <v>3087</v>
      </c>
      <c r="AC37" s="3277" t="s">
        <v>3088</v>
      </c>
      <c r="AD37" s="3277" t="s">
        <v>3089</v>
      </c>
      <c r="AE37" s="3277">
        <v>22770</v>
      </c>
      <c r="AF37" s="3277">
        <v>22770</v>
      </c>
      <c r="AG37" s="3277">
        <v>22770</v>
      </c>
      <c r="AH37" s="3277">
        <v>240.08</v>
      </c>
      <c r="AI37" s="3277">
        <v>240.08</v>
      </c>
      <c r="AJ37" s="3277">
        <v>2000.64</v>
      </c>
      <c r="AK37" s="3277">
        <v>2000.64</v>
      </c>
      <c r="AL37" s="3277" t="s">
        <v>2791</v>
      </c>
      <c r="AM37" s="3277" t="s">
        <v>2791</v>
      </c>
      <c r="AN37" s="3277">
        <v>0</v>
      </c>
      <c r="AO37" s="3277" t="s">
        <v>3063</v>
      </c>
      <c r="AP37" s="3277" t="s">
        <v>2791</v>
      </c>
      <c r="AQ37" s="3277" t="s">
        <v>2791</v>
      </c>
      <c r="AR37" s="3277" t="s">
        <v>2791</v>
      </c>
      <c r="AS37" s="3277" t="s">
        <v>3064</v>
      </c>
    </row>
    <row r="38" spans="1:45" s="3278" customFormat="1" hidden="1">
      <c r="A38" s="3277" t="s">
        <v>3097</v>
      </c>
      <c r="B38" s="3277" t="s">
        <v>3056</v>
      </c>
      <c r="C38" s="3277" t="s">
        <v>3057</v>
      </c>
      <c r="D38" s="3277" t="s">
        <v>3058</v>
      </c>
      <c r="E38" s="3277" t="s">
        <v>2791</v>
      </c>
      <c r="F38" s="3277" t="s">
        <v>3097</v>
      </c>
      <c r="G38" s="3277" t="s">
        <v>3059</v>
      </c>
      <c r="H38" s="3277" t="s">
        <v>3098</v>
      </c>
      <c r="I38" s="3277" t="s">
        <v>3099</v>
      </c>
      <c r="J38" s="3277">
        <v>29779</v>
      </c>
      <c r="K38" s="3277">
        <v>35734.800000000003</v>
      </c>
      <c r="L38" s="3277" t="s">
        <v>3070</v>
      </c>
      <c r="M38" s="3277" t="s">
        <v>2791</v>
      </c>
      <c r="N38" s="3277" t="s">
        <v>3071</v>
      </c>
      <c r="O38" s="3277" t="s">
        <v>3100</v>
      </c>
      <c r="P38" s="3277" t="s">
        <v>2791</v>
      </c>
      <c r="Q38" s="3277" t="s">
        <v>2791</v>
      </c>
      <c r="R38" s="3277" t="s">
        <v>2791</v>
      </c>
      <c r="S38" s="3277" t="s">
        <v>2791</v>
      </c>
      <c r="T38" s="3277" t="s">
        <v>2791</v>
      </c>
      <c r="U38" s="3277" t="s">
        <v>2791</v>
      </c>
      <c r="V38" s="3277" t="s">
        <v>2791</v>
      </c>
      <c r="W38" s="3277" t="s">
        <v>3085</v>
      </c>
      <c r="X38" s="3277" t="s">
        <v>3101</v>
      </c>
      <c r="Y38" s="3277" t="s">
        <v>3102</v>
      </c>
      <c r="Z38" s="3277" t="s">
        <v>3102</v>
      </c>
      <c r="AA38" s="3277" t="s">
        <v>3102</v>
      </c>
      <c r="AB38" s="3277" t="s">
        <v>3103</v>
      </c>
      <c r="AC38" s="3277" t="s">
        <v>3088</v>
      </c>
      <c r="AD38" s="3277" t="s">
        <v>3104</v>
      </c>
      <c r="AE38" s="3277">
        <v>7150</v>
      </c>
      <c r="AF38" s="3277">
        <v>7150</v>
      </c>
      <c r="AG38" s="3277">
        <v>7150</v>
      </c>
      <c r="AH38" s="3277">
        <v>160.07</v>
      </c>
      <c r="AI38" s="3277">
        <v>160.07</v>
      </c>
      <c r="AJ38" s="3277">
        <v>2000.85</v>
      </c>
      <c r="AK38" s="3277">
        <v>2000.84</v>
      </c>
      <c r="AL38" s="3277" t="s">
        <v>2791</v>
      </c>
      <c r="AM38" s="3277" t="s">
        <v>2791</v>
      </c>
      <c r="AN38" s="3277">
        <v>0</v>
      </c>
      <c r="AO38" s="3277" t="s">
        <v>3063</v>
      </c>
      <c r="AP38" s="3277" t="s">
        <v>2791</v>
      </c>
      <c r="AQ38" s="3277" t="s">
        <v>2791</v>
      </c>
      <c r="AR38" s="3277" t="s">
        <v>2791</v>
      </c>
      <c r="AS38" s="3277" t="s">
        <v>3082</v>
      </c>
    </row>
    <row r="39" spans="1:45" ht="14.25" thickTop="1">
      <c r="A39" s="3283" t="s">
        <v>3105</v>
      </c>
      <c r="B39" s="3283" t="s">
        <v>3056</v>
      </c>
      <c r="C39" s="3283" t="s">
        <v>3057</v>
      </c>
      <c r="D39" s="3283" t="s">
        <v>3058</v>
      </c>
      <c r="E39" s="3283" t="s">
        <v>2791</v>
      </c>
      <c r="F39" s="3283" t="s">
        <v>3105</v>
      </c>
      <c r="G39" s="3283" t="s">
        <v>3059</v>
      </c>
      <c r="H39" s="3283" t="s">
        <v>3106</v>
      </c>
      <c r="I39" s="3283" t="s">
        <v>3060</v>
      </c>
      <c r="J39" s="3283">
        <v>26488.15</v>
      </c>
      <c r="K39" s="3283">
        <v>58273.93</v>
      </c>
      <c r="L39" s="3283" t="s">
        <v>3107</v>
      </c>
      <c r="M39" s="3283" t="s">
        <v>2791</v>
      </c>
      <c r="N39" s="3283" t="s">
        <v>3108</v>
      </c>
      <c r="O39" s="3283" t="s">
        <v>3109</v>
      </c>
      <c r="P39" s="3283" t="s">
        <v>2791</v>
      </c>
      <c r="Q39" s="3283" t="s">
        <v>2791</v>
      </c>
      <c r="R39" s="3283" t="s">
        <v>2791</v>
      </c>
      <c r="S39" s="3283" t="s">
        <v>2791</v>
      </c>
      <c r="T39" s="3283" t="s">
        <v>2791</v>
      </c>
      <c r="U39" s="3283" t="s">
        <v>2791</v>
      </c>
      <c r="V39" s="3283" t="s">
        <v>2791</v>
      </c>
      <c r="W39" s="3283" t="s">
        <v>3085</v>
      </c>
      <c r="X39" s="3283" t="s">
        <v>3110</v>
      </c>
      <c r="Y39" s="3283" t="s">
        <v>3102</v>
      </c>
      <c r="Z39" s="3283" t="s">
        <v>3102</v>
      </c>
      <c r="AA39" s="3283" t="s">
        <v>3102</v>
      </c>
      <c r="AB39" s="3283" t="s">
        <v>3111</v>
      </c>
      <c r="AC39" s="3283" t="s">
        <v>3088</v>
      </c>
      <c r="AD39" s="3283" t="s">
        <v>3112</v>
      </c>
      <c r="AE39" s="3283">
        <v>4990</v>
      </c>
      <c r="AF39" s="3283">
        <v>9980</v>
      </c>
      <c r="AG39" s="3283">
        <v>9980</v>
      </c>
      <c r="AH39" s="3283">
        <v>251.18</v>
      </c>
      <c r="AI39" s="3283">
        <v>251.18</v>
      </c>
      <c r="AJ39" s="3283">
        <v>1712.6</v>
      </c>
      <c r="AK39" s="3283">
        <v>1712.59</v>
      </c>
      <c r="AL39" s="3283" t="s">
        <v>2791</v>
      </c>
      <c r="AM39" s="3283" t="s">
        <v>2791</v>
      </c>
      <c r="AN39" s="3283">
        <v>0</v>
      </c>
      <c r="AO39" s="3283" t="s">
        <v>3063</v>
      </c>
      <c r="AP39" s="3283" t="s">
        <v>2791</v>
      </c>
      <c r="AQ39" s="3283" t="s">
        <v>2791</v>
      </c>
      <c r="AR39" s="3283" t="s">
        <v>2791</v>
      </c>
      <c r="AS39" s="3283" t="s">
        <v>3081</v>
      </c>
    </row>
    <row r="40" spans="1:45">
      <c r="A40" s="3283" t="s">
        <v>3105</v>
      </c>
      <c r="B40" s="3283" t="s">
        <v>3056</v>
      </c>
      <c r="C40" s="3283" t="s">
        <v>3057</v>
      </c>
      <c r="D40" s="3283" t="s">
        <v>3058</v>
      </c>
      <c r="E40" s="3283" t="s">
        <v>2791</v>
      </c>
      <c r="F40" s="3283" t="s">
        <v>3105</v>
      </c>
      <c r="G40" s="3283" t="s">
        <v>3059</v>
      </c>
      <c r="H40" s="3283" t="s">
        <v>3113</v>
      </c>
      <c r="I40" s="3283" t="s">
        <v>3060</v>
      </c>
      <c r="J40" s="3283">
        <v>37210.230000000003</v>
      </c>
      <c r="K40" s="3283">
        <v>81862.509999999995</v>
      </c>
      <c r="L40" s="3283" t="s">
        <v>3107</v>
      </c>
      <c r="M40" s="3283" t="s">
        <v>2791</v>
      </c>
      <c r="N40" s="3283" t="s">
        <v>3108</v>
      </c>
      <c r="O40" s="3283" t="s">
        <v>3109</v>
      </c>
      <c r="P40" s="3283" t="s">
        <v>2791</v>
      </c>
      <c r="Q40" s="3283" t="s">
        <v>2791</v>
      </c>
      <c r="R40" s="3283" t="s">
        <v>2791</v>
      </c>
      <c r="S40" s="3283" t="s">
        <v>2791</v>
      </c>
      <c r="T40" s="3283" t="s">
        <v>2791</v>
      </c>
      <c r="U40" s="3283" t="s">
        <v>2791</v>
      </c>
      <c r="V40" s="3283" t="s">
        <v>2791</v>
      </c>
      <c r="W40" s="3283" t="s">
        <v>3085</v>
      </c>
      <c r="X40" s="3283" t="s">
        <v>3110</v>
      </c>
      <c r="Y40" s="3283" t="s">
        <v>3102</v>
      </c>
      <c r="Z40" s="3283" t="s">
        <v>3102</v>
      </c>
      <c r="AA40" s="3283" t="s">
        <v>3102</v>
      </c>
      <c r="AB40" s="3283" t="s">
        <v>3111</v>
      </c>
      <c r="AC40" s="3283" t="s">
        <v>3088</v>
      </c>
      <c r="AD40" s="3283" t="s">
        <v>3112</v>
      </c>
      <c r="AE40" s="3283">
        <v>5125</v>
      </c>
      <c r="AF40" s="3283">
        <v>10250</v>
      </c>
      <c r="AG40" s="3283">
        <v>10250</v>
      </c>
      <c r="AH40" s="3283">
        <v>183.64</v>
      </c>
      <c r="AI40" s="3283">
        <v>183.64</v>
      </c>
      <c r="AJ40" s="3283">
        <v>1252.0899999999999</v>
      </c>
      <c r="AK40" s="3283">
        <v>1252.0899999999999</v>
      </c>
      <c r="AL40" s="3283" t="s">
        <v>2791</v>
      </c>
      <c r="AM40" s="3283" t="s">
        <v>2791</v>
      </c>
      <c r="AN40" s="3283">
        <v>0</v>
      </c>
      <c r="AO40" s="3283" t="s">
        <v>3063</v>
      </c>
      <c r="AP40" s="3283" t="s">
        <v>2791</v>
      </c>
      <c r="AQ40" s="3283" t="s">
        <v>2791</v>
      </c>
      <c r="AR40" s="3283" t="s">
        <v>2791</v>
      </c>
      <c r="AS40" s="3283" t="s">
        <v>3081</v>
      </c>
    </row>
    <row r="41" spans="1:45">
      <c r="A41" s="3283" t="s">
        <v>3105</v>
      </c>
      <c r="B41" s="3283" t="s">
        <v>3056</v>
      </c>
      <c r="C41" s="3283" t="s">
        <v>3057</v>
      </c>
      <c r="D41" s="3283" t="s">
        <v>3058</v>
      </c>
      <c r="E41" s="3283" t="s">
        <v>2791</v>
      </c>
      <c r="F41" s="3283" t="s">
        <v>3105</v>
      </c>
      <c r="G41" s="3283" t="s">
        <v>3059</v>
      </c>
      <c r="H41" s="3283" t="s">
        <v>3114</v>
      </c>
      <c r="I41" s="3283" t="s">
        <v>3060</v>
      </c>
      <c r="J41" s="3283">
        <v>15806.67</v>
      </c>
      <c r="K41" s="3283">
        <v>34774.67</v>
      </c>
      <c r="L41" s="3283" t="s">
        <v>3107</v>
      </c>
      <c r="M41" s="3283" t="s">
        <v>2791</v>
      </c>
      <c r="N41" s="3283" t="s">
        <v>3108</v>
      </c>
      <c r="O41" s="3283" t="s">
        <v>3109</v>
      </c>
      <c r="P41" s="3283" t="s">
        <v>2791</v>
      </c>
      <c r="Q41" s="3283" t="s">
        <v>2791</v>
      </c>
      <c r="R41" s="3283" t="s">
        <v>2791</v>
      </c>
      <c r="S41" s="3283" t="s">
        <v>2791</v>
      </c>
      <c r="T41" s="3283" t="s">
        <v>2791</v>
      </c>
      <c r="U41" s="3283" t="s">
        <v>2791</v>
      </c>
      <c r="V41" s="3283" t="s">
        <v>2791</v>
      </c>
      <c r="W41" s="3283" t="s">
        <v>3085</v>
      </c>
      <c r="X41" s="3283" t="s">
        <v>3110</v>
      </c>
      <c r="Y41" s="3283" t="s">
        <v>3102</v>
      </c>
      <c r="Z41" s="3283" t="s">
        <v>3102</v>
      </c>
      <c r="AA41" s="3283" t="s">
        <v>3102</v>
      </c>
      <c r="AB41" s="3283" t="s">
        <v>3111</v>
      </c>
      <c r="AC41" s="3283" t="s">
        <v>3088</v>
      </c>
      <c r="AD41" s="3283" t="s">
        <v>3112</v>
      </c>
      <c r="AE41" s="3283">
        <v>2980</v>
      </c>
      <c r="AF41" s="3283">
        <v>5960</v>
      </c>
      <c r="AG41" s="3283">
        <v>5960</v>
      </c>
      <c r="AH41" s="3283">
        <v>251.37</v>
      </c>
      <c r="AI41" s="3283">
        <v>251.37</v>
      </c>
      <c r="AJ41" s="3283">
        <v>1713.89</v>
      </c>
      <c r="AK41" s="3283">
        <v>1713.89</v>
      </c>
      <c r="AL41" s="3283" t="s">
        <v>2791</v>
      </c>
      <c r="AM41" s="3283" t="s">
        <v>2791</v>
      </c>
      <c r="AN41" s="3283">
        <v>0</v>
      </c>
      <c r="AO41" s="3283" t="s">
        <v>3063</v>
      </c>
      <c r="AP41" s="3283" t="s">
        <v>2791</v>
      </c>
      <c r="AQ41" s="3283" t="s">
        <v>2791</v>
      </c>
      <c r="AR41" s="3283" t="s">
        <v>2791</v>
      </c>
      <c r="AS41" s="3283" t="s">
        <v>3081</v>
      </c>
    </row>
    <row r="42" spans="1:45">
      <c r="A42" s="3283" t="s">
        <v>3105</v>
      </c>
      <c r="B42" s="3283" t="s">
        <v>3056</v>
      </c>
      <c r="C42" s="3283" t="s">
        <v>3057</v>
      </c>
      <c r="D42" s="3283" t="s">
        <v>3058</v>
      </c>
      <c r="E42" s="3283" t="s">
        <v>2791</v>
      </c>
      <c r="F42" s="3283" t="s">
        <v>3105</v>
      </c>
      <c r="G42" s="3283" t="s">
        <v>3059</v>
      </c>
      <c r="H42" s="3283" t="s">
        <v>3115</v>
      </c>
      <c r="I42" s="3283" t="s">
        <v>3060</v>
      </c>
      <c r="J42" s="3283">
        <v>14470.8</v>
      </c>
      <c r="K42" s="3283">
        <v>31835.759999999998</v>
      </c>
      <c r="L42" s="3283" t="s">
        <v>3107</v>
      </c>
      <c r="M42" s="3283" t="s">
        <v>2791</v>
      </c>
      <c r="N42" s="3283" t="s">
        <v>3108</v>
      </c>
      <c r="O42" s="3283" t="s">
        <v>3109</v>
      </c>
      <c r="P42" s="3283" t="s">
        <v>2791</v>
      </c>
      <c r="Q42" s="3283" t="s">
        <v>2791</v>
      </c>
      <c r="R42" s="3283" t="s">
        <v>2791</v>
      </c>
      <c r="S42" s="3283" t="s">
        <v>2791</v>
      </c>
      <c r="T42" s="3283" t="s">
        <v>2791</v>
      </c>
      <c r="U42" s="3283" t="s">
        <v>2791</v>
      </c>
      <c r="V42" s="3283" t="s">
        <v>2791</v>
      </c>
      <c r="W42" s="3283" t="s">
        <v>3085</v>
      </c>
      <c r="X42" s="3283" t="s">
        <v>3110</v>
      </c>
      <c r="Y42" s="3283" t="s">
        <v>3102</v>
      </c>
      <c r="Z42" s="3283" t="s">
        <v>3102</v>
      </c>
      <c r="AA42" s="3283" t="s">
        <v>3102</v>
      </c>
      <c r="AB42" s="3283" t="s">
        <v>3111</v>
      </c>
      <c r="AC42" s="3283" t="s">
        <v>3088</v>
      </c>
      <c r="AD42" s="3283" t="s">
        <v>3112</v>
      </c>
      <c r="AE42" s="3283">
        <v>2730</v>
      </c>
      <c r="AF42" s="3283">
        <v>5460</v>
      </c>
      <c r="AG42" s="3283">
        <v>5460</v>
      </c>
      <c r="AH42" s="3283">
        <v>251.54</v>
      </c>
      <c r="AI42" s="3283">
        <v>251.54</v>
      </c>
      <c r="AJ42" s="3283">
        <v>1715.05</v>
      </c>
      <c r="AK42" s="3283">
        <v>1715.04</v>
      </c>
      <c r="AL42" s="3283" t="s">
        <v>2791</v>
      </c>
      <c r="AM42" s="3283" t="s">
        <v>2791</v>
      </c>
      <c r="AN42" s="3283">
        <v>0</v>
      </c>
      <c r="AO42" s="3283" t="s">
        <v>3063</v>
      </c>
      <c r="AP42" s="3283" t="s">
        <v>2791</v>
      </c>
      <c r="AQ42" s="3283" t="s">
        <v>2791</v>
      </c>
      <c r="AR42" s="3283" t="s">
        <v>2791</v>
      </c>
      <c r="AS42" s="3283" t="s">
        <v>3081</v>
      </c>
    </row>
    <row r="43" spans="1:45" s="3336" customFormat="1">
      <c r="A43" s="3335" t="s">
        <v>3105</v>
      </c>
      <c r="B43" s="3335" t="s">
        <v>3056</v>
      </c>
      <c r="C43" s="3335" t="s">
        <v>3057</v>
      </c>
      <c r="D43" s="3335" t="s">
        <v>3058</v>
      </c>
      <c r="E43" s="3335" t="s">
        <v>2791</v>
      </c>
      <c r="F43" s="3335" t="s">
        <v>3105</v>
      </c>
      <c r="G43" s="3335" t="s">
        <v>3059</v>
      </c>
      <c r="H43" s="3335" t="s">
        <v>3116</v>
      </c>
      <c r="I43" s="3335" t="s">
        <v>3060</v>
      </c>
      <c r="J43" s="3335">
        <v>21349.24</v>
      </c>
      <c r="K43" s="3335">
        <v>46968.33</v>
      </c>
      <c r="L43" s="3335" t="s">
        <v>3107</v>
      </c>
      <c r="M43" s="3335" t="s">
        <v>2791</v>
      </c>
      <c r="N43" s="3335" t="s">
        <v>3108</v>
      </c>
      <c r="O43" s="3335" t="s">
        <v>3109</v>
      </c>
      <c r="P43" s="3335" t="s">
        <v>2791</v>
      </c>
      <c r="Q43" s="3335" t="s">
        <v>2791</v>
      </c>
      <c r="R43" s="3335" t="s">
        <v>2791</v>
      </c>
      <c r="S43" s="3335" t="s">
        <v>2791</v>
      </c>
      <c r="T43" s="3335" t="s">
        <v>2791</v>
      </c>
      <c r="U43" s="3335" t="s">
        <v>2791</v>
      </c>
      <c r="V43" s="3335" t="s">
        <v>2791</v>
      </c>
      <c r="W43" s="3335" t="s">
        <v>3085</v>
      </c>
      <c r="X43" s="3335" t="s">
        <v>3110</v>
      </c>
      <c r="Y43" s="3335" t="s">
        <v>3102</v>
      </c>
      <c r="Z43" s="3335" t="s">
        <v>3102</v>
      </c>
      <c r="AA43" s="3335" t="s">
        <v>3102</v>
      </c>
      <c r="AB43" s="3335" t="s">
        <v>3111</v>
      </c>
      <c r="AC43" s="3335" t="s">
        <v>3088</v>
      </c>
      <c r="AD43" s="3335" t="s">
        <v>3112</v>
      </c>
      <c r="AE43" s="3335">
        <v>4020</v>
      </c>
      <c r="AF43" s="3335">
        <v>8040</v>
      </c>
      <c r="AG43" s="3335">
        <v>8040</v>
      </c>
      <c r="AH43" s="3335">
        <v>251.06</v>
      </c>
      <c r="AI43" s="3335">
        <v>251.06</v>
      </c>
      <c r="AJ43" s="3335">
        <v>1711.79</v>
      </c>
      <c r="AK43" s="3335">
        <v>1711.78</v>
      </c>
      <c r="AL43" s="3335" t="s">
        <v>2791</v>
      </c>
      <c r="AM43" s="3335" t="s">
        <v>2791</v>
      </c>
      <c r="AN43" s="3335">
        <v>0</v>
      </c>
      <c r="AO43" s="3335" t="s">
        <v>3063</v>
      </c>
      <c r="AP43" s="3335" t="s">
        <v>2791</v>
      </c>
      <c r="AQ43" s="3335" t="s">
        <v>2791</v>
      </c>
      <c r="AR43" s="3335" t="s">
        <v>2791</v>
      </c>
      <c r="AS43" s="3335" t="s">
        <v>3081</v>
      </c>
    </row>
    <row r="44" spans="1:45">
      <c r="A44" s="3283" t="s">
        <v>3105</v>
      </c>
      <c r="B44" s="3283" t="s">
        <v>3056</v>
      </c>
      <c r="C44" s="3283" t="s">
        <v>3057</v>
      </c>
      <c r="D44" s="3283" t="s">
        <v>3058</v>
      </c>
      <c r="E44" s="3283" t="s">
        <v>2791</v>
      </c>
      <c r="F44" s="3283" t="s">
        <v>3105</v>
      </c>
      <c r="G44" s="3283" t="s">
        <v>3059</v>
      </c>
      <c r="H44" s="3283" t="s">
        <v>3117</v>
      </c>
      <c r="I44" s="3283" t="s">
        <v>3060</v>
      </c>
      <c r="J44" s="3283">
        <v>9228.8700000000008</v>
      </c>
      <c r="K44" s="3283">
        <v>20303.509999999998</v>
      </c>
      <c r="L44" s="3283" t="s">
        <v>3107</v>
      </c>
      <c r="M44" s="3283" t="s">
        <v>2791</v>
      </c>
      <c r="N44" s="3283" t="s">
        <v>3108</v>
      </c>
      <c r="O44" s="3283" t="s">
        <v>3109</v>
      </c>
      <c r="P44" s="3283" t="s">
        <v>2791</v>
      </c>
      <c r="Q44" s="3283" t="s">
        <v>2791</v>
      </c>
      <c r="R44" s="3283" t="s">
        <v>2791</v>
      </c>
      <c r="S44" s="3283" t="s">
        <v>2791</v>
      </c>
      <c r="T44" s="3283" t="s">
        <v>2791</v>
      </c>
      <c r="U44" s="3283" t="s">
        <v>2791</v>
      </c>
      <c r="V44" s="3283" t="s">
        <v>2791</v>
      </c>
      <c r="W44" s="3283" t="s">
        <v>3085</v>
      </c>
      <c r="X44" s="3283" t="s">
        <v>3110</v>
      </c>
      <c r="Y44" s="3283" t="s">
        <v>3102</v>
      </c>
      <c r="Z44" s="3283" t="s">
        <v>3102</v>
      </c>
      <c r="AA44" s="3283" t="s">
        <v>3102</v>
      </c>
      <c r="AB44" s="3283" t="s">
        <v>3111</v>
      </c>
      <c r="AC44" s="3283" t="s">
        <v>3088</v>
      </c>
      <c r="AD44" s="3283" t="s">
        <v>3112</v>
      </c>
      <c r="AE44" s="3283">
        <v>1740</v>
      </c>
      <c r="AF44" s="3283">
        <v>3480</v>
      </c>
      <c r="AG44" s="3283">
        <v>3480</v>
      </c>
      <c r="AH44" s="3283">
        <v>251.39</v>
      </c>
      <c r="AI44" s="3283">
        <v>251.39</v>
      </c>
      <c r="AJ44" s="3283">
        <v>1713.98</v>
      </c>
      <c r="AK44" s="3283">
        <v>1713.99</v>
      </c>
      <c r="AL44" s="3283" t="s">
        <v>2791</v>
      </c>
      <c r="AM44" s="3283" t="s">
        <v>2791</v>
      </c>
      <c r="AN44" s="3283">
        <v>0</v>
      </c>
      <c r="AO44" s="3283" t="s">
        <v>3063</v>
      </c>
      <c r="AP44" s="3283" t="s">
        <v>2791</v>
      </c>
      <c r="AQ44" s="3283" t="s">
        <v>2791</v>
      </c>
      <c r="AR44" s="3283" t="s">
        <v>2791</v>
      </c>
      <c r="AS44" s="3283" t="s">
        <v>3081</v>
      </c>
    </row>
    <row r="45" spans="1:45">
      <c r="A45" s="3283" t="s">
        <v>3105</v>
      </c>
      <c r="B45" s="3283" t="s">
        <v>3056</v>
      </c>
      <c r="C45" s="3283" t="s">
        <v>3057</v>
      </c>
      <c r="D45" s="3283" t="s">
        <v>3058</v>
      </c>
      <c r="E45" s="3283" t="s">
        <v>2791</v>
      </c>
      <c r="F45" s="3283" t="s">
        <v>3105</v>
      </c>
      <c r="G45" s="3283" t="s">
        <v>3059</v>
      </c>
      <c r="H45" s="3283" t="s">
        <v>3118</v>
      </c>
      <c r="I45" s="3283" t="s">
        <v>3060</v>
      </c>
      <c r="J45" s="3283">
        <v>9803.94</v>
      </c>
      <c r="K45" s="3283">
        <v>21568.67</v>
      </c>
      <c r="L45" s="3283" t="s">
        <v>3107</v>
      </c>
      <c r="M45" s="3283" t="s">
        <v>2791</v>
      </c>
      <c r="N45" s="3283" t="s">
        <v>3108</v>
      </c>
      <c r="O45" s="3283" t="s">
        <v>3109</v>
      </c>
      <c r="P45" s="3283" t="s">
        <v>2791</v>
      </c>
      <c r="Q45" s="3283" t="s">
        <v>2791</v>
      </c>
      <c r="R45" s="3283" t="s">
        <v>2791</v>
      </c>
      <c r="S45" s="3283" t="s">
        <v>2791</v>
      </c>
      <c r="T45" s="3283" t="s">
        <v>2791</v>
      </c>
      <c r="U45" s="3283" t="s">
        <v>2791</v>
      </c>
      <c r="V45" s="3283" t="s">
        <v>2791</v>
      </c>
      <c r="W45" s="3283" t="s">
        <v>3085</v>
      </c>
      <c r="X45" s="3283" t="s">
        <v>3110</v>
      </c>
      <c r="Y45" s="3283" t="s">
        <v>3102</v>
      </c>
      <c r="Z45" s="3283" t="s">
        <v>3102</v>
      </c>
      <c r="AA45" s="3283" t="s">
        <v>3102</v>
      </c>
      <c r="AB45" s="3283" t="s">
        <v>3111</v>
      </c>
      <c r="AC45" s="3283" t="s">
        <v>3088</v>
      </c>
      <c r="AD45" s="3283" t="s">
        <v>3112</v>
      </c>
      <c r="AE45" s="3283">
        <v>1850</v>
      </c>
      <c r="AF45" s="3283">
        <v>3700</v>
      </c>
      <c r="AG45" s="3283">
        <v>3700</v>
      </c>
      <c r="AH45" s="3283">
        <v>251.6</v>
      </c>
      <c r="AI45" s="3283">
        <v>251.6</v>
      </c>
      <c r="AJ45" s="3283">
        <v>1715.45</v>
      </c>
      <c r="AK45" s="3283">
        <v>1715.45</v>
      </c>
      <c r="AL45" s="3283" t="s">
        <v>2791</v>
      </c>
      <c r="AM45" s="3283" t="s">
        <v>2791</v>
      </c>
      <c r="AN45" s="3283">
        <v>0</v>
      </c>
      <c r="AO45" s="3283" t="s">
        <v>3063</v>
      </c>
      <c r="AP45" s="3283" t="s">
        <v>2791</v>
      </c>
      <c r="AQ45" s="3283" t="s">
        <v>2791</v>
      </c>
      <c r="AR45" s="3283" t="s">
        <v>2791</v>
      </c>
      <c r="AS45" s="3283" t="s">
        <v>3081</v>
      </c>
    </row>
    <row r="46" spans="1:45" s="3278" customFormat="1" hidden="1">
      <c r="A46" s="3277" t="s">
        <v>3069</v>
      </c>
      <c r="B46" s="3277" t="s">
        <v>3056</v>
      </c>
      <c r="C46" s="3277" t="s">
        <v>3057</v>
      </c>
      <c r="D46" s="3277" t="s">
        <v>3058</v>
      </c>
      <c r="E46" s="3277" t="s">
        <v>2791</v>
      </c>
      <c r="F46" s="3277" t="s">
        <v>3069</v>
      </c>
      <c r="G46" s="3277" t="s">
        <v>3059</v>
      </c>
      <c r="H46" s="3277" t="s">
        <v>3119</v>
      </c>
      <c r="I46" s="3277" t="s">
        <v>3099</v>
      </c>
      <c r="J46" s="3277">
        <v>41456.959999999999</v>
      </c>
      <c r="K46" s="3277">
        <v>62185.440000000002</v>
      </c>
      <c r="L46" s="3277" t="s">
        <v>3092</v>
      </c>
      <c r="M46" s="3277" t="s">
        <v>2791</v>
      </c>
      <c r="N46" s="3277" t="s">
        <v>3071</v>
      </c>
      <c r="O46" s="3277" t="s">
        <v>3072</v>
      </c>
      <c r="P46" s="3277" t="s">
        <v>2791</v>
      </c>
      <c r="Q46" s="3277" t="s">
        <v>2791</v>
      </c>
      <c r="R46" s="3277" t="s">
        <v>2791</v>
      </c>
      <c r="S46" s="3277" t="s">
        <v>2791</v>
      </c>
      <c r="T46" s="3277" t="s">
        <v>2791</v>
      </c>
      <c r="U46" s="3277" t="s">
        <v>2791</v>
      </c>
      <c r="V46" s="3277" t="s">
        <v>2791</v>
      </c>
      <c r="W46" s="3277" t="s">
        <v>3085</v>
      </c>
      <c r="X46" s="3277" t="s">
        <v>3101</v>
      </c>
      <c r="Y46" s="3277" t="s">
        <v>3102</v>
      </c>
      <c r="Z46" s="3277" t="s">
        <v>3102</v>
      </c>
      <c r="AA46" s="3277" t="s">
        <v>3102</v>
      </c>
      <c r="AB46" s="3277" t="s">
        <v>3103</v>
      </c>
      <c r="AC46" s="3277" t="s">
        <v>3088</v>
      </c>
      <c r="AD46" s="3277" t="s">
        <v>3104</v>
      </c>
      <c r="AE46" s="3277">
        <v>12440</v>
      </c>
      <c r="AF46" s="3277">
        <v>12440</v>
      </c>
      <c r="AG46" s="3277">
        <v>12440</v>
      </c>
      <c r="AH46" s="3277">
        <v>200.05</v>
      </c>
      <c r="AI46" s="3277">
        <v>200.05</v>
      </c>
      <c r="AJ46" s="3277">
        <v>2000.46</v>
      </c>
      <c r="AK46" s="3277">
        <v>2000.47</v>
      </c>
      <c r="AL46" s="3277" t="s">
        <v>2791</v>
      </c>
      <c r="AM46" s="3277" t="s">
        <v>2791</v>
      </c>
      <c r="AN46" s="3277">
        <v>0</v>
      </c>
      <c r="AO46" s="3277" t="s">
        <v>3063</v>
      </c>
      <c r="AP46" s="3277" t="s">
        <v>2791</v>
      </c>
      <c r="AQ46" s="3277" t="s">
        <v>2791</v>
      </c>
      <c r="AR46" s="3277" t="s">
        <v>2791</v>
      </c>
      <c r="AS46" s="3277" t="s">
        <v>3082</v>
      </c>
    </row>
    <row r="47" spans="1:45">
      <c r="A47" s="3283" t="s">
        <v>3105</v>
      </c>
      <c r="B47" s="3283" t="s">
        <v>3056</v>
      </c>
      <c r="C47" s="3283" t="s">
        <v>3057</v>
      </c>
      <c r="D47" s="3283" t="s">
        <v>3058</v>
      </c>
      <c r="E47" s="3283" t="s">
        <v>2791</v>
      </c>
      <c r="F47" s="3283" t="s">
        <v>3105</v>
      </c>
      <c r="G47" s="3283" t="s">
        <v>3059</v>
      </c>
      <c r="H47" s="3283" t="s">
        <v>3120</v>
      </c>
      <c r="I47" s="3283" t="s">
        <v>3060</v>
      </c>
      <c r="J47" s="3283">
        <v>11759</v>
      </c>
      <c r="K47" s="3283">
        <v>25869.8</v>
      </c>
      <c r="L47" s="3283" t="s">
        <v>3107</v>
      </c>
      <c r="M47" s="3283" t="s">
        <v>2791</v>
      </c>
      <c r="N47" s="3283" t="s">
        <v>3108</v>
      </c>
      <c r="O47" s="3283" t="s">
        <v>3109</v>
      </c>
      <c r="P47" s="3283" t="s">
        <v>2791</v>
      </c>
      <c r="Q47" s="3283" t="s">
        <v>2791</v>
      </c>
      <c r="R47" s="3283" t="s">
        <v>2791</v>
      </c>
      <c r="S47" s="3283" t="s">
        <v>2791</v>
      </c>
      <c r="T47" s="3283" t="s">
        <v>2791</v>
      </c>
      <c r="U47" s="3283" t="s">
        <v>2791</v>
      </c>
      <c r="V47" s="3283" t="s">
        <v>2791</v>
      </c>
      <c r="W47" s="3283" t="s">
        <v>3085</v>
      </c>
      <c r="X47" s="3283" t="s">
        <v>3110</v>
      </c>
      <c r="Y47" s="3283" t="s">
        <v>3102</v>
      </c>
      <c r="Z47" s="3283" t="s">
        <v>3102</v>
      </c>
      <c r="AA47" s="3283" t="s">
        <v>3102</v>
      </c>
      <c r="AB47" s="3283" t="s">
        <v>3111</v>
      </c>
      <c r="AC47" s="3283" t="s">
        <v>3088</v>
      </c>
      <c r="AD47" s="3283" t="s">
        <v>3112</v>
      </c>
      <c r="AE47" s="3283">
        <v>2215</v>
      </c>
      <c r="AF47" s="3283">
        <v>4430</v>
      </c>
      <c r="AG47" s="3283">
        <v>4430</v>
      </c>
      <c r="AH47" s="3283">
        <v>251.16</v>
      </c>
      <c r="AI47" s="3283">
        <v>251.16</v>
      </c>
      <c r="AJ47" s="3283">
        <v>1712.42</v>
      </c>
      <c r="AK47" s="3283">
        <v>1712.42</v>
      </c>
      <c r="AL47" s="3283" t="s">
        <v>2791</v>
      </c>
      <c r="AM47" s="3283" t="s">
        <v>2791</v>
      </c>
      <c r="AN47" s="3283">
        <v>0</v>
      </c>
      <c r="AO47" s="3283" t="s">
        <v>3063</v>
      </c>
      <c r="AP47" s="3283" t="s">
        <v>2791</v>
      </c>
      <c r="AQ47" s="3283" t="s">
        <v>2791</v>
      </c>
      <c r="AR47" s="3283" t="s">
        <v>2791</v>
      </c>
      <c r="AS47" s="3283" t="s">
        <v>3081</v>
      </c>
    </row>
    <row r="48" spans="1:45" s="3278" customFormat="1" hidden="1">
      <c r="A48" s="3277" t="s">
        <v>3121</v>
      </c>
      <c r="B48" s="3277" t="s">
        <v>3056</v>
      </c>
      <c r="C48" s="3277" t="s">
        <v>3057</v>
      </c>
      <c r="D48" s="3277" t="s">
        <v>3058</v>
      </c>
      <c r="E48" s="3277" t="s">
        <v>2791</v>
      </c>
      <c r="F48" s="3277" t="s">
        <v>3121</v>
      </c>
      <c r="G48" s="3277" t="s">
        <v>3059</v>
      </c>
      <c r="H48" s="3277" t="s">
        <v>3122</v>
      </c>
      <c r="I48" s="3277" t="s">
        <v>3099</v>
      </c>
      <c r="J48" s="3277">
        <v>27907.91</v>
      </c>
      <c r="K48" s="3277">
        <v>50234.239999999998</v>
      </c>
      <c r="L48" s="3277" t="s">
        <v>3123</v>
      </c>
      <c r="M48" s="3277" t="s">
        <v>2791</v>
      </c>
      <c r="N48" s="3277" t="s">
        <v>3061</v>
      </c>
      <c r="O48" s="3277" t="s">
        <v>3124</v>
      </c>
      <c r="P48" s="3277" t="s">
        <v>2791</v>
      </c>
      <c r="Q48" s="3277" t="s">
        <v>2791</v>
      </c>
      <c r="R48" s="3277" t="s">
        <v>2791</v>
      </c>
      <c r="S48" s="3277" t="s">
        <v>2791</v>
      </c>
      <c r="T48" s="3277" t="s">
        <v>2791</v>
      </c>
      <c r="U48" s="3277" t="s">
        <v>2791</v>
      </c>
      <c r="V48" s="3277" t="s">
        <v>2791</v>
      </c>
      <c r="W48" s="3277" t="s">
        <v>3085</v>
      </c>
      <c r="X48" s="3277" t="s">
        <v>3125</v>
      </c>
      <c r="Y48" s="3277" t="s">
        <v>3126</v>
      </c>
      <c r="Z48" s="3277" t="s">
        <v>3126</v>
      </c>
      <c r="AA48" s="3277" t="s">
        <v>3126</v>
      </c>
      <c r="AB48" s="3277" t="s">
        <v>3127</v>
      </c>
      <c r="AC48" s="3277" t="s">
        <v>3088</v>
      </c>
      <c r="AD48" s="3277" t="s">
        <v>3128</v>
      </c>
      <c r="AE48" s="3277">
        <v>6300</v>
      </c>
      <c r="AF48" s="3277">
        <v>12560</v>
      </c>
      <c r="AG48" s="3277">
        <v>15100</v>
      </c>
      <c r="AH48" s="3277">
        <v>300.02999999999997</v>
      </c>
      <c r="AI48" s="3277">
        <v>360.71</v>
      </c>
      <c r="AJ48" s="3277">
        <v>2500.2800000000002</v>
      </c>
      <c r="AK48" s="3277">
        <v>3005.92</v>
      </c>
      <c r="AL48" s="3277" t="s">
        <v>2791</v>
      </c>
      <c r="AM48" s="3277" t="s">
        <v>2791</v>
      </c>
      <c r="AN48" s="3277">
        <v>20.22</v>
      </c>
      <c r="AO48" s="3277" t="s">
        <v>3063</v>
      </c>
      <c r="AP48" s="3277" t="s">
        <v>2791</v>
      </c>
      <c r="AQ48" s="3277" t="s">
        <v>2791</v>
      </c>
      <c r="AR48" s="3277" t="s">
        <v>2791</v>
      </c>
      <c r="AS48" s="3277" t="s">
        <v>3129</v>
      </c>
    </row>
    <row r="49" spans="1:46" s="3278" customFormat="1" hidden="1">
      <c r="A49" s="3277" t="s">
        <v>3130</v>
      </c>
      <c r="B49" s="3277" t="s">
        <v>3056</v>
      </c>
      <c r="C49" s="3277" t="s">
        <v>3057</v>
      </c>
      <c r="D49" s="3277" t="s">
        <v>3058</v>
      </c>
      <c r="E49" s="3277" t="s">
        <v>2791</v>
      </c>
      <c r="F49" s="3277" t="s">
        <v>3130</v>
      </c>
      <c r="G49" s="3277" t="s">
        <v>3059</v>
      </c>
      <c r="H49" s="3277" t="s">
        <v>3131</v>
      </c>
      <c r="I49" s="3277" t="s">
        <v>3099</v>
      </c>
      <c r="J49" s="3277">
        <v>25491.55</v>
      </c>
      <c r="K49" s="3277">
        <v>30589.86</v>
      </c>
      <c r="L49" s="3277" t="s">
        <v>3070</v>
      </c>
      <c r="M49" s="3277" t="s">
        <v>2791</v>
      </c>
      <c r="N49" s="3277" t="s">
        <v>3061</v>
      </c>
      <c r="O49" s="3277" t="s">
        <v>3132</v>
      </c>
      <c r="P49" s="3277" t="s">
        <v>2791</v>
      </c>
      <c r="Q49" s="3277" t="s">
        <v>2791</v>
      </c>
      <c r="R49" s="3277" t="s">
        <v>2791</v>
      </c>
      <c r="S49" s="3277" t="s">
        <v>2791</v>
      </c>
      <c r="T49" s="3277" t="s">
        <v>2791</v>
      </c>
      <c r="U49" s="3277" t="s">
        <v>2791</v>
      </c>
      <c r="V49" s="3277" t="s">
        <v>2791</v>
      </c>
      <c r="W49" s="3277" t="s">
        <v>3085</v>
      </c>
      <c r="X49" s="3277" t="s">
        <v>3125</v>
      </c>
      <c r="Y49" s="3277" t="s">
        <v>3126</v>
      </c>
      <c r="Z49" s="3277" t="s">
        <v>3126</v>
      </c>
      <c r="AA49" s="3277" t="s">
        <v>3126</v>
      </c>
      <c r="AB49" s="3277" t="s">
        <v>3127</v>
      </c>
      <c r="AC49" s="3277" t="s">
        <v>3088</v>
      </c>
      <c r="AD49" s="3277" t="s">
        <v>3128</v>
      </c>
      <c r="AE49" s="3277">
        <v>3980</v>
      </c>
      <c r="AF49" s="3277">
        <v>7960</v>
      </c>
      <c r="AG49" s="3277">
        <v>10300</v>
      </c>
      <c r="AH49" s="3277">
        <v>208.17</v>
      </c>
      <c r="AI49" s="3277">
        <v>269.37</v>
      </c>
      <c r="AJ49" s="3277">
        <v>2602.16</v>
      </c>
      <c r="AK49" s="3277">
        <v>3367.13</v>
      </c>
      <c r="AL49" s="3277" t="s">
        <v>2791</v>
      </c>
      <c r="AM49" s="3277" t="s">
        <v>2791</v>
      </c>
      <c r="AN49" s="3277">
        <v>29.4</v>
      </c>
      <c r="AO49" s="3277" t="s">
        <v>3063</v>
      </c>
      <c r="AP49" s="3277" t="s">
        <v>2791</v>
      </c>
      <c r="AQ49" s="3277" t="s">
        <v>2791</v>
      </c>
      <c r="AR49" s="3277" t="s">
        <v>2791</v>
      </c>
      <c r="AS49" s="3277" t="s">
        <v>3129</v>
      </c>
    </row>
    <row r="50" spans="1:46" hidden="1">
      <c r="A50" s="3283" t="s">
        <v>3133</v>
      </c>
      <c r="B50" s="3283" t="s">
        <v>3056</v>
      </c>
      <c r="C50" s="3283" t="s">
        <v>3057</v>
      </c>
      <c r="D50" s="3283" t="s">
        <v>3058</v>
      </c>
      <c r="E50" s="3283" t="s">
        <v>2791</v>
      </c>
      <c r="F50" s="3283" t="s">
        <v>3133</v>
      </c>
      <c r="G50" s="3283" t="s">
        <v>3059</v>
      </c>
      <c r="H50" s="3283" t="s">
        <v>3134</v>
      </c>
      <c r="I50" s="3283" t="s">
        <v>3099</v>
      </c>
      <c r="J50" s="3283">
        <v>57913.66</v>
      </c>
      <c r="K50" s="3283">
        <v>156366.88</v>
      </c>
      <c r="L50" s="3283" t="s">
        <v>3135</v>
      </c>
      <c r="M50" s="3283" t="s">
        <v>2791</v>
      </c>
      <c r="N50" s="3283" t="s">
        <v>3061</v>
      </c>
      <c r="O50" s="3283" t="s">
        <v>3062</v>
      </c>
      <c r="P50" s="3283" t="s">
        <v>2791</v>
      </c>
      <c r="Q50" s="3283" t="s">
        <v>2791</v>
      </c>
      <c r="R50" s="3283" t="s">
        <v>2791</v>
      </c>
      <c r="S50" s="3283" t="s">
        <v>2791</v>
      </c>
      <c r="T50" s="3283" t="s">
        <v>2791</v>
      </c>
      <c r="U50" s="3283" t="s">
        <v>2791</v>
      </c>
      <c r="V50" s="3283" t="s">
        <v>2791</v>
      </c>
      <c r="W50" s="3283" t="s">
        <v>3085</v>
      </c>
      <c r="X50" s="3283" t="s">
        <v>3136</v>
      </c>
      <c r="Y50" s="3283" t="s">
        <v>3086</v>
      </c>
      <c r="Z50" s="3283" t="s">
        <v>3086</v>
      </c>
      <c r="AA50" s="3283" t="s">
        <v>3086</v>
      </c>
      <c r="AB50" s="3283" t="s">
        <v>3137</v>
      </c>
      <c r="AC50" s="3283" t="s">
        <v>3088</v>
      </c>
      <c r="AD50" s="3283" t="s">
        <v>3138</v>
      </c>
      <c r="AE50" s="3283">
        <v>24320</v>
      </c>
      <c r="AF50" s="3283">
        <v>24320</v>
      </c>
      <c r="AG50" s="3283">
        <v>24320</v>
      </c>
      <c r="AH50" s="3283">
        <v>279.95999999999998</v>
      </c>
      <c r="AI50" s="3283">
        <v>279.95999999999998</v>
      </c>
      <c r="AJ50" s="3283">
        <v>1555.31</v>
      </c>
      <c r="AK50" s="3283">
        <v>1555.31</v>
      </c>
      <c r="AL50" s="3283" t="s">
        <v>2791</v>
      </c>
      <c r="AM50" s="3283" t="s">
        <v>2791</v>
      </c>
      <c r="AN50" s="3283">
        <v>0</v>
      </c>
      <c r="AO50" s="3283" t="s">
        <v>3063</v>
      </c>
      <c r="AP50" s="3283" t="s">
        <v>2791</v>
      </c>
      <c r="AQ50" s="3283" t="s">
        <v>2791</v>
      </c>
      <c r="AR50" s="3283" t="s">
        <v>2791</v>
      </c>
      <c r="AS50" s="3283" t="s">
        <v>3129</v>
      </c>
    </row>
    <row r="51" spans="1:46" s="3554" customFormat="1">
      <c r="A51" s="3555" t="s">
        <v>3139</v>
      </c>
      <c r="B51" s="3555" t="s">
        <v>3056</v>
      </c>
      <c r="C51" s="3555" t="s">
        <v>3057</v>
      </c>
      <c r="D51" s="3555" t="s">
        <v>3058</v>
      </c>
      <c r="E51" s="3555" t="s">
        <v>2791</v>
      </c>
      <c r="F51" s="3555" t="s">
        <v>3139</v>
      </c>
      <c r="G51" s="3555" t="s">
        <v>3059</v>
      </c>
      <c r="H51" s="3555" t="s">
        <v>3140</v>
      </c>
      <c r="I51" s="3555" t="s">
        <v>3099</v>
      </c>
      <c r="J51" s="3555">
        <v>60892.85</v>
      </c>
      <c r="K51" s="3555">
        <v>152232.13</v>
      </c>
      <c r="L51" s="3555" t="s">
        <v>3141</v>
      </c>
      <c r="M51" s="3555" t="s">
        <v>2791</v>
      </c>
      <c r="N51" s="3555" t="s">
        <v>3076</v>
      </c>
      <c r="O51" s="3555" t="s">
        <v>3078</v>
      </c>
      <c r="P51" s="3555" t="s">
        <v>2791</v>
      </c>
      <c r="Q51" s="3555" t="s">
        <v>2791</v>
      </c>
      <c r="R51" s="3555" t="s">
        <v>2791</v>
      </c>
      <c r="S51" s="3555" t="s">
        <v>2791</v>
      </c>
      <c r="T51" s="3555" t="s">
        <v>2791</v>
      </c>
      <c r="U51" s="3555" t="s">
        <v>2791</v>
      </c>
      <c r="V51" s="3555" t="s">
        <v>2791</v>
      </c>
      <c r="W51" s="3555" t="s">
        <v>3085</v>
      </c>
      <c r="X51" s="3555" t="s">
        <v>3136</v>
      </c>
      <c r="Y51" s="3555" t="s">
        <v>3096</v>
      </c>
      <c r="Z51" s="3555" t="s">
        <v>3096</v>
      </c>
      <c r="AA51" s="3555" t="s">
        <v>3096</v>
      </c>
      <c r="AB51" s="3555" t="s">
        <v>3142</v>
      </c>
      <c r="AC51" s="3555" t="s">
        <v>3088</v>
      </c>
      <c r="AD51" s="3555" t="s">
        <v>3143</v>
      </c>
      <c r="AE51" s="3555">
        <v>7614</v>
      </c>
      <c r="AF51" s="3555" t="s">
        <v>2791</v>
      </c>
      <c r="AG51" s="3555">
        <v>42020</v>
      </c>
      <c r="AH51" s="3555" t="s">
        <v>2791</v>
      </c>
      <c r="AI51" s="3555">
        <v>460.04</v>
      </c>
      <c r="AJ51" s="3555" t="s">
        <v>2791</v>
      </c>
      <c r="AK51" s="3555">
        <v>2760.26</v>
      </c>
      <c r="AL51" s="3555" t="s">
        <v>2791</v>
      </c>
      <c r="AM51" s="3555" t="s">
        <v>2791</v>
      </c>
      <c r="AN51" s="3555" t="s">
        <v>2791</v>
      </c>
      <c r="AO51" s="3555" t="s">
        <v>3063</v>
      </c>
      <c r="AP51" s="3555" t="s">
        <v>2791</v>
      </c>
      <c r="AQ51" s="3555" t="s">
        <v>2791</v>
      </c>
      <c r="AR51" s="3555" t="s">
        <v>2791</v>
      </c>
      <c r="AS51" s="3555" t="s">
        <v>3129</v>
      </c>
      <c r="AT51" s="3558" t="s">
        <v>11224</v>
      </c>
    </row>
    <row r="52" spans="1:46" s="3333" customFormat="1">
      <c r="A52" s="3332" t="s">
        <v>3144</v>
      </c>
      <c r="B52" s="3332" t="s">
        <v>3056</v>
      </c>
      <c r="C52" s="3332" t="s">
        <v>3057</v>
      </c>
      <c r="D52" s="3332" t="s">
        <v>3058</v>
      </c>
      <c r="E52" s="3332" t="s">
        <v>2791</v>
      </c>
      <c r="F52" s="3332" t="s">
        <v>3144</v>
      </c>
      <c r="G52" s="3332" t="s">
        <v>3059</v>
      </c>
      <c r="H52" s="3332" t="s">
        <v>3145</v>
      </c>
      <c r="I52" s="3332" t="s">
        <v>3099</v>
      </c>
      <c r="J52" s="3332">
        <v>58001.36</v>
      </c>
      <c r="K52" s="3332">
        <v>145003.4</v>
      </c>
      <c r="L52" s="3332" t="s">
        <v>3141</v>
      </c>
      <c r="M52" s="3332" t="s">
        <v>2791</v>
      </c>
      <c r="N52" s="3332" t="s">
        <v>3076</v>
      </c>
      <c r="O52" s="3332" t="s">
        <v>3078</v>
      </c>
      <c r="P52" s="3332" t="s">
        <v>2791</v>
      </c>
      <c r="Q52" s="3332" t="s">
        <v>2791</v>
      </c>
      <c r="R52" s="3332" t="s">
        <v>2791</v>
      </c>
      <c r="S52" s="3332" t="s">
        <v>2791</v>
      </c>
      <c r="T52" s="3332" t="s">
        <v>2791</v>
      </c>
      <c r="U52" s="3332" t="s">
        <v>2791</v>
      </c>
      <c r="V52" s="3332" t="s">
        <v>2791</v>
      </c>
      <c r="W52" s="3332" t="s">
        <v>3085</v>
      </c>
      <c r="X52" s="3332" t="s">
        <v>3136</v>
      </c>
      <c r="Y52" s="3332" t="s">
        <v>3096</v>
      </c>
      <c r="Z52" s="3332" t="s">
        <v>3096</v>
      </c>
      <c r="AA52" s="3332" t="s">
        <v>3096</v>
      </c>
      <c r="AB52" s="3332" t="s">
        <v>3142</v>
      </c>
      <c r="AC52" s="3332" t="s">
        <v>3088</v>
      </c>
      <c r="AD52" s="3332" t="s">
        <v>3143</v>
      </c>
      <c r="AE52" s="3332">
        <v>7252</v>
      </c>
      <c r="AF52" s="3332" t="s">
        <v>2791</v>
      </c>
      <c r="AG52" s="3332">
        <v>38720</v>
      </c>
      <c r="AH52" s="3332" t="s">
        <v>2791</v>
      </c>
      <c r="AI52" s="3332">
        <v>445.05</v>
      </c>
      <c r="AJ52" s="3332" t="s">
        <v>2791</v>
      </c>
      <c r="AK52" s="3332">
        <v>2670.28</v>
      </c>
      <c r="AL52" s="3332" t="s">
        <v>2791</v>
      </c>
      <c r="AM52" s="3332" t="s">
        <v>2791</v>
      </c>
      <c r="AN52" s="3332" t="s">
        <v>2791</v>
      </c>
      <c r="AO52" s="3332" t="s">
        <v>3063</v>
      </c>
      <c r="AP52" s="3332" t="s">
        <v>2791</v>
      </c>
      <c r="AQ52" s="3332" t="s">
        <v>2791</v>
      </c>
      <c r="AR52" s="3332" t="s">
        <v>2791</v>
      </c>
      <c r="AS52" s="3332" t="s">
        <v>3146</v>
      </c>
    </row>
    <row r="53" spans="1:46" s="3333" customFormat="1">
      <c r="A53" s="3332" t="s">
        <v>3147</v>
      </c>
      <c r="B53" s="3332" t="s">
        <v>3056</v>
      </c>
      <c r="C53" s="3332" t="s">
        <v>3057</v>
      </c>
      <c r="D53" s="3332" t="s">
        <v>3058</v>
      </c>
      <c r="E53" s="3332" t="s">
        <v>2791</v>
      </c>
      <c r="F53" s="3332" t="s">
        <v>3147</v>
      </c>
      <c r="G53" s="3332" t="s">
        <v>3059</v>
      </c>
      <c r="H53" s="3332" t="s">
        <v>3148</v>
      </c>
      <c r="I53" s="3332" t="s">
        <v>3099</v>
      </c>
      <c r="J53" s="3332">
        <v>52218.36</v>
      </c>
      <c r="K53" s="3332">
        <v>130545.9</v>
      </c>
      <c r="L53" s="3332" t="s">
        <v>3141</v>
      </c>
      <c r="M53" s="3332" t="s">
        <v>2791</v>
      </c>
      <c r="N53" s="3332" t="s">
        <v>3076</v>
      </c>
      <c r="O53" s="3332" t="s">
        <v>3078</v>
      </c>
      <c r="P53" s="3332" t="s">
        <v>2791</v>
      </c>
      <c r="Q53" s="3332" t="s">
        <v>2791</v>
      </c>
      <c r="R53" s="3332" t="s">
        <v>2791</v>
      </c>
      <c r="S53" s="3332" t="s">
        <v>2791</v>
      </c>
      <c r="T53" s="3332" t="s">
        <v>2791</v>
      </c>
      <c r="U53" s="3332" t="s">
        <v>2791</v>
      </c>
      <c r="V53" s="3332" t="s">
        <v>2791</v>
      </c>
      <c r="W53" s="3332" t="s">
        <v>3085</v>
      </c>
      <c r="X53" s="3332" t="s">
        <v>3136</v>
      </c>
      <c r="Y53" s="3332" t="s">
        <v>3096</v>
      </c>
      <c r="Z53" s="3332" t="s">
        <v>3096</v>
      </c>
      <c r="AA53" s="3332" t="s">
        <v>3096</v>
      </c>
      <c r="AB53" s="3332" t="s">
        <v>3142</v>
      </c>
      <c r="AC53" s="3332" t="s">
        <v>3088</v>
      </c>
      <c r="AD53" s="3332" t="s">
        <v>3143</v>
      </c>
      <c r="AE53" s="3332">
        <v>6530</v>
      </c>
      <c r="AF53" s="3332" t="s">
        <v>2791</v>
      </c>
      <c r="AG53" s="3332">
        <v>34900</v>
      </c>
      <c r="AH53" s="3332" t="s">
        <v>2791</v>
      </c>
      <c r="AI53" s="3332">
        <v>445.56</v>
      </c>
      <c r="AJ53" s="3332" t="s">
        <v>2791</v>
      </c>
      <c r="AK53" s="3332">
        <v>2673.38</v>
      </c>
      <c r="AL53" s="3332" t="s">
        <v>2791</v>
      </c>
      <c r="AM53" s="3332" t="s">
        <v>2791</v>
      </c>
      <c r="AN53" s="3332" t="s">
        <v>2791</v>
      </c>
      <c r="AO53" s="3332" t="s">
        <v>3063</v>
      </c>
      <c r="AP53" s="3332" t="s">
        <v>2791</v>
      </c>
      <c r="AQ53" s="3332" t="s">
        <v>2791</v>
      </c>
      <c r="AR53" s="3332" t="s">
        <v>2791</v>
      </c>
      <c r="AS53" s="3332" t="s">
        <v>3082</v>
      </c>
    </row>
    <row r="54" spans="1:46" s="3333" customFormat="1">
      <c r="A54" s="3332" t="s">
        <v>3147</v>
      </c>
      <c r="B54" s="3332" t="s">
        <v>3056</v>
      </c>
      <c r="C54" s="3332" t="s">
        <v>3057</v>
      </c>
      <c r="D54" s="3332" t="s">
        <v>3058</v>
      </c>
      <c r="E54" s="3332" t="s">
        <v>2791</v>
      </c>
      <c r="F54" s="3332" t="s">
        <v>3147</v>
      </c>
      <c r="G54" s="3332" t="s">
        <v>3059</v>
      </c>
      <c r="H54" s="3332" t="s">
        <v>3149</v>
      </c>
      <c r="I54" s="3332" t="s">
        <v>3099</v>
      </c>
      <c r="J54" s="3332">
        <v>38726.699999999997</v>
      </c>
      <c r="K54" s="3332">
        <v>96816.75</v>
      </c>
      <c r="L54" s="3332" t="s">
        <v>3141</v>
      </c>
      <c r="M54" s="3332" t="s">
        <v>2791</v>
      </c>
      <c r="N54" s="3332" t="s">
        <v>3076</v>
      </c>
      <c r="O54" s="3332" t="s">
        <v>3078</v>
      </c>
      <c r="P54" s="3332" t="s">
        <v>2791</v>
      </c>
      <c r="Q54" s="3332" t="s">
        <v>2791</v>
      </c>
      <c r="R54" s="3332" t="s">
        <v>2791</v>
      </c>
      <c r="S54" s="3332" t="s">
        <v>2791</v>
      </c>
      <c r="T54" s="3332" t="s">
        <v>2791</v>
      </c>
      <c r="U54" s="3332" t="s">
        <v>2791</v>
      </c>
      <c r="V54" s="3332" t="s">
        <v>2791</v>
      </c>
      <c r="W54" s="3332" t="s">
        <v>3085</v>
      </c>
      <c r="X54" s="3332" t="s">
        <v>3136</v>
      </c>
      <c r="Y54" s="3332" t="s">
        <v>3096</v>
      </c>
      <c r="Z54" s="3332" t="s">
        <v>3096</v>
      </c>
      <c r="AA54" s="3332" t="s">
        <v>3096</v>
      </c>
      <c r="AB54" s="3332" t="s">
        <v>3142</v>
      </c>
      <c r="AC54" s="3332" t="s">
        <v>3088</v>
      </c>
      <c r="AD54" s="3332" t="s">
        <v>3143</v>
      </c>
      <c r="AE54" s="3332">
        <v>4842</v>
      </c>
      <c r="AF54" s="3332" t="s">
        <v>2791</v>
      </c>
      <c r="AG54" s="3332">
        <v>25900</v>
      </c>
      <c r="AH54" s="3332" t="s">
        <v>2791</v>
      </c>
      <c r="AI54" s="3332">
        <v>445.86</v>
      </c>
      <c r="AJ54" s="3332" t="s">
        <v>2791</v>
      </c>
      <c r="AK54" s="3332">
        <v>2675.15</v>
      </c>
      <c r="AL54" s="3332" t="s">
        <v>2791</v>
      </c>
      <c r="AM54" s="3332" t="s">
        <v>2791</v>
      </c>
      <c r="AN54" s="3332" t="s">
        <v>2791</v>
      </c>
      <c r="AO54" s="3332" t="s">
        <v>3063</v>
      </c>
      <c r="AP54" s="3332" t="s">
        <v>2791</v>
      </c>
      <c r="AQ54" s="3332" t="s">
        <v>2791</v>
      </c>
      <c r="AR54" s="3332" t="s">
        <v>2791</v>
      </c>
      <c r="AS54" s="3332" t="s">
        <v>3082</v>
      </c>
    </row>
    <row r="55" spans="1:46" s="3333" customFormat="1">
      <c r="A55" s="3332" t="s">
        <v>3139</v>
      </c>
      <c r="B55" s="3332" t="s">
        <v>3056</v>
      </c>
      <c r="C55" s="3332" t="s">
        <v>3057</v>
      </c>
      <c r="D55" s="3332" t="s">
        <v>3058</v>
      </c>
      <c r="E55" s="3332" t="s">
        <v>2791</v>
      </c>
      <c r="F55" s="3332" t="s">
        <v>3139</v>
      </c>
      <c r="G55" s="3332" t="s">
        <v>3059</v>
      </c>
      <c r="H55" s="3332" t="s">
        <v>3150</v>
      </c>
      <c r="I55" s="3332" t="s">
        <v>3099</v>
      </c>
      <c r="J55" s="3332">
        <v>35440.18</v>
      </c>
      <c r="K55" s="3332">
        <v>88600.45</v>
      </c>
      <c r="L55" s="3332" t="s">
        <v>3141</v>
      </c>
      <c r="M55" s="3332" t="s">
        <v>2791</v>
      </c>
      <c r="N55" s="3332" t="s">
        <v>3076</v>
      </c>
      <c r="O55" s="3332" t="s">
        <v>3078</v>
      </c>
      <c r="P55" s="3332" t="s">
        <v>2791</v>
      </c>
      <c r="Q55" s="3332" t="s">
        <v>2791</v>
      </c>
      <c r="R55" s="3332" t="s">
        <v>2791</v>
      </c>
      <c r="S55" s="3332" t="s">
        <v>2791</v>
      </c>
      <c r="T55" s="3332" t="s">
        <v>2791</v>
      </c>
      <c r="U55" s="3332" t="s">
        <v>2791</v>
      </c>
      <c r="V55" s="3332" t="s">
        <v>2791</v>
      </c>
      <c r="W55" s="3332" t="s">
        <v>3085</v>
      </c>
      <c r="X55" s="3332" t="s">
        <v>3136</v>
      </c>
      <c r="Y55" s="3332" t="s">
        <v>3096</v>
      </c>
      <c r="Z55" s="3332" t="s">
        <v>3096</v>
      </c>
      <c r="AA55" s="3332" t="s">
        <v>3096</v>
      </c>
      <c r="AB55" s="3332" t="s">
        <v>3142</v>
      </c>
      <c r="AC55" s="3332" t="s">
        <v>3088</v>
      </c>
      <c r="AD55" s="3332" t="s">
        <v>3143</v>
      </c>
      <c r="AE55" s="3332">
        <v>4432</v>
      </c>
      <c r="AF55" s="3332" t="s">
        <v>2791</v>
      </c>
      <c r="AG55" s="3332">
        <v>24500</v>
      </c>
      <c r="AH55" s="3332" t="s">
        <v>2791</v>
      </c>
      <c r="AI55" s="3332">
        <v>460.87</v>
      </c>
      <c r="AJ55" s="3332" t="s">
        <v>2791</v>
      </c>
      <c r="AK55" s="3332">
        <v>2765.21</v>
      </c>
      <c r="AL55" s="3332" t="s">
        <v>2791</v>
      </c>
      <c r="AM55" s="3332" t="s">
        <v>2791</v>
      </c>
      <c r="AN55" s="3332" t="s">
        <v>2791</v>
      </c>
      <c r="AO55" s="3332" t="s">
        <v>3063</v>
      </c>
      <c r="AP55" s="3332" t="s">
        <v>2791</v>
      </c>
      <c r="AQ55" s="3332" t="s">
        <v>2791</v>
      </c>
      <c r="AR55" s="3332" t="s">
        <v>2791</v>
      </c>
      <c r="AS55" s="3332" t="s">
        <v>3129</v>
      </c>
    </row>
    <row r="56" spans="1:46" s="3333" customFormat="1">
      <c r="A56" s="3332" t="s">
        <v>3139</v>
      </c>
      <c r="B56" s="3332" t="s">
        <v>3056</v>
      </c>
      <c r="C56" s="3332" t="s">
        <v>3057</v>
      </c>
      <c r="D56" s="3332" t="s">
        <v>3058</v>
      </c>
      <c r="E56" s="3332" t="s">
        <v>2791</v>
      </c>
      <c r="F56" s="3332" t="s">
        <v>3139</v>
      </c>
      <c r="G56" s="3332" t="s">
        <v>3059</v>
      </c>
      <c r="H56" s="3332" t="s">
        <v>3151</v>
      </c>
      <c r="I56" s="3332" t="s">
        <v>3099</v>
      </c>
      <c r="J56" s="3332">
        <v>35626.36</v>
      </c>
      <c r="K56" s="3332">
        <v>89065.9</v>
      </c>
      <c r="L56" s="3332" t="s">
        <v>3141</v>
      </c>
      <c r="M56" s="3332" t="s">
        <v>2791</v>
      </c>
      <c r="N56" s="3332" t="s">
        <v>3076</v>
      </c>
      <c r="O56" s="3332" t="s">
        <v>3078</v>
      </c>
      <c r="P56" s="3332" t="s">
        <v>2791</v>
      </c>
      <c r="Q56" s="3332" t="s">
        <v>2791</v>
      </c>
      <c r="R56" s="3332" t="s">
        <v>2791</v>
      </c>
      <c r="S56" s="3332" t="s">
        <v>2791</v>
      </c>
      <c r="T56" s="3332" t="s">
        <v>2791</v>
      </c>
      <c r="U56" s="3332" t="s">
        <v>2791</v>
      </c>
      <c r="V56" s="3332" t="s">
        <v>2791</v>
      </c>
      <c r="W56" s="3332" t="s">
        <v>3085</v>
      </c>
      <c r="X56" s="3332" t="s">
        <v>3136</v>
      </c>
      <c r="Y56" s="3332" t="s">
        <v>3096</v>
      </c>
      <c r="Z56" s="3332" t="s">
        <v>3096</v>
      </c>
      <c r="AA56" s="3332" t="s">
        <v>3096</v>
      </c>
      <c r="AB56" s="3332" t="s">
        <v>3142</v>
      </c>
      <c r="AC56" s="3332" t="s">
        <v>3088</v>
      </c>
      <c r="AD56" s="3332" t="s">
        <v>3143</v>
      </c>
      <c r="AE56" s="3332">
        <v>4456</v>
      </c>
      <c r="AF56" s="3332" t="s">
        <v>2791</v>
      </c>
      <c r="AG56" s="3332">
        <v>24600</v>
      </c>
      <c r="AH56" s="3332" t="s">
        <v>2791</v>
      </c>
      <c r="AI56" s="3332">
        <v>460.33</v>
      </c>
      <c r="AJ56" s="3332" t="s">
        <v>2791</v>
      </c>
      <c r="AK56" s="3332">
        <v>2762</v>
      </c>
      <c r="AL56" s="3332" t="s">
        <v>2791</v>
      </c>
      <c r="AM56" s="3332" t="s">
        <v>2791</v>
      </c>
      <c r="AN56" s="3332" t="s">
        <v>2791</v>
      </c>
      <c r="AO56" s="3332" t="s">
        <v>3063</v>
      </c>
      <c r="AP56" s="3332" t="s">
        <v>2791</v>
      </c>
      <c r="AQ56" s="3332" t="s">
        <v>2791</v>
      </c>
      <c r="AR56" s="3332" t="s">
        <v>2791</v>
      </c>
      <c r="AS56" s="3332" t="s">
        <v>3129</v>
      </c>
    </row>
    <row r="57" spans="1:46" s="3333" customFormat="1">
      <c r="A57" s="3332" t="s">
        <v>3139</v>
      </c>
      <c r="B57" s="3332" t="s">
        <v>3056</v>
      </c>
      <c r="C57" s="3332" t="s">
        <v>3057</v>
      </c>
      <c r="D57" s="3332" t="s">
        <v>3058</v>
      </c>
      <c r="E57" s="3332" t="s">
        <v>2791</v>
      </c>
      <c r="F57" s="3332" t="s">
        <v>3139</v>
      </c>
      <c r="G57" s="3332" t="s">
        <v>3059</v>
      </c>
      <c r="H57" s="3332" t="s">
        <v>3152</v>
      </c>
      <c r="I57" s="3332" t="s">
        <v>3099</v>
      </c>
      <c r="J57" s="3332">
        <v>59989.05</v>
      </c>
      <c r="K57" s="3332">
        <v>149972.63</v>
      </c>
      <c r="L57" s="3332" t="s">
        <v>3141</v>
      </c>
      <c r="M57" s="3332" t="s">
        <v>2791</v>
      </c>
      <c r="N57" s="3332" t="s">
        <v>3076</v>
      </c>
      <c r="O57" s="3332" t="s">
        <v>3078</v>
      </c>
      <c r="P57" s="3332" t="s">
        <v>2791</v>
      </c>
      <c r="Q57" s="3332" t="s">
        <v>2791</v>
      </c>
      <c r="R57" s="3332" t="s">
        <v>2791</v>
      </c>
      <c r="S57" s="3332" t="s">
        <v>2791</v>
      </c>
      <c r="T57" s="3332" t="s">
        <v>2791</v>
      </c>
      <c r="U57" s="3332" t="s">
        <v>2791</v>
      </c>
      <c r="V57" s="3332" t="s">
        <v>2791</v>
      </c>
      <c r="W57" s="3332" t="s">
        <v>3085</v>
      </c>
      <c r="X57" s="3332" t="s">
        <v>3136</v>
      </c>
      <c r="Y57" s="3332" t="s">
        <v>3096</v>
      </c>
      <c r="Z57" s="3332" t="s">
        <v>3096</v>
      </c>
      <c r="AA57" s="3332" t="s">
        <v>3096</v>
      </c>
      <c r="AB57" s="3332" t="s">
        <v>3142</v>
      </c>
      <c r="AC57" s="3332" t="s">
        <v>3088</v>
      </c>
      <c r="AD57" s="3332" t="s">
        <v>3143</v>
      </c>
      <c r="AE57" s="3332">
        <v>7500</v>
      </c>
      <c r="AF57" s="3332" t="s">
        <v>2791</v>
      </c>
      <c r="AG57" s="3332">
        <v>41500</v>
      </c>
      <c r="AH57" s="3332" t="s">
        <v>2791</v>
      </c>
      <c r="AI57" s="3332">
        <v>461.2</v>
      </c>
      <c r="AJ57" s="3332" t="s">
        <v>2791</v>
      </c>
      <c r="AK57" s="3332">
        <v>2767.17</v>
      </c>
      <c r="AL57" s="3332" t="s">
        <v>2791</v>
      </c>
      <c r="AM57" s="3332" t="s">
        <v>2791</v>
      </c>
      <c r="AN57" s="3332" t="s">
        <v>2791</v>
      </c>
      <c r="AO57" s="3332" t="s">
        <v>3063</v>
      </c>
      <c r="AP57" s="3332" t="s">
        <v>2791</v>
      </c>
      <c r="AQ57" s="3332" t="s">
        <v>2791</v>
      </c>
      <c r="AR57" s="3332" t="s">
        <v>2791</v>
      </c>
      <c r="AS57" s="3332" t="s">
        <v>3129</v>
      </c>
    </row>
    <row r="58" spans="1:46" s="3333" customFormat="1">
      <c r="A58" s="3332" t="s">
        <v>3147</v>
      </c>
      <c r="B58" s="3332" t="s">
        <v>3056</v>
      </c>
      <c r="C58" s="3332" t="s">
        <v>3057</v>
      </c>
      <c r="D58" s="3332" t="s">
        <v>3058</v>
      </c>
      <c r="E58" s="3332" t="s">
        <v>2791</v>
      </c>
      <c r="F58" s="3332" t="s">
        <v>3147</v>
      </c>
      <c r="G58" s="3332" t="s">
        <v>3059</v>
      </c>
      <c r="H58" s="3332" t="s">
        <v>3153</v>
      </c>
      <c r="I58" s="3332" t="s">
        <v>3099</v>
      </c>
      <c r="J58" s="3332">
        <v>40207.01</v>
      </c>
      <c r="K58" s="3332">
        <v>100517.53</v>
      </c>
      <c r="L58" s="3332" t="s">
        <v>3141</v>
      </c>
      <c r="M58" s="3332" t="s">
        <v>2791</v>
      </c>
      <c r="N58" s="3332" t="s">
        <v>3076</v>
      </c>
      <c r="O58" s="3332" t="s">
        <v>3078</v>
      </c>
      <c r="P58" s="3332" t="s">
        <v>2791</v>
      </c>
      <c r="Q58" s="3332" t="s">
        <v>2791</v>
      </c>
      <c r="R58" s="3332" t="s">
        <v>2791</v>
      </c>
      <c r="S58" s="3332" t="s">
        <v>2791</v>
      </c>
      <c r="T58" s="3332" t="s">
        <v>2791</v>
      </c>
      <c r="U58" s="3332" t="s">
        <v>2791</v>
      </c>
      <c r="V58" s="3332" t="s">
        <v>2791</v>
      </c>
      <c r="W58" s="3332" t="s">
        <v>3085</v>
      </c>
      <c r="X58" s="3332" t="s">
        <v>3136</v>
      </c>
      <c r="Y58" s="3332" t="s">
        <v>3096</v>
      </c>
      <c r="Z58" s="3332" t="s">
        <v>3096</v>
      </c>
      <c r="AA58" s="3332" t="s">
        <v>3096</v>
      </c>
      <c r="AB58" s="3332" t="s">
        <v>3142</v>
      </c>
      <c r="AC58" s="3332" t="s">
        <v>3088</v>
      </c>
      <c r="AD58" s="3332" t="s">
        <v>3143</v>
      </c>
      <c r="AE58" s="3332">
        <v>5028</v>
      </c>
      <c r="AF58" s="3332" t="s">
        <v>2791</v>
      </c>
      <c r="AG58" s="3332">
        <v>26900</v>
      </c>
      <c r="AH58" s="3332" t="s">
        <v>2791</v>
      </c>
      <c r="AI58" s="3332">
        <v>446.03</v>
      </c>
      <c r="AJ58" s="3332" t="s">
        <v>2791</v>
      </c>
      <c r="AK58" s="3332">
        <v>2676.15</v>
      </c>
      <c r="AL58" s="3332" t="s">
        <v>2791</v>
      </c>
      <c r="AM58" s="3332" t="s">
        <v>2791</v>
      </c>
      <c r="AN58" s="3332" t="s">
        <v>2791</v>
      </c>
      <c r="AO58" s="3332" t="s">
        <v>3063</v>
      </c>
      <c r="AP58" s="3332" t="s">
        <v>2791</v>
      </c>
      <c r="AQ58" s="3332" t="s">
        <v>2791</v>
      </c>
      <c r="AR58" s="3332" t="s">
        <v>2791</v>
      </c>
      <c r="AS58" s="3332" t="s">
        <v>3146</v>
      </c>
    </row>
    <row r="59" spans="1:46" s="3333" customFormat="1">
      <c r="A59" s="3332" t="s">
        <v>3139</v>
      </c>
      <c r="B59" s="3332" t="s">
        <v>3056</v>
      </c>
      <c r="C59" s="3332" t="s">
        <v>3057</v>
      </c>
      <c r="D59" s="3332" t="s">
        <v>3058</v>
      </c>
      <c r="E59" s="3332" t="s">
        <v>2791</v>
      </c>
      <c r="F59" s="3332" t="s">
        <v>3139</v>
      </c>
      <c r="G59" s="3332" t="s">
        <v>3059</v>
      </c>
      <c r="H59" s="3332" t="s">
        <v>3154</v>
      </c>
      <c r="I59" s="3332" t="s">
        <v>3099</v>
      </c>
      <c r="J59" s="3332">
        <v>62321.99</v>
      </c>
      <c r="K59" s="3332">
        <v>155804.98000000001</v>
      </c>
      <c r="L59" s="3332" t="s">
        <v>3141</v>
      </c>
      <c r="M59" s="3332" t="s">
        <v>2791</v>
      </c>
      <c r="N59" s="3332" t="s">
        <v>3076</v>
      </c>
      <c r="O59" s="3332" t="s">
        <v>3078</v>
      </c>
      <c r="P59" s="3332" t="s">
        <v>2791</v>
      </c>
      <c r="Q59" s="3332" t="s">
        <v>2791</v>
      </c>
      <c r="R59" s="3332" t="s">
        <v>2791</v>
      </c>
      <c r="S59" s="3332" t="s">
        <v>2791</v>
      </c>
      <c r="T59" s="3332" t="s">
        <v>2791</v>
      </c>
      <c r="U59" s="3332" t="s">
        <v>2791</v>
      </c>
      <c r="V59" s="3332" t="s">
        <v>2791</v>
      </c>
      <c r="W59" s="3332" t="s">
        <v>3085</v>
      </c>
      <c r="X59" s="3332" t="s">
        <v>3136</v>
      </c>
      <c r="Y59" s="3332" t="s">
        <v>3096</v>
      </c>
      <c r="Z59" s="3332" t="s">
        <v>3096</v>
      </c>
      <c r="AA59" s="3332" t="s">
        <v>3096</v>
      </c>
      <c r="AB59" s="3332" t="s">
        <v>3142</v>
      </c>
      <c r="AC59" s="3332" t="s">
        <v>3088</v>
      </c>
      <c r="AD59" s="3332" t="s">
        <v>3143</v>
      </c>
      <c r="AE59" s="3332">
        <v>7792</v>
      </c>
      <c r="AF59" s="3332" t="s">
        <v>2791</v>
      </c>
      <c r="AG59" s="3332">
        <v>43020</v>
      </c>
      <c r="AH59" s="3332" t="s">
        <v>2791</v>
      </c>
      <c r="AI59" s="3332">
        <v>460.19</v>
      </c>
      <c r="AJ59" s="3332" t="s">
        <v>2791</v>
      </c>
      <c r="AK59" s="3332">
        <v>2761.13</v>
      </c>
      <c r="AL59" s="3332" t="s">
        <v>2791</v>
      </c>
      <c r="AM59" s="3332" t="s">
        <v>2791</v>
      </c>
      <c r="AN59" s="3332" t="s">
        <v>2791</v>
      </c>
      <c r="AO59" s="3332" t="s">
        <v>3063</v>
      </c>
      <c r="AP59" s="3332" t="s">
        <v>2791</v>
      </c>
      <c r="AQ59" s="3332" t="s">
        <v>2791</v>
      </c>
      <c r="AR59" s="3332" t="s">
        <v>2791</v>
      </c>
      <c r="AS59" s="3332" t="s">
        <v>3129</v>
      </c>
    </row>
    <row r="60" spans="1:46" s="3333" customFormat="1">
      <c r="A60" s="3332" t="s">
        <v>3144</v>
      </c>
      <c r="B60" s="3332" t="s">
        <v>3056</v>
      </c>
      <c r="C60" s="3332" t="s">
        <v>3057</v>
      </c>
      <c r="D60" s="3332" t="s">
        <v>3058</v>
      </c>
      <c r="E60" s="3332" t="s">
        <v>2791</v>
      </c>
      <c r="F60" s="3332" t="s">
        <v>3144</v>
      </c>
      <c r="G60" s="3332" t="s">
        <v>3059</v>
      </c>
      <c r="H60" s="3332" t="s">
        <v>3155</v>
      </c>
      <c r="I60" s="3332" t="s">
        <v>3099</v>
      </c>
      <c r="J60" s="3332">
        <v>34881.64</v>
      </c>
      <c r="K60" s="3332">
        <v>87204.1</v>
      </c>
      <c r="L60" s="3332" t="s">
        <v>3141</v>
      </c>
      <c r="M60" s="3332" t="s">
        <v>2791</v>
      </c>
      <c r="N60" s="3332" t="s">
        <v>3076</v>
      </c>
      <c r="O60" s="3332" t="s">
        <v>3078</v>
      </c>
      <c r="P60" s="3332" t="s">
        <v>2791</v>
      </c>
      <c r="Q60" s="3332" t="s">
        <v>2791</v>
      </c>
      <c r="R60" s="3332" t="s">
        <v>2791</v>
      </c>
      <c r="S60" s="3332" t="s">
        <v>2791</v>
      </c>
      <c r="T60" s="3332" t="s">
        <v>2791</v>
      </c>
      <c r="U60" s="3332" t="s">
        <v>2791</v>
      </c>
      <c r="V60" s="3332" t="s">
        <v>2791</v>
      </c>
      <c r="W60" s="3332" t="s">
        <v>3085</v>
      </c>
      <c r="X60" s="3332" t="s">
        <v>3136</v>
      </c>
      <c r="Y60" s="3332" t="s">
        <v>3096</v>
      </c>
      <c r="Z60" s="3332" t="s">
        <v>3096</v>
      </c>
      <c r="AA60" s="3332" t="s">
        <v>3096</v>
      </c>
      <c r="AB60" s="3332" t="s">
        <v>3142</v>
      </c>
      <c r="AC60" s="3332" t="s">
        <v>3088</v>
      </c>
      <c r="AD60" s="3332" t="s">
        <v>3143</v>
      </c>
      <c r="AE60" s="3332">
        <v>4362</v>
      </c>
      <c r="AF60" s="3332" t="s">
        <v>2791</v>
      </c>
      <c r="AG60" s="3332">
        <v>23300</v>
      </c>
      <c r="AH60" s="3332" t="s">
        <v>2791</v>
      </c>
      <c r="AI60" s="3332">
        <v>445.32</v>
      </c>
      <c r="AJ60" s="3332" t="s">
        <v>2791</v>
      </c>
      <c r="AK60" s="3332">
        <v>2671.88</v>
      </c>
      <c r="AL60" s="3332" t="s">
        <v>2791</v>
      </c>
      <c r="AM60" s="3332" t="s">
        <v>2791</v>
      </c>
      <c r="AN60" s="3332" t="s">
        <v>2791</v>
      </c>
      <c r="AO60" s="3332" t="s">
        <v>3063</v>
      </c>
      <c r="AP60" s="3332" t="s">
        <v>2791</v>
      </c>
      <c r="AQ60" s="3332" t="s">
        <v>2791</v>
      </c>
      <c r="AR60" s="3332" t="s">
        <v>2791</v>
      </c>
      <c r="AS60" s="3332" t="s">
        <v>3146</v>
      </c>
    </row>
    <row r="61" spans="1:46" s="3333" customFormat="1">
      <c r="A61" s="3332" t="s">
        <v>3156</v>
      </c>
      <c r="B61" s="3332" t="s">
        <v>3056</v>
      </c>
      <c r="C61" s="3332" t="s">
        <v>3057</v>
      </c>
      <c r="D61" s="3332" t="s">
        <v>3058</v>
      </c>
      <c r="E61" s="3332" t="s">
        <v>2791</v>
      </c>
      <c r="F61" s="3332" t="s">
        <v>3156</v>
      </c>
      <c r="G61" s="3332" t="s">
        <v>3059</v>
      </c>
      <c r="H61" s="3332" t="s">
        <v>3157</v>
      </c>
      <c r="I61" s="3332" t="s">
        <v>3099</v>
      </c>
      <c r="J61" s="3332">
        <v>36271.379999999997</v>
      </c>
      <c r="K61" s="3332">
        <v>90678.45</v>
      </c>
      <c r="L61" s="3332" t="s">
        <v>3141</v>
      </c>
      <c r="M61" s="3332" t="s">
        <v>2791</v>
      </c>
      <c r="N61" s="3332" t="s">
        <v>3076</v>
      </c>
      <c r="O61" s="3332" t="s">
        <v>3078</v>
      </c>
      <c r="P61" s="3332" t="s">
        <v>2791</v>
      </c>
      <c r="Q61" s="3332" t="s">
        <v>2791</v>
      </c>
      <c r="R61" s="3332" t="s">
        <v>2791</v>
      </c>
      <c r="S61" s="3332" t="s">
        <v>2791</v>
      </c>
      <c r="T61" s="3332" t="s">
        <v>2791</v>
      </c>
      <c r="U61" s="3332" t="s">
        <v>2791</v>
      </c>
      <c r="V61" s="3332" t="s">
        <v>2791</v>
      </c>
      <c r="W61" s="3332" t="s">
        <v>3085</v>
      </c>
      <c r="X61" s="3332" t="s">
        <v>3136</v>
      </c>
      <c r="Y61" s="3332" t="s">
        <v>3096</v>
      </c>
      <c r="Z61" s="3332" t="s">
        <v>3096</v>
      </c>
      <c r="AA61" s="3332" t="s">
        <v>3096</v>
      </c>
      <c r="AB61" s="3332" t="s">
        <v>3142</v>
      </c>
      <c r="AC61" s="3332" t="s">
        <v>3088</v>
      </c>
      <c r="AD61" s="3332" t="s">
        <v>3143</v>
      </c>
      <c r="AE61" s="3332">
        <v>4536</v>
      </c>
      <c r="AF61" s="3332" t="s">
        <v>2791</v>
      </c>
      <c r="AG61" s="3332">
        <v>24213</v>
      </c>
      <c r="AH61" s="3332" t="s">
        <v>2791</v>
      </c>
      <c r="AI61" s="3332">
        <v>445.03</v>
      </c>
      <c r="AJ61" s="3332" t="s">
        <v>2791</v>
      </c>
      <c r="AK61" s="3332">
        <v>2670.19</v>
      </c>
      <c r="AL61" s="3332" t="s">
        <v>2791</v>
      </c>
      <c r="AM61" s="3332" t="s">
        <v>2791</v>
      </c>
      <c r="AN61" s="3332" t="s">
        <v>2791</v>
      </c>
      <c r="AO61" s="3332" t="s">
        <v>3063</v>
      </c>
      <c r="AP61" s="3332" t="s">
        <v>2791</v>
      </c>
      <c r="AQ61" s="3332" t="s">
        <v>2791</v>
      </c>
      <c r="AR61" s="3332" t="s">
        <v>2791</v>
      </c>
      <c r="AS61" s="3332" t="s">
        <v>3146</v>
      </c>
      <c r="AT61" s="3629" t="s">
        <v>11223</v>
      </c>
    </row>
    <row r="62" spans="1:46" s="3278" customFormat="1" hidden="1">
      <c r="A62" s="3277" t="s">
        <v>3158</v>
      </c>
      <c r="B62" s="3277" t="s">
        <v>3056</v>
      </c>
      <c r="C62" s="3277" t="s">
        <v>3057</v>
      </c>
      <c r="D62" s="3277" t="s">
        <v>3058</v>
      </c>
      <c r="E62" s="3277" t="s">
        <v>2791</v>
      </c>
      <c r="F62" s="3277" t="s">
        <v>3158</v>
      </c>
      <c r="G62" s="3277" t="s">
        <v>3059</v>
      </c>
      <c r="H62" s="3277" t="s">
        <v>3159</v>
      </c>
      <c r="I62" s="3277" t="s">
        <v>3099</v>
      </c>
      <c r="J62" s="3277">
        <v>41990.06</v>
      </c>
      <c r="K62" s="3277">
        <v>42829.86</v>
      </c>
      <c r="L62" s="3277" t="s">
        <v>3160</v>
      </c>
      <c r="M62" s="3277" t="s">
        <v>2791</v>
      </c>
      <c r="N62" s="3277" t="s">
        <v>3161</v>
      </c>
      <c r="O62" s="3277" t="s">
        <v>3162</v>
      </c>
      <c r="P62" s="3277" t="s">
        <v>2791</v>
      </c>
      <c r="Q62" s="3277" t="s">
        <v>2791</v>
      </c>
      <c r="R62" s="3277" t="s">
        <v>2791</v>
      </c>
      <c r="S62" s="3277" t="s">
        <v>2791</v>
      </c>
      <c r="T62" s="3277" t="s">
        <v>2791</v>
      </c>
      <c r="U62" s="3277" t="s">
        <v>2791</v>
      </c>
      <c r="V62" s="3277" t="s">
        <v>2791</v>
      </c>
      <c r="W62" s="3277" t="s">
        <v>3085</v>
      </c>
      <c r="X62" s="3277" t="s">
        <v>3163</v>
      </c>
      <c r="Y62" s="3277" t="s">
        <v>3164</v>
      </c>
      <c r="Z62" s="3277" t="s">
        <v>3164</v>
      </c>
      <c r="AA62" s="3277" t="s">
        <v>3164</v>
      </c>
      <c r="AB62" s="3277" t="s">
        <v>3165</v>
      </c>
      <c r="AC62" s="3277" t="s">
        <v>3088</v>
      </c>
      <c r="AD62" s="3277" t="s">
        <v>3166</v>
      </c>
      <c r="AE62" s="3277">
        <v>6550</v>
      </c>
      <c r="AF62" s="3277">
        <v>13100</v>
      </c>
      <c r="AG62" s="3277">
        <v>19700</v>
      </c>
      <c r="AH62" s="3277">
        <v>207.99</v>
      </c>
      <c r="AI62" s="3277">
        <v>312.77</v>
      </c>
      <c r="AJ62" s="3277">
        <v>3058.61</v>
      </c>
      <c r="AK62" s="3277">
        <v>4599.59</v>
      </c>
      <c r="AL62" s="3277" t="s">
        <v>2791</v>
      </c>
      <c r="AM62" s="3277" t="s">
        <v>2791</v>
      </c>
      <c r="AN62" s="3277">
        <v>50.38</v>
      </c>
      <c r="AO62" s="3277" t="s">
        <v>3063</v>
      </c>
      <c r="AP62" s="3277" t="s">
        <v>2791</v>
      </c>
      <c r="AQ62" s="3277" t="s">
        <v>2791</v>
      </c>
      <c r="AR62" s="3277" t="s">
        <v>2791</v>
      </c>
      <c r="AS62" s="3277" t="s">
        <v>3129</v>
      </c>
    </row>
    <row r="63" spans="1:46" s="3278" customFormat="1" hidden="1">
      <c r="A63" s="3277" t="s">
        <v>3167</v>
      </c>
      <c r="B63" s="3277" t="s">
        <v>3056</v>
      </c>
      <c r="C63" s="3277" t="s">
        <v>3057</v>
      </c>
      <c r="D63" s="3277" t="s">
        <v>3058</v>
      </c>
      <c r="E63" s="3277" t="s">
        <v>2791</v>
      </c>
      <c r="F63" s="3277" t="s">
        <v>3167</v>
      </c>
      <c r="G63" s="3277" t="s">
        <v>3059</v>
      </c>
      <c r="H63" s="3277" t="s">
        <v>3168</v>
      </c>
      <c r="I63" s="3277" t="s">
        <v>3099</v>
      </c>
      <c r="J63" s="3277">
        <v>64525.23</v>
      </c>
      <c r="K63" s="3277">
        <v>65815.73</v>
      </c>
      <c r="L63" s="3277" t="s">
        <v>3160</v>
      </c>
      <c r="M63" s="3277" t="s">
        <v>2791</v>
      </c>
      <c r="N63" s="3277" t="s">
        <v>3071</v>
      </c>
      <c r="O63" s="3277" t="s">
        <v>3072</v>
      </c>
      <c r="P63" s="3277" t="s">
        <v>2791</v>
      </c>
      <c r="Q63" s="3277" t="s">
        <v>2791</v>
      </c>
      <c r="R63" s="3277" t="s">
        <v>2791</v>
      </c>
      <c r="S63" s="3277" t="s">
        <v>2791</v>
      </c>
      <c r="T63" s="3277" t="s">
        <v>2791</v>
      </c>
      <c r="U63" s="3277" t="s">
        <v>2791</v>
      </c>
      <c r="V63" s="3277" t="s">
        <v>2791</v>
      </c>
      <c r="W63" s="3277" t="s">
        <v>3085</v>
      </c>
      <c r="X63" s="3277" t="s">
        <v>3163</v>
      </c>
      <c r="Y63" s="3277" t="s">
        <v>3164</v>
      </c>
      <c r="Z63" s="3277" t="s">
        <v>3164</v>
      </c>
      <c r="AA63" s="3277" t="s">
        <v>3164</v>
      </c>
      <c r="AB63" s="3277" t="s">
        <v>3169</v>
      </c>
      <c r="AC63" s="3277" t="s">
        <v>3088</v>
      </c>
      <c r="AD63" s="3277" t="s">
        <v>3170</v>
      </c>
      <c r="AE63" s="3277">
        <v>13165</v>
      </c>
      <c r="AF63" s="3277">
        <v>13165</v>
      </c>
      <c r="AG63" s="3277">
        <v>13165</v>
      </c>
      <c r="AH63" s="3277">
        <v>136.02000000000001</v>
      </c>
      <c r="AI63" s="3277">
        <v>136.02000000000001</v>
      </c>
      <c r="AJ63" s="3277">
        <v>2000.28</v>
      </c>
      <c r="AK63" s="3277">
        <v>2000.27</v>
      </c>
      <c r="AL63" s="3277" t="s">
        <v>2791</v>
      </c>
      <c r="AM63" s="3277" t="s">
        <v>2791</v>
      </c>
      <c r="AN63" s="3277">
        <v>0</v>
      </c>
      <c r="AO63" s="3277" t="s">
        <v>3063</v>
      </c>
      <c r="AP63" s="3277" t="s">
        <v>2791</v>
      </c>
      <c r="AQ63" s="3277" t="s">
        <v>2791</v>
      </c>
      <c r="AR63" s="3277" t="s">
        <v>2791</v>
      </c>
      <c r="AS63" s="3277" t="s">
        <v>3082</v>
      </c>
    </row>
    <row r="64" spans="1:46" s="3278" customFormat="1" hidden="1">
      <c r="A64" s="3277" t="s">
        <v>3171</v>
      </c>
      <c r="B64" s="3277" t="s">
        <v>3056</v>
      </c>
      <c r="C64" s="3277" t="s">
        <v>3057</v>
      </c>
      <c r="D64" s="3277" t="s">
        <v>3058</v>
      </c>
      <c r="E64" s="3277" t="s">
        <v>2791</v>
      </c>
      <c r="F64" s="3277" t="s">
        <v>3171</v>
      </c>
      <c r="G64" s="3277" t="s">
        <v>3059</v>
      </c>
      <c r="H64" s="3277" t="s">
        <v>3172</v>
      </c>
      <c r="I64" s="3277" t="s">
        <v>3099</v>
      </c>
      <c r="J64" s="3277">
        <v>49666.03</v>
      </c>
      <c r="K64" s="3277">
        <v>59599.24</v>
      </c>
      <c r="L64" s="3277" t="s">
        <v>3173</v>
      </c>
      <c r="M64" s="3277" t="s">
        <v>2791</v>
      </c>
      <c r="N64" s="3277" t="s">
        <v>3071</v>
      </c>
      <c r="O64" s="3277" t="s">
        <v>3174</v>
      </c>
      <c r="P64" s="3277" t="s">
        <v>2791</v>
      </c>
      <c r="Q64" s="3277" t="s">
        <v>2791</v>
      </c>
      <c r="R64" s="3277" t="s">
        <v>2791</v>
      </c>
      <c r="S64" s="3277" t="s">
        <v>2791</v>
      </c>
      <c r="T64" s="3277" t="s">
        <v>2791</v>
      </c>
      <c r="U64" s="3277" t="s">
        <v>2791</v>
      </c>
      <c r="V64" s="3277" t="s">
        <v>2791</v>
      </c>
      <c r="W64" s="3277" t="s">
        <v>3085</v>
      </c>
      <c r="X64" s="3277" t="s">
        <v>3175</v>
      </c>
      <c r="Y64" s="3277" t="s">
        <v>3176</v>
      </c>
      <c r="Z64" s="3277" t="s">
        <v>3176</v>
      </c>
      <c r="AA64" s="3277" t="s">
        <v>3176</v>
      </c>
      <c r="AB64" s="3277" t="s">
        <v>3177</v>
      </c>
      <c r="AC64" s="3277" t="s">
        <v>3088</v>
      </c>
      <c r="AD64" s="3277" t="s">
        <v>3178</v>
      </c>
      <c r="AE64" s="3277">
        <v>7450</v>
      </c>
      <c r="AF64" s="3277">
        <v>14900</v>
      </c>
      <c r="AG64" s="3277">
        <v>20500</v>
      </c>
      <c r="AH64" s="3277">
        <v>200</v>
      </c>
      <c r="AI64" s="3277">
        <v>275.17</v>
      </c>
      <c r="AJ64" s="3277">
        <v>2500.0300000000002</v>
      </c>
      <c r="AK64" s="3277">
        <v>3439.63</v>
      </c>
      <c r="AL64" s="3277" t="s">
        <v>2791</v>
      </c>
      <c r="AM64" s="3277" t="s">
        <v>2791</v>
      </c>
      <c r="AN64" s="3277">
        <v>37.58</v>
      </c>
      <c r="AO64" s="3277" t="s">
        <v>3063</v>
      </c>
      <c r="AP64" s="3277" t="s">
        <v>2791</v>
      </c>
      <c r="AQ64" s="3277" t="s">
        <v>2791</v>
      </c>
      <c r="AR64" s="3277" t="s">
        <v>2791</v>
      </c>
      <c r="AS64" s="3277" t="s">
        <v>3082</v>
      </c>
    </row>
    <row r="65" spans="1:46" s="3278" customFormat="1" hidden="1">
      <c r="A65" s="3277" t="s">
        <v>3097</v>
      </c>
      <c r="B65" s="3277" t="s">
        <v>3056</v>
      </c>
      <c r="C65" s="3277" t="s">
        <v>3057</v>
      </c>
      <c r="D65" s="3277" t="s">
        <v>3058</v>
      </c>
      <c r="E65" s="3277" t="s">
        <v>2791</v>
      </c>
      <c r="F65" s="3277" t="s">
        <v>3097</v>
      </c>
      <c r="G65" s="3277" t="s">
        <v>3059</v>
      </c>
      <c r="H65" s="3277" t="s">
        <v>3179</v>
      </c>
      <c r="I65" s="3277" t="s">
        <v>3099</v>
      </c>
      <c r="J65" s="3277">
        <v>46447.6</v>
      </c>
      <c r="K65" s="3277">
        <v>55737.120000000003</v>
      </c>
      <c r="L65" s="3277" t="s">
        <v>3070</v>
      </c>
      <c r="M65" s="3277" t="s">
        <v>2791</v>
      </c>
      <c r="N65" s="3277" t="s">
        <v>3071</v>
      </c>
      <c r="O65" s="3277" t="s">
        <v>3072</v>
      </c>
      <c r="P65" s="3277" t="s">
        <v>2791</v>
      </c>
      <c r="Q65" s="3277" t="s">
        <v>2791</v>
      </c>
      <c r="R65" s="3277" t="s">
        <v>2791</v>
      </c>
      <c r="S65" s="3277" t="s">
        <v>2791</v>
      </c>
      <c r="T65" s="3277" t="s">
        <v>2791</v>
      </c>
      <c r="U65" s="3277" t="s">
        <v>2791</v>
      </c>
      <c r="V65" s="3277" t="s">
        <v>2791</v>
      </c>
      <c r="W65" s="3277" t="s">
        <v>3085</v>
      </c>
      <c r="X65" s="3277" t="s">
        <v>3180</v>
      </c>
      <c r="Y65" s="3277" t="s">
        <v>3181</v>
      </c>
      <c r="Z65" s="3277" t="s">
        <v>3181</v>
      </c>
      <c r="AA65" s="3277" t="s">
        <v>3181</v>
      </c>
      <c r="AB65" s="3277" t="s">
        <v>3182</v>
      </c>
      <c r="AC65" s="3277" t="s">
        <v>3088</v>
      </c>
      <c r="AD65" s="3277" t="s">
        <v>3104</v>
      </c>
      <c r="AE65" s="3277">
        <v>11150</v>
      </c>
      <c r="AF65" s="3277">
        <v>11150</v>
      </c>
      <c r="AG65" s="3277">
        <v>11150</v>
      </c>
      <c r="AH65" s="3277">
        <v>160.04</v>
      </c>
      <c r="AI65" s="3277">
        <v>160.04</v>
      </c>
      <c r="AJ65" s="3277">
        <v>2000.46</v>
      </c>
      <c r="AK65" s="3277">
        <v>2000.46</v>
      </c>
      <c r="AL65" s="3277" t="s">
        <v>2791</v>
      </c>
      <c r="AM65" s="3277" t="s">
        <v>2791</v>
      </c>
      <c r="AN65" s="3277">
        <v>0</v>
      </c>
      <c r="AO65" s="3277" t="s">
        <v>3063</v>
      </c>
      <c r="AP65" s="3277" t="s">
        <v>2791</v>
      </c>
      <c r="AQ65" s="3277" t="s">
        <v>2791</v>
      </c>
      <c r="AR65" s="3277" t="s">
        <v>2791</v>
      </c>
      <c r="AS65" s="3277" t="s">
        <v>3082</v>
      </c>
    </row>
    <row r="66" spans="1:46" s="3278" customFormat="1" hidden="1">
      <c r="A66" s="3277" t="s">
        <v>3183</v>
      </c>
      <c r="B66" s="3277" t="s">
        <v>3056</v>
      </c>
      <c r="C66" s="3277" t="s">
        <v>3057</v>
      </c>
      <c r="D66" s="3277" t="s">
        <v>3058</v>
      </c>
      <c r="E66" s="3277" t="s">
        <v>2791</v>
      </c>
      <c r="F66" s="3277" t="s">
        <v>3183</v>
      </c>
      <c r="G66" s="3277" t="s">
        <v>3059</v>
      </c>
      <c r="H66" s="3277" t="s">
        <v>3184</v>
      </c>
      <c r="I66" s="3277" t="s">
        <v>3099</v>
      </c>
      <c r="J66" s="3277">
        <v>69995.41</v>
      </c>
      <c r="K66" s="3277">
        <v>153989.9</v>
      </c>
      <c r="L66" s="3277" t="s">
        <v>3185</v>
      </c>
      <c r="M66" s="3277" t="s">
        <v>2791</v>
      </c>
      <c r="N66" s="3277" t="s">
        <v>3068</v>
      </c>
      <c r="O66" s="3277" t="s">
        <v>3186</v>
      </c>
      <c r="P66" s="3277" t="s">
        <v>2791</v>
      </c>
      <c r="Q66" s="3277" t="s">
        <v>2791</v>
      </c>
      <c r="R66" s="3277" t="s">
        <v>2791</v>
      </c>
      <c r="S66" s="3277" t="s">
        <v>2791</v>
      </c>
      <c r="T66" s="3277" t="s">
        <v>2791</v>
      </c>
      <c r="U66" s="3277" t="s">
        <v>2791</v>
      </c>
      <c r="V66" s="3277" t="s">
        <v>2791</v>
      </c>
      <c r="W66" s="3277" t="s">
        <v>3085</v>
      </c>
      <c r="X66" s="3277" t="s">
        <v>3180</v>
      </c>
      <c r="Y66" s="3277" t="s">
        <v>3187</v>
      </c>
      <c r="Z66" s="3277" t="s">
        <v>3187</v>
      </c>
      <c r="AA66" s="3277" t="s">
        <v>3187</v>
      </c>
      <c r="AB66" s="3277" t="s">
        <v>3188</v>
      </c>
      <c r="AC66" s="3277" t="s">
        <v>3088</v>
      </c>
      <c r="AD66" s="3277" t="s">
        <v>3166</v>
      </c>
      <c r="AE66" s="3277">
        <v>20019</v>
      </c>
      <c r="AF66" s="3277">
        <v>40038</v>
      </c>
      <c r="AG66" s="3277">
        <v>49460</v>
      </c>
      <c r="AH66" s="3277">
        <v>381.34</v>
      </c>
      <c r="AI66" s="3277">
        <v>471.08</v>
      </c>
      <c r="AJ66" s="3277">
        <v>2600.04</v>
      </c>
      <c r="AK66" s="3277">
        <v>3211.9</v>
      </c>
      <c r="AL66" s="3277" t="s">
        <v>2791</v>
      </c>
      <c r="AM66" s="3277" t="s">
        <v>2791</v>
      </c>
      <c r="AN66" s="3277">
        <v>23.53</v>
      </c>
      <c r="AO66" s="3277" t="s">
        <v>3063</v>
      </c>
      <c r="AP66" s="3277" t="s">
        <v>2791</v>
      </c>
      <c r="AQ66" s="3277" t="s">
        <v>2791</v>
      </c>
      <c r="AR66" s="3277" t="s">
        <v>2791</v>
      </c>
      <c r="AS66" s="3277" t="s">
        <v>3129</v>
      </c>
    </row>
    <row r="67" spans="1:46" s="3278" customFormat="1" hidden="1">
      <c r="A67" s="3277" t="s">
        <v>3097</v>
      </c>
      <c r="B67" s="3277" t="s">
        <v>3056</v>
      </c>
      <c r="C67" s="3277" t="s">
        <v>3057</v>
      </c>
      <c r="D67" s="3277" t="s">
        <v>3058</v>
      </c>
      <c r="E67" s="3277" t="s">
        <v>2791</v>
      </c>
      <c r="F67" s="3277" t="s">
        <v>3097</v>
      </c>
      <c r="G67" s="3277" t="s">
        <v>3059</v>
      </c>
      <c r="H67" s="3277" t="s">
        <v>3191</v>
      </c>
      <c r="I67" s="3277" t="s">
        <v>3099</v>
      </c>
      <c r="J67" s="3277">
        <v>46203.21</v>
      </c>
      <c r="K67" s="3277">
        <v>47127.27</v>
      </c>
      <c r="L67" s="3277" t="s">
        <v>3160</v>
      </c>
      <c r="M67" s="3277" t="s">
        <v>2791</v>
      </c>
      <c r="N67" s="3277" t="s">
        <v>3071</v>
      </c>
      <c r="O67" s="3277" t="s">
        <v>3072</v>
      </c>
      <c r="P67" s="3277" t="s">
        <v>2791</v>
      </c>
      <c r="Q67" s="3277" t="s">
        <v>2791</v>
      </c>
      <c r="R67" s="3277" t="s">
        <v>2791</v>
      </c>
      <c r="S67" s="3277" t="s">
        <v>2791</v>
      </c>
      <c r="T67" s="3277" t="s">
        <v>2791</v>
      </c>
      <c r="U67" s="3277" t="s">
        <v>2791</v>
      </c>
      <c r="V67" s="3277" t="s">
        <v>2791</v>
      </c>
      <c r="W67" s="3277" t="s">
        <v>3085</v>
      </c>
      <c r="X67" s="3277" t="s">
        <v>3189</v>
      </c>
      <c r="Y67" s="3277" t="s">
        <v>3180</v>
      </c>
      <c r="Z67" s="3277" t="s">
        <v>3180</v>
      </c>
      <c r="AA67" s="3277" t="s">
        <v>3180</v>
      </c>
      <c r="AB67" s="3277" t="s">
        <v>3190</v>
      </c>
      <c r="AC67" s="3277" t="s">
        <v>3088</v>
      </c>
      <c r="AD67" s="3277" t="s">
        <v>3170</v>
      </c>
      <c r="AE67" s="3277">
        <v>9430</v>
      </c>
      <c r="AF67" s="3277">
        <v>9430</v>
      </c>
      <c r="AG67" s="3277">
        <v>9430</v>
      </c>
      <c r="AH67" s="3277">
        <v>136.07</v>
      </c>
      <c r="AI67" s="3277">
        <v>136.07</v>
      </c>
      <c r="AJ67" s="3277">
        <v>2000.96</v>
      </c>
      <c r="AK67" s="3277">
        <v>2000.96</v>
      </c>
      <c r="AL67" s="3277" t="s">
        <v>2791</v>
      </c>
      <c r="AM67" s="3277" t="s">
        <v>2791</v>
      </c>
      <c r="AN67" s="3277">
        <v>0</v>
      </c>
      <c r="AO67" s="3277" t="s">
        <v>3063</v>
      </c>
      <c r="AP67" s="3277" t="s">
        <v>2791</v>
      </c>
      <c r="AQ67" s="3277" t="s">
        <v>2791</v>
      </c>
      <c r="AR67" s="3277" t="s">
        <v>2791</v>
      </c>
      <c r="AS67" s="3277" t="s">
        <v>3082</v>
      </c>
    </row>
    <row r="68" spans="1:46">
      <c r="A68" s="3283" t="s">
        <v>3192</v>
      </c>
      <c r="B68" s="3283" t="s">
        <v>3056</v>
      </c>
      <c r="C68" s="3283" t="s">
        <v>3057</v>
      </c>
      <c r="D68" s="3283" t="s">
        <v>3058</v>
      </c>
      <c r="E68" s="3283" t="s">
        <v>2791</v>
      </c>
      <c r="F68" s="3283" t="s">
        <v>3192</v>
      </c>
      <c r="G68" s="3283" t="s">
        <v>3059</v>
      </c>
      <c r="H68" s="3283" t="s">
        <v>3193</v>
      </c>
      <c r="I68" s="3283" t="s">
        <v>3099</v>
      </c>
      <c r="J68" s="3283">
        <v>28577.26</v>
      </c>
      <c r="K68" s="3283">
        <v>57154.52</v>
      </c>
      <c r="L68" s="3283" t="s">
        <v>3194</v>
      </c>
      <c r="M68" s="3283" t="s">
        <v>2791</v>
      </c>
      <c r="N68" s="3283" t="s">
        <v>3076</v>
      </c>
      <c r="O68" s="3283" t="s">
        <v>3078</v>
      </c>
      <c r="P68" s="3283" t="s">
        <v>2791</v>
      </c>
      <c r="Q68" s="3283" t="s">
        <v>2791</v>
      </c>
      <c r="R68" s="3283" t="s">
        <v>2791</v>
      </c>
      <c r="S68" s="3283" t="s">
        <v>2791</v>
      </c>
      <c r="T68" s="3283" t="s">
        <v>2791</v>
      </c>
      <c r="U68" s="3283" t="s">
        <v>2791</v>
      </c>
      <c r="V68" s="3283" t="s">
        <v>2791</v>
      </c>
      <c r="W68" s="3283" t="s">
        <v>3085</v>
      </c>
      <c r="X68" s="3283" t="s">
        <v>3195</v>
      </c>
      <c r="Y68" s="3283" t="s">
        <v>3196</v>
      </c>
      <c r="Z68" s="3283" t="s">
        <v>3196</v>
      </c>
      <c r="AA68" s="3283" t="s">
        <v>3196</v>
      </c>
      <c r="AB68" s="3283" t="s">
        <v>3197</v>
      </c>
      <c r="AC68" s="3283" t="s">
        <v>3088</v>
      </c>
      <c r="AD68" s="3283" t="s">
        <v>3198</v>
      </c>
      <c r="AE68" s="3283">
        <v>6100</v>
      </c>
      <c r="AF68" s="3283">
        <v>12200</v>
      </c>
      <c r="AG68" s="3283">
        <v>12200</v>
      </c>
      <c r="AH68" s="3283">
        <v>284.61</v>
      </c>
      <c r="AI68" s="3283">
        <v>284.61</v>
      </c>
      <c r="AJ68" s="3283">
        <v>2134.56</v>
      </c>
      <c r="AK68" s="3283">
        <v>2134.5500000000002</v>
      </c>
      <c r="AL68" s="3283" t="s">
        <v>2791</v>
      </c>
      <c r="AM68" s="3283" t="s">
        <v>2791</v>
      </c>
      <c r="AN68" s="3283">
        <v>0</v>
      </c>
      <c r="AO68" s="3283" t="s">
        <v>3063</v>
      </c>
      <c r="AP68" s="3283" t="s">
        <v>2791</v>
      </c>
      <c r="AQ68" s="3283" t="s">
        <v>2791</v>
      </c>
      <c r="AR68" s="3283" t="s">
        <v>2791</v>
      </c>
      <c r="AS68" s="3283" t="s">
        <v>3129</v>
      </c>
    </row>
    <row r="69" spans="1:46" s="3278" customFormat="1" hidden="1">
      <c r="A69" s="3277" t="s">
        <v>3199</v>
      </c>
      <c r="B69" s="3277" t="s">
        <v>3056</v>
      </c>
      <c r="C69" s="3277" t="s">
        <v>3057</v>
      </c>
      <c r="D69" s="3277" t="s">
        <v>3058</v>
      </c>
      <c r="E69" s="3277" t="s">
        <v>2791</v>
      </c>
      <c r="F69" s="3277" t="s">
        <v>3199</v>
      </c>
      <c r="G69" s="3277" t="s">
        <v>3059</v>
      </c>
      <c r="H69" s="3277" t="s">
        <v>3200</v>
      </c>
      <c r="I69" s="3277" t="s">
        <v>3099</v>
      </c>
      <c r="J69" s="3277">
        <v>36499.51</v>
      </c>
      <c r="K69" s="3277">
        <v>65699.12</v>
      </c>
      <c r="L69" s="3277" t="s">
        <v>3123</v>
      </c>
      <c r="M69" s="3277" t="s">
        <v>2791</v>
      </c>
      <c r="N69" s="3277" t="s">
        <v>3201</v>
      </c>
      <c r="O69" s="3277" t="s">
        <v>3202</v>
      </c>
      <c r="P69" s="3277" t="s">
        <v>2791</v>
      </c>
      <c r="Q69" s="3277" t="s">
        <v>2791</v>
      </c>
      <c r="R69" s="3277" t="s">
        <v>2791</v>
      </c>
      <c r="S69" s="3277" t="s">
        <v>2791</v>
      </c>
      <c r="T69" s="3277" t="s">
        <v>2791</v>
      </c>
      <c r="U69" s="3277" t="s">
        <v>2791</v>
      </c>
      <c r="V69" s="3277" t="s">
        <v>2791</v>
      </c>
      <c r="W69" s="3277" t="s">
        <v>3085</v>
      </c>
      <c r="X69" s="3277" t="s">
        <v>3203</v>
      </c>
      <c r="Y69" s="3277" t="s">
        <v>3204</v>
      </c>
      <c r="Z69" s="3277" t="s">
        <v>3204</v>
      </c>
      <c r="AA69" s="3277" t="s">
        <v>3204</v>
      </c>
      <c r="AB69" s="3277" t="s">
        <v>3205</v>
      </c>
      <c r="AC69" s="3277" t="s">
        <v>3088</v>
      </c>
      <c r="AD69" s="3277" t="s">
        <v>3206</v>
      </c>
      <c r="AE69" s="3277">
        <v>10000</v>
      </c>
      <c r="AF69" s="3277">
        <v>19710</v>
      </c>
      <c r="AG69" s="3277">
        <v>19710</v>
      </c>
      <c r="AH69" s="3277">
        <v>360</v>
      </c>
      <c r="AI69" s="3277">
        <v>360</v>
      </c>
      <c r="AJ69" s="3277">
        <v>3000.04</v>
      </c>
      <c r="AK69" s="3277">
        <v>3000.03</v>
      </c>
      <c r="AL69" s="3277" t="s">
        <v>2791</v>
      </c>
      <c r="AM69" s="3277" t="s">
        <v>2791</v>
      </c>
      <c r="AN69" s="3277">
        <v>0</v>
      </c>
      <c r="AO69" s="3277" t="s">
        <v>3063</v>
      </c>
      <c r="AP69" s="3277" t="s">
        <v>2791</v>
      </c>
      <c r="AQ69" s="3277" t="s">
        <v>2791</v>
      </c>
      <c r="AR69" s="3277" t="s">
        <v>2791</v>
      </c>
      <c r="AS69" s="3277" t="s">
        <v>3129</v>
      </c>
    </row>
    <row r="70" spans="1:46">
      <c r="A70" s="3283" t="s">
        <v>3207</v>
      </c>
      <c r="B70" s="3283" t="s">
        <v>3056</v>
      </c>
      <c r="C70" s="3283" t="s">
        <v>3057</v>
      </c>
      <c r="D70" s="3283" t="s">
        <v>3058</v>
      </c>
      <c r="E70" s="3283" t="s">
        <v>2791</v>
      </c>
      <c r="F70" s="3283" t="s">
        <v>3207</v>
      </c>
      <c r="G70" s="3283" t="s">
        <v>3059</v>
      </c>
      <c r="H70" s="3283" t="s">
        <v>3208</v>
      </c>
      <c r="I70" s="3283" t="s">
        <v>3099</v>
      </c>
      <c r="J70" s="3283">
        <v>46096.34</v>
      </c>
      <c r="K70" s="3283">
        <v>145664.43</v>
      </c>
      <c r="L70" s="3283" t="s">
        <v>3209</v>
      </c>
      <c r="M70" s="3283" t="s">
        <v>2791</v>
      </c>
      <c r="N70" s="3283" t="s">
        <v>3076</v>
      </c>
      <c r="O70" s="3283" t="s">
        <v>3077</v>
      </c>
      <c r="P70" s="3283" t="s">
        <v>2791</v>
      </c>
      <c r="Q70" s="3283" t="s">
        <v>2791</v>
      </c>
      <c r="R70" s="3283" t="s">
        <v>2791</v>
      </c>
      <c r="S70" s="3283" t="s">
        <v>2791</v>
      </c>
      <c r="T70" s="3283" t="s">
        <v>2791</v>
      </c>
      <c r="U70" s="3283" t="s">
        <v>2791</v>
      </c>
      <c r="V70" s="3283" t="s">
        <v>2791</v>
      </c>
      <c r="W70" s="3283" t="s">
        <v>3085</v>
      </c>
      <c r="X70" s="3283" t="s">
        <v>3210</v>
      </c>
      <c r="Y70" s="3283" t="s">
        <v>3211</v>
      </c>
      <c r="Z70" s="3283" t="s">
        <v>3211</v>
      </c>
      <c r="AA70" s="3283" t="s">
        <v>3211</v>
      </c>
      <c r="AB70" s="3283" t="s">
        <v>3212</v>
      </c>
      <c r="AC70" s="3283" t="s">
        <v>3088</v>
      </c>
      <c r="AD70" s="3283" t="s">
        <v>3213</v>
      </c>
      <c r="AE70" s="3283">
        <v>3060</v>
      </c>
      <c r="AF70" s="3283">
        <v>15290</v>
      </c>
      <c r="AG70" s="3283">
        <v>15290</v>
      </c>
      <c r="AH70" s="3283">
        <v>221.13</v>
      </c>
      <c r="AI70" s="3283">
        <v>221.13</v>
      </c>
      <c r="AJ70" s="3283">
        <v>1049.67</v>
      </c>
      <c r="AK70" s="3283">
        <v>1049.67</v>
      </c>
      <c r="AL70" s="3283" t="s">
        <v>2791</v>
      </c>
      <c r="AM70" s="3283" t="s">
        <v>2791</v>
      </c>
      <c r="AN70" s="3283">
        <v>0</v>
      </c>
      <c r="AO70" s="3283" t="s">
        <v>3063</v>
      </c>
      <c r="AP70" s="3283" t="s">
        <v>2791</v>
      </c>
      <c r="AQ70" s="3283" t="s">
        <v>2791</v>
      </c>
      <c r="AR70" s="3283" t="s">
        <v>2791</v>
      </c>
      <c r="AS70" s="3283" t="s">
        <v>3129</v>
      </c>
    </row>
    <row r="71" spans="1:46">
      <c r="A71" s="3283" t="s">
        <v>3207</v>
      </c>
      <c r="B71" s="3283" t="s">
        <v>3056</v>
      </c>
      <c r="C71" s="3283" t="s">
        <v>3057</v>
      </c>
      <c r="D71" s="3283" t="s">
        <v>3058</v>
      </c>
      <c r="E71" s="3283" t="s">
        <v>2791</v>
      </c>
      <c r="F71" s="3283" t="s">
        <v>3207</v>
      </c>
      <c r="G71" s="3283" t="s">
        <v>3059</v>
      </c>
      <c r="H71" s="3283" t="s">
        <v>3214</v>
      </c>
      <c r="I71" s="3283" t="s">
        <v>3099</v>
      </c>
      <c r="J71" s="3283">
        <v>39676.620000000003</v>
      </c>
      <c r="K71" s="3283">
        <v>125378.12</v>
      </c>
      <c r="L71" s="3283" t="s">
        <v>3209</v>
      </c>
      <c r="M71" s="3283" t="s">
        <v>2791</v>
      </c>
      <c r="N71" s="3283" t="s">
        <v>3076</v>
      </c>
      <c r="O71" s="3283" t="s">
        <v>3077</v>
      </c>
      <c r="P71" s="3283" t="s">
        <v>2791</v>
      </c>
      <c r="Q71" s="3283" t="s">
        <v>2791</v>
      </c>
      <c r="R71" s="3283" t="s">
        <v>2791</v>
      </c>
      <c r="S71" s="3283" t="s">
        <v>2791</v>
      </c>
      <c r="T71" s="3283" t="s">
        <v>2791</v>
      </c>
      <c r="U71" s="3283" t="s">
        <v>2791</v>
      </c>
      <c r="V71" s="3283" t="s">
        <v>2791</v>
      </c>
      <c r="W71" s="3283" t="s">
        <v>3085</v>
      </c>
      <c r="X71" s="3283" t="s">
        <v>3210</v>
      </c>
      <c r="Y71" s="3283" t="s">
        <v>3211</v>
      </c>
      <c r="Z71" s="3283" t="s">
        <v>3211</v>
      </c>
      <c r="AA71" s="3283" t="s">
        <v>3211</v>
      </c>
      <c r="AB71" s="3283" t="s">
        <v>3212</v>
      </c>
      <c r="AC71" s="3283" t="s">
        <v>3088</v>
      </c>
      <c r="AD71" s="3283" t="s">
        <v>3213</v>
      </c>
      <c r="AE71" s="3283">
        <v>2630</v>
      </c>
      <c r="AF71" s="3283">
        <v>13120</v>
      </c>
      <c r="AG71" s="3283">
        <v>13120</v>
      </c>
      <c r="AH71" s="3283">
        <v>220.45</v>
      </c>
      <c r="AI71" s="3283">
        <v>220.45</v>
      </c>
      <c r="AJ71" s="3283">
        <v>1046.43</v>
      </c>
      <c r="AK71" s="3283">
        <v>1046.43</v>
      </c>
      <c r="AL71" s="3283" t="s">
        <v>2791</v>
      </c>
      <c r="AM71" s="3283" t="s">
        <v>2791</v>
      </c>
      <c r="AN71" s="3283">
        <v>0</v>
      </c>
      <c r="AO71" s="3283" t="s">
        <v>3063</v>
      </c>
      <c r="AP71" s="3283" t="s">
        <v>2791</v>
      </c>
      <c r="AQ71" s="3283" t="s">
        <v>2791</v>
      </c>
      <c r="AR71" s="3283" t="s">
        <v>2791</v>
      </c>
      <c r="AS71" s="3283" t="s">
        <v>3129</v>
      </c>
    </row>
    <row r="72" spans="1:46" s="3336" customFormat="1">
      <c r="A72" s="3335" t="s">
        <v>3207</v>
      </c>
      <c r="B72" s="3335" t="s">
        <v>3056</v>
      </c>
      <c r="C72" s="3335" t="s">
        <v>3057</v>
      </c>
      <c r="D72" s="3335" t="s">
        <v>3058</v>
      </c>
      <c r="E72" s="3335" t="s">
        <v>2791</v>
      </c>
      <c r="F72" s="3335" t="s">
        <v>3207</v>
      </c>
      <c r="G72" s="3335" t="s">
        <v>3059</v>
      </c>
      <c r="H72" s="3335" t="s">
        <v>3215</v>
      </c>
      <c r="I72" s="3335" t="s">
        <v>3099</v>
      </c>
      <c r="J72" s="3335">
        <v>47462.41</v>
      </c>
      <c r="K72" s="3335">
        <v>86381.59</v>
      </c>
      <c r="L72" s="3335" t="s">
        <v>3216</v>
      </c>
      <c r="M72" s="3335" t="s">
        <v>2791</v>
      </c>
      <c r="N72" s="3335" t="s">
        <v>3076</v>
      </c>
      <c r="O72" s="3335" t="s">
        <v>3077</v>
      </c>
      <c r="P72" s="3335" t="s">
        <v>2791</v>
      </c>
      <c r="Q72" s="3335" t="s">
        <v>2791</v>
      </c>
      <c r="R72" s="3335" t="s">
        <v>2791</v>
      </c>
      <c r="S72" s="3335" t="s">
        <v>2791</v>
      </c>
      <c r="T72" s="3335" t="s">
        <v>2791</v>
      </c>
      <c r="U72" s="3335" t="s">
        <v>2791</v>
      </c>
      <c r="V72" s="3335" t="s">
        <v>2791</v>
      </c>
      <c r="W72" s="3335" t="s">
        <v>3085</v>
      </c>
      <c r="X72" s="3335" t="s">
        <v>3210</v>
      </c>
      <c r="Y72" s="3335" t="s">
        <v>3211</v>
      </c>
      <c r="Z72" s="3335" t="s">
        <v>3211</v>
      </c>
      <c r="AA72" s="3335" t="s">
        <v>3211</v>
      </c>
      <c r="AB72" s="3335" t="s">
        <v>3212</v>
      </c>
      <c r="AC72" s="3335" t="s">
        <v>3088</v>
      </c>
      <c r="AD72" s="3335" t="s">
        <v>3213</v>
      </c>
      <c r="AE72" s="3335">
        <v>3250</v>
      </c>
      <c r="AF72" s="3335">
        <v>16210</v>
      </c>
      <c r="AG72" s="3335">
        <v>16210</v>
      </c>
      <c r="AH72" s="3335">
        <v>227.69</v>
      </c>
      <c r="AI72" s="3335">
        <v>227.69</v>
      </c>
      <c r="AJ72" s="3335">
        <v>1876.55</v>
      </c>
      <c r="AK72" s="3335">
        <v>1876.55</v>
      </c>
      <c r="AL72" s="3335" t="s">
        <v>2791</v>
      </c>
      <c r="AM72" s="3335" t="s">
        <v>2791</v>
      </c>
      <c r="AN72" s="3335">
        <v>0</v>
      </c>
      <c r="AO72" s="3335" t="s">
        <v>3063</v>
      </c>
      <c r="AP72" s="3335" t="s">
        <v>2791</v>
      </c>
      <c r="AQ72" s="3335" t="s">
        <v>2791</v>
      </c>
      <c r="AR72" s="3335" t="s">
        <v>2791</v>
      </c>
      <c r="AS72" s="3335" t="s">
        <v>3129</v>
      </c>
    </row>
    <row r="73" spans="1:46" ht="14.25" thickBot="1">
      <c r="A73" s="3283" t="s">
        <v>3217</v>
      </c>
      <c r="B73" s="3283" t="s">
        <v>3056</v>
      </c>
      <c r="C73" s="3283" t="s">
        <v>3057</v>
      </c>
      <c r="D73" s="3283" t="s">
        <v>3058</v>
      </c>
      <c r="E73" s="3283" t="s">
        <v>2791</v>
      </c>
      <c r="F73" s="3283" t="s">
        <v>3217</v>
      </c>
      <c r="G73" s="3283" t="s">
        <v>3059</v>
      </c>
      <c r="H73" s="3283" t="s">
        <v>3218</v>
      </c>
      <c r="I73" s="3283" t="s">
        <v>3099</v>
      </c>
      <c r="J73" s="3283">
        <v>42658.77</v>
      </c>
      <c r="K73" s="3283">
        <v>77638.960000000006</v>
      </c>
      <c r="L73" s="3283" t="s">
        <v>3216</v>
      </c>
      <c r="M73" s="3283" t="s">
        <v>2791</v>
      </c>
      <c r="N73" s="3283" t="s">
        <v>3076</v>
      </c>
      <c r="O73" s="3283" t="s">
        <v>3077</v>
      </c>
      <c r="P73" s="3283" t="s">
        <v>2791</v>
      </c>
      <c r="Q73" s="3283" t="s">
        <v>2791</v>
      </c>
      <c r="R73" s="3283" t="s">
        <v>2791</v>
      </c>
      <c r="S73" s="3283" t="s">
        <v>2791</v>
      </c>
      <c r="T73" s="3283" t="s">
        <v>2791</v>
      </c>
      <c r="U73" s="3283" t="s">
        <v>2791</v>
      </c>
      <c r="V73" s="3283" t="s">
        <v>2791</v>
      </c>
      <c r="W73" s="3283" t="s">
        <v>3085</v>
      </c>
      <c r="X73" s="3283" t="s">
        <v>3210</v>
      </c>
      <c r="Y73" s="3283" t="s">
        <v>3211</v>
      </c>
      <c r="Z73" s="3283" t="s">
        <v>3211</v>
      </c>
      <c r="AA73" s="3283" t="s">
        <v>3211</v>
      </c>
      <c r="AB73" s="3283" t="s">
        <v>3212</v>
      </c>
      <c r="AC73" s="3283" t="s">
        <v>3088</v>
      </c>
      <c r="AD73" s="3283" t="s">
        <v>3213</v>
      </c>
      <c r="AE73" s="3283">
        <v>2900</v>
      </c>
      <c r="AF73" s="3283">
        <v>14500</v>
      </c>
      <c r="AG73" s="3283">
        <v>14500</v>
      </c>
      <c r="AH73" s="3283">
        <v>226.6</v>
      </c>
      <c r="AI73" s="3283">
        <v>226.6</v>
      </c>
      <c r="AJ73" s="3283">
        <v>1867.61</v>
      </c>
      <c r="AK73" s="3283">
        <v>1867.61</v>
      </c>
      <c r="AL73" s="3283" t="s">
        <v>2791</v>
      </c>
      <c r="AM73" s="3283" t="s">
        <v>2791</v>
      </c>
      <c r="AN73" s="3283">
        <v>0</v>
      </c>
      <c r="AO73" s="3283" t="s">
        <v>3063</v>
      </c>
      <c r="AP73" s="3283" t="s">
        <v>2791</v>
      </c>
      <c r="AQ73" s="3283" t="s">
        <v>2791</v>
      </c>
      <c r="AR73" s="3283" t="s">
        <v>2791</v>
      </c>
      <c r="AS73" s="3283" t="s">
        <v>3129</v>
      </c>
    </row>
    <row r="74" spans="1:46" s="3278" customFormat="1" ht="14.25" hidden="1" thickBot="1">
      <c r="A74" s="3277" t="s">
        <v>3219</v>
      </c>
      <c r="B74" s="3277" t="s">
        <v>3056</v>
      </c>
      <c r="C74" s="3277" t="s">
        <v>3057</v>
      </c>
      <c r="D74" s="3277" t="s">
        <v>3058</v>
      </c>
      <c r="E74" s="3277" t="s">
        <v>2791</v>
      </c>
      <c r="F74" s="3277" t="s">
        <v>3219</v>
      </c>
      <c r="G74" s="3277" t="s">
        <v>3059</v>
      </c>
      <c r="H74" s="3277" t="s">
        <v>3220</v>
      </c>
      <c r="I74" s="3277" t="s">
        <v>3099</v>
      </c>
      <c r="J74" s="3277">
        <v>57800.83</v>
      </c>
      <c r="K74" s="3277">
        <v>144502.07999999999</v>
      </c>
      <c r="L74" s="3277" t="s">
        <v>3221</v>
      </c>
      <c r="M74" s="3277" t="s">
        <v>2791</v>
      </c>
      <c r="N74" s="3277" t="s">
        <v>3068</v>
      </c>
      <c r="O74" s="3277" t="s">
        <v>3222</v>
      </c>
      <c r="P74" s="3277" t="s">
        <v>2791</v>
      </c>
      <c r="Q74" s="3277" t="s">
        <v>2791</v>
      </c>
      <c r="R74" s="3277" t="s">
        <v>2791</v>
      </c>
      <c r="S74" s="3277" t="s">
        <v>2791</v>
      </c>
      <c r="T74" s="3277" t="s">
        <v>2791</v>
      </c>
      <c r="U74" s="3277" t="s">
        <v>2791</v>
      </c>
      <c r="V74" s="3277" t="s">
        <v>2791</v>
      </c>
      <c r="W74" s="3277" t="s">
        <v>3085</v>
      </c>
      <c r="X74" s="3277" t="s">
        <v>3223</v>
      </c>
      <c r="Y74" s="3277" t="s">
        <v>3224</v>
      </c>
      <c r="Z74" s="3277" t="s">
        <v>3224</v>
      </c>
      <c r="AA74" s="3277" t="s">
        <v>3224</v>
      </c>
      <c r="AB74" s="3277" t="s">
        <v>3225</v>
      </c>
      <c r="AC74" s="3277" t="s">
        <v>3088</v>
      </c>
      <c r="AD74" s="3277" t="s">
        <v>3226</v>
      </c>
      <c r="AE74" s="3277">
        <v>12920</v>
      </c>
      <c r="AF74" s="3277">
        <v>25840</v>
      </c>
      <c r="AG74" s="3277">
        <v>25840</v>
      </c>
      <c r="AH74" s="3277">
        <v>298.02999999999997</v>
      </c>
      <c r="AI74" s="3277">
        <v>298.02999999999997</v>
      </c>
      <c r="AJ74" s="3277">
        <v>1788.2</v>
      </c>
      <c r="AK74" s="3277">
        <v>1788.21</v>
      </c>
      <c r="AL74" s="3277" t="s">
        <v>2791</v>
      </c>
      <c r="AM74" s="3277" t="s">
        <v>2791</v>
      </c>
      <c r="AN74" s="3277">
        <v>0</v>
      </c>
      <c r="AO74" s="3277" t="s">
        <v>3063</v>
      </c>
      <c r="AP74" s="3277" t="s">
        <v>2791</v>
      </c>
      <c r="AQ74" s="3277" t="s">
        <v>2791</v>
      </c>
      <c r="AR74" s="3277" t="s">
        <v>2791</v>
      </c>
      <c r="AS74" s="3277" t="s">
        <v>3129</v>
      </c>
    </row>
    <row r="75" spans="1:46" s="3278" customFormat="1" ht="14.25" hidden="1" thickBot="1">
      <c r="A75" s="3277" t="s">
        <v>3227</v>
      </c>
      <c r="B75" s="3277" t="s">
        <v>3056</v>
      </c>
      <c r="C75" s="3277" t="s">
        <v>3057</v>
      </c>
      <c r="D75" s="3277" t="s">
        <v>3058</v>
      </c>
      <c r="E75" s="3277" t="s">
        <v>2791</v>
      </c>
      <c r="F75" s="3277" t="s">
        <v>3227</v>
      </c>
      <c r="G75" s="3277" t="s">
        <v>3059</v>
      </c>
      <c r="H75" s="3277" t="s">
        <v>3228</v>
      </c>
      <c r="I75" s="3277" t="s">
        <v>3099</v>
      </c>
      <c r="J75" s="3277">
        <v>64720.72</v>
      </c>
      <c r="K75" s="3277">
        <v>161801.79999999999</v>
      </c>
      <c r="L75" s="3277" t="s">
        <v>3221</v>
      </c>
      <c r="M75" s="3277" t="s">
        <v>2791</v>
      </c>
      <c r="N75" s="3277" t="s">
        <v>3068</v>
      </c>
      <c r="O75" s="3277" t="s">
        <v>3229</v>
      </c>
      <c r="P75" s="3277" t="s">
        <v>2791</v>
      </c>
      <c r="Q75" s="3277" t="s">
        <v>2791</v>
      </c>
      <c r="R75" s="3277" t="s">
        <v>2791</v>
      </c>
      <c r="S75" s="3277" t="s">
        <v>2791</v>
      </c>
      <c r="T75" s="3277" t="s">
        <v>2791</v>
      </c>
      <c r="U75" s="3277" t="s">
        <v>2791</v>
      </c>
      <c r="V75" s="3277" t="s">
        <v>2791</v>
      </c>
      <c r="W75" s="3277" t="s">
        <v>3085</v>
      </c>
      <c r="X75" s="3277" t="s">
        <v>3223</v>
      </c>
      <c r="Y75" s="3277" t="s">
        <v>3224</v>
      </c>
      <c r="Z75" s="3277" t="s">
        <v>3224</v>
      </c>
      <c r="AA75" s="3277" t="s">
        <v>3224</v>
      </c>
      <c r="AB75" s="3277" t="s">
        <v>3225</v>
      </c>
      <c r="AC75" s="3277" t="s">
        <v>3088</v>
      </c>
      <c r="AD75" s="3277" t="s">
        <v>3226</v>
      </c>
      <c r="AE75" s="3277">
        <v>14465</v>
      </c>
      <c r="AF75" s="3277">
        <v>28930</v>
      </c>
      <c r="AG75" s="3277">
        <v>28930</v>
      </c>
      <c r="AH75" s="3277">
        <v>298</v>
      </c>
      <c r="AI75" s="3277">
        <v>298</v>
      </c>
      <c r="AJ75" s="3277">
        <v>1787.99</v>
      </c>
      <c r="AK75" s="3277">
        <v>1787.99</v>
      </c>
      <c r="AL75" s="3277" t="s">
        <v>2791</v>
      </c>
      <c r="AM75" s="3277" t="s">
        <v>2791</v>
      </c>
      <c r="AN75" s="3277">
        <v>0</v>
      </c>
      <c r="AO75" s="3277" t="s">
        <v>3063</v>
      </c>
      <c r="AP75" s="3277" t="s">
        <v>2791</v>
      </c>
      <c r="AQ75" s="3277" t="s">
        <v>2791</v>
      </c>
      <c r="AR75" s="3277" t="s">
        <v>2791</v>
      </c>
      <c r="AS75" s="3277" t="s">
        <v>3129</v>
      </c>
    </row>
    <row r="76" spans="1:46" s="3621" customFormat="1">
      <c r="A76" s="3620" t="s">
        <v>3230</v>
      </c>
      <c r="B76" s="3350" t="s">
        <v>3056</v>
      </c>
      <c r="C76" s="3350" t="s">
        <v>3057</v>
      </c>
      <c r="D76" s="3350" t="s">
        <v>3058</v>
      </c>
      <c r="E76" s="3350" t="s">
        <v>2791</v>
      </c>
      <c r="F76" s="3350" t="s">
        <v>3230</v>
      </c>
      <c r="G76" s="3350" t="s">
        <v>3059</v>
      </c>
      <c r="H76" s="3350" t="s">
        <v>3231</v>
      </c>
      <c r="I76" s="3350" t="s">
        <v>3099</v>
      </c>
      <c r="J76" s="3350">
        <v>59340.42</v>
      </c>
      <c r="K76" s="3350">
        <v>148351.04999999999</v>
      </c>
      <c r="L76" s="3350" t="s">
        <v>3075</v>
      </c>
      <c r="M76" s="3350" t="s">
        <v>2791</v>
      </c>
      <c r="N76" s="3350" t="s">
        <v>3076</v>
      </c>
      <c r="O76" s="3350" t="s">
        <v>3078</v>
      </c>
      <c r="P76" s="3350" t="s">
        <v>2791</v>
      </c>
      <c r="Q76" s="3350" t="s">
        <v>2791</v>
      </c>
      <c r="R76" s="3350" t="s">
        <v>2791</v>
      </c>
      <c r="S76" s="3350" t="s">
        <v>2791</v>
      </c>
      <c r="T76" s="3350" t="s">
        <v>2791</v>
      </c>
      <c r="U76" s="3350" t="s">
        <v>2791</v>
      </c>
      <c r="V76" s="3350" t="s">
        <v>2791</v>
      </c>
      <c r="W76" s="3350" t="s">
        <v>3085</v>
      </c>
      <c r="X76" s="3350" t="s">
        <v>3232</v>
      </c>
      <c r="Y76" s="3350" t="s">
        <v>3233</v>
      </c>
      <c r="Z76" s="3350" t="s">
        <v>3233</v>
      </c>
      <c r="AA76" s="3350" t="s">
        <v>3233</v>
      </c>
      <c r="AB76" s="3350" t="s">
        <v>3234</v>
      </c>
      <c r="AC76" s="3350" t="s">
        <v>3088</v>
      </c>
      <c r="AD76" s="3350" t="s">
        <v>3143</v>
      </c>
      <c r="AE76" s="3350">
        <v>7418</v>
      </c>
      <c r="AF76" s="3350">
        <v>37090</v>
      </c>
      <c r="AG76" s="3350">
        <v>37600</v>
      </c>
      <c r="AH76" s="3350">
        <v>416.69</v>
      </c>
      <c r="AI76" s="3350">
        <v>422.42</v>
      </c>
      <c r="AJ76" s="3350">
        <v>2500.15</v>
      </c>
      <c r="AK76" s="3350">
        <v>2534.5300000000002</v>
      </c>
      <c r="AL76" s="3350" t="s">
        <v>2791</v>
      </c>
      <c r="AM76" s="3350" t="s">
        <v>2791</v>
      </c>
      <c r="AN76" s="3350">
        <v>1.38</v>
      </c>
      <c r="AO76" s="3350" t="s">
        <v>3063</v>
      </c>
      <c r="AP76" s="3350" t="s">
        <v>2791</v>
      </c>
      <c r="AQ76" s="3350" t="s">
        <v>2791</v>
      </c>
      <c r="AR76" s="3350" t="s">
        <v>2791</v>
      </c>
      <c r="AS76" s="3350" t="s">
        <v>3081</v>
      </c>
      <c r="AT76" s="3332" t="s">
        <v>3849</v>
      </c>
    </row>
    <row r="77" spans="1:46" s="3331" customFormat="1">
      <c r="A77" s="3328" t="s">
        <v>3230</v>
      </c>
      <c r="B77" s="3329" t="s">
        <v>3056</v>
      </c>
      <c r="C77" s="3329" t="s">
        <v>3057</v>
      </c>
      <c r="D77" s="3329" t="s">
        <v>3058</v>
      </c>
      <c r="E77" s="3329" t="s">
        <v>2791</v>
      </c>
      <c r="F77" s="3329" t="s">
        <v>3230</v>
      </c>
      <c r="G77" s="3329" t="s">
        <v>3059</v>
      </c>
      <c r="H77" s="3329" t="s">
        <v>3235</v>
      </c>
      <c r="I77" s="3329" t="s">
        <v>3099</v>
      </c>
      <c r="J77" s="3329">
        <v>58740.08</v>
      </c>
      <c r="K77" s="3329">
        <v>146850.20000000001</v>
      </c>
      <c r="L77" s="3329" t="s">
        <v>3075</v>
      </c>
      <c r="M77" s="3329" t="s">
        <v>2791</v>
      </c>
      <c r="N77" s="3329" t="s">
        <v>3076</v>
      </c>
      <c r="O77" s="3329" t="s">
        <v>3078</v>
      </c>
      <c r="P77" s="3329" t="s">
        <v>2791</v>
      </c>
      <c r="Q77" s="3329" t="s">
        <v>2791</v>
      </c>
      <c r="R77" s="3329" t="s">
        <v>2791</v>
      </c>
      <c r="S77" s="3329" t="s">
        <v>2791</v>
      </c>
      <c r="T77" s="3329" t="s">
        <v>2791</v>
      </c>
      <c r="U77" s="3329" t="s">
        <v>2791</v>
      </c>
      <c r="V77" s="3329" t="s">
        <v>2791</v>
      </c>
      <c r="W77" s="3329" t="s">
        <v>3085</v>
      </c>
      <c r="X77" s="3329" t="s">
        <v>3232</v>
      </c>
      <c r="Y77" s="3329" t="s">
        <v>3233</v>
      </c>
      <c r="Z77" s="3329" t="s">
        <v>3233</v>
      </c>
      <c r="AA77" s="3329" t="s">
        <v>3233</v>
      </c>
      <c r="AB77" s="3329" t="s">
        <v>3234</v>
      </c>
      <c r="AC77" s="3329" t="s">
        <v>3088</v>
      </c>
      <c r="AD77" s="3329" t="s">
        <v>3143</v>
      </c>
      <c r="AE77" s="3329">
        <v>7344</v>
      </c>
      <c r="AF77" s="3329">
        <v>36720</v>
      </c>
      <c r="AG77" s="3329">
        <v>37200</v>
      </c>
      <c r="AH77" s="3329">
        <v>416.75</v>
      </c>
      <c r="AI77" s="3329">
        <v>422.2</v>
      </c>
      <c r="AJ77" s="3329">
        <v>2500.5</v>
      </c>
      <c r="AK77" s="3329">
        <v>2533.19</v>
      </c>
      <c r="AL77" s="3329" t="s">
        <v>2791</v>
      </c>
      <c r="AM77" s="3329" t="s">
        <v>2791</v>
      </c>
      <c r="AN77" s="3329">
        <v>1.31</v>
      </c>
      <c r="AO77" s="3329" t="s">
        <v>3063</v>
      </c>
      <c r="AP77" s="3329" t="s">
        <v>2791</v>
      </c>
      <c r="AQ77" s="3329" t="s">
        <v>2791</v>
      </c>
      <c r="AR77" s="3329" t="s">
        <v>2791</v>
      </c>
      <c r="AS77" s="3329" t="s">
        <v>3129</v>
      </c>
    </row>
    <row r="78" spans="1:46" s="3331" customFormat="1">
      <c r="A78" s="3328" t="s">
        <v>3230</v>
      </c>
      <c r="B78" s="3329" t="s">
        <v>3056</v>
      </c>
      <c r="C78" s="3329" t="s">
        <v>3057</v>
      </c>
      <c r="D78" s="3329" t="s">
        <v>3058</v>
      </c>
      <c r="E78" s="3329" t="s">
        <v>2791</v>
      </c>
      <c r="F78" s="3329" t="s">
        <v>3230</v>
      </c>
      <c r="G78" s="3329" t="s">
        <v>3059</v>
      </c>
      <c r="H78" s="3329" t="s">
        <v>3236</v>
      </c>
      <c r="I78" s="3329" t="s">
        <v>3099</v>
      </c>
      <c r="J78" s="3329">
        <v>59600.71</v>
      </c>
      <c r="K78" s="3329">
        <v>149001.78</v>
      </c>
      <c r="L78" s="3329" t="s">
        <v>3075</v>
      </c>
      <c r="M78" s="3329" t="s">
        <v>2791</v>
      </c>
      <c r="N78" s="3329" t="s">
        <v>3076</v>
      </c>
      <c r="O78" s="3329" t="s">
        <v>3078</v>
      </c>
      <c r="P78" s="3329" t="s">
        <v>2791</v>
      </c>
      <c r="Q78" s="3329" t="s">
        <v>2791</v>
      </c>
      <c r="R78" s="3329" t="s">
        <v>2791</v>
      </c>
      <c r="S78" s="3329" t="s">
        <v>2791</v>
      </c>
      <c r="T78" s="3329" t="s">
        <v>2791</v>
      </c>
      <c r="U78" s="3329" t="s">
        <v>2791</v>
      </c>
      <c r="V78" s="3329" t="s">
        <v>2791</v>
      </c>
      <c r="W78" s="3329" t="s">
        <v>3085</v>
      </c>
      <c r="X78" s="3329" t="s">
        <v>3232</v>
      </c>
      <c r="Y78" s="3329" t="s">
        <v>3233</v>
      </c>
      <c r="Z78" s="3329" t="s">
        <v>3233</v>
      </c>
      <c r="AA78" s="3329" t="s">
        <v>3233</v>
      </c>
      <c r="AB78" s="3329" t="s">
        <v>3234</v>
      </c>
      <c r="AC78" s="3329" t="s">
        <v>3088</v>
      </c>
      <c r="AD78" s="3329" t="s">
        <v>3143</v>
      </c>
      <c r="AE78" s="3329">
        <v>7452</v>
      </c>
      <c r="AF78" s="3329">
        <v>37260</v>
      </c>
      <c r="AG78" s="3329">
        <v>37850</v>
      </c>
      <c r="AH78" s="3329">
        <v>416.77</v>
      </c>
      <c r="AI78" s="3329">
        <v>423.37</v>
      </c>
      <c r="AJ78" s="3329">
        <v>2500.64</v>
      </c>
      <c r="AK78" s="3329">
        <v>2540.23</v>
      </c>
      <c r="AL78" s="3329" t="s">
        <v>2791</v>
      </c>
      <c r="AM78" s="3329" t="s">
        <v>2791</v>
      </c>
      <c r="AN78" s="3329">
        <v>1.58</v>
      </c>
      <c r="AO78" s="3329" t="s">
        <v>3063</v>
      </c>
      <c r="AP78" s="3329" t="s">
        <v>2791</v>
      </c>
      <c r="AQ78" s="3329" t="s">
        <v>2791</v>
      </c>
      <c r="AR78" s="3329" t="s">
        <v>2791</v>
      </c>
      <c r="AS78" s="3329" t="s">
        <v>3081</v>
      </c>
    </row>
    <row r="79" spans="1:46" s="3331" customFormat="1">
      <c r="A79" s="3328" t="s">
        <v>3230</v>
      </c>
      <c r="B79" s="3329" t="s">
        <v>3056</v>
      </c>
      <c r="C79" s="3329" t="s">
        <v>3057</v>
      </c>
      <c r="D79" s="3329" t="s">
        <v>3058</v>
      </c>
      <c r="E79" s="3329" t="s">
        <v>2791</v>
      </c>
      <c r="F79" s="3329" t="s">
        <v>3230</v>
      </c>
      <c r="G79" s="3329" t="s">
        <v>3059</v>
      </c>
      <c r="H79" s="3329" t="s">
        <v>3237</v>
      </c>
      <c r="I79" s="3329" t="s">
        <v>3099</v>
      </c>
      <c r="J79" s="3329">
        <v>48025.42</v>
      </c>
      <c r="K79" s="3329">
        <v>120063.55</v>
      </c>
      <c r="L79" s="3329" t="s">
        <v>3075</v>
      </c>
      <c r="M79" s="3329" t="s">
        <v>2791</v>
      </c>
      <c r="N79" s="3329" t="s">
        <v>3076</v>
      </c>
      <c r="O79" s="3329" t="s">
        <v>3078</v>
      </c>
      <c r="P79" s="3329" t="s">
        <v>2791</v>
      </c>
      <c r="Q79" s="3329" t="s">
        <v>2791</v>
      </c>
      <c r="R79" s="3329" t="s">
        <v>2791</v>
      </c>
      <c r="S79" s="3329" t="s">
        <v>2791</v>
      </c>
      <c r="T79" s="3329" t="s">
        <v>2791</v>
      </c>
      <c r="U79" s="3329" t="s">
        <v>2791</v>
      </c>
      <c r="V79" s="3329" t="s">
        <v>2791</v>
      </c>
      <c r="W79" s="3329" t="s">
        <v>3085</v>
      </c>
      <c r="X79" s="3329" t="s">
        <v>3232</v>
      </c>
      <c r="Y79" s="3329" t="s">
        <v>3233</v>
      </c>
      <c r="Z79" s="3329" t="s">
        <v>3233</v>
      </c>
      <c r="AA79" s="3329" t="s">
        <v>3233</v>
      </c>
      <c r="AB79" s="3329" t="s">
        <v>3234</v>
      </c>
      <c r="AC79" s="3329" t="s">
        <v>3088</v>
      </c>
      <c r="AD79" s="3329" t="s">
        <v>3143</v>
      </c>
      <c r="AE79" s="3329">
        <v>6004</v>
      </c>
      <c r="AF79" s="3329">
        <v>30020</v>
      </c>
      <c r="AG79" s="3329">
        <v>32000</v>
      </c>
      <c r="AH79" s="3329">
        <v>416.72</v>
      </c>
      <c r="AI79" s="3329">
        <v>444.21</v>
      </c>
      <c r="AJ79" s="3329">
        <v>2500.34</v>
      </c>
      <c r="AK79" s="3329">
        <v>2665.26</v>
      </c>
      <c r="AL79" s="3329" t="s">
        <v>2791</v>
      </c>
      <c r="AM79" s="3329" t="s">
        <v>2791</v>
      </c>
      <c r="AN79" s="3329">
        <v>6.6</v>
      </c>
      <c r="AO79" s="3329" t="s">
        <v>3063</v>
      </c>
      <c r="AP79" s="3329" t="s">
        <v>2791</v>
      </c>
      <c r="AQ79" s="3329" t="s">
        <v>2791</v>
      </c>
      <c r="AR79" s="3329" t="s">
        <v>2791</v>
      </c>
      <c r="AS79" s="3329" t="s">
        <v>3129</v>
      </c>
    </row>
    <row r="80" spans="1:46" s="3331" customFormat="1">
      <c r="A80" s="3328" t="s">
        <v>3230</v>
      </c>
      <c r="B80" s="3329" t="s">
        <v>3056</v>
      </c>
      <c r="C80" s="3329" t="s">
        <v>3057</v>
      </c>
      <c r="D80" s="3329" t="s">
        <v>3058</v>
      </c>
      <c r="E80" s="3329" t="s">
        <v>2791</v>
      </c>
      <c r="F80" s="3329" t="s">
        <v>3230</v>
      </c>
      <c r="G80" s="3329" t="s">
        <v>3059</v>
      </c>
      <c r="H80" s="3329" t="s">
        <v>3238</v>
      </c>
      <c r="I80" s="3329" t="s">
        <v>3099</v>
      </c>
      <c r="J80" s="3329">
        <v>64259.75</v>
      </c>
      <c r="K80" s="3329">
        <v>160649.38</v>
      </c>
      <c r="L80" s="3329" t="s">
        <v>3075</v>
      </c>
      <c r="M80" s="3329" t="s">
        <v>2791</v>
      </c>
      <c r="N80" s="3329" t="s">
        <v>3076</v>
      </c>
      <c r="O80" s="3329" t="s">
        <v>3078</v>
      </c>
      <c r="P80" s="3329" t="s">
        <v>2791</v>
      </c>
      <c r="Q80" s="3329" t="s">
        <v>2791</v>
      </c>
      <c r="R80" s="3329" t="s">
        <v>2791</v>
      </c>
      <c r="S80" s="3329" t="s">
        <v>2791</v>
      </c>
      <c r="T80" s="3329" t="s">
        <v>2791</v>
      </c>
      <c r="U80" s="3329" t="s">
        <v>2791</v>
      </c>
      <c r="V80" s="3329" t="s">
        <v>2791</v>
      </c>
      <c r="W80" s="3329" t="s">
        <v>3085</v>
      </c>
      <c r="X80" s="3329" t="s">
        <v>3232</v>
      </c>
      <c r="Y80" s="3329" t="s">
        <v>3233</v>
      </c>
      <c r="Z80" s="3329" t="s">
        <v>3233</v>
      </c>
      <c r="AA80" s="3329" t="s">
        <v>3233</v>
      </c>
      <c r="AB80" s="3329" t="s">
        <v>3234</v>
      </c>
      <c r="AC80" s="3329" t="s">
        <v>3088</v>
      </c>
      <c r="AD80" s="3329" t="s">
        <v>3143</v>
      </c>
      <c r="AE80" s="3329">
        <v>8034</v>
      </c>
      <c r="AF80" s="3329">
        <v>40170</v>
      </c>
      <c r="AG80" s="3329">
        <v>40750</v>
      </c>
      <c r="AH80" s="3329">
        <v>416.75</v>
      </c>
      <c r="AI80" s="3329">
        <v>422.76</v>
      </c>
      <c r="AJ80" s="3329">
        <v>2500.4699999999998</v>
      </c>
      <c r="AK80" s="3329">
        <v>2536.5700000000002</v>
      </c>
      <c r="AL80" s="3329" t="s">
        <v>2791</v>
      </c>
      <c r="AM80" s="3329" t="s">
        <v>2791</v>
      </c>
      <c r="AN80" s="3329">
        <v>1.44</v>
      </c>
      <c r="AO80" s="3329" t="s">
        <v>3063</v>
      </c>
      <c r="AP80" s="3329" t="s">
        <v>2791</v>
      </c>
      <c r="AQ80" s="3329" t="s">
        <v>2791</v>
      </c>
      <c r="AR80" s="3329" t="s">
        <v>2791</v>
      </c>
      <c r="AS80" s="3329" t="s">
        <v>3081</v>
      </c>
    </row>
    <row r="81" spans="1:46" s="3331" customFormat="1">
      <c r="A81" s="3328" t="s">
        <v>3230</v>
      </c>
      <c r="B81" s="3329" t="s">
        <v>3056</v>
      </c>
      <c r="C81" s="3329" t="s">
        <v>3057</v>
      </c>
      <c r="D81" s="3329" t="s">
        <v>3058</v>
      </c>
      <c r="E81" s="3329" t="s">
        <v>2791</v>
      </c>
      <c r="F81" s="3329" t="s">
        <v>3230</v>
      </c>
      <c r="G81" s="3329" t="s">
        <v>3059</v>
      </c>
      <c r="H81" s="3329" t="s">
        <v>3239</v>
      </c>
      <c r="I81" s="3329" t="s">
        <v>3099</v>
      </c>
      <c r="J81" s="3329">
        <v>43016.4</v>
      </c>
      <c r="K81" s="3329">
        <v>107541</v>
      </c>
      <c r="L81" s="3329" t="s">
        <v>3075</v>
      </c>
      <c r="M81" s="3329" t="s">
        <v>2791</v>
      </c>
      <c r="N81" s="3329" t="s">
        <v>3076</v>
      </c>
      <c r="O81" s="3329" t="s">
        <v>3078</v>
      </c>
      <c r="P81" s="3329" t="s">
        <v>2791</v>
      </c>
      <c r="Q81" s="3329" t="s">
        <v>2791</v>
      </c>
      <c r="R81" s="3329" t="s">
        <v>2791</v>
      </c>
      <c r="S81" s="3329" t="s">
        <v>2791</v>
      </c>
      <c r="T81" s="3329" t="s">
        <v>2791</v>
      </c>
      <c r="U81" s="3329" t="s">
        <v>2791</v>
      </c>
      <c r="V81" s="3329" t="s">
        <v>2791</v>
      </c>
      <c r="W81" s="3329" t="s">
        <v>3085</v>
      </c>
      <c r="X81" s="3329" t="s">
        <v>3232</v>
      </c>
      <c r="Y81" s="3329" t="s">
        <v>3233</v>
      </c>
      <c r="Z81" s="3329" t="s">
        <v>3233</v>
      </c>
      <c r="AA81" s="3329" t="s">
        <v>3233</v>
      </c>
      <c r="AB81" s="3329" t="s">
        <v>3234</v>
      </c>
      <c r="AC81" s="3329" t="s">
        <v>3088</v>
      </c>
      <c r="AD81" s="3329" t="s">
        <v>3143</v>
      </c>
      <c r="AE81" s="3329">
        <v>5378</v>
      </c>
      <c r="AF81" s="3329">
        <v>26890</v>
      </c>
      <c r="AG81" s="3329">
        <v>27400</v>
      </c>
      <c r="AH81" s="3329">
        <v>416.74</v>
      </c>
      <c r="AI81" s="3329">
        <v>424.64</v>
      </c>
      <c r="AJ81" s="3329">
        <v>2500.44</v>
      </c>
      <c r="AK81" s="3329">
        <v>2547.86</v>
      </c>
      <c r="AL81" s="3329" t="s">
        <v>2791</v>
      </c>
      <c r="AM81" s="3329" t="s">
        <v>2791</v>
      </c>
      <c r="AN81" s="3329">
        <v>1.9</v>
      </c>
      <c r="AO81" s="3329" t="s">
        <v>3063</v>
      </c>
      <c r="AP81" s="3329" t="s">
        <v>2791</v>
      </c>
      <c r="AQ81" s="3329" t="s">
        <v>2791</v>
      </c>
      <c r="AR81" s="3329" t="s">
        <v>2791</v>
      </c>
      <c r="AS81" s="3329" t="s">
        <v>3129</v>
      </c>
    </row>
    <row r="82" spans="1:46" s="3331" customFormat="1">
      <c r="A82" s="3328" t="s">
        <v>3230</v>
      </c>
      <c r="B82" s="3329" t="s">
        <v>3056</v>
      </c>
      <c r="C82" s="3329" t="s">
        <v>3057</v>
      </c>
      <c r="D82" s="3329" t="s">
        <v>3058</v>
      </c>
      <c r="E82" s="3329" t="s">
        <v>2791</v>
      </c>
      <c r="F82" s="3329" t="s">
        <v>3230</v>
      </c>
      <c r="G82" s="3329" t="s">
        <v>3059</v>
      </c>
      <c r="H82" s="3329" t="s">
        <v>3240</v>
      </c>
      <c r="I82" s="3329" t="s">
        <v>3099</v>
      </c>
      <c r="J82" s="3329">
        <v>48536.959999999999</v>
      </c>
      <c r="K82" s="3329">
        <v>121342.39999999999</v>
      </c>
      <c r="L82" s="3329" t="s">
        <v>3075</v>
      </c>
      <c r="M82" s="3329" t="s">
        <v>2791</v>
      </c>
      <c r="N82" s="3329" t="s">
        <v>3076</v>
      </c>
      <c r="O82" s="3329" t="s">
        <v>3078</v>
      </c>
      <c r="P82" s="3329" t="s">
        <v>2791</v>
      </c>
      <c r="Q82" s="3329" t="s">
        <v>2791</v>
      </c>
      <c r="R82" s="3329" t="s">
        <v>2791</v>
      </c>
      <c r="S82" s="3329" t="s">
        <v>2791</v>
      </c>
      <c r="T82" s="3329" t="s">
        <v>2791</v>
      </c>
      <c r="U82" s="3329" t="s">
        <v>2791</v>
      </c>
      <c r="V82" s="3329" t="s">
        <v>2791</v>
      </c>
      <c r="W82" s="3329" t="s">
        <v>3085</v>
      </c>
      <c r="X82" s="3329" t="s">
        <v>3232</v>
      </c>
      <c r="Y82" s="3329" t="s">
        <v>3233</v>
      </c>
      <c r="Z82" s="3329" t="s">
        <v>3233</v>
      </c>
      <c r="AA82" s="3329" t="s">
        <v>3233</v>
      </c>
      <c r="AB82" s="3329" t="s">
        <v>3234</v>
      </c>
      <c r="AC82" s="3329" t="s">
        <v>3088</v>
      </c>
      <c r="AD82" s="3329" t="s">
        <v>3241</v>
      </c>
      <c r="AE82" s="3329">
        <v>6068</v>
      </c>
      <c r="AF82" s="3329">
        <v>30340</v>
      </c>
      <c r="AG82" s="3329">
        <v>34050</v>
      </c>
      <c r="AH82" s="3329">
        <v>416.73</v>
      </c>
      <c r="AI82" s="3329">
        <v>467.68</v>
      </c>
      <c r="AJ82" s="3329">
        <v>2500.36</v>
      </c>
      <c r="AK82" s="3329">
        <v>2806.11</v>
      </c>
      <c r="AL82" s="3329" t="s">
        <v>2791</v>
      </c>
      <c r="AM82" s="3329" t="s">
        <v>2791</v>
      </c>
      <c r="AN82" s="3329">
        <v>12.23</v>
      </c>
      <c r="AO82" s="3329" t="s">
        <v>3063</v>
      </c>
      <c r="AP82" s="3329" t="s">
        <v>2791</v>
      </c>
      <c r="AQ82" s="3329" t="s">
        <v>2791</v>
      </c>
      <c r="AR82" s="3329" t="s">
        <v>2791</v>
      </c>
      <c r="AS82" s="3329" t="s">
        <v>3129</v>
      </c>
      <c r="AT82" s="3330" t="s">
        <v>3727</v>
      </c>
    </row>
    <row r="83" spans="1:46" s="3331" customFormat="1">
      <c r="A83" s="3328" t="s">
        <v>3230</v>
      </c>
      <c r="B83" s="3329" t="s">
        <v>3056</v>
      </c>
      <c r="C83" s="3329" t="s">
        <v>3057</v>
      </c>
      <c r="D83" s="3329" t="s">
        <v>3058</v>
      </c>
      <c r="E83" s="3329" t="s">
        <v>2791</v>
      </c>
      <c r="F83" s="3329" t="s">
        <v>3230</v>
      </c>
      <c r="G83" s="3329" t="s">
        <v>3059</v>
      </c>
      <c r="H83" s="3329" t="s">
        <v>3242</v>
      </c>
      <c r="I83" s="3329" t="s">
        <v>3099</v>
      </c>
      <c r="J83" s="3329">
        <v>43701.75</v>
      </c>
      <c r="K83" s="3329">
        <v>109254.38</v>
      </c>
      <c r="L83" s="3329" t="s">
        <v>3075</v>
      </c>
      <c r="M83" s="3329" t="s">
        <v>2791</v>
      </c>
      <c r="N83" s="3329" t="s">
        <v>3076</v>
      </c>
      <c r="O83" s="3329" t="s">
        <v>3078</v>
      </c>
      <c r="P83" s="3329" t="s">
        <v>2791</v>
      </c>
      <c r="Q83" s="3329" t="s">
        <v>2791</v>
      </c>
      <c r="R83" s="3329" t="s">
        <v>2791</v>
      </c>
      <c r="S83" s="3329" t="s">
        <v>2791</v>
      </c>
      <c r="T83" s="3329" t="s">
        <v>2791</v>
      </c>
      <c r="U83" s="3329" t="s">
        <v>2791</v>
      </c>
      <c r="V83" s="3329" t="s">
        <v>2791</v>
      </c>
      <c r="W83" s="3329" t="s">
        <v>3085</v>
      </c>
      <c r="X83" s="3329" t="s">
        <v>3232</v>
      </c>
      <c r="Y83" s="3329" t="s">
        <v>3233</v>
      </c>
      <c r="Z83" s="3329" t="s">
        <v>3233</v>
      </c>
      <c r="AA83" s="3329" t="s">
        <v>3233</v>
      </c>
      <c r="AB83" s="3329" t="s">
        <v>3234</v>
      </c>
      <c r="AC83" s="3329" t="s">
        <v>3088</v>
      </c>
      <c r="AD83" s="3329" t="s">
        <v>3143</v>
      </c>
      <c r="AE83" s="3329">
        <v>5464</v>
      </c>
      <c r="AF83" s="3329">
        <v>27320</v>
      </c>
      <c r="AG83" s="3329">
        <v>27750</v>
      </c>
      <c r="AH83" s="3329">
        <v>416.76</v>
      </c>
      <c r="AI83" s="3329">
        <v>423.32</v>
      </c>
      <c r="AJ83" s="3329">
        <v>2500.58</v>
      </c>
      <c r="AK83" s="3329">
        <v>2539.94</v>
      </c>
      <c r="AL83" s="3329" t="s">
        <v>2791</v>
      </c>
      <c r="AM83" s="3329" t="s">
        <v>2791</v>
      </c>
      <c r="AN83" s="3329">
        <v>1.57</v>
      </c>
      <c r="AO83" s="3329" t="s">
        <v>3063</v>
      </c>
      <c r="AP83" s="3329" t="s">
        <v>2791</v>
      </c>
      <c r="AQ83" s="3329" t="s">
        <v>2791</v>
      </c>
      <c r="AR83" s="3329" t="s">
        <v>2791</v>
      </c>
      <c r="AS83" s="3329" t="s">
        <v>3081</v>
      </c>
    </row>
    <row r="84" spans="1:46" s="3331" customFormat="1">
      <c r="A84" s="3328" t="s">
        <v>3230</v>
      </c>
      <c r="B84" s="3329" t="s">
        <v>3056</v>
      </c>
      <c r="C84" s="3329" t="s">
        <v>3057</v>
      </c>
      <c r="D84" s="3329" t="s">
        <v>3058</v>
      </c>
      <c r="E84" s="3329" t="s">
        <v>2791</v>
      </c>
      <c r="F84" s="3329" t="s">
        <v>3230</v>
      </c>
      <c r="G84" s="3329" t="s">
        <v>3059</v>
      </c>
      <c r="H84" s="3329" t="s">
        <v>3243</v>
      </c>
      <c r="I84" s="3329" t="s">
        <v>3099</v>
      </c>
      <c r="J84" s="3329">
        <v>30868.04</v>
      </c>
      <c r="K84" s="3329">
        <v>77170.100000000006</v>
      </c>
      <c r="L84" s="3329" t="s">
        <v>3075</v>
      </c>
      <c r="M84" s="3329" t="s">
        <v>2791</v>
      </c>
      <c r="N84" s="3329" t="s">
        <v>3076</v>
      </c>
      <c r="O84" s="3329" t="s">
        <v>3078</v>
      </c>
      <c r="P84" s="3329" t="s">
        <v>2791</v>
      </c>
      <c r="Q84" s="3329" t="s">
        <v>2791</v>
      </c>
      <c r="R84" s="3329" t="s">
        <v>2791</v>
      </c>
      <c r="S84" s="3329" t="s">
        <v>2791</v>
      </c>
      <c r="T84" s="3329" t="s">
        <v>2791</v>
      </c>
      <c r="U84" s="3329" t="s">
        <v>2791</v>
      </c>
      <c r="V84" s="3329" t="s">
        <v>2791</v>
      </c>
      <c r="W84" s="3329" t="s">
        <v>3085</v>
      </c>
      <c r="X84" s="3329" t="s">
        <v>3232</v>
      </c>
      <c r="Y84" s="3329" t="s">
        <v>3233</v>
      </c>
      <c r="Z84" s="3329" t="s">
        <v>3233</v>
      </c>
      <c r="AA84" s="3329" t="s">
        <v>3233</v>
      </c>
      <c r="AB84" s="3329" t="s">
        <v>3234</v>
      </c>
      <c r="AC84" s="3329" t="s">
        <v>3088</v>
      </c>
      <c r="AD84" s="3329" t="s">
        <v>3143</v>
      </c>
      <c r="AE84" s="3329">
        <v>3860</v>
      </c>
      <c r="AF84" s="3329">
        <v>19300</v>
      </c>
      <c r="AG84" s="3329">
        <v>19550</v>
      </c>
      <c r="AH84" s="3329">
        <v>416.83</v>
      </c>
      <c r="AI84" s="3329">
        <v>422.23</v>
      </c>
      <c r="AJ84" s="3329">
        <v>2500.96</v>
      </c>
      <c r="AK84" s="3329">
        <v>2533.36</v>
      </c>
      <c r="AL84" s="3329" t="s">
        <v>2791</v>
      </c>
      <c r="AM84" s="3329" t="s">
        <v>2791</v>
      </c>
      <c r="AN84" s="3329">
        <v>1.3</v>
      </c>
      <c r="AO84" s="3329" t="s">
        <v>3063</v>
      </c>
      <c r="AP84" s="3329" t="s">
        <v>2791</v>
      </c>
      <c r="AQ84" s="3329" t="s">
        <v>2791</v>
      </c>
      <c r="AR84" s="3329" t="s">
        <v>2791</v>
      </c>
      <c r="AS84" s="3329" t="s">
        <v>3129</v>
      </c>
    </row>
    <row r="85" spans="1:46" s="3331" customFormat="1">
      <c r="A85" s="3328" t="s">
        <v>3230</v>
      </c>
      <c r="B85" s="3329" t="s">
        <v>3056</v>
      </c>
      <c r="C85" s="3329" t="s">
        <v>3057</v>
      </c>
      <c r="D85" s="3329" t="s">
        <v>3058</v>
      </c>
      <c r="E85" s="3329" t="s">
        <v>2791</v>
      </c>
      <c r="F85" s="3329" t="s">
        <v>3230</v>
      </c>
      <c r="G85" s="3329" t="s">
        <v>3059</v>
      </c>
      <c r="H85" s="3329" t="s">
        <v>3244</v>
      </c>
      <c r="I85" s="3329" t="s">
        <v>3099</v>
      </c>
      <c r="J85" s="3329">
        <v>55243.07</v>
      </c>
      <c r="K85" s="3329">
        <v>138107.68</v>
      </c>
      <c r="L85" s="3329" t="s">
        <v>3075</v>
      </c>
      <c r="M85" s="3329" t="s">
        <v>2791</v>
      </c>
      <c r="N85" s="3329" t="s">
        <v>3076</v>
      </c>
      <c r="O85" s="3329" t="s">
        <v>3078</v>
      </c>
      <c r="P85" s="3329" t="s">
        <v>2791</v>
      </c>
      <c r="Q85" s="3329" t="s">
        <v>2791</v>
      </c>
      <c r="R85" s="3329" t="s">
        <v>2791</v>
      </c>
      <c r="S85" s="3329" t="s">
        <v>2791</v>
      </c>
      <c r="T85" s="3329" t="s">
        <v>2791</v>
      </c>
      <c r="U85" s="3329" t="s">
        <v>2791</v>
      </c>
      <c r="V85" s="3329" t="s">
        <v>2791</v>
      </c>
      <c r="W85" s="3329" t="s">
        <v>3085</v>
      </c>
      <c r="X85" s="3329" t="s">
        <v>3232</v>
      </c>
      <c r="Y85" s="3329" t="s">
        <v>3233</v>
      </c>
      <c r="Z85" s="3329" t="s">
        <v>3233</v>
      </c>
      <c r="AA85" s="3329" t="s">
        <v>3233</v>
      </c>
      <c r="AB85" s="3329" t="s">
        <v>3234</v>
      </c>
      <c r="AC85" s="3329" t="s">
        <v>3088</v>
      </c>
      <c r="AD85" s="3329" t="s">
        <v>3245</v>
      </c>
      <c r="AE85" s="3329">
        <v>6906</v>
      </c>
      <c r="AF85" s="3329">
        <v>34530</v>
      </c>
      <c r="AG85" s="3329">
        <v>40800</v>
      </c>
      <c r="AH85" s="3329">
        <v>416.7</v>
      </c>
      <c r="AI85" s="3329">
        <v>492.37</v>
      </c>
      <c r="AJ85" s="3329">
        <v>2500.2199999999998</v>
      </c>
      <c r="AK85" s="3329">
        <v>2954.21</v>
      </c>
      <c r="AL85" s="3329" t="s">
        <v>2791</v>
      </c>
      <c r="AM85" s="3329" t="s">
        <v>2791</v>
      </c>
      <c r="AN85" s="3329">
        <v>18.16</v>
      </c>
      <c r="AO85" s="3329" t="s">
        <v>3063</v>
      </c>
      <c r="AP85" s="3329" t="s">
        <v>2791</v>
      </c>
      <c r="AQ85" s="3329" t="s">
        <v>2791</v>
      </c>
      <c r="AR85" s="3329" t="s">
        <v>2791</v>
      </c>
      <c r="AS85" s="3329" t="s">
        <v>3129</v>
      </c>
      <c r="AT85" s="3330" t="s">
        <v>3728</v>
      </c>
    </row>
    <row r="86" spans="1:46" s="3624" customFormat="1" ht="14.25" thickBot="1">
      <c r="A86" s="3622" t="s">
        <v>3230</v>
      </c>
      <c r="B86" s="3623" t="s">
        <v>3056</v>
      </c>
      <c r="C86" s="3623" t="s">
        <v>3057</v>
      </c>
      <c r="D86" s="3623" t="s">
        <v>3058</v>
      </c>
      <c r="E86" s="3623" t="s">
        <v>2791</v>
      </c>
      <c r="F86" s="3623" t="s">
        <v>3230</v>
      </c>
      <c r="G86" s="3623" t="s">
        <v>3059</v>
      </c>
      <c r="H86" s="3623" t="s">
        <v>3246</v>
      </c>
      <c r="I86" s="3623" t="s">
        <v>3099</v>
      </c>
      <c r="J86" s="3623">
        <v>53433.52</v>
      </c>
      <c r="K86" s="3623">
        <v>133583.79999999999</v>
      </c>
      <c r="L86" s="3623" t="s">
        <v>3075</v>
      </c>
      <c r="M86" s="3623" t="s">
        <v>2791</v>
      </c>
      <c r="N86" s="3623" t="s">
        <v>3076</v>
      </c>
      <c r="O86" s="3623" t="s">
        <v>3078</v>
      </c>
      <c r="P86" s="3623" t="s">
        <v>2791</v>
      </c>
      <c r="Q86" s="3623" t="s">
        <v>2791</v>
      </c>
      <c r="R86" s="3623" t="s">
        <v>2791</v>
      </c>
      <c r="S86" s="3623" t="s">
        <v>2791</v>
      </c>
      <c r="T86" s="3623" t="s">
        <v>2791</v>
      </c>
      <c r="U86" s="3623" t="s">
        <v>2791</v>
      </c>
      <c r="V86" s="3623" t="s">
        <v>2791</v>
      </c>
      <c r="W86" s="3623" t="s">
        <v>3085</v>
      </c>
      <c r="X86" s="3623" t="s">
        <v>3232</v>
      </c>
      <c r="Y86" s="3623" t="s">
        <v>3233</v>
      </c>
      <c r="Z86" s="3623" t="s">
        <v>3233</v>
      </c>
      <c r="AA86" s="3623" t="s">
        <v>3233</v>
      </c>
      <c r="AB86" s="3623" t="s">
        <v>3234</v>
      </c>
      <c r="AC86" s="3623" t="s">
        <v>3088</v>
      </c>
      <c r="AD86" s="3623" t="s">
        <v>3143</v>
      </c>
      <c r="AE86" s="3623">
        <v>6680</v>
      </c>
      <c r="AF86" s="3623">
        <v>33400</v>
      </c>
      <c r="AG86" s="3623">
        <v>35400</v>
      </c>
      <c r="AH86" s="3623">
        <v>416.72</v>
      </c>
      <c r="AI86" s="3623">
        <v>441.67</v>
      </c>
      <c r="AJ86" s="3623">
        <v>2500.3000000000002</v>
      </c>
      <c r="AK86" s="3623">
        <v>2650.01</v>
      </c>
      <c r="AL86" s="3623" t="s">
        <v>2791</v>
      </c>
      <c r="AM86" s="3623" t="s">
        <v>2791</v>
      </c>
      <c r="AN86" s="3623">
        <v>5.99</v>
      </c>
      <c r="AO86" s="3623" t="s">
        <v>3063</v>
      </c>
      <c r="AP86" s="3623" t="s">
        <v>2791</v>
      </c>
      <c r="AQ86" s="3623" t="s">
        <v>2791</v>
      </c>
      <c r="AR86" s="3623" t="s">
        <v>2791</v>
      </c>
      <c r="AS86" s="3623" t="s">
        <v>3129</v>
      </c>
    </row>
    <row r="87" spans="1:46">
      <c r="A87" s="3284" t="s">
        <v>3247</v>
      </c>
      <c r="B87" s="3284" t="s">
        <v>3056</v>
      </c>
      <c r="C87" s="3284" t="s">
        <v>3057</v>
      </c>
      <c r="D87" s="3284" t="s">
        <v>3058</v>
      </c>
      <c r="E87" s="3284" t="s">
        <v>2791</v>
      </c>
      <c r="F87" s="3284" t="s">
        <v>3247</v>
      </c>
      <c r="G87" s="3284" t="s">
        <v>3059</v>
      </c>
      <c r="H87" s="3284" t="s">
        <v>3248</v>
      </c>
      <c r="I87" s="3284" t="s">
        <v>3099</v>
      </c>
      <c r="J87" s="3284">
        <v>22895.51</v>
      </c>
      <c r="K87" s="3284">
        <v>41211.919999999998</v>
      </c>
      <c r="L87" s="3284" t="s">
        <v>3079</v>
      </c>
      <c r="M87" s="3284" t="s">
        <v>2791</v>
      </c>
      <c r="N87" s="3284" t="s">
        <v>3061</v>
      </c>
      <c r="O87" s="3284" t="s">
        <v>3109</v>
      </c>
      <c r="P87" s="3284" t="s">
        <v>2791</v>
      </c>
      <c r="Q87" s="3284" t="s">
        <v>2791</v>
      </c>
      <c r="R87" s="3284" t="s">
        <v>2791</v>
      </c>
      <c r="S87" s="3284" t="s">
        <v>2791</v>
      </c>
      <c r="T87" s="3284" t="s">
        <v>2791</v>
      </c>
      <c r="U87" s="3284" t="s">
        <v>2791</v>
      </c>
      <c r="V87" s="3284" t="s">
        <v>2791</v>
      </c>
      <c r="W87" s="3284" t="s">
        <v>3085</v>
      </c>
      <c r="X87" s="3284" t="s">
        <v>3249</v>
      </c>
      <c r="Y87" s="3284" t="s">
        <v>3250</v>
      </c>
      <c r="Z87" s="3284" t="s">
        <v>3250</v>
      </c>
      <c r="AA87" s="3284" t="s">
        <v>3250</v>
      </c>
      <c r="AB87" s="3284" t="s">
        <v>3251</v>
      </c>
      <c r="AC87" s="3284" t="s">
        <v>3088</v>
      </c>
      <c r="AD87" s="3284" t="s">
        <v>3112</v>
      </c>
      <c r="AE87" s="3284">
        <v>8630</v>
      </c>
      <c r="AF87" s="3284">
        <v>8630</v>
      </c>
      <c r="AG87" s="3284">
        <v>8630</v>
      </c>
      <c r="AH87" s="3284">
        <v>251.29</v>
      </c>
      <c r="AI87" s="3284">
        <v>251.29</v>
      </c>
      <c r="AJ87" s="3284">
        <v>2094.0500000000002</v>
      </c>
      <c r="AK87" s="3284">
        <v>2094.0500000000002</v>
      </c>
      <c r="AL87" s="3284" t="s">
        <v>2791</v>
      </c>
      <c r="AM87" s="3284" t="s">
        <v>2791</v>
      </c>
      <c r="AN87" s="3284">
        <v>0</v>
      </c>
      <c r="AO87" s="3284" t="s">
        <v>3063</v>
      </c>
      <c r="AP87" s="3284" t="s">
        <v>2791</v>
      </c>
      <c r="AQ87" s="3284" t="s">
        <v>2791</v>
      </c>
      <c r="AR87" s="3284" t="s">
        <v>2791</v>
      </c>
      <c r="AS87" s="3284" t="s">
        <v>3129</v>
      </c>
    </row>
    <row r="88" spans="1:46">
      <c r="A88" s="3284" t="s">
        <v>3247</v>
      </c>
      <c r="B88" s="3284" t="s">
        <v>3056</v>
      </c>
      <c r="C88" s="3284" t="s">
        <v>3057</v>
      </c>
      <c r="D88" s="3284" t="s">
        <v>3058</v>
      </c>
      <c r="E88" s="3284" t="s">
        <v>2791</v>
      </c>
      <c r="F88" s="3284" t="s">
        <v>3247</v>
      </c>
      <c r="G88" s="3284" t="s">
        <v>3059</v>
      </c>
      <c r="H88" s="3284" t="s">
        <v>3252</v>
      </c>
      <c r="I88" s="3284" t="s">
        <v>3099</v>
      </c>
      <c r="J88" s="3284">
        <v>17231.599999999999</v>
      </c>
      <c r="K88" s="3284">
        <v>31016.880000000001</v>
      </c>
      <c r="L88" s="3284" t="s">
        <v>3079</v>
      </c>
      <c r="M88" s="3284" t="s">
        <v>2791</v>
      </c>
      <c r="N88" s="3284" t="s">
        <v>3061</v>
      </c>
      <c r="O88" s="3284" t="s">
        <v>3109</v>
      </c>
      <c r="P88" s="3284" t="s">
        <v>2791</v>
      </c>
      <c r="Q88" s="3284" t="s">
        <v>2791</v>
      </c>
      <c r="R88" s="3284" t="s">
        <v>2791</v>
      </c>
      <c r="S88" s="3284" t="s">
        <v>2791</v>
      </c>
      <c r="T88" s="3284" t="s">
        <v>2791</v>
      </c>
      <c r="U88" s="3284" t="s">
        <v>2791</v>
      </c>
      <c r="V88" s="3284" t="s">
        <v>2791</v>
      </c>
      <c r="W88" s="3284" t="s">
        <v>3085</v>
      </c>
      <c r="X88" s="3284" t="s">
        <v>3249</v>
      </c>
      <c r="Y88" s="3284" t="s">
        <v>3250</v>
      </c>
      <c r="Z88" s="3284" t="s">
        <v>3250</v>
      </c>
      <c r="AA88" s="3284" t="s">
        <v>3250</v>
      </c>
      <c r="AB88" s="3284" t="s">
        <v>3251</v>
      </c>
      <c r="AC88" s="3284" t="s">
        <v>3088</v>
      </c>
      <c r="AD88" s="3284" t="s">
        <v>3112</v>
      </c>
      <c r="AE88" s="3284">
        <v>6490</v>
      </c>
      <c r="AF88" s="3284">
        <v>6490</v>
      </c>
      <c r="AG88" s="3284">
        <v>6490</v>
      </c>
      <c r="AH88" s="3284">
        <v>251.09</v>
      </c>
      <c r="AI88" s="3284">
        <v>251.09</v>
      </c>
      <c r="AJ88" s="3284">
        <v>2092.4</v>
      </c>
      <c r="AK88" s="3284">
        <v>2092.4</v>
      </c>
      <c r="AL88" s="3284" t="s">
        <v>2791</v>
      </c>
      <c r="AM88" s="3284" t="s">
        <v>2791</v>
      </c>
      <c r="AN88" s="3284">
        <v>0</v>
      </c>
      <c r="AO88" s="3284" t="s">
        <v>3063</v>
      </c>
      <c r="AP88" s="3284" t="s">
        <v>2791</v>
      </c>
      <c r="AQ88" s="3284" t="s">
        <v>2791</v>
      </c>
      <c r="AR88" s="3284" t="s">
        <v>2791</v>
      </c>
      <c r="AS88" s="3284" t="s">
        <v>3129</v>
      </c>
    </row>
    <row r="89" spans="1:46" s="3333" customFormat="1">
      <c r="A89" s="3332" t="s">
        <v>3217</v>
      </c>
      <c r="B89" s="3332" t="s">
        <v>3056</v>
      </c>
      <c r="C89" s="3332" t="s">
        <v>3057</v>
      </c>
      <c r="D89" s="3332" t="s">
        <v>3058</v>
      </c>
      <c r="E89" s="3332" t="s">
        <v>2791</v>
      </c>
      <c r="F89" s="3332" t="s">
        <v>3217</v>
      </c>
      <c r="G89" s="3332" t="s">
        <v>3059</v>
      </c>
      <c r="H89" s="3332" t="s">
        <v>3253</v>
      </c>
      <c r="I89" s="3332" t="s">
        <v>3099</v>
      </c>
      <c r="J89" s="3332">
        <v>24603.24</v>
      </c>
      <c r="K89" s="3332">
        <v>49206.48</v>
      </c>
      <c r="L89" s="3332" t="s">
        <v>3194</v>
      </c>
      <c r="M89" s="3332" t="s">
        <v>2791</v>
      </c>
      <c r="N89" s="3332" t="s">
        <v>3108</v>
      </c>
      <c r="O89" s="3332" t="s">
        <v>3254</v>
      </c>
      <c r="P89" s="3332" t="s">
        <v>2791</v>
      </c>
      <c r="Q89" s="3332" t="s">
        <v>2791</v>
      </c>
      <c r="R89" s="3332" t="s">
        <v>2791</v>
      </c>
      <c r="S89" s="3332" t="s">
        <v>2791</v>
      </c>
      <c r="T89" s="3332" t="s">
        <v>2791</v>
      </c>
      <c r="U89" s="3332" t="s">
        <v>2791</v>
      </c>
      <c r="V89" s="3332" t="s">
        <v>2791</v>
      </c>
      <c r="W89" s="3332" t="s">
        <v>3085</v>
      </c>
      <c r="X89" s="3332" t="s">
        <v>3255</v>
      </c>
      <c r="Y89" s="3332" t="s">
        <v>3256</v>
      </c>
      <c r="Z89" s="3332" t="s">
        <v>3256</v>
      </c>
      <c r="AA89" s="3332" t="s">
        <v>3256</v>
      </c>
      <c r="AB89" s="3332" t="s">
        <v>3257</v>
      </c>
      <c r="AC89" s="3332" t="s">
        <v>3088</v>
      </c>
      <c r="AD89" s="3332" t="s">
        <v>3258</v>
      </c>
      <c r="AE89" s="3332">
        <v>4565</v>
      </c>
      <c r="AF89" s="3332">
        <v>9130</v>
      </c>
      <c r="AG89" s="3332">
        <v>9130</v>
      </c>
      <c r="AH89" s="3332">
        <v>247.39</v>
      </c>
      <c r="AI89" s="3332">
        <v>247.39</v>
      </c>
      <c r="AJ89" s="3332">
        <v>1855.44</v>
      </c>
      <c r="AK89" s="3332">
        <v>1855.45</v>
      </c>
      <c r="AL89" s="3332" t="s">
        <v>2791</v>
      </c>
      <c r="AM89" s="3332" t="s">
        <v>2791</v>
      </c>
      <c r="AN89" s="3332">
        <v>0</v>
      </c>
      <c r="AO89" s="3332" t="s">
        <v>3063</v>
      </c>
      <c r="AP89" s="3332" t="s">
        <v>2791</v>
      </c>
      <c r="AQ89" s="3332" t="s">
        <v>2791</v>
      </c>
      <c r="AR89" s="3332" t="s">
        <v>2791</v>
      </c>
      <c r="AS89" s="3332" t="s">
        <v>3081</v>
      </c>
    </row>
    <row r="90" spans="1:46" s="3336" customFormat="1">
      <c r="A90" s="3335" t="s">
        <v>3259</v>
      </c>
      <c r="B90" s="3335" t="s">
        <v>3056</v>
      </c>
      <c r="C90" s="3335" t="s">
        <v>3057</v>
      </c>
      <c r="D90" s="3335" t="s">
        <v>3058</v>
      </c>
      <c r="E90" s="3335" t="s">
        <v>2791</v>
      </c>
      <c r="F90" s="3335" t="s">
        <v>3259</v>
      </c>
      <c r="G90" s="3335" t="s">
        <v>3059</v>
      </c>
      <c r="H90" s="3335" t="s">
        <v>3260</v>
      </c>
      <c r="I90" s="3335" t="s">
        <v>3099</v>
      </c>
      <c r="J90" s="3335">
        <v>38750.35</v>
      </c>
      <c r="K90" s="3335">
        <v>96875.88</v>
      </c>
      <c r="L90" s="3335" t="s">
        <v>3075</v>
      </c>
      <c r="M90" s="3335" t="s">
        <v>2791</v>
      </c>
      <c r="N90" s="3335" t="s">
        <v>3108</v>
      </c>
      <c r="O90" s="3335" t="s">
        <v>3078</v>
      </c>
      <c r="P90" s="3335" t="s">
        <v>2791</v>
      </c>
      <c r="Q90" s="3335" t="s">
        <v>2791</v>
      </c>
      <c r="R90" s="3335" t="s">
        <v>2791</v>
      </c>
      <c r="S90" s="3335" t="s">
        <v>2791</v>
      </c>
      <c r="T90" s="3335" t="s">
        <v>2791</v>
      </c>
      <c r="U90" s="3335" t="s">
        <v>2791</v>
      </c>
      <c r="V90" s="3335" t="s">
        <v>2791</v>
      </c>
      <c r="W90" s="3335" t="s">
        <v>3085</v>
      </c>
      <c r="X90" s="3335" t="s">
        <v>3255</v>
      </c>
      <c r="Y90" s="3335" t="s">
        <v>3256</v>
      </c>
      <c r="Z90" s="3335" t="s">
        <v>3256</v>
      </c>
      <c r="AA90" s="3335" t="s">
        <v>3256</v>
      </c>
      <c r="AB90" s="3335" t="s">
        <v>3257</v>
      </c>
      <c r="AC90" s="3335" t="s">
        <v>3088</v>
      </c>
      <c r="AD90" s="3335" t="s">
        <v>3258</v>
      </c>
      <c r="AE90" s="3335">
        <v>7455</v>
      </c>
      <c r="AF90" s="3335">
        <v>14910</v>
      </c>
      <c r="AG90" s="3335">
        <v>14910</v>
      </c>
      <c r="AH90" s="3335">
        <v>256.51</v>
      </c>
      <c r="AI90" s="3335">
        <v>256.51</v>
      </c>
      <c r="AJ90" s="3335">
        <v>1539.08</v>
      </c>
      <c r="AK90" s="3335">
        <v>1539.07</v>
      </c>
      <c r="AL90" s="3335" t="s">
        <v>2791</v>
      </c>
      <c r="AM90" s="3335" t="s">
        <v>2791</v>
      </c>
      <c r="AN90" s="3335">
        <v>0</v>
      </c>
      <c r="AO90" s="3335" t="s">
        <v>3063</v>
      </c>
      <c r="AP90" s="3335" t="s">
        <v>2791</v>
      </c>
      <c r="AQ90" s="3335" t="s">
        <v>2791</v>
      </c>
      <c r="AR90" s="3335" t="s">
        <v>2791</v>
      </c>
      <c r="AS90" s="3335" t="s">
        <v>3129</v>
      </c>
    </row>
    <row r="91" spans="1:46" s="3333" customFormat="1">
      <c r="A91" s="3332" t="s">
        <v>3217</v>
      </c>
      <c r="B91" s="3332" t="s">
        <v>3056</v>
      </c>
      <c r="C91" s="3332" t="s">
        <v>3057</v>
      </c>
      <c r="D91" s="3332" t="s">
        <v>3058</v>
      </c>
      <c r="E91" s="3332" t="s">
        <v>2791</v>
      </c>
      <c r="F91" s="3332" t="s">
        <v>3217</v>
      </c>
      <c r="G91" s="3332" t="s">
        <v>3059</v>
      </c>
      <c r="H91" s="3332" t="s">
        <v>3261</v>
      </c>
      <c r="I91" s="3332" t="s">
        <v>3099</v>
      </c>
      <c r="J91" s="3332">
        <v>49172.94</v>
      </c>
      <c r="K91" s="3332">
        <v>98345.88</v>
      </c>
      <c r="L91" s="3332" t="s">
        <v>3194</v>
      </c>
      <c r="M91" s="3332" t="s">
        <v>2791</v>
      </c>
      <c r="N91" s="3332" t="s">
        <v>3108</v>
      </c>
      <c r="O91" s="3332" t="s">
        <v>3078</v>
      </c>
      <c r="P91" s="3332" t="s">
        <v>2791</v>
      </c>
      <c r="Q91" s="3332" t="s">
        <v>2791</v>
      </c>
      <c r="R91" s="3332" t="s">
        <v>2791</v>
      </c>
      <c r="S91" s="3332" t="s">
        <v>2791</v>
      </c>
      <c r="T91" s="3332" t="s">
        <v>2791</v>
      </c>
      <c r="U91" s="3332" t="s">
        <v>2791</v>
      </c>
      <c r="V91" s="3332" t="s">
        <v>2791</v>
      </c>
      <c r="W91" s="3332" t="s">
        <v>3085</v>
      </c>
      <c r="X91" s="3332" t="s">
        <v>3255</v>
      </c>
      <c r="Y91" s="3332" t="s">
        <v>3256</v>
      </c>
      <c r="Z91" s="3332" t="s">
        <v>3256</v>
      </c>
      <c r="AA91" s="3332" t="s">
        <v>3256</v>
      </c>
      <c r="AB91" s="3332" t="s">
        <v>3257</v>
      </c>
      <c r="AC91" s="3332" t="s">
        <v>3088</v>
      </c>
      <c r="AD91" s="3332" t="s">
        <v>3258</v>
      </c>
      <c r="AE91" s="3332">
        <v>9120</v>
      </c>
      <c r="AF91" s="3332">
        <v>18240</v>
      </c>
      <c r="AG91" s="3332">
        <v>18240</v>
      </c>
      <c r="AH91" s="3332">
        <v>247.29</v>
      </c>
      <c r="AI91" s="3332">
        <v>247.29</v>
      </c>
      <c r="AJ91" s="3332">
        <v>1854.67</v>
      </c>
      <c r="AK91" s="3332">
        <v>1854.68</v>
      </c>
      <c r="AL91" s="3332" t="s">
        <v>2791</v>
      </c>
      <c r="AM91" s="3332" t="s">
        <v>2791</v>
      </c>
      <c r="AN91" s="3332">
        <v>0</v>
      </c>
      <c r="AO91" s="3332" t="s">
        <v>3063</v>
      </c>
      <c r="AP91" s="3332" t="s">
        <v>2791</v>
      </c>
      <c r="AQ91" s="3332" t="s">
        <v>2791</v>
      </c>
      <c r="AR91" s="3332" t="s">
        <v>2791</v>
      </c>
      <c r="AS91" s="3332" t="s">
        <v>3129</v>
      </c>
    </row>
    <row r="92" spans="1:46" s="3278" customFormat="1" hidden="1">
      <c r="A92" s="3277" t="s">
        <v>3219</v>
      </c>
      <c r="B92" s="3277" t="s">
        <v>3056</v>
      </c>
      <c r="C92" s="3277" t="s">
        <v>3057</v>
      </c>
      <c r="D92" s="3277" t="s">
        <v>3058</v>
      </c>
      <c r="E92" s="3277" t="s">
        <v>2791</v>
      </c>
      <c r="F92" s="3277" t="s">
        <v>3219</v>
      </c>
      <c r="G92" s="3277" t="s">
        <v>3059</v>
      </c>
      <c r="H92" s="3277" t="s">
        <v>3262</v>
      </c>
      <c r="I92" s="3277" t="s">
        <v>3099</v>
      </c>
      <c r="J92" s="3277">
        <v>66667</v>
      </c>
      <c r="K92" s="3277">
        <v>166667.5</v>
      </c>
      <c r="L92" s="3277" t="s">
        <v>3221</v>
      </c>
      <c r="M92" s="3277" t="s">
        <v>2791</v>
      </c>
      <c r="N92" s="3277" t="s">
        <v>3161</v>
      </c>
      <c r="O92" s="3277" t="s">
        <v>3186</v>
      </c>
      <c r="P92" s="3277" t="s">
        <v>2791</v>
      </c>
      <c r="Q92" s="3277" t="s">
        <v>2791</v>
      </c>
      <c r="R92" s="3277" t="s">
        <v>2791</v>
      </c>
      <c r="S92" s="3277" t="s">
        <v>2791</v>
      </c>
      <c r="T92" s="3277" t="s">
        <v>2791</v>
      </c>
      <c r="U92" s="3277" t="s">
        <v>2791</v>
      </c>
      <c r="V92" s="3277" t="s">
        <v>2791</v>
      </c>
      <c r="W92" s="3277" t="s">
        <v>3263</v>
      </c>
      <c r="X92" s="3277" t="s">
        <v>3264</v>
      </c>
      <c r="Y92" s="3277" t="s">
        <v>3265</v>
      </c>
      <c r="Z92" s="3277" t="s">
        <v>3265</v>
      </c>
      <c r="AA92" s="3277" t="s">
        <v>3265</v>
      </c>
      <c r="AB92" s="3277" t="s">
        <v>3266</v>
      </c>
      <c r="AC92" s="3277" t="s">
        <v>3088</v>
      </c>
      <c r="AD92" s="3277" t="s">
        <v>3267</v>
      </c>
      <c r="AE92" s="3277">
        <v>12686</v>
      </c>
      <c r="AF92" s="3277">
        <v>25372</v>
      </c>
      <c r="AG92" s="3277">
        <v>25372</v>
      </c>
      <c r="AH92" s="3277">
        <v>253.72</v>
      </c>
      <c r="AI92" s="3277">
        <v>253.72</v>
      </c>
      <c r="AJ92" s="3277">
        <v>1522.31</v>
      </c>
      <c r="AK92" s="3277">
        <v>1522.3</v>
      </c>
      <c r="AL92" s="3277" t="s">
        <v>2791</v>
      </c>
      <c r="AM92" s="3277" t="s">
        <v>2791</v>
      </c>
      <c r="AN92" s="3277">
        <v>0</v>
      </c>
      <c r="AO92" s="3277" t="s">
        <v>3063</v>
      </c>
      <c r="AP92" s="3277" t="s">
        <v>2791</v>
      </c>
      <c r="AQ92" s="3277" t="s">
        <v>2791</v>
      </c>
      <c r="AR92" s="3277" t="s">
        <v>2791</v>
      </c>
      <c r="AS92" s="3277" t="s">
        <v>3129</v>
      </c>
      <c r="AT92" s="3295" t="s">
        <v>3733</v>
      </c>
    </row>
    <row r="93" spans="1:46" s="3278" customFormat="1" hidden="1">
      <c r="A93" s="3277" t="s">
        <v>3219</v>
      </c>
      <c r="B93" s="3277" t="s">
        <v>3056</v>
      </c>
      <c r="C93" s="3277" t="s">
        <v>3057</v>
      </c>
      <c r="D93" s="3277" t="s">
        <v>3058</v>
      </c>
      <c r="E93" s="3277" t="s">
        <v>2791</v>
      </c>
      <c r="F93" s="3277" t="s">
        <v>3219</v>
      </c>
      <c r="G93" s="3277" t="s">
        <v>3059</v>
      </c>
      <c r="H93" s="3277" t="s">
        <v>3268</v>
      </c>
      <c r="I93" s="3277" t="s">
        <v>3099</v>
      </c>
      <c r="J93" s="3277">
        <v>66667</v>
      </c>
      <c r="K93" s="3277">
        <v>166667.5</v>
      </c>
      <c r="L93" s="3277" t="s">
        <v>3221</v>
      </c>
      <c r="M93" s="3277" t="s">
        <v>2791</v>
      </c>
      <c r="N93" s="3277" t="s">
        <v>3161</v>
      </c>
      <c r="O93" s="3277" t="s">
        <v>3186</v>
      </c>
      <c r="P93" s="3277" t="s">
        <v>2791</v>
      </c>
      <c r="Q93" s="3277" t="s">
        <v>2791</v>
      </c>
      <c r="R93" s="3277" t="s">
        <v>2791</v>
      </c>
      <c r="S93" s="3277" t="s">
        <v>2791</v>
      </c>
      <c r="T93" s="3277" t="s">
        <v>2791</v>
      </c>
      <c r="U93" s="3277" t="s">
        <v>2791</v>
      </c>
      <c r="V93" s="3277" t="s">
        <v>2791</v>
      </c>
      <c r="W93" s="3277" t="s">
        <v>3263</v>
      </c>
      <c r="X93" s="3277" t="s">
        <v>3264</v>
      </c>
      <c r="Y93" s="3277" t="s">
        <v>3265</v>
      </c>
      <c r="Z93" s="3277" t="s">
        <v>3265</v>
      </c>
      <c r="AA93" s="3277" t="s">
        <v>3265</v>
      </c>
      <c r="AB93" s="3277" t="s">
        <v>3266</v>
      </c>
      <c r="AC93" s="3277" t="s">
        <v>3088</v>
      </c>
      <c r="AD93" s="3277" t="s">
        <v>3267</v>
      </c>
      <c r="AE93" s="3277">
        <v>12803</v>
      </c>
      <c r="AF93" s="3277">
        <v>25606</v>
      </c>
      <c r="AG93" s="3277">
        <v>25606</v>
      </c>
      <c r="AH93" s="3277">
        <v>256.06</v>
      </c>
      <c r="AI93" s="3277">
        <v>256.06</v>
      </c>
      <c r="AJ93" s="3277">
        <v>1536.35</v>
      </c>
      <c r="AK93" s="3277">
        <v>1536.34</v>
      </c>
      <c r="AL93" s="3277" t="s">
        <v>2791</v>
      </c>
      <c r="AM93" s="3277" t="s">
        <v>2791</v>
      </c>
      <c r="AN93" s="3277">
        <v>0</v>
      </c>
      <c r="AO93" s="3277" t="s">
        <v>3063</v>
      </c>
      <c r="AP93" s="3277" t="s">
        <v>2791</v>
      </c>
      <c r="AQ93" s="3277" t="s">
        <v>2791</v>
      </c>
      <c r="AR93" s="3277" t="s">
        <v>2791</v>
      </c>
      <c r="AS93" s="3277" t="s">
        <v>3129</v>
      </c>
    </row>
    <row r="94" spans="1:46" s="3278" customFormat="1" hidden="1">
      <c r="A94" s="3277" t="s">
        <v>3219</v>
      </c>
      <c r="B94" s="3277" t="s">
        <v>3056</v>
      </c>
      <c r="C94" s="3277" t="s">
        <v>3057</v>
      </c>
      <c r="D94" s="3277" t="s">
        <v>3058</v>
      </c>
      <c r="E94" s="3277" t="s">
        <v>2791</v>
      </c>
      <c r="F94" s="3277" t="s">
        <v>3219</v>
      </c>
      <c r="G94" s="3277" t="s">
        <v>3059</v>
      </c>
      <c r="H94" s="3277" t="s">
        <v>3269</v>
      </c>
      <c r="I94" s="3277" t="s">
        <v>3099</v>
      </c>
      <c r="J94" s="3277">
        <v>14718.72</v>
      </c>
      <c r="K94" s="3277">
        <v>36796.800000000003</v>
      </c>
      <c r="L94" s="3277" t="s">
        <v>3221</v>
      </c>
      <c r="M94" s="3277" t="s">
        <v>2791</v>
      </c>
      <c r="N94" s="3277" t="s">
        <v>3161</v>
      </c>
      <c r="O94" s="3277" t="s">
        <v>3186</v>
      </c>
      <c r="P94" s="3277" t="s">
        <v>2791</v>
      </c>
      <c r="Q94" s="3277" t="s">
        <v>2791</v>
      </c>
      <c r="R94" s="3277" t="s">
        <v>2791</v>
      </c>
      <c r="S94" s="3277" t="s">
        <v>2791</v>
      </c>
      <c r="T94" s="3277" t="s">
        <v>2791</v>
      </c>
      <c r="U94" s="3277" t="s">
        <v>2791</v>
      </c>
      <c r="V94" s="3277" t="s">
        <v>2791</v>
      </c>
      <c r="W94" s="3277" t="s">
        <v>3263</v>
      </c>
      <c r="X94" s="3277" t="s">
        <v>3264</v>
      </c>
      <c r="Y94" s="3277" t="s">
        <v>3265</v>
      </c>
      <c r="Z94" s="3277" t="s">
        <v>3265</v>
      </c>
      <c r="AA94" s="3277" t="s">
        <v>3265</v>
      </c>
      <c r="AB94" s="3277" t="s">
        <v>3266</v>
      </c>
      <c r="AC94" s="3277" t="s">
        <v>3088</v>
      </c>
      <c r="AD94" s="3277" t="s">
        <v>3267</v>
      </c>
      <c r="AE94" s="3277">
        <v>3103</v>
      </c>
      <c r="AF94" s="3277">
        <v>6205</v>
      </c>
      <c r="AG94" s="3277">
        <v>6205</v>
      </c>
      <c r="AH94" s="3277">
        <v>281.05</v>
      </c>
      <c r="AI94" s="3277">
        <v>281.05</v>
      </c>
      <c r="AJ94" s="3277">
        <v>1686.28</v>
      </c>
      <c r="AK94" s="3277">
        <v>1686.28</v>
      </c>
      <c r="AL94" s="3277" t="s">
        <v>2791</v>
      </c>
      <c r="AM94" s="3277" t="s">
        <v>2791</v>
      </c>
      <c r="AN94" s="3277">
        <v>0</v>
      </c>
      <c r="AO94" s="3277" t="s">
        <v>3063</v>
      </c>
      <c r="AP94" s="3277" t="s">
        <v>2791</v>
      </c>
      <c r="AQ94" s="3277" t="s">
        <v>2791</v>
      </c>
      <c r="AR94" s="3277" t="s">
        <v>2791</v>
      </c>
      <c r="AS94" s="3277" t="s">
        <v>3129</v>
      </c>
    </row>
    <row r="95" spans="1:46" s="3278" customFormat="1" hidden="1">
      <c r="A95" s="3277" t="s">
        <v>3219</v>
      </c>
      <c r="B95" s="3277" t="s">
        <v>3056</v>
      </c>
      <c r="C95" s="3277" t="s">
        <v>3057</v>
      </c>
      <c r="D95" s="3277" t="s">
        <v>3058</v>
      </c>
      <c r="E95" s="3277" t="s">
        <v>2791</v>
      </c>
      <c r="F95" s="3277" t="s">
        <v>3219</v>
      </c>
      <c r="G95" s="3277" t="s">
        <v>3059</v>
      </c>
      <c r="H95" s="3277" t="s">
        <v>3270</v>
      </c>
      <c r="I95" s="3277" t="s">
        <v>3099</v>
      </c>
      <c r="J95" s="3277">
        <v>25924.35</v>
      </c>
      <c r="K95" s="3277">
        <v>64810.879999999997</v>
      </c>
      <c r="L95" s="3277" t="s">
        <v>3221</v>
      </c>
      <c r="M95" s="3277" t="s">
        <v>2791</v>
      </c>
      <c r="N95" s="3277" t="s">
        <v>3161</v>
      </c>
      <c r="O95" s="3277" t="s">
        <v>3186</v>
      </c>
      <c r="P95" s="3277" t="s">
        <v>2791</v>
      </c>
      <c r="Q95" s="3277" t="s">
        <v>2791</v>
      </c>
      <c r="R95" s="3277" t="s">
        <v>2791</v>
      </c>
      <c r="S95" s="3277" t="s">
        <v>2791</v>
      </c>
      <c r="T95" s="3277" t="s">
        <v>2791</v>
      </c>
      <c r="U95" s="3277" t="s">
        <v>2791</v>
      </c>
      <c r="V95" s="3277" t="s">
        <v>2791</v>
      </c>
      <c r="W95" s="3277" t="s">
        <v>3263</v>
      </c>
      <c r="X95" s="3277" t="s">
        <v>3264</v>
      </c>
      <c r="Y95" s="3277" t="s">
        <v>3265</v>
      </c>
      <c r="Z95" s="3277" t="s">
        <v>3265</v>
      </c>
      <c r="AA95" s="3277" t="s">
        <v>3265</v>
      </c>
      <c r="AB95" s="3277" t="s">
        <v>3266</v>
      </c>
      <c r="AC95" s="3277" t="s">
        <v>3088</v>
      </c>
      <c r="AD95" s="3277" t="s">
        <v>3267</v>
      </c>
      <c r="AE95" s="3277">
        <v>5465</v>
      </c>
      <c r="AF95" s="3277">
        <v>10929</v>
      </c>
      <c r="AG95" s="3277">
        <v>10929</v>
      </c>
      <c r="AH95" s="3277">
        <v>281.05</v>
      </c>
      <c r="AI95" s="3277">
        <v>281.05</v>
      </c>
      <c r="AJ95" s="3277">
        <v>1686.29</v>
      </c>
      <c r="AK95" s="3277">
        <v>1686.28</v>
      </c>
      <c r="AL95" s="3277" t="s">
        <v>2791</v>
      </c>
      <c r="AM95" s="3277" t="s">
        <v>2791</v>
      </c>
      <c r="AN95" s="3277">
        <v>0</v>
      </c>
      <c r="AO95" s="3277" t="s">
        <v>3063</v>
      </c>
      <c r="AP95" s="3277" t="s">
        <v>2791</v>
      </c>
      <c r="AQ95" s="3277" t="s">
        <v>2791</v>
      </c>
      <c r="AR95" s="3277" t="s">
        <v>2791</v>
      </c>
      <c r="AS95" s="3277" t="s">
        <v>3129</v>
      </c>
    </row>
    <row r="96" spans="1:46" s="3344" customFormat="1">
      <c r="A96" s="3343" t="s">
        <v>3272</v>
      </c>
      <c r="B96" s="3343" t="s">
        <v>3056</v>
      </c>
      <c r="C96" s="3343" t="s">
        <v>3057</v>
      </c>
      <c r="D96" s="3343" t="s">
        <v>3058</v>
      </c>
      <c r="E96" s="3343" t="s">
        <v>2791</v>
      </c>
      <c r="F96" s="3343" t="s">
        <v>3272</v>
      </c>
      <c r="G96" s="3343" t="s">
        <v>3059</v>
      </c>
      <c r="H96" s="3343" t="s">
        <v>3273</v>
      </c>
      <c r="I96" s="3343" t="s">
        <v>3099</v>
      </c>
      <c r="J96" s="3343">
        <v>10475.6</v>
      </c>
      <c r="K96" s="3343">
        <v>26189</v>
      </c>
      <c r="L96" s="3343" t="s">
        <v>3075</v>
      </c>
      <c r="M96" s="3343" t="s">
        <v>2791</v>
      </c>
      <c r="N96" s="3343" t="s">
        <v>3076</v>
      </c>
      <c r="O96" s="3343" t="s">
        <v>3078</v>
      </c>
      <c r="P96" s="3343" t="s">
        <v>2791</v>
      </c>
      <c r="Q96" s="3343" t="s">
        <v>2791</v>
      </c>
      <c r="R96" s="3343" t="s">
        <v>2791</v>
      </c>
      <c r="S96" s="3343" t="s">
        <v>2791</v>
      </c>
      <c r="T96" s="3343" t="s">
        <v>2791</v>
      </c>
      <c r="U96" s="3343" t="s">
        <v>2791</v>
      </c>
      <c r="V96" s="3343" t="s">
        <v>2791</v>
      </c>
      <c r="W96" s="3343" t="s">
        <v>3263</v>
      </c>
      <c r="X96" s="3343" t="s">
        <v>3274</v>
      </c>
      <c r="Y96" s="3343" t="s">
        <v>3275</v>
      </c>
      <c r="Z96" s="3343" t="s">
        <v>3275</v>
      </c>
      <c r="AA96" s="3343" t="s">
        <v>3275</v>
      </c>
      <c r="AB96" s="3343" t="s">
        <v>3276</v>
      </c>
      <c r="AC96" s="3343" t="s">
        <v>3088</v>
      </c>
      <c r="AD96" s="3343" t="s">
        <v>3143</v>
      </c>
      <c r="AE96" s="3343">
        <v>158</v>
      </c>
      <c r="AF96" s="3343">
        <v>790</v>
      </c>
      <c r="AG96" s="3343">
        <v>790</v>
      </c>
      <c r="AH96" s="3343">
        <v>50.28</v>
      </c>
      <c r="AI96" s="3343">
        <v>50.28</v>
      </c>
      <c r="AJ96" s="3343">
        <v>301.64999999999998</v>
      </c>
      <c r="AK96" s="3343">
        <v>301.64</v>
      </c>
      <c r="AL96" s="3343" t="s">
        <v>2791</v>
      </c>
      <c r="AM96" s="3343" t="s">
        <v>2791</v>
      </c>
      <c r="AN96" s="3343">
        <v>0</v>
      </c>
      <c r="AO96" s="3343" t="s">
        <v>3063</v>
      </c>
      <c r="AP96" s="3343" t="s">
        <v>2791</v>
      </c>
      <c r="AQ96" s="3343" t="s">
        <v>2791</v>
      </c>
      <c r="AR96" s="3343" t="s">
        <v>2791</v>
      </c>
      <c r="AS96" s="3343" t="s">
        <v>3082</v>
      </c>
    </row>
    <row r="97" spans="1:45">
      <c r="A97" s="3284" t="s">
        <v>3277</v>
      </c>
      <c r="B97" s="3284" t="s">
        <v>3056</v>
      </c>
      <c r="C97" s="3284" t="s">
        <v>3057</v>
      </c>
      <c r="D97" s="3284" t="s">
        <v>3058</v>
      </c>
      <c r="E97" s="3284" t="s">
        <v>2791</v>
      </c>
      <c r="F97" s="3284" t="s">
        <v>3277</v>
      </c>
      <c r="G97" s="3284" t="s">
        <v>3059</v>
      </c>
      <c r="H97" s="3284" t="s">
        <v>3278</v>
      </c>
      <c r="I97" s="3284" t="s">
        <v>3099</v>
      </c>
      <c r="J97" s="3284">
        <v>46916.88</v>
      </c>
      <c r="K97" s="3284">
        <v>126675.58</v>
      </c>
      <c r="L97" s="3284" t="s">
        <v>3279</v>
      </c>
      <c r="M97" s="3284" t="s">
        <v>2791</v>
      </c>
      <c r="N97" s="3284" t="s">
        <v>3108</v>
      </c>
      <c r="O97" s="3284" t="s">
        <v>3078</v>
      </c>
      <c r="P97" s="3284" t="s">
        <v>2791</v>
      </c>
      <c r="Q97" s="3284" t="s">
        <v>2791</v>
      </c>
      <c r="R97" s="3284" t="s">
        <v>2791</v>
      </c>
      <c r="S97" s="3284" t="s">
        <v>2791</v>
      </c>
      <c r="T97" s="3284" t="s">
        <v>2791</v>
      </c>
      <c r="U97" s="3284" t="s">
        <v>2791</v>
      </c>
      <c r="V97" s="3284" t="s">
        <v>2791</v>
      </c>
      <c r="W97" s="3284" t="s">
        <v>3263</v>
      </c>
      <c r="X97" s="3284" t="s">
        <v>3274</v>
      </c>
      <c r="Y97" s="3284" t="s">
        <v>3275</v>
      </c>
      <c r="Z97" s="3284" t="s">
        <v>3275</v>
      </c>
      <c r="AA97" s="3284" t="s">
        <v>3275</v>
      </c>
      <c r="AB97" s="3284" t="s">
        <v>3276</v>
      </c>
      <c r="AC97" s="3284" t="s">
        <v>3088</v>
      </c>
      <c r="AD97" s="3284" t="s">
        <v>3280</v>
      </c>
      <c r="AE97" s="3284">
        <v>7780</v>
      </c>
      <c r="AF97" s="3284">
        <v>15560</v>
      </c>
      <c r="AG97" s="3284">
        <v>15560</v>
      </c>
      <c r="AH97" s="3284">
        <v>221.1</v>
      </c>
      <c r="AI97" s="3284">
        <v>221.1</v>
      </c>
      <c r="AJ97" s="3284">
        <v>1228.33</v>
      </c>
      <c r="AK97" s="3284">
        <v>1228.32</v>
      </c>
      <c r="AL97" s="3284" t="s">
        <v>2791</v>
      </c>
      <c r="AM97" s="3284" t="s">
        <v>2791</v>
      </c>
      <c r="AN97" s="3284">
        <v>0</v>
      </c>
      <c r="AO97" s="3284" t="s">
        <v>3063</v>
      </c>
      <c r="AP97" s="3284" t="s">
        <v>2791</v>
      </c>
      <c r="AQ97" s="3284" t="s">
        <v>2791</v>
      </c>
      <c r="AR97" s="3284" t="s">
        <v>2791</v>
      </c>
      <c r="AS97" s="3284" t="s">
        <v>3129</v>
      </c>
    </row>
    <row r="98" spans="1:45">
      <c r="A98" s="3284" t="s">
        <v>3277</v>
      </c>
      <c r="B98" s="3284" t="s">
        <v>3056</v>
      </c>
      <c r="C98" s="3284" t="s">
        <v>3057</v>
      </c>
      <c r="D98" s="3284" t="s">
        <v>3058</v>
      </c>
      <c r="E98" s="3284" t="s">
        <v>2791</v>
      </c>
      <c r="F98" s="3284" t="s">
        <v>3277</v>
      </c>
      <c r="G98" s="3284" t="s">
        <v>3059</v>
      </c>
      <c r="H98" s="3284" t="s">
        <v>3281</v>
      </c>
      <c r="I98" s="3284" t="s">
        <v>3099</v>
      </c>
      <c r="J98" s="3284">
        <v>40620.18</v>
      </c>
      <c r="K98" s="3284">
        <v>109674.49</v>
      </c>
      <c r="L98" s="3284" t="s">
        <v>3279</v>
      </c>
      <c r="M98" s="3284" t="s">
        <v>2791</v>
      </c>
      <c r="N98" s="3284" t="s">
        <v>3108</v>
      </c>
      <c r="O98" s="3284" t="s">
        <v>3078</v>
      </c>
      <c r="P98" s="3284" t="s">
        <v>2791</v>
      </c>
      <c r="Q98" s="3284" t="s">
        <v>2791</v>
      </c>
      <c r="R98" s="3284" t="s">
        <v>2791</v>
      </c>
      <c r="S98" s="3284" t="s">
        <v>2791</v>
      </c>
      <c r="T98" s="3284" t="s">
        <v>2791</v>
      </c>
      <c r="U98" s="3284" t="s">
        <v>2791</v>
      </c>
      <c r="V98" s="3284" t="s">
        <v>2791</v>
      </c>
      <c r="W98" s="3284" t="s">
        <v>3263</v>
      </c>
      <c r="X98" s="3284" t="s">
        <v>3274</v>
      </c>
      <c r="Y98" s="3284" t="s">
        <v>3275</v>
      </c>
      <c r="Z98" s="3284" t="s">
        <v>3275</v>
      </c>
      <c r="AA98" s="3284" t="s">
        <v>3275</v>
      </c>
      <c r="AB98" s="3284" t="s">
        <v>3276</v>
      </c>
      <c r="AC98" s="3284" t="s">
        <v>3088</v>
      </c>
      <c r="AD98" s="3284" t="s">
        <v>3280</v>
      </c>
      <c r="AE98" s="3284">
        <v>6735</v>
      </c>
      <c r="AF98" s="3284">
        <v>13470</v>
      </c>
      <c r="AG98" s="3284">
        <v>13470</v>
      </c>
      <c r="AH98" s="3284">
        <v>221.07</v>
      </c>
      <c r="AI98" s="3284">
        <v>221.07</v>
      </c>
      <c r="AJ98" s="3284">
        <v>1228.17</v>
      </c>
      <c r="AK98" s="3284">
        <v>1228.18</v>
      </c>
      <c r="AL98" s="3284" t="s">
        <v>2791</v>
      </c>
      <c r="AM98" s="3284" t="s">
        <v>2791</v>
      </c>
      <c r="AN98" s="3284">
        <v>0</v>
      </c>
      <c r="AO98" s="3284" t="s">
        <v>3063</v>
      </c>
      <c r="AP98" s="3284" t="s">
        <v>2791</v>
      </c>
      <c r="AQ98" s="3284" t="s">
        <v>2791</v>
      </c>
      <c r="AR98" s="3284" t="s">
        <v>2791</v>
      </c>
      <c r="AS98" s="3284" t="s">
        <v>3081</v>
      </c>
    </row>
    <row r="99" spans="1:45">
      <c r="A99" s="3284" t="s">
        <v>3282</v>
      </c>
      <c r="B99" s="3284" t="s">
        <v>3056</v>
      </c>
      <c r="C99" s="3284" t="s">
        <v>3057</v>
      </c>
      <c r="D99" s="3284" t="s">
        <v>3058</v>
      </c>
      <c r="E99" s="3284" t="s">
        <v>2791</v>
      </c>
      <c r="F99" s="3284" t="s">
        <v>3282</v>
      </c>
      <c r="G99" s="3284" t="s">
        <v>3059</v>
      </c>
      <c r="H99" s="3284" t="s">
        <v>3283</v>
      </c>
      <c r="I99" s="3284" t="s">
        <v>3099</v>
      </c>
      <c r="J99" s="3284">
        <v>18008.560000000001</v>
      </c>
      <c r="K99" s="3284">
        <v>36017.120000000003</v>
      </c>
      <c r="L99" s="3284" t="s">
        <v>3194</v>
      </c>
      <c r="M99" s="3284" t="s">
        <v>2791</v>
      </c>
      <c r="N99" s="3284" t="s">
        <v>3061</v>
      </c>
      <c r="O99" s="3284" t="s">
        <v>3109</v>
      </c>
      <c r="P99" s="3284" t="s">
        <v>2791</v>
      </c>
      <c r="Q99" s="3284" t="s">
        <v>2791</v>
      </c>
      <c r="R99" s="3284" t="s">
        <v>2791</v>
      </c>
      <c r="S99" s="3284" t="s">
        <v>2791</v>
      </c>
      <c r="T99" s="3284" t="s">
        <v>2791</v>
      </c>
      <c r="U99" s="3284" t="s">
        <v>2791</v>
      </c>
      <c r="V99" s="3284" t="s">
        <v>2791</v>
      </c>
      <c r="W99" s="3284" t="s">
        <v>3263</v>
      </c>
      <c r="X99" s="3284" t="s">
        <v>3284</v>
      </c>
      <c r="Y99" s="3284" t="s">
        <v>3285</v>
      </c>
      <c r="Z99" s="3284" t="s">
        <v>3285</v>
      </c>
      <c r="AA99" s="3284" t="s">
        <v>3285</v>
      </c>
      <c r="AB99" s="3284" t="s">
        <v>3286</v>
      </c>
      <c r="AC99" s="3284" t="s">
        <v>3088</v>
      </c>
      <c r="AD99" s="3284" t="s">
        <v>3245</v>
      </c>
      <c r="AE99" s="3284">
        <v>1946</v>
      </c>
      <c r="AF99" s="3284">
        <v>9730</v>
      </c>
      <c r="AG99" s="3284">
        <v>12930</v>
      </c>
      <c r="AH99" s="3284">
        <v>360.2</v>
      </c>
      <c r="AI99" s="3284">
        <v>478.66</v>
      </c>
      <c r="AJ99" s="3284">
        <v>2701.49</v>
      </c>
      <c r="AK99" s="3284">
        <v>3589.96</v>
      </c>
      <c r="AL99" s="3284" t="s">
        <v>2791</v>
      </c>
      <c r="AM99" s="3284" t="s">
        <v>2791</v>
      </c>
      <c r="AN99" s="3284">
        <v>32.89</v>
      </c>
      <c r="AO99" s="3284" t="s">
        <v>3063</v>
      </c>
      <c r="AP99" s="3284" t="s">
        <v>2791</v>
      </c>
      <c r="AQ99" s="3284" t="s">
        <v>2791</v>
      </c>
      <c r="AR99" s="3284" t="s">
        <v>2791</v>
      </c>
      <c r="AS99" s="3284" t="s">
        <v>3129</v>
      </c>
    </row>
    <row r="100" spans="1:45" s="3344" customFormat="1">
      <c r="A100" s="3343" t="s">
        <v>3287</v>
      </c>
      <c r="B100" s="3343" t="s">
        <v>3056</v>
      </c>
      <c r="C100" s="3343" t="s">
        <v>3057</v>
      </c>
      <c r="D100" s="3343" t="s">
        <v>3058</v>
      </c>
      <c r="E100" s="3343" t="s">
        <v>2791</v>
      </c>
      <c r="F100" s="3343" t="s">
        <v>3287</v>
      </c>
      <c r="G100" s="3343" t="s">
        <v>3059</v>
      </c>
      <c r="H100" s="3343" t="s">
        <v>3288</v>
      </c>
      <c r="I100" s="3343" t="s">
        <v>3099</v>
      </c>
      <c r="J100" s="3343">
        <v>36666.67</v>
      </c>
      <c r="K100" s="3343">
        <v>73333.34</v>
      </c>
      <c r="L100" s="3343" t="s">
        <v>3194</v>
      </c>
      <c r="M100" s="3343" t="s">
        <v>2791</v>
      </c>
      <c r="N100" s="3343" t="s">
        <v>3061</v>
      </c>
      <c r="O100" s="3343" t="s">
        <v>3109</v>
      </c>
      <c r="P100" s="3343" t="s">
        <v>2791</v>
      </c>
      <c r="Q100" s="3343" t="s">
        <v>2791</v>
      </c>
      <c r="R100" s="3343" t="s">
        <v>2791</v>
      </c>
      <c r="S100" s="3343" t="s">
        <v>2791</v>
      </c>
      <c r="T100" s="3343" t="s">
        <v>2791</v>
      </c>
      <c r="U100" s="3343" t="s">
        <v>2791</v>
      </c>
      <c r="V100" s="3343" t="s">
        <v>2791</v>
      </c>
      <c r="W100" s="3343" t="s">
        <v>3263</v>
      </c>
      <c r="X100" s="3343" t="s">
        <v>3284</v>
      </c>
      <c r="Y100" s="3343" t="s">
        <v>3285</v>
      </c>
      <c r="Z100" s="3343" t="s">
        <v>3285</v>
      </c>
      <c r="AA100" s="3343" t="s">
        <v>3285</v>
      </c>
      <c r="AB100" s="3343" t="s">
        <v>3286</v>
      </c>
      <c r="AC100" s="3343" t="s">
        <v>3088</v>
      </c>
      <c r="AD100" s="3343" t="s">
        <v>3143</v>
      </c>
      <c r="AE100" s="3343">
        <v>3960</v>
      </c>
      <c r="AF100" s="3343">
        <v>19800</v>
      </c>
      <c r="AG100" s="3343">
        <v>25400</v>
      </c>
      <c r="AH100" s="3343">
        <v>360</v>
      </c>
      <c r="AI100" s="3343">
        <v>461.82</v>
      </c>
      <c r="AJ100" s="3343">
        <v>2699.99</v>
      </c>
      <c r="AK100" s="3343">
        <v>3463.63</v>
      </c>
      <c r="AL100" s="3343" t="s">
        <v>2791</v>
      </c>
      <c r="AM100" s="3343" t="s">
        <v>2791</v>
      </c>
      <c r="AN100" s="3343">
        <v>28.28</v>
      </c>
      <c r="AO100" s="3343" t="s">
        <v>3063</v>
      </c>
      <c r="AP100" s="3343" t="s">
        <v>2791</v>
      </c>
      <c r="AQ100" s="3343" t="s">
        <v>2791</v>
      </c>
      <c r="AR100" s="3343" t="s">
        <v>2791</v>
      </c>
      <c r="AS100" s="3343" t="s">
        <v>3081</v>
      </c>
    </row>
    <row r="101" spans="1:45" s="3344" customFormat="1">
      <c r="A101" s="3343" t="s">
        <v>3289</v>
      </c>
      <c r="B101" s="3343" t="s">
        <v>3056</v>
      </c>
      <c r="C101" s="3343" t="s">
        <v>3057</v>
      </c>
      <c r="D101" s="3343" t="s">
        <v>3058</v>
      </c>
      <c r="E101" s="3343" t="s">
        <v>2791</v>
      </c>
      <c r="F101" s="3343" t="s">
        <v>3289</v>
      </c>
      <c r="G101" s="3343" t="s">
        <v>3059</v>
      </c>
      <c r="H101" s="3343" t="s">
        <v>3290</v>
      </c>
      <c r="I101" s="3343" t="s">
        <v>3099</v>
      </c>
      <c r="J101" s="3343">
        <v>11294.6</v>
      </c>
      <c r="K101" s="3343">
        <v>22589.200000000001</v>
      </c>
      <c r="L101" s="3343" t="s">
        <v>3194</v>
      </c>
      <c r="M101" s="3343" t="s">
        <v>2791</v>
      </c>
      <c r="N101" s="3343" t="s">
        <v>3061</v>
      </c>
      <c r="O101" s="3343" t="s">
        <v>3109</v>
      </c>
      <c r="P101" s="3343" t="s">
        <v>2791</v>
      </c>
      <c r="Q101" s="3343" t="s">
        <v>2791</v>
      </c>
      <c r="R101" s="3343" t="s">
        <v>2791</v>
      </c>
      <c r="S101" s="3343" t="s">
        <v>2791</v>
      </c>
      <c r="T101" s="3343" t="s">
        <v>2791</v>
      </c>
      <c r="U101" s="3343" t="s">
        <v>2791</v>
      </c>
      <c r="V101" s="3343" t="s">
        <v>2791</v>
      </c>
      <c r="W101" s="3343" t="s">
        <v>3263</v>
      </c>
      <c r="X101" s="3343" t="s">
        <v>3284</v>
      </c>
      <c r="Y101" s="3343" t="s">
        <v>3285</v>
      </c>
      <c r="Z101" s="3343" t="s">
        <v>3285</v>
      </c>
      <c r="AA101" s="3343" t="s">
        <v>3285</v>
      </c>
      <c r="AB101" s="3343" t="s">
        <v>3286</v>
      </c>
      <c r="AC101" s="3343" t="s">
        <v>3088</v>
      </c>
      <c r="AD101" s="3343" t="s">
        <v>3143</v>
      </c>
      <c r="AE101" s="3343">
        <v>1220</v>
      </c>
      <c r="AF101" s="3343">
        <v>6100</v>
      </c>
      <c r="AG101" s="3343">
        <v>7800</v>
      </c>
      <c r="AH101" s="3343">
        <v>360.05</v>
      </c>
      <c r="AI101" s="3343">
        <v>460.4</v>
      </c>
      <c r="AJ101" s="3343">
        <v>2700.4</v>
      </c>
      <c r="AK101" s="3343">
        <v>3452.98</v>
      </c>
      <c r="AL101" s="3343" t="s">
        <v>2791</v>
      </c>
      <c r="AM101" s="3343" t="s">
        <v>2791</v>
      </c>
      <c r="AN101" s="3343">
        <v>27.87</v>
      </c>
      <c r="AO101" s="3343" t="s">
        <v>3063</v>
      </c>
      <c r="AP101" s="3343" t="s">
        <v>2791</v>
      </c>
      <c r="AQ101" s="3343" t="s">
        <v>2791</v>
      </c>
      <c r="AR101" s="3343" t="s">
        <v>2791</v>
      </c>
      <c r="AS101" s="3343" t="s">
        <v>3082</v>
      </c>
    </row>
    <row r="102" spans="1:45" s="3344" customFormat="1">
      <c r="A102" s="3343" t="s">
        <v>3287</v>
      </c>
      <c r="B102" s="3343" t="s">
        <v>3056</v>
      </c>
      <c r="C102" s="3343" t="s">
        <v>3057</v>
      </c>
      <c r="D102" s="3343" t="s">
        <v>3058</v>
      </c>
      <c r="E102" s="3343" t="s">
        <v>2791</v>
      </c>
      <c r="F102" s="3343" t="s">
        <v>3287</v>
      </c>
      <c r="G102" s="3343" t="s">
        <v>3059</v>
      </c>
      <c r="H102" s="3343" t="s">
        <v>3291</v>
      </c>
      <c r="I102" s="3343" t="s">
        <v>3099</v>
      </c>
      <c r="J102" s="3343">
        <v>37666.29</v>
      </c>
      <c r="K102" s="3343">
        <v>75332.58</v>
      </c>
      <c r="L102" s="3343" t="s">
        <v>3194</v>
      </c>
      <c r="M102" s="3343" t="s">
        <v>2791</v>
      </c>
      <c r="N102" s="3343" t="s">
        <v>3061</v>
      </c>
      <c r="O102" s="3343" t="s">
        <v>3109</v>
      </c>
      <c r="P102" s="3343" t="s">
        <v>2791</v>
      </c>
      <c r="Q102" s="3343" t="s">
        <v>2791</v>
      </c>
      <c r="R102" s="3343" t="s">
        <v>2791</v>
      </c>
      <c r="S102" s="3343" t="s">
        <v>2791</v>
      </c>
      <c r="T102" s="3343" t="s">
        <v>2791</v>
      </c>
      <c r="U102" s="3343" t="s">
        <v>2791</v>
      </c>
      <c r="V102" s="3343" t="s">
        <v>2791</v>
      </c>
      <c r="W102" s="3343" t="s">
        <v>3263</v>
      </c>
      <c r="X102" s="3343" t="s">
        <v>3284</v>
      </c>
      <c r="Y102" s="3343" t="s">
        <v>3285</v>
      </c>
      <c r="Z102" s="3343" t="s">
        <v>3285</v>
      </c>
      <c r="AA102" s="3343" t="s">
        <v>3285</v>
      </c>
      <c r="AB102" s="3343" t="s">
        <v>3286</v>
      </c>
      <c r="AC102" s="3343" t="s">
        <v>3088</v>
      </c>
      <c r="AD102" s="3343" t="s">
        <v>3143</v>
      </c>
      <c r="AE102" s="3343">
        <v>4068</v>
      </c>
      <c r="AF102" s="3343">
        <v>20340</v>
      </c>
      <c r="AG102" s="3343">
        <v>25990</v>
      </c>
      <c r="AH102" s="3343">
        <v>360</v>
      </c>
      <c r="AI102" s="3343">
        <v>460</v>
      </c>
      <c r="AJ102" s="3343">
        <v>2700.02</v>
      </c>
      <c r="AK102" s="3343">
        <v>3450.03</v>
      </c>
      <c r="AL102" s="3343" t="s">
        <v>2791</v>
      </c>
      <c r="AM102" s="3343" t="s">
        <v>2791</v>
      </c>
      <c r="AN102" s="3343">
        <v>27.78</v>
      </c>
      <c r="AO102" s="3343" t="s">
        <v>3063</v>
      </c>
      <c r="AP102" s="3343" t="s">
        <v>2791</v>
      </c>
      <c r="AQ102" s="3343" t="s">
        <v>2791</v>
      </c>
      <c r="AR102" s="3343" t="s">
        <v>2791</v>
      </c>
      <c r="AS102" s="3343" t="s">
        <v>3081</v>
      </c>
    </row>
    <row r="103" spans="1:45">
      <c r="A103" s="3284" t="s">
        <v>3282</v>
      </c>
      <c r="B103" s="3284" t="s">
        <v>3056</v>
      </c>
      <c r="C103" s="3284" t="s">
        <v>3057</v>
      </c>
      <c r="D103" s="3284" t="s">
        <v>3058</v>
      </c>
      <c r="E103" s="3284" t="s">
        <v>2791</v>
      </c>
      <c r="F103" s="3284" t="s">
        <v>3282</v>
      </c>
      <c r="G103" s="3284" t="s">
        <v>3059</v>
      </c>
      <c r="H103" s="3284" t="s">
        <v>3292</v>
      </c>
      <c r="I103" s="3284" t="s">
        <v>3099</v>
      </c>
      <c r="J103" s="3284">
        <v>18043.68</v>
      </c>
      <c r="K103" s="3284">
        <v>36087.360000000001</v>
      </c>
      <c r="L103" s="3284" t="s">
        <v>3194</v>
      </c>
      <c r="M103" s="3284" t="s">
        <v>2791</v>
      </c>
      <c r="N103" s="3284" t="s">
        <v>3061</v>
      </c>
      <c r="O103" s="3284" t="s">
        <v>3109</v>
      </c>
      <c r="P103" s="3284" t="s">
        <v>2791</v>
      </c>
      <c r="Q103" s="3284" t="s">
        <v>2791</v>
      </c>
      <c r="R103" s="3284" t="s">
        <v>2791</v>
      </c>
      <c r="S103" s="3284" t="s">
        <v>2791</v>
      </c>
      <c r="T103" s="3284" t="s">
        <v>2791</v>
      </c>
      <c r="U103" s="3284" t="s">
        <v>2791</v>
      </c>
      <c r="V103" s="3284" t="s">
        <v>2791</v>
      </c>
      <c r="W103" s="3284" t="s">
        <v>3263</v>
      </c>
      <c r="X103" s="3284" t="s">
        <v>3284</v>
      </c>
      <c r="Y103" s="3284" t="s">
        <v>3285</v>
      </c>
      <c r="Z103" s="3284" t="s">
        <v>3285</v>
      </c>
      <c r="AA103" s="3284" t="s">
        <v>3285</v>
      </c>
      <c r="AB103" s="3284" t="s">
        <v>3286</v>
      </c>
      <c r="AC103" s="3284" t="s">
        <v>3088</v>
      </c>
      <c r="AD103" s="3284" t="s">
        <v>3245</v>
      </c>
      <c r="AE103" s="3284">
        <v>1952</v>
      </c>
      <c r="AF103" s="3284">
        <v>9760</v>
      </c>
      <c r="AG103" s="3284">
        <v>12660</v>
      </c>
      <c r="AH103" s="3284">
        <v>360.61</v>
      </c>
      <c r="AI103" s="3284">
        <v>467.75</v>
      </c>
      <c r="AJ103" s="3284">
        <v>2704.54</v>
      </c>
      <c r="AK103" s="3284">
        <v>3508.15</v>
      </c>
      <c r="AL103" s="3284" t="s">
        <v>2791</v>
      </c>
      <c r="AM103" s="3284" t="s">
        <v>2791</v>
      </c>
      <c r="AN103" s="3284">
        <v>29.71</v>
      </c>
      <c r="AO103" s="3284" t="s">
        <v>3063</v>
      </c>
      <c r="AP103" s="3284" t="s">
        <v>2791</v>
      </c>
      <c r="AQ103" s="3284" t="s">
        <v>2791</v>
      </c>
      <c r="AR103" s="3284" t="s">
        <v>2791</v>
      </c>
      <c r="AS103" s="3284" t="s">
        <v>3129</v>
      </c>
    </row>
    <row r="104" spans="1:45" s="3344" customFormat="1">
      <c r="A104" s="3343" t="s">
        <v>3287</v>
      </c>
      <c r="B104" s="3343" t="s">
        <v>3056</v>
      </c>
      <c r="C104" s="3343" t="s">
        <v>3057</v>
      </c>
      <c r="D104" s="3343" t="s">
        <v>3058</v>
      </c>
      <c r="E104" s="3343" t="s">
        <v>2791</v>
      </c>
      <c r="F104" s="3343" t="s">
        <v>3287</v>
      </c>
      <c r="G104" s="3343" t="s">
        <v>3059</v>
      </c>
      <c r="H104" s="3343" t="s">
        <v>3293</v>
      </c>
      <c r="I104" s="3343" t="s">
        <v>3099</v>
      </c>
      <c r="J104" s="3343">
        <v>34113.56</v>
      </c>
      <c r="K104" s="3343">
        <v>68227.12</v>
      </c>
      <c r="L104" s="3343" t="s">
        <v>3194</v>
      </c>
      <c r="M104" s="3343" t="s">
        <v>2791</v>
      </c>
      <c r="N104" s="3343" t="s">
        <v>3061</v>
      </c>
      <c r="O104" s="3343" t="s">
        <v>3109</v>
      </c>
      <c r="P104" s="3343" t="s">
        <v>2791</v>
      </c>
      <c r="Q104" s="3343" t="s">
        <v>2791</v>
      </c>
      <c r="R104" s="3343" t="s">
        <v>2791</v>
      </c>
      <c r="S104" s="3343" t="s">
        <v>2791</v>
      </c>
      <c r="T104" s="3343" t="s">
        <v>2791</v>
      </c>
      <c r="U104" s="3343" t="s">
        <v>2791</v>
      </c>
      <c r="V104" s="3343" t="s">
        <v>2791</v>
      </c>
      <c r="W104" s="3343" t="s">
        <v>3263</v>
      </c>
      <c r="X104" s="3343" t="s">
        <v>3284</v>
      </c>
      <c r="Y104" s="3343" t="s">
        <v>3285</v>
      </c>
      <c r="Z104" s="3343" t="s">
        <v>3285</v>
      </c>
      <c r="AA104" s="3343" t="s">
        <v>3285</v>
      </c>
      <c r="AB104" s="3343" t="s">
        <v>3286</v>
      </c>
      <c r="AC104" s="3343" t="s">
        <v>3088</v>
      </c>
      <c r="AD104" s="3343" t="s">
        <v>3143</v>
      </c>
      <c r="AE104" s="3343">
        <v>3686</v>
      </c>
      <c r="AF104" s="3343">
        <v>18430</v>
      </c>
      <c r="AG104" s="3343">
        <v>23540</v>
      </c>
      <c r="AH104" s="3343">
        <v>360.17</v>
      </c>
      <c r="AI104" s="3343">
        <v>460.03</v>
      </c>
      <c r="AJ104" s="3343">
        <v>2701.27</v>
      </c>
      <c r="AK104" s="3343">
        <v>3450.23</v>
      </c>
      <c r="AL104" s="3343" t="s">
        <v>2791</v>
      </c>
      <c r="AM104" s="3343" t="s">
        <v>2791</v>
      </c>
      <c r="AN104" s="3343">
        <v>27.73</v>
      </c>
      <c r="AO104" s="3343" t="s">
        <v>3063</v>
      </c>
      <c r="AP104" s="3343" t="s">
        <v>2791</v>
      </c>
      <c r="AQ104" s="3343" t="s">
        <v>2791</v>
      </c>
      <c r="AR104" s="3343" t="s">
        <v>2791</v>
      </c>
      <c r="AS104" s="3343" t="s">
        <v>3081</v>
      </c>
    </row>
    <row r="105" spans="1:45" s="3344" customFormat="1">
      <c r="A105" s="3343" t="s">
        <v>3287</v>
      </c>
      <c r="B105" s="3343" t="s">
        <v>3056</v>
      </c>
      <c r="C105" s="3343" t="s">
        <v>3057</v>
      </c>
      <c r="D105" s="3343" t="s">
        <v>3058</v>
      </c>
      <c r="E105" s="3343" t="s">
        <v>2791</v>
      </c>
      <c r="F105" s="3343" t="s">
        <v>3287</v>
      </c>
      <c r="G105" s="3343" t="s">
        <v>3059</v>
      </c>
      <c r="H105" s="3343" t="s">
        <v>3294</v>
      </c>
      <c r="I105" s="3343" t="s">
        <v>3099</v>
      </c>
      <c r="J105" s="3343">
        <v>38415.56</v>
      </c>
      <c r="K105" s="3343">
        <v>76831.12</v>
      </c>
      <c r="L105" s="3343" t="s">
        <v>3194</v>
      </c>
      <c r="M105" s="3343" t="s">
        <v>2791</v>
      </c>
      <c r="N105" s="3343" t="s">
        <v>3061</v>
      </c>
      <c r="O105" s="3343" t="s">
        <v>3109</v>
      </c>
      <c r="P105" s="3343" t="s">
        <v>2791</v>
      </c>
      <c r="Q105" s="3343" t="s">
        <v>2791</v>
      </c>
      <c r="R105" s="3343" t="s">
        <v>2791</v>
      </c>
      <c r="S105" s="3343" t="s">
        <v>2791</v>
      </c>
      <c r="T105" s="3343" t="s">
        <v>2791</v>
      </c>
      <c r="U105" s="3343" t="s">
        <v>2791</v>
      </c>
      <c r="V105" s="3343" t="s">
        <v>2791</v>
      </c>
      <c r="W105" s="3343" t="s">
        <v>3263</v>
      </c>
      <c r="X105" s="3343" t="s">
        <v>3284</v>
      </c>
      <c r="Y105" s="3343" t="s">
        <v>3285</v>
      </c>
      <c r="Z105" s="3343" t="s">
        <v>3285</v>
      </c>
      <c r="AA105" s="3343" t="s">
        <v>3285</v>
      </c>
      <c r="AB105" s="3343" t="s">
        <v>3286</v>
      </c>
      <c r="AC105" s="3343" t="s">
        <v>3088</v>
      </c>
      <c r="AD105" s="3343" t="s">
        <v>3143</v>
      </c>
      <c r="AE105" s="3343">
        <v>4150</v>
      </c>
      <c r="AF105" s="3343">
        <v>20750</v>
      </c>
      <c r="AG105" s="3343">
        <v>26510</v>
      </c>
      <c r="AH105" s="3343">
        <v>360.1</v>
      </c>
      <c r="AI105" s="3343">
        <v>460.06</v>
      </c>
      <c r="AJ105" s="3343">
        <v>2700.72</v>
      </c>
      <c r="AK105" s="3343">
        <v>3450.42</v>
      </c>
      <c r="AL105" s="3343" t="s">
        <v>2791</v>
      </c>
      <c r="AM105" s="3343" t="s">
        <v>2791</v>
      </c>
      <c r="AN105" s="3343">
        <v>27.76</v>
      </c>
      <c r="AO105" s="3343" t="s">
        <v>3063</v>
      </c>
      <c r="AP105" s="3343" t="s">
        <v>2791</v>
      </c>
      <c r="AQ105" s="3343" t="s">
        <v>2791</v>
      </c>
      <c r="AR105" s="3343" t="s">
        <v>2791</v>
      </c>
      <c r="AS105" s="3343" t="s">
        <v>3082</v>
      </c>
    </row>
    <row r="106" spans="1:45" s="3278" customFormat="1" hidden="1">
      <c r="A106" s="3277" t="s">
        <v>3083</v>
      </c>
      <c r="B106" s="3277" t="s">
        <v>3056</v>
      </c>
      <c r="C106" s="3277" t="s">
        <v>3057</v>
      </c>
      <c r="D106" s="3277" t="s">
        <v>3058</v>
      </c>
      <c r="E106" s="3277" t="s">
        <v>2791</v>
      </c>
      <c r="F106" s="3277" t="s">
        <v>3083</v>
      </c>
      <c r="G106" s="3277" t="s">
        <v>3059</v>
      </c>
      <c r="H106" s="3277" t="s">
        <v>3296</v>
      </c>
      <c r="I106" s="3277" t="s">
        <v>3099</v>
      </c>
      <c r="J106" s="3277">
        <v>39568.160000000003</v>
      </c>
      <c r="K106" s="3277">
        <v>47481.79</v>
      </c>
      <c r="L106" s="3277" t="s">
        <v>3070</v>
      </c>
      <c r="M106" s="3277" t="s">
        <v>2791</v>
      </c>
      <c r="N106" s="3277" t="s">
        <v>3071</v>
      </c>
      <c r="O106" s="3277" t="s">
        <v>3072</v>
      </c>
      <c r="P106" s="3277" t="s">
        <v>2791</v>
      </c>
      <c r="Q106" s="3277" t="s">
        <v>2791</v>
      </c>
      <c r="R106" s="3277" t="s">
        <v>2791</v>
      </c>
      <c r="S106" s="3277" t="s">
        <v>2791</v>
      </c>
      <c r="T106" s="3277" t="s">
        <v>2791</v>
      </c>
      <c r="U106" s="3277" t="s">
        <v>2791</v>
      </c>
      <c r="V106" s="3277" t="s">
        <v>2791</v>
      </c>
      <c r="W106" s="3277" t="s">
        <v>3263</v>
      </c>
      <c r="X106" s="3277" t="s">
        <v>3297</v>
      </c>
      <c r="Y106" s="3277" t="s">
        <v>3264</v>
      </c>
      <c r="Z106" s="3277" t="s">
        <v>3264</v>
      </c>
      <c r="AA106" s="3277" t="s">
        <v>3264</v>
      </c>
      <c r="AB106" s="3277" t="s">
        <v>3298</v>
      </c>
      <c r="AC106" s="3277" t="s">
        <v>3088</v>
      </c>
      <c r="AD106" s="3277" t="s">
        <v>3299</v>
      </c>
      <c r="AE106" s="3277">
        <v>9500</v>
      </c>
      <c r="AF106" s="3277">
        <v>9500</v>
      </c>
      <c r="AG106" s="3277">
        <v>9500</v>
      </c>
      <c r="AH106" s="3277">
        <v>160.06</v>
      </c>
      <c r="AI106" s="3277">
        <v>160.06</v>
      </c>
      <c r="AJ106" s="3277">
        <v>2000.76</v>
      </c>
      <c r="AK106" s="3277">
        <v>2000.76</v>
      </c>
      <c r="AL106" s="3277" t="s">
        <v>2791</v>
      </c>
      <c r="AM106" s="3277" t="s">
        <v>2791</v>
      </c>
      <c r="AN106" s="3277">
        <v>0</v>
      </c>
      <c r="AO106" s="3277" t="s">
        <v>3063</v>
      </c>
      <c r="AP106" s="3277" t="s">
        <v>2791</v>
      </c>
      <c r="AQ106" s="3277" t="s">
        <v>2791</v>
      </c>
      <c r="AR106" s="3277" t="s">
        <v>2791</v>
      </c>
      <c r="AS106" s="3277" t="s">
        <v>3082</v>
      </c>
    </row>
    <row r="107" spans="1:45" s="3278" customFormat="1" hidden="1">
      <c r="A107" s="3295" t="s">
        <v>3734</v>
      </c>
      <c r="B107" s="3277" t="s">
        <v>3056</v>
      </c>
      <c r="C107" s="3277" t="s">
        <v>3057</v>
      </c>
      <c r="D107" s="3277" t="s">
        <v>3058</v>
      </c>
      <c r="E107" s="3277" t="s">
        <v>2791</v>
      </c>
      <c r="F107" s="3277" t="s">
        <v>3300</v>
      </c>
      <c r="G107" s="3277" t="s">
        <v>3301</v>
      </c>
      <c r="H107" s="3277" t="s">
        <v>3302</v>
      </c>
      <c r="I107" s="3277" t="s">
        <v>3099</v>
      </c>
      <c r="J107" s="3277">
        <v>56386.43</v>
      </c>
      <c r="K107" s="3277">
        <v>112772.86</v>
      </c>
      <c r="L107" s="3277" t="s">
        <v>3303</v>
      </c>
      <c r="M107" s="3277" t="s">
        <v>2791</v>
      </c>
      <c r="N107" s="3277" t="s">
        <v>3068</v>
      </c>
      <c r="O107" s="3277" t="s">
        <v>3062</v>
      </c>
      <c r="P107" s="3277" t="s">
        <v>2791</v>
      </c>
      <c r="Q107" s="3277" t="s">
        <v>2791</v>
      </c>
      <c r="R107" s="3277" t="s">
        <v>2791</v>
      </c>
      <c r="S107" s="3277" t="s">
        <v>2791</v>
      </c>
      <c r="T107" s="3277" t="s">
        <v>2791</v>
      </c>
      <c r="U107" s="3277" t="s">
        <v>2791</v>
      </c>
      <c r="V107" s="3277" t="s">
        <v>2791</v>
      </c>
      <c r="W107" s="3277" t="s">
        <v>3263</v>
      </c>
      <c r="X107" s="3277" t="s">
        <v>3295</v>
      </c>
      <c r="Y107" s="3277" t="s">
        <v>3264</v>
      </c>
      <c r="Z107" s="3277" t="s">
        <v>3264</v>
      </c>
      <c r="AA107" s="3277" t="s">
        <v>3264</v>
      </c>
      <c r="AB107" s="3277" t="s">
        <v>3304</v>
      </c>
      <c r="AC107" s="3277" t="s">
        <v>3088</v>
      </c>
      <c r="AD107" s="3277" t="s">
        <v>3305</v>
      </c>
      <c r="AE107" s="3277">
        <v>13000</v>
      </c>
      <c r="AF107" s="3277">
        <v>26000</v>
      </c>
      <c r="AG107" s="3277">
        <v>26000</v>
      </c>
      <c r="AH107" s="3277">
        <v>307.39999999999998</v>
      </c>
      <c r="AI107" s="3277">
        <v>307.39999999999998</v>
      </c>
      <c r="AJ107" s="3277">
        <v>2305.5100000000002</v>
      </c>
      <c r="AK107" s="3277">
        <v>2305.5100000000002</v>
      </c>
      <c r="AL107" s="3277" t="s">
        <v>2791</v>
      </c>
      <c r="AM107" s="3277" t="s">
        <v>2791</v>
      </c>
      <c r="AN107" s="3277">
        <v>0</v>
      </c>
      <c r="AO107" s="3277" t="s">
        <v>3063</v>
      </c>
      <c r="AP107" s="3277" t="s">
        <v>2791</v>
      </c>
      <c r="AQ107" s="3277" t="s">
        <v>2791</v>
      </c>
      <c r="AR107" s="3277" t="s">
        <v>2791</v>
      </c>
      <c r="AS107" s="3277" t="s">
        <v>3129</v>
      </c>
    </row>
    <row r="108" spans="1:45" s="3278" customFormat="1" hidden="1">
      <c r="A108" s="3277" t="s">
        <v>3300</v>
      </c>
      <c r="B108" s="3277" t="s">
        <v>3056</v>
      </c>
      <c r="C108" s="3277" t="s">
        <v>3057</v>
      </c>
      <c r="D108" s="3277" t="s">
        <v>3058</v>
      </c>
      <c r="E108" s="3277" t="s">
        <v>2791</v>
      </c>
      <c r="F108" s="3277" t="s">
        <v>3300</v>
      </c>
      <c r="G108" s="3277" t="s">
        <v>3301</v>
      </c>
      <c r="H108" s="3277" t="s">
        <v>3306</v>
      </c>
      <c r="I108" s="3277" t="s">
        <v>3099</v>
      </c>
      <c r="J108" s="3277">
        <v>68507.45</v>
      </c>
      <c r="K108" s="3277">
        <v>137014.9</v>
      </c>
      <c r="L108" s="3277" t="s">
        <v>3303</v>
      </c>
      <c r="M108" s="3277" t="s">
        <v>2791</v>
      </c>
      <c r="N108" s="3277" t="s">
        <v>3068</v>
      </c>
      <c r="O108" s="3277" t="s">
        <v>3062</v>
      </c>
      <c r="P108" s="3277" t="s">
        <v>2791</v>
      </c>
      <c r="Q108" s="3277" t="s">
        <v>2791</v>
      </c>
      <c r="R108" s="3277" t="s">
        <v>2791</v>
      </c>
      <c r="S108" s="3277" t="s">
        <v>2791</v>
      </c>
      <c r="T108" s="3277" t="s">
        <v>2791</v>
      </c>
      <c r="U108" s="3277" t="s">
        <v>2791</v>
      </c>
      <c r="V108" s="3277" t="s">
        <v>2791</v>
      </c>
      <c r="W108" s="3277" t="s">
        <v>3263</v>
      </c>
      <c r="X108" s="3277" t="s">
        <v>3295</v>
      </c>
      <c r="Y108" s="3277" t="s">
        <v>3264</v>
      </c>
      <c r="Z108" s="3277" t="s">
        <v>3264</v>
      </c>
      <c r="AA108" s="3277" t="s">
        <v>3264</v>
      </c>
      <c r="AB108" s="3277" t="s">
        <v>3304</v>
      </c>
      <c r="AC108" s="3277" t="s">
        <v>3088</v>
      </c>
      <c r="AD108" s="3277" t="s">
        <v>3305</v>
      </c>
      <c r="AE108" s="3277">
        <v>15500</v>
      </c>
      <c r="AF108" s="3277">
        <v>31000</v>
      </c>
      <c r="AG108" s="3277">
        <v>31000</v>
      </c>
      <c r="AH108" s="3277">
        <v>301.67</v>
      </c>
      <c r="AI108" s="3277">
        <v>301.67</v>
      </c>
      <c r="AJ108" s="3277">
        <v>2262.52</v>
      </c>
      <c r="AK108" s="3277">
        <v>2262.5300000000002</v>
      </c>
      <c r="AL108" s="3277" t="s">
        <v>2791</v>
      </c>
      <c r="AM108" s="3277" t="s">
        <v>2791</v>
      </c>
      <c r="AN108" s="3277">
        <v>0</v>
      </c>
      <c r="AO108" s="3277" t="s">
        <v>3063</v>
      </c>
      <c r="AP108" s="3277" t="s">
        <v>2791</v>
      </c>
      <c r="AQ108" s="3277" t="s">
        <v>2791</v>
      </c>
      <c r="AR108" s="3277" t="s">
        <v>2791</v>
      </c>
      <c r="AS108" s="3277" t="s">
        <v>3129</v>
      </c>
    </row>
    <row r="109" spans="1:45" s="3278" customFormat="1" hidden="1">
      <c r="A109" s="3277" t="s">
        <v>3307</v>
      </c>
      <c r="B109" s="3277" t="s">
        <v>3056</v>
      </c>
      <c r="C109" s="3277" t="s">
        <v>3057</v>
      </c>
      <c r="D109" s="3277" t="s">
        <v>3058</v>
      </c>
      <c r="E109" s="3277" t="s">
        <v>2791</v>
      </c>
      <c r="F109" s="3277" t="s">
        <v>3307</v>
      </c>
      <c r="G109" s="3277" t="s">
        <v>3059</v>
      </c>
      <c r="H109" s="3277" t="s">
        <v>3308</v>
      </c>
      <c r="I109" s="3277" t="s">
        <v>3099</v>
      </c>
      <c r="J109" s="3277">
        <v>28716.04</v>
      </c>
      <c r="K109" s="3277">
        <v>34459.25</v>
      </c>
      <c r="L109" s="3277" t="s">
        <v>3070</v>
      </c>
      <c r="M109" s="3277" t="s">
        <v>2791</v>
      </c>
      <c r="N109" s="3277" t="s">
        <v>3071</v>
      </c>
      <c r="O109" s="3277" t="s">
        <v>3309</v>
      </c>
      <c r="P109" s="3277" t="s">
        <v>2791</v>
      </c>
      <c r="Q109" s="3277" t="s">
        <v>2791</v>
      </c>
      <c r="R109" s="3277" t="s">
        <v>2791</v>
      </c>
      <c r="S109" s="3277" t="s">
        <v>2791</v>
      </c>
      <c r="T109" s="3277" t="s">
        <v>2791</v>
      </c>
      <c r="U109" s="3277" t="s">
        <v>2791</v>
      </c>
      <c r="V109" s="3277" t="s">
        <v>2791</v>
      </c>
      <c r="W109" s="3277" t="s">
        <v>3263</v>
      </c>
      <c r="X109" s="3277" t="s">
        <v>3297</v>
      </c>
      <c r="Y109" s="3277" t="s">
        <v>3264</v>
      </c>
      <c r="Z109" s="3277" t="s">
        <v>3264</v>
      </c>
      <c r="AA109" s="3277" t="s">
        <v>3264</v>
      </c>
      <c r="AB109" s="3277" t="s">
        <v>3298</v>
      </c>
      <c r="AC109" s="3277" t="s">
        <v>3088</v>
      </c>
      <c r="AD109" s="3277" t="s">
        <v>3104</v>
      </c>
      <c r="AE109" s="3277">
        <v>6900</v>
      </c>
      <c r="AF109" s="3277">
        <v>6900</v>
      </c>
      <c r="AG109" s="3277">
        <v>6900</v>
      </c>
      <c r="AH109" s="3277">
        <v>160.19</v>
      </c>
      <c r="AI109" s="3277">
        <v>160.19</v>
      </c>
      <c r="AJ109" s="3277">
        <v>2002.36</v>
      </c>
      <c r="AK109" s="3277">
        <v>2002.36</v>
      </c>
      <c r="AL109" s="3277" t="s">
        <v>2791</v>
      </c>
      <c r="AM109" s="3277" t="s">
        <v>2791</v>
      </c>
      <c r="AN109" s="3277">
        <v>0</v>
      </c>
      <c r="AO109" s="3277" t="s">
        <v>3063</v>
      </c>
      <c r="AP109" s="3277" t="s">
        <v>2791</v>
      </c>
      <c r="AQ109" s="3277" t="s">
        <v>2791</v>
      </c>
      <c r="AR109" s="3277" t="s">
        <v>2791</v>
      </c>
      <c r="AS109" s="3277" t="s">
        <v>3082</v>
      </c>
    </row>
    <row r="110" spans="1:45" s="3278" customFormat="1" hidden="1">
      <c r="A110" s="3277" t="s">
        <v>3311</v>
      </c>
      <c r="B110" s="3277" t="s">
        <v>3056</v>
      </c>
      <c r="C110" s="3277" t="s">
        <v>3057</v>
      </c>
      <c r="D110" s="3277" t="s">
        <v>3058</v>
      </c>
      <c r="E110" s="3277" t="s">
        <v>2791</v>
      </c>
      <c r="F110" s="3277" t="s">
        <v>3311</v>
      </c>
      <c r="G110" s="3277" t="s">
        <v>3059</v>
      </c>
      <c r="H110" s="3277" t="s">
        <v>3312</v>
      </c>
      <c r="I110" s="3277" t="s">
        <v>3099</v>
      </c>
      <c r="J110" s="3277">
        <v>46672.93</v>
      </c>
      <c r="K110" s="3277">
        <v>56007.519999999997</v>
      </c>
      <c r="L110" s="3277" t="s">
        <v>3070</v>
      </c>
      <c r="M110" s="3277" t="s">
        <v>2791</v>
      </c>
      <c r="N110" s="3277" t="s">
        <v>3071</v>
      </c>
      <c r="O110" s="3277" t="s">
        <v>3072</v>
      </c>
      <c r="P110" s="3277" t="s">
        <v>2791</v>
      </c>
      <c r="Q110" s="3277" t="s">
        <v>2791</v>
      </c>
      <c r="R110" s="3277" t="s">
        <v>2791</v>
      </c>
      <c r="S110" s="3277" t="s">
        <v>2791</v>
      </c>
      <c r="T110" s="3277" t="s">
        <v>2791</v>
      </c>
      <c r="U110" s="3277" t="s">
        <v>2791</v>
      </c>
      <c r="V110" s="3277" t="s">
        <v>2791</v>
      </c>
      <c r="W110" s="3277" t="s">
        <v>3263</v>
      </c>
      <c r="X110" s="3277" t="s">
        <v>3297</v>
      </c>
      <c r="Y110" s="3277" t="s">
        <v>3264</v>
      </c>
      <c r="Z110" s="3277" t="s">
        <v>3264</v>
      </c>
      <c r="AA110" s="3277" t="s">
        <v>3264</v>
      </c>
      <c r="AB110" s="3277" t="s">
        <v>3298</v>
      </c>
      <c r="AC110" s="3277" t="s">
        <v>3088</v>
      </c>
      <c r="AD110" s="3277" t="s">
        <v>3104</v>
      </c>
      <c r="AE110" s="3277">
        <v>11210</v>
      </c>
      <c r="AF110" s="3277">
        <v>11210</v>
      </c>
      <c r="AG110" s="3277">
        <v>11210</v>
      </c>
      <c r="AH110" s="3277">
        <v>160.12</v>
      </c>
      <c r="AI110" s="3277">
        <v>160.12</v>
      </c>
      <c r="AJ110" s="3277">
        <v>2001.51</v>
      </c>
      <c r="AK110" s="3277">
        <v>2001.51</v>
      </c>
      <c r="AL110" s="3277" t="s">
        <v>2791</v>
      </c>
      <c r="AM110" s="3277" t="s">
        <v>2791</v>
      </c>
      <c r="AN110" s="3277">
        <v>0</v>
      </c>
      <c r="AO110" s="3277" t="s">
        <v>3063</v>
      </c>
      <c r="AP110" s="3277" t="s">
        <v>2791</v>
      </c>
      <c r="AQ110" s="3277" t="s">
        <v>2791</v>
      </c>
      <c r="AR110" s="3277" t="s">
        <v>2791</v>
      </c>
      <c r="AS110" s="3277" t="s">
        <v>3082</v>
      </c>
    </row>
    <row r="111" spans="1:45">
      <c r="A111" s="3284" t="s">
        <v>3313</v>
      </c>
      <c r="B111" s="3284" t="s">
        <v>3056</v>
      </c>
      <c r="C111" s="3284" t="s">
        <v>3057</v>
      </c>
      <c r="D111" s="3284" t="s">
        <v>3058</v>
      </c>
      <c r="E111" s="3284" t="s">
        <v>2791</v>
      </c>
      <c r="F111" s="3284" t="s">
        <v>3313</v>
      </c>
      <c r="G111" s="3284" t="s">
        <v>3059</v>
      </c>
      <c r="H111" s="3284" t="s">
        <v>3314</v>
      </c>
      <c r="I111" s="3284" t="s">
        <v>3099</v>
      </c>
      <c r="J111" s="3284">
        <v>58712.7</v>
      </c>
      <c r="K111" s="3284">
        <v>129167.94</v>
      </c>
      <c r="L111" s="3284" t="s">
        <v>3107</v>
      </c>
      <c r="M111" s="3284" t="s">
        <v>2791</v>
      </c>
      <c r="N111" s="3284" t="s">
        <v>3108</v>
      </c>
      <c r="O111" s="3284" t="s">
        <v>3315</v>
      </c>
      <c r="P111" s="3284" t="s">
        <v>2791</v>
      </c>
      <c r="Q111" s="3284" t="s">
        <v>2791</v>
      </c>
      <c r="R111" s="3284" t="s">
        <v>2791</v>
      </c>
      <c r="S111" s="3284" t="s">
        <v>2791</v>
      </c>
      <c r="T111" s="3284" t="s">
        <v>2791</v>
      </c>
      <c r="U111" s="3284" t="s">
        <v>2791</v>
      </c>
      <c r="V111" s="3284" t="s">
        <v>2791</v>
      </c>
      <c r="W111" s="3284" t="s">
        <v>3263</v>
      </c>
      <c r="X111" s="3284" t="s">
        <v>3316</v>
      </c>
      <c r="Y111" s="3284" t="s">
        <v>3317</v>
      </c>
      <c r="Z111" s="3284" t="s">
        <v>3317</v>
      </c>
      <c r="AA111" s="3284" t="s">
        <v>3317</v>
      </c>
      <c r="AB111" s="3284" t="s">
        <v>3318</v>
      </c>
      <c r="AC111" s="3284" t="s">
        <v>3088</v>
      </c>
      <c r="AD111" s="3284" t="s">
        <v>3319</v>
      </c>
      <c r="AE111" s="3284">
        <v>8034</v>
      </c>
      <c r="AF111" s="3284">
        <v>26780</v>
      </c>
      <c r="AG111" s="3284">
        <v>26780</v>
      </c>
      <c r="AH111" s="3284">
        <v>304.08</v>
      </c>
      <c r="AI111" s="3284">
        <v>304.08</v>
      </c>
      <c r="AJ111" s="3284">
        <v>2073.2600000000002</v>
      </c>
      <c r="AK111" s="3284">
        <v>2073.2600000000002</v>
      </c>
      <c r="AL111" s="3284" t="s">
        <v>2791</v>
      </c>
      <c r="AM111" s="3284" t="s">
        <v>2791</v>
      </c>
      <c r="AN111" s="3284">
        <v>0</v>
      </c>
      <c r="AO111" s="3284" t="s">
        <v>3063</v>
      </c>
      <c r="AP111" s="3284" t="s">
        <v>2791</v>
      </c>
      <c r="AQ111" s="3284" t="s">
        <v>2791</v>
      </c>
      <c r="AR111" s="3284" t="s">
        <v>2791</v>
      </c>
      <c r="AS111" s="3284" t="s">
        <v>3081</v>
      </c>
    </row>
    <row r="112" spans="1:45">
      <c r="A112" s="3284" t="s">
        <v>3313</v>
      </c>
      <c r="B112" s="3284" t="s">
        <v>3056</v>
      </c>
      <c r="C112" s="3284" t="s">
        <v>3057</v>
      </c>
      <c r="D112" s="3284" t="s">
        <v>3058</v>
      </c>
      <c r="E112" s="3284" t="s">
        <v>2791</v>
      </c>
      <c r="F112" s="3284" t="s">
        <v>3313</v>
      </c>
      <c r="G112" s="3284" t="s">
        <v>3059</v>
      </c>
      <c r="H112" s="3284" t="s">
        <v>3320</v>
      </c>
      <c r="I112" s="3284" t="s">
        <v>3099</v>
      </c>
      <c r="J112" s="3284">
        <v>44788.52</v>
      </c>
      <c r="K112" s="3284">
        <v>98534.74</v>
      </c>
      <c r="L112" s="3284" t="s">
        <v>3107</v>
      </c>
      <c r="M112" s="3284" t="s">
        <v>2791</v>
      </c>
      <c r="N112" s="3284" t="s">
        <v>3108</v>
      </c>
      <c r="O112" s="3284" t="s">
        <v>3315</v>
      </c>
      <c r="P112" s="3284" t="s">
        <v>2791</v>
      </c>
      <c r="Q112" s="3284" t="s">
        <v>2791</v>
      </c>
      <c r="R112" s="3284" t="s">
        <v>2791</v>
      </c>
      <c r="S112" s="3284" t="s">
        <v>2791</v>
      </c>
      <c r="T112" s="3284" t="s">
        <v>2791</v>
      </c>
      <c r="U112" s="3284" t="s">
        <v>2791</v>
      </c>
      <c r="V112" s="3284" t="s">
        <v>2791</v>
      </c>
      <c r="W112" s="3284" t="s">
        <v>3263</v>
      </c>
      <c r="X112" s="3284" t="s">
        <v>3316</v>
      </c>
      <c r="Y112" s="3284" t="s">
        <v>3317</v>
      </c>
      <c r="Z112" s="3284" t="s">
        <v>3317</v>
      </c>
      <c r="AA112" s="3284" t="s">
        <v>3317</v>
      </c>
      <c r="AB112" s="3284" t="s">
        <v>3321</v>
      </c>
      <c r="AC112" s="3284" t="s">
        <v>3088</v>
      </c>
      <c r="AD112" s="3284" t="s">
        <v>3319</v>
      </c>
      <c r="AE112" s="3284">
        <v>6129</v>
      </c>
      <c r="AF112" s="3284">
        <v>20430</v>
      </c>
      <c r="AG112" s="3284">
        <v>20430</v>
      </c>
      <c r="AH112" s="3284">
        <v>304.10000000000002</v>
      </c>
      <c r="AI112" s="3284">
        <v>304.10000000000002</v>
      </c>
      <c r="AJ112" s="3284">
        <v>2073.38</v>
      </c>
      <c r="AK112" s="3284">
        <v>2073.38</v>
      </c>
      <c r="AL112" s="3284" t="s">
        <v>2791</v>
      </c>
      <c r="AM112" s="3284" t="s">
        <v>2791</v>
      </c>
      <c r="AN112" s="3284">
        <v>0</v>
      </c>
      <c r="AO112" s="3284" t="s">
        <v>3063</v>
      </c>
      <c r="AP112" s="3284" t="s">
        <v>2791</v>
      </c>
      <c r="AQ112" s="3284" t="s">
        <v>2791</v>
      </c>
      <c r="AR112" s="3284" t="s">
        <v>2791</v>
      </c>
      <c r="AS112" s="3284" t="s">
        <v>3081</v>
      </c>
    </row>
    <row r="113" spans="1:45" s="3278" customFormat="1" hidden="1">
      <c r="A113" s="3277" t="s">
        <v>3325</v>
      </c>
      <c r="B113" s="3277" t="s">
        <v>3056</v>
      </c>
      <c r="C113" s="3277" t="s">
        <v>3057</v>
      </c>
      <c r="D113" s="3277" t="s">
        <v>3058</v>
      </c>
      <c r="E113" s="3277" t="s">
        <v>2791</v>
      </c>
      <c r="F113" s="3277" t="s">
        <v>3325</v>
      </c>
      <c r="G113" s="3277" t="s">
        <v>3059</v>
      </c>
      <c r="H113" s="3277" t="s">
        <v>3326</v>
      </c>
      <c r="I113" s="3277" t="s">
        <v>3099</v>
      </c>
      <c r="J113" s="3277">
        <v>52880.98</v>
      </c>
      <c r="K113" s="3277">
        <v>53938.6</v>
      </c>
      <c r="L113" s="3277" t="s">
        <v>3160</v>
      </c>
      <c r="M113" s="3277" t="s">
        <v>2791</v>
      </c>
      <c r="N113" s="3277" t="s">
        <v>3071</v>
      </c>
      <c r="O113" s="3277" t="s">
        <v>3327</v>
      </c>
      <c r="P113" s="3277" t="s">
        <v>2791</v>
      </c>
      <c r="Q113" s="3277" t="s">
        <v>2791</v>
      </c>
      <c r="R113" s="3277" t="s">
        <v>2791</v>
      </c>
      <c r="S113" s="3277" t="s">
        <v>2791</v>
      </c>
      <c r="T113" s="3277" t="s">
        <v>2791</v>
      </c>
      <c r="U113" s="3277" t="s">
        <v>2791</v>
      </c>
      <c r="V113" s="3277" t="s">
        <v>2791</v>
      </c>
      <c r="W113" s="3277" t="s">
        <v>3263</v>
      </c>
      <c r="X113" s="3277" t="s">
        <v>3322</v>
      </c>
      <c r="Y113" s="3277" t="s">
        <v>3323</v>
      </c>
      <c r="Z113" s="3277" t="s">
        <v>3323</v>
      </c>
      <c r="AA113" s="3277" t="s">
        <v>3323</v>
      </c>
      <c r="AB113" s="3277" t="s">
        <v>3324</v>
      </c>
      <c r="AC113" s="3277" t="s">
        <v>3088</v>
      </c>
      <c r="AD113" s="3277" t="s">
        <v>3104</v>
      </c>
      <c r="AE113" s="3277">
        <v>10788</v>
      </c>
      <c r="AF113" s="3277">
        <v>10788</v>
      </c>
      <c r="AG113" s="3277">
        <v>10788</v>
      </c>
      <c r="AH113" s="3277">
        <v>136</v>
      </c>
      <c r="AI113" s="3277">
        <v>136</v>
      </c>
      <c r="AJ113" s="3277">
        <v>2000.05</v>
      </c>
      <c r="AK113" s="3277">
        <v>2000.04</v>
      </c>
      <c r="AL113" s="3277" t="s">
        <v>2791</v>
      </c>
      <c r="AM113" s="3277" t="s">
        <v>2791</v>
      </c>
      <c r="AN113" s="3277">
        <v>0</v>
      </c>
      <c r="AO113" s="3277" t="s">
        <v>3063</v>
      </c>
      <c r="AP113" s="3277" t="s">
        <v>2791</v>
      </c>
      <c r="AQ113" s="3277" t="s">
        <v>2791</v>
      </c>
      <c r="AR113" s="3277" t="s">
        <v>2791</v>
      </c>
      <c r="AS113" s="3277" t="s">
        <v>3082</v>
      </c>
    </row>
    <row r="114" spans="1:45" s="3278" customFormat="1" hidden="1">
      <c r="A114" s="3277" t="s">
        <v>3325</v>
      </c>
      <c r="B114" s="3277" t="s">
        <v>3056</v>
      </c>
      <c r="C114" s="3277" t="s">
        <v>3057</v>
      </c>
      <c r="D114" s="3277" t="s">
        <v>3058</v>
      </c>
      <c r="E114" s="3277" t="s">
        <v>2791</v>
      </c>
      <c r="F114" s="3277" t="s">
        <v>3325</v>
      </c>
      <c r="G114" s="3277" t="s">
        <v>3059</v>
      </c>
      <c r="H114" s="3277" t="s">
        <v>3328</v>
      </c>
      <c r="I114" s="3277" t="s">
        <v>3099</v>
      </c>
      <c r="J114" s="3277">
        <v>69241.48</v>
      </c>
      <c r="K114" s="3277">
        <v>70626.31</v>
      </c>
      <c r="L114" s="3277" t="s">
        <v>3160</v>
      </c>
      <c r="M114" s="3277" t="s">
        <v>2791</v>
      </c>
      <c r="N114" s="3277" t="s">
        <v>3071</v>
      </c>
      <c r="O114" s="3277" t="s">
        <v>3072</v>
      </c>
      <c r="P114" s="3277" t="s">
        <v>2791</v>
      </c>
      <c r="Q114" s="3277" t="s">
        <v>2791</v>
      </c>
      <c r="R114" s="3277" t="s">
        <v>2791</v>
      </c>
      <c r="S114" s="3277" t="s">
        <v>2791</v>
      </c>
      <c r="T114" s="3277" t="s">
        <v>2791</v>
      </c>
      <c r="U114" s="3277" t="s">
        <v>2791</v>
      </c>
      <c r="V114" s="3277" t="s">
        <v>2791</v>
      </c>
      <c r="W114" s="3277" t="s">
        <v>3263</v>
      </c>
      <c r="X114" s="3277" t="s">
        <v>3322</v>
      </c>
      <c r="Y114" s="3277" t="s">
        <v>3323</v>
      </c>
      <c r="Z114" s="3277" t="s">
        <v>3323</v>
      </c>
      <c r="AA114" s="3277" t="s">
        <v>3323</v>
      </c>
      <c r="AB114" s="3277" t="s">
        <v>3324</v>
      </c>
      <c r="AC114" s="3277" t="s">
        <v>3088</v>
      </c>
      <c r="AD114" s="3277" t="s">
        <v>3104</v>
      </c>
      <c r="AE114" s="3277">
        <v>14126</v>
      </c>
      <c r="AF114" s="3277">
        <v>14126</v>
      </c>
      <c r="AG114" s="3277">
        <v>14126</v>
      </c>
      <c r="AH114" s="3277">
        <v>136.01</v>
      </c>
      <c r="AI114" s="3277">
        <v>136.01</v>
      </c>
      <c r="AJ114" s="3277">
        <v>2000.1</v>
      </c>
      <c r="AK114" s="3277">
        <v>2000.09</v>
      </c>
      <c r="AL114" s="3277" t="s">
        <v>2791</v>
      </c>
      <c r="AM114" s="3277" t="s">
        <v>2791</v>
      </c>
      <c r="AN114" s="3277">
        <v>0</v>
      </c>
      <c r="AO114" s="3277" t="s">
        <v>3063</v>
      </c>
      <c r="AP114" s="3277" t="s">
        <v>2791</v>
      </c>
      <c r="AQ114" s="3277" t="s">
        <v>2791</v>
      </c>
      <c r="AR114" s="3277" t="s">
        <v>2791</v>
      </c>
      <c r="AS114" s="3277" t="s">
        <v>3082</v>
      </c>
    </row>
    <row r="115" spans="1:45" s="3278" customFormat="1" hidden="1">
      <c r="A115" s="3277" t="s">
        <v>3167</v>
      </c>
      <c r="B115" s="3277" t="s">
        <v>3056</v>
      </c>
      <c r="C115" s="3277" t="s">
        <v>3057</v>
      </c>
      <c r="D115" s="3277" t="s">
        <v>3058</v>
      </c>
      <c r="E115" s="3277" t="s">
        <v>2791</v>
      </c>
      <c r="F115" s="3277" t="s">
        <v>3167</v>
      </c>
      <c r="G115" s="3277" t="s">
        <v>3059</v>
      </c>
      <c r="H115" s="3277" t="s">
        <v>3329</v>
      </c>
      <c r="I115" s="3277" t="s">
        <v>3099</v>
      </c>
      <c r="J115" s="3277">
        <v>51555.53</v>
      </c>
      <c r="K115" s="3277">
        <v>52586.64</v>
      </c>
      <c r="L115" s="3277" t="s">
        <v>3160</v>
      </c>
      <c r="M115" s="3277" t="s">
        <v>2791</v>
      </c>
      <c r="N115" s="3277" t="s">
        <v>3071</v>
      </c>
      <c r="O115" s="3277" t="s">
        <v>3072</v>
      </c>
      <c r="P115" s="3277" t="s">
        <v>2791</v>
      </c>
      <c r="Q115" s="3277" t="s">
        <v>2791</v>
      </c>
      <c r="R115" s="3277" t="s">
        <v>2791</v>
      </c>
      <c r="S115" s="3277" t="s">
        <v>2791</v>
      </c>
      <c r="T115" s="3277" t="s">
        <v>2791</v>
      </c>
      <c r="U115" s="3277" t="s">
        <v>2791</v>
      </c>
      <c r="V115" s="3277" t="s">
        <v>2791</v>
      </c>
      <c r="W115" s="3277" t="s">
        <v>3263</v>
      </c>
      <c r="X115" s="3277" t="s">
        <v>3322</v>
      </c>
      <c r="Y115" s="3277" t="s">
        <v>3323</v>
      </c>
      <c r="Z115" s="3277" t="s">
        <v>3323</v>
      </c>
      <c r="AA115" s="3277" t="s">
        <v>3323</v>
      </c>
      <c r="AB115" s="3277" t="s">
        <v>3324</v>
      </c>
      <c r="AC115" s="3277" t="s">
        <v>3088</v>
      </c>
      <c r="AD115" s="3277" t="s">
        <v>3330</v>
      </c>
      <c r="AE115" s="3277">
        <v>10520</v>
      </c>
      <c r="AF115" s="3277">
        <v>10520</v>
      </c>
      <c r="AG115" s="3277">
        <v>10520</v>
      </c>
      <c r="AH115" s="3277">
        <v>136.03</v>
      </c>
      <c r="AI115" s="3277">
        <v>136.03</v>
      </c>
      <c r="AJ115" s="3277">
        <v>2000.5</v>
      </c>
      <c r="AK115" s="3277">
        <v>2000.5</v>
      </c>
      <c r="AL115" s="3277" t="s">
        <v>2791</v>
      </c>
      <c r="AM115" s="3277" t="s">
        <v>2791</v>
      </c>
      <c r="AN115" s="3277">
        <v>0</v>
      </c>
      <c r="AO115" s="3277" t="s">
        <v>3063</v>
      </c>
      <c r="AP115" s="3277" t="s">
        <v>2791</v>
      </c>
      <c r="AQ115" s="3277" t="s">
        <v>2791</v>
      </c>
      <c r="AR115" s="3277" t="s">
        <v>2791</v>
      </c>
      <c r="AS115" s="3277" t="s">
        <v>3082</v>
      </c>
    </row>
    <row r="116" spans="1:45">
      <c r="A116" s="3284" t="s">
        <v>3331</v>
      </c>
      <c r="B116" s="3284" t="s">
        <v>3056</v>
      </c>
      <c r="C116" s="3284" t="s">
        <v>3057</v>
      </c>
      <c r="D116" s="3284" t="s">
        <v>3058</v>
      </c>
      <c r="E116" s="3284" t="s">
        <v>2791</v>
      </c>
      <c r="F116" s="3284" t="s">
        <v>3331</v>
      </c>
      <c r="G116" s="3284" t="s">
        <v>3059</v>
      </c>
      <c r="H116" s="3284" t="s">
        <v>3332</v>
      </c>
      <c r="I116" s="3284" t="s">
        <v>3099</v>
      </c>
      <c r="J116" s="3284">
        <v>2227.88</v>
      </c>
      <c r="K116" s="3284">
        <v>4901.34</v>
      </c>
      <c r="L116" s="3284" t="s">
        <v>3185</v>
      </c>
      <c r="M116" s="3284" t="s">
        <v>2791</v>
      </c>
      <c r="N116" s="3284" t="s">
        <v>3333</v>
      </c>
      <c r="O116" s="3284" t="s">
        <v>3334</v>
      </c>
      <c r="P116" s="3284" t="s">
        <v>2791</v>
      </c>
      <c r="Q116" s="3284" t="s">
        <v>2791</v>
      </c>
      <c r="R116" s="3284" t="s">
        <v>2791</v>
      </c>
      <c r="S116" s="3284" t="s">
        <v>2791</v>
      </c>
      <c r="T116" s="3284" t="s">
        <v>2791</v>
      </c>
      <c r="U116" s="3284" t="s">
        <v>2791</v>
      </c>
      <c r="V116" s="3284" t="s">
        <v>2791</v>
      </c>
      <c r="W116" s="3284" t="s">
        <v>3263</v>
      </c>
      <c r="X116" s="3284" t="s">
        <v>3335</v>
      </c>
      <c r="Y116" s="3284" t="s">
        <v>3336</v>
      </c>
      <c r="Z116" s="3284" t="s">
        <v>3336</v>
      </c>
      <c r="AA116" s="3284" t="s">
        <v>3336</v>
      </c>
      <c r="AB116" s="3284" t="s">
        <v>3337</v>
      </c>
      <c r="AC116" s="3284" t="s">
        <v>3088</v>
      </c>
      <c r="AD116" s="3284" t="s">
        <v>3338</v>
      </c>
      <c r="AE116" s="3284">
        <v>220</v>
      </c>
      <c r="AF116" s="3284">
        <v>220</v>
      </c>
      <c r="AG116" s="3284">
        <v>220</v>
      </c>
      <c r="AH116" s="3284">
        <v>65.83</v>
      </c>
      <c r="AI116" s="3284">
        <v>65.83</v>
      </c>
      <c r="AJ116" s="3284">
        <v>448.85</v>
      </c>
      <c r="AK116" s="3284">
        <v>448.86</v>
      </c>
      <c r="AL116" s="3284" t="s">
        <v>2791</v>
      </c>
      <c r="AM116" s="3284" t="s">
        <v>2791</v>
      </c>
      <c r="AN116" s="3284">
        <v>0</v>
      </c>
      <c r="AO116" s="3284" t="s">
        <v>3063</v>
      </c>
      <c r="AP116" s="3284" t="s">
        <v>2791</v>
      </c>
      <c r="AQ116" s="3284" t="s">
        <v>2791</v>
      </c>
      <c r="AR116" s="3284" t="s">
        <v>2791</v>
      </c>
      <c r="AS116" s="3284" t="s">
        <v>3082</v>
      </c>
    </row>
    <row r="117" spans="1:45" s="3278" customFormat="1" hidden="1">
      <c r="A117" s="3277" t="s">
        <v>3311</v>
      </c>
      <c r="B117" s="3277" t="s">
        <v>3056</v>
      </c>
      <c r="C117" s="3277" t="s">
        <v>3057</v>
      </c>
      <c r="D117" s="3277" t="s">
        <v>3058</v>
      </c>
      <c r="E117" s="3277" t="s">
        <v>2791</v>
      </c>
      <c r="F117" s="3277" t="s">
        <v>3311</v>
      </c>
      <c r="G117" s="3277" t="s">
        <v>3059</v>
      </c>
      <c r="H117" s="3277" t="s">
        <v>3339</v>
      </c>
      <c r="I117" s="3277" t="s">
        <v>3099</v>
      </c>
      <c r="J117" s="3277">
        <v>56686.720000000001</v>
      </c>
      <c r="K117" s="3277">
        <v>68024.06</v>
      </c>
      <c r="L117" s="3277" t="s">
        <v>3070</v>
      </c>
      <c r="M117" s="3277" t="s">
        <v>2791</v>
      </c>
      <c r="N117" s="3277" t="s">
        <v>3071</v>
      </c>
      <c r="O117" s="3277" t="s">
        <v>3073</v>
      </c>
      <c r="P117" s="3277" t="s">
        <v>2791</v>
      </c>
      <c r="Q117" s="3277" t="s">
        <v>2791</v>
      </c>
      <c r="R117" s="3277" t="s">
        <v>2791</v>
      </c>
      <c r="S117" s="3277" t="s">
        <v>2791</v>
      </c>
      <c r="T117" s="3277" t="s">
        <v>2791</v>
      </c>
      <c r="U117" s="3277" t="s">
        <v>2791</v>
      </c>
      <c r="V117" s="3277" t="s">
        <v>2791</v>
      </c>
      <c r="W117" s="3277" t="s">
        <v>3263</v>
      </c>
      <c r="X117" s="3277" t="s">
        <v>3340</v>
      </c>
      <c r="Y117" s="3277" t="s">
        <v>3341</v>
      </c>
      <c r="Z117" s="3277" t="s">
        <v>3341</v>
      </c>
      <c r="AA117" s="3277" t="s">
        <v>3341</v>
      </c>
      <c r="AB117" s="3277" t="s">
        <v>3342</v>
      </c>
      <c r="AC117" s="3277" t="s">
        <v>3088</v>
      </c>
      <c r="AD117" s="3277" t="s">
        <v>3104</v>
      </c>
      <c r="AE117" s="3277">
        <v>13600</v>
      </c>
      <c r="AF117" s="3277">
        <v>13600</v>
      </c>
      <c r="AG117" s="3277">
        <v>13600</v>
      </c>
      <c r="AH117" s="3277">
        <v>159.94</v>
      </c>
      <c r="AI117" s="3277">
        <v>159.94</v>
      </c>
      <c r="AJ117" s="3277">
        <v>1999.29</v>
      </c>
      <c r="AK117" s="3277">
        <v>1999.28</v>
      </c>
      <c r="AL117" s="3277" t="s">
        <v>2791</v>
      </c>
      <c r="AM117" s="3277" t="s">
        <v>2791</v>
      </c>
      <c r="AN117" s="3277">
        <v>0</v>
      </c>
      <c r="AO117" s="3277" t="s">
        <v>3063</v>
      </c>
      <c r="AP117" s="3277" t="s">
        <v>2791</v>
      </c>
      <c r="AQ117" s="3277" t="s">
        <v>2791</v>
      </c>
      <c r="AR117" s="3277" t="s">
        <v>2791</v>
      </c>
      <c r="AS117" s="3277" t="s">
        <v>3082</v>
      </c>
    </row>
    <row r="118" spans="1:45" s="3278" customFormat="1" hidden="1">
      <c r="A118" s="3277" t="s">
        <v>3311</v>
      </c>
      <c r="B118" s="3277" t="s">
        <v>3056</v>
      </c>
      <c r="C118" s="3277" t="s">
        <v>3057</v>
      </c>
      <c r="D118" s="3277" t="s">
        <v>3058</v>
      </c>
      <c r="E118" s="3277" t="s">
        <v>2791</v>
      </c>
      <c r="F118" s="3277" t="s">
        <v>3311</v>
      </c>
      <c r="G118" s="3277" t="s">
        <v>3301</v>
      </c>
      <c r="H118" s="3277" t="s">
        <v>3343</v>
      </c>
      <c r="I118" s="3277" t="s">
        <v>3099</v>
      </c>
      <c r="J118" s="3277">
        <v>66947.81</v>
      </c>
      <c r="K118" s="3277">
        <v>68286.77</v>
      </c>
      <c r="L118" s="3277" t="s">
        <v>3160</v>
      </c>
      <c r="M118" s="3277" t="s">
        <v>2791</v>
      </c>
      <c r="N118" s="3277" t="s">
        <v>3071</v>
      </c>
      <c r="O118" s="3277" t="s">
        <v>3309</v>
      </c>
      <c r="P118" s="3277" t="s">
        <v>2791</v>
      </c>
      <c r="Q118" s="3277" t="s">
        <v>2791</v>
      </c>
      <c r="R118" s="3277" t="s">
        <v>2791</v>
      </c>
      <c r="S118" s="3277" t="s">
        <v>2791</v>
      </c>
      <c r="T118" s="3277" t="s">
        <v>2791</v>
      </c>
      <c r="U118" s="3277" t="s">
        <v>2791</v>
      </c>
      <c r="V118" s="3277" t="s">
        <v>2791</v>
      </c>
      <c r="W118" s="3277" t="s">
        <v>3263</v>
      </c>
      <c r="X118" s="3277" t="s">
        <v>3340</v>
      </c>
      <c r="Y118" s="3277" t="s">
        <v>3341</v>
      </c>
      <c r="Z118" s="3277" t="s">
        <v>3341</v>
      </c>
      <c r="AA118" s="3277" t="s">
        <v>3341</v>
      </c>
      <c r="AB118" s="3277" t="s">
        <v>3342</v>
      </c>
      <c r="AC118" s="3277" t="s">
        <v>3088</v>
      </c>
      <c r="AD118" s="3277" t="s">
        <v>3104</v>
      </c>
      <c r="AE118" s="3277">
        <v>13658</v>
      </c>
      <c r="AF118" s="3277">
        <v>13658</v>
      </c>
      <c r="AG118" s="3277">
        <v>13658</v>
      </c>
      <c r="AH118" s="3277">
        <v>136.01</v>
      </c>
      <c r="AI118" s="3277">
        <v>136.01</v>
      </c>
      <c r="AJ118" s="3277">
        <v>2000.09</v>
      </c>
      <c r="AK118" s="3277">
        <v>2000.08</v>
      </c>
      <c r="AL118" s="3277" t="s">
        <v>2791</v>
      </c>
      <c r="AM118" s="3277" t="s">
        <v>2791</v>
      </c>
      <c r="AN118" s="3277">
        <v>0</v>
      </c>
      <c r="AO118" s="3277" t="s">
        <v>3063</v>
      </c>
      <c r="AP118" s="3277" t="s">
        <v>2791</v>
      </c>
      <c r="AQ118" s="3277" t="s">
        <v>2791</v>
      </c>
      <c r="AR118" s="3277" t="s">
        <v>2791</v>
      </c>
      <c r="AS118" s="3277" t="s">
        <v>3082</v>
      </c>
    </row>
    <row r="119" spans="1:45" s="3278" customFormat="1" hidden="1">
      <c r="A119" s="3277" t="s">
        <v>3311</v>
      </c>
      <c r="B119" s="3277" t="s">
        <v>3056</v>
      </c>
      <c r="C119" s="3277" t="s">
        <v>3057</v>
      </c>
      <c r="D119" s="3277" t="s">
        <v>3058</v>
      </c>
      <c r="E119" s="3277" t="s">
        <v>2791</v>
      </c>
      <c r="F119" s="3277" t="s">
        <v>3311</v>
      </c>
      <c r="G119" s="3277" t="s">
        <v>3301</v>
      </c>
      <c r="H119" s="3277" t="s">
        <v>3344</v>
      </c>
      <c r="I119" s="3277" t="s">
        <v>3099</v>
      </c>
      <c r="J119" s="3277">
        <v>11516.72</v>
      </c>
      <c r="K119" s="3277">
        <v>11747.05</v>
      </c>
      <c r="L119" s="3277" t="s">
        <v>3160</v>
      </c>
      <c r="M119" s="3277" t="s">
        <v>2791</v>
      </c>
      <c r="N119" s="3277" t="s">
        <v>3071</v>
      </c>
      <c r="O119" s="3277" t="s">
        <v>3309</v>
      </c>
      <c r="P119" s="3277" t="s">
        <v>2791</v>
      </c>
      <c r="Q119" s="3277" t="s">
        <v>2791</v>
      </c>
      <c r="R119" s="3277" t="s">
        <v>2791</v>
      </c>
      <c r="S119" s="3277" t="s">
        <v>2791</v>
      </c>
      <c r="T119" s="3277" t="s">
        <v>2791</v>
      </c>
      <c r="U119" s="3277" t="s">
        <v>2791</v>
      </c>
      <c r="V119" s="3277" t="s">
        <v>2791</v>
      </c>
      <c r="W119" s="3277" t="s">
        <v>3263</v>
      </c>
      <c r="X119" s="3277" t="s">
        <v>3340</v>
      </c>
      <c r="Y119" s="3277" t="s">
        <v>3341</v>
      </c>
      <c r="Z119" s="3277" t="s">
        <v>3341</v>
      </c>
      <c r="AA119" s="3277" t="s">
        <v>3341</v>
      </c>
      <c r="AB119" s="3277" t="s">
        <v>3342</v>
      </c>
      <c r="AC119" s="3277" t="s">
        <v>3088</v>
      </c>
      <c r="AD119" s="3277" t="s">
        <v>3104</v>
      </c>
      <c r="AE119" s="3277">
        <v>2350</v>
      </c>
      <c r="AF119" s="3277">
        <v>2350</v>
      </c>
      <c r="AG119" s="3277">
        <v>2350</v>
      </c>
      <c r="AH119" s="3277">
        <v>136.03</v>
      </c>
      <c r="AI119" s="3277">
        <v>136.03</v>
      </c>
      <c r="AJ119" s="3277">
        <v>2000.5</v>
      </c>
      <c r="AK119" s="3277">
        <v>2000.5</v>
      </c>
      <c r="AL119" s="3277" t="s">
        <v>2791</v>
      </c>
      <c r="AM119" s="3277" t="s">
        <v>2791</v>
      </c>
      <c r="AN119" s="3277">
        <v>0</v>
      </c>
      <c r="AO119" s="3277" t="s">
        <v>3063</v>
      </c>
      <c r="AP119" s="3277" t="s">
        <v>2791</v>
      </c>
      <c r="AQ119" s="3277" t="s">
        <v>2791</v>
      </c>
      <c r="AR119" s="3277" t="s">
        <v>2791</v>
      </c>
      <c r="AS119" s="3277" t="s">
        <v>3082</v>
      </c>
    </row>
    <row r="120" spans="1:45" s="3278" customFormat="1" hidden="1">
      <c r="A120" s="3277" t="s">
        <v>3311</v>
      </c>
      <c r="B120" s="3277" t="s">
        <v>3056</v>
      </c>
      <c r="C120" s="3277" t="s">
        <v>3057</v>
      </c>
      <c r="D120" s="3277" t="s">
        <v>3058</v>
      </c>
      <c r="E120" s="3277" t="s">
        <v>2791</v>
      </c>
      <c r="F120" s="3277" t="s">
        <v>3311</v>
      </c>
      <c r="G120" s="3277" t="s">
        <v>3059</v>
      </c>
      <c r="H120" s="3277" t="s">
        <v>3345</v>
      </c>
      <c r="I120" s="3277" t="s">
        <v>3099</v>
      </c>
      <c r="J120" s="3277">
        <v>35794.269999999997</v>
      </c>
      <c r="K120" s="3277">
        <v>42953.120000000003</v>
      </c>
      <c r="L120" s="3277" t="s">
        <v>3070</v>
      </c>
      <c r="M120" s="3277" t="s">
        <v>2791</v>
      </c>
      <c r="N120" s="3277" t="s">
        <v>3071</v>
      </c>
      <c r="O120" s="3277" t="s">
        <v>3073</v>
      </c>
      <c r="P120" s="3277" t="s">
        <v>2791</v>
      </c>
      <c r="Q120" s="3277" t="s">
        <v>2791</v>
      </c>
      <c r="R120" s="3277" t="s">
        <v>2791</v>
      </c>
      <c r="S120" s="3277" t="s">
        <v>2791</v>
      </c>
      <c r="T120" s="3277" t="s">
        <v>2791</v>
      </c>
      <c r="U120" s="3277" t="s">
        <v>2791</v>
      </c>
      <c r="V120" s="3277" t="s">
        <v>2791</v>
      </c>
      <c r="W120" s="3277" t="s">
        <v>3263</v>
      </c>
      <c r="X120" s="3277" t="s">
        <v>3340</v>
      </c>
      <c r="Y120" s="3277" t="s">
        <v>3341</v>
      </c>
      <c r="Z120" s="3277" t="s">
        <v>3341</v>
      </c>
      <c r="AA120" s="3277" t="s">
        <v>3341</v>
      </c>
      <c r="AB120" s="3277" t="s">
        <v>3342</v>
      </c>
      <c r="AC120" s="3277" t="s">
        <v>3088</v>
      </c>
      <c r="AD120" s="3277" t="s">
        <v>3104</v>
      </c>
      <c r="AE120" s="3277">
        <v>8590</v>
      </c>
      <c r="AF120" s="3277">
        <v>8590</v>
      </c>
      <c r="AG120" s="3277">
        <v>8590</v>
      </c>
      <c r="AH120" s="3277">
        <v>159.99</v>
      </c>
      <c r="AI120" s="3277">
        <v>159.99</v>
      </c>
      <c r="AJ120" s="3277">
        <v>1999.85</v>
      </c>
      <c r="AK120" s="3277">
        <v>1999.84</v>
      </c>
      <c r="AL120" s="3277" t="s">
        <v>2791</v>
      </c>
      <c r="AM120" s="3277" t="s">
        <v>2791</v>
      </c>
      <c r="AN120" s="3277">
        <v>0</v>
      </c>
      <c r="AO120" s="3277" t="s">
        <v>3063</v>
      </c>
      <c r="AP120" s="3277" t="s">
        <v>2791</v>
      </c>
      <c r="AQ120" s="3277" t="s">
        <v>2791</v>
      </c>
      <c r="AR120" s="3277" t="s">
        <v>2791</v>
      </c>
      <c r="AS120" s="3277" t="s">
        <v>3082</v>
      </c>
    </row>
    <row r="121" spans="1:45" s="3278" customFormat="1" hidden="1">
      <c r="A121" s="3277" t="s">
        <v>3346</v>
      </c>
      <c r="B121" s="3277" t="s">
        <v>3056</v>
      </c>
      <c r="C121" s="3277" t="s">
        <v>3057</v>
      </c>
      <c r="D121" s="3277" t="s">
        <v>3058</v>
      </c>
      <c r="E121" s="3277" t="s">
        <v>2791</v>
      </c>
      <c r="F121" s="3277" t="s">
        <v>3346</v>
      </c>
      <c r="G121" s="3277" t="s">
        <v>3059</v>
      </c>
      <c r="H121" s="3277" t="s">
        <v>3347</v>
      </c>
      <c r="I121" s="3277" t="s">
        <v>3099</v>
      </c>
      <c r="J121" s="3277">
        <v>69342.98</v>
      </c>
      <c r="K121" s="3277">
        <v>152554.56</v>
      </c>
      <c r="L121" s="3277" t="s">
        <v>3348</v>
      </c>
      <c r="M121" s="3277" t="s">
        <v>2791</v>
      </c>
      <c r="N121" s="3277" t="s">
        <v>3061</v>
      </c>
      <c r="O121" s="3277" t="s">
        <v>3349</v>
      </c>
      <c r="P121" s="3277" t="s">
        <v>2791</v>
      </c>
      <c r="Q121" s="3277" t="s">
        <v>2791</v>
      </c>
      <c r="R121" s="3277" t="s">
        <v>2791</v>
      </c>
      <c r="S121" s="3277" t="s">
        <v>2791</v>
      </c>
      <c r="T121" s="3277" t="s">
        <v>2791</v>
      </c>
      <c r="U121" s="3277" t="s">
        <v>2791</v>
      </c>
      <c r="V121" s="3277" t="s">
        <v>2791</v>
      </c>
      <c r="W121" s="3277" t="s">
        <v>3263</v>
      </c>
      <c r="X121" s="3277" t="s">
        <v>3350</v>
      </c>
      <c r="Y121" s="3277" t="s">
        <v>3351</v>
      </c>
      <c r="Z121" s="3277" t="s">
        <v>3351</v>
      </c>
      <c r="AA121" s="3277" t="s">
        <v>3351</v>
      </c>
      <c r="AB121" s="3277" t="s">
        <v>3352</v>
      </c>
      <c r="AC121" s="3277" t="s">
        <v>3088</v>
      </c>
      <c r="AD121" s="3277" t="s">
        <v>3353</v>
      </c>
      <c r="AE121" s="3277">
        <v>19480</v>
      </c>
      <c r="AF121" s="3277">
        <v>20575</v>
      </c>
      <c r="AG121" s="3277">
        <v>20575</v>
      </c>
      <c r="AH121" s="3277">
        <v>197.81</v>
      </c>
      <c r="AI121" s="3277">
        <v>197.81</v>
      </c>
      <c r="AJ121" s="3277">
        <v>1348.69</v>
      </c>
      <c r="AK121" s="3277">
        <v>1348.7</v>
      </c>
      <c r="AL121" s="3277" t="s">
        <v>2791</v>
      </c>
      <c r="AM121" s="3277" t="s">
        <v>2791</v>
      </c>
      <c r="AN121" s="3277">
        <v>0</v>
      </c>
      <c r="AO121" s="3277" t="s">
        <v>3063</v>
      </c>
      <c r="AP121" s="3277" t="s">
        <v>2791</v>
      </c>
      <c r="AQ121" s="3277" t="s">
        <v>2791</v>
      </c>
      <c r="AR121" s="3277" t="s">
        <v>2791</v>
      </c>
      <c r="AS121" s="3277" t="s">
        <v>3146</v>
      </c>
    </row>
    <row r="122" spans="1:45" s="3278" customFormat="1" hidden="1">
      <c r="A122" s="3277" t="s">
        <v>3346</v>
      </c>
      <c r="B122" s="3277" t="s">
        <v>3056</v>
      </c>
      <c r="C122" s="3277" t="s">
        <v>3057</v>
      </c>
      <c r="D122" s="3277" t="s">
        <v>3058</v>
      </c>
      <c r="E122" s="3277" t="s">
        <v>2791</v>
      </c>
      <c r="F122" s="3277" t="s">
        <v>3346</v>
      </c>
      <c r="G122" s="3277" t="s">
        <v>3059</v>
      </c>
      <c r="H122" s="3277" t="s">
        <v>3354</v>
      </c>
      <c r="I122" s="3277" t="s">
        <v>3099</v>
      </c>
      <c r="J122" s="3277">
        <v>69408.25</v>
      </c>
      <c r="K122" s="3277">
        <v>152698.15</v>
      </c>
      <c r="L122" s="3277" t="s">
        <v>3348</v>
      </c>
      <c r="M122" s="3277" t="s">
        <v>2791</v>
      </c>
      <c r="N122" s="3277" t="s">
        <v>3061</v>
      </c>
      <c r="O122" s="3277" t="s">
        <v>3349</v>
      </c>
      <c r="P122" s="3277" t="s">
        <v>2791</v>
      </c>
      <c r="Q122" s="3277" t="s">
        <v>2791</v>
      </c>
      <c r="R122" s="3277" t="s">
        <v>2791</v>
      </c>
      <c r="S122" s="3277" t="s">
        <v>2791</v>
      </c>
      <c r="T122" s="3277" t="s">
        <v>2791</v>
      </c>
      <c r="U122" s="3277" t="s">
        <v>2791</v>
      </c>
      <c r="V122" s="3277" t="s">
        <v>2791</v>
      </c>
      <c r="W122" s="3277" t="s">
        <v>3263</v>
      </c>
      <c r="X122" s="3277" t="s">
        <v>3350</v>
      </c>
      <c r="Y122" s="3277" t="s">
        <v>3351</v>
      </c>
      <c r="Z122" s="3277" t="s">
        <v>3351</v>
      </c>
      <c r="AA122" s="3277" t="s">
        <v>3351</v>
      </c>
      <c r="AB122" s="3277" t="s">
        <v>3352</v>
      </c>
      <c r="AC122" s="3277" t="s">
        <v>3088</v>
      </c>
      <c r="AD122" s="3277" t="s">
        <v>3353</v>
      </c>
      <c r="AE122" s="3277">
        <v>21322</v>
      </c>
      <c r="AF122" s="3277">
        <v>22128</v>
      </c>
      <c r="AG122" s="3277">
        <v>22138</v>
      </c>
      <c r="AH122" s="3277">
        <v>212.54</v>
      </c>
      <c r="AI122" s="3277">
        <v>212.64</v>
      </c>
      <c r="AJ122" s="3277">
        <v>1449.13</v>
      </c>
      <c r="AK122" s="3277">
        <v>1449.78</v>
      </c>
      <c r="AL122" s="3277" t="s">
        <v>2791</v>
      </c>
      <c r="AM122" s="3277" t="s">
        <v>2791</v>
      </c>
      <c r="AN122" s="3277">
        <v>0.05</v>
      </c>
      <c r="AO122" s="3277" t="s">
        <v>3063</v>
      </c>
      <c r="AP122" s="3277" t="s">
        <v>2791</v>
      </c>
      <c r="AQ122" s="3277" t="s">
        <v>2791</v>
      </c>
      <c r="AR122" s="3277" t="s">
        <v>2791</v>
      </c>
      <c r="AS122" s="3277" t="s">
        <v>3129</v>
      </c>
    </row>
    <row r="123" spans="1:45" s="3333" customFormat="1">
      <c r="A123" s="3332" t="s">
        <v>3356</v>
      </c>
      <c r="B123" s="3332" t="s">
        <v>3056</v>
      </c>
      <c r="C123" s="3332" t="s">
        <v>3057</v>
      </c>
      <c r="D123" s="3332" t="s">
        <v>3058</v>
      </c>
      <c r="E123" s="3332" t="s">
        <v>2791</v>
      </c>
      <c r="F123" s="3332" t="s">
        <v>3356</v>
      </c>
      <c r="G123" s="3332" t="s">
        <v>3059</v>
      </c>
      <c r="H123" s="3332" t="s">
        <v>3357</v>
      </c>
      <c r="I123" s="3332" t="s">
        <v>3099</v>
      </c>
      <c r="J123" s="3332">
        <v>38933.61</v>
      </c>
      <c r="K123" s="3332">
        <v>77867.22</v>
      </c>
      <c r="L123" s="3332" t="s">
        <v>3194</v>
      </c>
      <c r="M123" s="3332" t="s">
        <v>2791</v>
      </c>
      <c r="N123" s="3332" t="s">
        <v>3108</v>
      </c>
      <c r="O123" s="3332" t="s">
        <v>3078</v>
      </c>
      <c r="P123" s="3332" t="s">
        <v>2791</v>
      </c>
      <c r="Q123" s="3332" t="s">
        <v>2791</v>
      </c>
      <c r="R123" s="3332" t="s">
        <v>2791</v>
      </c>
      <c r="S123" s="3332" t="s">
        <v>2791</v>
      </c>
      <c r="T123" s="3332" t="s">
        <v>2791</v>
      </c>
      <c r="U123" s="3332" t="s">
        <v>2791</v>
      </c>
      <c r="V123" s="3332" t="s">
        <v>2791</v>
      </c>
      <c r="W123" s="3332" t="s">
        <v>3263</v>
      </c>
      <c r="X123" s="3332" t="s">
        <v>3358</v>
      </c>
      <c r="Y123" s="3332" t="s">
        <v>3355</v>
      </c>
      <c r="Z123" s="3332" t="s">
        <v>3355</v>
      </c>
      <c r="AA123" s="3332" t="s">
        <v>3355</v>
      </c>
      <c r="AB123" s="3332" t="s">
        <v>3359</v>
      </c>
      <c r="AC123" s="3332" t="s">
        <v>3088</v>
      </c>
      <c r="AD123" s="3332" t="s">
        <v>3280</v>
      </c>
      <c r="AE123" s="3332">
        <v>6455</v>
      </c>
      <c r="AF123" s="3332">
        <v>12910</v>
      </c>
      <c r="AG123" s="3332">
        <v>12910</v>
      </c>
      <c r="AH123" s="3332">
        <v>221.06</v>
      </c>
      <c r="AI123" s="3332">
        <v>221.06</v>
      </c>
      <c r="AJ123" s="3332">
        <v>1657.95</v>
      </c>
      <c r="AK123" s="3332">
        <v>1657.95</v>
      </c>
      <c r="AL123" s="3332" t="s">
        <v>2791</v>
      </c>
      <c r="AM123" s="3332" t="s">
        <v>2791</v>
      </c>
      <c r="AN123" s="3332">
        <v>0</v>
      </c>
      <c r="AO123" s="3332" t="s">
        <v>3063</v>
      </c>
      <c r="AP123" s="3332" t="s">
        <v>2791</v>
      </c>
      <c r="AQ123" s="3332" t="s">
        <v>2791</v>
      </c>
      <c r="AR123" s="3332" t="s">
        <v>2791</v>
      </c>
      <c r="AS123" s="3332" t="s">
        <v>3129</v>
      </c>
    </row>
    <row r="124" spans="1:45">
      <c r="A124" s="3284" t="s">
        <v>3356</v>
      </c>
      <c r="B124" s="3284" t="s">
        <v>3056</v>
      </c>
      <c r="C124" s="3284" t="s">
        <v>3057</v>
      </c>
      <c r="D124" s="3284" t="s">
        <v>3058</v>
      </c>
      <c r="E124" s="3284" t="s">
        <v>2791</v>
      </c>
      <c r="F124" s="3284" t="s">
        <v>3356</v>
      </c>
      <c r="G124" s="3284" t="s">
        <v>3059</v>
      </c>
      <c r="H124" s="3284" t="s">
        <v>3360</v>
      </c>
      <c r="I124" s="3284" t="s">
        <v>3099</v>
      </c>
      <c r="J124" s="3284">
        <v>54721.24</v>
      </c>
      <c r="K124" s="3284">
        <v>147747.35</v>
      </c>
      <c r="L124" s="3284" t="s">
        <v>3279</v>
      </c>
      <c r="M124" s="3284" t="s">
        <v>2791</v>
      </c>
      <c r="N124" s="3284" t="s">
        <v>3108</v>
      </c>
      <c r="O124" s="3284" t="s">
        <v>3078</v>
      </c>
      <c r="P124" s="3284" t="s">
        <v>2791</v>
      </c>
      <c r="Q124" s="3284" t="s">
        <v>2791</v>
      </c>
      <c r="R124" s="3284" t="s">
        <v>2791</v>
      </c>
      <c r="S124" s="3284" t="s">
        <v>2791</v>
      </c>
      <c r="T124" s="3284" t="s">
        <v>2791</v>
      </c>
      <c r="U124" s="3284" t="s">
        <v>2791</v>
      </c>
      <c r="V124" s="3284" t="s">
        <v>2791</v>
      </c>
      <c r="W124" s="3284" t="s">
        <v>3263</v>
      </c>
      <c r="X124" s="3284" t="s">
        <v>3358</v>
      </c>
      <c r="Y124" s="3284" t="s">
        <v>3355</v>
      </c>
      <c r="Z124" s="3284" t="s">
        <v>3355</v>
      </c>
      <c r="AA124" s="3284" t="s">
        <v>3355</v>
      </c>
      <c r="AB124" s="3284" t="s">
        <v>3359</v>
      </c>
      <c r="AC124" s="3284" t="s">
        <v>3088</v>
      </c>
      <c r="AD124" s="3284" t="s">
        <v>3280</v>
      </c>
      <c r="AE124" s="3284">
        <v>9075</v>
      </c>
      <c r="AF124" s="3284">
        <v>18150</v>
      </c>
      <c r="AG124" s="3284">
        <v>18150</v>
      </c>
      <c r="AH124" s="3284">
        <v>221.12</v>
      </c>
      <c r="AI124" s="3284">
        <v>221.12</v>
      </c>
      <c r="AJ124" s="3284">
        <v>1228.44</v>
      </c>
      <c r="AK124" s="3284">
        <v>1228.45</v>
      </c>
      <c r="AL124" s="3284" t="s">
        <v>2791</v>
      </c>
      <c r="AM124" s="3284" t="s">
        <v>2791</v>
      </c>
      <c r="AN124" s="3284">
        <v>0</v>
      </c>
      <c r="AO124" s="3284" t="s">
        <v>3063</v>
      </c>
      <c r="AP124" s="3284" t="s">
        <v>2791</v>
      </c>
      <c r="AQ124" s="3284" t="s">
        <v>2791</v>
      </c>
      <c r="AR124" s="3284" t="s">
        <v>2791</v>
      </c>
      <c r="AS124" s="3284" t="s">
        <v>3081</v>
      </c>
    </row>
    <row r="125" spans="1:45">
      <c r="A125" s="3284" t="s">
        <v>3356</v>
      </c>
      <c r="B125" s="3284" t="s">
        <v>3056</v>
      </c>
      <c r="C125" s="3284" t="s">
        <v>3057</v>
      </c>
      <c r="D125" s="3284" t="s">
        <v>3058</v>
      </c>
      <c r="E125" s="3284" t="s">
        <v>2791</v>
      </c>
      <c r="F125" s="3284" t="s">
        <v>3356</v>
      </c>
      <c r="G125" s="3284" t="s">
        <v>3059</v>
      </c>
      <c r="H125" s="3284" t="s">
        <v>3361</v>
      </c>
      <c r="I125" s="3284" t="s">
        <v>3099</v>
      </c>
      <c r="J125" s="3284">
        <v>41901.51</v>
      </c>
      <c r="K125" s="3284">
        <v>83803.02</v>
      </c>
      <c r="L125" s="3284" t="s">
        <v>3194</v>
      </c>
      <c r="M125" s="3284" t="s">
        <v>2791</v>
      </c>
      <c r="N125" s="3284" t="s">
        <v>3108</v>
      </c>
      <c r="O125" s="3284" t="s">
        <v>3078</v>
      </c>
      <c r="P125" s="3284" t="s">
        <v>2791</v>
      </c>
      <c r="Q125" s="3284" t="s">
        <v>2791</v>
      </c>
      <c r="R125" s="3284" t="s">
        <v>2791</v>
      </c>
      <c r="S125" s="3284" t="s">
        <v>2791</v>
      </c>
      <c r="T125" s="3284" t="s">
        <v>2791</v>
      </c>
      <c r="U125" s="3284" t="s">
        <v>2791</v>
      </c>
      <c r="V125" s="3284" t="s">
        <v>2791</v>
      </c>
      <c r="W125" s="3284" t="s">
        <v>3263</v>
      </c>
      <c r="X125" s="3284" t="s">
        <v>3358</v>
      </c>
      <c r="Y125" s="3284" t="s">
        <v>3355</v>
      </c>
      <c r="Z125" s="3284" t="s">
        <v>3355</v>
      </c>
      <c r="AA125" s="3284" t="s">
        <v>3355</v>
      </c>
      <c r="AB125" s="3284" t="s">
        <v>3359</v>
      </c>
      <c r="AC125" s="3284" t="s">
        <v>3088</v>
      </c>
      <c r="AD125" s="3284" t="s">
        <v>3280</v>
      </c>
      <c r="AE125" s="3284">
        <v>6945</v>
      </c>
      <c r="AF125" s="3284">
        <v>13890</v>
      </c>
      <c r="AG125" s="3284">
        <v>13890</v>
      </c>
      <c r="AH125" s="3284">
        <v>220.99</v>
      </c>
      <c r="AI125" s="3284">
        <v>220.99</v>
      </c>
      <c r="AJ125" s="3284">
        <v>1657.45</v>
      </c>
      <c r="AK125" s="3284">
        <v>1657.46</v>
      </c>
      <c r="AL125" s="3284" t="s">
        <v>2791</v>
      </c>
      <c r="AM125" s="3284" t="s">
        <v>2791</v>
      </c>
      <c r="AN125" s="3284">
        <v>0</v>
      </c>
      <c r="AO125" s="3284" t="s">
        <v>3063</v>
      </c>
      <c r="AP125" s="3284" t="s">
        <v>2791</v>
      </c>
      <c r="AQ125" s="3284" t="s">
        <v>2791</v>
      </c>
      <c r="AR125" s="3284" t="s">
        <v>2791</v>
      </c>
      <c r="AS125" s="3284" t="s">
        <v>3129</v>
      </c>
    </row>
    <row r="126" spans="1:45" s="3278" customFormat="1" hidden="1">
      <c r="A126" s="3277" t="s">
        <v>3097</v>
      </c>
      <c r="B126" s="3277" t="s">
        <v>3056</v>
      </c>
      <c r="C126" s="3277" t="s">
        <v>3057</v>
      </c>
      <c r="D126" s="3277" t="s">
        <v>3058</v>
      </c>
      <c r="E126" s="3277" t="s">
        <v>2791</v>
      </c>
      <c r="F126" s="3277" t="s">
        <v>3097</v>
      </c>
      <c r="G126" s="3277" t="s">
        <v>3059</v>
      </c>
      <c r="H126" s="3277" t="s">
        <v>3362</v>
      </c>
      <c r="I126" s="3277" t="s">
        <v>3099</v>
      </c>
      <c r="J126" s="3277">
        <v>64860.33</v>
      </c>
      <c r="K126" s="3277">
        <v>64860.33</v>
      </c>
      <c r="L126" s="3277" t="s">
        <v>3363</v>
      </c>
      <c r="M126" s="3277" t="s">
        <v>2791</v>
      </c>
      <c r="N126" s="3277" t="s">
        <v>3071</v>
      </c>
      <c r="O126" s="3277" t="s">
        <v>3072</v>
      </c>
      <c r="P126" s="3277" t="s">
        <v>2791</v>
      </c>
      <c r="Q126" s="3277" t="s">
        <v>2791</v>
      </c>
      <c r="R126" s="3277" t="s">
        <v>2791</v>
      </c>
      <c r="S126" s="3277" t="s">
        <v>2791</v>
      </c>
      <c r="T126" s="3277" t="s">
        <v>2791</v>
      </c>
      <c r="U126" s="3277" t="s">
        <v>2791</v>
      </c>
      <c r="V126" s="3277" t="s">
        <v>2791</v>
      </c>
      <c r="W126" s="3277" t="s">
        <v>3263</v>
      </c>
      <c r="X126" s="3277" t="s">
        <v>3364</v>
      </c>
      <c r="Y126" s="3277" t="s">
        <v>3365</v>
      </c>
      <c r="Z126" s="3277" t="s">
        <v>3365</v>
      </c>
      <c r="AA126" s="3277" t="s">
        <v>3365</v>
      </c>
      <c r="AB126" s="3277" t="s">
        <v>3366</v>
      </c>
      <c r="AC126" s="3277" t="s">
        <v>3088</v>
      </c>
      <c r="AD126" s="3277" t="s">
        <v>3367</v>
      </c>
      <c r="AE126" s="3277">
        <v>13000</v>
      </c>
      <c r="AF126" s="3277">
        <v>13000</v>
      </c>
      <c r="AG126" s="3277">
        <v>13000</v>
      </c>
      <c r="AH126" s="3277">
        <v>133.62</v>
      </c>
      <c r="AI126" s="3277">
        <v>133.62</v>
      </c>
      <c r="AJ126" s="3277">
        <v>2004.3</v>
      </c>
      <c r="AK126" s="3277">
        <v>2004.3</v>
      </c>
      <c r="AL126" s="3277" t="s">
        <v>2791</v>
      </c>
      <c r="AM126" s="3277" t="s">
        <v>2791</v>
      </c>
      <c r="AN126" s="3277">
        <v>0</v>
      </c>
      <c r="AO126" s="3277" t="s">
        <v>3063</v>
      </c>
      <c r="AP126" s="3277" t="s">
        <v>2791</v>
      </c>
      <c r="AQ126" s="3277" t="s">
        <v>2791</v>
      </c>
      <c r="AR126" s="3277" t="s">
        <v>2791</v>
      </c>
      <c r="AS126" s="3277" t="s">
        <v>3082</v>
      </c>
    </row>
    <row r="127" spans="1:45" s="3278" customFormat="1" hidden="1">
      <c r="A127" s="3277" t="s">
        <v>3307</v>
      </c>
      <c r="B127" s="3277" t="s">
        <v>3056</v>
      </c>
      <c r="C127" s="3277" t="s">
        <v>3057</v>
      </c>
      <c r="D127" s="3277" t="s">
        <v>3058</v>
      </c>
      <c r="E127" s="3277" t="s">
        <v>2791</v>
      </c>
      <c r="F127" s="3277" t="s">
        <v>3307</v>
      </c>
      <c r="G127" s="3277" t="s">
        <v>3059</v>
      </c>
      <c r="H127" s="3277" t="s">
        <v>3368</v>
      </c>
      <c r="I127" s="3277" t="s">
        <v>3099</v>
      </c>
      <c r="J127" s="3277">
        <v>5534.42</v>
      </c>
      <c r="K127" s="3277">
        <v>5534.42</v>
      </c>
      <c r="L127" s="3277" t="s">
        <v>3369</v>
      </c>
      <c r="M127" s="3277" t="s">
        <v>2791</v>
      </c>
      <c r="N127" s="3277" t="s">
        <v>3071</v>
      </c>
      <c r="O127" s="3277" t="s">
        <v>3072</v>
      </c>
      <c r="P127" s="3277" t="s">
        <v>2791</v>
      </c>
      <c r="Q127" s="3277" t="s">
        <v>2791</v>
      </c>
      <c r="R127" s="3277" t="s">
        <v>2791</v>
      </c>
      <c r="S127" s="3277" t="s">
        <v>2791</v>
      </c>
      <c r="T127" s="3277" t="s">
        <v>2791</v>
      </c>
      <c r="U127" s="3277" t="s">
        <v>2791</v>
      </c>
      <c r="V127" s="3277" t="s">
        <v>2791</v>
      </c>
      <c r="W127" s="3277" t="s">
        <v>3263</v>
      </c>
      <c r="X127" s="3277" t="s">
        <v>3364</v>
      </c>
      <c r="Y127" s="3277" t="s">
        <v>3365</v>
      </c>
      <c r="Z127" s="3277" t="s">
        <v>3365</v>
      </c>
      <c r="AA127" s="3277" t="s">
        <v>3365</v>
      </c>
      <c r="AB127" s="3277" t="s">
        <v>3366</v>
      </c>
      <c r="AC127" s="3277" t="s">
        <v>3088</v>
      </c>
      <c r="AD127" s="3277" t="s">
        <v>3370</v>
      </c>
      <c r="AE127" s="3277">
        <v>1660</v>
      </c>
      <c r="AF127" s="3277">
        <v>1660</v>
      </c>
      <c r="AG127" s="3277">
        <v>1660</v>
      </c>
      <c r="AH127" s="3277">
        <v>199.96</v>
      </c>
      <c r="AI127" s="3277">
        <v>199.96</v>
      </c>
      <c r="AJ127" s="3277">
        <v>2999.41</v>
      </c>
      <c r="AK127" s="3277">
        <v>2999.4</v>
      </c>
      <c r="AL127" s="3277" t="s">
        <v>2791</v>
      </c>
      <c r="AM127" s="3277" t="s">
        <v>2791</v>
      </c>
      <c r="AN127" s="3277">
        <v>0</v>
      </c>
      <c r="AO127" s="3277" t="s">
        <v>3063</v>
      </c>
      <c r="AP127" s="3277" t="s">
        <v>2791</v>
      </c>
      <c r="AQ127" s="3277" t="s">
        <v>2791</v>
      </c>
      <c r="AR127" s="3277" t="s">
        <v>2791</v>
      </c>
      <c r="AS127" s="3277" t="s">
        <v>3082</v>
      </c>
    </row>
    <row r="128" spans="1:45">
      <c r="A128" s="3284" t="s">
        <v>3372</v>
      </c>
      <c r="B128" s="3284" t="s">
        <v>3056</v>
      </c>
      <c r="C128" s="3284" t="s">
        <v>3057</v>
      </c>
      <c r="D128" s="3284" t="s">
        <v>3058</v>
      </c>
      <c r="E128" s="3284" t="s">
        <v>2791</v>
      </c>
      <c r="F128" s="3284" t="s">
        <v>3372</v>
      </c>
      <c r="G128" s="3284" t="s">
        <v>3059</v>
      </c>
      <c r="H128" s="3284" t="s">
        <v>3373</v>
      </c>
      <c r="I128" s="3284" t="s">
        <v>3099</v>
      </c>
      <c r="J128" s="3284">
        <v>13794.5</v>
      </c>
      <c r="K128" s="3284">
        <v>17932.849999999999</v>
      </c>
      <c r="L128" s="3284" t="s">
        <v>3374</v>
      </c>
      <c r="M128" s="3284" t="s">
        <v>2791</v>
      </c>
      <c r="N128" s="3284" t="s">
        <v>3375</v>
      </c>
      <c r="O128" s="3284" t="s">
        <v>3376</v>
      </c>
      <c r="P128" s="3284" t="s">
        <v>2791</v>
      </c>
      <c r="Q128" s="3284" t="s">
        <v>2791</v>
      </c>
      <c r="R128" s="3284" t="s">
        <v>2791</v>
      </c>
      <c r="S128" s="3284" t="s">
        <v>2791</v>
      </c>
      <c r="T128" s="3284" t="s">
        <v>2791</v>
      </c>
      <c r="U128" s="3284" t="s">
        <v>2791</v>
      </c>
      <c r="V128" s="3284" t="s">
        <v>2791</v>
      </c>
      <c r="W128" s="3284" t="s">
        <v>3263</v>
      </c>
      <c r="X128" s="3284" t="s">
        <v>3377</v>
      </c>
      <c r="Y128" s="3284" t="s">
        <v>3378</v>
      </c>
      <c r="Z128" s="3284" t="s">
        <v>3378</v>
      </c>
      <c r="AA128" s="3284" t="s">
        <v>3378</v>
      </c>
      <c r="AB128" s="3284" t="s">
        <v>3379</v>
      </c>
      <c r="AC128" s="3284" t="s">
        <v>3088</v>
      </c>
      <c r="AD128" s="3284" t="s">
        <v>3380</v>
      </c>
      <c r="AE128" s="3284">
        <v>3183</v>
      </c>
      <c r="AF128" s="3284">
        <v>3183</v>
      </c>
      <c r="AG128" s="3284">
        <v>3183</v>
      </c>
      <c r="AH128" s="3284">
        <v>153.83000000000001</v>
      </c>
      <c r="AI128" s="3284">
        <v>153.83000000000001</v>
      </c>
      <c r="AJ128" s="3284">
        <v>1774.95</v>
      </c>
      <c r="AK128" s="3284">
        <v>1774.95</v>
      </c>
      <c r="AL128" s="3284" t="s">
        <v>2791</v>
      </c>
      <c r="AM128" s="3284" t="s">
        <v>2791</v>
      </c>
      <c r="AN128" s="3284">
        <v>0</v>
      </c>
      <c r="AO128" s="3284" t="s">
        <v>3063</v>
      </c>
      <c r="AP128" s="3284" t="s">
        <v>2791</v>
      </c>
      <c r="AQ128" s="3284" t="s">
        <v>2791</v>
      </c>
      <c r="AR128" s="3284" t="s">
        <v>2791</v>
      </c>
      <c r="AS128" s="3284" t="s">
        <v>3082</v>
      </c>
    </row>
    <row r="129" spans="1:46">
      <c r="A129" s="3284" t="s">
        <v>3381</v>
      </c>
      <c r="B129" s="3284" t="s">
        <v>3056</v>
      </c>
      <c r="C129" s="3284" t="s">
        <v>3057</v>
      </c>
      <c r="D129" s="3284" t="s">
        <v>3058</v>
      </c>
      <c r="E129" s="3284" t="s">
        <v>2791</v>
      </c>
      <c r="F129" s="3284" t="s">
        <v>3381</v>
      </c>
      <c r="G129" s="3284" t="s">
        <v>3059</v>
      </c>
      <c r="H129" s="3284" t="s">
        <v>3382</v>
      </c>
      <c r="I129" s="3284" t="s">
        <v>3099</v>
      </c>
      <c r="J129" s="3284">
        <v>12319.47</v>
      </c>
      <c r="K129" s="3284">
        <v>14783.36</v>
      </c>
      <c r="L129" s="3284" t="s">
        <v>3310</v>
      </c>
      <c r="M129" s="3284" t="s">
        <v>2791</v>
      </c>
      <c r="N129" s="3284" t="s">
        <v>3383</v>
      </c>
      <c r="O129" s="3284" t="s">
        <v>3376</v>
      </c>
      <c r="P129" s="3284" t="s">
        <v>2791</v>
      </c>
      <c r="Q129" s="3284" t="s">
        <v>2791</v>
      </c>
      <c r="R129" s="3284" t="s">
        <v>2791</v>
      </c>
      <c r="S129" s="3284" t="s">
        <v>2791</v>
      </c>
      <c r="T129" s="3284" t="s">
        <v>2791</v>
      </c>
      <c r="U129" s="3284" t="s">
        <v>2791</v>
      </c>
      <c r="V129" s="3284" t="s">
        <v>2791</v>
      </c>
      <c r="W129" s="3284" t="s">
        <v>3263</v>
      </c>
      <c r="X129" s="3284" t="s">
        <v>3377</v>
      </c>
      <c r="Y129" s="3284" t="s">
        <v>3378</v>
      </c>
      <c r="Z129" s="3284" t="s">
        <v>3378</v>
      </c>
      <c r="AA129" s="3284" t="s">
        <v>3378</v>
      </c>
      <c r="AB129" s="3284" t="s">
        <v>3379</v>
      </c>
      <c r="AC129" s="3284" t="s">
        <v>3088</v>
      </c>
      <c r="AD129" s="3284" t="s">
        <v>3380</v>
      </c>
      <c r="AE129" s="3284">
        <v>3622</v>
      </c>
      <c r="AF129" s="3284">
        <v>3622</v>
      </c>
      <c r="AG129" s="3284">
        <v>3622</v>
      </c>
      <c r="AH129" s="3284">
        <v>196</v>
      </c>
      <c r="AI129" s="3284">
        <v>196</v>
      </c>
      <c r="AJ129" s="3284">
        <v>2450.0500000000002</v>
      </c>
      <c r="AK129" s="3284">
        <v>2450.0500000000002</v>
      </c>
      <c r="AL129" s="3284" t="s">
        <v>2791</v>
      </c>
      <c r="AM129" s="3284" t="s">
        <v>2791</v>
      </c>
      <c r="AN129" s="3284">
        <v>0</v>
      </c>
      <c r="AO129" s="3284" t="s">
        <v>3063</v>
      </c>
      <c r="AP129" s="3284" t="s">
        <v>2791</v>
      </c>
      <c r="AQ129" s="3284" t="s">
        <v>2791</v>
      </c>
      <c r="AR129" s="3284" t="s">
        <v>2791</v>
      </c>
      <c r="AS129" s="3284" t="s">
        <v>3082</v>
      </c>
    </row>
    <row r="130" spans="1:46">
      <c r="A130" s="3284" t="s">
        <v>3381</v>
      </c>
      <c r="B130" s="3284" t="s">
        <v>3056</v>
      </c>
      <c r="C130" s="3284" t="s">
        <v>3057</v>
      </c>
      <c r="D130" s="3284" t="s">
        <v>3058</v>
      </c>
      <c r="E130" s="3284" t="s">
        <v>2791</v>
      </c>
      <c r="F130" s="3284" t="s">
        <v>3381</v>
      </c>
      <c r="G130" s="3284" t="s">
        <v>3059</v>
      </c>
      <c r="H130" s="3284" t="s">
        <v>3384</v>
      </c>
      <c r="I130" s="3284" t="s">
        <v>3099</v>
      </c>
      <c r="J130" s="3284">
        <v>16935.12</v>
      </c>
      <c r="K130" s="3284">
        <v>16935.12</v>
      </c>
      <c r="L130" s="3284" t="s">
        <v>3363</v>
      </c>
      <c r="M130" s="3284" t="s">
        <v>2791</v>
      </c>
      <c r="N130" s="3284" t="s">
        <v>3383</v>
      </c>
      <c r="O130" s="3284" t="s">
        <v>3385</v>
      </c>
      <c r="P130" s="3284" t="s">
        <v>2791</v>
      </c>
      <c r="Q130" s="3284" t="s">
        <v>2791</v>
      </c>
      <c r="R130" s="3284" t="s">
        <v>2791</v>
      </c>
      <c r="S130" s="3284" t="s">
        <v>2791</v>
      </c>
      <c r="T130" s="3284" t="s">
        <v>2791</v>
      </c>
      <c r="U130" s="3284" t="s">
        <v>2791</v>
      </c>
      <c r="V130" s="3284" t="s">
        <v>2791</v>
      </c>
      <c r="W130" s="3284" t="s">
        <v>3263</v>
      </c>
      <c r="X130" s="3284" t="s">
        <v>3377</v>
      </c>
      <c r="Y130" s="3284" t="s">
        <v>3378</v>
      </c>
      <c r="Z130" s="3284" t="s">
        <v>3378</v>
      </c>
      <c r="AA130" s="3284" t="s">
        <v>3378</v>
      </c>
      <c r="AB130" s="3284" t="s">
        <v>3379</v>
      </c>
      <c r="AC130" s="3284" t="s">
        <v>3088</v>
      </c>
      <c r="AD130" s="3284" t="s">
        <v>3380</v>
      </c>
      <c r="AE130" s="3284">
        <v>4149</v>
      </c>
      <c r="AF130" s="3284">
        <v>4149</v>
      </c>
      <c r="AG130" s="3284">
        <v>4149</v>
      </c>
      <c r="AH130" s="3284">
        <v>163.33000000000001</v>
      </c>
      <c r="AI130" s="3284">
        <v>163.33000000000001</v>
      </c>
      <c r="AJ130" s="3284">
        <v>2449.9299999999998</v>
      </c>
      <c r="AK130" s="3284">
        <v>2449.94</v>
      </c>
      <c r="AL130" s="3284" t="s">
        <v>2791</v>
      </c>
      <c r="AM130" s="3284" t="s">
        <v>2791</v>
      </c>
      <c r="AN130" s="3284">
        <v>0</v>
      </c>
      <c r="AO130" s="3284" t="s">
        <v>3063</v>
      </c>
      <c r="AP130" s="3284" t="s">
        <v>2791</v>
      </c>
      <c r="AQ130" s="3284" t="s">
        <v>2791</v>
      </c>
      <c r="AR130" s="3284" t="s">
        <v>2791</v>
      </c>
      <c r="AS130" s="3284" t="s">
        <v>3082</v>
      </c>
    </row>
    <row r="131" spans="1:46">
      <c r="A131" s="3284" t="s">
        <v>3386</v>
      </c>
      <c r="B131" s="3284" t="s">
        <v>3056</v>
      </c>
      <c r="C131" s="3284" t="s">
        <v>3057</v>
      </c>
      <c r="D131" s="3284" t="s">
        <v>3058</v>
      </c>
      <c r="E131" s="3284" t="s">
        <v>2791</v>
      </c>
      <c r="F131" s="3284" t="s">
        <v>3386</v>
      </c>
      <c r="G131" s="3284" t="s">
        <v>3059</v>
      </c>
      <c r="H131" s="3284" t="s">
        <v>3387</v>
      </c>
      <c r="I131" s="3284" t="s">
        <v>3099</v>
      </c>
      <c r="J131" s="3284">
        <v>41892.199999999997</v>
      </c>
      <c r="K131" s="3284">
        <v>108919.72</v>
      </c>
      <c r="L131" s="3284" t="s">
        <v>3388</v>
      </c>
      <c r="M131" s="3284" t="s">
        <v>2791</v>
      </c>
      <c r="N131" s="3284" t="s">
        <v>3389</v>
      </c>
      <c r="O131" s="3284" t="s">
        <v>3078</v>
      </c>
      <c r="P131" s="3284" t="s">
        <v>2791</v>
      </c>
      <c r="Q131" s="3284" t="s">
        <v>2791</v>
      </c>
      <c r="R131" s="3284" t="s">
        <v>2791</v>
      </c>
      <c r="S131" s="3284" t="s">
        <v>2791</v>
      </c>
      <c r="T131" s="3284" t="s">
        <v>2791</v>
      </c>
      <c r="U131" s="3284" t="s">
        <v>2791</v>
      </c>
      <c r="V131" s="3284" t="s">
        <v>2791</v>
      </c>
      <c r="W131" s="3284" t="s">
        <v>3263</v>
      </c>
      <c r="X131" s="3284" t="s">
        <v>3390</v>
      </c>
      <c r="Y131" s="3284" t="s">
        <v>3391</v>
      </c>
      <c r="Z131" s="3284" t="s">
        <v>3391</v>
      </c>
      <c r="AA131" s="3284" t="s">
        <v>3391</v>
      </c>
      <c r="AB131" s="3284" t="s">
        <v>3392</v>
      </c>
      <c r="AC131" s="3284" t="s">
        <v>3088</v>
      </c>
      <c r="AD131" s="3284" t="s">
        <v>3393</v>
      </c>
      <c r="AE131" s="3284">
        <v>6285</v>
      </c>
      <c r="AF131" s="3284">
        <v>12570</v>
      </c>
      <c r="AG131" s="3284">
        <v>12570</v>
      </c>
      <c r="AH131" s="3284">
        <v>200.04</v>
      </c>
      <c r="AI131" s="3284">
        <v>200.04</v>
      </c>
      <c r="AJ131" s="3284">
        <v>1154.06</v>
      </c>
      <c r="AK131" s="3284">
        <v>1154.05</v>
      </c>
      <c r="AL131" s="3284" t="s">
        <v>2791</v>
      </c>
      <c r="AM131" s="3284" t="s">
        <v>2791</v>
      </c>
      <c r="AN131" s="3284">
        <v>0</v>
      </c>
      <c r="AO131" s="3284" t="s">
        <v>3063</v>
      </c>
      <c r="AP131" s="3284" t="s">
        <v>2791</v>
      </c>
      <c r="AQ131" s="3284" t="s">
        <v>2791</v>
      </c>
      <c r="AR131" s="3284" t="s">
        <v>2791</v>
      </c>
      <c r="AS131" s="3284" t="s">
        <v>3081</v>
      </c>
    </row>
    <row r="132" spans="1:46">
      <c r="A132" s="3284" t="s">
        <v>3207</v>
      </c>
      <c r="B132" s="3284" t="s">
        <v>3056</v>
      </c>
      <c r="C132" s="3284" t="s">
        <v>3057</v>
      </c>
      <c r="D132" s="3284" t="s">
        <v>3058</v>
      </c>
      <c r="E132" s="3284" t="s">
        <v>2791</v>
      </c>
      <c r="F132" s="3284" t="s">
        <v>3207</v>
      </c>
      <c r="G132" s="3284" t="s">
        <v>3059</v>
      </c>
      <c r="H132" s="3284" t="s">
        <v>3394</v>
      </c>
      <c r="I132" s="3284" t="s">
        <v>3099</v>
      </c>
      <c r="J132" s="3284">
        <v>67223.570000000007</v>
      </c>
      <c r="K132" s="3284">
        <v>134447.14000000001</v>
      </c>
      <c r="L132" s="3284" t="s">
        <v>3194</v>
      </c>
      <c r="M132" s="3284" t="s">
        <v>2791</v>
      </c>
      <c r="N132" s="3284" t="s">
        <v>3076</v>
      </c>
      <c r="O132" s="3284" t="s">
        <v>3078</v>
      </c>
      <c r="P132" s="3284" t="s">
        <v>2791</v>
      </c>
      <c r="Q132" s="3284" t="s">
        <v>2791</v>
      </c>
      <c r="R132" s="3284" t="s">
        <v>2791</v>
      </c>
      <c r="S132" s="3284" t="s">
        <v>2791</v>
      </c>
      <c r="T132" s="3284" t="s">
        <v>2791</v>
      </c>
      <c r="U132" s="3284" t="s">
        <v>2791</v>
      </c>
      <c r="V132" s="3284" t="s">
        <v>2791</v>
      </c>
      <c r="W132" s="3284" t="s">
        <v>3263</v>
      </c>
      <c r="X132" s="3284" t="s">
        <v>3395</v>
      </c>
      <c r="Y132" s="3284" t="s">
        <v>3396</v>
      </c>
      <c r="Z132" s="3284" t="s">
        <v>3396</v>
      </c>
      <c r="AA132" s="3284" t="s">
        <v>3396</v>
      </c>
      <c r="AB132" s="3284" t="s">
        <v>3397</v>
      </c>
      <c r="AC132" s="3284" t="s">
        <v>3088</v>
      </c>
      <c r="AD132" s="3284" t="s">
        <v>3398</v>
      </c>
      <c r="AE132" s="3284">
        <v>10185</v>
      </c>
      <c r="AF132" s="3284">
        <v>20370</v>
      </c>
      <c r="AG132" s="3284">
        <v>20370</v>
      </c>
      <c r="AH132" s="3284">
        <v>202.01</v>
      </c>
      <c r="AI132" s="3284">
        <v>202.01</v>
      </c>
      <c r="AJ132" s="3284">
        <v>1515.09</v>
      </c>
      <c r="AK132" s="3284">
        <v>1515.08</v>
      </c>
      <c r="AL132" s="3284" t="s">
        <v>2791</v>
      </c>
      <c r="AM132" s="3284" t="s">
        <v>2791</v>
      </c>
      <c r="AN132" s="3284">
        <v>0</v>
      </c>
      <c r="AO132" s="3284" t="s">
        <v>3063</v>
      </c>
      <c r="AP132" s="3284" t="s">
        <v>2791</v>
      </c>
      <c r="AQ132" s="3284" t="s">
        <v>2791</v>
      </c>
      <c r="AR132" s="3284" t="s">
        <v>2791</v>
      </c>
      <c r="AS132" s="3284" t="s">
        <v>3081</v>
      </c>
    </row>
    <row r="133" spans="1:46">
      <c r="A133" s="3284" t="s">
        <v>3399</v>
      </c>
      <c r="B133" s="3284" t="s">
        <v>3056</v>
      </c>
      <c r="C133" s="3284" t="s">
        <v>3057</v>
      </c>
      <c r="D133" s="3284" t="s">
        <v>3058</v>
      </c>
      <c r="E133" s="3284" t="s">
        <v>2791</v>
      </c>
      <c r="F133" s="3284" t="s">
        <v>3399</v>
      </c>
      <c r="G133" s="3284" t="s">
        <v>3059</v>
      </c>
      <c r="H133" s="3284" t="s">
        <v>3400</v>
      </c>
      <c r="I133" s="3284" t="s">
        <v>3099</v>
      </c>
      <c r="J133" s="3284">
        <v>46015.11</v>
      </c>
      <c r="K133" s="3284">
        <v>92030.22</v>
      </c>
      <c r="L133" s="3284" t="s">
        <v>3194</v>
      </c>
      <c r="M133" s="3284" t="s">
        <v>2791</v>
      </c>
      <c r="N133" s="3284" t="s">
        <v>3076</v>
      </c>
      <c r="O133" s="3284" t="s">
        <v>3078</v>
      </c>
      <c r="P133" s="3284" t="s">
        <v>2791</v>
      </c>
      <c r="Q133" s="3284" t="s">
        <v>2791</v>
      </c>
      <c r="R133" s="3284" t="s">
        <v>2791</v>
      </c>
      <c r="S133" s="3284" t="s">
        <v>2791</v>
      </c>
      <c r="T133" s="3284" t="s">
        <v>2791</v>
      </c>
      <c r="U133" s="3284" t="s">
        <v>2791</v>
      </c>
      <c r="V133" s="3284" t="s">
        <v>2791</v>
      </c>
      <c r="W133" s="3284" t="s">
        <v>3263</v>
      </c>
      <c r="X133" s="3284" t="s">
        <v>3395</v>
      </c>
      <c r="Y133" s="3284" t="s">
        <v>3396</v>
      </c>
      <c r="Z133" s="3284" t="s">
        <v>3396</v>
      </c>
      <c r="AA133" s="3284" t="s">
        <v>3396</v>
      </c>
      <c r="AB133" s="3284" t="s">
        <v>3397</v>
      </c>
      <c r="AC133" s="3284" t="s">
        <v>3088</v>
      </c>
      <c r="AD133" s="3284" t="s">
        <v>3398</v>
      </c>
      <c r="AE133" s="3284">
        <v>6975</v>
      </c>
      <c r="AF133" s="3284">
        <v>13950</v>
      </c>
      <c r="AG133" s="3284">
        <v>13950</v>
      </c>
      <c r="AH133" s="3284">
        <v>202.11</v>
      </c>
      <c r="AI133" s="3284">
        <v>202.11</v>
      </c>
      <c r="AJ133" s="3284">
        <v>1515.8</v>
      </c>
      <c r="AK133" s="3284">
        <v>1515.8</v>
      </c>
      <c r="AL133" s="3284" t="s">
        <v>2791</v>
      </c>
      <c r="AM133" s="3284" t="s">
        <v>2791</v>
      </c>
      <c r="AN133" s="3284">
        <v>0</v>
      </c>
      <c r="AO133" s="3284" t="s">
        <v>3063</v>
      </c>
      <c r="AP133" s="3284" t="s">
        <v>2791</v>
      </c>
      <c r="AQ133" s="3284" t="s">
        <v>2791</v>
      </c>
      <c r="AR133" s="3284" t="s">
        <v>2791</v>
      </c>
      <c r="AS133" s="3284" t="s">
        <v>3082</v>
      </c>
    </row>
    <row r="134" spans="1:46">
      <c r="A134" s="3285" t="s">
        <v>3207</v>
      </c>
      <c r="B134" s="3285" t="s">
        <v>3056</v>
      </c>
      <c r="C134" s="3285" t="s">
        <v>3057</v>
      </c>
      <c r="D134" s="3285" t="s">
        <v>3058</v>
      </c>
      <c r="E134" s="3285" t="s">
        <v>2791</v>
      </c>
      <c r="F134" s="3285" t="s">
        <v>3207</v>
      </c>
      <c r="G134" s="3285" t="s">
        <v>3059</v>
      </c>
      <c r="H134" s="3285" t="s">
        <v>3401</v>
      </c>
      <c r="I134" s="3285" t="s">
        <v>3099</v>
      </c>
      <c r="J134" s="3285">
        <v>71551.09</v>
      </c>
      <c r="K134" s="3285">
        <v>143102.18</v>
      </c>
      <c r="L134" s="3285" t="s">
        <v>3194</v>
      </c>
      <c r="M134" s="3285" t="s">
        <v>2791</v>
      </c>
      <c r="N134" s="3285" t="s">
        <v>3076</v>
      </c>
      <c r="O134" s="3285" t="s">
        <v>3078</v>
      </c>
      <c r="P134" s="3285" t="s">
        <v>2791</v>
      </c>
      <c r="Q134" s="3285" t="s">
        <v>2791</v>
      </c>
      <c r="R134" s="3285" t="s">
        <v>2791</v>
      </c>
      <c r="S134" s="3285" t="s">
        <v>2791</v>
      </c>
      <c r="T134" s="3285" t="s">
        <v>2791</v>
      </c>
      <c r="U134" s="3285" t="s">
        <v>2791</v>
      </c>
      <c r="V134" s="3285" t="s">
        <v>2791</v>
      </c>
      <c r="W134" s="3285" t="s">
        <v>3263</v>
      </c>
      <c r="X134" s="3285" t="s">
        <v>3395</v>
      </c>
      <c r="Y134" s="3285" t="s">
        <v>3396</v>
      </c>
      <c r="Z134" s="3285" t="s">
        <v>3396</v>
      </c>
      <c r="AA134" s="3285" t="s">
        <v>3396</v>
      </c>
      <c r="AB134" s="3285" t="s">
        <v>3397</v>
      </c>
      <c r="AC134" s="3285" t="s">
        <v>3088</v>
      </c>
      <c r="AD134" s="3285" t="s">
        <v>3398</v>
      </c>
      <c r="AE134" s="3285">
        <v>10845</v>
      </c>
      <c r="AF134" s="3285">
        <v>21690</v>
      </c>
      <c r="AG134" s="3285">
        <v>21690</v>
      </c>
      <c r="AH134" s="3285">
        <v>202.09</v>
      </c>
      <c r="AI134" s="3285">
        <v>202.09</v>
      </c>
      <c r="AJ134" s="3285">
        <v>1515.7</v>
      </c>
      <c r="AK134" s="3285">
        <v>1515.7</v>
      </c>
      <c r="AL134" s="3285" t="s">
        <v>2791</v>
      </c>
      <c r="AM134" s="3285" t="s">
        <v>2791</v>
      </c>
      <c r="AN134" s="3285">
        <v>0</v>
      </c>
      <c r="AO134" s="3285" t="s">
        <v>3063</v>
      </c>
      <c r="AP134" s="3285" t="s">
        <v>2791</v>
      </c>
      <c r="AQ134" s="3285" t="s">
        <v>2791</v>
      </c>
      <c r="AR134" s="3285" t="s">
        <v>2791</v>
      </c>
      <c r="AS134" s="3285" t="s">
        <v>3081</v>
      </c>
    </row>
    <row r="135" spans="1:46">
      <c r="A135" s="3285" t="s">
        <v>3402</v>
      </c>
      <c r="B135" s="3285" t="s">
        <v>3056</v>
      </c>
      <c r="C135" s="3285" t="s">
        <v>3057</v>
      </c>
      <c r="D135" s="3285" t="s">
        <v>3058</v>
      </c>
      <c r="E135" s="3285" t="s">
        <v>2791</v>
      </c>
      <c r="F135" s="3285" t="s">
        <v>3402</v>
      </c>
      <c r="G135" s="3285" t="s">
        <v>3059</v>
      </c>
      <c r="H135" s="3285" t="s">
        <v>3403</v>
      </c>
      <c r="I135" s="3285" t="s">
        <v>3099</v>
      </c>
      <c r="J135" s="3285">
        <v>27656.39</v>
      </c>
      <c r="K135" s="3285">
        <v>49781.5</v>
      </c>
      <c r="L135" s="3285" t="s">
        <v>3079</v>
      </c>
      <c r="M135" s="3285" t="s">
        <v>2791</v>
      </c>
      <c r="N135" s="3285" t="s">
        <v>3404</v>
      </c>
      <c r="O135" s="3285" t="s">
        <v>3405</v>
      </c>
      <c r="P135" s="3285" t="s">
        <v>2791</v>
      </c>
      <c r="Q135" s="3285" t="s">
        <v>2791</v>
      </c>
      <c r="R135" s="3285" t="s">
        <v>2791</v>
      </c>
      <c r="S135" s="3285" t="s">
        <v>2791</v>
      </c>
      <c r="T135" s="3285" t="s">
        <v>2791</v>
      </c>
      <c r="U135" s="3285" t="s">
        <v>2791</v>
      </c>
      <c r="V135" s="3285" t="s">
        <v>2791</v>
      </c>
      <c r="W135" s="3285" t="s">
        <v>3263</v>
      </c>
      <c r="X135" s="3285" t="s">
        <v>3406</v>
      </c>
      <c r="Y135" s="3285" t="s">
        <v>3407</v>
      </c>
      <c r="Z135" s="3285" t="s">
        <v>3407</v>
      </c>
      <c r="AA135" s="3285" t="s">
        <v>3407</v>
      </c>
      <c r="AB135" s="3285" t="s">
        <v>3408</v>
      </c>
      <c r="AC135" s="3285" t="s">
        <v>3088</v>
      </c>
      <c r="AD135" s="3285" t="s">
        <v>3112</v>
      </c>
      <c r="AE135" s="3285">
        <v>8670</v>
      </c>
      <c r="AF135" s="3285">
        <v>8670</v>
      </c>
      <c r="AG135" s="3285">
        <v>8670</v>
      </c>
      <c r="AH135" s="3285">
        <v>208.99</v>
      </c>
      <c r="AI135" s="3285">
        <v>208.99</v>
      </c>
      <c r="AJ135" s="3285">
        <v>1741.61</v>
      </c>
      <c r="AK135" s="3285">
        <v>1741.6</v>
      </c>
      <c r="AL135" s="3285" t="s">
        <v>2791</v>
      </c>
      <c r="AM135" s="3285" t="s">
        <v>2791</v>
      </c>
      <c r="AN135" s="3285">
        <v>0</v>
      </c>
      <c r="AO135" s="3285" t="s">
        <v>3063</v>
      </c>
      <c r="AP135" s="3285" t="s">
        <v>2791</v>
      </c>
      <c r="AQ135" s="3285" t="s">
        <v>2791</v>
      </c>
      <c r="AR135" s="3285" t="s">
        <v>2791</v>
      </c>
      <c r="AS135" s="3285" t="s">
        <v>3082</v>
      </c>
    </row>
    <row r="136" spans="1:46">
      <c r="A136" s="3285" t="s">
        <v>3409</v>
      </c>
      <c r="B136" s="3285" t="s">
        <v>3056</v>
      </c>
      <c r="C136" s="3285" t="s">
        <v>3057</v>
      </c>
      <c r="D136" s="3285" t="s">
        <v>3058</v>
      </c>
      <c r="E136" s="3285" t="s">
        <v>2791</v>
      </c>
      <c r="F136" s="3285" t="s">
        <v>3409</v>
      </c>
      <c r="G136" s="3285" t="s">
        <v>3059</v>
      </c>
      <c r="H136" s="3285" t="s">
        <v>3410</v>
      </c>
      <c r="I136" s="3285" t="s">
        <v>3099</v>
      </c>
      <c r="J136" s="3285">
        <v>21120.43</v>
      </c>
      <c r="K136" s="3285">
        <v>38016.769999999997</v>
      </c>
      <c r="L136" s="3285" t="s">
        <v>3079</v>
      </c>
      <c r="M136" s="3285" t="s">
        <v>2791</v>
      </c>
      <c r="N136" s="3285" t="s">
        <v>3404</v>
      </c>
      <c r="O136" s="3285" t="s">
        <v>3405</v>
      </c>
      <c r="P136" s="3285" t="s">
        <v>2791</v>
      </c>
      <c r="Q136" s="3285" t="s">
        <v>2791</v>
      </c>
      <c r="R136" s="3285" t="s">
        <v>2791</v>
      </c>
      <c r="S136" s="3285" t="s">
        <v>2791</v>
      </c>
      <c r="T136" s="3285" t="s">
        <v>2791</v>
      </c>
      <c r="U136" s="3285" t="s">
        <v>2791</v>
      </c>
      <c r="V136" s="3285" t="s">
        <v>2791</v>
      </c>
      <c r="W136" s="3285" t="s">
        <v>3263</v>
      </c>
      <c r="X136" s="3285" t="s">
        <v>3406</v>
      </c>
      <c r="Y136" s="3285" t="s">
        <v>3407</v>
      </c>
      <c r="Z136" s="3285" t="s">
        <v>3407</v>
      </c>
      <c r="AA136" s="3285" t="s">
        <v>3407</v>
      </c>
      <c r="AB136" s="3285" t="s">
        <v>3408</v>
      </c>
      <c r="AC136" s="3285" t="s">
        <v>3088</v>
      </c>
      <c r="AD136" s="3285" t="s">
        <v>3112</v>
      </c>
      <c r="AE136" s="3285">
        <v>6760</v>
      </c>
      <c r="AF136" s="3285">
        <v>6760</v>
      </c>
      <c r="AG136" s="3285">
        <v>6760</v>
      </c>
      <c r="AH136" s="3285">
        <v>213.38</v>
      </c>
      <c r="AI136" s="3285">
        <v>213.38</v>
      </c>
      <c r="AJ136" s="3285">
        <v>1778.16</v>
      </c>
      <c r="AK136" s="3285">
        <v>1778.16</v>
      </c>
      <c r="AL136" s="3285" t="s">
        <v>2791</v>
      </c>
      <c r="AM136" s="3285" t="s">
        <v>2791</v>
      </c>
      <c r="AN136" s="3285">
        <v>0</v>
      </c>
      <c r="AO136" s="3285" t="s">
        <v>3063</v>
      </c>
      <c r="AP136" s="3285" t="s">
        <v>2791</v>
      </c>
      <c r="AQ136" s="3285" t="s">
        <v>2791</v>
      </c>
      <c r="AR136" s="3285" t="s">
        <v>2791</v>
      </c>
      <c r="AS136" s="3285" t="s">
        <v>3081</v>
      </c>
    </row>
    <row r="137" spans="1:46" ht="14.25" thickBot="1">
      <c r="A137" s="3285" t="s">
        <v>3411</v>
      </c>
      <c r="B137" s="3285" t="s">
        <v>3056</v>
      </c>
      <c r="C137" s="3285" t="s">
        <v>3057</v>
      </c>
      <c r="D137" s="3285" t="s">
        <v>3058</v>
      </c>
      <c r="E137" s="3285" t="s">
        <v>2791</v>
      </c>
      <c r="F137" s="3285" t="s">
        <v>3411</v>
      </c>
      <c r="G137" s="3285" t="s">
        <v>3059</v>
      </c>
      <c r="H137" s="3285" t="s">
        <v>3412</v>
      </c>
      <c r="I137" s="3285" t="s">
        <v>3099</v>
      </c>
      <c r="J137" s="3285">
        <v>52915.14</v>
      </c>
      <c r="K137" s="3285">
        <v>79372.710000000006</v>
      </c>
      <c r="L137" s="3285" t="s">
        <v>3413</v>
      </c>
      <c r="M137" s="3285" t="s">
        <v>2791</v>
      </c>
      <c r="N137" s="3285" t="s">
        <v>3061</v>
      </c>
      <c r="O137" s="3285" t="s">
        <v>3080</v>
      </c>
      <c r="P137" s="3285" t="s">
        <v>2791</v>
      </c>
      <c r="Q137" s="3285" t="s">
        <v>2791</v>
      </c>
      <c r="R137" s="3285" t="s">
        <v>2791</v>
      </c>
      <c r="S137" s="3285" t="s">
        <v>2791</v>
      </c>
      <c r="T137" s="3285" t="s">
        <v>2791</v>
      </c>
      <c r="U137" s="3285" t="s">
        <v>2791</v>
      </c>
      <c r="V137" s="3285" t="s">
        <v>2791</v>
      </c>
      <c r="W137" s="3285" t="s">
        <v>3263</v>
      </c>
      <c r="X137" s="3285" t="s">
        <v>3414</v>
      </c>
      <c r="Y137" s="3285" t="s">
        <v>3415</v>
      </c>
      <c r="Z137" s="3285" t="s">
        <v>3415</v>
      </c>
      <c r="AA137" s="3285" t="s">
        <v>3415</v>
      </c>
      <c r="AB137" s="3285" t="s">
        <v>3416</v>
      </c>
      <c r="AC137" s="3285" t="s">
        <v>3088</v>
      </c>
      <c r="AD137" s="3285" t="s">
        <v>3417</v>
      </c>
      <c r="AE137" s="3285">
        <v>6360</v>
      </c>
      <c r="AF137" s="3285">
        <v>31800</v>
      </c>
      <c r="AG137" s="3285">
        <v>38900</v>
      </c>
      <c r="AH137" s="3285">
        <v>400.64</v>
      </c>
      <c r="AI137" s="3285">
        <v>490.09</v>
      </c>
      <c r="AJ137" s="3285">
        <v>4006.41</v>
      </c>
      <c r="AK137" s="3285">
        <v>4900.93</v>
      </c>
      <c r="AL137" s="3285" t="s">
        <v>2791</v>
      </c>
      <c r="AM137" s="3285" t="s">
        <v>2791</v>
      </c>
      <c r="AN137" s="3285">
        <v>22.33</v>
      </c>
      <c r="AO137" s="3285" t="s">
        <v>3063</v>
      </c>
      <c r="AP137" s="3285" t="s">
        <v>2791</v>
      </c>
      <c r="AQ137" s="3285" t="s">
        <v>2791</v>
      </c>
      <c r="AR137" s="3285" t="s">
        <v>2791</v>
      </c>
      <c r="AS137" s="3285" t="s">
        <v>3082</v>
      </c>
    </row>
    <row r="138" spans="1:46" s="3278" customFormat="1" ht="14.25" hidden="1" thickBot="1">
      <c r="A138" s="3277" t="s">
        <v>3271</v>
      </c>
      <c r="B138" s="3277" t="s">
        <v>3056</v>
      </c>
      <c r="C138" s="3277" t="s">
        <v>3057</v>
      </c>
      <c r="D138" s="3277" t="s">
        <v>3058</v>
      </c>
      <c r="E138" s="3277" t="s">
        <v>2791</v>
      </c>
      <c r="F138" s="3277" t="s">
        <v>3271</v>
      </c>
      <c r="G138" s="3277" t="s">
        <v>3059</v>
      </c>
      <c r="H138" s="3277" t="s">
        <v>3421</v>
      </c>
      <c r="I138" s="3277" t="s">
        <v>3099</v>
      </c>
      <c r="J138" s="3277">
        <v>64579.56</v>
      </c>
      <c r="K138" s="3277">
        <v>77495.47</v>
      </c>
      <c r="L138" s="3277" t="s">
        <v>3310</v>
      </c>
      <c r="M138" s="3277" t="s">
        <v>2791</v>
      </c>
      <c r="N138" s="3277" t="s">
        <v>3071</v>
      </c>
      <c r="O138" s="3277" t="s">
        <v>3309</v>
      </c>
      <c r="P138" s="3277" t="s">
        <v>2791</v>
      </c>
      <c r="Q138" s="3277" t="s">
        <v>2791</v>
      </c>
      <c r="R138" s="3277" t="s">
        <v>2791</v>
      </c>
      <c r="S138" s="3277" t="s">
        <v>2791</v>
      </c>
      <c r="T138" s="3277" t="s">
        <v>2791</v>
      </c>
      <c r="U138" s="3277" t="s">
        <v>2791</v>
      </c>
      <c r="V138" s="3277" t="s">
        <v>2791</v>
      </c>
      <c r="W138" s="3277" t="s">
        <v>3263</v>
      </c>
      <c r="X138" s="3277" t="s">
        <v>3418</v>
      </c>
      <c r="Y138" s="3277" t="s">
        <v>3419</v>
      </c>
      <c r="Z138" s="3277" t="s">
        <v>3419</v>
      </c>
      <c r="AA138" s="3277" t="s">
        <v>3419</v>
      </c>
      <c r="AB138" s="3277" t="s">
        <v>3420</v>
      </c>
      <c r="AC138" s="3277" t="s">
        <v>3088</v>
      </c>
      <c r="AD138" s="3277" t="s">
        <v>3422</v>
      </c>
      <c r="AE138" s="3277">
        <v>13580</v>
      </c>
      <c r="AF138" s="3277">
        <v>19400</v>
      </c>
      <c r="AG138" s="3277">
        <v>19410</v>
      </c>
      <c r="AH138" s="3277">
        <v>200.27</v>
      </c>
      <c r="AI138" s="3277">
        <v>200.37</v>
      </c>
      <c r="AJ138" s="3277">
        <v>2503.37</v>
      </c>
      <c r="AK138" s="3277">
        <v>2504.65</v>
      </c>
      <c r="AL138" s="3277" t="s">
        <v>2791</v>
      </c>
      <c r="AM138" s="3277" t="s">
        <v>2791</v>
      </c>
      <c r="AN138" s="3277">
        <v>0.05</v>
      </c>
      <c r="AO138" s="3277" t="s">
        <v>3063</v>
      </c>
      <c r="AP138" s="3277" t="s">
        <v>2791</v>
      </c>
      <c r="AQ138" s="3277" t="s">
        <v>2791</v>
      </c>
      <c r="AR138" s="3277" t="s">
        <v>2791</v>
      </c>
      <c r="AS138" s="3277" t="s">
        <v>3082</v>
      </c>
    </row>
    <row r="139" spans="1:46" s="3289" customFormat="1">
      <c r="A139" s="3287" t="s">
        <v>3423</v>
      </c>
      <c r="B139" s="3288" t="s">
        <v>3056</v>
      </c>
      <c r="C139" s="3288" t="s">
        <v>3057</v>
      </c>
      <c r="D139" s="3288" t="s">
        <v>3058</v>
      </c>
      <c r="E139" s="3288" t="s">
        <v>2791</v>
      </c>
      <c r="F139" s="3288" t="s">
        <v>3423</v>
      </c>
      <c r="G139" s="3288" t="s">
        <v>3059</v>
      </c>
      <c r="H139" s="3288" t="s">
        <v>3424</v>
      </c>
      <c r="I139" s="3288" t="s">
        <v>3099</v>
      </c>
      <c r="J139" s="3288">
        <v>40086.370000000003</v>
      </c>
      <c r="K139" s="3288">
        <v>100215.93</v>
      </c>
      <c r="L139" s="3288" t="s">
        <v>3075</v>
      </c>
      <c r="M139" s="3288" t="s">
        <v>2791</v>
      </c>
      <c r="N139" s="3288" t="s">
        <v>3076</v>
      </c>
      <c r="O139" s="3288" t="s">
        <v>3078</v>
      </c>
      <c r="P139" s="3288" t="s">
        <v>2791</v>
      </c>
      <c r="Q139" s="3288" t="s">
        <v>2791</v>
      </c>
      <c r="R139" s="3288" t="s">
        <v>2791</v>
      </c>
      <c r="S139" s="3288" t="s">
        <v>2791</v>
      </c>
      <c r="T139" s="3288" t="s">
        <v>2791</v>
      </c>
      <c r="U139" s="3288" t="s">
        <v>2791</v>
      </c>
      <c r="V139" s="3288" t="s">
        <v>2791</v>
      </c>
      <c r="W139" s="3288" t="s">
        <v>3263</v>
      </c>
      <c r="X139" s="3288" t="s">
        <v>3425</v>
      </c>
      <c r="Y139" s="3288" t="s">
        <v>3426</v>
      </c>
      <c r="Z139" s="3288" t="s">
        <v>3426</v>
      </c>
      <c r="AA139" s="3288" t="s">
        <v>3426</v>
      </c>
      <c r="AB139" s="3288" t="s">
        <v>3427</v>
      </c>
      <c r="AC139" s="3288" t="s">
        <v>3088</v>
      </c>
      <c r="AD139" s="3288" t="s">
        <v>3428</v>
      </c>
      <c r="AE139" s="3288">
        <v>9325</v>
      </c>
      <c r="AF139" s="3288">
        <v>18650</v>
      </c>
      <c r="AG139" s="3288">
        <v>18850</v>
      </c>
      <c r="AH139" s="3288">
        <v>310.16000000000003</v>
      </c>
      <c r="AI139" s="3288">
        <v>313.49</v>
      </c>
      <c r="AJ139" s="3288">
        <v>1860.98</v>
      </c>
      <c r="AK139" s="3288">
        <v>1880.94</v>
      </c>
      <c r="AL139" s="3288" t="s">
        <v>2791</v>
      </c>
      <c r="AM139" s="3288" t="s">
        <v>2791</v>
      </c>
      <c r="AN139" s="3288">
        <v>1.07</v>
      </c>
      <c r="AO139" s="3288" t="s">
        <v>3063</v>
      </c>
      <c r="AP139" s="3288" t="s">
        <v>2791</v>
      </c>
      <c r="AQ139" s="3288" t="s">
        <v>2791</v>
      </c>
      <c r="AR139" s="3288" t="s">
        <v>2791</v>
      </c>
      <c r="AS139" s="3288" t="s">
        <v>3081</v>
      </c>
      <c r="AT139" s="3350" t="s">
        <v>3848</v>
      </c>
    </row>
    <row r="140" spans="1:46" s="3291" customFormat="1">
      <c r="A140" s="3290" t="s">
        <v>3423</v>
      </c>
      <c r="B140" s="3281" t="s">
        <v>3056</v>
      </c>
      <c r="C140" s="3281" t="s">
        <v>3057</v>
      </c>
      <c r="D140" s="3281" t="s">
        <v>3058</v>
      </c>
      <c r="E140" s="3281" t="s">
        <v>2791</v>
      </c>
      <c r="F140" s="3281" t="s">
        <v>3423</v>
      </c>
      <c r="G140" s="3281" t="s">
        <v>3059</v>
      </c>
      <c r="H140" s="3281" t="s">
        <v>3429</v>
      </c>
      <c r="I140" s="3281" t="s">
        <v>3099</v>
      </c>
      <c r="J140" s="3281">
        <v>66863.320000000007</v>
      </c>
      <c r="K140" s="3281">
        <v>167158.29999999999</v>
      </c>
      <c r="L140" s="3281" t="s">
        <v>3075</v>
      </c>
      <c r="M140" s="3281" t="s">
        <v>2791</v>
      </c>
      <c r="N140" s="3281" t="s">
        <v>3076</v>
      </c>
      <c r="O140" s="3281" t="s">
        <v>3078</v>
      </c>
      <c r="P140" s="3281" t="s">
        <v>2791</v>
      </c>
      <c r="Q140" s="3281" t="s">
        <v>2791</v>
      </c>
      <c r="R140" s="3281" t="s">
        <v>2791</v>
      </c>
      <c r="S140" s="3281" t="s">
        <v>2791</v>
      </c>
      <c r="T140" s="3281" t="s">
        <v>2791</v>
      </c>
      <c r="U140" s="3281" t="s">
        <v>2791</v>
      </c>
      <c r="V140" s="3281" t="s">
        <v>2791</v>
      </c>
      <c r="W140" s="3281" t="s">
        <v>3263</v>
      </c>
      <c r="X140" s="3281" t="s">
        <v>3425</v>
      </c>
      <c r="Y140" s="3281" t="s">
        <v>3426</v>
      </c>
      <c r="Z140" s="3281" t="s">
        <v>3426</v>
      </c>
      <c r="AA140" s="3281" t="s">
        <v>3426</v>
      </c>
      <c r="AB140" s="3281" t="s">
        <v>3427</v>
      </c>
      <c r="AC140" s="3281" t="s">
        <v>3088</v>
      </c>
      <c r="AD140" s="3281" t="s">
        <v>3430</v>
      </c>
      <c r="AE140" s="3281">
        <v>15550</v>
      </c>
      <c r="AF140" s="3281">
        <v>31100</v>
      </c>
      <c r="AG140" s="3281">
        <v>31300</v>
      </c>
      <c r="AH140" s="3281">
        <v>310.08999999999997</v>
      </c>
      <c r="AI140" s="3281">
        <v>312.08</v>
      </c>
      <c r="AJ140" s="3281">
        <v>1860.51</v>
      </c>
      <c r="AK140" s="3281">
        <v>1872.48</v>
      </c>
      <c r="AL140" s="3281" t="s">
        <v>2791</v>
      </c>
      <c r="AM140" s="3281" t="s">
        <v>2791</v>
      </c>
      <c r="AN140" s="3281">
        <v>0.64</v>
      </c>
      <c r="AO140" s="3281" t="s">
        <v>3063</v>
      </c>
      <c r="AP140" s="3281" t="s">
        <v>2791</v>
      </c>
      <c r="AQ140" s="3281" t="s">
        <v>2791</v>
      </c>
      <c r="AR140" s="3281" t="s">
        <v>2791</v>
      </c>
      <c r="AS140" s="3281" t="s">
        <v>3082</v>
      </c>
    </row>
    <row r="141" spans="1:46" s="3291" customFormat="1">
      <c r="A141" s="3290" t="s">
        <v>3423</v>
      </c>
      <c r="B141" s="3281" t="s">
        <v>3056</v>
      </c>
      <c r="C141" s="3281" t="s">
        <v>3057</v>
      </c>
      <c r="D141" s="3281" t="s">
        <v>3058</v>
      </c>
      <c r="E141" s="3281" t="s">
        <v>2791</v>
      </c>
      <c r="F141" s="3281" t="s">
        <v>3423</v>
      </c>
      <c r="G141" s="3281" t="s">
        <v>3059</v>
      </c>
      <c r="H141" s="3281" t="s">
        <v>3431</v>
      </c>
      <c r="I141" s="3281" t="s">
        <v>3099</v>
      </c>
      <c r="J141" s="3281">
        <v>49033.68</v>
      </c>
      <c r="K141" s="3281">
        <v>122584.2</v>
      </c>
      <c r="L141" s="3281" t="s">
        <v>3075</v>
      </c>
      <c r="M141" s="3281" t="s">
        <v>2791</v>
      </c>
      <c r="N141" s="3281" t="s">
        <v>3076</v>
      </c>
      <c r="O141" s="3281" t="s">
        <v>3078</v>
      </c>
      <c r="P141" s="3281" t="s">
        <v>2791</v>
      </c>
      <c r="Q141" s="3281" t="s">
        <v>2791</v>
      </c>
      <c r="R141" s="3281" t="s">
        <v>2791</v>
      </c>
      <c r="S141" s="3281" t="s">
        <v>2791</v>
      </c>
      <c r="T141" s="3281" t="s">
        <v>2791</v>
      </c>
      <c r="U141" s="3281" t="s">
        <v>2791</v>
      </c>
      <c r="V141" s="3281" t="s">
        <v>2791</v>
      </c>
      <c r="W141" s="3281" t="s">
        <v>3263</v>
      </c>
      <c r="X141" s="3281" t="s">
        <v>3425</v>
      </c>
      <c r="Y141" s="3281" t="s">
        <v>3426</v>
      </c>
      <c r="Z141" s="3281" t="s">
        <v>3426</v>
      </c>
      <c r="AA141" s="3281" t="s">
        <v>3426</v>
      </c>
      <c r="AB141" s="3281" t="s">
        <v>3427</v>
      </c>
      <c r="AC141" s="3281" t="s">
        <v>3088</v>
      </c>
      <c r="AD141" s="3281" t="s">
        <v>3432</v>
      </c>
      <c r="AE141" s="3281">
        <v>11405</v>
      </c>
      <c r="AF141" s="3281">
        <v>22810</v>
      </c>
      <c r="AG141" s="3281">
        <v>23010</v>
      </c>
      <c r="AH141" s="3281">
        <v>310.13</v>
      </c>
      <c r="AI141" s="3281">
        <v>312.85000000000002</v>
      </c>
      <c r="AJ141" s="3281">
        <v>1860.76</v>
      </c>
      <c r="AK141" s="3281">
        <v>1877.07</v>
      </c>
      <c r="AL141" s="3281" t="s">
        <v>2791</v>
      </c>
      <c r="AM141" s="3281" t="s">
        <v>2791</v>
      </c>
      <c r="AN141" s="3281">
        <v>0.88</v>
      </c>
      <c r="AO141" s="3281" t="s">
        <v>3063</v>
      </c>
      <c r="AP141" s="3281" t="s">
        <v>2791</v>
      </c>
      <c r="AQ141" s="3281" t="s">
        <v>2791</v>
      </c>
      <c r="AR141" s="3281" t="s">
        <v>2791</v>
      </c>
      <c r="AS141" s="3281" t="s">
        <v>3081</v>
      </c>
    </row>
    <row r="142" spans="1:46" s="3291" customFormat="1">
      <c r="A142" s="3290" t="s">
        <v>3423</v>
      </c>
      <c r="B142" s="3281" t="s">
        <v>3056</v>
      </c>
      <c r="C142" s="3281" t="s">
        <v>3057</v>
      </c>
      <c r="D142" s="3281" t="s">
        <v>3058</v>
      </c>
      <c r="E142" s="3281" t="s">
        <v>2791</v>
      </c>
      <c r="F142" s="3281" t="s">
        <v>3423</v>
      </c>
      <c r="G142" s="3281" t="s">
        <v>3059</v>
      </c>
      <c r="H142" s="3281" t="s">
        <v>3433</v>
      </c>
      <c r="I142" s="3281" t="s">
        <v>3099</v>
      </c>
      <c r="J142" s="3281">
        <v>36033.919999999998</v>
      </c>
      <c r="K142" s="3281">
        <v>90084.800000000003</v>
      </c>
      <c r="L142" s="3281" t="s">
        <v>3075</v>
      </c>
      <c r="M142" s="3281" t="s">
        <v>2791</v>
      </c>
      <c r="N142" s="3281" t="s">
        <v>3076</v>
      </c>
      <c r="O142" s="3281" t="s">
        <v>3078</v>
      </c>
      <c r="P142" s="3281" t="s">
        <v>2791</v>
      </c>
      <c r="Q142" s="3281" t="s">
        <v>2791</v>
      </c>
      <c r="R142" s="3281" t="s">
        <v>2791</v>
      </c>
      <c r="S142" s="3281" t="s">
        <v>2791</v>
      </c>
      <c r="T142" s="3281" t="s">
        <v>2791</v>
      </c>
      <c r="U142" s="3281" t="s">
        <v>2791</v>
      </c>
      <c r="V142" s="3281" t="s">
        <v>2791</v>
      </c>
      <c r="W142" s="3281" t="s">
        <v>3263</v>
      </c>
      <c r="X142" s="3281" t="s">
        <v>3425</v>
      </c>
      <c r="Y142" s="3281" t="s">
        <v>3426</v>
      </c>
      <c r="Z142" s="3281" t="s">
        <v>3426</v>
      </c>
      <c r="AA142" s="3281" t="s">
        <v>3426</v>
      </c>
      <c r="AB142" s="3281" t="s">
        <v>3427</v>
      </c>
      <c r="AC142" s="3281" t="s">
        <v>3088</v>
      </c>
      <c r="AD142" s="3281" t="s">
        <v>3434</v>
      </c>
      <c r="AE142" s="3281">
        <v>8380</v>
      </c>
      <c r="AF142" s="3281">
        <v>16760</v>
      </c>
      <c r="AG142" s="3281">
        <v>16960</v>
      </c>
      <c r="AH142" s="3281">
        <v>310.08</v>
      </c>
      <c r="AI142" s="3281">
        <v>313.77999999999997</v>
      </c>
      <c r="AJ142" s="3281">
        <v>1860.46</v>
      </c>
      <c r="AK142" s="3281">
        <v>1882.67</v>
      </c>
      <c r="AL142" s="3281" t="s">
        <v>2791</v>
      </c>
      <c r="AM142" s="3281" t="s">
        <v>2791</v>
      </c>
      <c r="AN142" s="3281">
        <v>1.19</v>
      </c>
      <c r="AO142" s="3281" t="s">
        <v>3063</v>
      </c>
      <c r="AP142" s="3281" t="s">
        <v>2791</v>
      </c>
      <c r="AQ142" s="3281" t="s">
        <v>2791</v>
      </c>
      <c r="AR142" s="3281" t="s">
        <v>2791</v>
      </c>
      <c r="AS142" s="3281" t="s">
        <v>3081</v>
      </c>
    </row>
    <row r="143" spans="1:46" s="3291" customFormat="1">
      <c r="A143" s="3290" t="s">
        <v>3423</v>
      </c>
      <c r="B143" s="3281" t="s">
        <v>3056</v>
      </c>
      <c r="C143" s="3281" t="s">
        <v>3057</v>
      </c>
      <c r="D143" s="3281" t="s">
        <v>3058</v>
      </c>
      <c r="E143" s="3281" t="s">
        <v>2791</v>
      </c>
      <c r="F143" s="3281" t="s">
        <v>3423</v>
      </c>
      <c r="G143" s="3281" t="s">
        <v>3059</v>
      </c>
      <c r="H143" s="3281" t="s">
        <v>3435</v>
      </c>
      <c r="I143" s="3281" t="s">
        <v>3099</v>
      </c>
      <c r="J143" s="3281">
        <v>69162.19</v>
      </c>
      <c r="K143" s="3281">
        <v>172905.48</v>
      </c>
      <c r="L143" s="3281" t="s">
        <v>3075</v>
      </c>
      <c r="M143" s="3281" t="s">
        <v>2791</v>
      </c>
      <c r="N143" s="3281" t="s">
        <v>3076</v>
      </c>
      <c r="O143" s="3281" t="s">
        <v>3078</v>
      </c>
      <c r="P143" s="3281" t="s">
        <v>2791</v>
      </c>
      <c r="Q143" s="3281" t="s">
        <v>2791</v>
      </c>
      <c r="R143" s="3281" t="s">
        <v>2791</v>
      </c>
      <c r="S143" s="3281" t="s">
        <v>2791</v>
      </c>
      <c r="T143" s="3281" t="s">
        <v>2791</v>
      </c>
      <c r="U143" s="3281" t="s">
        <v>2791</v>
      </c>
      <c r="V143" s="3281" t="s">
        <v>2791</v>
      </c>
      <c r="W143" s="3281" t="s">
        <v>3263</v>
      </c>
      <c r="X143" s="3281" t="s">
        <v>3425</v>
      </c>
      <c r="Y143" s="3281" t="s">
        <v>3426</v>
      </c>
      <c r="Z143" s="3281" t="s">
        <v>3426</v>
      </c>
      <c r="AA143" s="3281" t="s">
        <v>3426</v>
      </c>
      <c r="AB143" s="3281" t="s">
        <v>3427</v>
      </c>
      <c r="AC143" s="3281" t="s">
        <v>3088</v>
      </c>
      <c r="AD143" s="3281" t="s">
        <v>3432</v>
      </c>
      <c r="AE143" s="3281">
        <v>16080</v>
      </c>
      <c r="AF143" s="3281">
        <v>32160</v>
      </c>
      <c r="AG143" s="3281">
        <v>32360</v>
      </c>
      <c r="AH143" s="3281">
        <v>310</v>
      </c>
      <c r="AI143" s="3281">
        <v>311.92</v>
      </c>
      <c r="AJ143" s="3281">
        <v>1859.97</v>
      </c>
      <c r="AK143" s="3281">
        <v>1871.53</v>
      </c>
      <c r="AL143" s="3281" t="s">
        <v>2791</v>
      </c>
      <c r="AM143" s="3281" t="s">
        <v>2791</v>
      </c>
      <c r="AN143" s="3281">
        <v>0.62</v>
      </c>
      <c r="AO143" s="3281" t="s">
        <v>3063</v>
      </c>
      <c r="AP143" s="3281" t="s">
        <v>2791</v>
      </c>
      <c r="AQ143" s="3281" t="s">
        <v>2791</v>
      </c>
      <c r="AR143" s="3281" t="s">
        <v>2791</v>
      </c>
      <c r="AS143" s="3281" t="s">
        <v>3082</v>
      </c>
    </row>
    <row r="144" spans="1:46" s="3294" customFormat="1" ht="14.25" thickBot="1">
      <c r="A144" s="3292" t="s">
        <v>3423</v>
      </c>
      <c r="B144" s="3293" t="s">
        <v>3056</v>
      </c>
      <c r="C144" s="3293" t="s">
        <v>3057</v>
      </c>
      <c r="D144" s="3293" t="s">
        <v>3058</v>
      </c>
      <c r="E144" s="3293" t="s">
        <v>2791</v>
      </c>
      <c r="F144" s="3293" t="s">
        <v>3423</v>
      </c>
      <c r="G144" s="3293" t="s">
        <v>3059</v>
      </c>
      <c r="H144" s="3293" t="s">
        <v>3436</v>
      </c>
      <c r="I144" s="3293" t="s">
        <v>3099</v>
      </c>
      <c r="J144" s="3293">
        <v>33922.97</v>
      </c>
      <c r="K144" s="3293">
        <v>84807.43</v>
      </c>
      <c r="L144" s="3293" t="s">
        <v>3075</v>
      </c>
      <c r="M144" s="3293" t="s">
        <v>2791</v>
      </c>
      <c r="N144" s="3293" t="s">
        <v>3076</v>
      </c>
      <c r="O144" s="3293" t="s">
        <v>3078</v>
      </c>
      <c r="P144" s="3293" t="s">
        <v>2791</v>
      </c>
      <c r="Q144" s="3293" t="s">
        <v>2791</v>
      </c>
      <c r="R144" s="3293" t="s">
        <v>2791</v>
      </c>
      <c r="S144" s="3293" t="s">
        <v>2791</v>
      </c>
      <c r="T144" s="3293" t="s">
        <v>2791</v>
      </c>
      <c r="U144" s="3293" t="s">
        <v>2791</v>
      </c>
      <c r="V144" s="3293" t="s">
        <v>2791</v>
      </c>
      <c r="W144" s="3293" t="s">
        <v>3263</v>
      </c>
      <c r="X144" s="3293" t="s">
        <v>3425</v>
      </c>
      <c r="Y144" s="3293" t="s">
        <v>3426</v>
      </c>
      <c r="Z144" s="3293" t="s">
        <v>3426</v>
      </c>
      <c r="AA144" s="3293" t="s">
        <v>3426</v>
      </c>
      <c r="AB144" s="3293" t="s">
        <v>3427</v>
      </c>
      <c r="AC144" s="3293" t="s">
        <v>3088</v>
      </c>
      <c r="AD144" s="3293" t="s">
        <v>3432</v>
      </c>
      <c r="AE144" s="3293">
        <v>7890</v>
      </c>
      <c r="AF144" s="3293">
        <v>15780</v>
      </c>
      <c r="AG144" s="3293">
        <v>15980</v>
      </c>
      <c r="AH144" s="3293">
        <v>310.11</v>
      </c>
      <c r="AI144" s="3293">
        <v>314.04000000000002</v>
      </c>
      <c r="AJ144" s="3293">
        <v>1860.68</v>
      </c>
      <c r="AK144" s="3293">
        <v>1884.26</v>
      </c>
      <c r="AL144" s="3293" t="s">
        <v>2791</v>
      </c>
      <c r="AM144" s="3293" t="s">
        <v>2791</v>
      </c>
      <c r="AN144" s="3293">
        <v>1.27</v>
      </c>
      <c r="AO144" s="3293" t="s">
        <v>3063</v>
      </c>
      <c r="AP144" s="3293" t="s">
        <v>2791</v>
      </c>
      <c r="AQ144" s="3293" t="s">
        <v>2791</v>
      </c>
      <c r="AR144" s="3293" t="s">
        <v>2791</v>
      </c>
      <c r="AS144" s="3293" t="s">
        <v>3082</v>
      </c>
    </row>
    <row r="145" spans="1:45" s="3278" customFormat="1" hidden="1">
      <c r="A145" s="3277" t="s">
        <v>3437</v>
      </c>
      <c r="B145" s="3277" t="s">
        <v>3056</v>
      </c>
      <c r="C145" s="3277" t="s">
        <v>3057</v>
      </c>
      <c r="D145" s="3277" t="s">
        <v>3058</v>
      </c>
      <c r="E145" s="3277" t="s">
        <v>2791</v>
      </c>
      <c r="F145" s="3277" t="s">
        <v>3437</v>
      </c>
      <c r="G145" s="3277" t="s">
        <v>3059</v>
      </c>
      <c r="H145" s="3277" t="s">
        <v>3438</v>
      </c>
      <c r="I145" s="3277" t="s">
        <v>3099</v>
      </c>
      <c r="J145" s="3277">
        <v>46032.21</v>
      </c>
      <c r="K145" s="3277">
        <v>92064.42</v>
      </c>
      <c r="L145" s="3277" t="s">
        <v>3439</v>
      </c>
      <c r="M145" s="3277" t="s">
        <v>2791</v>
      </c>
      <c r="N145" s="3277" t="s">
        <v>3061</v>
      </c>
      <c r="O145" s="3277" t="s">
        <v>3062</v>
      </c>
      <c r="P145" s="3277" t="s">
        <v>2791</v>
      </c>
      <c r="Q145" s="3277" t="s">
        <v>2791</v>
      </c>
      <c r="R145" s="3277" t="s">
        <v>2791</v>
      </c>
      <c r="S145" s="3277" t="s">
        <v>2791</v>
      </c>
      <c r="T145" s="3277" t="s">
        <v>2791</v>
      </c>
      <c r="U145" s="3277" t="s">
        <v>2791</v>
      </c>
      <c r="V145" s="3277" t="s">
        <v>2791</v>
      </c>
      <c r="W145" s="3277" t="s">
        <v>3263</v>
      </c>
      <c r="X145" s="3277" t="s">
        <v>3440</v>
      </c>
      <c r="Y145" s="3277" t="s">
        <v>3441</v>
      </c>
      <c r="Z145" s="3277" t="s">
        <v>3441</v>
      </c>
      <c r="AA145" s="3277" t="s">
        <v>3441</v>
      </c>
      <c r="AB145" s="3277" t="s">
        <v>3442</v>
      </c>
      <c r="AC145" s="3277" t="s">
        <v>3088</v>
      </c>
      <c r="AD145" s="3277" t="s">
        <v>3166</v>
      </c>
      <c r="AE145" s="3277">
        <v>26530</v>
      </c>
      <c r="AF145" s="3277">
        <v>26530</v>
      </c>
      <c r="AG145" s="3277">
        <v>32630</v>
      </c>
      <c r="AH145" s="3277">
        <v>384.22</v>
      </c>
      <c r="AI145" s="3277">
        <v>472.57</v>
      </c>
      <c r="AJ145" s="3277">
        <v>2881.67</v>
      </c>
      <c r="AK145" s="3277">
        <v>3544.26</v>
      </c>
      <c r="AL145" s="3277" t="s">
        <v>2791</v>
      </c>
      <c r="AM145" s="3277" t="s">
        <v>2791</v>
      </c>
      <c r="AN145" s="3277">
        <v>22.99</v>
      </c>
      <c r="AO145" s="3277" t="s">
        <v>3063</v>
      </c>
      <c r="AP145" s="3277" t="s">
        <v>2791</v>
      </c>
      <c r="AQ145" s="3277" t="s">
        <v>2791</v>
      </c>
      <c r="AR145" s="3277" t="s">
        <v>2791</v>
      </c>
      <c r="AS145" s="3277" t="s">
        <v>3129</v>
      </c>
    </row>
    <row r="146" spans="1:45">
      <c r="A146" s="3285" t="s">
        <v>3443</v>
      </c>
      <c r="B146" s="3285" t="s">
        <v>3056</v>
      </c>
      <c r="C146" s="3285" t="s">
        <v>3057</v>
      </c>
      <c r="D146" s="3285" t="s">
        <v>3058</v>
      </c>
      <c r="E146" s="3285" t="s">
        <v>2791</v>
      </c>
      <c r="F146" s="3285" t="s">
        <v>3443</v>
      </c>
      <c r="G146" s="3285" t="s">
        <v>3059</v>
      </c>
      <c r="H146" s="3285" t="s">
        <v>3444</v>
      </c>
      <c r="I146" s="3285" t="s">
        <v>3099</v>
      </c>
      <c r="J146" s="3285">
        <v>29954.77</v>
      </c>
      <c r="K146" s="3285">
        <v>44932.160000000003</v>
      </c>
      <c r="L146" s="3285" t="s">
        <v>3413</v>
      </c>
      <c r="M146" s="3285" t="s">
        <v>2791</v>
      </c>
      <c r="N146" s="3285" t="s">
        <v>3389</v>
      </c>
      <c r="O146" s="3285" t="s">
        <v>3080</v>
      </c>
      <c r="P146" s="3285" t="s">
        <v>2791</v>
      </c>
      <c r="Q146" s="3285" t="s">
        <v>2791</v>
      </c>
      <c r="R146" s="3285" t="s">
        <v>2791</v>
      </c>
      <c r="S146" s="3285" t="s">
        <v>2791</v>
      </c>
      <c r="T146" s="3285" t="s">
        <v>2791</v>
      </c>
      <c r="U146" s="3285" t="s">
        <v>2791</v>
      </c>
      <c r="V146" s="3285" t="s">
        <v>2791</v>
      </c>
      <c r="W146" s="3285" t="s">
        <v>3263</v>
      </c>
      <c r="X146" s="3285" t="s">
        <v>3445</v>
      </c>
      <c r="Y146" s="3285" t="s">
        <v>3440</v>
      </c>
      <c r="Z146" s="3285" t="s">
        <v>3440</v>
      </c>
      <c r="AA146" s="3285" t="s">
        <v>3440</v>
      </c>
      <c r="AB146" s="3285" t="s">
        <v>3446</v>
      </c>
      <c r="AC146" s="3285" t="s">
        <v>3088</v>
      </c>
      <c r="AD146" s="3285" t="s">
        <v>3447</v>
      </c>
      <c r="AE146" s="3285">
        <v>2700</v>
      </c>
      <c r="AF146" s="3285">
        <v>9000</v>
      </c>
      <c r="AG146" s="3285">
        <v>9000</v>
      </c>
      <c r="AH146" s="3285">
        <v>200.3</v>
      </c>
      <c r="AI146" s="3285">
        <v>200.3</v>
      </c>
      <c r="AJ146" s="3285">
        <v>2003.01</v>
      </c>
      <c r="AK146" s="3285">
        <v>2003.01</v>
      </c>
      <c r="AL146" s="3285" t="s">
        <v>2791</v>
      </c>
      <c r="AM146" s="3285" t="s">
        <v>2791</v>
      </c>
      <c r="AN146" s="3285">
        <v>0</v>
      </c>
      <c r="AO146" s="3285" t="s">
        <v>3063</v>
      </c>
      <c r="AP146" s="3285" t="s">
        <v>2791</v>
      </c>
      <c r="AQ146" s="3285" t="s">
        <v>2791</v>
      </c>
      <c r="AR146" s="3285" t="s">
        <v>2791</v>
      </c>
      <c r="AS146" s="3285" t="s">
        <v>3081</v>
      </c>
    </row>
    <row r="147" spans="1:45">
      <c r="A147" s="3285" t="s">
        <v>3448</v>
      </c>
      <c r="B147" s="3285" t="s">
        <v>3056</v>
      </c>
      <c r="C147" s="3285" t="s">
        <v>3449</v>
      </c>
      <c r="D147" s="3285" t="s">
        <v>3058</v>
      </c>
      <c r="E147" s="3285" t="s">
        <v>2791</v>
      </c>
      <c r="F147" s="3285" t="s">
        <v>3448</v>
      </c>
      <c r="G147" s="3285" t="s">
        <v>3059</v>
      </c>
      <c r="H147" s="3285" t="s">
        <v>3450</v>
      </c>
      <c r="I147" s="3285" t="s">
        <v>3451</v>
      </c>
      <c r="J147" s="3285">
        <v>30474.21</v>
      </c>
      <c r="K147" s="3285">
        <v>106659.74</v>
      </c>
      <c r="L147" s="3285" t="s">
        <v>3452</v>
      </c>
      <c r="M147" s="3285" t="s">
        <v>2791</v>
      </c>
      <c r="N147" s="3285" t="s">
        <v>3453</v>
      </c>
      <c r="O147" s="3285" t="s">
        <v>3453</v>
      </c>
      <c r="P147" s="3285" t="s">
        <v>2791</v>
      </c>
      <c r="Q147" s="3285" t="s">
        <v>2791</v>
      </c>
      <c r="R147" s="3285" t="s">
        <v>2791</v>
      </c>
      <c r="S147" s="3285" t="s">
        <v>2791</v>
      </c>
      <c r="T147" s="3285" t="s">
        <v>2791</v>
      </c>
      <c r="U147" s="3285" t="s">
        <v>2791</v>
      </c>
      <c r="V147" s="3285" t="s">
        <v>2791</v>
      </c>
      <c r="W147" s="3285" t="s">
        <v>3263</v>
      </c>
      <c r="X147" s="3285" t="s">
        <v>3454</v>
      </c>
      <c r="Y147" s="3285" t="s">
        <v>3455</v>
      </c>
      <c r="Z147" s="3285" t="s">
        <v>3455</v>
      </c>
      <c r="AA147" s="3285" t="s">
        <v>3455</v>
      </c>
      <c r="AB147" s="3285" t="s">
        <v>3456</v>
      </c>
      <c r="AC147" s="3285" t="s">
        <v>3088</v>
      </c>
      <c r="AD147" s="3285" t="s">
        <v>3457</v>
      </c>
      <c r="AE147" s="3285">
        <v>4370</v>
      </c>
      <c r="AF147" s="3285">
        <v>8740</v>
      </c>
      <c r="AG147" s="3285">
        <v>8740</v>
      </c>
      <c r="AH147" s="3285">
        <v>191.2</v>
      </c>
      <c r="AI147" s="3285">
        <v>191.2</v>
      </c>
      <c r="AJ147" s="3285">
        <v>819.42</v>
      </c>
      <c r="AK147" s="3285">
        <v>819.42</v>
      </c>
      <c r="AL147" s="3285" t="s">
        <v>2791</v>
      </c>
      <c r="AM147" s="3285" t="s">
        <v>2791</v>
      </c>
      <c r="AN147" s="3285">
        <v>0</v>
      </c>
      <c r="AO147" s="3285" t="s">
        <v>3458</v>
      </c>
      <c r="AP147" s="3285" t="s">
        <v>2791</v>
      </c>
      <c r="AQ147" s="3285" t="s">
        <v>2791</v>
      </c>
      <c r="AR147" s="3285" t="s">
        <v>2791</v>
      </c>
      <c r="AS147" s="3285" t="s">
        <v>3081</v>
      </c>
    </row>
    <row r="148" spans="1:45">
      <c r="A148" s="3285" t="s">
        <v>3448</v>
      </c>
      <c r="B148" s="3285" t="s">
        <v>3056</v>
      </c>
      <c r="C148" s="3285" t="s">
        <v>3449</v>
      </c>
      <c r="D148" s="3285" t="s">
        <v>3058</v>
      </c>
      <c r="E148" s="3285" t="s">
        <v>2791</v>
      </c>
      <c r="F148" s="3285" t="s">
        <v>3448</v>
      </c>
      <c r="G148" s="3285" t="s">
        <v>3059</v>
      </c>
      <c r="H148" s="3285" t="s">
        <v>3459</v>
      </c>
      <c r="I148" s="3285" t="s">
        <v>3460</v>
      </c>
      <c r="J148" s="3285">
        <v>40349.58</v>
      </c>
      <c r="K148" s="3285">
        <v>91593.55</v>
      </c>
      <c r="L148" s="3285" t="s">
        <v>3461</v>
      </c>
      <c r="M148" s="3285" t="s">
        <v>2791</v>
      </c>
      <c r="N148" s="3285" t="s">
        <v>3453</v>
      </c>
      <c r="O148" s="3285" t="s">
        <v>3453</v>
      </c>
      <c r="P148" s="3285" t="s">
        <v>2791</v>
      </c>
      <c r="Q148" s="3285" t="s">
        <v>2791</v>
      </c>
      <c r="R148" s="3285" t="s">
        <v>2791</v>
      </c>
      <c r="S148" s="3285" t="s">
        <v>2791</v>
      </c>
      <c r="T148" s="3285" t="s">
        <v>2791</v>
      </c>
      <c r="U148" s="3285" t="s">
        <v>2791</v>
      </c>
      <c r="V148" s="3285" t="s">
        <v>2791</v>
      </c>
      <c r="W148" s="3285" t="s">
        <v>3263</v>
      </c>
      <c r="X148" s="3285" t="s">
        <v>3454</v>
      </c>
      <c r="Y148" s="3285" t="s">
        <v>3455</v>
      </c>
      <c r="Z148" s="3285" t="s">
        <v>3455</v>
      </c>
      <c r="AA148" s="3285" t="s">
        <v>3455</v>
      </c>
      <c r="AB148" s="3285" t="s">
        <v>3462</v>
      </c>
      <c r="AC148" s="3285" t="s">
        <v>3088</v>
      </c>
      <c r="AD148" s="3285" t="s">
        <v>3457</v>
      </c>
      <c r="AE148" s="3285">
        <v>6690</v>
      </c>
      <c r="AF148" s="3285">
        <v>13380</v>
      </c>
      <c r="AG148" s="3285">
        <v>13380</v>
      </c>
      <c r="AH148" s="3285">
        <v>221.07</v>
      </c>
      <c r="AI148" s="3285">
        <v>221.07</v>
      </c>
      <c r="AJ148" s="3285">
        <v>1460.8</v>
      </c>
      <c r="AK148" s="3285">
        <v>1460.79</v>
      </c>
      <c r="AL148" s="3285" t="s">
        <v>2791</v>
      </c>
      <c r="AM148" s="3285" t="s">
        <v>2791</v>
      </c>
      <c r="AN148" s="3285">
        <v>0</v>
      </c>
      <c r="AO148" s="3285" t="s">
        <v>3458</v>
      </c>
      <c r="AP148" s="3285" t="s">
        <v>2791</v>
      </c>
      <c r="AQ148" s="3285" t="s">
        <v>2791</v>
      </c>
      <c r="AR148" s="3285" t="s">
        <v>2791</v>
      </c>
      <c r="AS148" s="3285" t="s">
        <v>3081</v>
      </c>
    </row>
    <row r="149" spans="1:45">
      <c r="A149" s="3285" t="s">
        <v>3463</v>
      </c>
      <c r="B149" s="3285" t="s">
        <v>3056</v>
      </c>
      <c r="C149" s="3285" t="s">
        <v>3449</v>
      </c>
      <c r="D149" s="3285" t="s">
        <v>3058</v>
      </c>
      <c r="E149" s="3285" t="s">
        <v>2791</v>
      </c>
      <c r="F149" s="3285" t="s">
        <v>3463</v>
      </c>
      <c r="G149" s="3285" t="s">
        <v>3059</v>
      </c>
      <c r="H149" s="3285" t="s">
        <v>3464</v>
      </c>
      <c r="I149" s="3285" t="s">
        <v>3460</v>
      </c>
      <c r="J149" s="3285">
        <v>71372.070000000007</v>
      </c>
      <c r="K149" s="3285">
        <v>162014.6</v>
      </c>
      <c r="L149" s="3285" t="s">
        <v>3461</v>
      </c>
      <c r="M149" s="3285" t="s">
        <v>2791</v>
      </c>
      <c r="N149" s="3285" t="s">
        <v>3453</v>
      </c>
      <c r="O149" s="3285" t="s">
        <v>3453</v>
      </c>
      <c r="P149" s="3285" t="s">
        <v>2791</v>
      </c>
      <c r="Q149" s="3285" t="s">
        <v>2791</v>
      </c>
      <c r="R149" s="3285" t="s">
        <v>2791</v>
      </c>
      <c r="S149" s="3285" t="s">
        <v>2791</v>
      </c>
      <c r="T149" s="3285" t="s">
        <v>2791</v>
      </c>
      <c r="U149" s="3285" t="s">
        <v>2791</v>
      </c>
      <c r="V149" s="3285" t="s">
        <v>2791</v>
      </c>
      <c r="W149" s="3285" t="s">
        <v>3263</v>
      </c>
      <c r="X149" s="3285" t="s">
        <v>3454</v>
      </c>
      <c r="Y149" s="3285" t="s">
        <v>3455</v>
      </c>
      <c r="Z149" s="3285" t="s">
        <v>3455</v>
      </c>
      <c r="AA149" s="3285" t="s">
        <v>3455</v>
      </c>
      <c r="AB149" s="3285" t="s">
        <v>3465</v>
      </c>
      <c r="AC149" s="3285" t="s">
        <v>3088</v>
      </c>
      <c r="AD149" s="3285" t="s">
        <v>3466</v>
      </c>
      <c r="AE149" s="3285">
        <v>11835</v>
      </c>
      <c r="AF149" s="3285">
        <v>23670</v>
      </c>
      <c r="AG149" s="3285">
        <v>23670</v>
      </c>
      <c r="AH149" s="3285">
        <v>221.09</v>
      </c>
      <c r="AI149" s="3285">
        <v>221.09</v>
      </c>
      <c r="AJ149" s="3285">
        <v>1460.97</v>
      </c>
      <c r="AK149" s="3285">
        <v>1460.98</v>
      </c>
      <c r="AL149" s="3285" t="s">
        <v>2791</v>
      </c>
      <c r="AM149" s="3285" t="s">
        <v>2791</v>
      </c>
      <c r="AN149" s="3285">
        <v>0</v>
      </c>
      <c r="AO149" s="3285" t="s">
        <v>3458</v>
      </c>
      <c r="AP149" s="3285" t="s">
        <v>2791</v>
      </c>
      <c r="AQ149" s="3285" t="s">
        <v>2791</v>
      </c>
      <c r="AR149" s="3285" t="s">
        <v>2791</v>
      </c>
      <c r="AS149" s="3285" t="s">
        <v>3129</v>
      </c>
    </row>
    <row r="150" spans="1:45" s="3278" customFormat="1" hidden="1">
      <c r="A150" s="3277" t="s">
        <v>3467</v>
      </c>
      <c r="B150" s="3277" t="s">
        <v>3056</v>
      </c>
      <c r="C150" s="3277" t="s">
        <v>3057</v>
      </c>
      <c r="D150" s="3277" t="s">
        <v>3058</v>
      </c>
      <c r="E150" s="3277" t="s">
        <v>2791</v>
      </c>
      <c r="F150" s="3277" t="s">
        <v>3467</v>
      </c>
      <c r="G150" s="3277" t="s">
        <v>3059</v>
      </c>
      <c r="H150" s="3277" t="s">
        <v>3468</v>
      </c>
      <c r="I150" s="3277" t="s">
        <v>3469</v>
      </c>
      <c r="J150" s="3277">
        <v>24233.22</v>
      </c>
      <c r="K150" s="3277">
        <v>60583.05</v>
      </c>
      <c r="L150" s="3277" t="s">
        <v>3221</v>
      </c>
      <c r="M150" s="3277" t="s">
        <v>2791</v>
      </c>
      <c r="N150" s="3277" t="s">
        <v>3470</v>
      </c>
      <c r="O150" s="3277" t="s">
        <v>3471</v>
      </c>
      <c r="P150" s="3277" t="s">
        <v>2791</v>
      </c>
      <c r="Q150" s="3277" t="s">
        <v>2791</v>
      </c>
      <c r="R150" s="3277" t="s">
        <v>2791</v>
      </c>
      <c r="S150" s="3277" t="s">
        <v>2791</v>
      </c>
      <c r="T150" s="3277" t="s">
        <v>2791</v>
      </c>
      <c r="U150" s="3277" t="s">
        <v>2791</v>
      </c>
      <c r="V150" s="3277" t="s">
        <v>2791</v>
      </c>
      <c r="W150" s="3277" t="s">
        <v>3263</v>
      </c>
      <c r="X150" s="3277" t="s">
        <v>3472</v>
      </c>
      <c r="Y150" s="3277" t="s">
        <v>3473</v>
      </c>
      <c r="Z150" s="3277" t="s">
        <v>3473</v>
      </c>
      <c r="AA150" s="3277" t="s">
        <v>3473</v>
      </c>
      <c r="AB150" s="3277" t="s">
        <v>3474</v>
      </c>
      <c r="AC150" s="3277" t="s">
        <v>3088</v>
      </c>
      <c r="AD150" s="3277" t="s">
        <v>3475</v>
      </c>
      <c r="AE150" s="3277">
        <v>14300</v>
      </c>
      <c r="AF150" s="3277">
        <v>14300</v>
      </c>
      <c r="AG150" s="3277">
        <v>14300</v>
      </c>
      <c r="AH150" s="3277">
        <v>393.4</v>
      </c>
      <c r="AI150" s="3277">
        <v>393.4</v>
      </c>
      <c r="AJ150" s="3277">
        <v>2360.39</v>
      </c>
      <c r="AK150" s="3277">
        <v>2360.4</v>
      </c>
      <c r="AL150" s="3277" t="s">
        <v>2791</v>
      </c>
      <c r="AM150" s="3277" t="s">
        <v>2791</v>
      </c>
      <c r="AN150" s="3277">
        <v>0</v>
      </c>
      <c r="AO150" s="3277" t="s">
        <v>3063</v>
      </c>
      <c r="AP150" s="3277" t="s">
        <v>2791</v>
      </c>
      <c r="AQ150" s="3277" t="s">
        <v>2791</v>
      </c>
      <c r="AR150" s="3277" t="s">
        <v>2791</v>
      </c>
      <c r="AS150" s="3277" t="s">
        <v>3129</v>
      </c>
    </row>
    <row r="151" spans="1:45" s="3278" customFormat="1" hidden="1">
      <c r="A151" s="3277" t="s">
        <v>3467</v>
      </c>
      <c r="B151" s="3277" t="s">
        <v>3056</v>
      </c>
      <c r="C151" s="3277" t="s">
        <v>3057</v>
      </c>
      <c r="D151" s="3277" t="s">
        <v>3058</v>
      </c>
      <c r="E151" s="3277" t="s">
        <v>2791</v>
      </c>
      <c r="F151" s="3277" t="s">
        <v>3467</v>
      </c>
      <c r="G151" s="3277" t="s">
        <v>3059</v>
      </c>
      <c r="H151" s="3277" t="s">
        <v>3476</v>
      </c>
      <c r="I151" s="3277" t="s">
        <v>3469</v>
      </c>
      <c r="J151" s="3277">
        <v>38484.6</v>
      </c>
      <c r="K151" s="3277">
        <v>46181.52</v>
      </c>
      <c r="L151" s="3277" t="s">
        <v>3310</v>
      </c>
      <c r="M151" s="3277" t="s">
        <v>2791</v>
      </c>
      <c r="N151" s="3277" t="s">
        <v>3470</v>
      </c>
      <c r="O151" s="3277" t="s">
        <v>3477</v>
      </c>
      <c r="P151" s="3277" t="s">
        <v>2791</v>
      </c>
      <c r="Q151" s="3277" t="s">
        <v>2791</v>
      </c>
      <c r="R151" s="3277" t="s">
        <v>2791</v>
      </c>
      <c r="S151" s="3277" t="s">
        <v>2791</v>
      </c>
      <c r="T151" s="3277" t="s">
        <v>2791</v>
      </c>
      <c r="U151" s="3277" t="s">
        <v>2791</v>
      </c>
      <c r="V151" s="3277" t="s">
        <v>2791</v>
      </c>
      <c r="W151" s="3277" t="s">
        <v>3263</v>
      </c>
      <c r="X151" s="3277" t="s">
        <v>3472</v>
      </c>
      <c r="Y151" s="3277" t="s">
        <v>3473</v>
      </c>
      <c r="Z151" s="3277" t="s">
        <v>3473</v>
      </c>
      <c r="AA151" s="3277" t="s">
        <v>3473</v>
      </c>
      <c r="AB151" s="3277" t="s">
        <v>3474</v>
      </c>
      <c r="AC151" s="3277" t="s">
        <v>3088</v>
      </c>
      <c r="AD151" s="3277" t="s">
        <v>3475</v>
      </c>
      <c r="AE151" s="3277">
        <v>12650</v>
      </c>
      <c r="AF151" s="3277">
        <v>12650</v>
      </c>
      <c r="AG151" s="3277">
        <v>12650</v>
      </c>
      <c r="AH151" s="3277">
        <v>219.14</v>
      </c>
      <c r="AI151" s="3277">
        <v>219.14</v>
      </c>
      <c r="AJ151" s="3277">
        <v>2739.19</v>
      </c>
      <c r="AK151" s="3277">
        <v>2739.19</v>
      </c>
      <c r="AL151" s="3277" t="s">
        <v>2791</v>
      </c>
      <c r="AM151" s="3277" t="s">
        <v>2791</v>
      </c>
      <c r="AN151" s="3277">
        <v>0</v>
      </c>
      <c r="AO151" s="3277" t="s">
        <v>3063</v>
      </c>
      <c r="AP151" s="3277" t="s">
        <v>2791</v>
      </c>
      <c r="AQ151" s="3277" t="s">
        <v>2791</v>
      </c>
      <c r="AR151" s="3277" t="s">
        <v>2791</v>
      </c>
      <c r="AS151" s="3277" t="s">
        <v>3129</v>
      </c>
    </row>
    <row r="152" spans="1:45" s="3278" customFormat="1" hidden="1">
      <c r="A152" s="3277" t="s">
        <v>3467</v>
      </c>
      <c r="B152" s="3277" t="s">
        <v>3056</v>
      </c>
      <c r="C152" s="3277" t="s">
        <v>3057</v>
      </c>
      <c r="D152" s="3277" t="s">
        <v>3058</v>
      </c>
      <c r="E152" s="3277" t="s">
        <v>2791</v>
      </c>
      <c r="F152" s="3277" t="s">
        <v>3467</v>
      </c>
      <c r="G152" s="3277" t="s">
        <v>3059</v>
      </c>
      <c r="H152" s="3277" t="s">
        <v>3478</v>
      </c>
      <c r="I152" s="3277" t="s">
        <v>3469</v>
      </c>
      <c r="J152" s="3277">
        <v>21262.05</v>
      </c>
      <c r="K152" s="3277">
        <v>25514.46</v>
      </c>
      <c r="L152" s="3277" t="s">
        <v>3310</v>
      </c>
      <c r="M152" s="3277" t="s">
        <v>2791</v>
      </c>
      <c r="N152" s="3277" t="s">
        <v>3470</v>
      </c>
      <c r="O152" s="3277" t="s">
        <v>3477</v>
      </c>
      <c r="P152" s="3277" t="s">
        <v>2791</v>
      </c>
      <c r="Q152" s="3277" t="s">
        <v>2791</v>
      </c>
      <c r="R152" s="3277" t="s">
        <v>2791</v>
      </c>
      <c r="S152" s="3277" t="s">
        <v>2791</v>
      </c>
      <c r="T152" s="3277" t="s">
        <v>2791</v>
      </c>
      <c r="U152" s="3277" t="s">
        <v>2791</v>
      </c>
      <c r="V152" s="3277" t="s">
        <v>2791</v>
      </c>
      <c r="W152" s="3277" t="s">
        <v>3263</v>
      </c>
      <c r="X152" s="3277" t="s">
        <v>3472</v>
      </c>
      <c r="Y152" s="3277" t="s">
        <v>3473</v>
      </c>
      <c r="Z152" s="3277" t="s">
        <v>3473</v>
      </c>
      <c r="AA152" s="3277" t="s">
        <v>3473</v>
      </c>
      <c r="AB152" s="3277" t="s">
        <v>3474</v>
      </c>
      <c r="AC152" s="3277" t="s">
        <v>3088</v>
      </c>
      <c r="AD152" s="3277" t="s">
        <v>3475</v>
      </c>
      <c r="AE152" s="3277">
        <v>7150</v>
      </c>
      <c r="AF152" s="3277">
        <v>7150</v>
      </c>
      <c r="AG152" s="3277">
        <v>7150</v>
      </c>
      <c r="AH152" s="3277">
        <v>224.19</v>
      </c>
      <c r="AI152" s="3277">
        <v>224.19</v>
      </c>
      <c r="AJ152" s="3277">
        <v>2802.33</v>
      </c>
      <c r="AK152" s="3277">
        <v>2802.32</v>
      </c>
      <c r="AL152" s="3277" t="s">
        <v>2791</v>
      </c>
      <c r="AM152" s="3277" t="s">
        <v>2791</v>
      </c>
      <c r="AN152" s="3277">
        <v>0</v>
      </c>
      <c r="AO152" s="3277" t="s">
        <v>3063</v>
      </c>
      <c r="AP152" s="3277" t="s">
        <v>2791</v>
      </c>
      <c r="AQ152" s="3277" t="s">
        <v>2791</v>
      </c>
      <c r="AR152" s="3277" t="s">
        <v>2791</v>
      </c>
      <c r="AS152" s="3277" t="s">
        <v>3129</v>
      </c>
    </row>
    <row r="153" spans="1:45" s="3278" customFormat="1" hidden="1">
      <c r="A153" s="3277" t="s">
        <v>3467</v>
      </c>
      <c r="B153" s="3277" t="s">
        <v>3056</v>
      </c>
      <c r="C153" s="3277" t="s">
        <v>3057</v>
      </c>
      <c r="D153" s="3277" t="s">
        <v>3058</v>
      </c>
      <c r="E153" s="3277" t="s">
        <v>2791</v>
      </c>
      <c r="F153" s="3277" t="s">
        <v>3467</v>
      </c>
      <c r="G153" s="3277" t="s">
        <v>3059</v>
      </c>
      <c r="H153" s="3277" t="s">
        <v>3479</v>
      </c>
      <c r="I153" s="3277" t="s">
        <v>3469</v>
      </c>
      <c r="J153" s="3277">
        <v>38208.61</v>
      </c>
      <c r="K153" s="3277">
        <v>57312.92</v>
      </c>
      <c r="L153" s="3277" t="s">
        <v>3480</v>
      </c>
      <c r="M153" s="3277" t="s">
        <v>2791</v>
      </c>
      <c r="N153" s="3277" t="s">
        <v>3481</v>
      </c>
      <c r="O153" s="3277" t="s">
        <v>3482</v>
      </c>
      <c r="P153" s="3277" t="s">
        <v>2791</v>
      </c>
      <c r="Q153" s="3277" t="s">
        <v>2791</v>
      </c>
      <c r="R153" s="3277" t="s">
        <v>2791</v>
      </c>
      <c r="S153" s="3277" t="s">
        <v>2791</v>
      </c>
      <c r="T153" s="3277" t="s">
        <v>2791</v>
      </c>
      <c r="U153" s="3277" t="s">
        <v>2791</v>
      </c>
      <c r="V153" s="3277" t="s">
        <v>2791</v>
      </c>
      <c r="W153" s="3277" t="s">
        <v>3263</v>
      </c>
      <c r="X153" s="3277" t="s">
        <v>3472</v>
      </c>
      <c r="Y153" s="3277" t="s">
        <v>3473</v>
      </c>
      <c r="Z153" s="3277" t="s">
        <v>3473</v>
      </c>
      <c r="AA153" s="3277" t="s">
        <v>3473</v>
      </c>
      <c r="AB153" s="3277" t="s">
        <v>3474</v>
      </c>
      <c r="AC153" s="3277" t="s">
        <v>3088</v>
      </c>
      <c r="AD153" s="3277" t="s">
        <v>3475</v>
      </c>
      <c r="AE153" s="3277">
        <v>13800</v>
      </c>
      <c r="AF153" s="3277">
        <v>13800</v>
      </c>
      <c r="AG153" s="3277">
        <v>13800</v>
      </c>
      <c r="AH153" s="3277">
        <v>240.78</v>
      </c>
      <c r="AI153" s="3277">
        <v>240.78</v>
      </c>
      <c r="AJ153" s="3277">
        <v>2407.83</v>
      </c>
      <c r="AK153" s="3277">
        <v>2407.8200000000002</v>
      </c>
      <c r="AL153" s="3277" t="s">
        <v>2791</v>
      </c>
      <c r="AM153" s="3277" t="s">
        <v>2791</v>
      </c>
      <c r="AN153" s="3277">
        <v>0</v>
      </c>
      <c r="AO153" s="3277" t="s">
        <v>3063</v>
      </c>
      <c r="AP153" s="3277" t="s">
        <v>2791</v>
      </c>
      <c r="AQ153" s="3277" t="s">
        <v>2791</v>
      </c>
      <c r="AR153" s="3277" t="s">
        <v>2791</v>
      </c>
      <c r="AS153" s="3277" t="s">
        <v>3129</v>
      </c>
    </row>
    <row r="154" spans="1:45" s="3278" customFormat="1" hidden="1">
      <c r="A154" s="3277" t="s">
        <v>3467</v>
      </c>
      <c r="B154" s="3277" t="s">
        <v>3056</v>
      </c>
      <c r="C154" s="3277" t="s">
        <v>3057</v>
      </c>
      <c r="D154" s="3277" t="s">
        <v>3058</v>
      </c>
      <c r="E154" s="3277" t="s">
        <v>2791</v>
      </c>
      <c r="F154" s="3277" t="s">
        <v>3467</v>
      </c>
      <c r="G154" s="3277" t="s">
        <v>3059</v>
      </c>
      <c r="H154" s="3277" t="s">
        <v>3483</v>
      </c>
      <c r="I154" s="3277" t="s">
        <v>3469</v>
      </c>
      <c r="J154" s="3277">
        <v>22837.33</v>
      </c>
      <c r="K154" s="3277">
        <v>34256</v>
      </c>
      <c r="L154" s="3277" t="s">
        <v>3480</v>
      </c>
      <c r="M154" s="3277" t="s">
        <v>2791</v>
      </c>
      <c r="N154" s="3277" t="s">
        <v>3481</v>
      </c>
      <c r="O154" s="3277" t="s">
        <v>3482</v>
      </c>
      <c r="P154" s="3277" t="s">
        <v>2791</v>
      </c>
      <c r="Q154" s="3277" t="s">
        <v>2791</v>
      </c>
      <c r="R154" s="3277" t="s">
        <v>2791</v>
      </c>
      <c r="S154" s="3277" t="s">
        <v>2791</v>
      </c>
      <c r="T154" s="3277" t="s">
        <v>2791</v>
      </c>
      <c r="U154" s="3277" t="s">
        <v>2791</v>
      </c>
      <c r="V154" s="3277" t="s">
        <v>2791</v>
      </c>
      <c r="W154" s="3277" t="s">
        <v>3263</v>
      </c>
      <c r="X154" s="3277" t="s">
        <v>3472</v>
      </c>
      <c r="Y154" s="3277" t="s">
        <v>3473</v>
      </c>
      <c r="Z154" s="3277" t="s">
        <v>3473</v>
      </c>
      <c r="AA154" s="3277" t="s">
        <v>3473</v>
      </c>
      <c r="AB154" s="3277" t="s">
        <v>3474</v>
      </c>
      <c r="AC154" s="3277" t="s">
        <v>3088</v>
      </c>
      <c r="AD154" s="3277" t="s">
        <v>3475</v>
      </c>
      <c r="AE154" s="3277">
        <v>8750</v>
      </c>
      <c r="AF154" s="3277">
        <v>8750</v>
      </c>
      <c r="AG154" s="3277">
        <v>8750</v>
      </c>
      <c r="AH154" s="3277">
        <v>255.43</v>
      </c>
      <c r="AI154" s="3277">
        <v>255.43</v>
      </c>
      <c r="AJ154" s="3277">
        <v>2554.29</v>
      </c>
      <c r="AK154" s="3277">
        <v>2554.3000000000002</v>
      </c>
      <c r="AL154" s="3277" t="s">
        <v>2791</v>
      </c>
      <c r="AM154" s="3277" t="s">
        <v>2791</v>
      </c>
      <c r="AN154" s="3277">
        <v>0</v>
      </c>
      <c r="AO154" s="3277" t="s">
        <v>3063</v>
      </c>
      <c r="AP154" s="3277" t="s">
        <v>2791</v>
      </c>
      <c r="AQ154" s="3277" t="s">
        <v>2791</v>
      </c>
      <c r="AR154" s="3277" t="s">
        <v>2791</v>
      </c>
      <c r="AS154" s="3277" t="s">
        <v>3129</v>
      </c>
    </row>
    <row r="155" spans="1:45" s="3278" customFormat="1" hidden="1">
      <c r="A155" s="3277" t="s">
        <v>3467</v>
      </c>
      <c r="B155" s="3277" t="s">
        <v>3056</v>
      </c>
      <c r="C155" s="3277" t="s">
        <v>3057</v>
      </c>
      <c r="D155" s="3277" t="s">
        <v>3058</v>
      </c>
      <c r="E155" s="3277" t="s">
        <v>2791</v>
      </c>
      <c r="F155" s="3277" t="s">
        <v>3467</v>
      </c>
      <c r="G155" s="3277" t="s">
        <v>3059</v>
      </c>
      <c r="H155" s="3277" t="s">
        <v>3484</v>
      </c>
      <c r="I155" s="3277" t="s">
        <v>3469</v>
      </c>
      <c r="J155" s="3277">
        <v>69070.42</v>
      </c>
      <c r="K155" s="3277">
        <v>138140.79999999999</v>
      </c>
      <c r="L155" s="3277" t="s">
        <v>3485</v>
      </c>
      <c r="M155" s="3277" t="s">
        <v>2791</v>
      </c>
      <c r="N155" s="3277" t="s">
        <v>3470</v>
      </c>
      <c r="O155" s="3277" t="s">
        <v>3066</v>
      </c>
      <c r="P155" s="3277" t="s">
        <v>2791</v>
      </c>
      <c r="Q155" s="3277" t="s">
        <v>2791</v>
      </c>
      <c r="R155" s="3277" t="s">
        <v>2791</v>
      </c>
      <c r="S155" s="3277" t="s">
        <v>2791</v>
      </c>
      <c r="T155" s="3277" t="s">
        <v>2791</v>
      </c>
      <c r="U155" s="3277" t="s">
        <v>2791</v>
      </c>
      <c r="V155" s="3277" t="s">
        <v>2791</v>
      </c>
      <c r="W155" s="3277" t="s">
        <v>3263</v>
      </c>
      <c r="X155" s="3277" t="s">
        <v>3472</v>
      </c>
      <c r="Y155" s="3277" t="s">
        <v>3473</v>
      </c>
      <c r="Z155" s="3277" t="s">
        <v>3473</v>
      </c>
      <c r="AA155" s="3277" t="s">
        <v>3473</v>
      </c>
      <c r="AB155" s="3277" t="s">
        <v>3474</v>
      </c>
      <c r="AC155" s="3277" t="s">
        <v>3088</v>
      </c>
      <c r="AD155" s="3277" t="s">
        <v>3475</v>
      </c>
      <c r="AE155" s="3277">
        <v>32050</v>
      </c>
      <c r="AF155" s="3277">
        <v>32050</v>
      </c>
      <c r="AG155" s="3277">
        <v>32050</v>
      </c>
      <c r="AH155" s="3277">
        <v>309.35000000000002</v>
      </c>
      <c r="AI155" s="3277">
        <v>309.35000000000002</v>
      </c>
      <c r="AJ155" s="3277">
        <v>2320.09</v>
      </c>
      <c r="AK155" s="3277">
        <v>2320.09</v>
      </c>
      <c r="AL155" s="3277" t="s">
        <v>2791</v>
      </c>
      <c r="AM155" s="3277" t="s">
        <v>2791</v>
      </c>
      <c r="AN155" s="3277">
        <v>0</v>
      </c>
      <c r="AO155" s="3277" t="s">
        <v>3063</v>
      </c>
      <c r="AP155" s="3277" t="s">
        <v>2791</v>
      </c>
      <c r="AQ155" s="3277" t="s">
        <v>2791</v>
      </c>
      <c r="AR155" s="3277" t="s">
        <v>2791</v>
      </c>
      <c r="AS155" s="3277" t="s">
        <v>3129</v>
      </c>
    </row>
    <row r="156" spans="1:45" s="3278" customFormat="1" hidden="1">
      <c r="A156" s="3277" t="s">
        <v>3467</v>
      </c>
      <c r="B156" s="3277" t="s">
        <v>3056</v>
      </c>
      <c r="C156" s="3277" t="s">
        <v>3057</v>
      </c>
      <c r="D156" s="3277" t="s">
        <v>3058</v>
      </c>
      <c r="E156" s="3277" t="s">
        <v>2791</v>
      </c>
      <c r="F156" s="3277" t="s">
        <v>3467</v>
      </c>
      <c r="G156" s="3277" t="s">
        <v>3059</v>
      </c>
      <c r="H156" s="3277" t="s">
        <v>3486</v>
      </c>
      <c r="I156" s="3277" t="s">
        <v>3469</v>
      </c>
      <c r="J156" s="3277">
        <v>44554.42</v>
      </c>
      <c r="K156" s="3277">
        <v>111386</v>
      </c>
      <c r="L156" s="3277" t="s">
        <v>3487</v>
      </c>
      <c r="M156" s="3277" t="s">
        <v>2791</v>
      </c>
      <c r="N156" s="3277" t="s">
        <v>3470</v>
      </c>
      <c r="O156" s="3277" t="s">
        <v>3471</v>
      </c>
      <c r="P156" s="3277" t="s">
        <v>2791</v>
      </c>
      <c r="Q156" s="3277" t="s">
        <v>2791</v>
      </c>
      <c r="R156" s="3277" t="s">
        <v>2791</v>
      </c>
      <c r="S156" s="3277" t="s">
        <v>2791</v>
      </c>
      <c r="T156" s="3277" t="s">
        <v>2791</v>
      </c>
      <c r="U156" s="3277" t="s">
        <v>2791</v>
      </c>
      <c r="V156" s="3277" t="s">
        <v>2791</v>
      </c>
      <c r="W156" s="3277" t="s">
        <v>3263</v>
      </c>
      <c r="X156" s="3277" t="s">
        <v>3472</v>
      </c>
      <c r="Y156" s="3277" t="s">
        <v>3473</v>
      </c>
      <c r="Z156" s="3277" t="s">
        <v>3473</v>
      </c>
      <c r="AA156" s="3277" t="s">
        <v>3473</v>
      </c>
      <c r="AB156" s="3277" t="s">
        <v>3474</v>
      </c>
      <c r="AC156" s="3277" t="s">
        <v>3088</v>
      </c>
      <c r="AD156" s="3277" t="s">
        <v>3475</v>
      </c>
      <c r="AE156" s="3277">
        <v>26950</v>
      </c>
      <c r="AF156" s="3277">
        <v>26950</v>
      </c>
      <c r="AG156" s="3277">
        <v>26950</v>
      </c>
      <c r="AH156" s="3277">
        <v>403.25</v>
      </c>
      <c r="AI156" s="3277">
        <v>403.25</v>
      </c>
      <c r="AJ156" s="3277">
        <v>2419.5100000000002</v>
      </c>
      <c r="AK156" s="3277">
        <v>2419.5100000000002</v>
      </c>
      <c r="AL156" s="3277" t="s">
        <v>2791</v>
      </c>
      <c r="AM156" s="3277" t="s">
        <v>2791</v>
      </c>
      <c r="AN156" s="3277">
        <v>0</v>
      </c>
      <c r="AO156" s="3277" t="s">
        <v>3063</v>
      </c>
      <c r="AP156" s="3277" t="s">
        <v>2791</v>
      </c>
      <c r="AQ156" s="3277" t="s">
        <v>2791</v>
      </c>
      <c r="AR156" s="3277" t="s">
        <v>2791</v>
      </c>
      <c r="AS156" s="3277" t="s">
        <v>3129</v>
      </c>
    </row>
    <row r="157" spans="1:45" s="3278" customFormat="1" hidden="1">
      <c r="A157" s="3277" t="s">
        <v>3467</v>
      </c>
      <c r="B157" s="3277" t="s">
        <v>3056</v>
      </c>
      <c r="C157" s="3277" t="s">
        <v>3057</v>
      </c>
      <c r="D157" s="3277" t="s">
        <v>3058</v>
      </c>
      <c r="E157" s="3277" t="s">
        <v>2791</v>
      </c>
      <c r="F157" s="3277" t="s">
        <v>3467</v>
      </c>
      <c r="G157" s="3277" t="s">
        <v>3059</v>
      </c>
      <c r="H157" s="3277" t="s">
        <v>3488</v>
      </c>
      <c r="I157" s="3277" t="s">
        <v>3469</v>
      </c>
      <c r="J157" s="3277">
        <v>37195.35</v>
      </c>
      <c r="K157" s="3277">
        <v>44634.42</v>
      </c>
      <c r="L157" s="3277" t="s">
        <v>3310</v>
      </c>
      <c r="M157" s="3277" t="s">
        <v>2791</v>
      </c>
      <c r="N157" s="3277" t="s">
        <v>3470</v>
      </c>
      <c r="O157" s="3277" t="s">
        <v>3477</v>
      </c>
      <c r="P157" s="3277" t="s">
        <v>2791</v>
      </c>
      <c r="Q157" s="3277" t="s">
        <v>2791</v>
      </c>
      <c r="R157" s="3277" t="s">
        <v>2791</v>
      </c>
      <c r="S157" s="3277" t="s">
        <v>2791</v>
      </c>
      <c r="T157" s="3277" t="s">
        <v>2791</v>
      </c>
      <c r="U157" s="3277" t="s">
        <v>2791</v>
      </c>
      <c r="V157" s="3277" t="s">
        <v>2791</v>
      </c>
      <c r="W157" s="3277" t="s">
        <v>3263</v>
      </c>
      <c r="X157" s="3277" t="s">
        <v>3472</v>
      </c>
      <c r="Y157" s="3277" t="s">
        <v>3473</v>
      </c>
      <c r="Z157" s="3277" t="s">
        <v>3473</v>
      </c>
      <c r="AA157" s="3277" t="s">
        <v>3473</v>
      </c>
      <c r="AB157" s="3277" t="s">
        <v>3474</v>
      </c>
      <c r="AC157" s="3277" t="s">
        <v>3088</v>
      </c>
      <c r="AD157" s="3277" t="s">
        <v>3475</v>
      </c>
      <c r="AE157" s="3277">
        <v>12200</v>
      </c>
      <c r="AF157" s="3277">
        <v>12200</v>
      </c>
      <c r="AG157" s="3277">
        <v>12200</v>
      </c>
      <c r="AH157" s="3277">
        <v>218.67</v>
      </c>
      <c r="AI157" s="3277">
        <v>218.67</v>
      </c>
      <c r="AJ157" s="3277">
        <v>2733.31</v>
      </c>
      <c r="AK157" s="3277">
        <v>2733.32</v>
      </c>
      <c r="AL157" s="3277" t="s">
        <v>2791</v>
      </c>
      <c r="AM157" s="3277" t="s">
        <v>2791</v>
      </c>
      <c r="AN157" s="3277">
        <v>0</v>
      </c>
      <c r="AO157" s="3277" t="s">
        <v>3063</v>
      </c>
      <c r="AP157" s="3277" t="s">
        <v>2791</v>
      </c>
      <c r="AQ157" s="3277" t="s">
        <v>2791</v>
      </c>
      <c r="AR157" s="3277" t="s">
        <v>2791</v>
      </c>
      <c r="AS157" s="3277" t="s">
        <v>3129</v>
      </c>
    </row>
    <row r="158" spans="1:45" s="3278" customFormat="1" hidden="1">
      <c r="A158" s="3277" t="s">
        <v>3467</v>
      </c>
      <c r="B158" s="3277" t="s">
        <v>3056</v>
      </c>
      <c r="C158" s="3277" t="s">
        <v>3057</v>
      </c>
      <c r="D158" s="3277" t="s">
        <v>3058</v>
      </c>
      <c r="E158" s="3277" t="s">
        <v>2791</v>
      </c>
      <c r="F158" s="3277" t="s">
        <v>3467</v>
      </c>
      <c r="G158" s="3277" t="s">
        <v>3059</v>
      </c>
      <c r="H158" s="3277" t="s">
        <v>3489</v>
      </c>
      <c r="I158" s="3277" t="s">
        <v>3469</v>
      </c>
      <c r="J158" s="3277">
        <v>37321.82</v>
      </c>
      <c r="K158" s="3277">
        <v>44786.18</v>
      </c>
      <c r="L158" s="3277" t="s">
        <v>3310</v>
      </c>
      <c r="M158" s="3277" t="s">
        <v>2791</v>
      </c>
      <c r="N158" s="3277" t="s">
        <v>3470</v>
      </c>
      <c r="O158" s="3277" t="s">
        <v>3477</v>
      </c>
      <c r="P158" s="3277" t="s">
        <v>2791</v>
      </c>
      <c r="Q158" s="3277" t="s">
        <v>2791</v>
      </c>
      <c r="R158" s="3277" t="s">
        <v>2791</v>
      </c>
      <c r="S158" s="3277" t="s">
        <v>2791</v>
      </c>
      <c r="T158" s="3277" t="s">
        <v>2791</v>
      </c>
      <c r="U158" s="3277" t="s">
        <v>2791</v>
      </c>
      <c r="V158" s="3277" t="s">
        <v>2791</v>
      </c>
      <c r="W158" s="3277" t="s">
        <v>3263</v>
      </c>
      <c r="X158" s="3277" t="s">
        <v>3472</v>
      </c>
      <c r="Y158" s="3277" t="s">
        <v>3473</v>
      </c>
      <c r="Z158" s="3277" t="s">
        <v>3473</v>
      </c>
      <c r="AA158" s="3277" t="s">
        <v>3473</v>
      </c>
      <c r="AB158" s="3277" t="s">
        <v>3474</v>
      </c>
      <c r="AC158" s="3277" t="s">
        <v>3088</v>
      </c>
      <c r="AD158" s="3277" t="s">
        <v>3475</v>
      </c>
      <c r="AE158" s="3277">
        <v>11800</v>
      </c>
      <c r="AF158" s="3277">
        <v>11800</v>
      </c>
      <c r="AG158" s="3277">
        <v>11800</v>
      </c>
      <c r="AH158" s="3277">
        <v>210.78</v>
      </c>
      <c r="AI158" s="3277">
        <v>210.78</v>
      </c>
      <c r="AJ158" s="3277">
        <v>2634.74</v>
      </c>
      <c r="AK158" s="3277">
        <v>2634.73</v>
      </c>
      <c r="AL158" s="3277" t="s">
        <v>2791</v>
      </c>
      <c r="AM158" s="3277" t="s">
        <v>2791</v>
      </c>
      <c r="AN158" s="3277">
        <v>0</v>
      </c>
      <c r="AO158" s="3277" t="s">
        <v>3063</v>
      </c>
      <c r="AP158" s="3277" t="s">
        <v>2791</v>
      </c>
      <c r="AQ158" s="3277" t="s">
        <v>2791</v>
      </c>
      <c r="AR158" s="3277" t="s">
        <v>2791</v>
      </c>
      <c r="AS158" s="3277" t="s">
        <v>3129</v>
      </c>
    </row>
    <row r="159" spans="1:45">
      <c r="A159" s="3285" t="s">
        <v>3490</v>
      </c>
      <c r="B159" s="3285" t="s">
        <v>3056</v>
      </c>
      <c r="C159" s="3285" t="s">
        <v>3057</v>
      </c>
      <c r="D159" s="3285" t="s">
        <v>3058</v>
      </c>
      <c r="E159" s="3285" t="s">
        <v>2791</v>
      </c>
      <c r="F159" s="3285" t="s">
        <v>3490</v>
      </c>
      <c r="G159" s="3285" t="s">
        <v>3059</v>
      </c>
      <c r="H159" s="3285" t="s">
        <v>3491</v>
      </c>
      <c r="I159" s="3285" t="s">
        <v>3469</v>
      </c>
      <c r="J159" s="3285">
        <v>40250.720000000001</v>
      </c>
      <c r="K159" s="3285">
        <v>100626.8</v>
      </c>
      <c r="L159" s="3285" t="s">
        <v>3492</v>
      </c>
      <c r="M159" s="3285" t="s">
        <v>2791</v>
      </c>
      <c r="N159" s="3285" t="s">
        <v>3470</v>
      </c>
      <c r="O159" s="3285" t="s">
        <v>3066</v>
      </c>
      <c r="P159" s="3285" t="s">
        <v>2791</v>
      </c>
      <c r="Q159" s="3285" t="s">
        <v>2791</v>
      </c>
      <c r="R159" s="3285" t="s">
        <v>2791</v>
      </c>
      <c r="S159" s="3285" t="s">
        <v>2791</v>
      </c>
      <c r="T159" s="3285" t="s">
        <v>2791</v>
      </c>
      <c r="U159" s="3285" t="s">
        <v>2791</v>
      </c>
      <c r="V159" s="3285" t="s">
        <v>2791</v>
      </c>
      <c r="W159" s="3285" t="s">
        <v>3263</v>
      </c>
      <c r="X159" s="3285" t="s">
        <v>3472</v>
      </c>
      <c r="Y159" s="3285" t="s">
        <v>3473</v>
      </c>
      <c r="Z159" s="3285" t="s">
        <v>3473</v>
      </c>
      <c r="AA159" s="3285" t="s">
        <v>3473</v>
      </c>
      <c r="AB159" s="3285" t="s">
        <v>3474</v>
      </c>
      <c r="AC159" s="3285" t="s">
        <v>3088</v>
      </c>
      <c r="AD159" s="3285" t="s">
        <v>3475</v>
      </c>
      <c r="AE159" s="3285">
        <v>24650</v>
      </c>
      <c r="AF159" s="3285">
        <v>24650</v>
      </c>
      <c r="AG159" s="3285">
        <v>24650</v>
      </c>
      <c r="AH159" s="3285">
        <v>408.27</v>
      </c>
      <c r="AI159" s="3285">
        <v>408.27</v>
      </c>
      <c r="AJ159" s="3285">
        <v>2449.64</v>
      </c>
      <c r="AK159" s="3285">
        <v>2449.65</v>
      </c>
      <c r="AL159" s="3285" t="s">
        <v>2791</v>
      </c>
      <c r="AM159" s="3285" t="s">
        <v>2791</v>
      </c>
      <c r="AN159" s="3285">
        <v>0</v>
      </c>
      <c r="AO159" s="3285" t="s">
        <v>3063</v>
      </c>
      <c r="AP159" s="3285" t="s">
        <v>2791</v>
      </c>
      <c r="AQ159" s="3285" t="s">
        <v>2791</v>
      </c>
      <c r="AR159" s="3285" t="s">
        <v>2791</v>
      </c>
      <c r="AS159" s="3285" t="s">
        <v>3129</v>
      </c>
    </row>
    <row r="160" spans="1:45" s="3278" customFormat="1" hidden="1">
      <c r="A160" s="3277" t="s">
        <v>3497</v>
      </c>
      <c r="B160" s="3277" t="s">
        <v>3056</v>
      </c>
      <c r="C160" s="3277" t="s">
        <v>3057</v>
      </c>
      <c r="D160" s="3277" t="s">
        <v>3058</v>
      </c>
      <c r="E160" s="3277" t="s">
        <v>2791</v>
      </c>
      <c r="F160" s="3277" t="s">
        <v>3497</v>
      </c>
      <c r="G160" s="3277" t="s">
        <v>3059</v>
      </c>
      <c r="H160" s="3277" t="s">
        <v>3498</v>
      </c>
      <c r="I160" s="3277" t="s">
        <v>3493</v>
      </c>
      <c r="J160" s="3277">
        <v>55309.62</v>
      </c>
      <c r="K160" s="3277">
        <v>66371.539999999994</v>
      </c>
      <c r="L160" s="3277" t="s">
        <v>3310</v>
      </c>
      <c r="M160" s="3277" t="s">
        <v>2791</v>
      </c>
      <c r="N160" s="3277" t="s">
        <v>3071</v>
      </c>
      <c r="O160" s="3277" t="s">
        <v>3327</v>
      </c>
      <c r="P160" s="3277" t="s">
        <v>2791</v>
      </c>
      <c r="Q160" s="3277" t="s">
        <v>2791</v>
      </c>
      <c r="R160" s="3277" t="s">
        <v>2791</v>
      </c>
      <c r="S160" s="3277" t="s">
        <v>2791</v>
      </c>
      <c r="T160" s="3277" t="s">
        <v>2791</v>
      </c>
      <c r="U160" s="3277" t="s">
        <v>2791</v>
      </c>
      <c r="V160" s="3277" t="s">
        <v>2791</v>
      </c>
      <c r="W160" s="3277" t="s">
        <v>3263</v>
      </c>
      <c r="X160" s="3277" t="s">
        <v>3494</v>
      </c>
      <c r="Y160" s="3277" t="s">
        <v>3495</v>
      </c>
      <c r="Z160" s="3277" t="s">
        <v>3495</v>
      </c>
      <c r="AA160" s="3277" t="s">
        <v>3495</v>
      </c>
      <c r="AB160" s="3277" t="s">
        <v>3496</v>
      </c>
      <c r="AC160" s="3277" t="s">
        <v>3088</v>
      </c>
      <c r="AD160" s="3277" t="s">
        <v>3166</v>
      </c>
      <c r="AE160" s="3277">
        <v>16600</v>
      </c>
      <c r="AF160" s="3277">
        <v>16600</v>
      </c>
      <c r="AG160" s="3277">
        <v>16600</v>
      </c>
      <c r="AH160" s="3277">
        <v>200.09</v>
      </c>
      <c r="AI160" s="3277">
        <v>200.09</v>
      </c>
      <c r="AJ160" s="3277">
        <v>2501.0700000000002</v>
      </c>
      <c r="AK160" s="3277">
        <v>2501.0700000000002</v>
      </c>
      <c r="AL160" s="3277" t="s">
        <v>2791</v>
      </c>
      <c r="AM160" s="3277" t="s">
        <v>2791</v>
      </c>
      <c r="AN160" s="3277">
        <v>0</v>
      </c>
      <c r="AO160" s="3277" t="s">
        <v>3063</v>
      </c>
      <c r="AP160" s="3277" t="s">
        <v>2791</v>
      </c>
      <c r="AQ160" s="3277" t="s">
        <v>2791</v>
      </c>
      <c r="AR160" s="3277" t="s">
        <v>2791</v>
      </c>
      <c r="AS160" s="3277" t="s">
        <v>3082</v>
      </c>
    </row>
    <row r="161" spans="1:45">
      <c r="A161" s="3285" t="s">
        <v>3381</v>
      </c>
      <c r="B161" s="3285" t="s">
        <v>3056</v>
      </c>
      <c r="C161" s="3285" t="s">
        <v>3057</v>
      </c>
      <c r="D161" s="3285" t="s">
        <v>3058</v>
      </c>
      <c r="E161" s="3285" t="s">
        <v>2791</v>
      </c>
      <c r="F161" s="3285" t="s">
        <v>3381</v>
      </c>
      <c r="G161" s="3285" t="s">
        <v>3059</v>
      </c>
      <c r="H161" s="3285" t="s">
        <v>3499</v>
      </c>
      <c r="I161" s="3285" t="s">
        <v>3500</v>
      </c>
      <c r="J161" s="3285">
        <v>56115.02</v>
      </c>
      <c r="K161" s="3285">
        <v>61726.52</v>
      </c>
      <c r="L161" s="3285" t="s">
        <v>3501</v>
      </c>
      <c r="M161" s="3285" t="s">
        <v>2791</v>
      </c>
      <c r="N161" s="3285" t="s">
        <v>3502</v>
      </c>
      <c r="O161" s="3285" t="s">
        <v>3503</v>
      </c>
      <c r="P161" s="3285" t="s">
        <v>2791</v>
      </c>
      <c r="Q161" s="3285" t="s">
        <v>2791</v>
      </c>
      <c r="R161" s="3285" t="s">
        <v>2791</v>
      </c>
      <c r="S161" s="3285" t="s">
        <v>2791</v>
      </c>
      <c r="T161" s="3285" t="s">
        <v>2791</v>
      </c>
      <c r="U161" s="3285" t="s">
        <v>2791</v>
      </c>
      <c r="V161" s="3285" t="s">
        <v>2791</v>
      </c>
      <c r="W161" s="3285" t="s">
        <v>3263</v>
      </c>
      <c r="X161" s="3285" t="s">
        <v>3494</v>
      </c>
      <c r="Y161" s="3285" t="s">
        <v>3504</v>
      </c>
      <c r="Z161" s="3285" t="s">
        <v>3504</v>
      </c>
      <c r="AA161" s="3285" t="s">
        <v>3504</v>
      </c>
      <c r="AB161" s="3285" t="s">
        <v>3505</v>
      </c>
      <c r="AC161" s="3285" t="s">
        <v>3088</v>
      </c>
      <c r="AD161" s="3285" t="s">
        <v>3380</v>
      </c>
      <c r="AE161" s="3285">
        <v>15120</v>
      </c>
      <c r="AF161" s="3285">
        <v>15120</v>
      </c>
      <c r="AG161" s="3285">
        <v>15120</v>
      </c>
      <c r="AH161" s="3285">
        <v>179.63</v>
      </c>
      <c r="AI161" s="3285">
        <v>179.63</v>
      </c>
      <c r="AJ161" s="3285">
        <v>2449.5100000000002</v>
      </c>
      <c r="AK161" s="3285">
        <v>2449.5100000000002</v>
      </c>
      <c r="AL161" s="3285" t="s">
        <v>2791</v>
      </c>
      <c r="AM161" s="3285" t="s">
        <v>2791</v>
      </c>
      <c r="AN161" s="3285">
        <v>0</v>
      </c>
      <c r="AO161" s="3285">
        <v>70</v>
      </c>
      <c r="AP161" s="3285" t="s">
        <v>2791</v>
      </c>
      <c r="AQ161" s="3285" t="s">
        <v>2791</v>
      </c>
      <c r="AR161" s="3285" t="s">
        <v>2791</v>
      </c>
      <c r="AS161" s="3285" t="s">
        <v>3082</v>
      </c>
    </row>
    <row r="162" spans="1:45">
      <c r="A162" s="3285" t="s">
        <v>3381</v>
      </c>
      <c r="B162" s="3285" t="s">
        <v>3056</v>
      </c>
      <c r="C162" s="3285" t="s">
        <v>3449</v>
      </c>
      <c r="D162" s="3285" t="s">
        <v>3058</v>
      </c>
      <c r="E162" s="3285" t="s">
        <v>2791</v>
      </c>
      <c r="F162" s="3285" t="s">
        <v>3381</v>
      </c>
      <c r="G162" s="3285" t="s">
        <v>3059</v>
      </c>
      <c r="H162" s="3285" t="s">
        <v>3506</v>
      </c>
      <c r="I162" s="3285" t="s">
        <v>3507</v>
      </c>
      <c r="J162" s="3285">
        <v>35976.29</v>
      </c>
      <c r="K162" s="3285">
        <v>46769.18</v>
      </c>
      <c r="L162" s="3285" t="s">
        <v>3508</v>
      </c>
      <c r="M162" s="3285" t="s">
        <v>2791</v>
      </c>
      <c r="N162" s="3285" t="s">
        <v>3509</v>
      </c>
      <c r="O162" s="3285" t="s">
        <v>3510</v>
      </c>
      <c r="P162" s="3285" t="s">
        <v>2791</v>
      </c>
      <c r="Q162" s="3285" t="s">
        <v>2791</v>
      </c>
      <c r="R162" s="3285" t="s">
        <v>2791</v>
      </c>
      <c r="S162" s="3285" t="s">
        <v>2791</v>
      </c>
      <c r="T162" s="3285" t="s">
        <v>2791</v>
      </c>
      <c r="U162" s="3285" t="s">
        <v>2791</v>
      </c>
      <c r="V162" s="3285" t="s">
        <v>2791</v>
      </c>
      <c r="W162" s="3285" t="s">
        <v>3263</v>
      </c>
      <c r="X162" s="3285" t="s">
        <v>3494</v>
      </c>
      <c r="Y162" s="3285" t="s">
        <v>3504</v>
      </c>
      <c r="Z162" s="3285" t="s">
        <v>3504</v>
      </c>
      <c r="AA162" s="3285" t="s">
        <v>3504</v>
      </c>
      <c r="AB162" s="3285" t="s">
        <v>3511</v>
      </c>
      <c r="AC162" s="3285" t="s">
        <v>3088</v>
      </c>
      <c r="AD162" s="3285" t="s">
        <v>3380</v>
      </c>
      <c r="AE162" s="3285">
        <v>7670</v>
      </c>
      <c r="AF162" s="3285">
        <v>7670</v>
      </c>
      <c r="AG162" s="3285">
        <v>7670</v>
      </c>
      <c r="AH162" s="3285">
        <v>142.13</v>
      </c>
      <c r="AI162" s="3285">
        <v>142.13</v>
      </c>
      <c r="AJ162" s="3285">
        <v>1639.96</v>
      </c>
      <c r="AK162" s="3285">
        <v>1639.97</v>
      </c>
      <c r="AL162" s="3285" t="s">
        <v>2791</v>
      </c>
      <c r="AM162" s="3285" t="s">
        <v>2791</v>
      </c>
      <c r="AN162" s="3285">
        <v>0</v>
      </c>
      <c r="AO162" s="3285" t="s">
        <v>3512</v>
      </c>
      <c r="AP162" s="3285" t="s">
        <v>2791</v>
      </c>
      <c r="AQ162" s="3285" t="s">
        <v>2791</v>
      </c>
      <c r="AR162" s="3285" t="s">
        <v>2791</v>
      </c>
      <c r="AS162" s="3285" t="s">
        <v>3082</v>
      </c>
    </row>
    <row r="163" spans="1:45">
      <c r="A163" s="3285" t="s">
        <v>3372</v>
      </c>
      <c r="B163" s="3285" t="s">
        <v>3056</v>
      </c>
      <c r="C163" s="3285" t="s">
        <v>3057</v>
      </c>
      <c r="D163" s="3285" t="s">
        <v>3058</v>
      </c>
      <c r="E163" s="3285" t="s">
        <v>2791</v>
      </c>
      <c r="F163" s="3285" t="s">
        <v>3372</v>
      </c>
      <c r="G163" s="3285" t="s">
        <v>3059</v>
      </c>
      <c r="H163" s="3285" t="s">
        <v>3513</v>
      </c>
      <c r="I163" s="3285" t="s">
        <v>3500</v>
      </c>
      <c r="J163" s="3285">
        <v>40921.279999999999</v>
      </c>
      <c r="K163" s="3285">
        <v>45013.41</v>
      </c>
      <c r="L163" s="3285" t="s">
        <v>3501</v>
      </c>
      <c r="M163" s="3285" t="s">
        <v>2791</v>
      </c>
      <c r="N163" s="3285" t="s">
        <v>3502</v>
      </c>
      <c r="O163" s="3285" t="s">
        <v>3503</v>
      </c>
      <c r="P163" s="3285" t="s">
        <v>2791</v>
      </c>
      <c r="Q163" s="3285" t="s">
        <v>2791</v>
      </c>
      <c r="R163" s="3285" t="s">
        <v>2791</v>
      </c>
      <c r="S163" s="3285" t="s">
        <v>2791</v>
      </c>
      <c r="T163" s="3285" t="s">
        <v>2791</v>
      </c>
      <c r="U163" s="3285" t="s">
        <v>2791</v>
      </c>
      <c r="V163" s="3285" t="s">
        <v>2791</v>
      </c>
      <c r="W163" s="3285" t="s">
        <v>3263</v>
      </c>
      <c r="X163" s="3285" t="s">
        <v>3494</v>
      </c>
      <c r="Y163" s="3285" t="s">
        <v>3504</v>
      </c>
      <c r="Z163" s="3285" t="s">
        <v>3504</v>
      </c>
      <c r="AA163" s="3285" t="s">
        <v>3504</v>
      </c>
      <c r="AB163" s="3285" t="s">
        <v>3514</v>
      </c>
      <c r="AC163" s="3285" t="s">
        <v>3088</v>
      </c>
      <c r="AD163" s="3285" t="s">
        <v>3380</v>
      </c>
      <c r="AE163" s="3285">
        <v>11030</v>
      </c>
      <c r="AF163" s="3285">
        <v>11030</v>
      </c>
      <c r="AG163" s="3285">
        <v>11030</v>
      </c>
      <c r="AH163" s="3285">
        <v>179.69</v>
      </c>
      <c r="AI163" s="3285">
        <v>179.69</v>
      </c>
      <c r="AJ163" s="3285">
        <v>2450.38</v>
      </c>
      <c r="AK163" s="3285">
        <v>2450.38</v>
      </c>
      <c r="AL163" s="3285" t="s">
        <v>2791</v>
      </c>
      <c r="AM163" s="3285" t="s">
        <v>2791</v>
      </c>
      <c r="AN163" s="3285">
        <v>0</v>
      </c>
      <c r="AO163" s="3285">
        <v>70</v>
      </c>
      <c r="AP163" s="3285" t="s">
        <v>2791</v>
      </c>
      <c r="AQ163" s="3285" t="s">
        <v>2791</v>
      </c>
      <c r="AR163" s="3285" t="s">
        <v>2791</v>
      </c>
      <c r="AS163" s="3285" t="s">
        <v>3082</v>
      </c>
    </row>
    <row r="164" spans="1:45" s="3333" customFormat="1">
      <c r="A164" s="3332" t="s">
        <v>3515</v>
      </c>
      <c r="B164" s="3332" t="s">
        <v>3056</v>
      </c>
      <c r="C164" s="3332" t="s">
        <v>3057</v>
      </c>
      <c r="D164" s="3332" t="s">
        <v>3058</v>
      </c>
      <c r="E164" s="3332" t="s">
        <v>2791</v>
      </c>
      <c r="F164" s="3332" t="s">
        <v>3515</v>
      </c>
      <c r="G164" s="3332" t="s">
        <v>3059</v>
      </c>
      <c r="H164" s="3332" t="s">
        <v>3516</v>
      </c>
      <c r="I164" s="3332" t="s">
        <v>3500</v>
      </c>
      <c r="J164" s="3332">
        <v>59338.53</v>
      </c>
      <c r="K164" s="3332">
        <v>83073.94</v>
      </c>
      <c r="L164" s="3332" t="s">
        <v>3517</v>
      </c>
      <c r="M164" s="3332" t="s">
        <v>2791</v>
      </c>
      <c r="N164" s="3332" t="s">
        <v>3502</v>
      </c>
      <c r="O164" s="3332" t="s">
        <v>3510</v>
      </c>
      <c r="P164" s="3332" t="s">
        <v>2791</v>
      </c>
      <c r="Q164" s="3332" t="s">
        <v>2791</v>
      </c>
      <c r="R164" s="3332" t="s">
        <v>2791</v>
      </c>
      <c r="S164" s="3332" t="s">
        <v>2791</v>
      </c>
      <c r="T164" s="3332" t="s">
        <v>2791</v>
      </c>
      <c r="U164" s="3332" t="s">
        <v>2791</v>
      </c>
      <c r="V164" s="3332" t="s">
        <v>2791</v>
      </c>
      <c r="W164" s="3332" t="s">
        <v>3263</v>
      </c>
      <c r="X164" s="3332" t="s">
        <v>3494</v>
      </c>
      <c r="Y164" s="3332" t="s">
        <v>3504</v>
      </c>
      <c r="Z164" s="3332" t="s">
        <v>3504</v>
      </c>
      <c r="AA164" s="3332" t="s">
        <v>3504</v>
      </c>
      <c r="AB164" s="3332" t="s">
        <v>3518</v>
      </c>
      <c r="AC164" s="3332" t="s">
        <v>3088</v>
      </c>
      <c r="AD164" s="3332" t="s">
        <v>3380</v>
      </c>
      <c r="AE164" s="3332">
        <v>20355</v>
      </c>
      <c r="AF164" s="3332">
        <v>20355</v>
      </c>
      <c r="AG164" s="3332">
        <v>20355</v>
      </c>
      <c r="AH164" s="3332">
        <v>228.69</v>
      </c>
      <c r="AI164" s="3332">
        <v>228.69</v>
      </c>
      <c r="AJ164" s="3332">
        <v>2450.2199999999998</v>
      </c>
      <c r="AK164" s="3332">
        <v>2450.23</v>
      </c>
      <c r="AL164" s="3332" t="s">
        <v>2791</v>
      </c>
      <c r="AM164" s="3332" t="s">
        <v>2791</v>
      </c>
      <c r="AN164" s="3332">
        <v>0</v>
      </c>
      <c r="AO164" s="3332">
        <v>70</v>
      </c>
      <c r="AP164" s="3332" t="s">
        <v>2791</v>
      </c>
      <c r="AQ164" s="3332" t="s">
        <v>2791</v>
      </c>
      <c r="AR164" s="3332" t="s">
        <v>2791</v>
      </c>
      <c r="AS164" s="3332" t="s">
        <v>3082</v>
      </c>
    </row>
    <row r="165" spans="1:45">
      <c r="A165" s="3285" t="s">
        <v>3381</v>
      </c>
      <c r="B165" s="3285" t="s">
        <v>3056</v>
      </c>
      <c r="C165" s="3285" t="s">
        <v>3057</v>
      </c>
      <c r="D165" s="3285" t="s">
        <v>3058</v>
      </c>
      <c r="E165" s="3285" t="s">
        <v>2791</v>
      </c>
      <c r="F165" s="3285" t="s">
        <v>3381</v>
      </c>
      <c r="G165" s="3285" t="s">
        <v>3059</v>
      </c>
      <c r="H165" s="3285" t="s">
        <v>3519</v>
      </c>
      <c r="I165" s="3285" t="s">
        <v>3500</v>
      </c>
      <c r="J165" s="3285">
        <v>36877.839999999997</v>
      </c>
      <c r="K165" s="3285">
        <v>44253.41</v>
      </c>
      <c r="L165" s="3285" t="s">
        <v>3520</v>
      </c>
      <c r="M165" s="3285" t="s">
        <v>2791</v>
      </c>
      <c r="N165" s="3285" t="s">
        <v>3502</v>
      </c>
      <c r="O165" s="3285" t="s">
        <v>3510</v>
      </c>
      <c r="P165" s="3285" t="s">
        <v>2791</v>
      </c>
      <c r="Q165" s="3285" t="s">
        <v>2791</v>
      </c>
      <c r="R165" s="3285" t="s">
        <v>2791</v>
      </c>
      <c r="S165" s="3285" t="s">
        <v>2791</v>
      </c>
      <c r="T165" s="3285" t="s">
        <v>2791</v>
      </c>
      <c r="U165" s="3285" t="s">
        <v>2791</v>
      </c>
      <c r="V165" s="3285" t="s">
        <v>2791</v>
      </c>
      <c r="W165" s="3285" t="s">
        <v>3263</v>
      </c>
      <c r="X165" s="3285" t="s">
        <v>3494</v>
      </c>
      <c r="Y165" s="3285" t="s">
        <v>3504</v>
      </c>
      <c r="Z165" s="3285" t="s">
        <v>3504</v>
      </c>
      <c r="AA165" s="3285" t="s">
        <v>3504</v>
      </c>
      <c r="AB165" s="3285" t="s">
        <v>3521</v>
      </c>
      <c r="AC165" s="3285" t="s">
        <v>3088</v>
      </c>
      <c r="AD165" s="3285" t="s">
        <v>3380</v>
      </c>
      <c r="AE165" s="3285">
        <v>10840</v>
      </c>
      <c r="AF165" s="3285">
        <v>10840</v>
      </c>
      <c r="AG165" s="3285">
        <v>10840</v>
      </c>
      <c r="AH165" s="3285">
        <v>195.96</v>
      </c>
      <c r="AI165" s="3285">
        <v>195.96</v>
      </c>
      <c r="AJ165" s="3285">
        <v>2449.52</v>
      </c>
      <c r="AK165" s="3285">
        <v>2449.5300000000002</v>
      </c>
      <c r="AL165" s="3285" t="s">
        <v>2791</v>
      </c>
      <c r="AM165" s="3285" t="s">
        <v>2791</v>
      </c>
      <c r="AN165" s="3285">
        <v>0</v>
      </c>
      <c r="AO165" s="3285">
        <v>70</v>
      </c>
      <c r="AP165" s="3285" t="s">
        <v>2791</v>
      </c>
      <c r="AQ165" s="3285" t="s">
        <v>2791</v>
      </c>
      <c r="AR165" s="3285" t="s">
        <v>2791</v>
      </c>
      <c r="AS165" s="3285" t="s">
        <v>3082</v>
      </c>
    </row>
    <row r="166" spans="1:45">
      <c r="A166" s="3285" t="s">
        <v>3381</v>
      </c>
      <c r="B166" s="3285" t="s">
        <v>3056</v>
      </c>
      <c r="C166" s="3285" t="s">
        <v>3057</v>
      </c>
      <c r="D166" s="3285" t="s">
        <v>3058</v>
      </c>
      <c r="E166" s="3285" t="s">
        <v>2791</v>
      </c>
      <c r="F166" s="3285" t="s">
        <v>3381</v>
      </c>
      <c r="G166" s="3285" t="s">
        <v>3059</v>
      </c>
      <c r="H166" s="3285" t="s">
        <v>3522</v>
      </c>
      <c r="I166" s="3285" t="s">
        <v>3500</v>
      </c>
      <c r="J166" s="3285">
        <v>52454.59</v>
      </c>
      <c r="K166" s="3285">
        <v>52454.59</v>
      </c>
      <c r="L166" s="3285" t="s">
        <v>3523</v>
      </c>
      <c r="M166" s="3285" t="s">
        <v>2791</v>
      </c>
      <c r="N166" s="3285" t="s">
        <v>3502</v>
      </c>
      <c r="O166" s="3285" t="s">
        <v>3503</v>
      </c>
      <c r="P166" s="3285" t="s">
        <v>2791</v>
      </c>
      <c r="Q166" s="3285" t="s">
        <v>2791</v>
      </c>
      <c r="R166" s="3285" t="s">
        <v>2791</v>
      </c>
      <c r="S166" s="3285" t="s">
        <v>2791</v>
      </c>
      <c r="T166" s="3285" t="s">
        <v>2791</v>
      </c>
      <c r="U166" s="3285" t="s">
        <v>2791</v>
      </c>
      <c r="V166" s="3285" t="s">
        <v>2791</v>
      </c>
      <c r="W166" s="3285" t="s">
        <v>3263</v>
      </c>
      <c r="X166" s="3285" t="s">
        <v>3494</v>
      </c>
      <c r="Y166" s="3285" t="s">
        <v>3504</v>
      </c>
      <c r="Z166" s="3285" t="s">
        <v>3504</v>
      </c>
      <c r="AA166" s="3285" t="s">
        <v>3504</v>
      </c>
      <c r="AB166" s="3285" t="s">
        <v>3524</v>
      </c>
      <c r="AC166" s="3285" t="s">
        <v>3088</v>
      </c>
      <c r="AD166" s="3285" t="s">
        <v>3380</v>
      </c>
      <c r="AE166" s="3285">
        <v>12850</v>
      </c>
      <c r="AF166" s="3285">
        <v>12850</v>
      </c>
      <c r="AG166" s="3285">
        <v>12850</v>
      </c>
      <c r="AH166" s="3285">
        <v>163.32</v>
      </c>
      <c r="AI166" s="3285">
        <v>163.32</v>
      </c>
      <c r="AJ166" s="3285">
        <v>2449.73</v>
      </c>
      <c r="AK166" s="3285">
        <v>2449.73</v>
      </c>
      <c r="AL166" s="3285" t="s">
        <v>2791</v>
      </c>
      <c r="AM166" s="3285" t="s">
        <v>2791</v>
      </c>
      <c r="AN166" s="3285">
        <v>0</v>
      </c>
      <c r="AO166" s="3285">
        <v>70</v>
      </c>
      <c r="AP166" s="3285" t="s">
        <v>2791</v>
      </c>
      <c r="AQ166" s="3285" t="s">
        <v>2791</v>
      </c>
      <c r="AR166" s="3285" t="s">
        <v>2791</v>
      </c>
      <c r="AS166" s="3285" t="s">
        <v>3082</v>
      </c>
    </row>
    <row r="167" spans="1:45">
      <c r="A167" s="3285" t="s">
        <v>3372</v>
      </c>
      <c r="B167" s="3285" t="s">
        <v>3056</v>
      </c>
      <c r="C167" s="3285" t="s">
        <v>3057</v>
      </c>
      <c r="D167" s="3285" t="s">
        <v>3058</v>
      </c>
      <c r="E167" s="3285" t="s">
        <v>2791</v>
      </c>
      <c r="F167" s="3285" t="s">
        <v>3372</v>
      </c>
      <c r="G167" s="3285" t="s">
        <v>3059</v>
      </c>
      <c r="H167" s="3285" t="s">
        <v>3525</v>
      </c>
      <c r="I167" s="3285" t="s">
        <v>3500</v>
      </c>
      <c r="J167" s="3285">
        <v>58928.56</v>
      </c>
      <c r="K167" s="3285">
        <v>64821.42</v>
      </c>
      <c r="L167" s="3285" t="s">
        <v>3501</v>
      </c>
      <c r="M167" s="3285" t="s">
        <v>2791</v>
      </c>
      <c r="N167" s="3285" t="s">
        <v>3502</v>
      </c>
      <c r="O167" s="3285" t="s">
        <v>3503</v>
      </c>
      <c r="P167" s="3285" t="s">
        <v>2791</v>
      </c>
      <c r="Q167" s="3285" t="s">
        <v>2791</v>
      </c>
      <c r="R167" s="3285" t="s">
        <v>2791</v>
      </c>
      <c r="S167" s="3285" t="s">
        <v>2791</v>
      </c>
      <c r="T167" s="3285" t="s">
        <v>2791</v>
      </c>
      <c r="U167" s="3285" t="s">
        <v>2791</v>
      </c>
      <c r="V167" s="3285" t="s">
        <v>2791</v>
      </c>
      <c r="W167" s="3285" t="s">
        <v>3263</v>
      </c>
      <c r="X167" s="3285" t="s">
        <v>3494</v>
      </c>
      <c r="Y167" s="3285" t="s">
        <v>3504</v>
      </c>
      <c r="Z167" s="3285" t="s">
        <v>3504</v>
      </c>
      <c r="AA167" s="3285" t="s">
        <v>3504</v>
      </c>
      <c r="AB167" s="3285" t="s">
        <v>3526</v>
      </c>
      <c r="AC167" s="3285" t="s">
        <v>3088</v>
      </c>
      <c r="AD167" s="3285" t="s">
        <v>3380</v>
      </c>
      <c r="AE167" s="3285">
        <v>15880</v>
      </c>
      <c r="AF167" s="3285">
        <v>15880</v>
      </c>
      <c r="AG167" s="3285">
        <v>15880</v>
      </c>
      <c r="AH167" s="3285">
        <v>179.65</v>
      </c>
      <c r="AI167" s="3285">
        <v>179.65</v>
      </c>
      <c r="AJ167" s="3285">
        <v>2449.8000000000002</v>
      </c>
      <c r="AK167" s="3285">
        <v>2449.8000000000002</v>
      </c>
      <c r="AL167" s="3285" t="s">
        <v>2791</v>
      </c>
      <c r="AM167" s="3285" t="s">
        <v>2791</v>
      </c>
      <c r="AN167" s="3285">
        <v>0</v>
      </c>
      <c r="AO167" s="3285">
        <v>70</v>
      </c>
      <c r="AP167" s="3285" t="s">
        <v>2791</v>
      </c>
      <c r="AQ167" s="3285" t="s">
        <v>2791</v>
      </c>
      <c r="AR167" s="3285" t="s">
        <v>2791</v>
      </c>
      <c r="AS167" s="3285" t="s">
        <v>3082</v>
      </c>
    </row>
    <row r="168" spans="1:45">
      <c r="A168" s="3285" t="s">
        <v>3372</v>
      </c>
      <c r="B168" s="3285" t="s">
        <v>3056</v>
      </c>
      <c r="C168" s="3285" t="s">
        <v>3057</v>
      </c>
      <c r="D168" s="3285" t="s">
        <v>3058</v>
      </c>
      <c r="E168" s="3285" t="s">
        <v>2791</v>
      </c>
      <c r="F168" s="3285" t="s">
        <v>3372</v>
      </c>
      <c r="G168" s="3285" t="s">
        <v>3059</v>
      </c>
      <c r="H168" s="3285" t="s">
        <v>3527</v>
      </c>
      <c r="I168" s="3285" t="s">
        <v>3500</v>
      </c>
      <c r="J168" s="3285">
        <v>63823.91</v>
      </c>
      <c r="K168" s="3285">
        <v>89353.47</v>
      </c>
      <c r="L168" s="3285" t="s">
        <v>3517</v>
      </c>
      <c r="M168" s="3285" t="s">
        <v>2791</v>
      </c>
      <c r="N168" s="3285" t="s">
        <v>3502</v>
      </c>
      <c r="O168" s="3285" t="s">
        <v>3510</v>
      </c>
      <c r="P168" s="3285" t="s">
        <v>2791</v>
      </c>
      <c r="Q168" s="3285" t="s">
        <v>2791</v>
      </c>
      <c r="R168" s="3285" t="s">
        <v>2791</v>
      </c>
      <c r="S168" s="3285" t="s">
        <v>2791</v>
      </c>
      <c r="T168" s="3285" t="s">
        <v>2791</v>
      </c>
      <c r="U168" s="3285" t="s">
        <v>2791</v>
      </c>
      <c r="V168" s="3285" t="s">
        <v>2791</v>
      </c>
      <c r="W168" s="3285" t="s">
        <v>3263</v>
      </c>
      <c r="X168" s="3285" t="s">
        <v>3494</v>
      </c>
      <c r="Y168" s="3285" t="s">
        <v>3504</v>
      </c>
      <c r="Z168" s="3285" t="s">
        <v>3504</v>
      </c>
      <c r="AA168" s="3285" t="s">
        <v>3504</v>
      </c>
      <c r="AB168" s="3285" t="s">
        <v>3528</v>
      </c>
      <c r="AC168" s="3285" t="s">
        <v>3088</v>
      </c>
      <c r="AD168" s="3285" t="s">
        <v>3380</v>
      </c>
      <c r="AE168" s="3285">
        <v>21890</v>
      </c>
      <c r="AF168" s="3285">
        <v>21890</v>
      </c>
      <c r="AG168" s="3285">
        <v>21890</v>
      </c>
      <c r="AH168" s="3285">
        <v>228.65</v>
      </c>
      <c r="AI168" s="3285">
        <v>228.65</v>
      </c>
      <c r="AJ168" s="3285">
        <v>2449.8200000000002</v>
      </c>
      <c r="AK168" s="3285">
        <v>2449.8200000000002</v>
      </c>
      <c r="AL168" s="3285" t="s">
        <v>2791</v>
      </c>
      <c r="AM168" s="3285" t="s">
        <v>2791</v>
      </c>
      <c r="AN168" s="3285">
        <v>0</v>
      </c>
      <c r="AO168" s="3285">
        <v>70</v>
      </c>
      <c r="AP168" s="3285" t="s">
        <v>2791</v>
      </c>
      <c r="AQ168" s="3285" t="s">
        <v>2791</v>
      </c>
      <c r="AR168" s="3285" t="s">
        <v>2791</v>
      </c>
      <c r="AS168" s="3285" t="s">
        <v>3082</v>
      </c>
    </row>
    <row r="169" spans="1:45">
      <c r="A169" s="3285" t="s">
        <v>3372</v>
      </c>
      <c r="B169" s="3285" t="s">
        <v>3056</v>
      </c>
      <c r="C169" s="3285" t="s">
        <v>3057</v>
      </c>
      <c r="D169" s="3285" t="s">
        <v>3058</v>
      </c>
      <c r="E169" s="3285" t="s">
        <v>2791</v>
      </c>
      <c r="F169" s="3285" t="s">
        <v>3372</v>
      </c>
      <c r="G169" s="3285" t="s">
        <v>3059</v>
      </c>
      <c r="H169" s="3285" t="s">
        <v>3529</v>
      </c>
      <c r="I169" s="3285" t="s">
        <v>3500</v>
      </c>
      <c r="J169" s="3285">
        <v>27796.5</v>
      </c>
      <c r="K169" s="3285">
        <v>38915.1</v>
      </c>
      <c r="L169" s="3285" t="s">
        <v>3517</v>
      </c>
      <c r="M169" s="3285" t="s">
        <v>2791</v>
      </c>
      <c r="N169" s="3285" t="s">
        <v>3502</v>
      </c>
      <c r="O169" s="3285" t="s">
        <v>3510</v>
      </c>
      <c r="P169" s="3285" t="s">
        <v>2791</v>
      </c>
      <c r="Q169" s="3285" t="s">
        <v>2791</v>
      </c>
      <c r="R169" s="3285" t="s">
        <v>2791</v>
      </c>
      <c r="S169" s="3285" t="s">
        <v>2791</v>
      </c>
      <c r="T169" s="3285" t="s">
        <v>2791</v>
      </c>
      <c r="U169" s="3285" t="s">
        <v>2791</v>
      </c>
      <c r="V169" s="3285" t="s">
        <v>2791</v>
      </c>
      <c r="W169" s="3285" t="s">
        <v>3263</v>
      </c>
      <c r="X169" s="3285" t="s">
        <v>3494</v>
      </c>
      <c r="Y169" s="3285" t="s">
        <v>3504</v>
      </c>
      <c r="Z169" s="3285" t="s">
        <v>3504</v>
      </c>
      <c r="AA169" s="3285" t="s">
        <v>3504</v>
      </c>
      <c r="AB169" s="3285" t="s">
        <v>3530</v>
      </c>
      <c r="AC169" s="3285" t="s">
        <v>3088</v>
      </c>
      <c r="AD169" s="3285" t="s">
        <v>3380</v>
      </c>
      <c r="AE169" s="3285">
        <v>9535</v>
      </c>
      <c r="AF169" s="3285">
        <v>9535</v>
      </c>
      <c r="AG169" s="3285">
        <v>9535</v>
      </c>
      <c r="AH169" s="3285">
        <v>228.69</v>
      </c>
      <c r="AI169" s="3285">
        <v>228.69</v>
      </c>
      <c r="AJ169" s="3285">
        <v>2450.1999999999998</v>
      </c>
      <c r="AK169" s="3285">
        <v>2450.21</v>
      </c>
      <c r="AL169" s="3285" t="s">
        <v>2791</v>
      </c>
      <c r="AM169" s="3285" t="s">
        <v>2791</v>
      </c>
      <c r="AN169" s="3285">
        <v>0</v>
      </c>
      <c r="AO169" s="3285">
        <v>70</v>
      </c>
      <c r="AP169" s="3285" t="s">
        <v>2791</v>
      </c>
      <c r="AQ169" s="3285" t="s">
        <v>2791</v>
      </c>
      <c r="AR169" s="3285" t="s">
        <v>2791</v>
      </c>
      <c r="AS169" s="3285" t="s">
        <v>3082</v>
      </c>
    </row>
    <row r="170" spans="1:45">
      <c r="A170" s="3285" t="s">
        <v>3372</v>
      </c>
      <c r="B170" s="3285" t="s">
        <v>3056</v>
      </c>
      <c r="C170" s="3285" t="s">
        <v>3449</v>
      </c>
      <c r="D170" s="3285" t="s">
        <v>3058</v>
      </c>
      <c r="E170" s="3285" t="s">
        <v>2791</v>
      </c>
      <c r="F170" s="3285" t="s">
        <v>3372</v>
      </c>
      <c r="G170" s="3285" t="s">
        <v>3059</v>
      </c>
      <c r="H170" s="3285" t="s">
        <v>3531</v>
      </c>
      <c r="I170" s="3285" t="s">
        <v>3532</v>
      </c>
      <c r="J170" s="3285">
        <v>59396.12</v>
      </c>
      <c r="K170" s="3285">
        <v>77214.960000000006</v>
      </c>
      <c r="L170" s="3285" t="s">
        <v>3533</v>
      </c>
      <c r="M170" s="3285" t="s">
        <v>2791</v>
      </c>
      <c r="N170" s="3285" t="s">
        <v>3509</v>
      </c>
      <c r="O170" s="3285" t="s">
        <v>3510</v>
      </c>
      <c r="P170" s="3285" t="s">
        <v>2791</v>
      </c>
      <c r="Q170" s="3285" t="s">
        <v>2791</v>
      </c>
      <c r="R170" s="3285" t="s">
        <v>2791</v>
      </c>
      <c r="S170" s="3285" t="s">
        <v>2791</v>
      </c>
      <c r="T170" s="3285" t="s">
        <v>2791</v>
      </c>
      <c r="U170" s="3285" t="s">
        <v>2791</v>
      </c>
      <c r="V170" s="3285" t="s">
        <v>2791</v>
      </c>
      <c r="W170" s="3285" t="s">
        <v>3263</v>
      </c>
      <c r="X170" s="3285" t="s">
        <v>3494</v>
      </c>
      <c r="Y170" s="3285" t="s">
        <v>3504</v>
      </c>
      <c r="Z170" s="3285" t="s">
        <v>3504</v>
      </c>
      <c r="AA170" s="3285" t="s">
        <v>3504</v>
      </c>
      <c r="AB170" s="3285" t="s">
        <v>3534</v>
      </c>
      <c r="AC170" s="3285" t="s">
        <v>3088</v>
      </c>
      <c r="AD170" s="3285" t="s">
        <v>3380</v>
      </c>
      <c r="AE170" s="3285">
        <v>13706</v>
      </c>
      <c r="AF170" s="3285">
        <v>13706</v>
      </c>
      <c r="AG170" s="3285">
        <v>13706</v>
      </c>
      <c r="AH170" s="3285">
        <v>153.84</v>
      </c>
      <c r="AI170" s="3285">
        <v>153.84</v>
      </c>
      <c r="AJ170" s="3285">
        <v>1775.04</v>
      </c>
      <c r="AK170" s="3285">
        <v>1775.03</v>
      </c>
      <c r="AL170" s="3285" t="s">
        <v>2791</v>
      </c>
      <c r="AM170" s="3285" t="s">
        <v>2791</v>
      </c>
      <c r="AN170" s="3285">
        <v>0</v>
      </c>
      <c r="AO170" s="3285" t="s">
        <v>3512</v>
      </c>
      <c r="AP170" s="3285" t="s">
        <v>2791</v>
      </c>
      <c r="AQ170" s="3285" t="s">
        <v>2791</v>
      </c>
      <c r="AR170" s="3285" t="s">
        <v>2791</v>
      </c>
      <c r="AS170" s="3285" t="s">
        <v>3082</v>
      </c>
    </row>
    <row r="171" spans="1:45">
      <c r="A171" s="3285" t="s">
        <v>3372</v>
      </c>
      <c r="B171" s="3285" t="s">
        <v>3056</v>
      </c>
      <c r="C171" s="3285" t="s">
        <v>3057</v>
      </c>
      <c r="D171" s="3285" t="s">
        <v>3058</v>
      </c>
      <c r="E171" s="3285" t="s">
        <v>2791</v>
      </c>
      <c r="F171" s="3285" t="s">
        <v>3372</v>
      </c>
      <c r="G171" s="3285" t="s">
        <v>3059</v>
      </c>
      <c r="H171" s="3285" t="s">
        <v>3535</v>
      </c>
      <c r="I171" s="3285" t="s">
        <v>3500</v>
      </c>
      <c r="J171" s="3285">
        <v>43485.56</v>
      </c>
      <c r="K171" s="3285">
        <v>60879.78</v>
      </c>
      <c r="L171" s="3285" t="s">
        <v>3517</v>
      </c>
      <c r="M171" s="3285" t="s">
        <v>2791</v>
      </c>
      <c r="N171" s="3285" t="s">
        <v>3502</v>
      </c>
      <c r="O171" s="3285" t="s">
        <v>3510</v>
      </c>
      <c r="P171" s="3285" t="s">
        <v>2791</v>
      </c>
      <c r="Q171" s="3285" t="s">
        <v>2791</v>
      </c>
      <c r="R171" s="3285" t="s">
        <v>2791</v>
      </c>
      <c r="S171" s="3285" t="s">
        <v>2791</v>
      </c>
      <c r="T171" s="3285" t="s">
        <v>2791</v>
      </c>
      <c r="U171" s="3285" t="s">
        <v>2791</v>
      </c>
      <c r="V171" s="3285" t="s">
        <v>2791</v>
      </c>
      <c r="W171" s="3285" t="s">
        <v>3263</v>
      </c>
      <c r="X171" s="3285" t="s">
        <v>3494</v>
      </c>
      <c r="Y171" s="3285" t="s">
        <v>3504</v>
      </c>
      <c r="Z171" s="3285" t="s">
        <v>3504</v>
      </c>
      <c r="AA171" s="3285" t="s">
        <v>3504</v>
      </c>
      <c r="AB171" s="3285" t="s">
        <v>3536</v>
      </c>
      <c r="AC171" s="3285" t="s">
        <v>3088</v>
      </c>
      <c r="AD171" s="3285" t="s">
        <v>3380</v>
      </c>
      <c r="AE171" s="3285">
        <v>14920</v>
      </c>
      <c r="AF171" s="3285">
        <v>14920</v>
      </c>
      <c r="AG171" s="3285">
        <v>14920</v>
      </c>
      <c r="AH171" s="3285">
        <v>228.73</v>
      </c>
      <c r="AI171" s="3285">
        <v>228.73</v>
      </c>
      <c r="AJ171" s="3285">
        <v>2450.73</v>
      </c>
      <c r="AK171" s="3285">
        <v>2450.73</v>
      </c>
      <c r="AL171" s="3285" t="s">
        <v>2791</v>
      </c>
      <c r="AM171" s="3285" t="s">
        <v>2791</v>
      </c>
      <c r="AN171" s="3285">
        <v>0</v>
      </c>
      <c r="AO171" s="3285">
        <v>70</v>
      </c>
      <c r="AP171" s="3285" t="s">
        <v>2791</v>
      </c>
      <c r="AQ171" s="3285" t="s">
        <v>2791</v>
      </c>
      <c r="AR171" s="3285" t="s">
        <v>2791</v>
      </c>
      <c r="AS171" s="3285" t="s">
        <v>3082</v>
      </c>
    </row>
    <row r="172" spans="1:45">
      <c r="A172" s="3285" t="s">
        <v>3381</v>
      </c>
      <c r="B172" s="3285" t="s">
        <v>3056</v>
      </c>
      <c r="C172" s="3285" t="s">
        <v>3057</v>
      </c>
      <c r="D172" s="3285" t="s">
        <v>3058</v>
      </c>
      <c r="E172" s="3285" t="s">
        <v>2791</v>
      </c>
      <c r="F172" s="3285" t="s">
        <v>3381</v>
      </c>
      <c r="G172" s="3285" t="s">
        <v>3059</v>
      </c>
      <c r="H172" s="3285" t="s">
        <v>3537</v>
      </c>
      <c r="I172" s="3285" t="s">
        <v>3500</v>
      </c>
      <c r="J172" s="3285">
        <v>57121.24</v>
      </c>
      <c r="K172" s="3285">
        <v>62833.36</v>
      </c>
      <c r="L172" s="3285" t="s">
        <v>3501</v>
      </c>
      <c r="M172" s="3285" t="s">
        <v>2791</v>
      </c>
      <c r="N172" s="3285" t="s">
        <v>3502</v>
      </c>
      <c r="O172" s="3285" t="s">
        <v>3503</v>
      </c>
      <c r="P172" s="3285" t="s">
        <v>2791</v>
      </c>
      <c r="Q172" s="3285" t="s">
        <v>2791</v>
      </c>
      <c r="R172" s="3285" t="s">
        <v>2791</v>
      </c>
      <c r="S172" s="3285" t="s">
        <v>2791</v>
      </c>
      <c r="T172" s="3285" t="s">
        <v>2791</v>
      </c>
      <c r="U172" s="3285" t="s">
        <v>2791</v>
      </c>
      <c r="V172" s="3285" t="s">
        <v>2791</v>
      </c>
      <c r="W172" s="3285" t="s">
        <v>3263</v>
      </c>
      <c r="X172" s="3285" t="s">
        <v>3494</v>
      </c>
      <c r="Y172" s="3285" t="s">
        <v>3504</v>
      </c>
      <c r="Z172" s="3285" t="s">
        <v>3504</v>
      </c>
      <c r="AA172" s="3285" t="s">
        <v>3504</v>
      </c>
      <c r="AB172" s="3285" t="s">
        <v>3538</v>
      </c>
      <c r="AC172" s="3285" t="s">
        <v>3088</v>
      </c>
      <c r="AD172" s="3285" t="s">
        <v>3380</v>
      </c>
      <c r="AE172" s="3285">
        <v>15400</v>
      </c>
      <c r="AF172" s="3285">
        <v>15400</v>
      </c>
      <c r="AG172" s="3285">
        <v>15400</v>
      </c>
      <c r="AH172" s="3285">
        <v>179.73</v>
      </c>
      <c r="AI172" s="3285">
        <v>179.73</v>
      </c>
      <c r="AJ172" s="3285">
        <v>2450.92</v>
      </c>
      <c r="AK172" s="3285">
        <v>2450.92</v>
      </c>
      <c r="AL172" s="3285" t="s">
        <v>2791</v>
      </c>
      <c r="AM172" s="3285" t="s">
        <v>2791</v>
      </c>
      <c r="AN172" s="3285">
        <v>0</v>
      </c>
      <c r="AO172" s="3285">
        <v>70</v>
      </c>
      <c r="AP172" s="3285" t="s">
        <v>2791</v>
      </c>
      <c r="AQ172" s="3285" t="s">
        <v>2791</v>
      </c>
      <c r="AR172" s="3285" t="s">
        <v>2791</v>
      </c>
      <c r="AS172" s="3285" t="s">
        <v>3082</v>
      </c>
    </row>
    <row r="173" spans="1:45">
      <c r="A173" s="3285" t="s">
        <v>3381</v>
      </c>
      <c r="B173" s="3285" t="s">
        <v>3056</v>
      </c>
      <c r="C173" s="3285" t="s">
        <v>3057</v>
      </c>
      <c r="D173" s="3285" t="s">
        <v>3058</v>
      </c>
      <c r="E173" s="3285" t="s">
        <v>2791</v>
      </c>
      <c r="F173" s="3285" t="s">
        <v>3381</v>
      </c>
      <c r="G173" s="3285" t="s">
        <v>3059</v>
      </c>
      <c r="H173" s="3285" t="s">
        <v>3539</v>
      </c>
      <c r="I173" s="3285" t="s">
        <v>3500</v>
      </c>
      <c r="J173" s="3285">
        <v>29356.93</v>
      </c>
      <c r="K173" s="3285">
        <v>32292.62</v>
      </c>
      <c r="L173" s="3285" t="s">
        <v>3501</v>
      </c>
      <c r="M173" s="3285" t="s">
        <v>2791</v>
      </c>
      <c r="N173" s="3285" t="s">
        <v>3502</v>
      </c>
      <c r="O173" s="3285" t="s">
        <v>3503</v>
      </c>
      <c r="P173" s="3285" t="s">
        <v>2791</v>
      </c>
      <c r="Q173" s="3285" t="s">
        <v>2791</v>
      </c>
      <c r="R173" s="3285" t="s">
        <v>2791</v>
      </c>
      <c r="S173" s="3285" t="s">
        <v>2791</v>
      </c>
      <c r="T173" s="3285" t="s">
        <v>2791</v>
      </c>
      <c r="U173" s="3285" t="s">
        <v>2791</v>
      </c>
      <c r="V173" s="3285" t="s">
        <v>2791</v>
      </c>
      <c r="W173" s="3285" t="s">
        <v>3263</v>
      </c>
      <c r="X173" s="3285" t="s">
        <v>3494</v>
      </c>
      <c r="Y173" s="3285" t="s">
        <v>3504</v>
      </c>
      <c r="Z173" s="3285" t="s">
        <v>3504</v>
      </c>
      <c r="AA173" s="3285" t="s">
        <v>3504</v>
      </c>
      <c r="AB173" s="3285" t="s">
        <v>3540</v>
      </c>
      <c r="AC173" s="3285" t="s">
        <v>3088</v>
      </c>
      <c r="AD173" s="3285" t="s">
        <v>3380</v>
      </c>
      <c r="AE173" s="3285">
        <v>7910</v>
      </c>
      <c r="AF173" s="3285">
        <v>7910</v>
      </c>
      <c r="AG173" s="3285">
        <v>7910</v>
      </c>
      <c r="AH173" s="3285">
        <v>179.63</v>
      </c>
      <c r="AI173" s="3285">
        <v>179.63</v>
      </c>
      <c r="AJ173" s="3285">
        <v>2449.4699999999998</v>
      </c>
      <c r="AK173" s="3285">
        <v>2449.48</v>
      </c>
      <c r="AL173" s="3285" t="s">
        <v>2791</v>
      </c>
      <c r="AM173" s="3285" t="s">
        <v>2791</v>
      </c>
      <c r="AN173" s="3285">
        <v>0</v>
      </c>
      <c r="AO173" s="3285">
        <v>70</v>
      </c>
      <c r="AP173" s="3285" t="s">
        <v>2791</v>
      </c>
      <c r="AQ173" s="3285" t="s">
        <v>2791</v>
      </c>
      <c r="AR173" s="3285" t="s">
        <v>2791</v>
      </c>
      <c r="AS173" s="3285" t="s">
        <v>3082</v>
      </c>
    </row>
    <row r="174" spans="1:45">
      <c r="A174" s="3285" t="s">
        <v>3372</v>
      </c>
      <c r="B174" s="3285" t="s">
        <v>3056</v>
      </c>
      <c r="C174" s="3285" t="s">
        <v>3057</v>
      </c>
      <c r="D174" s="3285" t="s">
        <v>3058</v>
      </c>
      <c r="E174" s="3285" t="s">
        <v>2791</v>
      </c>
      <c r="F174" s="3285" t="s">
        <v>3372</v>
      </c>
      <c r="G174" s="3285" t="s">
        <v>3059</v>
      </c>
      <c r="H174" s="3285" t="s">
        <v>3541</v>
      </c>
      <c r="I174" s="3285" t="s">
        <v>3500</v>
      </c>
      <c r="J174" s="3285">
        <v>67838.600000000006</v>
      </c>
      <c r="K174" s="3285">
        <v>74622.460000000006</v>
      </c>
      <c r="L174" s="3285" t="s">
        <v>3501</v>
      </c>
      <c r="M174" s="3285" t="s">
        <v>2791</v>
      </c>
      <c r="N174" s="3285" t="s">
        <v>3502</v>
      </c>
      <c r="O174" s="3285" t="s">
        <v>3503</v>
      </c>
      <c r="P174" s="3285" t="s">
        <v>2791</v>
      </c>
      <c r="Q174" s="3285" t="s">
        <v>2791</v>
      </c>
      <c r="R174" s="3285" t="s">
        <v>2791</v>
      </c>
      <c r="S174" s="3285" t="s">
        <v>2791</v>
      </c>
      <c r="T174" s="3285" t="s">
        <v>2791</v>
      </c>
      <c r="U174" s="3285" t="s">
        <v>2791</v>
      </c>
      <c r="V174" s="3285" t="s">
        <v>2791</v>
      </c>
      <c r="W174" s="3285" t="s">
        <v>3263</v>
      </c>
      <c r="X174" s="3285" t="s">
        <v>3494</v>
      </c>
      <c r="Y174" s="3285" t="s">
        <v>3504</v>
      </c>
      <c r="Z174" s="3285" t="s">
        <v>3504</v>
      </c>
      <c r="AA174" s="3285" t="s">
        <v>3504</v>
      </c>
      <c r="AB174" s="3285" t="s">
        <v>3542</v>
      </c>
      <c r="AC174" s="3285" t="s">
        <v>3088</v>
      </c>
      <c r="AD174" s="3285" t="s">
        <v>3380</v>
      </c>
      <c r="AE174" s="3285">
        <v>18280</v>
      </c>
      <c r="AF174" s="3285">
        <v>18280</v>
      </c>
      <c r="AG174" s="3285">
        <v>18280</v>
      </c>
      <c r="AH174" s="3285">
        <v>179.64</v>
      </c>
      <c r="AI174" s="3285">
        <v>179.64</v>
      </c>
      <c r="AJ174" s="3285">
        <v>2449.66</v>
      </c>
      <c r="AK174" s="3285">
        <v>2449.65</v>
      </c>
      <c r="AL174" s="3285" t="s">
        <v>2791</v>
      </c>
      <c r="AM174" s="3285" t="s">
        <v>2791</v>
      </c>
      <c r="AN174" s="3285">
        <v>0</v>
      </c>
      <c r="AO174" s="3285">
        <v>70</v>
      </c>
      <c r="AP174" s="3285" t="s">
        <v>2791</v>
      </c>
      <c r="AQ174" s="3285" t="s">
        <v>2791</v>
      </c>
      <c r="AR174" s="3285" t="s">
        <v>2791</v>
      </c>
      <c r="AS174" s="3285" t="s">
        <v>3082</v>
      </c>
    </row>
    <row r="175" spans="1:45">
      <c r="A175" s="3285" t="s">
        <v>3372</v>
      </c>
      <c r="B175" s="3285" t="s">
        <v>3056</v>
      </c>
      <c r="C175" s="3285" t="s">
        <v>3057</v>
      </c>
      <c r="D175" s="3285" t="s">
        <v>3058</v>
      </c>
      <c r="E175" s="3285" t="s">
        <v>2791</v>
      </c>
      <c r="F175" s="3285" t="s">
        <v>3372</v>
      </c>
      <c r="G175" s="3285" t="s">
        <v>3059</v>
      </c>
      <c r="H175" s="3285" t="s">
        <v>3543</v>
      </c>
      <c r="I175" s="3285" t="s">
        <v>3500</v>
      </c>
      <c r="J175" s="3285">
        <v>42050.55</v>
      </c>
      <c r="K175" s="3285">
        <v>46255.61</v>
      </c>
      <c r="L175" s="3285" t="s">
        <v>3501</v>
      </c>
      <c r="M175" s="3285" t="s">
        <v>2791</v>
      </c>
      <c r="N175" s="3285" t="s">
        <v>3502</v>
      </c>
      <c r="O175" s="3285" t="s">
        <v>3503</v>
      </c>
      <c r="P175" s="3285" t="s">
        <v>2791</v>
      </c>
      <c r="Q175" s="3285" t="s">
        <v>2791</v>
      </c>
      <c r="R175" s="3285" t="s">
        <v>2791</v>
      </c>
      <c r="S175" s="3285" t="s">
        <v>2791</v>
      </c>
      <c r="T175" s="3285" t="s">
        <v>2791</v>
      </c>
      <c r="U175" s="3285" t="s">
        <v>2791</v>
      </c>
      <c r="V175" s="3285" t="s">
        <v>2791</v>
      </c>
      <c r="W175" s="3285" t="s">
        <v>3263</v>
      </c>
      <c r="X175" s="3285" t="s">
        <v>3494</v>
      </c>
      <c r="Y175" s="3285" t="s">
        <v>3504</v>
      </c>
      <c r="Z175" s="3285" t="s">
        <v>3504</v>
      </c>
      <c r="AA175" s="3285" t="s">
        <v>3504</v>
      </c>
      <c r="AB175" s="3285" t="s">
        <v>3544</v>
      </c>
      <c r="AC175" s="3285" t="s">
        <v>3088</v>
      </c>
      <c r="AD175" s="3285" t="s">
        <v>3380</v>
      </c>
      <c r="AE175" s="3285">
        <v>11330</v>
      </c>
      <c r="AF175" s="3285">
        <v>11330</v>
      </c>
      <c r="AG175" s="3285">
        <v>11330</v>
      </c>
      <c r="AH175" s="3285">
        <v>179.63</v>
      </c>
      <c r="AI175" s="3285">
        <v>179.63</v>
      </c>
      <c r="AJ175" s="3285">
        <v>2449.4299999999998</v>
      </c>
      <c r="AK175" s="3285">
        <v>2449.42</v>
      </c>
      <c r="AL175" s="3285" t="s">
        <v>2791</v>
      </c>
      <c r="AM175" s="3285" t="s">
        <v>2791</v>
      </c>
      <c r="AN175" s="3285">
        <v>0</v>
      </c>
      <c r="AO175" s="3285">
        <v>70</v>
      </c>
      <c r="AP175" s="3285" t="s">
        <v>2791</v>
      </c>
      <c r="AQ175" s="3285" t="s">
        <v>2791</v>
      </c>
      <c r="AR175" s="3285" t="s">
        <v>2791</v>
      </c>
      <c r="AS175" s="3285" t="s">
        <v>3082</v>
      </c>
    </row>
    <row r="176" spans="1:45">
      <c r="A176" s="3285" t="s">
        <v>3545</v>
      </c>
      <c r="B176" s="3285" t="s">
        <v>3056</v>
      </c>
      <c r="C176" s="3285" t="s">
        <v>3057</v>
      </c>
      <c r="D176" s="3285" t="s">
        <v>3058</v>
      </c>
      <c r="E176" s="3285" t="s">
        <v>2791</v>
      </c>
      <c r="F176" s="3285" t="s">
        <v>3545</v>
      </c>
      <c r="G176" s="3285" t="s">
        <v>3059</v>
      </c>
      <c r="H176" s="3285" t="s">
        <v>3546</v>
      </c>
      <c r="I176" s="3285" t="s">
        <v>3493</v>
      </c>
      <c r="J176" s="3285">
        <v>69023.320000000007</v>
      </c>
      <c r="K176" s="3285">
        <v>103534.98</v>
      </c>
      <c r="L176" s="3285" t="s">
        <v>3413</v>
      </c>
      <c r="M176" s="3285" t="s">
        <v>2791</v>
      </c>
      <c r="N176" s="3285" t="s">
        <v>3061</v>
      </c>
      <c r="O176" s="3285" t="s">
        <v>3080</v>
      </c>
      <c r="P176" s="3285" t="s">
        <v>2791</v>
      </c>
      <c r="Q176" s="3285" t="s">
        <v>2791</v>
      </c>
      <c r="R176" s="3285" t="s">
        <v>2791</v>
      </c>
      <c r="S176" s="3285" t="s">
        <v>2791</v>
      </c>
      <c r="T176" s="3285" t="s">
        <v>2791</v>
      </c>
      <c r="U176" s="3285" t="s">
        <v>2791</v>
      </c>
      <c r="V176" s="3285" t="s">
        <v>2791</v>
      </c>
      <c r="W176" s="3285" t="s">
        <v>3263</v>
      </c>
      <c r="X176" s="3285" t="s">
        <v>3547</v>
      </c>
      <c r="Y176" s="3285" t="s">
        <v>3548</v>
      </c>
      <c r="Z176" s="3285" t="s">
        <v>3548</v>
      </c>
      <c r="AA176" s="3285" t="s">
        <v>3548</v>
      </c>
      <c r="AB176" s="3285" t="s">
        <v>3549</v>
      </c>
      <c r="AC176" s="3285" t="s">
        <v>3088</v>
      </c>
      <c r="AD176" s="3285" t="s">
        <v>3550</v>
      </c>
      <c r="AE176" s="3285">
        <v>46600</v>
      </c>
      <c r="AF176" s="3285">
        <v>9320</v>
      </c>
      <c r="AG176" s="3285">
        <v>46600</v>
      </c>
      <c r="AH176" s="3285">
        <v>90.02</v>
      </c>
      <c r="AI176" s="3285">
        <v>450.09</v>
      </c>
      <c r="AJ176" s="3285">
        <v>900.17</v>
      </c>
      <c r="AK176" s="3285">
        <v>4500.8900000000003</v>
      </c>
      <c r="AL176" s="3285" t="s">
        <v>2791</v>
      </c>
      <c r="AM176" s="3285" t="s">
        <v>2791</v>
      </c>
      <c r="AN176" s="3285">
        <v>400</v>
      </c>
      <c r="AO176" s="3285" t="s">
        <v>3063</v>
      </c>
      <c r="AP176" s="3285" t="s">
        <v>2791</v>
      </c>
      <c r="AQ176" s="3285" t="s">
        <v>2791</v>
      </c>
      <c r="AR176" s="3285" t="s">
        <v>2791</v>
      </c>
      <c r="AS176" s="3285" t="s">
        <v>3081</v>
      </c>
    </row>
    <row r="177" spans="1:45">
      <c r="A177" s="3285" t="s">
        <v>3551</v>
      </c>
      <c r="B177" s="3285" t="s">
        <v>3056</v>
      </c>
      <c r="C177" s="3285" t="s">
        <v>3057</v>
      </c>
      <c r="D177" s="3285" t="s">
        <v>3058</v>
      </c>
      <c r="E177" s="3285" t="s">
        <v>2791</v>
      </c>
      <c r="F177" s="3285" t="s">
        <v>3551</v>
      </c>
      <c r="G177" s="3285" t="s">
        <v>3059</v>
      </c>
      <c r="H177" s="3285" t="s">
        <v>3552</v>
      </c>
      <c r="I177" s="3285" t="s">
        <v>3493</v>
      </c>
      <c r="J177" s="3285">
        <v>34467.25</v>
      </c>
      <c r="K177" s="3285">
        <v>62041.05</v>
      </c>
      <c r="L177" s="3285" t="s">
        <v>3123</v>
      </c>
      <c r="M177" s="3285" t="s">
        <v>2791</v>
      </c>
      <c r="N177" s="3285" t="s">
        <v>3553</v>
      </c>
      <c r="O177" s="3285" t="s">
        <v>3471</v>
      </c>
      <c r="P177" s="3285" t="s">
        <v>2791</v>
      </c>
      <c r="Q177" s="3285" t="s">
        <v>2791</v>
      </c>
      <c r="R177" s="3285" t="s">
        <v>2791</v>
      </c>
      <c r="S177" s="3285" t="s">
        <v>2791</v>
      </c>
      <c r="T177" s="3285" t="s">
        <v>2791</v>
      </c>
      <c r="U177" s="3285" t="s">
        <v>2791</v>
      </c>
      <c r="V177" s="3285" t="s">
        <v>2791</v>
      </c>
      <c r="W177" s="3285" t="s">
        <v>3263</v>
      </c>
      <c r="X177" s="3285" t="s">
        <v>3547</v>
      </c>
      <c r="Y177" s="3285" t="s">
        <v>3548</v>
      </c>
      <c r="Z177" s="3285" t="s">
        <v>3548</v>
      </c>
      <c r="AA177" s="3285" t="s">
        <v>3548</v>
      </c>
      <c r="AB177" s="3285" t="s">
        <v>3549</v>
      </c>
      <c r="AC177" s="3285" t="s">
        <v>3088</v>
      </c>
      <c r="AD177" s="3285" t="s">
        <v>3550</v>
      </c>
      <c r="AE177" s="3285">
        <v>17000</v>
      </c>
      <c r="AF177" s="3285">
        <v>17000</v>
      </c>
      <c r="AG177" s="3285">
        <v>17000</v>
      </c>
      <c r="AH177" s="3285">
        <v>328.81</v>
      </c>
      <c r="AI177" s="3285">
        <v>328.81</v>
      </c>
      <c r="AJ177" s="3285">
        <v>2740.12</v>
      </c>
      <c r="AK177" s="3285">
        <v>2740.11</v>
      </c>
      <c r="AL177" s="3285" t="s">
        <v>2791</v>
      </c>
      <c r="AM177" s="3285" t="s">
        <v>2791</v>
      </c>
      <c r="AN177" s="3285">
        <v>0</v>
      </c>
      <c r="AO177" s="3285" t="s">
        <v>3063</v>
      </c>
      <c r="AP177" s="3285" t="s">
        <v>2791</v>
      </c>
      <c r="AQ177" s="3285" t="s">
        <v>2791</v>
      </c>
      <c r="AR177" s="3285" t="s">
        <v>2791</v>
      </c>
      <c r="AS177" s="3285" t="s">
        <v>3081</v>
      </c>
    </row>
    <row r="178" spans="1:45">
      <c r="A178" s="3285" t="s">
        <v>3555</v>
      </c>
      <c r="B178" s="3285" t="s">
        <v>3056</v>
      </c>
      <c r="C178" s="3285" t="s">
        <v>3057</v>
      </c>
      <c r="D178" s="3285" t="s">
        <v>3058</v>
      </c>
      <c r="E178" s="3285" t="s">
        <v>2791</v>
      </c>
      <c r="F178" s="3285" t="s">
        <v>3555</v>
      </c>
      <c r="G178" s="3285" t="s">
        <v>3059</v>
      </c>
      <c r="H178" s="3285" t="s">
        <v>3559</v>
      </c>
      <c r="I178" s="3285" t="s">
        <v>3493</v>
      </c>
      <c r="J178" s="3285">
        <v>34446.42</v>
      </c>
      <c r="K178" s="3285">
        <v>68892.84</v>
      </c>
      <c r="L178" s="3285" t="s">
        <v>3303</v>
      </c>
      <c r="M178" s="3285" t="s">
        <v>2791</v>
      </c>
      <c r="N178" s="3285" t="s">
        <v>3470</v>
      </c>
      <c r="O178" s="3285" t="s">
        <v>3471</v>
      </c>
      <c r="P178" s="3285" t="s">
        <v>2791</v>
      </c>
      <c r="Q178" s="3285" t="s">
        <v>2791</v>
      </c>
      <c r="R178" s="3285" t="s">
        <v>2791</v>
      </c>
      <c r="S178" s="3285" t="s">
        <v>2791</v>
      </c>
      <c r="T178" s="3285" t="s">
        <v>2791</v>
      </c>
      <c r="U178" s="3285" t="s">
        <v>2791</v>
      </c>
      <c r="V178" s="3285" t="s">
        <v>2791</v>
      </c>
      <c r="W178" s="3285" t="s">
        <v>3263</v>
      </c>
      <c r="X178" s="3285" t="s">
        <v>3547</v>
      </c>
      <c r="Y178" s="3285" t="s">
        <v>3548</v>
      </c>
      <c r="Z178" s="3285" t="s">
        <v>3548</v>
      </c>
      <c r="AA178" s="3285" t="s">
        <v>3548</v>
      </c>
      <c r="AB178" s="3285" t="s">
        <v>3549</v>
      </c>
      <c r="AC178" s="3285" t="s">
        <v>3088</v>
      </c>
      <c r="AD178" s="3285" t="s">
        <v>3550</v>
      </c>
      <c r="AE178" s="3285">
        <v>18000</v>
      </c>
      <c r="AF178" s="3285">
        <v>18000</v>
      </c>
      <c r="AG178" s="3285">
        <v>18000</v>
      </c>
      <c r="AH178" s="3285">
        <v>348.37</v>
      </c>
      <c r="AI178" s="3285">
        <v>348.37</v>
      </c>
      <c r="AJ178" s="3285">
        <v>2612.75</v>
      </c>
      <c r="AK178" s="3285">
        <v>2612.75</v>
      </c>
      <c r="AL178" s="3285" t="s">
        <v>2791</v>
      </c>
      <c r="AM178" s="3285" t="s">
        <v>2791</v>
      </c>
      <c r="AN178" s="3285">
        <v>0</v>
      </c>
      <c r="AO178" s="3285" t="s">
        <v>3063</v>
      </c>
      <c r="AP178" s="3285" t="s">
        <v>2791</v>
      </c>
      <c r="AQ178" s="3285" t="s">
        <v>2791</v>
      </c>
      <c r="AR178" s="3285" t="s">
        <v>2791</v>
      </c>
      <c r="AS178" s="3285" t="s">
        <v>3081</v>
      </c>
    </row>
    <row r="179" spans="1:45">
      <c r="A179" s="3285" t="s">
        <v>3560</v>
      </c>
      <c r="B179" s="3285" t="s">
        <v>3056</v>
      </c>
      <c r="C179" s="3285" t="s">
        <v>3057</v>
      </c>
      <c r="D179" s="3285" t="s">
        <v>3058</v>
      </c>
      <c r="E179" s="3285" t="s">
        <v>2791</v>
      </c>
      <c r="F179" s="3285" t="s">
        <v>3560</v>
      </c>
      <c r="G179" s="3285" t="s">
        <v>3059</v>
      </c>
      <c r="H179" s="3285" t="s">
        <v>3561</v>
      </c>
      <c r="I179" s="3285" t="s">
        <v>3493</v>
      </c>
      <c r="J179" s="3285">
        <v>40568.22</v>
      </c>
      <c r="K179" s="3285">
        <v>73022.8</v>
      </c>
      <c r="L179" s="3285" t="s">
        <v>3123</v>
      </c>
      <c r="M179" s="3285" t="s">
        <v>2791</v>
      </c>
      <c r="N179" s="3285" t="s">
        <v>3553</v>
      </c>
      <c r="O179" s="3285" t="s">
        <v>3471</v>
      </c>
      <c r="P179" s="3285" t="s">
        <v>2791</v>
      </c>
      <c r="Q179" s="3285" t="s">
        <v>2791</v>
      </c>
      <c r="R179" s="3285" t="s">
        <v>2791</v>
      </c>
      <c r="S179" s="3285" t="s">
        <v>2791</v>
      </c>
      <c r="T179" s="3285" t="s">
        <v>2791</v>
      </c>
      <c r="U179" s="3285" t="s">
        <v>2791</v>
      </c>
      <c r="V179" s="3285" t="s">
        <v>2791</v>
      </c>
      <c r="W179" s="3285" t="s">
        <v>3263</v>
      </c>
      <c r="X179" s="3285" t="s">
        <v>3547</v>
      </c>
      <c r="Y179" s="3285" t="s">
        <v>3548</v>
      </c>
      <c r="Z179" s="3285" t="s">
        <v>3548</v>
      </c>
      <c r="AA179" s="3285" t="s">
        <v>3548</v>
      </c>
      <c r="AB179" s="3285" t="s">
        <v>3549</v>
      </c>
      <c r="AC179" s="3285" t="s">
        <v>3088</v>
      </c>
      <c r="AD179" s="3285" t="s">
        <v>3550</v>
      </c>
      <c r="AE179" s="3285">
        <v>21300</v>
      </c>
      <c r="AF179" s="3285">
        <v>21300</v>
      </c>
      <c r="AG179" s="3285">
        <v>21300</v>
      </c>
      <c r="AH179" s="3285">
        <v>350.03</v>
      </c>
      <c r="AI179" s="3285">
        <v>350.03</v>
      </c>
      <c r="AJ179" s="3285">
        <v>2916.89</v>
      </c>
      <c r="AK179" s="3285">
        <v>2916.9</v>
      </c>
      <c r="AL179" s="3285" t="s">
        <v>2791</v>
      </c>
      <c r="AM179" s="3285" t="s">
        <v>2791</v>
      </c>
      <c r="AN179" s="3285">
        <v>0</v>
      </c>
      <c r="AO179" s="3285" t="s">
        <v>3063</v>
      </c>
      <c r="AP179" s="3285" t="s">
        <v>2791</v>
      </c>
      <c r="AQ179" s="3285" t="s">
        <v>2791</v>
      </c>
      <c r="AR179" s="3285" t="s">
        <v>2791</v>
      </c>
      <c r="AS179" s="3285" t="s">
        <v>3146</v>
      </c>
    </row>
    <row r="180" spans="1:45">
      <c r="A180" s="3285" t="s">
        <v>3545</v>
      </c>
      <c r="B180" s="3285" t="s">
        <v>3056</v>
      </c>
      <c r="C180" s="3285" t="s">
        <v>3057</v>
      </c>
      <c r="D180" s="3285" t="s">
        <v>3058</v>
      </c>
      <c r="E180" s="3285" t="s">
        <v>2791</v>
      </c>
      <c r="F180" s="3285" t="s">
        <v>3545</v>
      </c>
      <c r="G180" s="3285" t="s">
        <v>3059</v>
      </c>
      <c r="H180" s="3285" t="s">
        <v>3562</v>
      </c>
      <c r="I180" s="3285" t="s">
        <v>3493</v>
      </c>
      <c r="J180" s="3285">
        <v>69543.88</v>
      </c>
      <c r="K180" s="3285">
        <v>104315.82</v>
      </c>
      <c r="L180" s="3285" t="s">
        <v>3413</v>
      </c>
      <c r="M180" s="3285" t="s">
        <v>2791</v>
      </c>
      <c r="N180" s="3285" t="s">
        <v>3061</v>
      </c>
      <c r="O180" s="3285" t="s">
        <v>3080</v>
      </c>
      <c r="P180" s="3285" t="s">
        <v>2791</v>
      </c>
      <c r="Q180" s="3285" t="s">
        <v>2791</v>
      </c>
      <c r="R180" s="3285" t="s">
        <v>2791</v>
      </c>
      <c r="S180" s="3285" t="s">
        <v>2791</v>
      </c>
      <c r="T180" s="3285" t="s">
        <v>2791</v>
      </c>
      <c r="U180" s="3285" t="s">
        <v>2791</v>
      </c>
      <c r="V180" s="3285" t="s">
        <v>2791</v>
      </c>
      <c r="W180" s="3285" t="s">
        <v>3263</v>
      </c>
      <c r="X180" s="3285" t="s">
        <v>3547</v>
      </c>
      <c r="Y180" s="3285" t="s">
        <v>3548</v>
      </c>
      <c r="Z180" s="3285" t="s">
        <v>3548</v>
      </c>
      <c r="AA180" s="3285" t="s">
        <v>3548</v>
      </c>
      <c r="AB180" s="3285" t="s">
        <v>3549</v>
      </c>
      <c r="AC180" s="3285" t="s">
        <v>3088</v>
      </c>
      <c r="AD180" s="3285" t="s">
        <v>3550</v>
      </c>
      <c r="AE180" s="3285">
        <v>47000</v>
      </c>
      <c r="AF180" s="3285">
        <v>9400</v>
      </c>
      <c r="AG180" s="3285">
        <v>47000</v>
      </c>
      <c r="AH180" s="3285">
        <v>90.11</v>
      </c>
      <c r="AI180" s="3285">
        <v>450.55</v>
      </c>
      <c r="AJ180" s="3285">
        <v>901.1</v>
      </c>
      <c r="AK180" s="3285">
        <v>4505.55</v>
      </c>
      <c r="AL180" s="3285" t="s">
        <v>2791</v>
      </c>
      <c r="AM180" s="3285" t="s">
        <v>2791</v>
      </c>
      <c r="AN180" s="3285">
        <v>400</v>
      </c>
      <c r="AO180" s="3285" t="s">
        <v>3063</v>
      </c>
      <c r="AP180" s="3285" t="s">
        <v>2791</v>
      </c>
      <c r="AQ180" s="3285" t="s">
        <v>2791</v>
      </c>
      <c r="AR180" s="3285" t="s">
        <v>2791</v>
      </c>
      <c r="AS180" s="3285" t="s">
        <v>3081</v>
      </c>
    </row>
    <row r="181" spans="1:45">
      <c r="A181" s="3285" t="s">
        <v>3555</v>
      </c>
      <c r="B181" s="3285" t="s">
        <v>3056</v>
      </c>
      <c r="C181" s="3285" t="s">
        <v>3057</v>
      </c>
      <c r="D181" s="3285" t="s">
        <v>3058</v>
      </c>
      <c r="E181" s="3285" t="s">
        <v>2791</v>
      </c>
      <c r="F181" s="3285" t="s">
        <v>3555</v>
      </c>
      <c r="G181" s="3285" t="s">
        <v>3059</v>
      </c>
      <c r="H181" s="3285" t="s">
        <v>3563</v>
      </c>
      <c r="I181" s="3285" t="s">
        <v>3493</v>
      </c>
      <c r="J181" s="3285">
        <v>55198.45</v>
      </c>
      <c r="K181" s="3285">
        <v>121436.59</v>
      </c>
      <c r="L181" s="3285" t="s">
        <v>3185</v>
      </c>
      <c r="M181" s="3285" t="s">
        <v>2791</v>
      </c>
      <c r="N181" s="3285" t="s">
        <v>3470</v>
      </c>
      <c r="O181" s="3285" t="s">
        <v>3471</v>
      </c>
      <c r="P181" s="3285" t="s">
        <v>2791</v>
      </c>
      <c r="Q181" s="3285" t="s">
        <v>2791</v>
      </c>
      <c r="R181" s="3285" t="s">
        <v>2791</v>
      </c>
      <c r="S181" s="3285" t="s">
        <v>2791</v>
      </c>
      <c r="T181" s="3285" t="s">
        <v>2791</v>
      </c>
      <c r="U181" s="3285" t="s">
        <v>2791</v>
      </c>
      <c r="V181" s="3285" t="s">
        <v>2791</v>
      </c>
      <c r="W181" s="3285" t="s">
        <v>3263</v>
      </c>
      <c r="X181" s="3285" t="s">
        <v>3547</v>
      </c>
      <c r="Y181" s="3285" t="s">
        <v>3548</v>
      </c>
      <c r="Z181" s="3285" t="s">
        <v>3548</v>
      </c>
      <c r="AA181" s="3285" t="s">
        <v>3548</v>
      </c>
      <c r="AB181" s="3285" t="s">
        <v>3549</v>
      </c>
      <c r="AC181" s="3285" t="s">
        <v>3088</v>
      </c>
      <c r="AD181" s="3285" t="s">
        <v>3550</v>
      </c>
      <c r="AE181" s="3285">
        <v>26310</v>
      </c>
      <c r="AF181" s="3285">
        <v>26310</v>
      </c>
      <c r="AG181" s="3285">
        <v>26310</v>
      </c>
      <c r="AH181" s="3285">
        <v>317.76</v>
      </c>
      <c r="AI181" s="3285">
        <v>317.76</v>
      </c>
      <c r="AJ181" s="3285">
        <v>2166.56</v>
      </c>
      <c r="AK181" s="3285">
        <v>2166.5500000000002</v>
      </c>
      <c r="AL181" s="3285" t="s">
        <v>2791</v>
      </c>
      <c r="AM181" s="3285" t="s">
        <v>2791</v>
      </c>
      <c r="AN181" s="3285">
        <v>0</v>
      </c>
      <c r="AO181" s="3285" t="s">
        <v>3063</v>
      </c>
      <c r="AP181" s="3285" t="s">
        <v>2791</v>
      </c>
      <c r="AQ181" s="3285" t="s">
        <v>2791</v>
      </c>
      <c r="AR181" s="3285" t="s">
        <v>2791</v>
      </c>
      <c r="AS181" s="3285" t="s">
        <v>3081</v>
      </c>
    </row>
    <row r="182" spans="1:45">
      <c r="A182" s="3285" t="s">
        <v>3560</v>
      </c>
      <c r="B182" s="3285" t="s">
        <v>3056</v>
      </c>
      <c r="C182" s="3285" t="s">
        <v>3057</v>
      </c>
      <c r="D182" s="3285" t="s">
        <v>3058</v>
      </c>
      <c r="E182" s="3285" t="s">
        <v>2791</v>
      </c>
      <c r="F182" s="3285" t="s">
        <v>3560</v>
      </c>
      <c r="G182" s="3285" t="s">
        <v>3059</v>
      </c>
      <c r="H182" s="3285" t="s">
        <v>3564</v>
      </c>
      <c r="I182" s="3285" t="s">
        <v>3493</v>
      </c>
      <c r="J182" s="3285">
        <v>44383.75</v>
      </c>
      <c r="K182" s="3285">
        <v>79890.75</v>
      </c>
      <c r="L182" s="3285" t="s">
        <v>3123</v>
      </c>
      <c r="M182" s="3285" t="s">
        <v>2791</v>
      </c>
      <c r="N182" s="3285" t="s">
        <v>3553</v>
      </c>
      <c r="O182" s="3285" t="s">
        <v>3471</v>
      </c>
      <c r="P182" s="3285" t="s">
        <v>2791</v>
      </c>
      <c r="Q182" s="3285" t="s">
        <v>2791</v>
      </c>
      <c r="R182" s="3285" t="s">
        <v>2791</v>
      </c>
      <c r="S182" s="3285" t="s">
        <v>2791</v>
      </c>
      <c r="T182" s="3285" t="s">
        <v>2791</v>
      </c>
      <c r="U182" s="3285" t="s">
        <v>2791</v>
      </c>
      <c r="V182" s="3285" t="s">
        <v>2791</v>
      </c>
      <c r="W182" s="3285" t="s">
        <v>3263</v>
      </c>
      <c r="X182" s="3285" t="s">
        <v>3547</v>
      </c>
      <c r="Y182" s="3285" t="s">
        <v>3548</v>
      </c>
      <c r="Z182" s="3285" t="s">
        <v>3548</v>
      </c>
      <c r="AA182" s="3285" t="s">
        <v>3548</v>
      </c>
      <c r="AB182" s="3285" t="s">
        <v>3549</v>
      </c>
      <c r="AC182" s="3285" t="s">
        <v>3088</v>
      </c>
      <c r="AD182" s="3285" t="s">
        <v>3550</v>
      </c>
      <c r="AE182" s="3285">
        <v>23000</v>
      </c>
      <c r="AF182" s="3285">
        <v>23000</v>
      </c>
      <c r="AG182" s="3285">
        <v>23000</v>
      </c>
      <c r="AH182" s="3285">
        <v>345.47</v>
      </c>
      <c r="AI182" s="3285">
        <v>345.47</v>
      </c>
      <c r="AJ182" s="3285">
        <v>2878.93</v>
      </c>
      <c r="AK182" s="3285">
        <v>2878.92</v>
      </c>
      <c r="AL182" s="3285" t="s">
        <v>2791</v>
      </c>
      <c r="AM182" s="3285" t="s">
        <v>2791</v>
      </c>
      <c r="AN182" s="3285">
        <v>0</v>
      </c>
      <c r="AO182" s="3285" t="s">
        <v>3063</v>
      </c>
      <c r="AP182" s="3285" t="s">
        <v>2791</v>
      </c>
      <c r="AQ182" s="3285" t="s">
        <v>2791</v>
      </c>
      <c r="AR182" s="3285" t="s">
        <v>2791</v>
      </c>
      <c r="AS182" s="3285" t="s">
        <v>3146</v>
      </c>
    </row>
    <row r="183" spans="1:45">
      <c r="A183" s="3285" t="s">
        <v>3565</v>
      </c>
      <c r="B183" s="3285" t="s">
        <v>3056</v>
      </c>
      <c r="C183" s="3285" t="s">
        <v>3057</v>
      </c>
      <c r="D183" s="3285" t="s">
        <v>3058</v>
      </c>
      <c r="E183" s="3285" t="s">
        <v>2791</v>
      </c>
      <c r="F183" s="3285" t="s">
        <v>3565</v>
      </c>
      <c r="G183" s="3285" t="s">
        <v>3059</v>
      </c>
      <c r="H183" s="3285" t="s">
        <v>3566</v>
      </c>
      <c r="I183" s="3285" t="s">
        <v>3493</v>
      </c>
      <c r="J183" s="3285">
        <v>37799.82</v>
      </c>
      <c r="K183" s="3285">
        <v>68039.679999999993</v>
      </c>
      <c r="L183" s="3285" t="s">
        <v>3123</v>
      </c>
      <c r="M183" s="3285" t="s">
        <v>2791</v>
      </c>
      <c r="N183" s="3285" t="s">
        <v>3553</v>
      </c>
      <c r="O183" s="3285" t="s">
        <v>3471</v>
      </c>
      <c r="P183" s="3285" t="s">
        <v>2791</v>
      </c>
      <c r="Q183" s="3285" t="s">
        <v>2791</v>
      </c>
      <c r="R183" s="3285" t="s">
        <v>2791</v>
      </c>
      <c r="S183" s="3285" t="s">
        <v>2791</v>
      </c>
      <c r="T183" s="3285" t="s">
        <v>2791</v>
      </c>
      <c r="U183" s="3285" t="s">
        <v>2791</v>
      </c>
      <c r="V183" s="3285" t="s">
        <v>2791</v>
      </c>
      <c r="W183" s="3285" t="s">
        <v>3263</v>
      </c>
      <c r="X183" s="3285" t="s">
        <v>3547</v>
      </c>
      <c r="Y183" s="3285" t="s">
        <v>3548</v>
      </c>
      <c r="Z183" s="3285" t="s">
        <v>3548</v>
      </c>
      <c r="AA183" s="3285" t="s">
        <v>3548</v>
      </c>
      <c r="AB183" s="3285" t="s">
        <v>3549</v>
      </c>
      <c r="AC183" s="3285" t="s">
        <v>3088</v>
      </c>
      <c r="AD183" s="3285" t="s">
        <v>3550</v>
      </c>
      <c r="AE183" s="3285">
        <v>18000</v>
      </c>
      <c r="AF183" s="3285">
        <v>18000</v>
      </c>
      <c r="AG183" s="3285">
        <v>18000</v>
      </c>
      <c r="AH183" s="3285">
        <v>317.45999999999998</v>
      </c>
      <c r="AI183" s="3285">
        <v>317.45999999999998</v>
      </c>
      <c r="AJ183" s="3285">
        <v>2645.51</v>
      </c>
      <c r="AK183" s="3285">
        <v>2645.51</v>
      </c>
      <c r="AL183" s="3285" t="s">
        <v>2791</v>
      </c>
      <c r="AM183" s="3285" t="s">
        <v>2791</v>
      </c>
      <c r="AN183" s="3285">
        <v>0</v>
      </c>
      <c r="AO183" s="3285" t="s">
        <v>3063</v>
      </c>
      <c r="AP183" s="3285" t="s">
        <v>2791</v>
      </c>
      <c r="AQ183" s="3285" t="s">
        <v>2791</v>
      </c>
      <c r="AR183" s="3285" t="s">
        <v>2791</v>
      </c>
      <c r="AS183" s="3285" t="s">
        <v>3081</v>
      </c>
    </row>
    <row r="184" spans="1:45">
      <c r="A184" s="3286" t="s">
        <v>3545</v>
      </c>
      <c r="B184" s="3286" t="s">
        <v>3056</v>
      </c>
      <c r="C184" s="3286" t="s">
        <v>3057</v>
      </c>
      <c r="D184" s="3286" t="s">
        <v>3058</v>
      </c>
      <c r="E184" s="3286" t="s">
        <v>2791</v>
      </c>
      <c r="F184" s="3286" t="s">
        <v>3545</v>
      </c>
      <c r="G184" s="3286" t="s">
        <v>3059</v>
      </c>
      <c r="H184" s="3286" t="s">
        <v>3567</v>
      </c>
      <c r="I184" s="3286" t="s">
        <v>3493</v>
      </c>
      <c r="J184" s="3286">
        <v>67029.509999999995</v>
      </c>
      <c r="K184" s="3286">
        <v>100544.27</v>
      </c>
      <c r="L184" s="3286" t="s">
        <v>3413</v>
      </c>
      <c r="M184" s="3286" t="s">
        <v>2791</v>
      </c>
      <c r="N184" s="3286" t="s">
        <v>3061</v>
      </c>
      <c r="O184" s="3286" t="s">
        <v>3080</v>
      </c>
      <c r="P184" s="3286" t="s">
        <v>2791</v>
      </c>
      <c r="Q184" s="3286" t="s">
        <v>2791</v>
      </c>
      <c r="R184" s="3286" t="s">
        <v>2791</v>
      </c>
      <c r="S184" s="3286" t="s">
        <v>2791</v>
      </c>
      <c r="T184" s="3286" t="s">
        <v>2791</v>
      </c>
      <c r="U184" s="3286" t="s">
        <v>2791</v>
      </c>
      <c r="V184" s="3286" t="s">
        <v>2791</v>
      </c>
      <c r="W184" s="3286" t="s">
        <v>3263</v>
      </c>
      <c r="X184" s="3286" t="s">
        <v>3547</v>
      </c>
      <c r="Y184" s="3286" t="s">
        <v>3548</v>
      </c>
      <c r="Z184" s="3286" t="s">
        <v>3548</v>
      </c>
      <c r="AA184" s="3286" t="s">
        <v>3548</v>
      </c>
      <c r="AB184" s="3286" t="s">
        <v>3549</v>
      </c>
      <c r="AC184" s="3286" t="s">
        <v>3088</v>
      </c>
      <c r="AD184" s="3286" t="s">
        <v>3550</v>
      </c>
      <c r="AE184" s="3286">
        <v>45300</v>
      </c>
      <c r="AF184" s="3286">
        <v>9060</v>
      </c>
      <c r="AG184" s="3286">
        <v>45300</v>
      </c>
      <c r="AH184" s="3286">
        <v>90.11</v>
      </c>
      <c r="AI184" s="3286">
        <v>450.55</v>
      </c>
      <c r="AJ184" s="3286">
        <v>901.09</v>
      </c>
      <c r="AK184" s="3286">
        <v>4505.47</v>
      </c>
      <c r="AL184" s="3286" t="s">
        <v>2791</v>
      </c>
      <c r="AM184" s="3286" t="s">
        <v>2791</v>
      </c>
      <c r="AN184" s="3286">
        <v>400</v>
      </c>
      <c r="AO184" s="3286" t="s">
        <v>3063</v>
      </c>
      <c r="AP184" s="3286" t="s">
        <v>2791</v>
      </c>
      <c r="AQ184" s="3286" t="s">
        <v>2791</v>
      </c>
      <c r="AR184" s="3286" t="s">
        <v>2791</v>
      </c>
      <c r="AS184" s="3286" t="s">
        <v>3081</v>
      </c>
    </row>
    <row r="185" spans="1:45" s="3278" customFormat="1" hidden="1">
      <c r="A185" s="3277" t="s">
        <v>3311</v>
      </c>
      <c r="B185" s="3277" t="s">
        <v>3056</v>
      </c>
      <c r="C185" s="3277" t="s">
        <v>3057</v>
      </c>
      <c r="D185" s="3277" t="s">
        <v>3058</v>
      </c>
      <c r="E185" s="3277" t="s">
        <v>2791</v>
      </c>
      <c r="F185" s="3277" t="s">
        <v>3311</v>
      </c>
      <c r="G185" s="3277" t="s">
        <v>3059</v>
      </c>
      <c r="H185" s="3277" t="s">
        <v>3568</v>
      </c>
      <c r="I185" s="3277" t="s">
        <v>3493</v>
      </c>
      <c r="J185" s="3277">
        <v>55034.46</v>
      </c>
      <c r="K185" s="3277">
        <v>66041.350000000006</v>
      </c>
      <c r="L185" s="3277" t="s">
        <v>3310</v>
      </c>
      <c r="M185" s="3277" t="s">
        <v>2791</v>
      </c>
      <c r="N185" s="3277" t="s">
        <v>3071</v>
      </c>
      <c r="O185" s="3277" t="s">
        <v>3309</v>
      </c>
      <c r="P185" s="3277" t="s">
        <v>2791</v>
      </c>
      <c r="Q185" s="3277" t="s">
        <v>2791</v>
      </c>
      <c r="R185" s="3277" t="s">
        <v>2791</v>
      </c>
      <c r="S185" s="3277" t="s">
        <v>2791</v>
      </c>
      <c r="T185" s="3277" t="s">
        <v>2791</v>
      </c>
      <c r="U185" s="3277" t="s">
        <v>2791</v>
      </c>
      <c r="V185" s="3277" t="s">
        <v>2791</v>
      </c>
      <c r="W185" s="3277" t="s">
        <v>3263</v>
      </c>
      <c r="X185" s="3277" t="s">
        <v>3569</v>
      </c>
      <c r="Y185" s="3277" t="s">
        <v>3570</v>
      </c>
      <c r="Z185" s="3277" t="s">
        <v>3570</v>
      </c>
      <c r="AA185" s="3277" t="s">
        <v>3570</v>
      </c>
      <c r="AB185" s="3277" t="s">
        <v>3571</v>
      </c>
      <c r="AC185" s="3277" t="s">
        <v>3088</v>
      </c>
      <c r="AD185" s="3277" t="s">
        <v>3370</v>
      </c>
      <c r="AE185" s="3277">
        <v>13250</v>
      </c>
      <c r="AF185" s="3277">
        <v>13250</v>
      </c>
      <c r="AG185" s="3277">
        <v>13250</v>
      </c>
      <c r="AH185" s="3277">
        <v>160.51</v>
      </c>
      <c r="AI185" s="3277">
        <v>160.51</v>
      </c>
      <c r="AJ185" s="3277">
        <v>2006.31</v>
      </c>
      <c r="AK185" s="3277">
        <v>2006.31</v>
      </c>
      <c r="AL185" s="3277" t="s">
        <v>2791</v>
      </c>
      <c r="AM185" s="3277" t="s">
        <v>2791</v>
      </c>
      <c r="AN185" s="3277">
        <v>0</v>
      </c>
      <c r="AO185" s="3277" t="s">
        <v>3063</v>
      </c>
      <c r="AP185" s="3277" t="s">
        <v>2791</v>
      </c>
      <c r="AQ185" s="3277" t="s">
        <v>2791</v>
      </c>
      <c r="AR185" s="3277" t="s">
        <v>2791</v>
      </c>
      <c r="AS185" s="3277" t="s">
        <v>3082</v>
      </c>
    </row>
    <row r="186" spans="1:45" s="3278" customFormat="1" hidden="1">
      <c r="A186" s="3277" t="s">
        <v>3097</v>
      </c>
      <c r="B186" s="3277" t="s">
        <v>3056</v>
      </c>
      <c r="C186" s="3277" t="s">
        <v>3057</v>
      </c>
      <c r="D186" s="3277" t="s">
        <v>3058</v>
      </c>
      <c r="E186" s="3277" t="s">
        <v>2791</v>
      </c>
      <c r="F186" s="3277" t="s">
        <v>3097</v>
      </c>
      <c r="G186" s="3277" t="s">
        <v>3059</v>
      </c>
      <c r="H186" s="3277" t="s">
        <v>3572</v>
      </c>
      <c r="I186" s="3277" t="s">
        <v>3493</v>
      </c>
      <c r="J186" s="3277">
        <v>69974.960000000006</v>
      </c>
      <c r="K186" s="3277">
        <v>69974.960000000006</v>
      </c>
      <c r="L186" s="3277" t="s">
        <v>3363</v>
      </c>
      <c r="M186" s="3277" t="s">
        <v>2791</v>
      </c>
      <c r="N186" s="3277" t="s">
        <v>3071</v>
      </c>
      <c r="O186" s="3277" t="s">
        <v>3072</v>
      </c>
      <c r="P186" s="3277" t="s">
        <v>2791</v>
      </c>
      <c r="Q186" s="3277" t="s">
        <v>2791</v>
      </c>
      <c r="R186" s="3277" t="s">
        <v>2791</v>
      </c>
      <c r="S186" s="3277" t="s">
        <v>2791</v>
      </c>
      <c r="T186" s="3277" t="s">
        <v>2791</v>
      </c>
      <c r="U186" s="3277" t="s">
        <v>2791</v>
      </c>
      <c r="V186" s="3277" t="s">
        <v>2791</v>
      </c>
      <c r="W186" s="3277" t="s">
        <v>3263</v>
      </c>
      <c r="X186" s="3277" t="s">
        <v>3569</v>
      </c>
      <c r="Y186" s="3277" t="s">
        <v>3570</v>
      </c>
      <c r="Z186" s="3277" t="s">
        <v>3570</v>
      </c>
      <c r="AA186" s="3277" t="s">
        <v>3570</v>
      </c>
      <c r="AB186" s="3277" t="s">
        <v>3571</v>
      </c>
      <c r="AC186" s="3277" t="s">
        <v>3088</v>
      </c>
      <c r="AD186" s="3277" t="s">
        <v>3573</v>
      </c>
      <c r="AE186" s="3277">
        <v>14000</v>
      </c>
      <c r="AF186" s="3277">
        <v>14000</v>
      </c>
      <c r="AG186" s="3277">
        <v>14000</v>
      </c>
      <c r="AH186" s="3277">
        <v>133.38</v>
      </c>
      <c r="AI186" s="3277">
        <v>133.38</v>
      </c>
      <c r="AJ186" s="3277">
        <v>2000.71</v>
      </c>
      <c r="AK186" s="3277">
        <v>2000.72</v>
      </c>
      <c r="AL186" s="3277" t="s">
        <v>2791</v>
      </c>
      <c r="AM186" s="3277" t="s">
        <v>2791</v>
      </c>
      <c r="AN186" s="3277">
        <v>0</v>
      </c>
      <c r="AO186" s="3277" t="s">
        <v>3063</v>
      </c>
      <c r="AP186" s="3277" t="s">
        <v>2791</v>
      </c>
      <c r="AQ186" s="3277" t="s">
        <v>2791</v>
      </c>
      <c r="AR186" s="3277" t="s">
        <v>2791</v>
      </c>
      <c r="AS186" s="3277" t="s">
        <v>3082</v>
      </c>
    </row>
    <row r="187" spans="1:45" s="3278" customFormat="1" hidden="1">
      <c r="A187" s="3277" t="s">
        <v>3497</v>
      </c>
      <c r="B187" s="3277" t="s">
        <v>3056</v>
      </c>
      <c r="C187" s="3277" t="s">
        <v>3057</v>
      </c>
      <c r="D187" s="3277" t="s">
        <v>3058</v>
      </c>
      <c r="E187" s="3277" t="s">
        <v>2791</v>
      </c>
      <c r="F187" s="3277" t="s">
        <v>3497</v>
      </c>
      <c r="G187" s="3277" t="s">
        <v>3059</v>
      </c>
      <c r="H187" s="3277" t="s">
        <v>3574</v>
      </c>
      <c r="I187" s="3277" t="s">
        <v>3493</v>
      </c>
      <c r="J187" s="3277">
        <v>69975.039999999994</v>
      </c>
      <c r="K187" s="3277">
        <v>69975.039999999994</v>
      </c>
      <c r="L187" s="3277" t="s">
        <v>3363</v>
      </c>
      <c r="M187" s="3277" t="s">
        <v>2791</v>
      </c>
      <c r="N187" s="3277" t="s">
        <v>3071</v>
      </c>
      <c r="O187" s="3277" t="s">
        <v>3072</v>
      </c>
      <c r="P187" s="3277" t="s">
        <v>2791</v>
      </c>
      <c r="Q187" s="3277" t="s">
        <v>2791</v>
      </c>
      <c r="R187" s="3277" t="s">
        <v>2791</v>
      </c>
      <c r="S187" s="3277" t="s">
        <v>2791</v>
      </c>
      <c r="T187" s="3277" t="s">
        <v>2791</v>
      </c>
      <c r="U187" s="3277" t="s">
        <v>2791</v>
      </c>
      <c r="V187" s="3277" t="s">
        <v>2791</v>
      </c>
      <c r="W187" s="3277" t="s">
        <v>3263</v>
      </c>
      <c r="X187" s="3277" t="s">
        <v>3569</v>
      </c>
      <c r="Y187" s="3277" t="s">
        <v>3570</v>
      </c>
      <c r="Z187" s="3277" t="s">
        <v>3570</v>
      </c>
      <c r="AA187" s="3277" t="s">
        <v>3570</v>
      </c>
      <c r="AB187" s="3277" t="s">
        <v>3571</v>
      </c>
      <c r="AC187" s="3277" t="s">
        <v>3088</v>
      </c>
      <c r="AD187" s="3277" t="s">
        <v>3573</v>
      </c>
      <c r="AE187" s="3277">
        <v>14000</v>
      </c>
      <c r="AF187" s="3277">
        <v>14000</v>
      </c>
      <c r="AG187" s="3277">
        <v>14000</v>
      </c>
      <c r="AH187" s="3277">
        <v>133.38</v>
      </c>
      <c r="AI187" s="3277">
        <v>133.38</v>
      </c>
      <c r="AJ187" s="3277">
        <v>2000.71</v>
      </c>
      <c r="AK187" s="3277">
        <v>2000.71</v>
      </c>
      <c r="AL187" s="3277" t="s">
        <v>2791</v>
      </c>
      <c r="AM187" s="3277" t="s">
        <v>2791</v>
      </c>
      <c r="AN187" s="3277">
        <v>0</v>
      </c>
      <c r="AO187" s="3277" t="s">
        <v>3063</v>
      </c>
      <c r="AP187" s="3277" t="s">
        <v>2791</v>
      </c>
      <c r="AQ187" s="3277" t="s">
        <v>2791</v>
      </c>
      <c r="AR187" s="3277" t="s">
        <v>2791</v>
      </c>
      <c r="AS187" s="3277" t="s">
        <v>3082</v>
      </c>
    </row>
    <row r="188" spans="1:45" s="3278" customFormat="1" hidden="1">
      <c r="A188" s="3277" t="s">
        <v>3311</v>
      </c>
      <c r="B188" s="3277" t="s">
        <v>3056</v>
      </c>
      <c r="C188" s="3277" t="s">
        <v>3057</v>
      </c>
      <c r="D188" s="3277" t="s">
        <v>3058</v>
      </c>
      <c r="E188" s="3277" t="s">
        <v>2791</v>
      </c>
      <c r="F188" s="3277" t="s">
        <v>3311</v>
      </c>
      <c r="G188" s="3277" t="s">
        <v>3059</v>
      </c>
      <c r="H188" s="3277" t="s">
        <v>3575</v>
      </c>
      <c r="I188" s="3277" t="s">
        <v>3493</v>
      </c>
      <c r="J188" s="3277">
        <v>69172.97</v>
      </c>
      <c r="K188" s="3277">
        <v>103759.46</v>
      </c>
      <c r="L188" s="3277" t="s">
        <v>3480</v>
      </c>
      <c r="M188" s="3277" t="s">
        <v>2791</v>
      </c>
      <c r="N188" s="3277" t="s">
        <v>3071</v>
      </c>
      <c r="O188" s="3277" t="s">
        <v>3073</v>
      </c>
      <c r="P188" s="3277" t="s">
        <v>2791</v>
      </c>
      <c r="Q188" s="3277" t="s">
        <v>2791</v>
      </c>
      <c r="R188" s="3277" t="s">
        <v>2791</v>
      </c>
      <c r="S188" s="3277" t="s">
        <v>2791</v>
      </c>
      <c r="T188" s="3277" t="s">
        <v>2791</v>
      </c>
      <c r="U188" s="3277" t="s">
        <v>2791</v>
      </c>
      <c r="V188" s="3277" t="s">
        <v>2791</v>
      </c>
      <c r="W188" s="3277" t="s">
        <v>3263</v>
      </c>
      <c r="X188" s="3277" t="s">
        <v>3569</v>
      </c>
      <c r="Y188" s="3277" t="s">
        <v>3570</v>
      </c>
      <c r="Z188" s="3277" t="s">
        <v>3570</v>
      </c>
      <c r="AA188" s="3277" t="s">
        <v>3570</v>
      </c>
      <c r="AB188" s="3277" t="s">
        <v>3571</v>
      </c>
      <c r="AC188" s="3277" t="s">
        <v>3088</v>
      </c>
      <c r="AD188" s="3277" t="s">
        <v>3370</v>
      </c>
      <c r="AE188" s="3277">
        <v>20200</v>
      </c>
      <c r="AF188" s="3277">
        <v>20200</v>
      </c>
      <c r="AG188" s="3277">
        <v>20200</v>
      </c>
      <c r="AH188" s="3277">
        <v>194.68</v>
      </c>
      <c r="AI188" s="3277">
        <v>194.68</v>
      </c>
      <c r="AJ188" s="3277">
        <v>1946.81</v>
      </c>
      <c r="AK188" s="3277">
        <v>1946.8</v>
      </c>
      <c r="AL188" s="3277" t="s">
        <v>2791</v>
      </c>
      <c r="AM188" s="3277" t="s">
        <v>2791</v>
      </c>
      <c r="AN188" s="3277">
        <v>0</v>
      </c>
      <c r="AO188" s="3277" t="s">
        <v>3063</v>
      </c>
      <c r="AP188" s="3277" t="s">
        <v>2791</v>
      </c>
      <c r="AQ188" s="3277" t="s">
        <v>2791</v>
      </c>
      <c r="AR188" s="3277" t="s">
        <v>2791</v>
      </c>
      <c r="AS188" s="3277" t="s">
        <v>3082</v>
      </c>
    </row>
    <row r="189" spans="1:45" s="3278" customFormat="1" hidden="1">
      <c r="A189" s="3277" t="s">
        <v>3576</v>
      </c>
      <c r="B189" s="3277" t="s">
        <v>3056</v>
      </c>
      <c r="C189" s="3277" t="s">
        <v>3057</v>
      </c>
      <c r="D189" s="3277" t="s">
        <v>3058</v>
      </c>
      <c r="E189" s="3277" t="s">
        <v>2791</v>
      </c>
      <c r="F189" s="3277" t="s">
        <v>3576</v>
      </c>
      <c r="G189" s="3277" t="s">
        <v>3059</v>
      </c>
      <c r="H189" s="3277" t="s">
        <v>3577</v>
      </c>
      <c r="I189" s="3277" t="s">
        <v>3493</v>
      </c>
      <c r="J189" s="3277">
        <v>53033.7</v>
      </c>
      <c r="K189" s="3277">
        <v>132584.25</v>
      </c>
      <c r="L189" s="3277" t="s">
        <v>3221</v>
      </c>
      <c r="M189" s="3277" t="s">
        <v>2791</v>
      </c>
      <c r="N189" s="3277" t="s">
        <v>3470</v>
      </c>
      <c r="O189" s="3277" t="s">
        <v>3471</v>
      </c>
      <c r="P189" s="3277" t="s">
        <v>2791</v>
      </c>
      <c r="Q189" s="3277" t="s">
        <v>2791</v>
      </c>
      <c r="R189" s="3277" t="s">
        <v>2791</v>
      </c>
      <c r="S189" s="3277" t="s">
        <v>2791</v>
      </c>
      <c r="T189" s="3277" t="s">
        <v>2791</v>
      </c>
      <c r="U189" s="3277" t="s">
        <v>2791</v>
      </c>
      <c r="V189" s="3277" t="s">
        <v>2791</v>
      </c>
      <c r="W189" s="3277" t="s">
        <v>3263</v>
      </c>
      <c r="X189" s="3277" t="s">
        <v>3578</v>
      </c>
      <c r="Y189" s="3277" t="s">
        <v>3579</v>
      </c>
      <c r="Z189" s="3277" t="s">
        <v>3579</v>
      </c>
      <c r="AA189" s="3277" t="s">
        <v>3579</v>
      </c>
      <c r="AB189" s="3277" t="s">
        <v>3580</v>
      </c>
      <c r="AC189" s="3277" t="s">
        <v>3088</v>
      </c>
      <c r="AD189" s="3277" t="s">
        <v>3581</v>
      </c>
      <c r="AE189" s="3277">
        <v>54800</v>
      </c>
      <c r="AF189" s="3277">
        <v>16500</v>
      </c>
      <c r="AG189" s="3277">
        <v>54800</v>
      </c>
      <c r="AH189" s="3277">
        <v>207.42</v>
      </c>
      <c r="AI189" s="3277">
        <v>688.87</v>
      </c>
      <c r="AJ189" s="3277">
        <v>1244.49</v>
      </c>
      <c r="AK189" s="3277">
        <v>4133.22</v>
      </c>
      <c r="AL189" s="3277" t="s">
        <v>2791</v>
      </c>
      <c r="AM189" s="3277" t="s">
        <v>2791</v>
      </c>
      <c r="AN189" s="3277">
        <v>232.12</v>
      </c>
      <c r="AO189" s="3277" t="s">
        <v>3063</v>
      </c>
      <c r="AP189" s="3277" t="s">
        <v>2791</v>
      </c>
      <c r="AQ189" s="3277" t="s">
        <v>2791</v>
      </c>
      <c r="AR189" s="3277" t="s">
        <v>2791</v>
      </c>
      <c r="AS189" s="3277" t="s">
        <v>3146</v>
      </c>
    </row>
    <row r="190" spans="1:45">
      <c r="A190" s="3286" t="s">
        <v>3582</v>
      </c>
      <c r="B190" s="3286" t="s">
        <v>3056</v>
      </c>
      <c r="C190" s="3286" t="s">
        <v>3057</v>
      </c>
      <c r="D190" s="3286" t="s">
        <v>3058</v>
      </c>
      <c r="E190" s="3286" t="s">
        <v>2791</v>
      </c>
      <c r="F190" s="3286" t="s">
        <v>3582</v>
      </c>
      <c r="G190" s="3286" t="s">
        <v>3059</v>
      </c>
      <c r="H190" s="3286" t="s">
        <v>3583</v>
      </c>
      <c r="I190" s="3286" t="s">
        <v>3493</v>
      </c>
      <c r="J190" s="3286">
        <v>59663.59</v>
      </c>
      <c r="K190" s="3286">
        <v>149158.98000000001</v>
      </c>
      <c r="L190" s="3286" t="s">
        <v>3221</v>
      </c>
      <c r="M190" s="3286" t="s">
        <v>2791</v>
      </c>
      <c r="N190" s="3286" t="s">
        <v>3470</v>
      </c>
      <c r="O190" s="3286" t="s">
        <v>3471</v>
      </c>
      <c r="P190" s="3286" t="s">
        <v>2791</v>
      </c>
      <c r="Q190" s="3286" t="s">
        <v>2791</v>
      </c>
      <c r="R190" s="3286" t="s">
        <v>2791</v>
      </c>
      <c r="S190" s="3286" t="s">
        <v>2791</v>
      </c>
      <c r="T190" s="3286" t="s">
        <v>2791</v>
      </c>
      <c r="U190" s="3286" t="s">
        <v>2791</v>
      </c>
      <c r="V190" s="3286" t="s">
        <v>2791</v>
      </c>
      <c r="W190" s="3286" t="s">
        <v>3263</v>
      </c>
      <c r="X190" s="3286" t="s">
        <v>3578</v>
      </c>
      <c r="Y190" s="3286" t="s">
        <v>3579</v>
      </c>
      <c r="Z190" s="3286" t="s">
        <v>3579</v>
      </c>
      <c r="AA190" s="3286" t="s">
        <v>3579</v>
      </c>
      <c r="AB190" s="3286" t="s">
        <v>3580</v>
      </c>
      <c r="AC190" s="3286" t="s">
        <v>3088</v>
      </c>
      <c r="AD190" s="3286" t="s">
        <v>3581</v>
      </c>
      <c r="AE190" s="3286">
        <v>67200</v>
      </c>
      <c r="AF190" s="3286">
        <v>20160</v>
      </c>
      <c r="AG190" s="3286">
        <v>67200</v>
      </c>
      <c r="AH190" s="3286">
        <v>225.26</v>
      </c>
      <c r="AI190" s="3286">
        <v>750.88</v>
      </c>
      <c r="AJ190" s="3286">
        <v>1351.57</v>
      </c>
      <c r="AK190" s="3286">
        <v>4505.26</v>
      </c>
      <c r="AL190" s="3286" t="s">
        <v>2791</v>
      </c>
      <c r="AM190" s="3286" t="s">
        <v>2791</v>
      </c>
      <c r="AN190" s="3286">
        <v>233.33</v>
      </c>
      <c r="AO190" s="3286" t="s">
        <v>3063</v>
      </c>
      <c r="AP190" s="3286" t="s">
        <v>2791</v>
      </c>
      <c r="AQ190" s="3286" t="s">
        <v>2791</v>
      </c>
      <c r="AR190" s="3286" t="s">
        <v>2791</v>
      </c>
      <c r="AS190" s="3286" t="s">
        <v>3146</v>
      </c>
    </row>
    <row r="191" spans="1:45" s="3340" customFormat="1" hidden="1">
      <c r="A191" s="3339" t="s">
        <v>3584</v>
      </c>
      <c r="B191" s="3339" t="s">
        <v>3056</v>
      </c>
      <c r="C191" s="3339" t="s">
        <v>3057</v>
      </c>
      <c r="D191" s="3339" t="s">
        <v>3058</v>
      </c>
      <c r="E191" s="3339" t="s">
        <v>2791</v>
      </c>
      <c r="F191" s="3339" t="s">
        <v>3584</v>
      </c>
      <c r="G191" s="3339" t="s">
        <v>3059</v>
      </c>
      <c r="H191" s="3339" t="s">
        <v>3585</v>
      </c>
      <c r="I191" s="3339" t="s">
        <v>3493</v>
      </c>
      <c r="J191" s="3339">
        <v>28167.83</v>
      </c>
      <c r="K191" s="3339">
        <v>70419.58</v>
      </c>
      <c r="L191" s="3339" t="s">
        <v>3221</v>
      </c>
      <c r="M191" s="3339" t="s">
        <v>2791</v>
      </c>
      <c r="N191" s="3339" t="s">
        <v>3470</v>
      </c>
      <c r="O191" s="3339" t="s">
        <v>3471</v>
      </c>
      <c r="P191" s="3339" t="s">
        <v>2791</v>
      </c>
      <c r="Q191" s="3339" t="s">
        <v>2791</v>
      </c>
      <c r="R191" s="3339" t="s">
        <v>2791</v>
      </c>
      <c r="S191" s="3339" t="s">
        <v>2791</v>
      </c>
      <c r="T191" s="3339" t="s">
        <v>2791</v>
      </c>
      <c r="U191" s="3339" t="s">
        <v>2791</v>
      </c>
      <c r="V191" s="3339" t="s">
        <v>2791</v>
      </c>
      <c r="W191" s="3339" t="s">
        <v>3263</v>
      </c>
      <c r="X191" s="3339" t="s">
        <v>3578</v>
      </c>
      <c r="Y191" s="3339" t="s">
        <v>3579</v>
      </c>
      <c r="Z191" s="3339" t="s">
        <v>3579</v>
      </c>
      <c r="AA191" s="3339" t="s">
        <v>3579</v>
      </c>
      <c r="AB191" s="3339" t="s">
        <v>3580</v>
      </c>
      <c r="AC191" s="3339" t="s">
        <v>3088</v>
      </c>
      <c r="AD191" s="3339" t="s">
        <v>3581</v>
      </c>
      <c r="AE191" s="3339">
        <v>31700</v>
      </c>
      <c r="AF191" s="3339">
        <v>9510</v>
      </c>
      <c r="AG191" s="3339">
        <v>31700</v>
      </c>
      <c r="AH191" s="3339">
        <v>225.08</v>
      </c>
      <c r="AI191" s="3339">
        <v>750.26</v>
      </c>
      <c r="AJ191" s="3339">
        <v>1350.47</v>
      </c>
      <c r="AK191" s="3339">
        <v>4501.59</v>
      </c>
      <c r="AL191" s="3339" t="s">
        <v>2791</v>
      </c>
      <c r="AM191" s="3339" t="s">
        <v>2791</v>
      </c>
      <c r="AN191" s="3339">
        <v>233.33</v>
      </c>
      <c r="AO191" s="3339" t="s">
        <v>3063</v>
      </c>
      <c r="AP191" s="3339" t="s">
        <v>2791</v>
      </c>
      <c r="AQ191" s="3339" t="s">
        <v>2791</v>
      </c>
      <c r="AR191" s="3339" t="s">
        <v>2791</v>
      </c>
      <c r="AS191" s="3339" t="s">
        <v>3146</v>
      </c>
    </row>
    <row r="192" spans="1:45" s="3340" customFormat="1" hidden="1">
      <c r="A192" s="3339" t="s">
        <v>3227</v>
      </c>
      <c r="B192" s="3339" t="s">
        <v>3056</v>
      </c>
      <c r="C192" s="3339" t="s">
        <v>3057</v>
      </c>
      <c r="D192" s="3339" t="s">
        <v>3058</v>
      </c>
      <c r="E192" s="3339" t="s">
        <v>2791</v>
      </c>
      <c r="F192" s="3339" t="s">
        <v>3227</v>
      </c>
      <c r="G192" s="3339" t="s">
        <v>3059</v>
      </c>
      <c r="H192" s="3339" t="s">
        <v>3586</v>
      </c>
      <c r="I192" s="3339" t="s">
        <v>3493</v>
      </c>
      <c r="J192" s="3339">
        <v>60562.3</v>
      </c>
      <c r="K192" s="3339">
        <v>151405.75</v>
      </c>
      <c r="L192" s="3339" t="s">
        <v>3221</v>
      </c>
      <c r="M192" s="3339" t="s">
        <v>2791</v>
      </c>
      <c r="N192" s="3339" t="s">
        <v>3470</v>
      </c>
      <c r="O192" s="3339" t="s">
        <v>3471</v>
      </c>
      <c r="P192" s="3339" t="s">
        <v>2791</v>
      </c>
      <c r="Q192" s="3339" t="s">
        <v>2791</v>
      </c>
      <c r="R192" s="3339" t="s">
        <v>2791</v>
      </c>
      <c r="S192" s="3339" t="s">
        <v>2791</v>
      </c>
      <c r="T192" s="3339" t="s">
        <v>2791</v>
      </c>
      <c r="U192" s="3339" t="s">
        <v>2791</v>
      </c>
      <c r="V192" s="3339" t="s">
        <v>2791</v>
      </c>
      <c r="W192" s="3339" t="s">
        <v>3263</v>
      </c>
      <c r="X192" s="3339" t="s">
        <v>3587</v>
      </c>
      <c r="Y192" s="3339" t="s">
        <v>3588</v>
      </c>
      <c r="Z192" s="3339" t="s">
        <v>3588</v>
      </c>
      <c r="AA192" s="3339" t="s">
        <v>3588</v>
      </c>
      <c r="AB192" s="3339" t="s">
        <v>3589</v>
      </c>
      <c r="AC192" s="3339" t="s">
        <v>3088</v>
      </c>
      <c r="AD192" s="3339" t="s">
        <v>3581</v>
      </c>
      <c r="AE192" s="3339">
        <v>68200</v>
      </c>
      <c r="AF192" s="3339">
        <v>20460</v>
      </c>
      <c r="AG192" s="3339">
        <v>68200</v>
      </c>
      <c r="AH192" s="3339">
        <v>225.22</v>
      </c>
      <c r="AI192" s="3339">
        <v>750.74</v>
      </c>
      <c r="AJ192" s="3339">
        <v>1351.33</v>
      </c>
      <c r="AK192" s="3339">
        <v>4504.4399999999996</v>
      </c>
      <c r="AL192" s="3339" t="s">
        <v>2791</v>
      </c>
      <c r="AM192" s="3339" t="s">
        <v>2791</v>
      </c>
      <c r="AN192" s="3339">
        <v>233.33</v>
      </c>
      <c r="AO192" s="3339" t="s">
        <v>3063</v>
      </c>
      <c r="AP192" s="3339" t="s">
        <v>2791</v>
      </c>
      <c r="AQ192" s="3339" t="s">
        <v>2791</v>
      </c>
      <c r="AR192" s="3339" t="s">
        <v>2791</v>
      </c>
      <c r="AS192" s="3339" t="s">
        <v>3129</v>
      </c>
    </row>
    <row r="193" spans="1:45" s="3340" customFormat="1" hidden="1">
      <c r="A193" s="3339" t="s">
        <v>3227</v>
      </c>
      <c r="B193" s="3339" t="s">
        <v>3056</v>
      </c>
      <c r="C193" s="3339" t="s">
        <v>3057</v>
      </c>
      <c r="D193" s="3339" t="s">
        <v>3058</v>
      </c>
      <c r="E193" s="3339" t="s">
        <v>2791</v>
      </c>
      <c r="F193" s="3339" t="s">
        <v>3227</v>
      </c>
      <c r="G193" s="3339" t="s">
        <v>3059</v>
      </c>
      <c r="H193" s="3339" t="s">
        <v>3590</v>
      </c>
      <c r="I193" s="3339" t="s">
        <v>3493</v>
      </c>
      <c r="J193" s="3339">
        <v>63878.92</v>
      </c>
      <c r="K193" s="3339">
        <v>159697.29999999999</v>
      </c>
      <c r="L193" s="3339" t="s">
        <v>3221</v>
      </c>
      <c r="M193" s="3339" t="s">
        <v>2791</v>
      </c>
      <c r="N193" s="3339" t="s">
        <v>3470</v>
      </c>
      <c r="O193" s="3339" t="s">
        <v>3471</v>
      </c>
      <c r="P193" s="3339" t="s">
        <v>2791</v>
      </c>
      <c r="Q193" s="3339" t="s">
        <v>2791</v>
      </c>
      <c r="R193" s="3339" t="s">
        <v>2791</v>
      </c>
      <c r="S193" s="3339" t="s">
        <v>2791</v>
      </c>
      <c r="T193" s="3339" t="s">
        <v>2791</v>
      </c>
      <c r="U193" s="3339" t="s">
        <v>2791</v>
      </c>
      <c r="V193" s="3339" t="s">
        <v>2791</v>
      </c>
      <c r="W193" s="3339" t="s">
        <v>3263</v>
      </c>
      <c r="X193" s="3339" t="s">
        <v>3587</v>
      </c>
      <c r="Y193" s="3339" t="s">
        <v>3588</v>
      </c>
      <c r="Z193" s="3339" t="s">
        <v>3588</v>
      </c>
      <c r="AA193" s="3339" t="s">
        <v>3588</v>
      </c>
      <c r="AB193" s="3339" t="s">
        <v>3589</v>
      </c>
      <c r="AC193" s="3339" t="s">
        <v>3088</v>
      </c>
      <c r="AD193" s="3339" t="s">
        <v>3581</v>
      </c>
      <c r="AE193" s="3339">
        <v>71900</v>
      </c>
      <c r="AF193" s="3339">
        <v>21570</v>
      </c>
      <c r="AG193" s="3339">
        <v>71900</v>
      </c>
      <c r="AH193" s="3339">
        <v>225.11</v>
      </c>
      <c r="AI193" s="3339">
        <v>750.38</v>
      </c>
      <c r="AJ193" s="3339">
        <v>1350.68</v>
      </c>
      <c r="AK193" s="3339">
        <v>4502.2700000000004</v>
      </c>
      <c r="AL193" s="3339" t="s">
        <v>2791</v>
      </c>
      <c r="AM193" s="3339" t="s">
        <v>2791</v>
      </c>
      <c r="AN193" s="3339">
        <v>233.33</v>
      </c>
      <c r="AO193" s="3339" t="s">
        <v>3063</v>
      </c>
      <c r="AP193" s="3339" t="s">
        <v>2791</v>
      </c>
      <c r="AQ193" s="3339" t="s">
        <v>2791</v>
      </c>
      <c r="AR193" s="3339" t="s">
        <v>2791</v>
      </c>
      <c r="AS193" s="3339" t="s">
        <v>3129</v>
      </c>
    </row>
    <row r="194" spans="1:45" s="3340" customFormat="1" hidden="1">
      <c r="A194" s="3339" t="s">
        <v>3584</v>
      </c>
      <c r="B194" s="3339" t="s">
        <v>3056</v>
      </c>
      <c r="C194" s="3339" t="s">
        <v>3057</v>
      </c>
      <c r="D194" s="3339" t="s">
        <v>3058</v>
      </c>
      <c r="E194" s="3339" t="s">
        <v>2791</v>
      </c>
      <c r="F194" s="3339" t="s">
        <v>3584</v>
      </c>
      <c r="G194" s="3339" t="s">
        <v>3059</v>
      </c>
      <c r="H194" s="3339" t="s">
        <v>3591</v>
      </c>
      <c r="I194" s="3339" t="s">
        <v>3493</v>
      </c>
      <c r="J194" s="3339">
        <v>18771.86</v>
      </c>
      <c r="K194" s="3339">
        <v>46929.65</v>
      </c>
      <c r="L194" s="3339" t="s">
        <v>3221</v>
      </c>
      <c r="M194" s="3339" t="s">
        <v>2791</v>
      </c>
      <c r="N194" s="3339" t="s">
        <v>3470</v>
      </c>
      <c r="O194" s="3339" t="s">
        <v>3471</v>
      </c>
      <c r="P194" s="3339" t="s">
        <v>2791</v>
      </c>
      <c r="Q194" s="3339" t="s">
        <v>2791</v>
      </c>
      <c r="R194" s="3339" t="s">
        <v>2791</v>
      </c>
      <c r="S194" s="3339" t="s">
        <v>2791</v>
      </c>
      <c r="T194" s="3339" t="s">
        <v>2791</v>
      </c>
      <c r="U194" s="3339" t="s">
        <v>2791</v>
      </c>
      <c r="V194" s="3339" t="s">
        <v>2791</v>
      </c>
      <c r="W194" s="3339" t="s">
        <v>3263</v>
      </c>
      <c r="X194" s="3339" t="s">
        <v>3587</v>
      </c>
      <c r="Y194" s="3339" t="s">
        <v>3588</v>
      </c>
      <c r="Z194" s="3339" t="s">
        <v>3588</v>
      </c>
      <c r="AA194" s="3339" t="s">
        <v>3588</v>
      </c>
      <c r="AB194" s="3339" t="s">
        <v>3589</v>
      </c>
      <c r="AC194" s="3339" t="s">
        <v>3088</v>
      </c>
      <c r="AD194" s="3339" t="s">
        <v>3581</v>
      </c>
      <c r="AE194" s="3339">
        <v>21150</v>
      </c>
      <c r="AF194" s="3339">
        <v>6350</v>
      </c>
      <c r="AG194" s="3339">
        <v>21150</v>
      </c>
      <c r="AH194" s="3339">
        <v>225.51</v>
      </c>
      <c r="AI194" s="3339">
        <v>751.12</v>
      </c>
      <c r="AJ194" s="3339">
        <v>1353.08</v>
      </c>
      <c r="AK194" s="3339">
        <v>4506.75</v>
      </c>
      <c r="AL194" s="3339" t="s">
        <v>2791</v>
      </c>
      <c r="AM194" s="3339" t="s">
        <v>2791</v>
      </c>
      <c r="AN194" s="3339">
        <v>233.07</v>
      </c>
      <c r="AO194" s="3339" t="s">
        <v>3063</v>
      </c>
      <c r="AP194" s="3339" t="s">
        <v>2791</v>
      </c>
      <c r="AQ194" s="3339" t="s">
        <v>2791</v>
      </c>
      <c r="AR194" s="3339" t="s">
        <v>2791</v>
      </c>
      <c r="AS194" s="3339" t="s">
        <v>3146</v>
      </c>
    </row>
    <row r="195" spans="1:45">
      <c r="A195" s="3286" t="s">
        <v>3582</v>
      </c>
      <c r="B195" s="3286" t="s">
        <v>3056</v>
      </c>
      <c r="C195" s="3286" t="s">
        <v>3057</v>
      </c>
      <c r="D195" s="3286" t="s">
        <v>3058</v>
      </c>
      <c r="E195" s="3286" t="s">
        <v>2791</v>
      </c>
      <c r="F195" s="3286" t="s">
        <v>3582</v>
      </c>
      <c r="G195" s="3286" t="s">
        <v>3059</v>
      </c>
      <c r="H195" s="3286" t="s">
        <v>3593</v>
      </c>
      <c r="I195" s="3286" t="s">
        <v>3493</v>
      </c>
      <c r="J195" s="3286">
        <v>51418.61</v>
      </c>
      <c r="K195" s="3286">
        <v>128546.5</v>
      </c>
      <c r="L195" s="3286" t="s">
        <v>3221</v>
      </c>
      <c r="M195" s="3286" t="s">
        <v>2791</v>
      </c>
      <c r="N195" s="3286" t="s">
        <v>3470</v>
      </c>
      <c r="O195" s="3286" t="s">
        <v>3471</v>
      </c>
      <c r="P195" s="3286" t="s">
        <v>2791</v>
      </c>
      <c r="Q195" s="3286" t="s">
        <v>2791</v>
      </c>
      <c r="R195" s="3286" t="s">
        <v>2791</v>
      </c>
      <c r="S195" s="3286" t="s">
        <v>2791</v>
      </c>
      <c r="T195" s="3286" t="s">
        <v>2791</v>
      </c>
      <c r="U195" s="3286" t="s">
        <v>2791</v>
      </c>
      <c r="V195" s="3286" t="s">
        <v>2791</v>
      </c>
      <c r="W195" s="3286" t="s">
        <v>3263</v>
      </c>
      <c r="X195" s="3286" t="s">
        <v>3594</v>
      </c>
      <c r="Y195" s="3286" t="s">
        <v>3592</v>
      </c>
      <c r="Z195" s="3286" t="s">
        <v>3592</v>
      </c>
      <c r="AA195" s="3286" t="s">
        <v>3592</v>
      </c>
      <c r="AB195" s="3286" t="s">
        <v>3595</v>
      </c>
      <c r="AC195" s="3286" t="s">
        <v>3088</v>
      </c>
      <c r="AD195" s="3286" t="s">
        <v>3596</v>
      </c>
      <c r="AE195" s="3286">
        <v>57900</v>
      </c>
      <c r="AF195" s="3286">
        <v>17370</v>
      </c>
      <c r="AG195" s="3286">
        <v>57900</v>
      </c>
      <c r="AH195" s="3286">
        <v>225.21</v>
      </c>
      <c r="AI195" s="3286">
        <v>750.7</v>
      </c>
      <c r="AJ195" s="3286">
        <v>1351.26</v>
      </c>
      <c r="AK195" s="3286">
        <v>4504.21</v>
      </c>
      <c r="AL195" s="3286" t="s">
        <v>2791</v>
      </c>
      <c r="AM195" s="3286" t="s">
        <v>2791</v>
      </c>
      <c r="AN195" s="3286">
        <v>233.33</v>
      </c>
      <c r="AO195" s="3286" t="s">
        <v>3063</v>
      </c>
      <c r="AP195" s="3286" t="s">
        <v>2791</v>
      </c>
      <c r="AQ195" s="3286" t="s">
        <v>2791</v>
      </c>
      <c r="AR195" s="3286" t="s">
        <v>2791</v>
      </c>
      <c r="AS195" s="3286" t="s">
        <v>3146</v>
      </c>
    </row>
    <row r="196" spans="1:45">
      <c r="A196" s="3286" t="s">
        <v>3582</v>
      </c>
      <c r="B196" s="3286" t="s">
        <v>3056</v>
      </c>
      <c r="C196" s="3286" t="s">
        <v>3057</v>
      </c>
      <c r="D196" s="3286" t="s">
        <v>3058</v>
      </c>
      <c r="E196" s="3286" t="s">
        <v>2791</v>
      </c>
      <c r="F196" s="3286" t="s">
        <v>3582</v>
      </c>
      <c r="G196" s="3286" t="s">
        <v>3059</v>
      </c>
      <c r="H196" s="3286" t="s">
        <v>3597</v>
      </c>
      <c r="I196" s="3286" t="s">
        <v>3493</v>
      </c>
      <c r="J196" s="3286">
        <v>39277.99</v>
      </c>
      <c r="K196" s="3286">
        <v>98194.98</v>
      </c>
      <c r="L196" s="3286" t="s">
        <v>3221</v>
      </c>
      <c r="M196" s="3286" t="s">
        <v>2791</v>
      </c>
      <c r="N196" s="3286" t="s">
        <v>3470</v>
      </c>
      <c r="O196" s="3286" t="s">
        <v>3471</v>
      </c>
      <c r="P196" s="3286" t="s">
        <v>2791</v>
      </c>
      <c r="Q196" s="3286" t="s">
        <v>2791</v>
      </c>
      <c r="R196" s="3286" t="s">
        <v>2791</v>
      </c>
      <c r="S196" s="3286" t="s">
        <v>2791</v>
      </c>
      <c r="T196" s="3286" t="s">
        <v>2791</v>
      </c>
      <c r="U196" s="3286" t="s">
        <v>2791</v>
      </c>
      <c r="V196" s="3286" t="s">
        <v>2791</v>
      </c>
      <c r="W196" s="3286" t="s">
        <v>3263</v>
      </c>
      <c r="X196" s="3286" t="s">
        <v>3594</v>
      </c>
      <c r="Y196" s="3286" t="s">
        <v>3592</v>
      </c>
      <c r="Z196" s="3286" t="s">
        <v>3592</v>
      </c>
      <c r="AA196" s="3286" t="s">
        <v>3592</v>
      </c>
      <c r="AB196" s="3286" t="s">
        <v>3595</v>
      </c>
      <c r="AC196" s="3286" t="s">
        <v>3088</v>
      </c>
      <c r="AD196" s="3286" t="s">
        <v>3596</v>
      </c>
      <c r="AE196" s="3286">
        <v>44200</v>
      </c>
      <c r="AF196" s="3286">
        <v>13260</v>
      </c>
      <c r="AG196" s="3286">
        <v>44200</v>
      </c>
      <c r="AH196" s="3286">
        <v>225.06</v>
      </c>
      <c r="AI196" s="3286">
        <v>750.21</v>
      </c>
      <c r="AJ196" s="3286">
        <v>1350.37</v>
      </c>
      <c r="AK196" s="3286">
        <v>4501.25</v>
      </c>
      <c r="AL196" s="3286" t="s">
        <v>2791</v>
      </c>
      <c r="AM196" s="3286" t="s">
        <v>2791</v>
      </c>
      <c r="AN196" s="3286">
        <v>233.33</v>
      </c>
      <c r="AO196" s="3286" t="s">
        <v>3063</v>
      </c>
      <c r="AP196" s="3286" t="s">
        <v>2791</v>
      </c>
      <c r="AQ196" s="3286" t="s">
        <v>2791</v>
      </c>
      <c r="AR196" s="3286" t="s">
        <v>2791</v>
      </c>
      <c r="AS196" s="3286" t="s">
        <v>3146</v>
      </c>
    </row>
    <row r="197" spans="1:45">
      <c r="A197" s="3286" t="s">
        <v>3582</v>
      </c>
      <c r="B197" s="3286" t="s">
        <v>3056</v>
      </c>
      <c r="C197" s="3286" t="s">
        <v>3057</v>
      </c>
      <c r="D197" s="3286" t="s">
        <v>3058</v>
      </c>
      <c r="E197" s="3286" t="s">
        <v>2791</v>
      </c>
      <c r="F197" s="3286" t="s">
        <v>3582</v>
      </c>
      <c r="G197" s="3286" t="s">
        <v>3059</v>
      </c>
      <c r="H197" s="3286" t="s">
        <v>3598</v>
      </c>
      <c r="I197" s="3286" t="s">
        <v>3493</v>
      </c>
      <c r="J197" s="3286">
        <v>41477.24</v>
      </c>
      <c r="K197" s="3286">
        <v>103693.1</v>
      </c>
      <c r="L197" s="3286" t="s">
        <v>3221</v>
      </c>
      <c r="M197" s="3286" t="s">
        <v>2791</v>
      </c>
      <c r="N197" s="3286" t="s">
        <v>3470</v>
      </c>
      <c r="O197" s="3286" t="s">
        <v>3471</v>
      </c>
      <c r="P197" s="3286" t="s">
        <v>2791</v>
      </c>
      <c r="Q197" s="3286" t="s">
        <v>2791</v>
      </c>
      <c r="R197" s="3286" t="s">
        <v>2791</v>
      </c>
      <c r="S197" s="3286" t="s">
        <v>2791</v>
      </c>
      <c r="T197" s="3286" t="s">
        <v>2791</v>
      </c>
      <c r="U197" s="3286" t="s">
        <v>2791</v>
      </c>
      <c r="V197" s="3286" t="s">
        <v>2791</v>
      </c>
      <c r="W197" s="3286" t="s">
        <v>3263</v>
      </c>
      <c r="X197" s="3286" t="s">
        <v>3594</v>
      </c>
      <c r="Y197" s="3286" t="s">
        <v>3592</v>
      </c>
      <c r="Z197" s="3286" t="s">
        <v>3592</v>
      </c>
      <c r="AA197" s="3286" t="s">
        <v>3592</v>
      </c>
      <c r="AB197" s="3286" t="s">
        <v>3595</v>
      </c>
      <c r="AC197" s="3286" t="s">
        <v>3088</v>
      </c>
      <c r="AD197" s="3286" t="s">
        <v>3596</v>
      </c>
      <c r="AE197" s="3286">
        <v>46700</v>
      </c>
      <c r="AF197" s="3286" t="s">
        <v>2791</v>
      </c>
      <c r="AG197" s="3286">
        <v>46700</v>
      </c>
      <c r="AH197" s="3286" t="s">
        <v>2791</v>
      </c>
      <c r="AI197" s="3286">
        <v>750.61</v>
      </c>
      <c r="AJ197" s="3286" t="s">
        <v>2791</v>
      </c>
      <c r="AK197" s="3286">
        <v>4503.67</v>
      </c>
      <c r="AL197" s="3286" t="s">
        <v>2791</v>
      </c>
      <c r="AM197" s="3286" t="s">
        <v>2791</v>
      </c>
      <c r="AN197" s="3286" t="s">
        <v>2791</v>
      </c>
      <c r="AO197" s="3286" t="s">
        <v>3063</v>
      </c>
      <c r="AP197" s="3286" t="s">
        <v>2791</v>
      </c>
      <c r="AQ197" s="3286" t="s">
        <v>2791</v>
      </c>
      <c r="AR197" s="3286" t="s">
        <v>2791</v>
      </c>
      <c r="AS197" s="3286" t="s">
        <v>3146</v>
      </c>
    </row>
    <row r="198" spans="1:45">
      <c r="A198" s="3286" t="s">
        <v>3557</v>
      </c>
      <c r="B198" s="3286" t="s">
        <v>3056</v>
      </c>
      <c r="C198" s="3286" t="s">
        <v>3057</v>
      </c>
      <c r="D198" s="3286" t="s">
        <v>3058</v>
      </c>
      <c r="E198" s="3286" t="s">
        <v>2791</v>
      </c>
      <c r="F198" s="3286" t="s">
        <v>3557</v>
      </c>
      <c r="G198" s="3286" t="s">
        <v>3059</v>
      </c>
      <c r="H198" s="3286" t="s">
        <v>3599</v>
      </c>
      <c r="I198" s="3286" t="s">
        <v>3493</v>
      </c>
      <c r="J198" s="3286">
        <v>34501.760000000002</v>
      </c>
      <c r="K198" s="3286">
        <v>69003.520000000004</v>
      </c>
      <c r="L198" s="3286" t="s">
        <v>3600</v>
      </c>
      <c r="M198" s="3286" t="s">
        <v>2791</v>
      </c>
      <c r="N198" s="3286" t="s">
        <v>3389</v>
      </c>
      <c r="O198" s="3286" t="s">
        <v>3077</v>
      </c>
      <c r="P198" s="3286" t="s">
        <v>2791</v>
      </c>
      <c r="Q198" s="3286" t="s">
        <v>2791</v>
      </c>
      <c r="R198" s="3286" t="s">
        <v>2791</v>
      </c>
      <c r="S198" s="3286" t="s">
        <v>2791</v>
      </c>
      <c r="T198" s="3286" t="s">
        <v>2791</v>
      </c>
      <c r="U198" s="3286" t="s">
        <v>2791</v>
      </c>
      <c r="V198" s="3286" t="s">
        <v>2791</v>
      </c>
      <c r="W198" s="3286" t="s">
        <v>3263</v>
      </c>
      <c r="X198" s="3286" t="s">
        <v>3601</v>
      </c>
      <c r="Y198" s="3286" t="s">
        <v>3602</v>
      </c>
      <c r="Z198" s="3286" t="s">
        <v>3602</v>
      </c>
      <c r="AA198" s="3286" t="s">
        <v>3602</v>
      </c>
      <c r="AB198" s="3286" t="s">
        <v>3603</v>
      </c>
      <c r="AC198" s="3286" t="s">
        <v>3088</v>
      </c>
      <c r="AD198" s="3286" t="s">
        <v>3558</v>
      </c>
      <c r="AE198" s="3286">
        <v>10400</v>
      </c>
      <c r="AF198" s="3286">
        <v>10400</v>
      </c>
      <c r="AG198" s="3286">
        <v>10400</v>
      </c>
      <c r="AH198" s="3286">
        <v>200.96</v>
      </c>
      <c r="AI198" s="3286">
        <v>200.96</v>
      </c>
      <c r="AJ198" s="3286">
        <v>1507.16</v>
      </c>
      <c r="AK198" s="3286">
        <v>1507.17</v>
      </c>
      <c r="AL198" s="3286" t="s">
        <v>2791</v>
      </c>
      <c r="AM198" s="3286" t="s">
        <v>2791</v>
      </c>
      <c r="AN198" s="3286">
        <v>0</v>
      </c>
      <c r="AO198" s="3286" t="s">
        <v>3063</v>
      </c>
      <c r="AP198" s="3286" t="s">
        <v>2791</v>
      </c>
      <c r="AQ198" s="3286" t="s">
        <v>2791</v>
      </c>
      <c r="AR198" s="3286" t="s">
        <v>2791</v>
      </c>
      <c r="AS198" s="3286" t="s">
        <v>3081</v>
      </c>
    </row>
    <row r="199" spans="1:45">
      <c r="A199" s="3286" t="s">
        <v>3582</v>
      </c>
      <c r="B199" s="3286" t="s">
        <v>3056</v>
      </c>
      <c r="C199" s="3286" t="s">
        <v>3449</v>
      </c>
      <c r="D199" s="3286" t="s">
        <v>3058</v>
      </c>
      <c r="E199" s="3286" t="s">
        <v>2791</v>
      </c>
      <c r="F199" s="3286" t="s">
        <v>3582</v>
      </c>
      <c r="G199" s="3286" t="s">
        <v>3059</v>
      </c>
      <c r="H199" s="3286" t="s">
        <v>3604</v>
      </c>
      <c r="I199" s="3286" t="s">
        <v>3605</v>
      </c>
      <c r="J199" s="3286">
        <v>38413.65</v>
      </c>
      <c r="K199" s="3286">
        <v>96034.12</v>
      </c>
      <c r="L199" s="3286" t="s">
        <v>3606</v>
      </c>
      <c r="M199" s="3286" t="s">
        <v>2791</v>
      </c>
      <c r="N199" s="3286" t="s">
        <v>3607</v>
      </c>
      <c r="O199" s="3286" t="s">
        <v>2791</v>
      </c>
      <c r="P199" s="3286" t="s">
        <v>2791</v>
      </c>
      <c r="Q199" s="3286" t="s">
        <v>2791</v>
      </c>
      <c r="R199" s="3286" t="s">
        <v>2791</v>
      </c>
      <c r="S199" s="3286" t="s">
        <v>2791</v>
      </c>
      <c r="T199" s="3286" t="s">
        <v>2791</v>
      </c>
      <c r="U199" s="3286" t="s">
        <v>2791</v>
      </c>
      <c r="V199" s="3286" t="s">
        <v>2791</v>
      </c>
      <c r="W199" s="3286" t="s">
        <v>3263</v>
      </c>
      <c r="X199" s="3286" t="s">
        <v>2791</v>
      </c>
      <c r="Y199" s="3286" t="s">
        <v>3608</v>
      </c>
      <c r="Z199" s="3286" t="s">
        <v>3608</v>
      </c>
      <c r="AA199" s="3286" t="s">
        <v>3608</v>
      </c>
      <c r="AB199" s="3286" t="s">
        <v>2791</v>
      </c>
      <c r="AC199" s="3286" t="s">
        <v>3088</v>
      </c>
      <c r="AD199" s="3286" t="s">
        <v>3596</v>
      </c>
      <c r="AE199" s="3286" t="s">
        <v>2791</v>
      </c>
      <c r="AF199" s="3286">
        <v>43300</v>
      </c>
      <c r="AG199" s="3286">
        <v>43300</v>
      </c>
      <c r="AH199" s="3286">
        <v>751.47</v>
      </c>
      <c r="AI199" s="3286">
        <v>751.47</v>
      </c>
      <c r="AJ199" s="3286">
        <v>4508.8100000000004</v>
      </c>
      <c r="AK199" s="3286">
        <v>4508.8100000000004</v>
      </c>
      <c r="AL199" s="3286" t="s">
        <v>2791</v>
      </c>
      <c r="AM199" s="3286" t="s">
        <v>2791</v>
      </c>
      <c r="AN199" s="3286">
        <v>0</v>
      </c>
      <c r="AO199" s="3286" t="s">
        <v>3609</v>
      </c>
      <c r="AP199" s="3286" t="s">
        <v>2791</v>
      </c>
      <c r="AQ199" s="3286" t="s">
        <v>2791</v>
      </c>
      <c r="AR199" s="3286" t="s">
        <v>2791</v>
      </c>
      <c r="AS199" s="3286" t="s">
        <v>3146</v>
      </c>
    </row>
    <row r="200" spans="1:45">
      <c r="A200" s="3286" t="s">
        <v>3582</v>
      </c>
      <c r="B200" s="3286" t="s">
        <v>3056</v>
      </c>
      <c r="C200" s="3286" t="s">
        <v>3449</v>
      </c>
      <c r="D200" s="3286" t="s">
        <v>3058</v>
      </c>
      <c r="E200" s="3286" t="s">
        <v>2791</v>
      </c>
      <c r="F200" s="3286" t="s">
        <v>3582</v>
      </c>
      <c r="G200" s="3286" t="s">
        <v>3059</v>
      </c>
      <c r="H200" s="3286" t="s">
        <v>3610</v>
      </c>
      <c r="I200" s="3286" t="s">
        <v>3605</v>
      </c>
      <c r="J200" s="3286">
        <v>49901.95</v>
      </c>
      <c r="K200" s="3286">
        <v>124754.9</v>
      </c>
      <c r="L200" s="3286" t="s">
        <v>3606</v>
      </c>
      <c r="M200" s="3286" t="s">
        <v>2791</v>
      </c>
      <c r="N200" s="3286" t="s">
        <v>3607</v>
      </c>
      <c r="O200" s="3286" t="s">
        <v>2791</v>
      </c>
      <c r="P200" s="3286" t="s">
        <v>2791</v>
      </c>
      <c r="Q200" s="3286" t="s">
        <v>2791</v>
      </c>
      <c r="R200" s="3286" t="s">
        <v>2791</v>
      </c>
      <c r="S200" s="3286" t="s">
        <v>2791</v>
      </c>
      <c r="T200" s="3286" t="s">
        <v>2791</v>
      </c>
      <c r="U200" s="3286" t="s">
        <v>2791</v>
      </c>
      <c r="V200" s="3286" t="s">
        <v>2791</v>
      </c>
      <c r="W200" s="3286" t="s">
        <v>3263</v>
      </c>
      <c r="X200" s="3286" t="s">
        <v>2791</v>
      </c>
      <c r="Y200" s="3286" t="s">
        <v>3608</v>
      </c>
      <c r="Z200" s="3286" t="s">
        <v>3608</v>
      </c>
      <c r="AA200" s="3286" t="s">
        <v>3608</v>
      </c>
      <c r="AB200" s="3286" t="s">
        <v>2791</v>
      </c>
      <c r="AC200" s="3286" t="s">
        <v>3088</v>
      </c>
      <c r="AD200" s="3286" t="s">
        <v>3596</v>
      </c>
      <c r="AE200" s="3286" t="s">
        <v>2791</v>
      </c>
      <c r="AF200" s="3286">
        <v>56200</v>
      </c>
      <c r="AG200" s="3286">
        <v>56200</v>
      </c>
      <c r="AH200" s="3286">
        <v>750.81</v>
      </c>
      <c r="AI200" s="3286">
        <v>750.81</v>
      </c>
      <c r="AJ200" s="3286">
        <v>4504.83</v>
      </c>
      <c r="AK200" s="3286">
        <v>4504.82</v>
      </c>
      <c r="AL200" s="3286" t="s">
        <v>2791</v>
      </c>
      <c r="AM200" s="3286" t="s">
        <v>2791</v>
      </c>
      <c r="AN200" s="3286">
        <v>0</v>
      </c>
      <c r="AO200" s="3286" t="s">
        <v>3609</v>
      </c>
      <c r="AP200" s="3286" t="s">
        <v>2791</v>
      </c>
      <c r="AQ200" s="3286" t="s">
        <v>2791</v>
      </c>
      <c r="AR200" s="3286" t="s">
        <v>2791</v>
      </c>
      <c r="AS200" s="3286" t="s">
        <v>3146</v>
      </c>
    </row>
    <row r="201" spans="1:45">
      <c r="A201" s="3286" t="s">
        <v>3611</v>
      </c>
      <c r="B201" s="3286" t="s">
        <v>3056</v>
      </c>
      <c r="C201" s="3286" t="s">
        <v>3449</v>
      </c>
      <c r="D201" s="3286" t="s">
        <v>3058</v>
      </c>
      <c r="E201" s="3286" t="s">
        <v>2791</v>
      </c>
      <c r="F201" s="3286" t="s">
        <v>3611</v>
      </c>
      <c r="G201" s="3286" t="s">
        <v>3059</v>
      </c>
      <c r="H201" s="3286" t="s">
        <v>3612</v>
      </c>
      <c r="I201" s="3286" t="s">
        <v>3605</v>
      </c>
      <c r="J201" s="3286">
        <v>50545.14</v>
      </c>
      <c r="K201" s="3286">
        <v>126362.9</v>
      </c>
      <c r="L201" s="3286" t="s">
        <v>3613</v>
      </c>
      <c r="M201" s="3286" t="s">
        <v>2791</v>
      </c>
      <c r="N201" s="3286" t="s">
        <v>3607</v>
      </c>
      <c r="O201" s="3286" t="s">
        <v>2791</v>
      </c>
      <c r="P201" s="3286" t="s">
        <v>2791</v>
      </c>
      <c r="Q201" s="3286" t="s">
        <v>2791</v>
      </c>
      <c r="R201" s="3286" t="s">
        <v>2791</v>
      </c>
      <c r="S201" s="3286" t="s">
        <v>2791</v>
      </c>
      <c r="T201" s="3286" t="s">
        <v>2791</v>
      </c>
      <c r="U201" s="3286" t="s">
        <v>2791</v>
      </c>
      <c r="V201" s="3286" t="s">
        <v>2791</v>
      </c>
      <c r="W201" s="3286" t="s">
        <v>3263</v>
      </c>
      <c r="X201" s="3286" t="s">
        <v>2791</v>
      </c>
      <c r="Y201" s="3286" t="s">
        <v>3608</v>
      </c>
      <c r="Z201" s="3286" t="s">
        <v>3608</v>
      </c>
      <c r="AA201" s="3286" t="s">
        <v>3608</v>
      </c>
      <c r="AB201" s="3286" t="s">
        <v>2791</v>
      </c>
      <c r="AC201" s="3286" t="s">
        <v>3088</v>
      </c>
      <c r="AD201" s="3286" t="s">
        <v>3596</v>
      </c>
      <c r="AE201" s="3286">
        <v>17070</v>
      </c>
      <c r="AF201" s="3286">
        <v>56900</v>
      </c>
      <c r="AG201" s="3286">
        <v>56900</v>
      </c>
      <c r="AH201" s="3286">
        <v>750.48</v>
      </c>
      <c r="AI201" s="3286">
        <v>750.48</v>
      </c>
      <c r="AJ201" s="3286">
        <v>4502.8999999999996</v>
      </c>
      <c r="AK201" s="3286">
        <v>4502.8900000000003</v>
      </c>
      <c r="AL201" s="3286" t="s">
        <v>2791</v>
      </c>
      <c r="AM201" s="3286" t="s">
        <v>2791</v>
      </c>
      <c r="AN201" s="3286">
        <v>0</v>
      </c>
      <c r="AO201" s="3286" t="s">
        <v>3609</v>
      </c>
      <c r="AP201" s="3286" t="s">
        <v>2791</v>
      </c>
      <c r="AQ201" s="3286" t="s">
        <v>2791</v>
      </c>
      <c r="AR201" s="3286" t="s">
        <v>2791</v>
      </c>
      <c r="AS201" s="3286" t="s">
        <v>3146</v>
      </c>
    </row>
    <row r="202" spans="1:45">
      <c r="A202" s="3286" t="s">
        <v>3614</v>
      </c>
      <c r="B202" s="3286" t="s">
        <v>3056</v>
      </c>
      <c r="C202" s="3286" t="s">
        <v>3057</v>
      </c>
      <c r="D202" s="3286" t="s">
        <v>3058</v>
      </c>
      <c r="E202" s="3286" t="s">
        <v>2791</v>
      </c>
      <c r="F202" s="3286" t="s">
        <v>3614</v>
      </c>
      <c r="G202" s="3286" t="s">
        <v>3059</v>
      </c>
      <c r="H202" s="3286" t="s">
        <v>3615</v>
      </c>
      <c r="I202" s="3286" t="s">
        <v>3493</v>
      </c>
      <c r="J202" s="3286">
        <v>5002.6000000000004</v>
      </c>
      <c r="K202" s="3286">
        <v>25013</v>
      </c>
      <c r="L202" s="3286" t="s">
        <v>3616</v>
      </c>
      <c r="M202" s="3286" t="s">
        <v>2791</v>
      </c>
      <c r="N202" s="3286" t="s">
        <v>3481</v>
      </c>
      <c r="O202" s="3286" t="s">
        <v>3471</v>
      </c>
      <c r="P202" s="3286" t="s">
        <v>2791</v>
      </c>
      <c r="Q202" s="3286" t="s">
        <v>2791</v>
      </c>
      <c r="R202" s="3286" t="s">
        <v>2791</v>
      </c>
      <c r="S202" s="3286" t="s">
        <v>2791</v>
      </c>
      <c r="T202" s="3286" t="s">
        <v>2791</v>
      </c>
      <c r="U202" s="3286" t="s">
        <v>2791</v>
      </c>
      <c r="V202" s="3286" t="s">
        <v>2791</v>
      </c>
      <c r="W202" s="3286" t="s">
        <v>3263</v>
      </c>
      <c r="X202" s="3286" t="s">
        <v>3617</v>
      </c>
      <c r="Y202" s="3286" t="s">
        <v>3618</v>
      </c>
      <c r="Z202" s="3286" t="s">
        <v>3618</v>
      </c>
      <c r="AA202" s="3286" t="s">
        <v>3618</v>
      </c>
      <c r="AB202" s="3286" t="s">
        <v>3619</v>
      </c>
      <c r="AC202" s="3286" t="s">
        <v>3088</v>
      </c>
      <c r="AD202" s="3286" t="s">
        <v>3620</v>
      </c>
      <c r="AE202" s="3286">
        <v>1397</v>
      </c>
      <c r="AF202" s="3286">
        <v>1397</v>
      </c>
      <c r="AG202" s="3286">
        <v>1397</v>
      </c>
      <c r="AH202" s="3286">
        <v>186.17</v>
      </c>
      <c r="AI202" s="3286">
        <v>186.17</v>
      </c>
      <c r="AJ202" s="3286">
        <v>558.5</v>
      </c>
      <c r="AK202" s="3286">
        <v>558.5</v>
      </c>
      <c r="AL202" s="3286" t="s">
        <v>2791</v>
      </c>
      <c r="AM202" s="3286" t="s">
        <v>2791</v>
      </c>
      <c r="AN202" s="3286">
        <v>0</v>
      </c>
      <c r="AO202" s="3286" t="s">
        <v>3063</v>
      </c>
      <c r="AP202" s="3286" t="s">
        <v>2791</v>
      </c>
      <c r="AQ202" s="3286" t="s">
        <v>2791</v>
      </c>
      <c r="AR202" s="3286" t="s">
        <v>2791</v>
      </c>
      <c r="AS202" s="3286" t="s">
        <v>3146</v>
      </c>
    </row>
    <row r="203" spans="1:45">
      <c r="A203" s="3286" t="s">
        <v>3621</v>
      </c>
      <c r="B203" s="3286" t="s">
        <v>3056</v>
      </c>
      <c r="C203" s="3286" t="s">
        <v>3057</v>
      </c>
      <c r="D203" s="3286" t="s">
        <v>3058</v>
      </c>
      <c r="E203" s="3286" t="s">
        <v>2791</v>
      </c>
      <c r="F203" s="3286" t="s">
        <v>3621</v>
      </c>
      <c r="G203" s="3286" t="s">
        <v>3059</v>
      </c>
      <c r="H203" s="3286" t="s">
        <v>3622</v>
      </c>
      <c r="I203" s="3286" t="s">
        <v>3493</v>
      </c>
      <c r="J203" s="3286">
        <v>54615.99</v>
      </c>
      <c r="K203" s="3286">
        <v>136539.98000000001</v>
      </c>
      <c r="L203" s="3286" t="s">
        <v>3623</v>
      </c>
      <c r="M203" s="3286" t="s">
        <v>2791</v>
      </c>
      <c r="N203" s="3286" t="s">
        <v>3389</v>
      </c>
      <c r="O203" s="3286" t="s">
        <v>3556</v>
      </c>
      <c r="P203" s="3286" t="s">
        <v>2791</v>
      </c>
      <c r="Q203" s="3286" t="s">
        <v>2791</v>
      </c>
      <c r="R203" s="3286" t="s">
        <v>2791</v>
      </c>
      <c r="S203" s="3286" t="s">
        <v>2791</v>
      </c>
      <c r="T203" s="3286" t="s">
        <v>2791</v>
      </c>
      <c r="U203" s="3286" t="s">
        <v>2791</v>
      </c>
      <c r="V203" s="3286" t="s">
        <v>2791</v>
      </c>
      <c r="W203" s="3286" t="s">
        <v>3263</v>
      </c>
      <c r="X203" s="3286" t="s">
        <v>3624</v>
      </c>
      <c r="Y203" s="3286" t="s">
        <v>3625</v>
      </c>
      <c r="Z203" s="3286" t="s">
        <v>3625</v>
      </c>
      <c r="AA203" s="3286" t="s">
        <v>3625</v>
      </c>
      <c r="AB203" s="3286" t="s">
        <v>3626</v>
      </c>
      <c r="AC203" s="3286" t="s">
        <v>3088</v>
      </c>
      <c r="AD203" s="3286" t="s">
        <v>3258</v>
      </c>
      <c r="AE203" s="3286">
        <v>8200</v>
      </c>
      <c r="AF203" s="3286">
        <v>16400</v>
      </c>
      <c r="AG203" s="3286">
        <v>16400</v>
      </c>
      <c r="AH203" s="3286">
        <v>200.19</v>
      </c>
      <c r="AI203" s="3286">
        <v>200.19</v>
      </c>
      <c r="AJ203" s="3286">
        <v>1201.1099999999999</v>
      </c>
      <c r="AK203" s="3286">
        <v>1201.0999999999999</v>
      </c>
      <c r="AL203" s="3286" t="s">
        <v>2791</v>
      </c>
      <c r="AM203" s="3286" t="s">
        <v>2791</v>
      </c>
      <c r="AN203" s="3286">
        <v>0</v>
      </c>
      <c r="AO203" s="3286" t="s">
        <v>3063</v>
      </c>
      <c r="AP203" s="3286" t="s">
        <v>2791</v>
      </c>
      <c r="AQ203" s="3286" t="s">
        <v>2791</v>
      </c>
      <c r="AR203" s="3286" t="s">
        <v>2791</v>
      </c>
      <c r="AS203" s="3286" t="s">
        <v>3082</v>
      </c>
    </row>
    <row r="204" spans="1:45">
      <c r="A204" s="3286" t="s">
        <v>3557</v>
      </c>
      <c r="B204" s="3286" t="s">
        <v>3056</v>
      </c>
      <c r="C204" s="3286" t="s">
        <v>3057</v>
      </c>
      <c r="D204" s="3286" t="s">
        <v>3058</v>
      </c>
      <c r="E204" s="3286" t="s">
        <v>2791</v>
      </c>
      <c r="F204" s="3286" t="s">
        <v>3557</v>
      </c>
      <c r="G204" s="3286" t="s">
        <v>3059</v>
      </c>
      <c r="H204" s="3286" t="s">
        <v>3627</v>
      </c>
      <c r="I204" s="3286" t="s">
        <v>3493</v>
      </c>
      <c r="J204" s="3286">
        <v>39800.769999999997</v>
      </c>
      <c r="K204" s="3286">
        <v>79601.539999999994</v>
      </c>
      <c r="L204" s="3286" t="s">
        <v>3600</v>
      </c>
      <c r="M204" s="3286" t="s">
        <v>2791</v>
      </c>
      <c r="N204" s="3286" t="s">
        <v>3389</v>
      </c>
      <c r="O204" s="3286" t="s">
        <v>3554</v>
      </c>
      <c r="P204" s="3286" t="s">
        <v>2791</v>
      </c>
      <c r="Q204" s="3286" t="s">
        <v>2791</v>
      </c>
      <c r="R204" s="3286" t="s">
        <v>2791</v>
      </c>
      <c r="S204" s="3286" t="s">
        <v>2791</v>
      </c>
      <c r="T204" s="3286" t="s">
        <v>2791</v>
      </c>
      <c r="U204" s="3286" t="s">
        <v>2791</v>
      </c>
      <c r="V204" s="3286" t="s">
        <v>2791</v>
      </c>
      <c r="W204" s="3286" t="s">
        <v>3263</v>
      </c>
      <c r="X204" s="3286" t="s">
        <v>3628</v>
      </c>
      <c r="Y204" s="3286" t="s">
        <v>3617</v>
      </c>
      <c r="Z204" s="3286" t="s">
        <v>3617</v>
      </c>
      <c r="AA204" s="3286" t="s">
        <v>3617</v>
      </c>
      <c r="AB204" s="3286" t="s">
        <v>3629</v>
      </c>
      <c r="AC204" s="3286" t="s">
        <v>3088</v>
      </c>
      <c r="AD204" s="3286" t="s">
        <v>3558</v>
      </c>
      <c r="AE204" s="3286">
        <v>12000</v>
      </c>
      <c r="AF204" s="3286">
        <v>12000</v>
      </c>
      <c r="AG204" s="3286">
        <v>12000</v>
      </c>
      <c r="AH204" s="3286">
        <v>201</v>
      </c>
      <c r="AI204" s="3286">
        <v>201</v>
      </c>
      <c r="AJ204" s="3286">
        <v>1507.5</v>
      </c>
      <c r="AK204" s="3286">
        <v>1507.5</v>
      </c>
      <c r="AL204" s="3286" t="s">
        <v>2791</v>
      </c>
      <c r="AM204" s="3286" t="s">
        <v>2791</v>
      </c>
      <c r="AN204" s="3286">
        <v>0</v>
      </c>
      <c r="AO204" s="3286" t="s">
        <v>3063</v>
      </c>
      <c r="AP204" s="3286" t="s">
        <v>2791</v>
      </c>
      <c r="AQ204" s="3286" t="s">
        <v>2791</v>
      </c>
      <c r="AR204" s="3286" t="s">
        <v>2791</v>
      </c>
      <c r="AS204" s="3286" t="s">
        <v>3081</v>
      </c>
    </row>
    <row r="205" spans="1:45">
      <c r="A205" s="3286" t="s">
        <v>3631</v>
      </c>
      <c r="B205" s="3286" t="s">
        <v>3056</v>
      </c>
      <c r="C205" s="3286" t="s">
        <v>3057</v>
      </c>
      <c r="D205" s="3286" t="s">
        <v>3058</v>
      </c>
      <c r="E205" s="3286" t="s">
        <v>2791</v>
      </c>
      <c r="F205" s="3286" t="s">
        <v>3631</v>
      </c>
      <c r="G205" s="3286" t="s">
        <v>3059</v>
      </c>
      <c r="H205" s="3286" t="s">
        <v>3632</v>
      </c>
      <c r="I205" s="3286" t="s">
        <v>3493</v>
      </c>
      <c r="J205" s="3286">
        <v>9684.51</v>
      </c>
      <c r="K205" s="3286">
        <v>19369.02</v>
      </c>
      <c r="L205" s="3286" t="s">
        <v>3439</v>
      </c>
      <c r="M205" s="3286" t="s">
        <v>2791</v>
      </c>
      <c r="N205" s="3286" t="s">
        <v>3061</v>
      </c>
      <c r="O205" s="3286" t="s">
        <v>3080</v>
      </c>
      <c r="P205" s="3286" t="s">
        <v>2791</v>
      </c>
      <c r="Q205" s="3286" t="s">
        <v>2791</v>
      </c>
      <c r="R205" s="3286" t="s">
        <v>2791</v>
      </c>
      <c r="S205" s="3286" t="s">
        <v>2791</v>
      </c>
      <c r="T205" s="3286" t="s">
        <v>2791</v>
      </c>
      <c r="U205" s="3286" t="s">
        <v>2791</v>
      </c>
      <c r="V205" s="3286" t="s">
        <v>2791</v>
      </c>
      <c r="W205" s="3286" t="s">
        <v>3263</v>
      </c>
      <c r="X205" s="3286" t="s">
        <v>3633</v>
      </c>
      <c r="Y205" s="3286" t="s">
        <v>3634</v>
      </c>
      <c r="Z205" s="3286" t="s">
        <v>3634</v>
      </c>
      <c r="AA205" s="3286" t="s">
        <v>3634</v>
      </c>
      <c r="AB205" s="3286" t="s">
        <v>3635</v>
      </c>
      <c r="AC205" s="3286" t="s">
        <v>3088</v>
      </c>
      <c r="AD205" s="3286" t="s">
        <v>3636</v>
      </c>
      <c r="AE205" s="3286">
        <v>3000</v>
      </c>
      <c r="AF205" s="3286">
        <v>3000</v>
      </c>
      <c r="AG205" s="3286">
        <v>7300</v>
      </c>
      <c r="AH205" s="3286">
        <v>206.52</v>
      </c>
      <c r="AI205" s="3286">
        <v>502.52</v>
      </c>
      <c r="AJ205" s="3286">
        <v>1548.86</v>
      </c>
      <c r="AK205" s="3286">
        <v>3768.9</v>
      </c>
      <c r="AL205" s="3286" t="s">
        <v>2791</v>
      </c>
      <c r="AM205" s="3286" t="s">
        <v>2791</v>
      </c>
      <c r="AN205" s="3286">
        <v>143.33000000000001</v>
      </c>
      <c r="AO205" s="3286" t="s">
        <v>3063</v>
      </c>
      <c r="AP205" s="3286" t="s">
        <v>2791</v>
      </c>
      <c r="AQ205" s="3286" t="s">
        <v>2791</v>
      </c>
      <c r="AR205" s="3286" t="s">
        <v>2791</v>
      </c>
      <c r="AS205" s="3286" t="s">
        <v>3081</v>
      </c>
    </row>
    <row r="206" spans="1:45" s="3278" customFormat="1" hidden="1">
      <c r="A206" s="3277" t="s">
        <v>3311</v>
      </c>
      <c r="B206" s="3277" t="s">
        <v>3056</v>
      </c>
      <c r="C206" s="3277" t="s">
        <v>3057</v>
      </c>
      <c r="D206" s="3277" t="s">
        <v>3058</v>
      </c>
      <c r="E206" s="3277" t="s">
        <v>2791</v>
      </c>
      <c r="F206" s="3277" t="s">
        <v>3311</v>
      </c>
      <c r="G206" s="3277" t="s">
        <v>3059</v>
      </c>
      <c r="H206" s="3277" t="s">
        <v>3637</v>
      </c>
      <c r="I206" s="3277" t="s">
        <v>3493</v>
      </c>
      <c r="J206" s="3277">
        <v>69969.009999999995</v>
      </c>
      <c r="K206" s="3277">
        <v>69969.009999999995</v>
      </c>
      <c r="L206" s="3277" t="s">
        <v>3363</v>
      </c>
      <c r="M206" s="3277" t="s">
        <v>2791</v>
      </c>
      <c r="N206" s="3277" t="s">
        <v>3068</v>
      </c>
      <c r="O206" s="3277" t="s">
        <v>3638</v>
      </c>
      <c r="P206" s="3277" t="s">
        <v>2791</v>
      </c>
      <c r="Q206" s="3277" t="s">
        <v>2791</v>
      </c>
      <c r="R206" s="3277" t="s">
        <v>2791</v>
      </c>
      <c r="S206" s="3277" t="s">
        <v>2791</v>
      </c>
      <c r="T206" s="3277" t="s">
        <v>2791</v>
      </c>
      <c r="U206" s="3277" t="s">
        <v>2791</v>
      </c>
      <c r="V206" s="3277" t="s">
        <v>2791</v>
      </c>
      <c r="W206" s="3277" t="s">
        <v>3263</v>
      </c>
      <c r="X206" s="3277" t="s">
        <v>3630</v>
      </c>
      <c r="Y206" s="3277" t="s">
        <v>3639</v>
      </c>
      <c r="Z206" s="3277" t="s">
        <v>3639</v>
      </c>
      <c r="AA206" s="3277" t="s">
        <v>3639</v>
      </c>
      <c r="AB206" s="3277" t="s">
        <v>3640</v>
      </c>
      <c r="AC206" s="3277" t="s">
        <v>3088</v>
      </c>
      <c r="AD206" s="3277" t="s">
        <v>3104</v>
      </c>
      <c r="AE206" s="3277">
        <v>14000</v>
      </c>
      <c r="AF206" s="3277">
        <v>14000</v>
      </c>
      <c r="AG206" s="3277">
        <v>14000</v>
      </c>
      <c r="AH206" s="3277">
        <v>133.38999999999999</v>
      </c>
      <c r="AI206" s="3277">
        <v>133.38999999999999</v>
      </c>
      <c r="AJ206" s="3277">
        <v>2000.88</v>
      </c>
      <c r="AK206" s="3277">
        <v>2000.89</v>
      </c>
      <c r="AL206" s="3277" t="s">
        <v>2791</v>
      </c>
      <c r="AM206" s="3277" t="s">
        <v>2791</v>
      </c>
      <c r="AN206" s="3277">
        <v>0</v>
      </c>
      <c r="AO206" s="3277" t="s">
        <v>3063</v>
      </c>
      <c r="AP206" s="3277" t="s">
        <v>2791</v>
      </c>
      <c r="AQ206" s="3277" t="s">
        <v>2791</v>
      </c>
      <c r="AR206" s="3277" t="s">
        <v>2791</v>
      </c>
      <c r="AS206" s="3277" t="s">
        <v>3082</v>
      </c>
    </row>
    <row r="207" spans="1:45" s="3278" customFormat="1" hidden="1">
      <c r="A207" s="3277" t="s">
        <v>3311</v>
      </c>
      <c r="B207" s="3277" t="s">
        <v>3056</v>
      </c>
      <c r="C207" s="3277" t="s">
        <v>3057</v>
      </c>
      <c r="D207" s="3277" t="s">
        <v>3058</v>
      </c>
      <c r="E207" s="3277" t="s">
        <v>2791</v>
      </c>
      <c r="F207" s="3277" t="s">
        <v>3311</v>
      </c>
      <c r="G207" s="3277" t="s">
        <v>3059</v>
      </c>
      <c r="H207" s="3277" t="s">
        <v>3641</v>
      </c>
      <c r="I207" s="3277" t="s">
        <v>3493</v>
      </c>
      <c r="J207" s="3277">
        <v>69673.119999999995</v>
      </c>
      <c r="K207" s="3277">
        <v>69673.119999999995</v>
      </c>
      <c r="L207" s="3277" t="s">
        <v>3363</v>
      </c>
      <c r="M207" s="3277" t="s">
        <v>2791</v>
      </c>
      <c r="N207" s="3277" t="s">
        <v>3068</v>
      </c>
      <c r="O207" s="3277" t="s">
        <v>3638</v>
      </c>
      <c r="P207" s="3277" t="s">
        <v>2791</v>
      </c>
      <c r="Q207" s="3277" t="s">
        <v>2791</v>
      </c>
      <c r="R207" s="3277" t="s">
        <v>2791</v>
      </c>
      <c r="S207" s="3277" t="s">
        <v>2791</v>
      </c>
      <c r="T207" s="3277" t="s">
        <v>2791</v>
      </c>
      <c r="U207" s="3277" t="s">
        <v>2791</v>
      </c>
      <c r="V207" s="3277" t="s">
        <v>2791</v>
      </c>
      <c r="W207" s="3277" t="s">
        <v>3263</v>
      </c>
      <c r="X207" s="3277" t="s">
        <v>3630</v>
      </c>
      <c r="Y207" s="3277" t="s">
        <v>3639</v>
      </c>
      <c r="Z207" s="3277" t="s">
        <v>3639</v>
      </c>
      <c r="AA207" s="3277" t="s">
        <v>3639</v>
      </c>
      <c r="AB207" s="3277" t="s">
        <v>3640</v>
      </c>
      <c r="AC207" s="3277" t="s">
        <v>3088</v>
      </c>
      <c r="AD207" s="3277" t="s">
        <v>3104</v>
      </c>
      <c r="AE207" s="3277">
        <v>14000</v>
      </c>
      <c r="AF207" s="3277">
        <v>14000</v>
      </c>
      <c r="AG207" s="3277">
        <v>14000</v>
      </c>
      <c r="AH207" s="3277">
        <v>133.96</v>
      </c>
      <c r="AI207" s="3277">
        <v>133.96</v>
      </c>
      <c r="AJ207" s="3277">
        <v>2009.38</v>
      </c>
      <c r="AK207" s="3277">
        <v>2009.38</v>
      </c>
      <c r="AL207" s="3277" t="s">
        <v>2791</v>
      </c>
      <c r="AM207" s="3277" t="s">
        <v>2791</v>
      </c>
      <c r="AN207" s="3277">
        <v>0</v>
      </c>
      <c r="AO207" s="3277" t="s">
        <v>3063</v>
      </c>
      <c r="AP207" s="3277" t="s">
        <v>2791</v>
      </c>
      <c r="AQ207" s="3277" t="s">
        <v>2791</v>
      </c>
      <c r="AR207" s="3277" t="s">
        <v>2791</v>
      </c>
      <c r="AS207" s="3277" t="s">
        <v>3082</v>
      </c>
    </row>
    <row r="208" spans="1:45" s="3278" customFormat="1" hidden="1">
      <c r="A208" s="3277" t="s">
        <v>3311</v>
      </c>
      <c r="B208" s="3277" t="s">
        <v>3056</v>
      </c>
      <c r="C208" s="3277" t="s">
        <v>3057</v>
      </c>
      <c r="D208" s="3277" t="s">
        <v>3058</v>
      </c>
      <c r="E208" s="3277" t="s">
        <v>2791</v>
      </c>
      <c r="F208" s="3277" t="s">
        <v>3311</v>
      </c>
      <c r="G208" s="3277" t="s">
        <v>3059</v>
      </c>
      <c r="H208" s="3277" t="s">
        <v>3642</v>
      </c>
      <c r="I208" s="3277" t="s">
        <v>3493</v>
      </c>
      <c r="J208" s="3277">
        <v>69965.649999999994</v>
      </c>
      <c r="K208" s="3277">
        <v>69965.649999999994</v>
      </c>
      <c r="L208" s="3277" t="s">
        <v>3363</v>
      </c>
      <c r="M208" s="3277" t="s">
        <v>2791</v>
      </c>
      <c r="N208" s="3277" t="s">
        <v>3068</v>
      </c>
      <c r="O208" s="3277" t="s">
        <v>3638</v>
      </c>
      <c r="P208" s="3277" t="s">
        <v>2791</v>
      </c>
      <c r="Q208" s="3277" t="s">
        <v>2791</v>
      </c>
      <c r="R208" s="3277" t="s">
        <v>2791</v>
      </c>
      <c r="S208" s="3277" t="s">
        <v>2791</v>
      </c>
      <c r="T208" s="3277" t="s">
        <v>2791</v>
      </c>
      <c r="U208" s="3277" t="s">
        <v>2791</v>
      </c>
      <c r="V208" s="3277" t="s">
        <v>2791</v>
      </c>
      <c r="W208" s="3277" t="s">
        <v>3263</v>
      </c>
      <c r="X208" s="3277" t="s">
        <v>3630</v>
      </c>
      <c r="Y208" s="3277" t="s">
        <v>3639</v>
      </c>
      <c r="Z208" s="3277" t="s">
        <v>3639</v>
      </c>
      <c r="AA208" s="3277" t="s">
        <v>3639</v>
      </c>
      <c r="AB208" s="3277" t="s">
        <v>3640</v>
      </c>
      <c r="AC208" s="3277" t="s">
        <v>3088</v>
      </c>
      <c r="AD208" s="3277" t="s">
        <v>3104</v>
      </c>
      <c r="AE208" s="3277">
        <v>14000</v>
      </c>
      <c r="AF208" s="3277">
        <v>14000</v>
      </c>
      <c r="AG208" s="3277">
        <v>14000</v>
      </c>
      <c r="AH208" s="3277">
        <v>133.4</v>
      </c>
      <c r="AI208" s="3277">
        <v>133.4</v>
      </c>
      <c r="AJ208" s="3277">
        <v>2000.98</v>
      </c>
      <c r="AK208" s="3277">
        <v>2000.98</v>
      </c>
      <c r="AL208" s="3277" t="s">
        <v>2791</v>
      </c>
      <c r="AM208" s="3277" t="s">
        <v>2791</v>
      </c>
      <c r="AN208" s="3277">
        <v>0</v>
      </c>
      <c r="AO208" s="3277" t="s">
        <v>3063</v>
      </c>
      <c r="AP208" s="3277" t="s">
        <v>2791</v>
      </c>
      <c r="AQ208" s="3277" t="s">
        <v>2791</v>
      </c>
      <c r="AR208" s="3277" t="s">
        <v>2791</v>
      </c>
      <c r="AS208" s="3277" t="s">
        <v>3082</v>
      </c>
    </row>
    <row r="209" spans="1:45" s="3278" customFormat="1" hidden="1">
      <c r="A209" s="3277" t="s">
        <v>3644</v>
      </c>
      <c r="B209" s="3277" t="s">
        <v>3056</v>
      </c>
      <c r="C209" s="3277" t="s">
        <v>3057</v>
      </c>
      <c r="D209" s="3277" t="s">
        <v>3058</v>
      </c>
      <c r="E209" s="3277" t="s">
        <v>2791</v>
      </c>
      <c r="F209" s="3277" t="s">
        <v>3644</v>
      </c>
      <c r="G209" s="3277" t="s">
        <v>3059</v>
      </c>
      <c r="H209" s="3277" t="s">
        <v>3645</v>
      </c>
      <c r="I209" s="3277" t="s">
        <v>3493</v>
      </c>
      <c r="J209" s="3277">
        <v>34043.5</v>
      </c>
      <c r="K209" s="3277">
        <v>51065.25</v>
      </c>
      <c r="L209" s="3277" t="s">
        <v>3646</v>
      </c>
      <c r="M209" s="3277" t="s">
        <v>2791</v>
      </c>
      <c r="N209" s="3277" t="s">
        <v>3470</v>
      </c>
      <c r="O209" s="3277" t="s">
        <v>3477</v>
      </c>
      <c r="P209" s="3277" t="s">
        <v>2791</v>
      </c>
      <c r="Q209" s="3277" t="s">
        <v>2791</v>
      </c>
      <c r="R209" s="3277" t="s">
        <v>2791</v>
      </c>
      <c r="S209" s="3277" t="s">
        <v>2791</v>
      </c>
      <c r="T209" s="3277" t="s">
        <v>2791</v>
      </c>
      <c r="U209" s="3277" t="s">
        <v>2791</v>
      </c>
      <c r="V209" s="3277" t="s">
        <v>2791</v>
      </c>
      <c r="W209" s="3277" t="s">
        <v>3263</v>
      </c>
      <c r="X209" s="3277" t="s">
        <v>3647</v>
      </c>
      <c r="Y209" s="3277" t="s">
        <v>3648</v>
      </c>
      <c r="Z209" s="3277" t="s">
        <v>3648</v>
      </c>
      <c r="AA209" s="3277" t="s">
        <v>3648</v>
      </c>
      <c r="AB209" s="3277" t="s">
        <v>3649</v>
      </c>
      <c r="AC209" s="3277" t="s">
        <v>3088</v>
      </c>
      <c r="AD209" s="3277" t="s">
        <v>3650</v>
      </c>
      <c r="AE209" s="3277">
        <v>19600</v>
      </c>
      <c r="AF209" s="3277">
        <v>19600</v>
      </c>
      <c r="AG209" s="3277">
        <v>26000</v>
      </c>
      <c r="AH209" s="3277">
        <v>383.82</v>
      </c>
      <c r="AI209" s="3277">
        <v>509.15</v>
      </c>
      <c r="AJ209" s="3277">
        <v>3838.22</v>
      </c>
      <c r="AK209" s="3277">
        <v>5091.5200000000004</v>
      </c>
      <c r="AL209" s="3277" t="s">
        <v>2791</v>
      </c>
      <c r="AM209" s="3277" t="s">
        <v>2791</v>
      </c>
      <c r="AN209" s="3277">
        <v>32.65</v>
      </c>
      <c r="AO209" s="3277" t="s">
        <v>3063</v>
      </c>
      <c r="AP209" s="3277" t="s">
        <v>2791</v>
      </c>
      <c r="AQ209" s="3277" t="s">
        <v>2791</v>
      </c>
      <c r="AR209" s="3277" t="s">
        <v>2791</v>
      </c>
      <c r="AS209" s="3277" t="s">
        <v>3082</v>
      </c>
    </row>
    <row r="210" spans="1:45" s="3278" customFormat="1" hidden="1">
      <c r="A210" s="3277" t="s">
        <v>3644</v>
      </c>
      <c r="B210" s="3277" t="s">
        <v>3056</v>
      </c>
      <c r="C210" s="3277" t="s">
        <v>3057</v>
      </c>
      <c r="D210" s="3277" t="s">
        <v>3058</v>
      </c>
      <c r="E210" s="3277" t="s">
        <v>2791</v>
      </c>
      <c r="F210" s="3277" t="s">
        <v>3644</v>
      </c>
      <c r="G210" s="3277" t="s">
        <v>3059</v>
      </c>
      <c r="H210" s="3277" t="s">
        <v>3651</v>
      </c>
      <c r="I210" s="3277" t="s">
        <v>3493</v>
      </c>
      <c r="J210" s="3277">
        <v>50409.04</v>
      </c>
      <c r="K210" s="3277">
        <v>75613.56</v>
      </c>
      <c r="L210" s="3277" t="s">
        <v>3646</v>
      </c>
      <c r="M210" s="3277" t="s">
        <v>2791</v>
      </c>
      <c r="N210" s="3277" t="s">
        <v>3470</v>
      </c>
      <c r="O210" s="3277" t="s">
        <v>3477</v>
      </c>
      <c r="P210" s="3277" t="s">
        <v>2791</v>
      </c>
      <c r="Q210" s="3277" t="s">
        <v>2791</v>
      </c>
      <c r="R210" s="3277" t="s">
        <v>2791</v>
      </c>
      <c r="S210" s="3277" t="s">
        <v>2791</v>
      </c>
      <c r="T210" s="3277" t="s">
        <v>2791</v>
      </c>
      <c r="U210" s="3277" t="s">
        <v>2791</v>
      </c>
      <c r="V210" s="3277" t="s">
        <v>2791</v>
      </c>
      <c r="W210" s="3277" t="s">
        <v>3263</v>
      </c>
      <c r="X210" s="3277" t="s">
        <v>3647</v>
      </c>
      <c r="Y210" s="3277" t="s">
        <v>3648</v>
      </c>
      <c r="Z210" s="3277" t="s">
        <v>3648</v>
      </c>
      <c r="AA210" s="3277" t="s">
        <v>3648</v>
      </c>
      <c r="AB210" s="3277" t="s">
        <v>3649</v>
      </c>
      <c r="AC210" s="3277" t="s">
        <v>3088</v>
      </c>
      <c r="AD210" s="3277" t="s">
        <v>3650</v>
      </c>
      <c r="AE210" s="3277">
        <v>29000</v>
      </c>
      <c r="AF210" s="3277">
        <v>29000</v>
      </c>
      <c r="AG210" s="3277">
        <v>38200</v>
      </c>
      <c r="AH210" s="3277">
        <v>383.53</v>
      </c>
      <c r="AI210" s="3277">
        <v>505.2</v>
      </c>
      <c r="AJ210" s="3277">
        <v>3835.29</v>
      </c>
      <c r="AK210" s="3277">
        <v>5052</v>
      </c>
      <c r="AL210" s="3277" t="s">
        <v>2791</v>
      </c>
      <c r="AM210" s="3277" t="s">
        <v>2791</v>
      </c>
      <c r="AN210" s="3277">
        <v>31.72</v>
      </c>
      <c r="AO210" s="3277" t="s">
        <v>3063</v>
      </c>
      <c r="AP210" s="3277" t="s">
        <v>2791</v>
      </c>
      <c r="AQ210" s="3277" t="s">
        <v>2791</v>
      </c>
      <c r="AR210" s="3277" t="s">
        <v>2791</v>
      </c>
      <c r="AS210" s="3277" t="s">
        <v>3082</v>
      </c>
    </row>
    <row r="211" spans="1:45" s="3278" customFormat="1" hidden="1">
      <c r="A211" s="3277" t="s">
        <v>3652</v>
      </c>
      <c r="B211" s="3277" t="s">
        <v>3056</v>
      </c>
      <c r="C211" s="3277" t="s">
        <v>3057</v>
      </c>
      <c r="D211" s="3277" t="s">
        <v>3058</v>
      </c>
      <c r="E211" s="3277" t="s">
        <v>2791</v>
      </c>
      <c r="F211" s="3277" t="s">
        <v>3652</v>
      </c>
      <c r="G211" s="3277" t="s">
        <v>3059</v>
      </c>
      <c r="H211" s="3277" t="s">
        <v>3653</v>
      </c>
      <c r="I211" s="3277" t="s">
        <v>3493</v>
      </c>
      <c r="J211" s="3277">
        <v>41112.33</v>
      </c>
      <c r="K211" s="3277">
        <v>90447.13</v>
      </c>
      <c r="L211" s="3277" t="s">
        <v>3185</v>
      </c>
      <c r="M211" s="3277" t="s">
        <v>2791</v>
      </c>
      <c r="N211" s="3277" t="s">
        <v>3470</v>
      </c>
      <c r="O211" s="3277" t="s">
        <v>3066</v>
      </c>
      <c r="P211" s="3277" t="s">
        <v>2791</v>
      </c>
      <c r="Q211" s="3277" t="s">
        <v>2791</v>
      </c>
      <c r="R211" s="3277" t="s">
        <v>2791</v>
      </c>
      <c r="S211" s="3277" t="s">
        <v>2791</v>
      </c>
      <c r="T211" s="3277" t="s">
        <v>2791</v>
      </c>
      <c r="U211" s="3277" t="s">
        <v>2791</v>
      </c>
      <c r="V211" s="3277" t="s">
        <v>2791</v>
      </c>
      <c r="W211" s="3277" t="s">
        <v>3263</v>
      </c>
      <c r="X211" s="3277" t="s">
        <v>3654</v>
      </c>
      <c r="Y211" s="3277" t="s">
        <v>3655</v>
      </c>
      <c r="Z211" s="3277" t="s">
        <v>3655</v>
      </c>
      <c r="AA211" s="3277" t="s">
        <v>3655</v>
      </c>
      <c r="AB211" s="3277" t="s">
        <v>3656</v>
      </c>
      <c r="AC211" s="3277" t="s">
        <v>3088</v>
      </c>
      <c r="AD211" s="3277" t="s">
        <v>3657</v>
      </c>
      <c r="AE211" s="3277">
        <v>29000</v>
      </c>
      <c r="AF211" s="3277">
        <v>29000</v>
      </c>
      <c r="AG211" s="3277">
        <v>41800</v>
      </c>
      <c r="AH211" s="3277">
        <v>470.26</v>
      </c>
      <c r="AI211" s="3277">
        <v>677.82</v>
      </c>
      <c r="AJ211" s="3277">
        <v>3206.29</v>
      </c>
      <c r="AK211" s="3277">
        <v>4621.47</v>
      </c>
      <c r="AL211" s="3277" t="s">
        <v>2791</v>
      </c>
      <c r="AM211" s="3277" t="s">
        <v>2791</v>
      </c>
      <c r="AN211" s="3277">
        <v>44.14</v>
      </c>
      <c r="AO211" s="3277" t="s">
        <v>3063</v>
      </c>
      <c r="AP211" s="3277" t="s">
        <v>2791</v>
      </c>
      <c r="AQ211" s="3277" t="s">
        <v>2791</v>
      </c>
      <c r="AR211" s="3277" t="s">
        <v>2791</v>
      </c>
      <c r="AS211" s="3277" t="s">
        <v>3129</v>
      </c>
    </row>
    <row r="212" spans="1:45" s="3278" customFormat="1" hidden="1">
      <c r="A212" s="3277" t="s">
        <v>3652</v>
      </c>
      <c r="B212" s="3277" t="s">
        <v>3056</v>
      </c>
      <c r="C212" s="3277" t="s">
        <v>3057</v>
      </c>
      <c r="D212" s="3277" t="s">
        <v>3058</v>
      </c>
      <c r="E212" s="3277" t="s">
        <v>2791</v>
      </c>
      <c r="F212" s="3277" t="s">
        <v>3652</v>
      </c>
      <c r="G212" s="3277" t="s">
        <v>3059</v>
      </c>
      <c r="H212" s="3277" t="s">
        <v>3658</v>
      </c>
      <c r="I212" s="3277" t="s">
        <v>3493</v>
      </c>
      <c r="J212" s="3277">
        <v>41940</v>
      </c>
      <c r="K212" s="3277">
        <v>62910</v>
      </c>
      <c r="L212" s="3277" t="s">
        <v>3646</v>
      </c>
      <c r="M212" s="3277" t="s">
        <v>2791</v>
      </c>
      <c r="N212" s="3277" t="s">
        <v>3481</v>
      </c>
      <c r="O212" s="3277" t="s">
        <v>3659</v>
      </c>
      <c r="P212" s="3277" t="s">
        <v>2791</v>
      </c>
      <c r="Q212" s="3277" t="s">
        <v>2791</v>
      </c>
      <c r="R212" s="3277" t="s">
        <v>2791</v>
      </c>
      <c r="S212" s="3277" t="s">
        <v>2791</v>
      </c>
      <c r="T212" s="3277" t="s">
        <v>2791</v>
      </c>
      <c r="U212" s="3277" t="s">
        <v>2791</v>
      </c>
      <c r="V212" s="3277" t="s">
        <v>2791</v>
      </c>
      <c r="W212" s="3277" t="s">
        <v>3263</v>
      </c>
      <c r="X212" s="3277" t="s">
        <v>3654</v>
      </c>
      <c r="Y212" s="3277" t="s">
        <v>3655</v>
      </c>
      <c r="Z212" s="3277" t="s">
        <v>3655</v>
      </c>
      <c r="AA212" s="3277" t="s">
        <v>3655</v>
      </c>
      <c r="AB212" s="3277" t="s">
        <v>3656</v>
      </c>
      <c r="AC212" s="3277" t="s">
        <v>3088</v>
      </c>
      <c r="AD212" s="3277" t="s">
        <v>3660</v>
      </c>
      <c r="AE212" s="3277">
        <v>24000</v>
      </c>
      <c r="AF212" s="3277">
        <v>24000</v>
      </c>
      <c r="AG212" s="3277">
        <v>26800</v>
      </c>
      <c r="AH212" s="3277">
        <v>381.5</v>
      </c>
      <c r="AI212" s="3277">
        <v>426.01</v>
      </c>
      <c r="AJ212" s="3277">
        <v>3814.97</v>
      </c>
      <c r="AK212" s="3277">
        <v>4260.05</v>
      </c>
      <c r="AL212" s="3277" t="s">
        <v>2791</v>
      </c>
      <c r="AM212" s="3277" t="s">
        <v>2791</v>
      </c>
      <c r="AN212" s="3277">
        <v>11.67</v>
      </c>
      <c r="AO212" s="3277" t="s">
        <v>3063</v>
      </c>
      <c r="AP212" s="3277" t="s">
        <v>2791</v>
      </c>
      <c r="AQ212" s="3277" t="s">
        <v>2791</v>
      </c>
      <c r="AR212" s="3277" t="s">
        <v>2791</v>
      </c>
      <c r="AS212" s="3277" t="s">
        <v>3081</v>
      </c>
    </row>
    <row r="213" spans="1:45" s="3278" customFormat="1" hidden="1">
      <c r="A213" s="3277" t="s">
        <v>3652</v>
      </c>
      <c r="B213" s="3277" t="s">
        <v>3056</v>
      </c>
      <c r="C213" s="3277" t="s">
        <v>3057</v>
      </c>
      <c r="D213" s="3277" t="s">
        <v>3058</v>
      </c>
      <c r="E213" s="3277" t="s">
        <v>2791</v>
      </c>
      <c r="F213" s="3277" t="s">
        <v>3652</v>
      </c>
      <c r="G213" s="3277" t="s">
        <v>3059</v>
      </c>
      <c r="H213" s="3277" t="s">
        <v>3661</v>
      </c>
      <c r="I213" s="3277" t="s">
        <v>3493</v>
      </c>
      <c r="J213" s="3277">
        <v>38383.82</v>
      </c>
      <c r="K213" s="3277">
        <v>95959.55</v>
      </c>
      <c r="L213" s="3277" t="s">
        <v>3221</v>
      </c>
      <c r="M213" s="3277" t="s">
        <v>2791</v>
      </c>
      <c r="N213" s="3277" t="s">
        <v>3470</v>
      </c>
      <c r="O213" s="3277" t="s">
        <v>3662</v>
      </c>
      <c r="P213" s="3277" t="s">
        <v>2791</v>
      </c>
      <c r="Q213" s="3277" t="s">
        <v>2791</v>
      </c>
      <c r="R213" s="3277" t="s">
        <v>2791</v>
      </c>
      <c r="S213" s="3277" t="s">
        <v>2791</v>
      </c>
      <c r="T213" s="3277" t="s">
        <v>2791</v>
      </c>
      <c r="U213" s="3277" t="s">
        <v>2791</v>
      </c>
      <c r="V213" s="3277" t="s">
        <v>2791</v>
      </c>
      <c r="W213" s="3277" t="s">
        <v>3263</v>
      </c>
      <c r="X213" s="3277" t="s">
        <v>3654</v>
      </c>
      <c r="Y213" s="3277" t="s">
        <v>3655</v>
      </c>
      <c r="Z213" s="3277" t="s">
        <v>3655</v>
      </c>
      <c r="AA213" s="3277" t="s">
        <v>3655</v>
      </c>
      <c r="AB213" s="3277" t="s">
        <v>3656</v>
      </c>
      <c r="AC213" s="3277" t="s">
        <v>3088</v>
      </c>
      <c r="AD213" s="3277" t="s">
        <v>3663</v>
      </c>
      <c r="AE213" s="3277">
        <v>30000</v>
      </c>
      <c r="AF213" s="3277">
        <v>30000</v>
      </c>
      <c r="AG213" s="3277">
        <v>44800</v>
      </c>
      <c r="AH213" s="3277">
        <v>521.04999999999995</v>
      </c>
      <c r="AI213" s="3277">
        <v>778.11</v>
      </c>
      <c r="AJ213" s="3277">
        <v>3126.31</v>
      </c>
      <c r="AK213" s="3277">
        <v>4668.63</v>
      </c>
      <c r="AL213" s="3277" t="s">
        <v>2791</v>
      </c>
      <c r="AM213" s="3277" t="s">
        <v>2791</v>
      </c>
      <c r="AN213" s="3277">
        <v>49.33</v>
      </c>
      <c r="AO213" s="3277" t="s">
        <v>3063</v>
      </c>
      <c r="AP213" s="3277" t="s">
        <v>2791</v>
      </c>
      <c r="AQ213" s="3277" t="s">
        <v>2791</v>
      </c>
      <c r="AR213" s="3277" t="s">
        <v>2791</v>
      </c>
      <c r="AS213" s="3277" t="s">
        <v>3081</v>
      </c>
    </row>
    <row r="214" spans="1:45" s="3278" customFormat="1" hidden="1">
      <c r="A214" s="3277" t="s">
        <v>3555</v>
      </c>
      <c r="B214" s="3277" t="s">
        <v>3056</v>
      </c>
      <c r="C214" s="3277" t="s">
        <v>3057</v>
      </c>
      <c r="D214" s="3277" t="s">
        <v>3058</v>
      </c>
      <c r="E214" s="3277" t="s">
        <v>2791</v>
      </c>
      <c r="F214" s="3277" t="s">
        <v>3555</v>
      </c>
      <c r="G214" s="3277" t="s">
        <v>3059</v>
      </c>
      <c r="H214" s="3277" t="s">
        <v>3664</v>
      </c>
      <c r="I214" s="3277" t="s">
        <v>3493</v>
      </c>
      <c r="J214" s="3277">
        <v>43660.87</v>
      </c>
      <c r="K214" s="3277">
        <v>109152.2</v>
      </c>
      <c r="L214" s="3277" t="s">
        <v>3221</v>
      </c>
      <c r="M214" s="3277" t="s">
        <v>2791</v>
      </c>
      <c r="N214" s="3277" t="s">
        <v>3553</v>
      </c>
      <c r="O214" s="3277" t="s">
        <v>3665</v>
      </c>
      <c r="P214" s="3277" t="s">
        <v>2791</v>
      </c>
      <c r="Q214" s="3277" t="s">
        <v>2791</v>
      </c>
      <c r="R214" s="3277" t="s">
        <v>2791</v>
      </c>
      <c r="S214" s="3277" t="s">
        <v>2791</v>
      </c>
      <c r="T214" s="3277" t="s">
        <v>2791</v>
      </c>
      <c r="U214" s="3277" t="s">
        <v>2791</v>
      </c>
      <c r="V214" s="3277" t="s">
        <v>2791</v>
      </c>
      <c r="W214" s="3277" t="s">
        <v>3263</v>
      </c>
      <c r="X214" s="3277" t="s">
        <v>3654</v>
      </c>
      <c r="Y214" s="3277" t="s">
        <v>3655</v>
      </c>
      <c r="Z214" s="3277" t="s">
        <v>3655</v>
      </c>
      <c r="AA214" s="3277" t="s">
        <v>3655</v>
      </c>
      <c r="AB214" s="3277" t="s">
        <v>3656</v>
      </c>
      <c r="AC214" s="3277" t="s">
        <v>3088</v>
      </c>
      <c r="AD214" s="3277" t="s">
        <v>3666</v>
      </c>
      <c r="AE214" s="3277">
        <v>37380</v>
      </c>
      <c r="AF214" s="3277">
        <v>37380</v>
      </c>
      <c r="AG214" s="3277">
        <v>37380</v>
      </c>
      <c r="AH214" s="3277">
        <v>570.76</v>
      </c>
      <c r="AI214" s="3277">
        <v>570.76</v>
      </c>
      <c r="AJ214" s="3277">
        <v>3424.57</v>
      </c>
      <c r="AK214" s="3277">
        <v>3424.57</v>
      </c>
      <c r="AL214" s="3277" t="s">
        <v>2791</v>
      </c>
      <c r="AM214" s="3277" t="s">
        <v>2791</v>
      </c>
      <c r="AN214" s="3277">
        <v>0</v>
      </c>
      <c r="AO214" s="3277" t="s">
        <v>3063</v>
      </c>
      <c r="AP214" s="3277" t="s">
        <v>2791</v>
      </c>
      <c r="AQ214" s="3277" t="s">
        <v>2791</v>
      </c>
      <c r="AR214" s="3277" t="s">
        <v>2791</v>
      </c>
      <c r="AS214" s="3277" t="s">
        <v>3129</v>
      </c>
    </row>
    <row r="215" spans="1:45" s="3278" customFormat="1" hidden="1">
      <c r="A215" s="3277" t="s">
        <v>3652</v>
      </c>
      <c r="B215" s="3277" t="s">
        <v>3056</v>
      </c>
      <c r="C215" s="3277" t="s">
        <v>3057</v>
      </c>
      <c r="D215" s="3277" t="s">
        <v>3058</v>
      </c>
      <c r="E215" s="3277" t="s">
        <v>2791</v>
      </c>
      <c r="F215" s="3277" t="s">
        <v>3652</v>
      </c>
      <c r="G215" s="3277" t="s">
        <v>3059</v>
      </c>
      <c r="H215" s="3277" t="s">
        <v>3667</v>
      </c>
      <c r="I215" s="3277" t="s">
        <v>3493</v>
      </c>
      <c r="J215" s="3277">
        <v>42132.41</v>
      </c>
      <c r="K215" s="3277">
        <v>50558.89</v>
      </c>
      <c r="L215" s="3277" t="s">
        <v>3310</v>
      </c>
      <c r="M215" s="3277" t="s">
        <v>2791</v>
      </c>
      <c r="N215" s="3277" t="s">
        <v>3481</v>
      </c>
      <c r="O215" s="3277" t="s">
        <v>3643</v>
      </c>
      <c r="P215" s="3277" t="s">
        <v>2791</v>
      </c>
      <c r="Q215" s="3277" t="s">
        <v>2791</v>
      </c>
      <c r="R215" s="3277" t="s">
        <v>2791</v>
      </c>
      <c r="S215" s="3277" t="s">
        <v>2791</v>
      </c>
      <c r="T215" s="3277" t="s">
        <v>2791</v>
      </c>
      <c r="U215" s="3277" t="s">
        <v>2791</v>
      </c>
      <c r="V215" s="3277" t="s">
        <v>2791</v>
      </c>
      <c r="W215" s="3277" t="s">
        <v>3263</v>
      </c>
      <c r="X215" s="3277" t="s">
        <v>3654</v>
      </c>
      <c r="Y215" s="3277" t="s">
        <v>3655</v>
      </c>
      <c r="Z215" s="3277" t="s">
        <v>3655</v>
      </c>
      <c r="AA215" s="3277" t="s">
        <v>3655</v>
      </c>
      <c r="AB215" s="3277" t="s">
        <v>3656</v>
      </c>
      <c r="AC215" s="3277" t="s">
        <v>3088</v>
      </c>
      <c r="AD215" s="3277" t="s">
        <v>3668</v>
      </c>
      <c r="AE215" s="3277">
        <v>20000</v>
      </c>
      <c r="AF215" s="3277">
        <v>20000</v>
      </c>
      <c r="AG215" s="3277">
        <v>20000</v>
      </c>
      <c r="AH215" s="3277">
        <v>316.45999999999998</v>
      </c>
      <c r="AI215" s="3277">
        <v>316.45999999999998</v>
      </c>
      <c r="AJ215" s="3277">
        <v>3955.78</v>
      </c>
      <c r="AK215" s="3277">
        <v>3955.78</v>
      </c>
      <c r="AL215" s="3277" t="s">
        <v>2791</v>
      </c>
      <c r="AM215" s="3277" t="s">
        <v>2791</v>
      </c>
      <c r="AN215" s="3277">
        <v>0</v>
      </c>
      <c r="AO215" s="3277" t="s">
        <v>3063</v>
      </c>
      <c r="AP215" s="3277" t="s">
        <v>2791</v>
      </c>
      <c r="AQ215" s="3277" t="s">
        <v>2791</v>
      </c>
      <c r="AR215" s="3277" t="s">
        <v>2791</v>
      </c>
      <c r="AS215" s="3277" t="s">
        <v>3129</v>
      </c>
    </row>
    <row r="216" spans="1:45" s="3278" customFormat="1" hidden="1">
      <c r="A216" s="3277" t="s">
        <v>3652</v>
      </c>
      <c r="B216" s="3277" t="s">
        <v>3056</v>
      </c>
      <c r="C216" s="3277" t="s">
        <v>3057</v>
      </c>
      <c r="D216" s="3277" t="s">
        <v>3058</v>
      </c>
      <c r="E216" s="3277" t="s">
        <v>2791</v>
      </c>
      <c r="F216" s="3277" t="s">
        <v>3652</v>
      </c>
      <c r="G216" s="3277" t="s">
        <v>3059</v>
      </c>
      <c r="H216" s="3277" t="s">
        <v>3669</v>
      </c>
      <c r="I216" s="3277" t="s">
        <v>3493</v>
      </c>
      <c r="J216" s="3277">
        <v>57522.73</v>
      </c>
      <c r="K216" s="3277">
        <v>143806.79999999999</v>
      </c>
      <c r="L216" s="3277" t="s">
        <v>3221</v>
      </c>
      <c r="M216" s="3277" t="s">
        <v>2791</v>
      </c>
      <c r="N216" s="3277" t="s">
        <v>3470</v>
      </c>
      <c r="O216" s="3277" t="s">
        <v>3662</v>
      </c>
      <c r="P216" s="3277" t="s">
        <v>2791</v>
      </c>
      <c r="Q216" s="3277" t="s">
        <v>2791</v>
      </c>
      <c r="R216" s="3277" t="s">
        <v>2791</v>
      </c>
      <c r="S216" s="3277" t="s">
        <v>2791</v>
      </c>
      <c r="T216" s="3277" t="s">
        <v>2791</v>
      </c>
      <c r="U216" s="3277" t="s">
        <v>2791</v>
      </c>
      <c r="V216" s="3277" t="s">
        <v>2791</v>
      </c>
      <c r="W216" s="3277" t="s">
        <v>3263</v>
      </c>
      <c r="X216" s="3277" t="s">
        <v>3654</v>
      </c>
      <c r="Y216" s="3277" t="s">
        <v>3655</v>
      </c>
      <c r="Z216" s="3277" t="s">
        <v>3655</v>
      </c>
      <c r="AA216" s="3277" t="s">
        <v>3655</v>
      </c>
      <c r="AB216" s="3277" t="s">
        <v>3656</v>
      </c>
      <c r="AC216" s="3277" t="s">
        <v>3088</v>
      </c>
      <c r="AD216" s="3277" t="s">
        <v>3670</v>
      </c>
      <c r="AE216" s="3277">
        <v>44000</v>
      </c>
      <c r="AF216" s="3277">
        <v>44000</v>
      </c>
      <c r="AG216" s="3277">
        <v>64200</v>
      </c>
      <c r="AH216" s="3277">
        <v>509.94</v>
      </c>
      <c r="AI216" s="3277">
        <v>744.05</v>
      </c>
      <c r="AJ216" s="3277">
        <v>3059.66</v>
      </c>
      <c r="AK216" s="3277">
        <v>4464.3100000000004</v>
      </c>
      <c r="AL216" s="3277" t="s">
        <v>2791</v>
      </c>
      <c r="AM216" s="3277" t="s">
        <v>2791</v>
      </c>
      <c r="AN216" s="3277">
        <v>45.91</v>
      </c>
      <c r="AO216" s="3277" t="s">
        <v>3063</v>
      </c>
      <c r="AP216" s="3277" t="s">
        <v>2791</v>
      </c>
      <c r="AQ216" s="3277" t="s">
        <v>2791</v>
      </c>
      <c r="AR216" s="3277" t="s">
        <v>2791</v>
      </c>
      <c r="AS216" s="3277" t="s">
        <v>3081</v>
      </c>
    </row>
    <row r="217" spans="1:45" s="3278" customFormat="1" hidden="1">
      <c r="A217" s="3277" t="s">
        <v>3652</v>
      </c>
      <c r="B217" s="3277" t="s">
        <v>3056</v>
      </c>
      <c r="C217" s="3277" t="s">
        <v>3057</v>
      </c>
      <c r="D217" s="3277" t="s">
        <v>3058</v>
      </c>
      <c r="E217" s="3277" t="s">
        <v>2791</v>
      </c>
      <c r="F217" s="3277" t="s">
        <v>3652</v>
      </c>
      <c r="G217" s="3277" t="s">
        <v>3059</v>
      </c>
      <c r="H217" s="3277" t="s">
        <v>3671</v>
      </c>
      <c r="I217" s="3277" t="s">
        <v>3493</v>
      </c>
      <c r="J217" s="3277">
        <v>52238.51</v>
      </c>
      <c r="K217" s="3277">
        <v>130596.3</v>
      </c>
      <c r="L217" s="3277" t="s">
        <v>3221</v>
      </c>
      <c r="M217" s="3277" t="s">
        <v>2791</v>
      </c>
      <c r="N217" s="3277" t="s">
        <v>3470</v>
      </c>
      <c r="O217" s="3277" t="s">
        <v>3471</v>
      </c>
      <c r="P217" s="3277" t="s">
        <v>2791</v>
      </c>
      <c r="Q217" s="3277" t="s">
        <v>2791</v>
      </c>
      <c r="R217" s="3277" t="s">
        <v>2791</v>
      </c>
      <c r="S217" s="3277" t="s">
        <v>2791</v>
      </c>
      <c r="T217" s="3277" t="s">
        <v>2791</v>
      </c>
      <c r="U217" s="3277" t="s">
        <v>2791</v>
      </c>
      <c r="V217" s="3277" t="s">
        <v>2791</v>
      </c>
      <c r="W217" s="3277" t="s">
        <v>3263</v>
      </c>
      <c r="X217" s="3277" t="s">
        <v>3654</v>
      </c>
      <c r="Y217" s="3277" t="s">
        <v>3655</v>
      </c>
      <c r="Z217" s="3277" t="s">
        <v>3655</v>
      </c>
      <c r="AA217" s="3277" t="s">
        <v>3655</v>
      </c>
      <c r="AB217" s="3277" t="s">
        <v>3656</v>
      </c>
      <c r="AC217" s="3277" t="s">
        <v>3088</v>
      </c>
      <c r="AD217" s="3277" t="s">
        <v>3672</v>
      </c>
      <c r="AE217" s="3277">
        <v>40000</v>
      </c>
      <c r="AF217" s="3277">
        <v>40000</v>
      </c>
      <c r="AG217" s="3277">
        <v>59800</v>
      </c>
      <c r="AH217" s="3277">
        <v>510.48</v>
      </c>
      <c r="AI217" s="3277">
        <v>763.17</v>
      </c>
      <c r="AJ217" s="3277">
        <v>3062.87</v>
      </c>
      <c r="AK217" s="3277">
        <v>4579</v>
      </c>
      <c r="AL217" s="3277" t="s">
        <v>2791</v>
      </c>
      <c r="AM217" s="3277" t="s">
        <v>2791</v>
      </c>
      <c r="AN217" s="3277">
        <v>49.5</v>
      </c>
      <c r="AO217" s="3277" t="s">
        <v>3063</v>
      </c>
      <c r="AP217" s="3277" t="s">
        <v>2791</v>
      </c>
      <c r="AQ217" s="3277" t="s">
        <v>2791</v>
      </c>
      <c r="AR217" s="3277" t="s">
        <v>2791</v>
      </c>
      <c r="AS217" s="3277" t="s">
        <v>3082</v>
      </c>
    </row>
    <row r="218" spans="1:45" s="3278" customFormat="1" hidden="1">
      <c r="A218" s="3277" t="s">
        <v>3652</v>
      </c>
      <c r="B218" s="3277" t="s">
        <v>3056</v>
      </c>
      <c r="C218" s="3277" t="s">
        <v>3057</v>
      </c>
      <c r="D218" s="3277" t="s">
        <v>3058</v>
      </c>
      <c r="E218" s="3277" t="s">
        <v>2791</v>
      </c>
      <c r="F218" s="3277" t="s">
        <v>3652</v>
      </c>
      <c r="G218" s="3277" t="s">
        <v>3059</v>
      </c>
      <c r="H218" s="3277" t="s">
        <v>3673</v>
      </c>
      <c r="I218" s="3277" t="s">
        <v>3493</v>
      </c>
      <c r="J218" s="3277">
        <v>49078.66</v>
      </c>
      <c r="K218" s="3277">
        <v>73617.990000000005</v>
      </c>
      <c r="L218" s="3277" t="s">
        <v>3646</v>
      </c>
      <c r="M218" s="3277" t="s">
        <v>2791</v>
      </c>
      <c r="N218" s="3277" t="s">
        <v>3481</v>
      </c>
      <c r="O218" s="3277" t="s">
        <v>3659</v>
      </c>
      <c r="P218" s="3277" t="s">
        <v>2791</v>
      </c>
      <c r="Q218" s="3277" t="s">
        <v>2791</v>
      </c>
      <c r="R218" s="3277" t="s">
        <v>2791</v>
      </c>
      <c r="S218" s="3277" t="s">
        <v>2791</v>
      </c>
      <c r="T218" s="3277" t="s">
        <v>2791</v>
      </c>
      <c r="U218" s="3277" t="s">
        <v>2791</v>
      </c>
      <c r="V218" s="3277" t="s">
        <v>2791</v>
      </c>
      <c r="W218" s="3277" t="s">
        <v>3263</v>
      </c>
      <c r="X218" s="3277" t="s">
        <v>3654</v>
      </c>
      <c r="Y218" s="3277" t="s">
        <v>3655</v>
      </c>
      <c r="Z218" s="3277" t="s">
        <v>3655</v>
      </c>
      <c r="AA218" s="3277" t="s">
        <v>3655</v>
      </c>
      <c r="AB218" s="3277" t="s">
        <v>3656</v>
      </c>
      <c r="AC218" s="3277" t="s">
        <v>3088</v>
      </c>
      <c r="AD218" s="3277" t="s">
        <v>3660</v>
      </c>
      <c r="AE218" s="3277">
        <v>28000</v>
      </c>
      <c r="AF218" s="3277">
        <v>28000</v>
      </c>
      <c r="AG218" s="3277">
        <v>28400</v>
      </c>
      <c r="AH218" s="3277">
        <v>380.34</v>
      </c>
      <c r="AI218" s="3277">
        <v>385.78</v>
      </c>
      <c r="AJ218" s="3277">
        <v>3803.41</v>
      </c>
      <c r="AK218" s="3277">
        <v>3857.75</v>
      </c>
      <c r="AL218" s="3277" t="s">
        <v>2791</v>
      </c>
      <c r="AM218" s="3277" t="s">
        <v>2791</v>
      </c>
      <c r="AN218" s="3277">
        <v>1.43</v>
      </c>
      <c r="AO218" s="3277" t="s">
        <v>3063</v>
      </c>
      <c r="AP218" s="3277" t="s">
        <v>2791</v>
      </c>
      <c r="AQ218" s="3277" t="s">
        <v>2791</v>
      </c>
      <c r="AR218" s="3277" t="s">
        <v>2791</v>
      </c>
      <c r="AS218" s="3277" t="s">
        <v>3082</v>
      </c>
    </row>
    <row r="219" spans="1:45" s="3278" customFormat="1" hidden="1">
      <c r="A219" s="3277" t="s">
        <v>3652</v>
      </c>
      <c r="B219" s="3277" t="s">
        <v>3056</v>
      </c>
      <c r="C219" s="3277" t="s">
        <v>3057</v>
      </c>
      <c r="D219" s="3277" t="s">
        <v>3058</v>
      </c>
      <c r="E219" s="3277" t="s">
        <v>2791</v>
      </c>
      <c r="F219" s="3277" t="s">
        <v>3652</v>
      </c>
      <c r="G219" s="3277" t="s">
        <v>3059</v>
      </c>
      <c r="H219" s="3277" t="s">
        <v>3674</v>
      </c>
      <c r="I219" s="3277" t="s">
        <v>3493</v>
      </c>
      <c r="J219" s="3277">
        <v>43705</v>
      </c>
      <c r="K219" s="3277">
        <v>65557.5</v>
      </c>
      <c r="L219" s="3277" t="s">
        <v>3646</v>
      </c>
      <c r="M219" s="3277" t="s">
        <v>2791</v>
      </c>
      <c r="N219" s="3277" t="s">
        <v>3481</v>
      </c>
      <c r="O219" s="3277" t="s">
        <v>3659</v>
      </c>
      <c r="P219" s="3277" t="s">
        <v>2791</v>
      </c>
      <c r="Q219" s="3277" t="s">
        <v>2791</v>
      </c>
      <c r="R219" s="3277" t="s">
        <v>2791</v>
      </c>
      <c r="S219" s="3277" t="s">
        <v>2791</v>
      </c>
      <c r="T219" s="3277" t="s">
        <v>2791</v>
      </c>
      <c r="U219" s="3277" t="s">
        <v>2791</v>
      </c>
      <c r="V219" s="3277" t="s">
        <v>2791</v>
      </c>
      <c r="W219" s="3277" t="s">
        <v>3263</v>
      </c>
      <c r="X219" s="3277" t="s">
        <v>3654</v>
      </c>
      <c r="Y219" s="3277" t="s">
        <v>3655</v>
      </c>
      <c r="Z219" s="3277" t="s">
        <v>3655</v>
      </c>
      <c r="AA219" s="3277" t="s">
        <v>3655</v>
      </c>
      <c r="AB219" s="3277" t="s">
        <v>3656</v>
      </c>
      <c r="AC219" s="3277" t="s">
        <v>3088</v>
      </c>
      <c r="AD219" s="3277" t="s">
        <v>3668</v>
      </c>
      <c r="AE219" s="3277">
        <v>25660</v>
      </c>
      <c r="AF219" s="3277">
        <v>25660</v>
      </c>
      <c r="AG219" s="3277">
        <v>34400</v>
      </c>
      <c r="AH219" s="3277">
        <v>391.41</v>
      </c>
      <c r="AI219" s="3277">
        <v>524.73</v>
      </c>
      <c r="AJ219" s="3277">
        <v>3914.12</v>
      </c>
      <c r="AK219" s="3277">
        <v>5247.3</v>
      </c>
      <c r="AL219" s="3277" t="s">
        <v>2791</v>
      </c>
      <c r="AM219" s="3277" t="s">
        <v>2791</v>
      </c>
      <c r="AN219" s="3277">
        <v>34.06</v>
      </c>
      <c r="AO219" s="3277" t="s">
        <v>3063</v>
      </c>
      <c r="AP219" s="3277" t="s">
        <v>2791</v>
      </c>
      <c r="AQ219" s="3277" t="s">
        <v>2791</v>
      </c>
      <c r="AR219" s="3277" t="s">
        <v>2791</v>
      </c>
      <c r="AS219" s="3277" t="s">
        <v>3129</v>
      </c>
    </row>
    <row r="220" spans="1:45" s="3278" customFormat="1" hidden="1">
      <c r="A220" s="3277" t="s">
        <v>3675</v>
      </c>
      <c r="B220" s="3277" t="s">
        <v>3056</v>
      </c>
      <c r="C220" s="3277" t="s">
        <v>3057</v>
      </c>
      <c r="D220" s="3277" t="s">
        <v>3058</v>
      </c>
      <c r="E220" s="3277" t="s">
        <v>2791</v>
      </c>
      <c r="F220" s="3277" t="s">
        <v>3675</v>
      </c>
      <c r="G220" s="3277" t="s">
        <v>3059</v>
      </c>
      <c r="H220" s="3277" t="s">
        <v>3676</v>
      </c>
      <c r="I220" s="3277" t="s">
        <v>3493</v>
      </c>
      <c r="J220" s="3277">
        <v>68106.95</v>
      </c>
      <c r="K220" s="3277">
        <v>149835.29</v>
      </c>
      <c r="L220" s="3277" t="s">
        <v>3185</v>
      </c>
      <c r="M220" s="3277" t="s">
        <v>2791</v>
      </c>
      <c r="N220" s="3277" t="s">
        <v>3470</v>
      </c>
      <c r="O220" s="3277" t="s">
        <v>3471</v>
      </c>
      <c r="P220" s="3277" t="s">
        <v>2791</v>
      </c>
      <c r="Q220" s="3277" t="s">
        <v>2791</v>
      </c>
      <c r="R220" s="3277" t="s">
        <v>2791</v>
      </c>
      <c r="S220" s="3277" t="s">
        <v>2791</v>
      </c>
      <c r="T220" s="3277" t="s">
        <v>2791</v>
      </c>
      <c r="U220" s="3277" t="s">
        <v>2791</v>
      </c>
      <c r="V220" s="3277" t="s">
        <v>2791</v>
      </c>
      <c r="W220" s="3277" t="s">
        <v>3263</v>
      </c>
      <c r="X220" s="3277" t="s">
        <v>3677</v>
      </c>
      <c r="Y220" s="3277" t="s">
        <v>3678</v>
      </c>
      <c r="Z220" s="3277" t="s">
        <v>3678</v>
      </c>
      <c r="AA220" s="3277" t="s">
        <v>3678</v>
      </c>
      <c r="AB220" s="3277" t="s">
        <v>3679</v>
      </c>
      <c r="AC220" s="3277" t="s">
        <v>3088</v>
      </c>
      <c r="AD220" s="3277" t="s">
        <v>3680</v>
      </c>
      <c r="AE220" s="3277">
        <v>32000</v>
      </c>
      <c r="AF220" s="3277">
        <v>32000</v>
      </c>
      <c r="AG220" s="3277">
        <v>56000</v>
      </c>
      <c r="AH220" s="3277">
        <v>313.23</v>
      </c>
      <c r="AI220" s="3277">
        <v>548.16</v>
      </c>
      <c r="AJ220" s="3277">
        <v>2135.67</v>
      </c>
      <c r="AK220" s="3277">
        <v>3737.44</v>
      </c>
      <c r="AL220" s="3277" t="s">
        <v>2791</v>
      </c>
      <c r="AM220" s="3277" t="s">
        <v>2791</v>
      </c>
      <c r="AN220" s="3277">
        <v>75</v>
      </c>
      <c r="AO220" s="3277" t="s">
        <v>3063</v>
      </c>
      <c r="AP220" s="3277" t="s">
        <v>2791</v>
      </c>
      <c r="AQ220" s="3277" t="s">
        <v>2791</v>
      </c>
      <c r="AR220" s="3277" t="s">
        <v>2791</v>
      </c>
      <c r="AS220" s="3277" t="s">
        <v>3129</v>
      </c>
    </row>
    <row r="221" spans="1:45">
      <c r="A221" s="3286" t="s">
        <v>3681</v>
      </c>
      <c r="B221" s="3286" t="s">
        <v>3056</v>
      </c>
      <c r="C221" s="3286" t="s">
        <v>3057</v>
      </c>
      <c r="D221" s="3286" t="s">
        <v>3058</v>
      </c>
      <c r="E221" s="3286" t="s">
        <v>2791</v>
      </c>
      <c r="F221" s="3286" t="s">
        <v>3681</v>
      </c>
      <c r="G221" s="3286" t="s">
        <v>3059</v>
      </c>
      <c r="H221" s="3286" t="s">
        <v>3682</v>
      </c>
      <c r="I221" s="3286" t="s">
        <v>3493</v>
      </c>
      <c r="J221" s="3286">
        <v>62792.53</v>
      </c>
      <c r="K221" s="3286">
        <v>156981.32999999999</v>
      </c>
      <c r="L221" s="3286" t="s">
        <v>3221</v>
      </c>
      <c r="M221" s="3286" t="s">
        <v>2791</v>
      </c>
      <c r="N221" s="3286" t="s">
        <v>3470</v>
      </c>
      <c r="O221" s="3286" t="s">
        <v>3471</v>
      </c>
      <c r="P221" s="3286" t="s">
        <v>2791</v>
      </c>
      <c r="Q221" s="3286" t="s">
        <v>2791</v>
      </c>
      <c r="R221" s="3286" t="s">
        <v>2791</v>
      </c>
      <c r="S221" s="3286" t="s">
        <v>2791</v>
      </c>
      <c r="T221" s="3286" t="s">
        <v>2791</v>
      </c>
      <c r="U221" s="3286" t="s">
        <v>2791</v>
      </c>
      <c r="V221" s="3286" t="s">
        <v>2791</v>
      </c>
      <c r="W221" s="3286" t="s">
        <v>3263</v>
      </c>
      <c r="X221" s="3286" t="s">
        <v>3683</v>
      </c>
      <c r="Y221" s="3286" t="s">
        <v>3684</v>
      </c>
      <c r="Z221" s="3286" t="s">
        <v>3684</v>
      </c>
      <c r="AA221" s="3286" t="s">
        <v>3684</v>
      </c>
      <c r="AB221" s="3286" t="s">
        <v>3685</v>
      </c>
      <c r="AC221" s="3286" t="s">
        <v>3088</v>
      </c>
      <c r="AD221" s="3286" t="s">
        <v>3686</v>
      </c>
      <c r="AE221" s="3286">
        <v>12245</v>
      </c>
      <c r="AF221" s="3286">
        <v>12245</v>
      </c>
      <c r="AG221" s="3286">
        <v>12245</v>
      </c>
      <c r="AH221" s="3286">
        <v>130</v>
      </c>
      <c r="AI221" s="3286">
        <v>130</v>
      </c>
      <c r="AJ221" s="3286">
        <v>780.02</v>
      </c>
      <c r="AK221" s="3286">
        <v>780.02</v>
      </c>
      <c r="AL221" s="3286" t="s">
        <v>2791</v>
      </c>
      <c r="AM221" s="3286" t="s">
        <v>2791</v>
      </c>
      <c r="AN221" s="3286">
        <v>0</v>
      </c>
      <c r="AO221" s="3286" t="s">
        <v>3063</v>
      </c>
      <c r="AP221" s="3286" t="s">
        <v>2791</v>
      </c>
      <c r="AQ221" s="3286" t="s">
        <v>2791</v>
      </c>
      <c r="AR221" s="3286" t="s">
        <v>2791</v>
      </c>
      <c r="AS221" s="3286" t="s">
        <v>3082</v>
      </c>
    </row>
    <row r="222" spans="1:45" s="3278" customFormat="1" hidden="1">
      <c r="A222" s="3277" t="s">
        <v>3371</v>
      </c>
      <c r="B222" s="3277" t="s">
        <v>3056</v>
      </c>
      <c r="C222" s="3277" t="s">
        <v>3057</v>
      </c>
      <c r="D222" s="3277" t="s">
        <v>3058</v>
      </c>
      <c r="E222" s="3277" t="s">
        <v>2791</v>
      </c>
      <c r="F222" s="3277" t="s">
        <v>3371</v>
      </c>
      <c r="G222" s="3277" t="s">
        <v>3059</v>
      </c>
      <c r="H222" s="3277" t="s">
        <v>3687</v>
      </c>
      <c r="I222" s="3277" t="s">
        <v>3493</v>
      </c>
      <c r="J222" s="3277">
        <v>42293.46</v>
      </c>
      <c r="K222" s="3277">
        <v>93045.61</v>
      </c>
      <c r="L222" s="3277" t="s">
        <v>3688</v>
      </c>
      <c r="M222" s="3277" t="s">
        <v>2791</v>
      </c>
      <c r="N222" s="3277" t="s">
        <v>3689</v>
      </c>
      <c r="O222" s="3277" t="s">
        <v>3222</v>
      </c>
      <c r="P222" s="3277" t="s">
        <v>2791</v>
      </c>
      <c r="Q222" s="3277" t="s">
        <v>2791</v>
      </c>
      <c r="R222" s="3277" t="s">
        <v>2791</v>
      </c>
      <c r="S222" s="3277" t="s">
        <v>2791</v>
      </c>
      <c r="T222" s="3277" t="s">
        <v>2791</v>
      </c>
      <c r="U222" s="3277" t="s">
        <v>2791</v>
      </c>
      <c r="V222" s="3277" t="s">
        <v>2791</v>
      </c>
      <c r="W222" s="3277" t="s">
        <v>3263</v>
      </c>
      <c r="X222" s="3277" t="s">
        <v>3683</v>
      </c>
      <c r="Y222" s="3277" t="s">
        <v>3690</v>
      </c>
      <c r="Z222" s="3277" t="s">
        <v>3690</v>
      </c>
      <c r="AA222" s="3277" t="s">
        <v>3690</v>
      </c>
      <c r="AB222" s="3277" t="s">
        <v>3691</v>
      </c>
      <c r="AC222" s="3277" t="s">
        <v>3088</v>
      </c>
      <c r="AD222" s="3277" t="s">
        <v>3666</v>
      </c>
      <c r="AE222" s="3277">
        <v>31000</v>
      </c>
      <c r="AF222" s="3277">
        <v>31000</v>
      </c>
      <c r="AG222" s="3277">
        <v>40500</v>
      </c>
      <c r="AH222" s="3277">
        <v>488.65</v>
      </c>
      <c r="AI222" s="3277">
        <v>638.4</v>
      </c>
      <c r="AJ222" s="3277">
        <v>3331.69</v>
      </c>
      <c r="AK222" s="3277">
        <v>4352.6899999999996</v>
      </c>
      <c r="AL222" s="3277" t="s">
        <v>2791</v>
      </c>
      <c r="AM222" s="3277" t="s">
        <v>2791</v>
      </c>
      <c r="AN222" s="3277">
        <v>30.65</v>
      </c>
      <c r="AO222" s="3277" t="s">
        <v>3063</v>
      </c>
      <c r="AP222" s="3277" t="s">
        <v>2791</v>
      </c>
      <c r="AQ222" s="3277" t="s">
        <v>2791</v>
      </c>
      <c r="AR222" s="3277" t="s">
        <v>2791</v>
      </c>
      <c r="AS222" s="3277" t="s">
        <v>3146</v>
      </c>
    </row>
    <row r="223" spans="1:45" s="3278" customFormat="1" hidden="1">
      <c r="A223" s="3277" t="s">
        <v>3371</v>
      </c>
      <c r="B223" s="3277" t="s">
        <v>3056</v>
      </c>
      <c r="C223" s="3277" t="s">
        <v>3057</v>
      </c>
      <c r="D223" s="3277" t="s">
        <v>3058</v>
      </c>
      <c r="E223" s="3277" t="s">
        <v>2791</v>
      </c>
      <c r="F223" s="3277" t="s">
        <v>3371</v>
      </c>
      <c r="G223" s="3277" t="s">
        <v>3059</v>
      </c>
      <c r="H223" s="3277" t="s">
        <v>3693</v>
      </c>
      <c r="I223" s="3277" t="s">
        <v>3493</v>
      </c>
      <c r="J223" s="3277">
        <v>50139.58</v>
      </c>
      <c r="K223" s="3277">
        <v>110307.08</v>
      </c>
      <c r="L223" s="3277" t="s">
        <v>3688</v>
      </c>
      <c r="M223" s="3277" t="s">
        <v>2791</v>
      </c>
      <c r="N223" s="3277" t="s">
        <v>3689</v>
      </c>
      <c r="O223" s="3277" t="s">
        <v>3222</v>
      </c>
      <c r="P223" s="3277" t="s">
        <v>2791</v>
      </c>
      <c r="Q223" s="3277" t="s">
        <v>2791</v>
      </c>
      <c r="R223" s="3277" t="s">
        <v>2791</v>
      </c>
      <c r="S223" s="3277" t="s">
        <v>2791</v>
      </c>
      <c r="T223" s="3277" t="s">
        <v>2791</v>
      </c>
      <c r="U223" s="3277" t="s">
        <v>2791</v>
      </c>
      <c r="V223" s="3277" t="s">
        <v>2791</v>
      </c>
      <c r="W223" s="3277" t="s">
        <v>3694</v>
      </c>
      <c r="X223" s="3277" t="s">
        <v>3692</v>
      </c>
      <c r="Y223" s="3277" t="s">
        <v>3695</v>
      </c>
      <c r="Z223" s="3277" t="s">
        <v>3695</v>
      </c>
      <c r="AA223" s="3277" t="s">
        <v>3695</v>
      </c>
      <c r="AB223" s="3277" t="s">
        <v>3696</v>
      </c>
      <c r="AC223" s="3277" t="s">
        <v>3088</v>
      </c>
      <c r="AD223" s="3277" t="s">
        <v>3697</v>
      </c>
      <c r="AE223" s="3277">
        <v>34500</v>
      </c>
      <c r="AF223" s="3277">
        <v>34500</v>
      </c>
      <c r="AG223" s="3277">
        <v>34500</v>
      </c>
      <c r="AH223" s="3277">
        <v>458.72</v>
      </c>
      <c r="AI223" s="3277">
        <v>458.72</v>
      </c>
      <c r="AJ223" s="3277">
        <v>3127.63</v>
      </c>
      <c r="AK223" s="3277">
        <v>3127.63</v>
      </c>
      <c r="AL223" s="3277" t="s">
        <v>2791</v>
      </c>
      <c r="AM223" s="3277" t="s">
        <v>2791</v>
      </c>
      <c r="AN223" s="3277">
        <v>0</v>
      </c>
      <c r="AO223" s="3277" t="s">
        <v>3063</v>
      </c>
      <c r="AP223" s="3277" t="s">
        <v>2791</v>
      </c>
      <c r="AQ223" s="3277" t="s">
        <v>2791</v>
      </c>
      <c r="AR223" s="3277" t="s">
        <v>2791</v>
      </c>
      <c r="AS223" s="3277" t="s">
        <v>3146</v>
      </c>
    </row>
    <row r="224" spans="1:45">
      <c r="A224" s="3286" t="s">
        <v>3698</v>
      </c>
      <c r="B224" s="3286" t="s">
        <v>3056</v>
      </c>
      <c r="C224" s="3286" t="s">
        <v>3057</v>
      </c>
      <c r="D224" s="3286" t="s">
        <v>3058</v>
      </c>
      <c r="E224" s="3286" t="s">
        <v>2791</v>
      </c>
      <c r="F224" s="3286" t="s">
        <v>3698</v>
      </c>
      <c r="G224" s="3286" t="s">
        <v>3059</v>
      </c>
      <c r="H224" s="3286" t="s">
        <v>3699</v>
      </c>
      <c r="I224" s="3286" t="s">
        <v>3493</v>
      </c>
      <c r="J224" s="3286">
        <v>33489</v>
      </c>
      <c r="K224" s="3286">
        <v>73675.8</v>
      </c>
      <c r="L224" s="3286" t="s">
        <v>3348</v>
      </c>
      <c r="M224" s="3286" t="s">
        <v>2791</v>
      </c>
      <c r="N224" s="3286" t="s">
        <v>3470</v>
      </c>
      <c r="O224" s="3286" t="s">
        <v>3222</v>
      </c>
      <c r="P224" s="3286" t="s">
        <v>2791</v>
      </c>
      <c r="Q224" s="3286" t="s">
        <v>2791</v>
      </c>
      <c r="R224" s="3286" t="s">
        <v>2791</v>
      </c>
      <c r="S224" s="3286" t="s">
        <v>2791</v>
      </c>
      <c r="T224" s="3286" t="s">
        <v>2791</v>
      </c>
      <c r="U224" s="3286" t="s">
        <v>2791</v>
      </c>
      <c r="V224" s="3286" t="s">
        <v>2791</v>
      </c>
      <c r="W224" s="3286" t="s">
        <v>3694</v>
      </c>
      <c r="X224" s="3286" t="s">
        <v>3692</v>
      </c>
      <c r="Y224" s="3286" t="s">
        <v>3695</v>
      </c>
      <c r="Z224" s="3286" t="s">
        <v>3695</v>
      </c>
      <c r="AA224" s="3286" t="s">
        <v>3695</v>
      </c>
      <c r="AB224" s="3286" t="s">
        <v>3696</v>
      </c>
      <c r="AC224" s="3286" t="s">
        <v>3088</v>
      </c>
      <c r="AD224" s="3286" t="s">
        <v>3428</v>
      </c>
      <c r="AE224" s="3286">
        <v>10000</v>
      </c>
      <c r="AF224" s="3286">
        <v>10000</v>
      </c>
      <c r="AG224" s="3286">
        <v>13500</v>
      </c>
      <c r="AH224" s="3286">
        <v>199.07</v>
      </c>
      <c r="AI224" s="3286">
        <v>268.74</v>
      </c>
      <c r="AJ224" s="3286">
        <v>1357.29</v>
      </c>
      <c r="AK224" s="3286">
        <v>1832.34</v>
      </c>
      <c r="AL224" s="3286" t="s">
        <v>2791</v>
      </c>
      <c r="AM224" s="3286" t="s">
        <v>2791</v>
      </c>
      <c r="AN224" s="3286">
        <v>35</v>
      </c>
      <c r="AO224" s="3286" t="s">
        <v>3063</v>
      </c>
      <c r="AP224" s="3286" t="s">
        <v>2791</v>
      </c>
      <c r="AQ224" s="3286" t="s">
        <v>2791</v>
      </c>
      <c r="AR224" s="3286" t="s">
        <v>2791</v>
      </c>
      <c r="AS224" s="3286" t="s">
        <v>3082</v>
      </c>
    </row>
    <row r="225" spans="1:45">
      <c r="A225" s="3286" t="s">
        <v>3631</v>
      </c>
      <c r="B225" s="3286" t="s">
        <v>3056</v>
      </c>
      <c r="C225" s="3286" t="s">
        <v>3057</v>
      </c>
      <c r="D225" s="3286" t="s">
        <v>3058</v>
      </c>
      <c r="E225" s="3286" t="s">
        <v>2791</v>
      </c>
      <c r="F225" s="3286" t="s">
        <v>3631</v>
      </c>
      <c r="G225" s="3286" t="s">
        <v>3059</v>
      </c>
      <c r="H225" s="3286" t="s">
        <v>3700</v>
      </c>
      <c r="I225" s="3286" t="s">
        <v>3493</v>
      </c>
      <c r="J225" s="3286">
        <v>66139.11</v>
      </c>
      <c r="K225" s="3286">
        <v>138892.1</v>
      </c>
      <c r="L225" s="3286" t="s">
        <v>3701</v>
      </c>
      <c r="M225" s="3286" t="s">
        <v>2791</v>
      </c>
      <c r="N225" s="3286" t="s">
        <v>3553</v>
      </c>
      <c r="O225" s="3286" t="s">
        <v>3471</v>
      </c>
      <c r="P225" s="3286" t="s">
        <v>2791</v>
      </c>
      <c r="Q225" s="3286" t="s">
        <v>2791</v>
      </c>
      <c r="R225" s="3286" t="s">
        <v>2791</v>
      </c>
      <c r="S225" s="3286" t="s">
        <v>2791</v>
      </c>
      <c r="T225" s="3286" t="s">
        <v>2791</v>
      </c>
      <c r="U225" s="3286" t="s">
        <v>2791</v>
      </c>
      <c r="V225" s="3286" t="s">
        <v>2791</v>
      </c>
      <c r="W225" s="3286" t="s">
        <v>3694</v>
      </c>
      <c r="X225" s="3286" t="s">
        <v>3702</v>
      </c>
      <c r="Y225" s="3286" t="s">
        <v>3703</v>
      </c>
      <c r="Z225" s="3286" t="s">
        <v>3703</v>
      </c>
      <c r="AA225" s="3286" t="s">
        <v>3703</v>
      </c>
      <c r="AB225" s="3286" t="s">
        <v>3704</v>
      </c>
      <c r="AC225" s="3286" t="s">
        <v>3088</v>
      </c>
      <c r="AD225" s="3286" t="s">
        <v>3705</v>
      </c>
      <c r="AE225" s="3286">
        <v>6000</v>
      </c>
      <c r="AF225" s="3286">
        <v>11900</v>
      </c>
      <c r="AG225" s="3286">
        <v>11900</v>
      </c>
      <c r="AH225" s="3286">
        <v>119.95</v>
      </c>
      <c r="AI225" s="3286">
        <v>119.95</v>
      </c>
      <c r="AJ225" s="3286">
        <v>856.78</v>
      </c>
      <c r="AK225" s="3286">
        <v>856.77</v>
      </c>
      <c r="AL225" s="3286" t="s">
        <v>2791</v>
      </c>
      <c r="AM225" s="3286" t="s">
        <v>2791</v>
      </c>
      <c r="AN225" s="3286">
        <v>0</v>
      </c>
      <c r="AO225" s="3286" t="s">
        <v>3063</v>
      </c>
      <c r="AP225" s="3286" t="s">
        <v>2791</v>
      </c>
      <c r="AQ225" s="3286" t="s">
        <v>2791</v>
      </c>
      <c r="AR225" s="3286" t="s">
        <v>2791</v>
      </c>
      <c r="AS225" s="3286" t="s">
        <v>3081</v>
      </c>
    </row>
    <row r="226" spans="1:45">
      <c r="A226" s="3286" t="s">
        <v>3631</v>
      </c>
      <c r="B226" s="3286" t="s">
        <v>3056</v>
      </c>
      <c r="C226" s="3286" t="s">
        <v>3057</v>
      </c>
      <c r="D226" s="3286" t="s">
        <v>3058</v>
      </c>
      <c r="E226" s="3286" t="s">
        <v>2791</v>
      </c>
      <c r="F226" s="3286" t="s">
        <v>3631</v>
      </c>
      <c r="G226" s="3286" t="s">
        <v>3059</v>
      </c>
      <c r="H226" s="3286" t="s">
        <v>3706</v>
      </c>
      <c r="I226" s="3286" t="s">
        <v>3493</v>
      </c>
      <c r="J226" s="3286">
        <v>66722.16</v>
      </c>
      <c r="K226" s="3286">
        <v>166805.4</v>
      </c>
      <c r="L226" s="3286" t="s">
        <v>3221</v>
      </c>
      <c r="M226" s="3286" t="s">
        <v>2791</v>
      </c>
      <c r="N226" s="3286" t="s">
        <v>3553</v>
      </c>
      <c r="O226" s="3286" t="s">
        <v>3471</v>
      </c>
      <c r="P226" s="3286" t="s">
        <v>2791</v>
      </c>
      <c r="Q226" s="3286" t="s">
        <v>2791</v>
      </c>
      <c r="R226" s="3286" t="s">
        <v>2791</v>
      </c>
      <c r="S226" s="3286" t="s">
        <v>2791</v>
      </c>
      <c r="T226" s="3286" t="s">
        <v>2791</v>
      </c>
      <c r="U226" s="3286" t="s">
        <v>2791</v>
      </c>
      <c r="V226" s="3286" t="s">
        <v>2791</v>
      </c>
      <c r="W226" s="3286" t="s">
        <v>3694</v>
      </c>
      <c r="X226" s="3286" t="s">
        <v>3702</v>
      </c>
      <c r="Y226" s="3286" t="s">
        <v>3703</v>
      </c>
      <c r="Z226" s="3286" t="s">
        <v>3703</v>
      </c>
      <c r="AA226" s="3286" t="s">
        <v>3703</v>
      </c>
      <c r="AB226" s="3286" t="s">
        <v>3704</v>
      </c>
      <c r="AC226" s="3286" t="s">
        <v>3088</v>
      </c>
      <c r="AD226" s="3286" t="s">
        <v>3705</v>
      </c>
      <c r="AE226" s="3286">
        <v>6000</v>
      </c>
      <c r="AF226" s="3286">
        <v>12000</v>
      </c>
      <c r="AG226" s="3286">
        <v>12000</v>
      </c>
      <c r="AH226" s="3286">
        <v>119.9</v>
      </c>
      <c r="AI226" s="3286">
        <v>119.9</v>
      </c>
      <c r="AJ226" s="3286">
        <v>719.4</v>
      </c>
      <c r="AK226" s="3286">
        <v>719.39</v>
      </c>
      <c r="AL226" s="3286" t="s">
        <v>2791</v>
      </c>
      <c r="AM226" s="3286" t="s">
        <v>2791</v>
      </c>
      <c r="AN226" s="3286">
        <v>0</v>
      </c>
      <c r="AO226" s="3286" t="s">
        <v>3063</v>
      </c>
      <c r="AP226" s="3286" t="s">
        <v>2791</v>
      </c>
      <c r="AQ226" s="3286" t="s">
        <v>2791</v>
      </c>
      <c r="AR226" s="3286" t="s">
        <v>2791</v>
      </c>
      <c r="AS226" s="3286" t="s">
        <v>3081</v>
      </c>
    </row>
    <row r="227" spans="1:45">
      <c r="A227" s="3286" t="s">
        <v>3681</v>
      </c>
      <c r="B227" s="3286" t="s">
        <v>3056</v>
      </c>
      <c r="C227" s="3286" t="s">
        <v>3057</v>
      </c>
      <c r="D227" s="3286" t="s">
        <v>3058</v>
      </c>
      <c r="E227" s="3286" t="s">
        <v>2791</v>
      </c>
      <c r="F227" s="3286" t="s">
        <v>3681</v>
      </c>
      <c r="G227" s="3286" t="s">
        <v>3059</v>
      </c>
      <c r="H227" s="3286" t="s">
        <v>3707</v>
      </c>
      <c r="I227" s="3286" t="s">
        <v>3493</v>
      </c>
      <c r="J227" s="3286">
        <v>51236.07</v>
      </c>
      <c r="K227" s="3286">
        <v>128090.18</v>
      </c>
      <c r="L227" s="3286" t="s">
        <v>3221</v>
      </c>
      <c r="M227" s="3286" t="s">
        <v>2791</v>
      </c>
      <c r="N227" s="3286" t="s">
        <v>3470</v>
      </c>
      <c r="O227" s="3286" t="s">
        <v>3471</v>
      </c>
      <c r="P227" s="3286" t="s">
        <v>2791</v>
      </c>
      <c r="Q227" s="3286" t="s">
        <v>2791</v>
      </c>
      <c r="R227" s="3286" t="s">
        <v>2791</v>
      </c>
      <c r="S227" s="3286" t="s">
        <v>2791</v>
      </c>
      <c r="T227" s="3286" t="s">
        <v>2791</v>
      </c>
      <c r="U227" s="3286" t="s">
        <v>2791</v>
      </c>
      <c r="V227" s="3286" t="s">
        <v>2791</v>
      </c>
      <c r="W227" s="3286" t="s">
        <v>3694</v>
      </c>
      <c r="X227" s="3286" t="s">
        <v>3702</v>
      </c>
      <c r="Y227" s="3286" t="s">
        <v>3708</v>
      </c>
      <c r="Z227" s="3286" t="s">
        <v>3708</v>
      </c>
      <c r="AA227" s="3286" t="s">
        <v>3708</v>
      </c>
      <c r="AB227" s="3286" t="s">
        <v>3709</v>
      </c>
      <c r="AC227" s="3286" t="s">
        <v>3088</v>
      </c>
      <c r="AD227" s="3286" t="s">
        <v>3710</v>
      </c>
      <c r="AE227" s="3286">
        <v>10000</v>
      </c>
      <c r="AF227" s="3286">
        <v>10000</v>
      </c>
      <c r="AG227" s="3286">
        <v>10000</v>
      </c>
      <c r="AH227" s="3286">
        <v>130.12</v>
      </c>
      <c r="AI227" s="3286">
        <v>130.12</v>
      </c>
      <c r="AJ227" s="3286">
        <v>780.69</v>
      </c>
      <c r="AK227" s="3286">
        <v>780.7</v>
      </c>
      <c r="AL227" s="3286" t="s">
        <v>2791</v>
      </c>
      <c r="AM227" s="3286" t="s">
        <v>2791</v>
      </c>
      <c r="AN227" s="3286">
        <v>0</v>
      </c>
      <c r="AO227" s="3286" t="s">
        <v>3063</v>
      </c>
      <c r="AP227" s="3286" t="s">
        <v>2791</v>
      </c>
      <c r="AQ227" s="3286" t="s">
        <v>2791</v>
      </c>
      <c r="AR227" s="3286" t="s">
        <v>2791</v>
      </c>
      <c r="AS227" s="3286" t="s">
        <v>3082</v>
      </c>
    </row>
    <row r="228" spans="1:45">
      <c r="A228" s="3286" t="s">
        <v>3681</v>
      </c>
      <c r="B228" s="3286" t="s">
        <v>3056</v>
      </c>
      <c r="C228" s="3286" t="s">
        <v>3057</v>
      </c>
      <c r="D228" s="3286" t="s">
        <v>3058</v>
      </c>
      <c r="E228" s="3286" t="s">
        <v>2791</v>
      </c>
      <c r="F228" s="3286" t="s">
        <v>3681</v>
      </c>
      <c r="G228" s="3286" t="s">
        <v>3059</v>
      </c>
      <c r="H228" s="3286" t="s">
        <v>3711</v>
      </c>
      <c r="I228" s="3286" t="s">
        <v>3493</v>
      </c>
      <c r="J228" s="3286">
        <v>15433.36</v>
      </c>
      <c r="K228" s="3286">
        <v>33953.39</v>
      </c>
      <c r="L228" s="3286" t="s">
        <v>3348</v>
      </c>
      <c r="M228" s="3286" t="s">
        <v>2791</v>
      </c>
      <c r="N228" s="3286" t="s">
        <v>3470</v>
      </c>
      <c r="O228" s="3286" t="s">
        <v>3222</v>
      </c>
      <c r="P228" s="3286" t="s">
        <v>2791</v>
      </c>
      <c r="Q228" s="3286" t="s">
        <v>2791</v>
      </c>
      <c r="R228" s="3286" t="s">
        <v>2791</v>
      </c>
      <c r="S228" s="3286" t="s">
        <v>2791</v>
      </c>
      <c r="T228" s="3286" t="s">
        <v>2791</v>
      </c>
      <c r="U228" s="3286" t="s">
        <v>2791</v>
      </c>
      <c r="V228" s="3286" t="s">
        <v>2791</v>
      </c>
      <c r="W228" s="3286" t="s">
        <v>3694</v>
      </c>
      <c r="X228" s="3286" t="s">
        <v>3702</v>
      </c>
      <c r="Y228" s="3286" t="s">
        <v>3708</v>
      </c>
      <c r="Z228" s="3286" t="s">
        <v>3708</v>
      </c>
      <c r="AA228" s="3286" t="s">
        <v>3708</v>
      </c>
      <c r="AB228" s="3286" t="s">
        <v>3709</v>
      </c>
      <c r="AC228" s="3286" t="s">
        <v>3088</v>
      </c>
      <c r="AD228" s="3286" t="s">
        <v>3710</v>
      </c>
      <c r="AE228" s="3286">
        <v>3000</v>
      </c>
      <c r="AF228" s="3286">
        <v>3000</v>
      </c>
      <c r="AG228" s="3286">
        <v>3000</v>
      </c>
      <c r="AH228" s="3286">
        <v>129.59</v>
      </c>
      <c r="AI228" s="3286">
        <v>129.59</v>
      </c>
      <c r="AJ228" s="3286">
        <v>883.56</v>
      </c>
      <c r="AK228" s="3286">
        <v>883.55</v>
      </c>
      <c r="AL228" s="3286" t="s">
        <v>2791</v>
      </c>
      <c r="AM228" s="3286" t="s">
        <v>2791</v>
      </c>
      <c r="AN228" s="3286">
        <v>0</v>
      </c>
      <c r="AO228" s="3286" t="s">
        <v>3063</v>
      </c>
      <c r="AP228" s="3286" t="s">
        <v>2791</v>
      </c>
      <c r="AQ228" s="3286" t="s">
        <v>2791</v>
      </c>
      <c r="AR228" s="3286" t="s">
        <v>2791</v>
      </c>
      <c r="AS228" s="3286" t="s">
        <v>3082</v>
      </c>
    </row>
  </sheetData>
  <phoneticPr fontId="228" type="noConversion"/>
  <hyperlinks>
    <hyperlink ref="AT2" r:id="rId1"/>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T1:X14"/>
  <sheetViews>
    <sheetView topLeftCell="L7" zoomScale="85" zoomScaleNormal="85" workbookViewId="0">
      <selection activeCell="AA28" sqref="AA28"/>
    </sheetView>
  </sheetViews>
  <sheetFormatPr defaultRowHeight="13.5"/>
  <cols>
    <col min="1" max="16384" width="9" style="3276"/>
  </cols>
  <sheetData>
    <row r="1" spans="20:24">
      <c r="T1" s="3599" t="s">
        <v>3714</v>
      </c>
      <c r="U1" s="3599"/>
      <c r="V1" s="3599"/>
      <c r="W1" s="3599"/>
      <c r="X1" s="3599"/>
    </row>
    <row r="2" spans="20:24">
      <c r="T2" s="3875" t="s">
        <v>3715</v>
      </c>
      <c r="U2" s="3875" t="s">
        <v>3718</v>
      </c>
      <c r="V2" s="3875"/>
      <c r="W2" s="3876" t="s">
        <v>3719</v>
      </c>
      <c r="X2" s="3876"/>
    </row>
    <row r="3" spans="20:24">
      <c r="T3" s="3875"/>
      <c r="U3" s="3599" t="s">
        <v>3716</v>
      </c>
      <c r="V3" s="3599" t="s">
        <v>3717</v>
      </c>
      <c r="W3" s="3599" t="s">
        <v>3716</v>
      </c>
      <c r="X3" s="3599" t="s">
        <v>3717</v>
      </c>
    </row>
    <row r="4" spans="20:24">
      <c r="T4" s="3599">
        <v>2018.1</v>
      </c>
      <c r="U4" s="3600">
        <v>9144</v>
      </c>
      <c r="V4" s="3600">
        <v>2.2799999999999998</v>
      </c>
      <c r="W4" s="3600">
        <v>11277</v>
      </c>
      <c r="X4" s="3600">
        <v>2.02</v>
      </c>
    </row>
    <row r="5" spans="20:24">
      <c r="T5" s="3599">
        <v>2018.2</v>
      </c>
      <c r="U5" s="3600">
        <v>9324</v>
      </c>
      <c r="V5" s="3600">
        <v>1.97</v>
      </c>
      <c r="W5" s="3600">
        <v>11468</v>
      </c>
      <c r="X5" s="3600">
        <v>1.69</v>
      </c>
    </row>
    <row r="6" spans="20:24">
      <c r="T6" s="3599">
        <v>2018.3</v>
      </c>
      <c r="U6" s="3600">
        <v>17529</v>
      </c>
      <c r="V6" s="3600">
        <v>-1.65</v>
      </c>
      <c r="W6" s="3600">
        <v>12353</v>
      </c>
      <c r="X6" s="3600">
        <v>1.17</v>
      </c>
    </row>
    <row r="7" spans="20:24">
      <c r="T7" s="3599">
        <v>2018.4</v>
      </c>
      <c r="U7" s="3600">
        <v>16695</v>
      </c>
      <c r="V7" s="3600">
        <v>-4.76</v>
      </c>
      <c r="W7" s="3600">
        <v>12545</v>
      </c>
      <c r="X7" s="3600">
        <v>1.55</v>
      </c>
    </row>
    <row r="8" spans="20:24">
      <c r="T8" s="3599">
        <v>2019.1</v>
      </c>
      <c r="U8" s="3600">
        <v>17024</v>
      </c>
      <c r="V8" s="3600">
        <v>1.97</v>
      </c>
      <c r="W8" s="3600">
        <v>12579</v>
      </c>
      <c r="X8" s="3600">
        <v>0.27</v>
      </c>
    </row>
    <row r="9" spans="20:24">
      <c r="T9" s="3599">
        <v>2019.2</v>
      </c>
      <c r="U9" s="3600">
        <v>17478</v>
      </c>
      <c r="V9" s="3600">
        <v>2.67</v>
      </c>
      <c r="W9" s="3600">
        <v>12697</v>
      </c>
      <c r="X9" s="3600">
        <v>0.94</v>
      </c>
    </row>
    <row r="10" spans="20:24">
      <c r="T10" s="3599">
        <v>2019.3</v>
      </c>
      <c r="U10" s="3600">
        <v>18015</v>
      </c>
      <c r="V10" s="3600">
        <v>3.07</v>
      </c>
      <c r="W10" s="3600">
        <v>12777</v>
      </c>
      <c r="X10" s="3600">
        <v>0.63</v>
      </c>
    </row>
    <row r="11" spans="20:24">
      <c r="T11" s="3599">
        <v>2019.4</v>
      </c>
      <c r="U11" s="3600">
        <v>6141</v>
      </c>
      <c r="V11" s="3600">
        <v>-2.75</v>
      </c>
      <c r="W11" s="3600">
        <v>3838</v>
      </c>
      <c r="X11" s="3600">
        <v>0.49</v>
      </c>
    </row>
    <row r="12" spans="20:24">
      <c r="T12" s="3599">
        <v>2020.1</v>
      </c>
      <c r="U12" s="3600">
        <v>6112</v>
      </c>
      <c r="V12" s="3600">
        <v>-0.48</v>
      </c>
      <c r="W12" s="3600">
        <v>3783</v>
      </c>
      <c r="X12" s="3600">
        <v>-1.44</v>
      </c>
    </row>
    <row r="13" spans="20:24">
      <c r="T13" s="3599">
        <v>2020.2</v>
      </c>
      <c r="U13" s="3600">
        <v>6157</v>
      </c>
      <c r="V13" s="3600">
        <v>0.73</v>
      </c>
      <c r="W13" s="3600">
        <v>3769</v>
      </c>
      <c r="X13" s="3600">
        <v>-0.37</v>
      </c>
    </row>
    <row r="14" spans="20:24">
      <c r="T14" s="3599">
        <v>2020.3</v>
      </c>
      <c r="U14" s="3600">
        <v>6222</v>
      </c>
      <c r="V14" s="3600">
        <v>1.06</v>
      </c>
      <c r="W14" s="3600">
        <v>3787</v>
      </c>
      <c r="X14" s="3600">
        <v>0.51</v>
      </c>
    </row>
  </sheetData>
  <mergeCells count="3">
    <mergeCell ref="T2:T3"/>
    <mergeCell ref="U2:V2"/>
    <mergeCell ref="W2:X2"/>
  </mergeCells>
  <phoneticPr fontId="228"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Normal="80" zoomScaleSheetLayoutView="100" workbookViewId="0">
      <selection activeCell="C18" sqref="C18:C19"/>
    </sheetView>
  </sheetViews>
  <sheetFormatPr defaultColWidth="6.625" defaultRowHeight="12.75"/>
  <cols>
    <col min="1" max="1" width="9.75" style="1992" customWidth="1"/>
    <col min="2" max="2" width="25.75" style="1982" customWidth="1"/>
    <col min="3" max="3" width="10.375" style="1993" customWidth="1"/>
    <col min="4" max="4" width="12" style="1982" customWidth="1"/>
    <col min="5" max="5" width="9.5" style="1992" customWidth="1"/>
    <col min="6" max="6" width="10.125" style="1982" customWidth="1"/>
    <col min="7" max="7" width="11.625" style="1982" customWidth="1"/>
    <col min="8" max="8" width="10" style="1982" customWidth="1"/>
    <col min="9" max="11" width="9.5" style="1982" customWidth="1"/>
    <col min="12" max="12" width="9" style="1983" customWidth="1"/>
    <col min="13" max="13" width="10.5" style="1983" bestFit="1" customWidth="1"/>
    <col min="14" max="26" width="9" style="1983" customWidth="1"/>
    <col min="27" max="254" width="9" style="1982" customWidth="1"/>
    <col min="255" max="16384" width="6.625" style="1982"/>
  </cols>
  <sheetData>
    <row r="1" spans="1:31" s="1910" customFormat="1" ht="20.25">
      <c r="A1" s="1971" t="s">
        <v>460</v>
      </c>
      <c r="B1" s="2512"/>
      <c r="C1" s="1972"/>
      <c r="D1" s="1972"/>
      <c r="E1" s="1972"/>
      <c r="F1" s="1972"/>
      <c r="G1" s="1972"/>
      <c r="H1" s="1972"/>
      <c r="I1" s="1972"/>
      <c r="J1" s="1972"/>
      <c r="K1" s="408">
        <f>MATCH(B1,'数据-取费表'!A6:A16,0)+5</f>
        <v>12</v>
      </c>
      <c r="L1" s="282"/>
      <c r="M1" s="282"/>
      <c r="N1" s="282"/>
      <c r="O1" s="282"/>
      <c r="P1" s="282"/>
      <c r="Q1" s="282"/>
      <c r="R1" s="282"/>
      <c r="S1" s="282"/>
      <c r="T1" s="282"/>
      <c r="U1" s="282"/>
      <c r="V1" s="282"/>
      <c r="W1" s="282"/>
      <c r="X1" s="282"/>
      <c r="Y1" s="282"/>
      <c r="Z1" s="282"/>
    </row>
    <row r="2" spans="1:31" s="1910" customFormat="1" ht="18" customHeight="1">
      <c r="A2" s="1969" t="s">
        <v>461</v>
      </c>
      <c r="B2" s="1973">
        <f ca="1">C36</f>
        <v>101944</v>
      </c>
      <c r="C2" s="1972"/>
      <c r="D2" s="1972"/>
      <c r="E2" s="1972"/>
      <c r="F2" s="1972"/>
      <c r="G2" s="1972"/>
      <c r="H2" s="1972"/>
      <c r="I2" s="1972"/>
      <c r="J2" s="1972"/>
      <c r="K2" s="1972"/>
      <c r="L2" s="282"/>
      <c r="M2" s="282"/>
      <c r="N2" s="282"/>
      <c r="O2" s="282"/>
      <c r="P2" s="282"/>
      <c r="Q2" s="282"/>
      <c r="R2" s="282"/>
      <c r="S2" s="282"/>
      <c r="T2" s="282"/>
      <c r="U2" s="282"/>
      <c r="V2" s="282"/>
      <c r="W2" s="282"/>
      <c r="X2" s="282"/>
      <c r="Y2" s="282"/>
      <c r="Z2" s="282"/>
    </row>
    <row r="3" spans="1:31" s="1910" customFormat="1" ht="18" customHeight="1">
      <c r="A3" s="1974" t="s">
        <v>1674</v>
      </c>
      <c r="B3" s="1975">
        <f ca="1">ROUND(B2*10000/IF(B1="",'数据-汇总表'!E3,INDIRECT("'数据-取费表'!K"&amp;$K$1)),0)</f>
        <v>2209</v>
      </c>
      <c r="C3" s="1972"/>
      <c r="D3" s="1972"/>
      <c r="E3" s="1972"/>
      <c r="F3" s="1972"/>
      <c r="G3" s="1972"/>
      <c r="H3" s="1972"/>
      <c r="I3" s="1972"/>
      <c r="J3" s="1972"/>
      <c r="K3" s="1972"/>
      <c r="L3" s="282"/>
      <c r="M3" s="282"/>
      <c r="N3" s="282"/>
      <c r="O3" s="282"/>
      <c r="P3" s="282"/>
      <c r="Q3" s="282"/>
      <c r="R3" s="282"/>
      <c r="S3" s="282"/>
      <c r="T3" s="282"/>
      <c r="U3" s="282"/>
      <c r="V3" s="282"/>
      <c r="W3" s="282"/>
      <c r="X3" s="282"/>
      <c r="Y3" s="282"/>
      <c r="Z3" s="282"/>
    </row>
    <row r="4" spans="1:31" s="1910" customFormat="1" ht="18" customHeight="1">
      <c r="A4" s="412" t="s">
        <v>462</v>
      </c>
      <c r="B4" s="413">
        <f ca="1">ROUND(B2*10000/IF(B1="",'数据-汇总表'!D3,INDIRECT("'数据-取费表'!R"&amp;$K$1)),0)</f>
        <v>4755</v>
      </c>
      <c r="C4" s="414"/>
      <c r="D4" s="408"/>
      <c r="E4" s="408"/>
      <c r="F4" s="408"/>
      <c r="G4" s="408"/>
      <c r="H4" s="408"/>
      <c r="I4" s="408"/>
      <c r="J4" s="408"/>
      <c r="K4" s="408"/>
      <c r="L4" s="282"/>
      <c r="M4" s="282"/>
      <c r="N4" s="282"/>
      <c r="O4" s="282"/>
      <c r="P4" s="282"/>
      <c r="Q4" s="282"/>
      <c r="R4" s="282"/>
      <c r="S4" s="282"/>
      <c r="T4" s="282"/>
      <c r="U4" s="282"/>
      <c r="V4" s="282"/>
      <c r="W4" s="282"/>
      <c r="X4" s="282"/>
      <c r="Y4" s="282"/>
      <c r="Z4" s="282"/>
    </row>
    <row r="5" spans="1:31" s="1910" customFormat="1" ht="18" customHeight="1" thickBot="1">
      <c r="A5" s="415"/>
      <c r="B5" s="416">
        <f ca="1">ROUND(B2/(IF(B1="",'数据-汇总表'!D3,INDIRECT("'数据-取费表'!R"&amp;$K$1))/666.67),0)</f>
        <v>317</v>
      </c>
      <c r="C5" s="417" t="s">
        <v>463</v>
      </c>
      <c r="D5" s="408"/>
      <c r="E5" s="408"/>
      <c r="F5" s="408"/>
      <c r="G5" s="408"/>
      <c r="H5" s="408"/>
      <c r="I5" s="408"/>
      <c r="J5" s="408"/>
      <c r="K5" s="408"/>
      <c r="L5" s="282"/>
      <c r="M5" s="282"/>
      <c r="N5" s="282"/>
      <c r="O5" s="282"/>
      <c r="P5" s="282"/>
      <c r="Q5" s="282"/>
      <c r="R5" s="282"/>
      <c r="S5" s="282"/>
      <c r="T5" s="282"/>
      <c r="U5" s="282"/>
      <c r="V5" s="282"/>
      <c r="W5" s="282"/>
      <c r="X5" s="282"/>
      <c r="Y5" s="282"/>
      <c r="Z5" s="282"/>
    </row>
    <row r="6" spans="1:31" s="1979" customFormat="1" ht="16.5" customHeight="1">
      <c r="A6" s="2531" t="s">
        <v>1832</v>
      </c>
      <c r="B6" s="2532"/>
      <c r="C6" s="2533">
        <f ca="1">SUM(C10:K10)</f>
        <v>435899</v>
      </c>
      <c r="D6" s="2532"/>
      <c r="E6" s="2532"/>
      <c r="F6" s="2532"/>
      <c r="G6" s="2532"/>
      <c r="H6" s="2532"/>
      <c r="I6" s="2532"/>
      <c r="J6" s="2532"/>
      <c r="K6" s="2534"/>
      <c r="L6" s="3297" t="s">
        <v>3761</v>
      </c>
      <c r="M6" s="3182"/>
      <c r="N6" s="3182" t="e">
        <f>'数据-汇总表'!G24/'数据-取费表'!AH11</f>
        <v>#DIV/0!</v>
      </c>
      <c r="O6" s="3297" t="s">
        <v>3763</v>
      </c>
      <c r="P6" s="3182"/>
      <c r="Q6" s="3182"/>
      <c r="R6" s="3182"/>
      <c r="S6" s="3182"/>
      <c r="T6" s="3182"/>
      <c r="U6" s="3182"/>
      <c r="V6" s="3182"/>
      <c r="W6" s="3182"/>
      <c r="X6" s="3182"/>
      <c r="Y6" s="3182"/>
      <c r="Z6" s="3182"/>
    </row>
    <row r="7" spans="1:31" s="1981" customFormat="1" ht="15">
      <c r="A7" s="2535" t="s">
        <v>464</v>
      </c>
      <c r="B7" s="2536" t="s">
        <v>465</v>
      </c>
      <c r="C7" s="422" t="s">
        <v>3740</v>
      </c>
      <c r="D7" s="422" t="s">
        <v>3799</v>
      </c>
      <c r="E7" s="422" t="s">
        <v>3742</v>
      </c>
      <c r="F7" s="422" t="s">
        <v>3743</v>
      </c>
      <c r="G7" s="422" t="s">
        <v>3000</v>
      </c>
      <c r="H7" s="422" t="s">
        <v>35</v>
      </c>
      <c r="I7" s="422"/>
      <c r="J7" s="422"/>
      <c r="K7" s="423"/>
      <c r="L7" s="3298" t="s">
        <v>3762</v>
      </c>
      <c r="N7" s="1981" t="e">
        <f ca="1">ROUND(H8*N6/10000,2)</f>
        <v>#DIV/0!</v>
      </c>
      <c r="O7" s="1981" t="s">
        <v>3764</v>
      </c>
      <c r="AA7" s="1980"/>
      <c r="AB7" s="1980"/>
      <c r="AC7" s="1980"/>
      <c r="AD7" s="1980"/>
      <c r="AE7" s="1980"/>
    </row>
    <row r="8" spans="1:31" s="1983" customFormat="1" ht="13.5" customHeight="1">
      <c r="A8" s="785" t="s">
        <v>1835</v>
      </c>
      <c r="B8" s="251" t="s">
        <v>466</v>
      </c>
      <c r="C8" s="2537">
        <f>'不动产比较法-住宅'!C49</f>
        <v>9409</v>
      </c>
      <c r="D8" s="2537"/>
      <c r="E8" s="2537">
        <f>ROUND(C8*'不动产比较法-住宅'!E123/100*110/100,0)</f>
        <v>9315</v>
      </c>
      <c r="F8" s="2537">
        <f>'不动产比较法-叠拼'!B3</f>
        <v>12850</v>
      </c>
      <c r="G8" s="2537">
        <f ca="1">'不动产收益法（商业）'!B3</f>
        <v>9891</v>
      </c>
      <c r="H8" s="2537">
        <f ca="1">'不动产收益法（车库）'!B3</f>
        <v>0</v>
      </c>
      <c r="I8" s="2537"/>
      <c r="J8" s="2537"/>
      <c r="K8" s="2538"/>
      <c r="AA8" s="1982"/>
      <c r="AB8" s="1982"/>
      <c r="AC8" s="1982"/>
      <c r="AD8" s="1982"/>
      <c r="AE8" s="1982"/>
    </row>
    <row r="9" spans="1:31" s="1983" customFormat="1" ht="13.5" customHeight="1">
      <c r="A9" s="785" t="s">
        <v>1836</v>
      </c>
      <c r="B9" s="251" t="s">
        <v>467</v>
      </c>
      <c r="C9" s="427">
        <f>SUMIF('数据-汇总表'!$C19:$C33,'剩余法-待开发'!C7,'数据-汇总表'!$E19:$E33)</f>
        <v>428668.15999999997</v>
      </c>
      <c r="D9" s="427">
        <f>SUMIF('数据-汇总表'!$C19:$C33,'剩余法-待开发'!D7,'数据-汇总表'!$E19:$E33)</f>
        <v>0</v>
      </c>
      <c r="E9" s="427">
        <f>SUMIF('数据-汇总表'!$C19:$C33,'剩余法-待开发'!E7,'数据-汇总表'!$E19:$E33)</f>
        <v>0</v>
      </c>
      <c r="F9" s="427">
        <f>SUMIF('数据-汇总表'!$C19:$C33,'剩余法-待开发'!F7,'数据-汇总表'!$E19:$E33)</f>
        <v>0</v>
      </c>
      <c r="G9" s="427">
        <f>SUMIF('数据-汇总表'!$C19:$C33,'剩余法-待开发'!G7,'数据-汇总表'!$E19:$E33)</f>
        <v>32922.93</v>
      </c>
      <c r="H9" s="427">
        <f>SUMIF('数据-汇总表'!$C19:$C33,'剩余法-待开发'!H7,'数据-汇总表'!$E19:$E33)</f>
        <v>0</v>
      </c>
      <c r="I9" s="427">
        <f>SUMIF('数据-汇总表'!$C19:$C33,'剩余法-待开发'!I7,'数据-汇总表'!$E19:$E33)</f>
        <v>0</v>
      </c>
      <c r="J9" s="427">
        <f>SUMIF('数据-汇总表'!$C19:$C33,'剩余法-待开发'!J7,'数据-汇总表'!$E19:$E33)</f>
        <v>0</v>
      </c>
      <c r="K9" s="428">
        <f>SUMIF('数据-汇总表'!$C19:$C33,'剩余法-待开发'!K7,'数据-汇总表'!$E19:$E33)</f>
        <v>0</v>
      </c>
      <c r="AA9" s="1982"/>
      <c r="AB9" s="1982"/>
      <c r="AC9" s="1982"/>
      <c r="AD9" s="1982"/>
      <c r="AE9" s="1982"/>
    </row>
    <row r="10" spans="1:31" s="1983" customFormat="1" ht="13.5" customHeight="1" thickBot="1">
      <c r="A10" s="2539" t="s">
        <v>1837</v>
      </c>
      <c r="B10" s="2525" t="s">
        <v>468</v>
      </c>
      <c r="C10" s="2727">
        <f>ROUND(C8*C9/10000,0)</f>
        <v>403334</v>
      </c>
      <c r="D10" s="2727"/>
      <c r="E10" s="2727"/>
      <c r="F10" s="2727"/>
      <c r="G10" s="2540">
        <f ca="1">'不动产收益法（商业）'!B2</f>
        <v>32565</v>
      </c>
      <c r="H10" s="2540"/>
      <c r="I10" s="2540"/>
      <c r="J10" s="2540"/>
      <c r="K10" s="2541"/>
      <c r="L10" s="3355"/>
      <c r="M10" s="3355"/>
      <c r="N10" s="3355"/>
      <c r="O10" s="3355"/>
      <c r="AA10" s="1982"/>
      <c r="AB10" s="1982"/>
      <c r="AC10" s="1982"/>
      <c r="AD10" s="1982"/>
      <c r="AE10" s="1982"/>
    </row>
    <row r="11" spans="1:31" s="1979" customFormat="1" ht="16.5" customHeight="1">
      <c r="A11" s="2542" t="s">
        <v>1833</v>
      </c>
      <c r="B11" s="2532"/>
      <c r="C11" s="2532"/>
      <c r="D11" s="2532"/>
      <c r="E11" s="2532"/>
      <c r="F11" s="2532"/>
      <c r="G11" s="2532"/>
      <c r="H11" s="2532"/>
      <c r="I11" s="2532"/>
      <c r="J11" s="2532"/>
      <c r="K11" s="2534"/>
      <c r="L11" s="3182"/>
      <c r="M11" s="3297"/>
      <c r="N11" s="3182"/>
      <c r="O11" s="3297"/>
      <c r="P11" s="3182"/>
      <c r="Q11" s="3182"/>
      <c r="R11" s="3182"/>
      <c r="S11" s="3182"/>
      <c r="T11" s="3182"/>
      <c r="U11" s="3182"/>
      <c r="V11" s="3182"/>
      <c r="W11" s="3182"/>
      <c r="X11" s="3182"/>
      <c r="Y11" s="3182"/>
      <c r="Z11" s="3182"/>
    </row>
    <row r="12" spans="1:31" s="1953" customFormat="1" ht="13.5" customHeight="1">
      <c r="A12" s="2543" t="s">
        <v>464</v>
      </c>
      <c r="B12" s="2515" t="s">
        <v>465</v>
      </c>
      <c r="C12" s="2544" t="s">
        <v>469</v>
      </c>
      <c r="D12" s="2511" t="s">
        <v>470</v>
      </c>
      <c r="E12" s="2511" t="s">
        <v>471</v>
      </c>
      <c r="F12" s="2511" t="s">
        <v>472</v>
      </c>
      <c r="G12" s="2515"/>
      <c r="H12" s="2516"/>
      <c r="I12" s="2516"/>
      <c r="J12" s="2516"/>
      <c r="K12" s="2517"/>
      <c r="L12" s="3356"/>
      <c r="M12" s="3571"/>
      <c r="N12" s="3356"/>
      <c r="O12" s="3357"/>
      <c r="P12" s="3183"/>
      <c r="Q12" s="3183"/>
      <c r="R12" s="3183"/>
      <c r="S12" s="3183"/>
      <c r="T12" s="3183"/>
      <c r="U12" s="3183"/>
      <c r="V12" s="3183"/>
      <c r="W12" s="3183"/>
      <c r="X12" s="3183"/>
      <c r="Y12" s="3183"/>
      <c r="Z12" s="3183"/>
    </row>
    <row r="13" spans="1:31" s="1984" customFormat="1" ht="13.5" customHeight="1">
      <c r="A13" s="2545" t="s">
        <v>1838</v>
      </c>
      <c r="B13" s="2546" t="s">
        <v>473</v>
      </c>
      <c r="C13" s="436">
        <f ca="1">IF(B1="",'数据-取费表'!P16,INDIRECT("'数据-取费表'!p"&amp;$K$1)+INDIRECT("'数据-取费表'!t"&amp;$K$1))</f>
        <v>161557</v>
      </c>
      <c r="D13" s="2547"/>
      <c r="E13" s="2548"/>
      <c r="F13" s="2549"/>
      <c r="G13" s="2515"/>
      <c r="H13" s="2516"/>
      <c r="I13" s="2516"/>
      <c r="J13" s="2516"/>
      <c r="K13" s="2517"/>
      <c r="L13" s="1985"/>
      <c r="M13" s="1985"/>
      <c r="N13" s="1985"/>
      <c r="O13" s="1985"/>
      <c r="P13" s="1985"/>
      <c r="Q13" s="1985"/>
      <c r="R13" s="1985"/>
      <c r="S13" s="1985"/>
      <c r="T13" s="1985"/>
      <c r="U13" s="1985"/>
      <c r="V13" s="1985"/>
      <c r="W13" s="1985"/>
      <c r="X13" s="1985"/>
      <c r="Y13" s="1985"/>
      <c r="Z13" s="1985"/>
    </row>
    <row r="14" spans="1:31" s="1984" customFormat="1" ht="13.5" customHeight="1">
      <c r="A14" s="2545" t="s">
        <v>1839</v>
      </c>
      <c r="B14" s="2546" t="s">
        <v>474</v>
      </c>
      <c r="C14" s="53">
        <f ca="1">ROUND(C13*F14,0)</f>
        <v>8078</v>
      </c>
      <c r="D14" s="2547"/>
      <c r="E14" s="2548"/>
      <c r="F14" s="2550">
        <f>'数据-取费表'!B33</f>
        <v>0.05</v>
      </c>
      <c r="G14" s="2515" t="s">
        <v>475</v>
      </c>
      <c r="H14" s="2516"/>
      <c r="I14" s="2516"/>
      <c r="J14" s="2516"/>
      <c r="K14" s="2517"/>
      <c r="L14" s="1985"/>
      <c r="M14" s="1985"/>
      <c r="N14" s="1985"/>
      <c r="O14" s="1985"/>
      <c r="P14" s="1985"/>
      <c r="Q14" s="1985"/>
      <c r="R14" s="1985"/>
      <c r="S14" s="1985"/>
      <c r="T14" s="1985"/>
      <c r="U14" s="1985"/>
      <c r="V14" s="1985"/>
      <c r="W14" s="1985"/>
      <c r="X14" s="1985"/>
      <c r="Y14" s="1985"/>
      <c r="Z14" s="1985"/>
    </row>
    <row r="15" spans="1:31" s="1984" customFormat="1" ht="13.5" customHeight="1">
      <c r="A15" s="2545" t="s">
        <v>1840</v>
      </c>
      <c r="B15" s="2546" t="s">
        <v>476</v>
      </c>
      <c r="C15" s="53">
        <f ca="1">ROUND(IF(B1="",SUMIF('数据-取费表'!C:C,"住宅",'数据-取费表'!P:P)*F15,IF(INDIRECT("'数据-取费表'!c"&amp;$K$1)="住宅",INDIRECT("'数据-取费表'!P"&amp;$K$1)*F15,0)),0)</f>
        <v>7502</v>
      </c>
      <c r="D15" s="2547"/>
      <c r="E15" s="2548"/>
      <c r="F15" s="2550">
        <f>'数据-取费表'!B34</f>
        <v>0.05</v>
      </c>
      <c r="G15" s="2515" t="s">
        <v>477</v>
      </c>
      <c r="H15" s="2516"/>
      <c r="I15" s="2516"/>
      <c r="J15" s="2516"/>
      <c r="K15" s="2517"/>
      <c r="L15" s="1985"/>
      <c r="M15" s="1985"/>
      <c r="N15" s="1985"/>
      <c r="O15" s="1985"/>
      <c r="P15" s="1985"/>
      <c r="Q15" s="1985"/>
      <c r="R15" s="1985"/>
      <c r="S15" s="1985"/>
      <c r="T15" s="1985"/>
      <c r="U15" s="1985"/>
      <c r="V15" s="1985"/>
      <c r="W15" s="1985"/>
      <c r="X15" s="1985"/>
      <c r="Y15" s="1985"/>
      <c r="Z15" s="1985"/>
    </row>
    <row r="16" spans="1:31" s="1985" customFormat="1" ht="13.5" customHeight="1">
      <c r="A16" s="2545" t="s">
        <v>1841</v>
      </c>
      <c r="B16" s="2546" t="s">
        <v>478</v>
      </c>
      <c r="C16" s="53">
        <f ca="1">ROUND(D16*E16/10000,0)</f>
        <v>9232</v>
      </c>
      <c r="D16" s="2547">
        <f ca="1">IF(B1="",'数据-汇总表'!E3,INDIRECT("'数据-取费表'!K"&amp;$K$1)+INDIRECT("'数据-取费表'!S"&amp;$K$1))</f>
        <v>461591.08999999997</v>
      </c>
      <c r="E16" s="53">
        <f>'数据-取费表'!B35</f>
        <v>200</v>
      </c>
      <c r="F16" s="2550"/>
      <c r="G16" s="2515"/>
      <c r="H16" s="2516"/>
      <c r="I16" s="2516"/>
      <c r="J16" s="2516"/>
      <c r="K16" s="2517"/>
      <c r="AA16" s="1984"/>
      <c r="AB16" s="1984"/>
      <c r="AC16" s="1984"/>
      <c r="AD16" s="1984"/>
      <c r="AE16" s="1984"/>
    </row>
    <row r="17" spans="1:26" s="1984" customFormat="1" ht="13.5" customHeight="1">
      <c r="A17" s="2545" t="s">
        <v>1842</v>
      </c>
      <c r="B17" s="2546" t="s">
        <v>479</v>
      </c>
      <c r="C17" s="2551">
        <f ca="1">ROUND(C13*F17,0)</f>
        <v>2423</v>
      </c>
      <c r="D17" s="461"/>
      <c r="E17" s="2551"/>
      <c r="F17" s="2552">
        <f>'数据-取费表'!B36</f>
        <v>1.4999999999999999E-2</v>
      </c>
      <c r="G17" s="251" t="s">
        <v>480</v>
      </c>
      <c r="H17" s="2518"/>
      <c r="I17" s="2518"/>
      <c r="J17" s="2518"/>
      <c r="K17" s="269"/>
      <c r="L17" s="1985"/>
      <c r="M17" s="1985"/>
      <c r="N17" s="1985"/>
      <c r="O17" s="1985"/>
      <c r="P17" s="1985"/>
      <c r="Q17" s="1985"/>
      <c r="R17" s="1985"/>
      <c r="S17" s="1985"/>
      <c r="T17" s="1985"/>
      <c r="U17" s="1985"/>
      <c r="V17" s="1985"/>
      <c r="W17" s="1985"/>
      <c r="X17" s="1985"/>
      <c r="Y17" s="1985"/>
      <c r="Z17" s="1985"/>
    </row>
    <row r="18" spans="1:26" s="1984" customFormat="1" ht="13.5" customHeight="1">
      <c r="A18" s="2553" t="s">
        <v>1843</v>
      </c>
      <c r="B18" s="2554" t="s">
        <v>481</v>
      </c>
      <c r="C18" s="2555">
        <f ca="1">SUM(C13:C17)</f>
        <v>188792</v>
      </c>
      <c r="D18" s="2556"/>
      <c r="E18" s="454"/>
      <c r="F18" s="454"/>
      <c r="G18" s="2519" t="s">
        <v>2408</v>
      </c>
      <c r="H18" s="2520"/>
      <c r="I18" s="2520"/>
      <c r="J18" s="2520"/>
      <c r="K18" s="2521"/>
      <c r="L18" s="1985"/>
      <c r="M18" s="1985"/>
      <c r="N18" s="1985"/>
      <c r="O18" s="1985"/>
      <c r="P18" s="1985"/>
      <c r="Q18" s="1985"/>
      <c r="R18" s="1985"/>
      <c r="S18" s="1985"/>
      <c r="T18" s="1985"/>
      <c r="U18" s="1985"/>
      <c r="V18" s="1985"/>
      <c r="W18" s="1985"/>
      <c r="X18" s="1985"/>
      <c r="Y18" s="1985"/>
      <c r="Z18" s="1985"/>
    </row>
    <row r="19" spans="1:26" s="1984" customFormat="1" ht="13.5" customHeight="1">
      <c r="A19" s="2553" t="s">
        <v>1844</v>
      </c>
      <c r="B19" s="2554" t="s">
        <v>482</v>
      </c>
      <c r="C19" s="2511">
        <f ca="1">ROUND(D19*E19/10000,0)</f>
        <v>9232</v>
      </c>
      <c r="D19" s="2557">
        <f ca="1">D16</f>
        <v>461591.08999999997</v>
      </c>
      <c r="E19" s="2511">
        <f>'数据-取费表'!B32</f>
        <v>200</v>
      </c>
      <c r="F19" s="454"/>
      <c r="G19" s="2515" t="s">
        <v>483</v>
      </c>
      <c r="H19" s="2516"/>
      <c r="I19" s="2520"/>
      <c r="J19" s="2520"/>
      <c r="K19" s="2521"/>
      <c r="L19" s="1985"/>
      <c r="M19" s="1985"/>
      <c r="N19" s="1985"/>
      <c r="O19" s="1985"/>
      <c r="P19" s="1985"/>
      <c r="Q19" s="1985"/>
      <c r="R19" s="1985"/>
      <c r="S19" s="1985"/>
      <c r="T19" s="1985"/>
      <c r="U19" s="1985"/>
      <c r="V19" s="1985"/>
      <c r="W19" s="1985"/>
      <c r="X19" s="1985"/>
      <c r="Y19" s="1985"/>
      <c r="Z19" s="1985"/>
    </row>
    <row r="20" spans="1:26" s="1984" customFormat="1" ht="13.5" customHeight="1">
      <c r="A20" s="2553" t="s">
        <v>1845</v>
      </c>
      <c r="B20" s="2554" t="s">
        <v>484</v>
      </c>
      <c r="C20" s="2511">
        <f ca="1">C21+C22-IF(B1="",'数据-取费表'!B29,IF(G20="已全部缴纳",C21+C22,H20))</f>
        <v>1615</v>
      </c>
      <c r="D20" s="2557"/>
      <c r="E20" s="2511"/>
      <c r="F20" s="2558"/>
      <c r="G20" s="2761"/>
      <c r="H20" s="2513"/>
      <c r="I20" s="2514" t="s">
        <v>2625</v>
      </c>
      <c r="J20" s="2520"/>
      <c r="K20" s="2521"/>
      <c r="L20" s="1985"/>
      <c r="M20" s="1985"/>
      <c r="N20" s="1985"/>
      <c r="O20" s="1985"/>
      <c r="P20" s="1985"/>
      <c r="Q20" s="1985"/>
      <c r="R20" s="1985"/>
      <c r="S20" s="1985"/>
      <c r="T20" s="1985"/>
      <c r="U20" s="1985"/>
      <c r="V20" s="1985"/>
      <c r="W20" s="1985"/>
      <c r="X20" s="1985"/>
      <c r="Y20" s="1985"/>
      <c r="Z20" s="1985"/>
    </row>
    <row r="21" spans="1:26" s="1984" customFormat="1" ht="13.5" customHeight="1">
      <c r="A21" s="2545" t="s">
        <v>1846</v>
      </c>
      <c r="B21" s="2546" t="s">
        <v>485</v>
      </c>
      <c r="C21" s="53">
        <f ca="1">ROUND(D21*E21/10000,0)</f>
        <v>1500</v>
      </c>
      <c r="D21" s="2547">
        <f ca="1">IF(B1="",'数据-汇总表'!E5,IF(INDIRECT("'数据-取费表'!c"&amp;$K$1)="住宅",INDIRECT("'数据-取费表'!k"&amp;$K$1),0))</f>
        <v>428668.15999999997</v>
      </c>
      <c r="E21" s="53">
        <f>'数据-取费表'!B27</f>
        <v>35</v>
      </c>
      <c r="F21" s="2550"/>
      <c r="G21" s="26"/>
      <c r="H21" s="51"/>
      <c r="I21" s="51"/>
      <c r="J21" s="51"/>
      <c r="K21" s="2522"/>
      <c r="L21" s="1985"/>
      <c r="M21" s="1985"/>
      <c r="N21" s="1985"/>
      <c r="O21" s="1985"/>
      <c r="P21" s="1985"/>
      <c r="Q21" s="1985"/>
      <c r="R21" s="1985"/>
      <c r="S21" s="1985"/>
      <c r="T21" s="1985"/>
      <c r="U21" s="1985"/>
      <c r="V21" s="1985"/>
      <c r="W21" s="1985"/>
      <c r="X21" s="1985"/>
      <c r="Y21" s="1985"/>
      <c r="Z21" s="1985"/>
    </row>
    <row r="22" spans="1:26" s="1984" customFormat="1" ht="13.5" customHeight="1">
      <c r="A22" s="2545" t="s">
        <v>1847</v>
      </c>
      <c r="B22" s="2546" t="s">
        <v>486</v>
      </c>
      <c r="C22" s="53">
        <f ca="1">ROUND(D22*E22/10000,0)</f>
        <v>115</v>
      </c>
      <c r="D22" s="2547">
        <f ca="1">IF(B1="",'数据-汇总表'!E6,IF(INDIRECT("'数据-取费表'!c"&amp;$K$1)="住宅",INDIRECT("'数据-取费表'!s"&amp;$K$1),INDIRECT("'数据-取费表'!k"&amp;$K$1)+INDIRECT("'数据-取费表'!s"&amp;$K$1)))</f>
        <v>32922.929999999993</v>
      </c>
      <c r="E22" s="53">
        <f>'数据-取费表'!B28</f>
        <v>35</v>
      </c>
      <c r="F22" s="2550"/>
      <c r="G22" s="26"/>
      <c r="H22" s="51"/>
      <c r="I22" s="51"/>
      <c r="J22" s="51"/>
      <c r="K22" s="2522"/>
      <c r="L22" s="1985"/>
      <c r="M22" s="1985"/>
      <c r="N22" s="1985"/>
      <c r="O22" s="1985"/>
      <c r="P22" s="1985"/>
      <c r="Q22" s="1985"/>
      <c r="R22" s="1985"/>
      <c r="S22" s="1985"/>
      <c r="T22" s="1985"/>
      <c r="U22" s="1985"/>
      <c r="V22" s="1985"/>
      <c r="W22" s="1985"/>
      <c r="X22" s="1985"/>
      <c r="Y22" s="1985"/>
      <c r="Z22" s="1985"/>
    </row>
    <row r="23" spans="1:26" s="1984" customFormat="1" ht="13.5" customHeight="1">
      <c r="A23" s="2553" t="s">
        <v>1848</v>
      </c>
      <c r="B23" s="2733" t="s">
        <v>2807</v>
      </c>
      <c r="C23" s="2555">
        <f ca="1">ROUND((C18+C19+C20)*F23,0)</f>
        <v>3993</v>
      </c>
      <c r="D23" s="454"/>
      <c r="E23" s="454"/>
      <c r="F23" s="2559">
        <f>'数据-取费表'!B37</f>
        <v>0.02</v>
      </c>
      <c r="G23" s="2515" t="s">
        <v>2409</v>
      </c>
      <c r="H23" s="2516"/>
      <c r="I23" s="2516"/>
      <c r="J23" s="2516"/>
      <c r="K23" s="2517"/>
      <c r="L23" s="3184"/>
      <c r="M23" s="3184"/>
      <c r="N23" s="3184"/>
      <c r="O23" s="1985"/>
      <c r="P23" s="1985"/>
      <c r="Q23" s="1985"/>
      <c r="R23" s="1985"/>
      <c r="S23" s="1985"/>
      <c r="T23" s="1985"/>
      <c r="U23" s="1985"/>
      <c r="V23" s="1985"/>
      <c r="W23" s="1985"/>
      <c r="X23" s="1985"/>
      <c r="Y23" s="1985"/>
      <c r="Z23" s="1985"/>
    </row>
    <row r="24" spans="1:26" s="1984" customFormat="1" ht="13.5" customHeight="1">
      <c r="A24" s="2553" t="s">
        <v>1849</v>
      </c>
      <c r="B24" s="2733" t="s">
        <v>2810</v>
      </c>
      <c r="C24" s="2555">
        <f ca="1">ROUND(C6*F24,0)</f>
        <v>21795</v>
      </c>
      <c r="D24" s="461"/>
      <c r="E24" s="459"/>
      <c r="F24" s="2559">
        <f>'数据-取费表'!B38</f>
        <v>0.05</v>
      </c>
      <c r="G24" s="2524" t="s">
        <v>493</v>
      </c>
      <c r="H24" s="2518"/>
      <c r="I24" s="2518"/>
      <c r="J24" s="2518"/>
      <c r="K24" s="269"/>
      <c r="L24" s="3184"/>
      <c r="M24" s="3184"/>
      <c r="N24" s="3184"/>
      <c r="O24" s="1985"/>
      <c r="P24" s="1985"/>
      <c r="Q24" s="1985"/>
      <c r="R24" s="1985"/>
      <c r="S24" s="1985"/>
      <c r="T24" s="1985"/>
      <c r="U24" s="1985"/>
      <c r="V24" s="1985"/>
      <c r="W24" s="1985"/>
      <c r="X24" s="1985"/>
      <c r="Y24" s="1985"/>
      <c r="Z24" s="1985"/>
    </row>
    <row r="25" spans="1:26" s="1987" customFormat="1" ht="13.5" customHeight="1">
      <c r="A25" s="2553" t="s">
        <v>1850</v>
      </c>
      <c r="B25" s="2733" t="s">
        <v>2808</v>
      </c>
      <c r="C25" s="453">
        <f>ROUND(F25/(1+'数据-取费表'!C42),4)</f>
        <v>3.8600000000000002E-2</v>
      </c>
      <c r="D25" s="448" t="s">
        <v>2802</v>
      </c>
      <c r="E25" s="455"/>
      <c r="F25" s="2559">
        <f>IF(项目基本情况!B8="出让",0,'数据-取费表'!B48+'数据-取费表'!B49)</f>
        <v>4.0500000000000001E-2</v>
      </c>
      <c r="G25" s="2523" t="s">
        <v>2274</v>
      </c>
      <c r="H25" s="2516"/>
      <c r="I25" s="2516"/>
      <c r="J25" s="2516"/>
      <c r="K25" s="2517"/>
      <c r="L25" s="3185"/>
      <c r="M25" s="3185"/>
      <c r="N25" s="3185"/>
      <c r="O25" s="3185"/>
      <c r="P25" s="3185"/>
      <c r="Q25" s="3185"/>
      <c r="R25" s="3185"/>
      <c r="S25" s="3185"/>
      <c r="T25" s="3185"/>
      <c r="U25" s="3185"/>
      <c r="V25" s="3185"/>
      <c r="W25" s="3185"/>
      <c r="X25" s="3185"/>
      <c r="Y25" s="3185"/>
      <c r="Z25" s="3185"/>
    </row>
    <row r="26" spans="1:26" s="1986" customFormat="1" ht="13.5" customHeight="1">
      <c r="A26" s="2553" t="s">
        <v>1851</v>
      </c>
      <c r="B26" s="2734" t="s">
        <v>2809</v>
      </c>
      <c r="C26" s="2560">
        <f ca="1">C28</f>
        <v>16251</v>
      </c>
      <c r="D26" s="453">
        <f ca="1">C27</f>
        <v>0.15509999999999999</v>
      </c>
      <c r="E26" s="455" t="s">
        <v>489</v>
      </c>
      <c r="F26" s="457">
        <f ca="1">'数据-取费表'!B40</f>
        <v>4.7500000000000001E-2</v>
      </c>
      <c r="G26" s="2410" t="str">
        <f>IF('数据-取费表'!B22&lt;=1,"单利计息。","复利计息。")&amp;"后续开发成本、管理费用及销售费用产生的利息。"</f>
        <v>复利计息。后续开发成本、管理费用及销售费用产生的利息。</v>
      </c>
      <c r="H26" s="2520"/>
      <c r="I26" s="2520"/>
      <c r="J26" s="2520"/>
      <c r="K26" s="2521"/>
      <c r="L26" s="3184"/>
      <c r="M26" s="3184"/>
      <c r="N26" s="3184"/>
      <c r="O26" s="3184"/>
      <c r="P26" s="3184"/>
      <c r="Q26" s="3184"/>
      <c r="R26" s="3184"/>
      <c r="S26" s="3184"/>
      <c r="T26" s="3184"/>
      <c r="U26" s="3184"/>
      <c r="V26" s="3184"/>
      <c r="W26" s="3184"/>
      <c r="X26" s="3184"/>
      <c r="Y26" s="3184"/>
      <c r="Z26" s="3184"/>
    </row>
    <row r="27" spans="1:26" s="1988" customFormat="1" ht="13.5" customHeight="1">
      <c r="A27" s="785" t="s">
        <v>1846</v>
      </c>
      <c r="B27" s="2561" t="s">
        <v>490</v>
      </c>
      <c r="C27" s="2562">
        <f ca="1">ROUND(IF('数据-取费表'!B22&lt;=1,(1+C25)*F26*'数据-取费表'!B24,(1+C25)*(POWER((1+F26),'数据-取费表'!B24)-1)),4)</f>
        <v>0.15509999999999999</v>
      </c>
      <c r="D27" s="458"/>
      <c r="E27" s="459"/>
      <c r="F27" s="460"/>
      <c r="G27" s="2410" t="str">
        <f>IF('数据-取费表'!B22&lt;=1,"（1+取得税费率/(1+5%)）×年利率×建设期","（1+取得税费率）/(1+5%)×((1+年利率)^建设期-1)")</f>
        <v>（1+取得税费率）/(1+5%)×((1+年利率)^建设期-1)</v>
      </c>
      <c r="H27" s="2518"/>
      <c r="I27" s="2518"/>
      <c r="J27" s="2518"/>
      <c r="K27" s="269"/>
      <c r="L27" s="3186"/>
      <c r="M27" s="3186"/>
      <c r="N27" s="3186"/>
      <c r="O27" s="3186"/>
      <c r="P27" s="3186"/>
      <c r="Q27" s="3186"/>
      <c r="R27" s="3186"/>
      <c r="S27" s="3186"/>
      <c r="T27" s="3186"/>
      <c r="U27" s="3186"/>
      <c r="V27" s="3186"/>
      <c r="W27" s="3186"/>
      <c r="X27" s="3186"/>
      <c r="Y27" s="3186"/>
      <c r="Z27" s="3186"/>
    </row>
    <row r="28" spans="1:26" s="1988" customFormat="1" ht="13.5" customHeight="1">
      <c r="A28" s="785" t="s">
        <v>1847</v>
      </c>
      <c r="B28" s="2561" t="s">
        <v>2811</v>
      </c>
      <c r="C28" s="2563">
        <f ca="1">ROUND(IF('数据-取费表'!B22&lt;=1,(C18+C19+C20+C23+C24)*F26*'数据-取费表'!B24/2,(C18+C19+C20+C23+C24)*(POWER((1+F26),'数据-取费表'!B24/2)-1)),0)</f>
        <v>16251</v>
      </c>
      <c r="D28" s="458"/>
      <c r="E28" s="459"/>
      <c r="F28" s="460"/>
      <c r="G28" s="2410" t="str">
        <f>IF('数据-取费表'!B22&lt;=1,"（1）-（4）项×年利率×建设期÷2","（1）-（4）项×((1+年利率)^(建设期÷2)-1)")</f>
        <v>（1）-（4）项×((1+年利率)^(建设期÷2)-1)</v>
      </c>
      <c r="H28" s="2518"/>
      <c r="I28" s="2518"/>
      <c r="J28" s="2518"/>
      <c r="K28" s="269"/>
      <c r="L28" s="3186"/>
      <c r="M28" s="3186"/>
      <c r="N28" s="3186"/>
      <c r="O28" s="3186"/>
      <c r="P28" s="3186"/>
      <c r="Q28" s="3186"/>
      <c r="R28" s="3186"/>
      <c r="S28" s="3186"/>
      <c r="T28" s="3186"/>
      <c r="U28" s="3186"/>
      <c r="V28" s="3186"/>
      <c r="W28" s="3186"/>
      <c r="X28" s="3186"/>
      <c r="Y28" s="3186"/>
      <c r="Z28" s="3186"/>
    </row>
    <row r="29" spans="1:26" s="1988" customFormat="1" ht="13.5" customHeight="1">
      <c r="A29" s="2564" t="s">
        <v>1852</v>
      </c>
      <c r="B29" s="2554" t="s">
        <v>491</v>
      </c>
      <c r="C29" s="2555">
        <f ca="1">ROUND(C6*F29/(1+'数据-取费表'!C42),0)</f>
        <v>22833</v>
      </c>
      <c r="D29" s="454"/>
      <c r="E29" s="454"/>
      <c r="F29" s="2735">
        <f>'数据-取费表'!B41</f>
        <v>5.5000000000000007E-2</v>
      </c>
      <c r="G29" s="2524" t="s">
        <v>492</v>
      </c>
      <c r="H29" s="2516"/>
      <c r="I29" s="2516"/>
      <c r="J29" s="2516"/>
      <c r="K29" s="2517"/>
      <c r="L29" s="3186"/>
      <c r="M29" s="3186"/>
      <c r="N29" s="3186"/>
      <c r="O29" s="3186"/>
      <c r="P29" s="3186"/>
      <c r="Q29" s="3186"/>
      <c r="R29" s="3186"/>
      <c r="S29" s="3186"/>
      <c r="T29" s="3186"/>
      <c r="U29" s="3186"/>
      <c r="V29" s="3186"/>
      <c r="W29" s="3186"/>
      <c r="X29" s="3186"/>
      <c r="Y29" s="3186"/>
      <c r="Z29" s="3186"/>
    </row>
    <row r="30" spans="1:26" s="1989" customFormat="1" ht="13.5" customHeight="1">
      <c r="A30" s="1551" t="s">
        <v>1853</v>
      </c>
      <c r="B30" s="2565" t="s">
        <v>494</v>
      </c>
      <c r="C30" s="2560">
        <f ca="1">C31</f>
        <v>264511</v>
      </c>
      <c r="D30" s="463">
        <f ca="1">C32</f>
        <v>0.19370000000000001</v>
      </c>
      <c r="E30" s="455" t="s">
        <v>489</v>
      </c>
      <c r="F30" s="457"/>
      <c r="G30" s="2523" t="s">
        <v>2926</v>
      </c>
      <c r="H30" s="2516"/>
      <c r="I30" s="2516"/>
      <c r="J30" s="2516"/>
      <c r="K30" s="2517"/>
      <c r="L30" s="3187"/>
      <c r="M30" s="3187"/>
      <c r="N30" s="3187"/>
      <c r="O30" s="3187"/>
      <c r="P30" s="3187"/>
      <c r="Q30" s="3187"/>
      <c r="R30" s="3187"/>
      <c r="S30" s="3187"/>
      <c r="T30" s="3187"/>
      <c r="U30" s="3187"/>
      <c r="V30" s="3187"/>
      <c r="W30" s="3187"/>
      <c r="X30" s="3187"/>
      <c r="Y30" s="3187"/>
      <c r="Z30" s="3187"/>
    </row>
    <row r="31" spans="1:26" s="1988" customFormat="1" ht="13.5" customHeight="1">
      <c r="A31" s="785" t="s">
        <v>1846</v>
      </c>
      <c r="B31" s="2561"/>
      <c r="C31" s="436">
        <f ca="1">C18+C19+C20+C23+C24+C26+C29</f>
        <v>264511</v>
      </c>
      <c r="D31" s="458"/>
      <c r="E31" s="459"/>
      <c r="F31" s="460"/>
      <c r="G31" s="251"/>
      <c r="H31" s="2518"/>
      <c r="I31" s="2518"/>
      <c r="J31" s="2518"/>
      <c r="K31" s="269"/>
      <c r="L31" s="3186"/>
      <c r="M31" s="3186"/>
      <c r="N31" s="3186"/>
      <c r="O31" s="3186"/>
      <c r="P31" s="3186"/>
      <c r="Q31" s="3186"/>
      <c r="R31" s="3186"/>
      <c r="S31" s="3186"/>
      <c r="T31" s="3186"/>
      <c r="U31" s="3186"/>
      <c r="V31" s="3186"/>
      <c r="W31" s="3186"/>
      <c r="X31" s="3186"/>
      <c r="Y31" s="3186"/>
      <c r="Z31" s="3186"/>
    </row>
    <row r="32" spans="1:26" s="1988" customFormat="1" ht="13.5" customHeight="1">
      <c r="A32" s="785" t="s">
        <v>1847</v>
      </c>
      <c r="B32" s="2561"/>
      <c r="C32" s="53">
        <f ca="1">ROUND(C25+D26,4)</f>
        <v>0.19370000000000001</v>
      </c>
      <c r="D32" s="458"/>
      <c r="E32" s="459"/>
      <c r="F32" s="460"/>
      <c r="G32" s="251"/>
      <c r="H32" s="2518"/>
      <c r="I32" s="2518"/>
      <c r="J32" s="2518"/>
      <c r="K32" s="269"/>
      <c r="L32" s="3186"/>
      <c r="M32" s="3186"/>
      <c r="N32" s="3186"/>
      <c r="O32" s="3186"/>
      <c r="P32" s="3186"/>
      <c r="Q32" s="3186"/>
      <c r="R32" s="3186"/>
      <c r="S32" s="3186"/>
      <c r="T32" s="3186"/>
      <c r="U32" s="3186"/>
      <c r="V32" s="3186"/>
      <c r="W32" s="3186"/>
      <c r="X32" s="3186"/>
      <c r="Y32" s="3186"/>
      <c r="Z32" s="3186"/>
    </row>
    <row r="33" spans="1:26" s="1990" customFormat="1" ht="13.5" customHeight="1">
      <c r="A33" s="2732" t="s">
        <v>2806</v>
      </c>
      <c r="B33" s="2730" t="s">
        <v>2804</v>
      </c>
      <c r="C33" s="464">
        <f ca="1">C35</f>
        <v>33814</v>
      </c>
      <c r="D33" s="453">
        <f ca="1">C34</f>
        <v>0.15579999999999999</v>
      </c>
      <c r="E33" s="455" t="s">
        <v>489</v>
      </c>
      <c r="F33" s="465">
        <f ca="1">IF(B1="",'数据-取费表'!Q16,INDIRECT("'数据-取费表'!q"&amp;$K$1))</f>
        <v>0.15</v>
      </c>
      <c r="G33" s="2519"/>
      <c r="H33" s="2520"/>
      <c r="I33" s="2520"/>
      <c r="J33" s="2520"/>
      <c r="K33" s="2521"/>
      <c r="L33" s="3188"/>
      <c r="M33" s="3188"/>
      <c r="N33" s="3188"/>
      <c r="O33" s="3188"/>
      <c r="P33" s="3188"/>
      <c r="Q33" s="3188"/>
      <c r="R33" s="3188"/>
      <c r="S33" s="3188"/>
      <c r="T33" s="3188"/>
      <c r="U33" s="3188"/>
      <c r="V33" s="3188"/>
      <c r="W33" s="3188"/>
      <c r="X33" s="3188"/>
      <c r="Y33" s="3188"/>
      <c r="Z33" s="3188"/>
    </row>
    <row r="34" spans="1:26" s="1991" customFormat="1" ht="13.5" customHeight="1">
      <c r="A34" s="361" t="s">
        <v>1846</v>
      </c>
      <c r="B34" s="2566" t="s">
        <v>495</v>
      </c>
      <c r="C34" s="458">
        <f ca="1">ROUND((1+C25)*F33,4)</f>
        <v>0.15579999999999999</v>
      </c>
      <c r="D34" s="458"/>
      <c r="E34" s="459"/>
      <c r="F34" s="466"/>
      <c r="G34" s="251" t="s">
        <v>2275</v>
      </c>
      <c r="H34" s="2518"/>
      <c r="I34" s="2518"/>
      <c r="J34" s="2518"/>
      <c r="K34" s="269"/>
      <c r="L34" s="3189"/>
      <c r="M34" s="3189"/>
      <c r="N34" s="3189"/>
      <c r="O34" s="3189"/>
      <c r="P34" s="3189"/>
      <c r="Q34" s="3189"/>
      <c r="R34" s="3189"/>
      <c r="S34" s="3189"/>
      <c r="T34" s="3189"/>
      <c r="U34" s="3189"/>
      <c r="V34" s="3189"/>
      <c r="W34" s="3189"/>
      <c r="X34" s="3189"/>
      <c r="Y34" s="3189"/>
      <c r="Z34" s="3189"/>
    </row>
    <row r="35" spans="1:26" s="1991" customFormat="1" ht="13.5" customHeight="1" thickBot="1">
      <c r="A35" s="1552" t="s">
        <v>1847</v>
      </c>
      <c r="B35" s="2731" t="s">
        <v>2812</v>
      </c>
      <c r="C35" s="1544">
        <f ca="1">ROUND((C18+C19+C20+C23+C24)*F33,0)</f>
        <v>33814</v>
      </c>
      <c r="D35" s="1545"/>
      <c r="E35" s="2567"/>
      <c r="F35" s="1546"/>
      <c r="G35" s="2525"/>
      <c r="H35" s="2526"/>
      <c r="I35" s="2526"/>
      <c r="J35" s="2526"/>
      <c r="K35" s="2527"/>
      <c r="L35" s="3189"/>
      <c r="M35" s="3189"/>
      <c r="N35" s="3189"/>
      <c r="O35" s="3189"/>
      <c r="P35" s="3189"/>
      <c r="Q35" s="3189"/>
      <c r="R35" s="3189"/>
      <c r="S35" s="3189"/>
      <c r="T35" s="3189"/>
      <c r="U35" s="3189"/>
      <c r="V35" s="3189"/>
      <c r="W35" s="3189"/>
      <c r="X35" s="3189"/>
      <c r="Y35" s="3189"/>
      <c r="Z35" s="3189"/>
    </row>
    <row r="36" spans="1:26" s="1953" customFormat="1" ht="13.5" customHeight="1" thickBot="1">
      <c r="A36" s="274" t="s">
        <v>1834</v>
      </c>
      <c r="B36" s="2529"/>
      <c r="C36" s="2568">
        <f ca="1">ROUND((C6-C30-C33)/(1+D30+D33),0)</f>
        <v>101944</v>
      </c>
      <c r="D36" s="2529"/>
      <c r="E36" s="2529"/>
      <c r="F36" s="2529"/>
      <c r="G36" s="2528" t="s">
        <v>2813</v>
      </c>
      <c r="H36" s="2529"/>
      <c r="I36" s="2529"/>
      <c r="J36" s="2529"/>
      <c r="K36" s="2530"/>
      <c r="L36" s="3183"/>
      <c r="M36" s="3183"/>
      <c r="N36" s="3183"/>
      <c r="O36" s="3183"/>
      <c r="P36" s="3183"/>
      <c r="Q36" s="3183"/>
      <c r="R36" s="3183"/>
      <c r="S36" s="3183"/>
      <c r="T36" s="3183"/>
      <c r="U36" s="3183"/>
      <c r="V36" s="3183"/>
      <c r="W36" s="3183"/>
      <c r="X36" s="3183"/>
      <c r="Y36" s="3183"/>
      <c r="Z36" s="3183"/>
    </row>
    <row r="37" spans="1:26" s="1983" customFormat="1">
      <c r="A37" s="3190"/>
      <c r="C37" s="3191"/>
      <c r="E37" s="3190"/>
    </row>
    <row r="38" spans="1:26" s="1983" customFormat="1" ht="12.75" customHeight="1">
      <c r="A38" s="3190"/>
      <c r="C38" s="3191"/>
      <c r="E38" s="3190"/>
    </row>
    <row r="39" spans="1:26" s="1983" customFormat="1">
      <c r="A39" s="3190"/>
      <c r="C39" s="3191"/>
      <c r="E39" s="3190"/>
    </row>
    <row r="40" spans="1:26" s="1983" customFormat="1">
      <c r="A40" s="3190"/>
      <c r="C40" s="3191"/>
      <c r="E40" s="3190"/>
    </row>
    <row r="41" spans="1:26" s="1983" customFormat="1">
      <c r="A41" s="3190"/>
      <c r="C41" s="3191"/>
      <c r="E41" s="3190"/>
    </row>
    <row r="42" spans="1:26" s="1983" customFormat="1">
      <c r="A42" s="3190"/>
      <c r="C42" s="3191"/>
      <c r="E42" s="3190"/>
    </row>
    <row r="43" spans="1:26" s="1983" customFormat="1">
      <c r="A43" s="3190"/>
      <c r="C43" s="3191"/>
      <c r="E43" s="3190"/>
    </row>
    <row r="44" spans="1:26" s="1983" customFormat="1">
      <c r="A44" s="3190"/>
      <c r="C44" s="3191"/>
      <c r="E44" s="3190"/>
    </row>
    <row r="45" spans="1:26" s="1983" customFormat="1">
      <c r="A45" s="3190"/>
      <c r="C45" s="3191"/>
      <c r="E45" s="3190"/>
    </row>
    <row r="46" spans="1:26" s="1983" customFormat="1">
      <c r="A46" s="3190"/>
      <c r="C46" s="3191"/>
      <c r="E46" s="3190"/>
    </row>
    <row r="47" spans="1:26" s="1983" customFormat="1">
      <c r="A47" s="3190"/>
      <c r="C47" s="3191"/>
      <c r="E47" s="3190"/>
    </row>
    <row r="48" spans="1:26" s="1983" customFormat="1">
      <c r="A48" s="3190"/>
      <c r="C48" s="3191"/>
      <c r="E48" s="3190"/>
    </row>
    <row r="49" spans="1:5" s="1983" customFormat="1">
      <c r="A49" s="3190"/>
      <c r="C49" s="3191"/>
      <c r="E49" s="3190"/>
    </row>
    <row r="50" spans="1:5" s="1983" customFormat="1">
      <c r="A50" s="3190"/>
      <c r="C50" s="3191"/>
      <c r="E50" s="3190"/>
    </row>
    <row r="51" spans="1:5" s="1983" customFormat="1">
      <c r="A51" s="3190"/>
      <c r="C51" s="3191"/>
      <c r="E51" s="3190"/>
    </row>
    <row r="52" spans="1:5" s="1983" customFormat="1">
      <c r="A52" s="3190"/>
      <c r="C52" s="3191"/>
      <c r="E52" s="3190"/>
    </row>
    <row r="53" spans="1:5" s="1983" customFormat="1">
      <c r="A53" s="3190"/>
      <c r="C53" s="3191"/>
      <c r="E53" s="3190"/>
    </row>
    <row r="54" spans="1:5" s="1983" customFormat="1">
      <c r="A54" s="3190"/>
      <c r="C54" s="3191"/>
      <c r="E54" s="3190"/>
    </row>
    <row r="55" spans="1:5" s="1983" customFormat="1">
      <c r="A55" s="3190"/>
      <c r="C55" s="3191"/>
      <c r="E55" s="3190"/>
    </row>
    <row r="56" spans="1:5" s="1983" customFormat="1">
      <c r="A56" s="3190"/>
      <c r="C56" s="3191"/>
      <c r="E56" s="3190"/>
    </row>
    <row r="57" spans="1:5" s="1983" customFormat="1">
      <c r="A57" s="3190"/>
      <c r="C57" s="3191"/>
      <c r="E57" s="3190"/>
    </row>
    <row r="58" spans="1:5" s="1983" customFormat="1">
      <c r="A58" s="3190"/>
      <c r="C58" s="3191"/>
      <c r="E58" s="3190"/>
    </row>
    <row r="59" spans="1:5" s="1983" customFormat="1">
      <c r="A59" s="3190"/>
      <c r="C59" s="3191"/>
      <c r="E59" s="3190"/>
    </row>
    <row r="60" spans="1:5" s="1983" customFormat="1">
      <c r="A60" s="3190"/>
      <c r="C60" s="3191"/>
      <c r="E60" s="3190"/>
    </row>
    <row r="61" spans="1:5" s="1983" customFormat="1">
      <c r="A61" s="3190"/>
      <c r="C61" s="3191"/>
      <c r="E61" s="3190"/>
    </row>
    <row r="62" spans="1:5" s="1983" customFormat="1">
      <c r="A62" s="3190"/>
      <c r="C62" s="3191"/>
      <c r="E62" s="3190"/>
    </row>
    <row r="63" spans="1:5" s="1983" customFormat="1">
      <c r="A63" s="3190"/>
      <c r="C63" s="3191"/>
      <c r="E63" s="3190"/>
    </row>
    <row r="64" spans="1:5" s="1983" customFormat="1">
      <c r="A64" s="3190"/>
      <c r="C64" s="3191"/>
      <c r="E64" s="3190"/>
    </row>
    <row r="65" spans="1:5" s="1983" customFormat="1">
      <c r="A65" s="3190"/>
      <c r="C65" s="3191"/>
      <c r="E65" s="3190"/>
    </row>
    <row r="66" spans="1:5" s="1983" customFormat="1">
      <c r="A66" s="3190"/>
      <c r="C66" s="3191"/>
      <c r="E66" s="3190"/>
    </row>
    <row r="67" spans="1:5" s="1983" customFormat="1">
      <c r="A67" s="3190"/>
      <c r="C67" s="3191"/>
      <c r="E67" s="3190"/>
    </row>
    <row r="68" spans="1:5" s="1983" customFormat="1">
      <c r="A68" s="3190"/>
      <c r="C68" s="3191"/>
      <c r="E68" s="3190"/>
    </row>
    <row r="69" spans="1:5" s="1983" customFormat="1">
      <c r="A69" s="3190"/>
      <c r="C69" s="3191"/>
      <c r="E69" s="3190"/>
    </row>
    <row r="70" spans="1:5" s="1983" customFormat="1">
      <c r="A70" s="3190"/>
      <c r="C70" s="3191"/>
      <c r="E70" s="3190"/>
    </row>
    <row r="71" spans="1:5" s="1983" customFormat="1">
      <c r="A71" s="3190"/>
      <c r="C71" s="3191"/>
      <c r="E71" s="3190"/>
    </row>
    <row r="72" spans="1:5" s="1983" customFormat="1">
      <c r="A72" s="3190"/>
      <c r="C72" s="3191"/>
      <c r="E72" s="3190"/>
    </row>
    <row r="73" spans="1:5" s="1983" customFormat="1">
      <c r="A73" s="3190"/>
      <c r="C73" s="3191"/>
      <c r="E73" s="3190"/>
    </row>
    <row r="74" spans="1:5" s="1983" customFormat="1">
      <c r="A74" s="3190"/>
      <c r="C74" s="3191"/>
      <c r="E74" s="3190"/>
    </row>
    <row r="75" spans="1:5" s="1983" customFormat="1">
      <c r="A75" s="3190"/>
      <c r="C75" s="3191"/>
      <c r="E75" s="3190"/>
    </row>
    <row r="76" spans="1:5" s="1983" customFormat="1">
      <c r="A76" s="3190"/>
      <c r="C76" s="3191"/>
      <c r="E76" s="3190"/>
    </row>
    <row r="77" spans="1:5" s="1983" customFormat="1">
      <c r="A77" s="3190"/>
      <c r="C77" s="3191"/>
      <c r="E77" s="3190"/>
    </row>
    <row r="78" spans="1:5" s="1983" customFormat="1">
      <c r="A78" s="3190"/>
      <c r="C78" s="3191"/>
      <c r="E78" s="3190"/>
    </row>
    <row r="79" spans="1:5" s="1983" customFormat="1">
      <c r="A79" s="3190"/>
      <c r="C79" s="3191"/>
      <c r="E79" s="3190"/>
    </row>
    <row r="80" spans="1:5" s="1983" customFormat="1">
      <c r="A80" s="3190"/>
      <c r="C80" s="3191"/>
      <c r="E80" s="3190"/>
    </row>
    <row r="81" spans="1:5" s="1983" customFormat="1">
      <c r="A81" s="3190"/>
      <c r="C81" s="3191"/>
      <c r="E81" s="3190"/>
    </row>
    <row r="82" spans="1:5" s="1983" customFormat="1">
      <c r="A82" s="3190"/>
      <c r="C82" s="3191"/>
      <c r="E82" s="3190"/>
    </row>
    <row r="83" spans="1:5" s="1983" customFormat="1">
      <c r="A83" s="3190"/>
      <c r="C83" s="3191"/>
      <c r="E83" s="3190"/>
    </row>
    <row r="84" spans="1:5" s="1983" customFormat="1">
      <c r="A84" s="3190"/>
      <c r="C84" s="3191"/>
      <c r="E84" s="3190"/>
    </row>
    <row r="85" spans="1:5" s="1983" customFormat="1">
      <c r="A85" s="3190"/>
      <c r="C85" s="3191"/>
      <c r="E85" s="3190"/>
    </row>
    <row r="86" spans="1:5" s="1983" customFormat="1">
      <c r="A86" s="3190"/>
      <c r="C86" s="3191"/>
      <c r="E86" s="3190"/>
    </row>
    <row r="87" spans="1:5" s="1983" customFormat="1">
      <c r="A87" s="3190"/>
      <c r="C87" s="3191"/>
      <c r="E87" s="3190"/>
    </row>
    <row r="88" spans="1:5" s="1983" customFormat="1">
      <c r="A88" s="3190"/>
      <c r="C88" s="3191"/>
      <c r="E88" s="3190"/>
    </row>
    <row r="89" spans="1:5" s="1983" customFormat="1">
      <c r="A89" s="3190"/>
      <c r="C89" s="3191"/>
      <c r="E89" s="3190"/>
    </row>
    <row r="90" spans="1:5" s="1983" customFormat="1">
      <c r="A90" s="3190"/>
      <c r="C90" s="3191"/>
      <c r="E90" s="3190"/>
    </row>
    <row r="91" spans="1:5" s="1983" customFormat="1">
      <c r="A91" s="3190"/>
      <c r="C91" s="3191"/>
      <c r="E91" s="3190"/>
    </row>
    <row r="92" spans="1:5" s="1983" customFormat="1">
      <c r="A92" s="3190"/>
      <c r="C92" s="3191"/>
      <c r="E92" s="3190"/>
    </row>
    <row r="93" spans="1:5" s="1983" customFormat="1">
      <c r="A93" s="3190"/>
      <c r="C93" s="3191"/>
      <c r="E93" s="3190"/>
    </row>
    <row r="94" spans="1:5" s="1983" customFormat="1">
      <c r="A94" s="3190"/>
      <c r="C94" s="3191"/>
      <c r="E94" s="3190"/>
    </row>
    <row r="95" spans="1:5" s="1983" customFormat="1">
      <c r="A95" s="3190"/>
      <c r="C95" s="3191"/>
      <c r="E95" s="3190"/>
    </row>
    <row r="96" spans="1:5" s="1983" customFormat="1">
      <c r="A96" s="3190"/>
      <c r="C96" s="3191"/>
      <c r="E96" s="3190"/>
    </row>
    <row r="97" spans="1:5" s="1983" customFormat="1">
      <c r="A97" s="3190"/>
      <c r="C97" s="3191"/>
      <c r="E97" s="3190"/>
    </row>
    <row r="98" spans="1:5" s="1983" customFormat="1">
      <c r="A98" s="3190"/>
      <c r="C98" s="3191"/>
      <c r="E98" s="3190"/>
    </row>
    <row r="99" spans="1:5" s="1983" customFormat="1">
      <c r="A99" s="3190"/>
      <c r="C99" s="3191"/>
      <c r="E99" s="3190"/>
    </row>
    <row r="100" spans="1:5" s="1983" customFormat="1">
      <c r="A100" s="3190"/>
      <c r="C100" s="3191"/>
      <c r="E100" s="3190"/>
    </row>
    <row r="101" spans="1:5" s="1983" customFormat="1">
      <c r="A101" s="3190"/>
      <c r="C101" s="3191"/>
      <c r="E101" s="3190"/>
    </row>
    <row r="102" spans="1:5" s="1983" customFormat="1">
      <c r="A102" s="3190"/>
      <c r="C102" s="3191"/>
      <c r="E102" s="3190"/>
    </row>
    <row r="103" spans="1:5" s="1983" customFormat="1">
      <c r="A103" s="3190"/>
      <c r="C103" s="3191"/>
      <c r="E103" s="3190"/>
    </row>
    <row r="104" spans="1:5" s="1983" customFormat="1">
      <c r="A104" s="3190"/>
      <c r="C104" s="3191"/>
      <c r="E104" s="3190"/>
    </row>
    <row r="105" spans="1:5" s="1983" customFormat="1">
      <c r="A105" s="3190"/>
      <c r="C105" s="3191"/>
      <c r="E105" s="3190"/>
    </row>
    <row r="106" spans="1:5" s="1983" customFormat="1">
      <c r="A106" s="3190"/>
      <c r="C106" s="3191"/>
      <c r="E106" s="3190"/>
    </row>
    <row r="107" spans="1:5" s="1983" customFormat="1">
      <c r="A107" s="3190"/>
      <c r="C107" s="3191"/>
      <c r="E107" s="3190"/>
    </row>
    <row r="108" spans="1:5" s="1983" customFormat="1">
      <c r="A108" s="3190"/>
      <c r="C108" s="3191"/>
      <c r="E108" s="3190"/>
    </row>
    <row r="109" spans="1:5" s="1983" customFormat="1">
      <c r="A109" s="3190"/>
      <c r="C109" s="3191"/>
      <c r="E109" s="3190"/>
    </row>
    <row r="110" spans="1:5" s="1983" customFormat="1">
      <c r="A110" s="3190"/>
      <c r="C110" s="3191"/>
      <c r="E110" s="3190"/>
    </row>
    <row r="111" spans="1:5" s="1983" customFormat="1">
      <c r="A111" s="3190"/>
      <c r="C111" s="3191"/>
      <c r="E111" s="3190"/>
    </row>
    <row r="112" spans="1:5" s="1983" customFormat="1">
      <c r="A112" s="3190"/>
      <c r="C112" s="3191"/>
      <c r="E112" s="3190"/>
    </row>
    <row r="113" spans="1:5" s="1983" customFormat="1">
      <c r="A113" s="3190"/>
      <c r="C113" s="3191"/>
      <c r="E113" s="3190"/>
    </row>
    <row r="114" spans="1:5" s="1983" customFormat="1">
      <c r="A114" s="3190"/>
      <c r="C114" s="3191"/>
      <c r="E114" s="3190"/>
    </row>
    <row r="115" spans="1:5" s="1983" customFormat="1">
      <c r="A115" s="3190"/>
      <c r="C115" s="3191"/>
      <c r="E115" s="3190"/>
    </row>
    <row r="116" spans="1:5" s="1983" customFormat="1">
      <c r="A116" s="3190"/>
      <c r="C116" s="3191"/>
      <c r="E116" s="3190"/>
    </row>
    <row r="117" spans="1:5" s="1983" customFormat="1">
      <c r="A117" s="3190"/>
      <c r="C117" s="3191"/>
      <c r="E117" s="3190"/>
    </row>
    <row r="118" spans="1:5" s="1983" customFormat="1">
      <c r="A118" s="3190"/>
      <c r="C118" s="3191"/>
      <c r="E118" s="3190"/>
    </row>
    <row r="119" spans="1:5" s="1983" customFormat="1">
      <c r="A119" s="3190"/>
      <c r="C119" s="3191"/>
      <c r="E119" s="3190"/>
    </row>
    <row r="120" spans="1:5" s="1983" customFormat="1">
      <c r="A120" s="3190"/>
      <c r="C120" s="3191"/>
      <c r="E120" s="3190"/>
    </row>
    <row r="121" spans="1:5" s="1983" customFormat="1">
      <c r="A121" s="3190"/>
      <c r="C121" s="3191"/>
      <c r="E121" s="3190"/>
    </row>
    <row r="122" spans="1:5" s="1983" customFormat="1">
      <c r="A122" s="3190"/>
      <c r="C122" s="3191"/>
      <c r="E122" s="3190"/>
    </row>
    <row r="123" spans="1:5" s="1983" customFormat="1">
      <c r="A123" s="3190"/>
      <c r="C123" s="3191"/>
      <c r="E123" s="3190"/>
    </row>
    <row r="124" spans="1:5" s="1983" customFormat="1">
      <c r="A124" s="3190"/>
      <c r="C124" s="3191"/>
      <c r="E124" s="3190"/>
    </row>
    <row r="125" spans="1:5" s="1983" customFormat="1">
      <c r="A125" s="3190"/>
      <c r="C125" s="3191"/>
      <c r="E125" s="3190"/>
    </row>
    <row r="126" spans="1:5" s="1983" customFormat="1">
      <c r="A126" s="3190"/>
      <c r="C126" s="3191"/>
      <c r="E126" s="3190"/>
    </row>
    <row r="127" spans="1:5" s="1983" customFormat="1">
      <c r="A127" s="3190"/>
      <c r="C127" s="3191"/>
      <c r="E127" s="3190"/>
    </row>
    <row r="128" spans="1:5" s="1983" customFormat="1">
      <c r="A128" s="3190"/>
      <c r="C128" s="3191"/>
      <c r="E128" s="3190"/>
    </row>
    <row r="129" spans="1:5" s="1983" customFormat="1">
      <c r="A129" s="3190"/>
      <c r="C129" s="3191"/>
      <c r="E129" s="3190"/>
    </row>
    <row r="130" spans="1:5" s="1983" customFormat="1">
      <c r="A130" s="3190"/>
      <c r="C130" s="3191"/>
      <c r="E130" s="3190"/>
    </row>
    <row r="131" spans="1:5" s="1983" customFormat="1">
      <c r="A131" s="3190"/>
      <c r="C131" s="3191"/>
      <c r="E131" s="3190"/>
    </row>
    <row r="132" spans="1:5" s="1983" customFormat="1">
      <c r="A132" s="3190"/>
      <c r="C132" s="3191"/>
      <c r="E132" s="3190"/>
    </row>
    <row r="133" spans="1:5" s="1983" customFormat="1">
      <c r="A133" s="3190"/>
      <c r="C133" s="3191"/>
      <c r="E133" s="3190"/>
    </row>
    <row r="134" spans="1:5" s="1983" customFormat="1">
      <c r="A134" s="3190"/>
      <c r="C134" s="3191"/>
      <c r="E134" s="3190"/>
    </row>
    <row r="135" spans="1:5" s="1983" customFormat="1">
      <c r="A135" s="3190"/>
      <c r="C135" s="3191"/>
      <c r="E135" s="3190"/>
    </row>
    <row r="136" spans="1:5" s="1983" customFormat="1">
      <c r="A136" s="3190"/>
      <c r="C136" s="3191"/>
      <c r="E136" s="3190"/>
    </row>
    <row r="137" spans="1:5" s="1983" customFormat="1">
      <c r="A137" s="3190"/>
      <c r="C137" s="3191"/>
      <c r="E137" s="3190"/>
    </row>
    <row r="138" spans="1:5" s="1983" customFormat="1">
      <c r="A138" s="3190"/>
      <c r="C138" s="3191"/>
      <c r="E138" s="3190"/>
    </row>
    <row r="139" spans="1:5" s="1983" customFormat="1">
      <c r="A139" s="3190"/>
      <c r="C139" s="3191"/>
      <c r="E139" s="3190"/>
    </row>
    <row r="140" spans="1:5" s="1983" customFormat="1">
      <c r="A140" s="3190"/>
      <c r="C140" s="3191"/>
      <c r="E140" s="3190"/>
    </row>
    <row r="141" spans="1:5" s="1983" customFormat="1">
      <c r="A141" s="3190"/>
      <c r="C141" s="3191"/>
      <c r="E141" s="3190"/>
    </row>
    <row r="142" spans="1:5" s="1983" customFormat="1">
      <c r="A142" s="3190"/>
      <c r="C142" s="3191"/>
      <c r="E142" s="3190"/>
    </row>
    <row r="143" spans="1:5" s="1983" customFormat="1">
      <c r="A143" s="3190"/>
      <c r="C143" s="3191"/>
      <c r="E143" s="3190"/>
    </row>
    <row r="144" spans="1:5" s="1983" customFormat="1">
      <c r="A144" s="3190"/>
      <c r="C144" s="3191"/>
      <c r="E144" s="3190"/>
    </row>
    <row r="145" spans="1:5" s="1983" customFormat="1">
      <c r="A145" s="3190"/>
      <c r="C145" s="3191"/>
      <c r="E145" s="3190"/>
    </row>
    <row r="146" spans="1:5" s="1983" customFormat="1">
      <c r="A146" s="3190"/>
      <c r="C146" s="3191"/>
      <c r="E146" s="3190"/>
    </row>
    <row r="147" spans="1:5" s="1983" customFormat="1">
      <c r="A147" s="3190"/>
      <c r="C147" s="3191"/>
      <c r="E147" s="3190"/>
    </row>
    <row r="148" spans="1:5" s="1983" customFormat="1">
      <c r="A148" s="3190"/>
      <c r="C148" s="3191"/>
      <c r="E148" s="3190"/>
    </row>
    <row r="149" spans="1:5" s="1983" customFormat="1">
      <c r="A149" s="3190"/>
      <c r="C149" s="3191"/>
      <c r="E149" s="3190"/>
    </row>
    <row r="150" spans="1:5" s="1983" customFormat="1">
      <c r="A150" s="3190"/>
      <c r="C150" s="3191"/>
      <c r="E150" s="3190"/>
    </row>
    <row r="151" spans="1:5" s="1983" customFormat="1">
      <c r="A151" s="3190"/>
      <c r="C151" s="3191"/>
      <c r="E151" s="3190"/>
    </row>
    <row r="152" spans="1:5" s="1983" customFormat="1">
      <c r="A152" s="3190"/>
      <c r="C152" s="3191"/>
      <c r="E152" s="3190"/>
    </row>
    <row r="153" spans="1:5" s="1983" customFormat="1">
      <c r="A153" s="3190"/>
      <c r="C153" s="3191"/>
      <c r="E153" s="3190"/>
    </row>
    <row r="154" spans="1:5" s="1983" customFormat="1">
      <c r="A154" s="3190"/>
      <c r="C154" s="3191"/>
      <c r="E154" s="3190"/>
    </row>
    <row r="155" spans="1:5" s="1983" customFormat="1">
      <c r="A155" s="3190"/>
      <c r="C155" s="3191"/>
      <c r="E155" s="3190"/>
    </row>
    <row r="156" spans="1:5" s="1983" customFormat="1">
      <c r="A156" s="3190"/>
      <c r="C156" s="3191"/>
      <c r="E156" s="3190"/>
    </row>
    <row r="157" spans="1:5" s="1983" customFormat="1">
      <c r="A157" s="3190"/>
      <c r="C157" s="3191"/>
      <c r="E157" s="3190"/>
    </row>
    <row r="158" spans="1:5" s="1983" customFormat="1">
      <c r="A158" s="3190"/>
      <c r="C158" s="3191"/>
      <c r="E158" s="3190"/>
    </row>
    <row r="159" spans="1:5" s="1983" customFormat="1">
      <c r="A159" s="3190"/>
      <c r="C159" s="3191"/>
      <c r="E159" s="3190"/>
    </row>
    <row r="160" spans="1:5" s="1983" customFormat="1">
      <c r="A160" s="3190"/>
      <c r="C160" s="3191"/>
      <c r="E160" s="3190"/>
    </row>
    <row r="161" spans="1:5" s="1983" customFormat="1">
      <c r="A161" s="3190"/>
      <c r="C161" s="3191"/>
      <c r="E161" s="3190"/>
    </row>
    <row r="162" spans="1:5" s="1983" customFormat="1">
      <c r="A162" s="3190"/>
      <c r="C162" s="3191"/>
      <c r="E162" s="3190"/>
    </row>
    <row r="163" spans="1:5" s="1983" customFormat="1">
      <c r="A163" s="3190"/>
      <c r="C163" s="3191"/>
      <c r="E163" s="3190"/>
    </row>
    <row r="164" spans="1:5" s="1983" customFormat="1">
      <c r="A164" s="3190"/>
      <c r="C164" s="3191"/>
      <c r="E164" s="3190"/>
    </row>
    <row r="165" spans="1:5" s="1983" customFormat="1">
      <c r="A165" s="3190"/>
      <c r="C165" s="3191"/>
      <c r="E165" s="3190"/>
    </row>
    <row r="166" spans="1:5" s="1983" customFormat="1">
      <c r="A166" s="3190"/>
      <c r="C166" s="3191"/>
      <c r="E166" s="3190"/>
    </row>
    <row r="167" spans="1:5" s="1983" customFormat="1">
      <c r="A167" s="3190"/>
      <c r="C167" s="3191"/>
      <c r="E167" s="3190"/>
    </row>
    <row r="168" spans="1:5" s="1983" customFormat="1">
      <c r="A168" s="3190"/>
      <c r="C168" s="3191"/>
      <c r="E168" s="3190"/>
    </row>
    <row r="169" spans="1:5" s="1983" customFormat="1">
      <c r="A169" s="3190"/>
      <c r="C169" s="3191"/>
      <c r="E169" s="3190"/>
    </row>
    <row r="170" spans="1:5" s="1983" customFormat="1">
      <c r="A170" s="3190"/>
      <c r="C170" s="3191"/>
      <c r="E170" s="3190"/>
    </row>
    <row r="171" spans="1:5" s="1983" customFormat="1">
      <c r="A171" s="3190"/>
      <c r="C171" s="3191"/>
      <c r="E171" s="3190"/>
    </row>
    <row r="172" spans="1:5" s="1983" customFormat="1">
      <c r="A172" s="3190"/>
      <c r="C172" s="3191"/>
      <c r="E172" s="3190"/>
    </row>
    <row r="173" spans="1:5" s="1983" customFormat="1">
      <c r="A173" s="3190"/>
      <c r="C173" s="3191"/>
      <c r="E173" s="3190"/>
    </row>
    <row r="174" spans="1:5" s="1983" customFormat="1">
      <c r="A174" s="3190"/>
      <c r="C174" s="3191"/>
      <c r="E174" s="3190"/>
    </row>
    <row r="175" spans="1:5" s="1983" customFormat="1">
      <c r="A175" s="3190"/>
      <c r="C175" s="3191"/>
      <c r="E175" s="3190"/>
    </row>
    <row r="176" spans="1:5" s="1983" customFormat="1">
      <c r="A176" s="3190"/>
      <c r="C176" s="3191"/>
      <c r="E176" s="3190"/>
    </row>
    <row r="177" spans="1:5" s="1983" customFormat="1">
      <c r="A177" s="3190"/>
      <c r="C177" s="3191"/>
      <c r="E177" s="3190"/>
    </row>
    <row r="178" spans="1:5" s="1983" customFormat="1">
      <c r="A178" s="3190"/>
      <c r="C178" s="3191"/>
      <c r="E178" s="3190"/>
    </row>
    <row r="179" spans="1:5" s="1983" customFormat="1">
      <c r="A179" s="3190"/>
      <c r="C179" s="3191"/>
      <c r="E179" s="3190"/>
    </row>
    <row r="180" spans="1:5" s="1983" customFormat="1">
      <c r="A180" s="3190"/>
      <c r="C180" s="3191"/>
      <c r="E180" s="3190"/>
    </row>
    <row r="181" spans="1:5" s="1983" customFormat="1">
      <c r="A181" s="3190"/>
      <c r="C181" s="3191"/>
      <c r="E181" s="3190"/>
    </row>
    <row r="182" spans="1:5" s="1983" customFormat="1">
      <c r="A182" s="3190"/>
      <c r="C182" s="3191"/>
      <c r="E182" s="3190"/>
    </row>
    <row r="183" spans="1:5" s="1983" customFormat="1">
      <c r="A183" s="3190"/>
      <c r="C183" s="3191"/>
      <c r="E183" s="3190"/>
    </row>
    <row r="184" spans="1:5" s="1983" customFormat="1">
      <c r="A184" s="3190"/>
      <c r="C184" s="3191"/>
      <c r="E184" s="3190"/>
    </row>
    <row r="185" spans="1:5" s="1983" customFormat="1">
      <c r="A185" s="3190"/>
      <c r="C185" s="3191"/>
      <c r="E185" s="3190"/>
    </row>
    <row r="186" spans="1:5" s="1983" customFormat="1">
      <c r="A186" s="3190"/>
      <c r="C186" s="3191"/>
      <c r="E186" s="3190"/>
    </row>
    <row r="187" spans="1:5" s="1983" customFormat="1">
      <c r="A187" s="3190"/>
      <c r="C187" s="3191"/>
      <c r="E187" s="3190"/>
    </row>
    <row r="188" spans="1:5" s="1983" customFormat="1">
      <c r="A188" s="3190"/>
      <c r="C188" s="3191"/>
      <c r="E188" s="3190"/>
    </row>
    <row r="189" spans="1:5" s="1983" customFormat="1">
      <c r="A189" s="3190"/>
      <c r="C189" s="3191"/>
      <c r="E189" s="3190"/>
    </row>
    <row r="190" spans="1:5" s="1983" customFormat="1">
      <c r="A190" s="3190"/>
      <c r="C190" s="3191"/>
      <c r="E190" s="3190"/>
    </row>
    <row r="191" spans="1:5" s="1983" customFormat="1">
      <c r="A191" s="3190"/>
      <c r="C191" s="3191"/>
      <c r="E191" s="3190"/>
    </row>
    <row r="192" spans="1:5" s="1983" customFormat="1">
      <c r="A192" s="3190"/>
      <c r="C192" s="3191"/>
      <c r="E192" s="3190"/>
    </row>
    <row r="193" spans="1:5" s="1983" customFormat="1">
      <c r="A193" s="3190"/>
      <c r="C193" s="3191"/>
      <c r="E193" s="3190"/>
    </row>
    <row r="194" spans="1:5" s="1983" customFormat="1">
      <c r="A194" s="3190"/>
      <c r="C194" s="3191"/>
      <c r="E194" s="3190"/>
    </row>
    <row r="195" spans="1:5" s="1983" customFormat="1">
      <c r="A195" s="3190"/>
      <c r="C195" s="3191"/>
      <c r="E195" s="3190"/>
    </row>
    <row r="196" spans="1:5" s="1983" customFormat="1">
      <c r="A196" s="3190"/>
      <c r="C196" s="3191"/>
      <c r="E196" s="3190"/>
    </row>
    <row r="197" spans="1:5" s="1983" customFormat="1">
      <c r="A197" s="3190"/>
      <c r="C197" s="3191"/>
      <c r="E197" s="3190"/>
    </row>
    <row r="198" spans="1:5" s="1983" customFormat="1">
      <c r="A198" s="3190"/>
      <c r="C198" s="3191"/>
      <c r="E198" s="3190"/>
    </row>
    <row r="199" spans="1:5" s="1983" customFormat="1">
      <c r="A199" s="3190"/>
      <c r="C199" s="3191"/>
      <c r="E199" s="3190"/>
    </row>
    <row r="200" spans="1:5" s="1983" customFormat="1">
      <c r="A200" s="3190"/>
      <c r="C200" s="3191"/>
      <c r="E200" s="3190"/>
    </row>
    <row r="201" spans="1:5" s="1983" customFormat="1">
      <c r="A201" s="3190"/>
      <c r="C201" s="3191"/>
      <c r="E201" s="3190"/>
    </row>
    <row r="202" spans="1:5" s="1983" customFormat="1">
      <c r="A202" s="3190"/>
      <c r="C202" s="3191"/>
      <c r="E202" s="3190"/>
    </row>
    <row r="203" spans="1:5" s="1983" customFormat="1">
      <c r="A203" s="3190"/>
      <c r="C203" s="3191"/>
      <c r="E203" s="3190"/>
    </row>
    <row r="204" spans="1:5" s="1983" customFormat="1">
      <c r="A204" s="3190"/>
      <c r="C204" s="3191"/>
      <c r="E204" s="3190"/>
    </row>
    <row r="205" spans="1:5" s="1983" customFormat="1">
      <c r="A205" s="3190"/>
      <c r="C205" s="3191"/>
      <c r="E205" s="3190"/>
    </row>
    <row r="206" spans="1:5" s="1983" customFormat="1">
      <c r="A206" s="3190"/>
      <c r="C206" s="3191"/>
      <c r="E206" s="3190"/>
    </row>
    <row r="207" spans="1:5" s="1983" customFormat="1">
      <c r="A207" s="3190"/>
      <c r="C207" s="3191"/>
      <c r="E207" s="3190"/>
    </row>
    <row r="208" spans="1:5" s="1983" customFormat="1">
      <c r="A208" s="3190"/>
      <c r="C208" s="3191"/>
      <c r="E208" s="3190"/>
    </row>
    <row r="209" spans="1:5" s="1983" customFormat="1">
      <c r="A209" s="3190"/>
      <c r="C209" s="3191"/>
      <c r="E209" s="3190"/>
    </row>
    <row r="210" spans="1:5" s="1983" customFormat="1">
      <c r="A210" s="3190"/>
      <c r="C210" s="3191"/>
      <c r="E210" s="3190"/>
    </row>
    <row r="211" spans="1:5" s="1983" customFormat="1">
      <c r="A211" s="3190"/>
      <c r="C211" s="3191"/>
      <c r="E211" s="3190"/>
    </row>
    <row r="212" spans="1:5" s="1983" customFormat="1">
      <c r="A212" s="3190"/>
      <c r="C212" s="3191"/>
      <c r="E212" s="3190"/>
    </row>
    <row r="213" spans="1:5" s="1983" customFormat="1">
      <c r="A213" s="3190"/>
      <c r="C213" s="3191"/>
      <c r="E213" s="3190"/>
    </row>
    <row r="214" spans="1:5" s="1983" customFormat="1">
      <c r="A214" s="3190"/>
      <c r="C214" s="3191"/>
      <c r="E214" s="3190"/>
    </row>
    <row r="215" spans="1:5" s="1983" customFormat="1">
      <c r="A215" s="3190"/>
      <c r="C215" s="3191"/>
      <c r="E215" s="3190"/>
    </row>
    <row r="216" spans="1:5" s="1983" customFormat="1">
      <c r="A216" s="3190"/>
      <c r="C216" s="3191"/>
      <c r="E216" s="3190"/>
    </row>
    <row r="217" spans="1:5" s="1983" customFormat="1">
      <c r="A217" s="3190"/>
      <c r="C217" s="3191"/>
      <c r="E217" s="3190"/>
    </row>
    <row r="218" spans="1:5" s="1983" customFormat="1">
      <c r="A218" s="3190"/>
      <c r="C218" s="3191"/>
      <c r="E218" s="3190"/>
    </row>
    <row r="219" spans="1:5" s="1983" customFormat="1">
      <c r="A219" s="3190"/>
      <c r="C219" s="3191"/>
      <c r="E219" s="3190"/>
    </row>
    <row r="220" spans="1:5" s="1983" customFormat="1">
      <c r="A220" s="3190"/>
      <c r="C220" s="3191"/>
      <c r="E220" s="3190"/>
    </row>
    <row r="221" spans="1:5" s="1983" customFormat="1">
      <c r="A221" s="3190"/>
      <c r="C221" s="3191"/>
      <c r="E221" s="3190"/>
    </row>
    <row r="222" spans="1:5" s="1983" customFormat="1">
      <c r="A222" s="3190"/>
      <c r="C222" s="3191"/>
      <c r="E222" s="3190"/>
    </row>
    <row r="223" spans="1:5" s="1983" customFormat="1">
      <c r="A223" s="3190"/>
      <c r="C223" s="3191"/>
      <c r="E223" s="3190"/>
    </row>
    <row r="224" spans="1:5" s="1983" customFormat="1">
      <c r="A224" s="3190"/>
      <c r="C224" s="3191"/>
      <c r="E224" s="3190"/>
    </row>
    <row r="225" spans="1:5" s="1983" customFormat="1">
      <c r="A225" s="3190"/>
      <c r="C225" s="3191"/>
      <c r="E225" s="3190"/>
    </row>
    <row r="226" spans="1:5" s="1983" customFormat="1">
      <c r="A226" s="3190"/>
      <c r="C226" s="3191"/>
      <c r="E226" s="3190"/>
    </row>
    <row r="227" spans="1:5" s="1983" customFormat="1">
      <c r="A227" s="3190"/>
      <c r="C227" s="3191"/>
      <c r="E227" s="3190"/>
    </row>
    <row r="228" spans="1:5" s="1983" customFormat="1">
      <c r="A228" s="3190"/>
      <c r="C228" s="3191"/>
      <c r="E228" s="3190"/>
    </row>
    <row r="229" spans="1:5" s="1983" customFormat="1">
      <c r="A229" s="3190"/>
      <c r="C229" s="3191"/>
      <c r="E229" s="3190"/>
    </row>
    <row r="230" spans="1:5" s="1983" customFormat="1">
      <c r="A230" s="3190"/>
      <c r="C230" s="3191"/>
      <c r="E230" s="3190"/>
    </row>
    <row r="231" spans="1:5" s="1983" customFormat="1">
      <c r="A231" s="3190"/>
      <c r="C231" s="3191"/>
      <c r="E231" s="3190"/>
    </row>
    <row r="232" spans="1:5" s="1983" customFormat="1">
      <c r="A232" s="3190"/>
      <c r="C232" s="3191"/>
      <c r="E232" s="3190"/>
    </row>
    <row r="233" spans="1:5" s="1983" customFormat="1">
      <c r="A233" s="3190"/>
      <c r="C233" s="3191"/>
      <c r="E233" s="3190"/>
    </row>
    <row r="234" spans="1:5" s="1983" customFormat="1">
      <c r="A234" s="3190"/>
      <c r="C234" s="3191"/>
      <c r="E234" s="3190"/>
    </row>
    <row r="235" spans="1:5" s="1983" customFormat="1">
      <c r="A235" s="3190"/>
      <c r="C235" s="3191"/>
      <c r="E235" s="3190"/>
    </row>
    <row r="236" spans="1:5" s="1983" customFormat="1">
      <c r="A236" s="3190"/>
      <c r="C236" s="3191"/>
      <c r="E236" s="3190"/>
    </row>
    <row r="237" spans="1:5" s="1983" customFormat="1">
      <c r="A237" s="3190"/>
      <c r="C237" s="3191"/>
      <c r="E237" s="3190"/>
    </row>
    <row r="238" spans="1:5" s="1983" customFormat="1">
      <c r="A238" s="3190"/>
      <c r="C238" s="3191"/>
      <c r="E238" s="3190"/>
    </row>
    <row r="239" spans="1:5" s="1983" customFormat="1">
      <c r="A239" s="3190"/>
      <c r="C239" s="3191"/>
      <c r="E239" s="3190"/>
    </row>
    <row r="240" spans="1:5" s="1983" customFormat="1">
      <c r="A240" s="3190"/>
      <c r="C240" s="3191"/>
      <c r="E240" s="3190"/>
    </row>
    <row r="241" spans="1:5" s="1983" customFormat="1">
      <c r="A241" s="3190"/>
      <c r="C241" s="3191"/>
      <c r="E241" s="3190"/>
    </row>
    <row r="242" spans="1:5" s="1983" customFormat="1">
      <c r="A242" s="3190"/>
      <c r="C242" s="3191"/>
      <c r="E242" s="3190"/>
    </row>
    <row r="243" spans="1:5" s="1983" customFormat="1">
      <c r="A243" s="3190"/>
      <c r="C243" s="3191"/>
      <c r="E243" s="3190"/>
    </row>
    <row r="244" spans="1:5" s="1983" customFormat="1">
      <c r="A244" s="3190"/>
      <c r="C244" s="3191"/>
      <c r="E244" s="3190"/>
    </row>
    <row r="245" spans="1:5" s="1983" customFormat="1">
      <c r="A245" s="3190"/>
      <c r="C245" s="3191"/>
      <c r="E245" s="3190"/>
    </row>
    <row r="246" spans="1:5" s="1983" customFormat="1">
      <c r="A246" s="3190"/>
      <c r="C246" s="3191"/>
      <c r="E246" s="3190"/>
    </row>
    <row r="247" spans="1:5" s="1983" customFormat="1">
      <c r="A247" s="3190"/>
      <c r="C247" s="3191"/>
      <c r="E247" s="3190"/>
    </row>
    <row r="248" spans="1:5" s="1983" customFormat="1">
      <c r="A248" s="3190"/>
      <c r="C248" s="3191"/>
      <c r="E248" s="3190"/>
    </row>
    <row r="249" spans="1:5" s="1983" customFormat="1">
      <c r="A249" s="3190"/>
      <c r="C249" s="3191"/>
      <c r="E249" s="3190"/>
    </row>
    <row r="250" spans="1:5" s="1983" customFormat="1">
      <c r="A250" s="3190"/>
      <c r="C250" s="3191"/>
      <c r="E250" s="3190"/>
    </row>
    <row r="251" spans="1:5" s="1983" customFormat="1">
      <c r="A251" s="3190"/>
      <c r="C251" s="3191"/>
      <c r="E251" s="3190"/>
    </row>
    <row r="252" spans="1:5" s="1983" customFormat="1">
      <c r="A252" s="3190"/>
      <c r="C252" s="3191"/>
      <c r="E252" s="3190"/>
    </row>
    <row r="253" spans="1:5" s="1983" customFormat="1">
      <c r="A253" s="3190"/>
      <c r="C253" s="3191"/>
      <c r="E253" s="3190"/>
    </row>
    <row r="254" spans="1:5" s="1983" customFormat="1">
      <c r="A254" s="3190"/>
      <c r="C254" s="3191"/>
      <c r="E254" s="3190"/>
    </row>
    <row r="255" spans="1:5" s="1983" customFormat="1">
      <c r="A255" s="3190"/>
      <c r="C255" s="3191"/>
      <c r="E255" s="3190"/>
    </row>
    <row r="256" spans="1:5" s="1983" customFormat="1">
      <c r="A256" s="3190"/>
      <c r="C256" s="3191"/>
      <c r="E256" s="3190"/>
    </row>
    <row r="257" spans="1:5" s="1983" customFormat="1">
      <c r="A257" s="3190"/>
      <c r="C257" s="3191"/>
      <c r="E257" s="3190"/>
    </row>
    <row r="258" spans="1:5" s="1983" customFormat="1">
      <c r="A258" s="3190"/>
      <c r="C258" s="3191"/>
      <c r="E258" s="3190"/>
    </row>
    <row r="259" spans="1:5" s="1983" customFormat="1">
      <c r="A259" s="3190"/>
      <c r="C259" s="3191"/>
      <c r="E259" s="3190"/>
    </row>
    <row r="260" spans="1:5" s="1983" customFormat="1">
      <c r="A260" s="3190"/>
      <c r="C260" s="3191"/>
      <c r="E260" s="3190"/>
    </row>
    <row r="261" spans="1:5" s="1983" customFormat="1">
      <c r="A261" s="3190"/>
      <c r="C261" s="3191"/>
      <c r="E261" s="3190"/>
    </row>
    <row r="262" spans="1:5" s="1983" customFormat="1">
      <c r="A262" s="3190"/>
      <c r="C262" s="3191"/>
      <c r="E262" s="3190"/>
    </row>
    <row r="263" spans="1:5" s="1983" customFormat="1">
      <c r="A263" s="3190"/>
      <c r="C263" s="3191"/>
      <c r="E263" s="3190"/>
    </row>
    <row r="264" spans="1:5" s="1983" customFormat="1">
      <c r="A264" s="3190"/>
      <c r="C264" s="3191"/>
      <c r="E264" s="3190"/>
    </row>
    <row r="265" spans="1:5" s="1983" customFormat="1">
      <c r="A265" s="3190"/>
      <c r="C265" s="3191"/>
      <c r="E265" s="3190"/>
    </row>
    <row r="266" spans="1:5" s="1983" customFormat="1">
      <c r="A266" s="3190"/>
      <c r="C266" s="3191"/>
      <c r="E266" s="3190"/>
    </row>
    <row r="267" spans="1:5" s="1983" customFormat="1">
      <c r="A267" s="3190"/>
      <c r="C267" s="3191"/>
      <c r="E267" s="3190"/>
    </row>
    <row r="268" spans="1:5" s="1983" customFormat="1">
      <c r="A268" s="3190"/>
      <c r="C268" s="3191"/>
      <c r="E268" s="3190"/>
    </row>
    <row r="269" spans="1:5" s="1983" customFormat="1">
      <c r="A269" s="3190"/>
      <c r="C269" s="3191"/>
      <c r="E269" s="3190"/>
    </row>
    <row r="270" spans="1:5" s="1983" customFormat="1">
      <c r="A270" s="3190"/>
      <c r="C270" s="3191"/>
      <c r="E270" s="3190"/>
    </row>
    <row r="271" spans="1:5" s="1983" customFormat="1">
      <c r="A271" s="3190"/>
      <c r="C271" s="3191"/>
      <c r="E271" s="3190"/>
    </row>
    <row r="272" spans="1:5" s="1983" customFormat="1">
      <c r="A272" s="3190"/>
      <c r="C272" s="3191"/>
      <c r="E272" s="3190"/>
    </row>
    <row r="273" spans="1:5" s="1983" customFormat="1">
      <c r="A273" s="3190"/>
      <c r="C273" s="3191"/>
      <c r="E273" s="3190"/>
    </row>
    <row r="274" spans="1:5" s="1983" customFormat="1">
      <c r="A274" s="3190"/>
      <c r="C274" s="3191"/>
      <c r="E274" s="3190"/>
    </row>
    <row r="275" spans="1:5" s="1983" customFormat="1">
      <c r="A275" s="3190"/>
      <c r="C275" s="3191"/>
      <c r="E275" s="3190"/>
    </row>
    <row r="276" spans="1:5" s="1983" customFormat="1">
      <c r="A276" s="3190"/>
      <c r="C276" s="3191"/>
      <c r="E276" s="3190"/>
    </row>
    <row r="277" spans="1:5" s="1983" customFormat="1">
      <c r="A277" s="3190"/>
      <c r="C277" s="3191"/>
      <c r="E277" s="3190"/>
    </row>
    <row r="278" spans="1:5" s="1983" customFormat="1">
      <c r="A278" s="3190"/>
      <c r="C278" s="3191"/>
      <c r="E278" s="3190"/>
    </row>
    <row r="279" spans="1:5" s="1983" customFormat="1">
      <c r="A279" s="3190"/>
      <c r="C279" s="3191"/>
      <c r="E279" s="3190"/>
    </row>
    <row r="280" spans="1:5" s="1983" customFormat="1">
      <c r="A280" s="3190"/>
      <c r="C280" s="3191"/>
      <c r="E280" s="3190"/>
    </row>
    <row r="281" spans="1:5" s="1983" customFormat="1">
      <c r="A281" s="3190"/>
      <c r="C281" s="3191"/>
      <c r="E281" s="3190"/>
    </row>
    <row r="282" spans="1:5" s="1983" customFormat="1">
      <c r="A282" s="3190"/>
      <c r="C282" s="3191"/>
      <c r="E282" s="3190"/>
    </row>
    <row r="283" spans="1:5" s="1983" customFormat="1">
      <c r="A283" s="3190"/>
      <c r="C283" s="3191"/>
      <c r="E283" s="3190"/>
    </row>
    <row r="284" spans="1:5" s="1983" customFormat="1">
      <c r="A284" s="3190"/>
      <c r="C284" s="3191"/>
      <c r="E284" s="3190"/>
    </row>
    <row r="285" spans="1:5" s="1983" customFormat="1">
      <c r="A285" s="3190"/>
      <c r="C285" s="3191"/>
      <c r="E285" s="3190"/>
    </row>
    <row r="286" spans="1:5" s="1983" customFormat="1">
      <c r="A286" s="3190"/>
      <c r="C286" s="3191"/>
      <c r="E286" s="3190"/>
    </row>
    <row r="287" spans="1:5" s="1983" customFormat="1">
      <c r="A287" s="3190"/>
      <c r="C287" s="3191"/>
      <c r="E287" s="3190"/>
    </row>
    <row r="288" spans="1:5" s="1983" customFormat="1">
      <c r="A288" s="3190"/>
      <c r="C288" s="3191"/>
      <c r="E288" s="3190"/>
    </row>
    <row r="289" spans="1:5" s="1983" customFormat="1">
      <c r="A289" s="3190"/>
      <c r="C289" s="3191"/>
      <c r="E289" s="3190"/>
    </row>
    <row r="290" spans="1:5" s="1983" customFormat="1">
      <c r="A290" s="3190"/>
      <c r="C290" s="3191"/>
      <c r="E290" s="3190"/>
    </row>
    <row r="291" spans="1:5" s="1983" customFormat="1">
      <c r="A291" s="3190"/>
      <c r="C291" s="3191"/>
      <c r="E291" s="3190"/>
    </row>
    <row r="292" spans="1:5" s="1983" customFormat="1">
      <c r="A292" s="3190"/>
      <c r="C292" s="3191"/>
      <c r="E292" s="3190"/>
    </row>
    <row r="293" spans="1:5" s="1983" customFormat="1">
      <c r="A293" s="3190"/>
      <c r="C293" s="3191"/>
      <c r="E293" s="3190"/>
    </row>
    <row r="294" spans="1:5" s="1983" customFormat="1">
      <c r="A294" s="3190"/>
      <c r="C294" s="3191"/>
      <c r="E294" s="3190"/>
    </row>
    <row r="295" spans="1:5" s="1983" customFormat="1">
      <c r="A295" s="3190"/>
      <c r="C295" s="3191"/>
      <c r="E295" s="3190"/>
    </row>
    <row r="296" spans="1:5" s="1983" customFormat="1">
      <c r="A296" s="3190"/>
      <c r="C296" s="3191"/>
      <c r="E296" s="3190"/>
    </row>
    <row r="297" spans="1:5" s="1983" customFormat="1">
      <c r="A297" s="3190"/>
      <c r="C297" s="3191"/>
      <c r="E297" s="3190"/>
    </row>
    <row r="298" spans="1:5" s="1983" customFormat="1">
      <c r="A298" s="3190"/>
      <c r="C298" s="3191"/>
      <c r="E298" s="3190"/>
    </row>
    <row r="299" spans="1:5" s="1983" customFormat="1">
      <c r="A299" s="3190"/>
      <c r="C299" s="3191"/>
      <c r="E299" s="3190"/>
    </row>
    <row r="300" spans="1:5" s="1983" customFormat="1">
      <c r="A300" s="3190"/>
      <c r="C300" s="3191"/>
      <c r="E300" s="3190"/>
    </row>
    <row r="301" spans="1:5" s="1983" customFormat="1">
      <c r="A301" s="3190"/>
      <c r="C301" s="3191"/>
      <c r="E301" s="3190"/>
    </row>
    <row r="302" spans="1:5" s="1983" customFormat="1">
      <c r="A302" s="3190"/>
      <c r="C302" s="3191"/>
      <c r="E302" s="3190"/>
    </row>
    <row r="303" spans="1:5" s="1983" customFormat="1">
      <c r="A303" s="3190"/>
      <c r="C303" s="3191"/>
      <c r="E303" s="3190"/>
    </row>
    <row r="304" spans="1:5" s="1983" customFormat="1">
      <c r="A304" s="3190"/>
      <c r="C304" s="3191"/>
      <c r="E304" s="3190"/>
    </row>
    <row r="305" spans="1:5" s="1983" customFormat="1">
      <c r="A305" s="3190"/>
      <c r="C305" s="3191"/>
      <c r="E305" s="3190"/>
    </row>
    <row r="306" spans="1:5" s="1983" customFormat="1">
      <c r="A306" s="3190"/>
      <c r="C306" s="3191"/>
      <c r="E306" s="3190"/>
    </row>
    <row r="307" spans="1:5" s="1983" customFormat="1">
      <c r="A307" s="3190"/>
      <c r="C307" s="3191"/>
      <c r="E307" s="3190"/>
    </row>
    <row r="308" spans="1:5" s="1983" customFormat="1">
      <c r="A308" s="3190"/>
      <c r="C308" s="3191"/>
      <c r="E308" s="3190"/>
    </row>
    <row r="309" spans="1:5" s="1983" customFormat="1">
      <c r="A309" s="3190"/>
      <c r="C309" s="3191"/>
      <c r="E309" s="3190"/>
    </row>
    <row r="310" spans="1:5" s="1983" customFormat="1">
      <c r="A310" s="3190"/>
      <c r="C310" s="3191"/>
      <c r="E310" s="3190"/>
    </row>
    <row r="311" spans="1:5" s="1983" customFormat="1">
      <c r="A311" s="3190"/>
      <c r="C311" s="3191"/>
      <c r="E311" s="3190"/>
    </row>
    <row r="312" spans="1:5" s="1983" customFormat="1">
      <c r="A312" s="3190"/>
      <c r="C312" s="3191"/>
      <c r="E312" s="3190"/>
    </row>
    <row r="313" spans="1:5" s="1983" customFormat="1">
      <c r="A313" s="3190"/>
      <c r="C313" s="3191"/>
      <c r="E313" s="3190"/>
    </row>
    <row r="314" spans="1:5" s="1983" customFormat="1">
      <c r="A314" s="3190"/>
      <c r="C314" s="3191"/>
      <c r="E314" s="3190"/>
    </row>
    <row r="315" spans="1:5" s="1983" customFormat="1">
      <c r="A315" s="3190"/>
      <c r="C315" s="3191"/>
      <c r="E315" s="3190"/>
    </row>
    <row r="316" spans="1:5" s="1983" customFormat="1">
      <c r="A316" s="3190"/>
      <c r="C316" s="3191"/>
      <c r="E316" s="3190"/>
    </row>
    <row r="317" spans="1:5" s="1983" customFormat="1">
      <c r="A317" s="3190"/>
      <c r="C317" s="3191"/>
      <c r="E317" s="3190"/>
    </row>
    <row r="318" spans="1:5" s="1983" customFormat="1">
      <c r="A318" s="3190"/>
      <c r="C318" s="3191"/>
      <c r="E318" s="3190"/>
    </row>
    <row r="319" spans="1:5" s="1983" customFormat="1">
      <c r="A319" s="3190"/>
      <c r="C319" s="3191"/>
      <c r="E319" s="3190"/>
    </row>
    <row r="320" spans="1:5" s="1983" customFormat="1">
      <c r="A320" s="3190"/>
      <c r="C320" s="3191"/>
      <c r="E320" s="3190"/>
    </row>
    <row r="321" spans="1:5" s="1983" customFormat="1">
      <c r="A321" s="3190"/>
      <c r="C321" s="3191"/>
      <c r="E321" s="3190"/>
    </row>
    <row r="322" spans="1:5" s="1983" customFormat="1">
      <c r="A322" s="3190"/>
      <c r="C322" s="3191"/>
      <c r="E322" s="3190"/>
    </row>
    <row r="323" spans="1:5" s="1983" customFormat="1">
      <c r="A323" s="3190"/>
      <c r="C323" s="3191"/>
      <c r="E323" s="3190"/>
    </row>
    <row r="324" spans="1:5" s="1983" customFormat="1">
      <c r="A324" s="3190"/>
      <c r="C324" s="3191"/>
      <c r="E324" s="3190"/>
    </row>
    <row r="325" spans="1:5" s="1983" customFormat="1">
      <c r="A325" s="3190"/>
      <c r="C325" s="3191"/>
      <c r="E325" s="3190"/>
    </row>
    <row r="326" spans="1:5" s="1983" customFormat="1">
      <c r="A326" s="3190"/>
      <c r="C326" s="3191"/>
      <c r="E326" s="3190"/>
    </row>
    <row r="327" spans="1:5" s="1983" customFormat="1">
      <c r="A327" s="3190"/>
      <c r="C327" s="3191"/>
      <c r="E327" s="3190"/>
    </row>
    <row r="328" spans="1:5" s="1983" customFormat="1">
      <c r="A328" s="3190"/>
      <c r="C328" s="3191"/>
      <c r="E328" s="3190"/>
    </row>
    <row r="329" spans="1:5" s="1983" customFormat="1">
      <c r="A329" s="3190"/>
      <c r="C329" s="3191"/>
      <c r="E329" s="3190"/>
    </row>
    <row r="330" spans="1:5" s="1983" customFormat="1">
      <c r="A330" s="3190"/>
      <c r="C330" s="3191"/>
      <c r="E330" s="3190"/>
    </row>
    <row r="331" spans="1:5" s="1983" customFormat="1">
      <c r="A331" s="3190"/>
      <c r="C331" s="3191"/>
      <c r="E331" s="3190"/>
    </row>
    <row r="332" spans="1:5" s="1983" customFormat="1">
      <c r="A332" s="3190"/>
      <c r="C332" s="3191"/>
      <c r="E332" s="3190"/>
    </row>
    <row r="333" spans="1:5" s="1983" customFormat="1">
      <c r="A333" s="3190"/>
      <c r="C333" s="3191"/>
      <c r="E333" s="3190"/>
    </row>
    <row r="334" spans="1:5" s="1983" customFormat="1">
      <c r="A334" s="3190"/>
      <c r="C334" s="3191"/>
      <c r="E334" s="3190"/>
    </row>
    <row r="335" spans="1:5" s="1983" customFormat="1">
      <c r="A335" s="3190"/>
      <c r="C335" s="3191"/>
      <c r="E335" s="3190"/>
    </row>
    <row r="336" spans="1:5" s="1983" customFormat="1">
      <c r="A336" s="3190"/>
      <c r="C336" s="3191"/>
      <c r="E336" s="3190"/>
    </row>
    <row r="337" spans="1:5" s="1983" customFormat="1">
      <c r="A337" s="3190"/>
      <c r="C337" s="3191"/>
      <c r="E337" s="3190"/>
    </row>
    <row r="338" spans="1:5" s="1983" customFormat="1">
      <c r="A338" s="3190"/>
      <c r="C338" s="3191"/>
      <c r="E338" s="3190"/>
    </row>
    <row r="339" spans="1:5" s="1983" customFormat="1">
      <c r="A339" s="3190"/>
      <c r="C339" s="3191"/>
      <c r="E339" s="3190"/>
    </row>
    <row r="340" spans="1:5" s="1983" customFormat="1">
      <c r="A340" s="3190"/>
      <c r="C340" s="3191"/>
      <c r="E340" s="3190"/>
    </row>
    <row r="341" spans="1:5" s="1983" customFormat="1">
      <c r="A341" s="3190"/>
      <c r="C341" s="3191"/>
      <c r="E341" s="3190"/>
    </row>
    <row r="342" spans="1:5" s="1983" customFormat="1">
      <c r="A342" s="3190"/>
      <c r="C342" s="3191"/>
      <c r="E342" s="3190"/>
    </row>
    <row r="343" spans="1:5" s="1983" customFormat="1">
      <c r="A343" s="3190"/>
      <c r="C343" s="3191"/>
      <c r="E343" s="3190"/>
    </row>
    <row r="344" spans="1:5" s="1983" customFormat="1">
      <c r="A344" s="3190"/>
      <c r="C344" s="3191"/>
      <c r="E344" s="3190"/>
    </row>
    <row r="345" spans="1:5" s="1983" customFormat="1">
      <c r="A345" s="3190"/>
      <c r="C345" s="3191"/>
      <c r="E345" s="3190"/>
    </row>
    <row r="346" spans="1:5" s="1983" customFormat="1">
      <c r="A346" s="3190"/>
      <c r="C346" s="3191"/>
      <c r="E346" s="3190"/>
    </row>
    <row r="347" spans="1:5" s="1983" customFormat="1">
      <c r="A347" s="3190"/>
      <c r="C347" s="3191"/>
      <c r="E347" s="3190"/>
    </row>
    <row r="348" spans="1:5" s="1983" customFormat="1">
      <c r="A348" s="3190"/>
      <c r="C348" s="3191"/>
      <c r="E348" s="3190"/>
    </row>
    <row r="349" spans="1:5" s="1983" customFormat="1">
      <c r="A349" s="3190"/>
      <c r="C349" s="3191"/>
      <c r="E349" s="3190"/>
    </row>
    <row r="350" spans="1:5" s="1983" customFormat="1">
      <c r="A350" s="3190"/>
      <c r="C350" s="3191"/>
      <c r="E350" s="3190"/>
    </row>
    <row r="351" spans="1:5" s="1983" customFormat="1">
      <c r="A351" s="3190"/>
      <c r="C351" s="3191"/>
      <c r="E351" s="3190"/>
    </row>
    <row r="352" spans="1:5" s="1983" customFormat="1">
      <c r="A352" s="3190"/>
      <c r="C352" s="3191"/>
      <c r="E352" s="3190"/>
    </row>
    <row r="353" spans="1:5" s="1983" customFormat="1">
      <c r="A353" s="3190"/>
      <c r="C353" s="3191"/>
      <c r="E353" s="3190"/>
    </row>
    <row r="354" spans="1:5" s="1983" customFormat="1">
      <c r="A354" s="3190"/>
      <c r="C354" s="3191"/>
      <c r="E354" s="3190"/>
    </row>
    <row r="355" spans="1:5" s="1983" customFormat="1">
      <c r="A355" s="3190"/>
      <c r="C355" s="3191"/>
      <c r="E355" s="3190"/>
    </row>
    <row r="356" spans="1:5" s="1983" customFormat="1">
      <c r="A356" s="3190"/>
      <c r="C356" s="3191"/>
      <c r="E356" s="3190"/>
    </row>
    <row r="357" spans="1:5" s="1983" customFormat="1">
      <c r="A357" s="3190"/>
      <c r="C357" s="3191"/>
      <c r="E357" s="3190"/>
    </row>
    <row r="358" spans="1:5" s="1983" customFormat="1">
      <c r="A358" s="3190"/>
      <c r="C358" s="3191"/>
      <c r="E358" s="3190"/>
    </row>
    <row r="359" spans="1:5" s="1983" customFormat="1">
      <c r="A359" s="3190"/>
      <c r="C359" s="3191"/>
      <c r="E359" s="3190"/>
    </row>
    <row r="360" spans="1:5" s="1983" customFormat="1">
      <c r="A360" s="3190"/>
      <c r="C360" s="3191"/>
      <c r="E360" s="3190"/>
    </row>
    <row r="361" spans="1:5" s="1983" customFormat="1">
      <c r="A361" s="3190"/>
      <c r="C361" s="3191"/>
      <c r="E361" s="3190"/>
    </row>
    <row r="362" spans="1:5" s="1983" customFormat="1">
      <c r="A362" s="3190"/>
      <c r="C362" s="3191"/>
      <c r="E362" s="3190"/>
    </row>
    <row r="363" spans="1:5" s="1983" customFormat="1">
      <c r="A363" s="3190"/>
      <c r="C363" s="3191"/>
      <c r="E363" s="3190"/>
    </row>
    <row r="364" spans="1:5" s="1983" customFormat="1">
      <c r="A364" s="3190"/>
      <c r="C364" s="3191"/>
      <c r="E364" s="3190"/>
    </row>
    <row r="365" spans="1:5" s="1983" customFormat="1">
      <c r="A365" s="3190"/>
      <c r="C365" s="3191"/>
      <c r="E365" s="3190"/>
    </row>
    <row r="366" spans="1:5" s="1983" customFormat="1">
      <c r="A366" s="3190"/>
      <c r="C366" s="3191"/>
      <c r="E366" s="3190"/>
    </row>
    <row r="367" spans="1:5" s="1983" customFormat="1">
      <c r="A367" s="3190"/>
      <c r="C367" s="3191"/>
      <c r="E367" s="3190"/>
    </row>
    <row r="368" spans="1:5" s="1983" customFormat="1">
      <c r="A368" s="3190"/>
      <c r="C368" s="3191"/>
      <c r="E368" s="3190"/>
    </row>
    <row r="369" spans="1:5" s="1983" customFormat="1">
      <c r="A369" s="3190"/>
      <c r="C369" s="3191"/>
      <c r="E369" s="3190"/>
    </row>
    <row r="370" spans="1:5" s="1983" customFormat="1">
      <c r="A370" s="3190"/>
      <c r="C370" s="3191"/>
      <c r="E370" s="3190"/>
    </row>
    <row r="371" spans="1:5" s="1983" customFormat="1">
      <c r="A371" s="3190"/>
      <c r="C371" s="3191"/>
      <c r="E371" s="3190"/>
    </row>
    <row r="372" spans="1:5" s="1983" customFormat="1">
      <c r="A372" s="3190"/>
      <c r="C372" s="3191"/>
      <c r="E372" s="3190"/>
    </row>
    <row r="373" spans="1:5" s="1983" customFormat="1">
      <c r="A373" s="3190"/>
      <c r="C373" s="3191"/>
      <c r="E373" s="3190"/>
    </row>
    <row r="374" spans="1:5" s="1983" customFormat="1">
      <c r="A374" s="3190"/>
      <c r="C374" s="3191"/>
      <c r="E374" s="3190"/>
    </row>
    <row r="375" spans="1:5" s="1983" customFormat="1">
      <c r="A375" s="3190"/>
      <c r="C375" s="3191"/>
      <c r="E375" s="3190"/>
    </row>
    <row r="376" spans="1:5" s="1983" customFormat="1">
      <c r="A376" s="3190"/>
      <c r="C376" s="3191"/>
      <c r="E376" s="3190"/>
    </row>
    <row r="377" spans="1:5" s="1983" customFormat="1">
      <c r="A377" s="3190"/>
      <c r="C377" s="3191"/>
      <c r="E377" s="3190"/>
    </row>
    <row r="378" spans="1:5" s="1983" customFormat="1">
      <c r="A378" s="3190"/>
      <c r="C378" s="3191"/>
      <c r="E378" s="3190"/>
    </row>
    <row r="379" spans="1:5" s="1983" customFormat="1">
      <c r="A379" s="3190"/>
      <c r="C379" s="3191"/>
      <c r="E379" s="3190"/>
    </row>
    <row r="380" spans="1:5" s="1983" customFormat="1">
      <c r="A380" s="3190"/>
      <c r="C380" s="3191"/>
      <c r="E380" s="3190"/>
    </row>
    <row r="381" spans="1:5" s="1983" customFormat="1">
      <c r="A381" s="3190"/>
      <c r="C381" s="3191"/>
      <c r="E381" s="3190"/>
    </row>
    <row r="382" spans="1:5" s="1983" customFormat="1">
      <c r="A382" s="3190"/>
      <c r="C382" s="3191"/>
      <c r="E382" s="3190"/>
    </row>
    <row r="383" spans="1:5" s="1983" customFormat="1">
      <c r="A383" s="3190"/>
      <c r="C383" s="3191"/>
      <c r="E383" s="3190"/>
    </row>
    <row r="384" spans="1:5" s="1983" customFormat="1">
      <c r="A384" s="3190"/>
      <c r="C384" s="3191"/>
      <c r="E384" s="3190"/>
    </row>
    <row r="385" spans="1:5" s="1983" customFormat="1">
      <c r="A385" s="3190"/>
      <c r="C385" s="3191"/>
      <c r="E385" s="3190"/>
    </row>
    <row r="386" spans="1:5" s="1983" customFormat="1">
      <c r="A386" s="3190"/>
      <c r="C386" s="3191"/>
      <c r="E386" s="3190"/>
    </row>
    <row r="387" spans="1:5" s="1983" customFormat="1">
      <c r="A387" s="3190"/>
      <c r="C387" s="3191"/>
      <c r="E387" s="3190"/>
    </row>
    <row r="388" spans="1:5" s="1983" customFormat="1">
      <c r="A388" s="3190"/>
      <c r="C388" s="3191"/>
      <c r="E388" s="3190"/>
    </row>
    <row r="389" spans="1:5" s="1983" customFormat="1">
      <c r="A389" s="3190"/>
      <c r="C389" s="3191"/>
      <c r="E389" s="3190"/>
    </row>
    <row r="390" spans="1:5" s="1983" customFormat="1">
      <c r="A390" s="3190"/>
      <c r="C390" s="3191"/>
      <c r="E390" s="3190"/>
    </row>
    <row r="391" spans="1:5" s="1983" customFormat="1">
      <c r="A391" s="3190"/>
      <c r="C391" s="3191"/>
      <c r="E391" s="3190"/>
    </row>
    <row r="392" spans="1:5" s="1983" customFormat="1">
      <c r="A392" s="3190"/>
      <c r="C392" s="3191"/>
      <c r="E392" s="3190"/>
    </row>
    <row r="393" spans="1:5" s="1983" customFormat="1">
      <c r="A393" s="3190"/>
      <c r="C393" s="3191"/>
      <c r="E393" s="3190"/>
    </row>
    <row r="394" spans="1:5" s="1983" customFormat="1">
      <c r="A394" s="3190"/>
      <c r="C394" s="3191"/>
      <c r="E394" s="3190"/>
    </row>
    <row r="395" spans="1:5" s="1983" customFormat="1">
      <c r="A395" s="3190"/>
      <c r="C395" s="3191"/>
      <c r="E395" s="3190"/>
    </row>
    <row r="396" spans="1:5" s="1983" customFormat="1">
      <c r="A396" s="3190"/>
      <c r="C396" s="3191"/>
      <c r="E396" s="3190"/>
    </row>
    <row r="397" spans="1:5" s="1983" customFormat="1">
      <c r="A397" s="3190"/>
      <c r="C397" s="3191"/>
      <c r="E397" s="3190"/>
    </row>
    <row r="398" spans="1:5" s="1983" customFormat="1">
      <c r="A398" s="3190"/>
      <c r="C398" s="3191"/>
      <c r="E398" s="3190"/>
    </row>
    <row r="399" spans="1:5" s="1983" customFormat="1">
      <c r="A399" s="3190"/>
      <c r="C399" s="3191"/>
      <c r="E399" s="3190"/>
    </row>
    <row r="400" spans="1:5" s="1983" customFormat="1">
      <c r="A400" s="3190"/>
      <c r="C400" s="3191"/>
      <c r="E400" s="3190"/>
    </row>
    <row r="401" spans="1:5" s="1983" customFormat="1">
      <c r="A401" s="3190"/>
      <c r="C401" s="3191"/>
      <c r="E401" s="3190"/>
    </row>
    <row r="402" spans="1:5" s="1983" customFormat="1">
      <c r="A402" s="3190"/>
      <c r="C402" s="3191"/>
      <c r="E402" s="3190"/>
    </row>
    <row r="403" spans="1:5" s="1983" customFormat="1">
      <c r="A403" s="3190"/>
      <c r="C403" s="3191"/>
      <c r="E403" s="3190"/>
    </row>
    <row r="404" spans="1:5" s="1983" customFormat="1">
      <c r="A404" s="3190"/>
      <c r="C404" s="3191"/>
      <c r="E404" s="3190"/>
    </row>
    <row r="405" spans="1:5" s="1983" customFormat="1">
      <c r="A405" s="3190"/>
      <c r="C405" s="3191"/>
      <c r="E405" s="3190"/>
    </row>
    <row r="406" spans="1:5" s="1983" customFormat="1">
      <c r="A406" s="3190"/>
      <c r="C406" s="3191"/>
      <c r="E406" s="3190"/>
    </row>
    <row r="407" spans="1:5" s="1983" customFormat="1">
      <c r="A407" s="3190"/>
      <c r="C407" s="3191"/>
      <c r="E407" s="3190"/>
    </row>
    <row r="408" spans="1:5" s="1983" customFormat="1">
      <c r="A408" s="3190"/>
      <c r="C408" s="3191"/>
      <c r="E408" s="3190"/>
    </row>
    <row r="409" spans="1:5" s="1983" customFormat="1">
      <c r="A409" s="3190"/>
      <c r="C409" s="3191"/>
      <c r="E409" s="3190"/>
    </row>
    <row r="410" spans="1:5" s="1983" customFormat="1">
      <c r="A410" s="3190"/>
      <c r="C410" s="3191"/>
      <c r="E410" s="3190"/>
    </row>
    <row r="411" spans="1:5" s="1983" customFormat="1">
      <c r="A411" s="3190"/>
      <c r="C411" s="3191"/>
      <c r="E411" s="3190"/>
    </row>
    <row r="412" spans="1:5" s="1983" customFormat="1">
      <c r="A412" s="3190"/>
      <c r="C412" s="3191"/>
      <c r="E412" s="3190"/>
    </row>
    <row r="413" spans="1:5" s="1983" customFormat="1">
      <c r="A413" s="3190"/>
      <c r="C413" s="3191"/>
      <c r="E413" s="3190"/>
    </row>
    <row r="414" spans="1:5" s="1983" customFormat="1">
      <c r="A414" s="3190"/>
      <c r="C414" s="3191"/>
      <c r="E414" s="3190"/>
    </row>
    <row r="415" spans="1:5" s="1983" customFormat="1">
      <c r="A415" s="3190"/>
      <c r="C415" s="3191"/>
      <c r="E415" s="3190"/>
    </row>
    <row r="416" spans="1:5" s="1983" customFormat="1">
      <c r="A416" s="3190"/>
      <c r="C416" s="3191"/>
      <c r="E416" s="3190"/>
    </row>
    <row r="417" spans="1:5" s="1983" customFormat="1">
      <c r="A417" s="3190"/>
      <c r="C417" s="3191"/>
      <c r="E417" s="3190"/>
    </row>
    <row r="418" spans="1:5" s="1983" customFormat="1">
      <c r="A418" s="3190"/>
      <c r="C418" s="3191"/>
      <c r="E418" s="3190"/>
    </row>
    <row r="419" spans="1:5" s="1983" customFormat="1">
      <c r="A419" s="3190"/>
      <c r="C419" s="3191"/>
      <c r="E419" s="3190"/>
    </row>
    <row r="420" spans="1:5" s="1983" customFormat="1">
      <c r="A420" s="3190"/>
      <c r="C420" s="3191"/>
      <c r="E420" s="3190"/>
    </row>
    <row r="421" spans="1:5" s="1983" customFormat="1">
      <c r="A421" s="3190"/>
      <c r="C421" s="3191"/>
      <c r="E421" s="3190"/>
    </row>
    <row r="422" spans="1:5" s="1983" customFormat="1">
      <c r="A422" s="3190"/>
      <c r="C422" s="3191"/>
      <c r="E422" s="3190"/>
    </row>
    <row r="423" spans="1:5" s="1983" customFormat="1">
      <c r="A423" s="3190"/>
      <c r="C423" s="3191"/>
      <c r="E423" s="3190"/>
    </row>
    <row r="424" spans="1:5" s="1983" customFormat="1">
      <c r="A424" s="3190"/>
      <c r="C424" s="3191"/>
      <c r="E424" s="3190"/>
    </row>
    <row r="425" spans="1:5" s="1983" customFormat="1">
      <c r="A425" s="3190"/>
      <c r="C425" s="3191"/>
      <c r="E425" s="3190"/>
    </row>
    <row r="426" spans="1:5" s="1983" customFormat="1">
      <c r="A426" s="3190"/>
      <c r="C426" s="3191"/>
      <c r="E426" s="3190"/>
    </row>
    <row r="427" spans="1:5" s="1983" customFormat="1">
      <c r="A427" s="3190"/>
      <c r="C427" s="3191"/>
      <c r="E427" s="3190"/>
    </row>
    <row r="428" spans="1:5" s="1983" customFormat="1">
      <c r="A428" s="3190"/>
      <c r="C428" s="3191"/>
      <c r="E428" s="3190"/>
    </row>
    <row r="429" spans="1:5" s="1983" customFormat="1">
      <c r="A429" s="3190"/>
      <c r="C429" s="3191"/>
      <c r="E429" s="3190"/>
    </row>
    <row r="430" spans="1:5" s="1983" customFormat="1">
      <c r="A430" s="3190"/>
      <c r="C430" s="3191"/>
      <c r="E430" s="3190"/>
    </row>
    <row r="431" spans="1:5" s="1983" customFormat="1">
      <c r="A431" s="3190"/>
      <c r="C431" s="3191"/>
      <c r="E431" s="3190"/>
    </row>
    <row r="432" spans="1:5" s="1983" customFormat="1">
      <c r="A432" s="3190"/>
      <c r="C432" s="3191"/>
      <c r="E432" s="3190"/>
    </row>
    <row r="433" spans="1:5" s="1983" customFormat="1">
      <c r="A433" s="3190"/>
      <c r="C433" s="3191"/>
      <c r="E433" s="3190"/>
    </row>
    <row r="434" spans="1:5" s="1983" customFormat="1">
      <c r="A434" s="3190"/>
      <c r="C434" s="3191"/>
      <c r="E434" s="3190"/>
    </row>
    <row r="435" spans="1:5" s="1983" customFormat="1">
      <c r="A435" s="3190"/>
      <c r="C435" s="3191"/>
      <c r="E435" s="3190"/>
    </row>
    <row r="436" spans="1:5" s="1983" customFormat="1">
      <c r="A436" s="3190"/>
      <c r="C436" s="3191"/>
      <c r="E436" s="3190"/>
    </row>
    <row r="437" spans="1:5" s="1983" customFormat="1">
      <c r="A437" s="3190"/>
      <c r="C437" s="3191"/>
      <c r="E437" s="3190"/>
    </row>
    <row r="438" spans="1:5" s="1983" customFormat="1">
      <c r="A438" s="3190"/>
      <c r="C438" s="3191"/>
      <c r="E438" s="3190"/>
    </row>
    <row r="439" spans="1:5" s="1983" customFormat="1">
      <c r="A439" s="3190"/>
      <c r="C439" s="3191"/>
      <c r="E439" s="3190"/>
    </row>
    <row r="440" spans="1:5" s="1983" customFormat="1">
      <c r="A440" s="3190"/>
      <c r="C440" s="3191"/>
      <c r="E440" s="3190"/>
    </row>
    <row r="441" spans="1:5" s="1983" customFormat="1">
      <c r="A441" s="3190"/>
      <c r="C441" s="3191"/>
      <c r="E441" s="3190"/>
    </row>
    <row r="442" spans="1:5" s="1983" customFormat="1">
      <c r="A442" s="3190"/>
      <c r="C442" s="3191"/>
      <c r="E442" s="3190"/>
    </row>
    <row r="443" spans="1:5" s="1983" customFormat="1">
      <c r="A443" s="3190"/>
      <c r="C443" s="3191"/>
      <c r="E443" s="3190"/>
    </row>
    <row r="444" spans="1:5" s="1983" customFormat="1">
      <c r="A444" s="3190"/>
      <c r="C444" s="3191"/>
      <c r="E444" s="3190"/>
    </row>
    <row r="445" spans="1:5" s="1983" customFormat="1">
      <c r="A445" s="3190"/>
      <c r="C445" s="3191"/>
      <c r="E445" s="3190"/>
    </row>
    <row r="446" spans="1:5" s="1983" customFormat="1">
      <c r="A446" s="3190"/>
      <c r="C446" s="3191"/>
      <c r="E446" s="3190"/>
    </row>
    <row r="447" spans="1:5" s="1983" customFormat="1">
      <c r="A447" s="3190"/>
      <c r="C447" s="3191"/>
      <c r="E447" s="3190"/>
    </row>
    <row r="448" spans="1:5" s="1983" customFormat="1">
      <c r="A448" s="3190"/>
      <c r="C448" s="3191"/>
      <c r="E448" s="3190"/>
    </row>
    <row r="449" spans="1:5" s="1983" customFormat="1">
      <c r="A449" s="3190"/>
      <c r="C449" s="3191"/>
      <c r="E449" s="3190"/>
    </row>
    <row r="450" spans="1:5" s="1983" customFormat="1">
      <c r="A450" s="3190"/>
      <c r="C450" s="3191"/>
      <c r="E450" s="3190"/>
    </row>
    <row r="451" spans="1:5" s="1983" customFormat="1">
      <c r="A451" s="3190"/>
      <c r="C451" s="3191"/>
      <c r="E451" s="3190"/>
    </row>
    <row r="452" spans="1:5" s="1983" customFormat="1">
      <c r="A452" s="3190"/>
      <c r="C452" s="3191"/>
      <c r="E452" s="3190"/>
    </row>
    <row r="453" spans="1:5" s="1983" customFormat="1">
      <c r="A453" s="3190"/>
      <c r="C453" s="3191"/>
      <c r="E453" s="3190"/>
    </row>
    <row r="454" spans="1:5" s="1983" customFormat="1">
      <c r="A454" s="3190"/>
      <c r="C454" s="3191"/>
      <c r="E454" s="3190"/>
    </row>
    <row r="455" spans="1:5" s="1983" customFormat="1">
      <c r="A455" s="3190"/>
      <c r="C455" s="3191"/>
      <c r="E455" s="3190"/>
    </row>
    <row r="456" spans="1:5" s="1983" customFormat="1">
      <c r="A456" s="3190"/>
      <c r="C456" s="3191"/>
      <c r="E456" s="3190"/>
    </row>
    <row r="457" spans="1:5" s="1983" customFormat="1">
      <c r="A457" s="3190"/>
      <c r="C457" s="3191"/>
      <c r="E457" s="3190"/>
    </row>
    <row r="458" spans="1:5" s="1983" customFormat="1">
      <c r="A458" s="3190"/>
      <c r="C458" s="3191"/>
      <c r="E458" s="3190"/>
    </row>
    <row r="459" spans="1:5" s="1983" customFormat="1">
      <c r="A459" s="3190"/>
      <c r="C459" s="3191"/>
      <c r="E459" s="3190"/>
    </row>
    <row r="460" spans="1:5" s="1983" customFormat="1">
      <c r="A460" s="3190"/>
      <c r="C460" s="3191"/>
      <c r="E460" s="3190"/>
    </row>
    <row r="461" spans="1:5" s="1983" customFormat="1">
      <c r="A461" s="3190"/>
      <c r="C461" s="3191"/>
      <c r="E461" s="3190"/>
    </row>
    <row r="462" spans="1:5" s="1983" customFormat="1">
      <c r="A462" s="3190"/>
      <c r="C462" s="3191"/>
      <c r="E462" s="3190"/>
    </row>
    <row r="463" spans="1:5" s="1983" customFormat="1">
      <c r="A463" s="3190"/>
      <c r="C463" s="3191"/>
      <c r="E463" s="3190"/>
    </row>
    <row r="464" spans="1:5" s="1983" customFormat="1">
      <c r="A464" s="3190"/>
      <c r="C464" s="3191"/>
      <c r="E464" s="3190"/>
    </row>
    <row r="465" spans="1:5" s="1983" customFormat="1">
      <c r="A465" s="3190"/>
      <c r="C465" s="3191"/>
      <c r="E465" s="3190"/>
    </row>
    <row r="466" spans="1:5" s="1983" customFormat="1">
      <c r="A466" s="3190"/>
      <c r="C466" s="3191"/>
      <c r="E466" s="3190"/>
    </row>
    <row r="467" spans="1:5" s="1983" customFormat="1">
      <c r="A467" s="3190"/>
      <c r="C467" s="3191"/>
      <c r="E467" s="3190"/>
    </row>
    <row r="468" spans="1:5" s="1983" customFormat="1">
      <c r="A468" s="3190"/>
      <c r="C468" s="3191"/>
      <c r="E468" s="3190"/>
    </row>
    <row r="469" spans="1:5" s="1983" customFormat="1">
      <c r="A469" s="3190"/>
      <c r="C469" s="3191"/>
      <c r="E469" s="3190"/>
    </row>
    <row r="470" spans="1:5" s="1983" customFormat="1">
      <c r="A470" s="3190"/>
      <c r="C470" s="3191"/>
      <c r="E470" s="3190"/>
    </row>
    <row r="471" spans="1:5" s="1983" customFormat="1">
      <c r="A471" s="3190"/>
      <c r="C471" s="3191"/>
      <c r="E471" s="3190"/>
    </row>
    <row r="472" spans="1:5" s="1983" customFormat="1">
      <c r="A472" s="3190"/>
      <c r="C472" s="3191"/>
      <c r="E472" s="3190"/>
    </row>
    <row r="473" spans="1:5" s="1983" customFormat="1">
      <c r="A473" s="3190"/>
      <c r="C473" s="3191"/>
      <c r="E473" s="3190"/>
    </row>
    <row r="474" spans="1:5" s="1983" customFormat="1">
      <c r="A474" s="3190"/>
      <c r="C474" s="3191"/>
      <c r="E474" s="3190"/>
    </row>
    <row r="475" spans="1:5" s="1983" customFormat="1">
      <c r="A475" s="3190"/>
      <c r="C475" s="3191"/>
      <c r="E475" s="3190"/>
    </row>
    <row r="476" spans="1:5" s="1983" customFormat="1">
      <c r="A476" s="3190"/>
      <c r="C476" s="3191"/>
      <c r="E476" s="3190"/>
    </row>
    <row r="477" spans="1:5" s="1983" customFormat="1">
      <c r="A477" s="3190"/>
      <c r="C477" s="3191"/>
      <c r="E477" s="3190"/>
    </row>
    <row r="478" spans="1:5" s="1983" customFormat="1">
      <c r="A478" s="3190"/>
      <c r="C478" s="3191"/>
      <c r="E478" s="3190"/>
    </row>
    <row r="479" spans="1:5" s="1983" customFormat="1">
      <c r="A479" s="3190"/>
      <c r="C479" s="3191"/>
      <c r="E479" s="3190"/>
    </row>
    <row r="480" spans="1:5" s="1983" customFormat="1">
      <c r="A480" s="3190"/>
      <c r="C480" s="3191"/>
      <c r="E480" s="3190"/>
    </row>
    <row r="481" spans="1:5" s="1983" customFormat="1">
      <c r="A481" s="3190"/>
      <c r="C481" s="3191"/>
      <c r="E481" s="3190"/>
    </row>
    <row r="482" spans="1:5" s="1983" customFormat="1">
      <c r="A482" s="3190"/>
      <c r="C482" s="3191"/>
      <c r="E482" s="3190"/>
    </row>
    <row r="483" spans="1:5" s="1983" customFormat="1">
      <c r="A483" s="3190"/>
      <c r="C483" s="3191"/>
      <c r="E483" s="3190"/>
    </row>
    <row r="484" spans="1:5" s="1983" customFormat="1">
      <c r="A484" s="3190"/>
      <c r="C484" s="3191"/>
      <c r="E484" s="3190"/>
    </row>
    <row r="485" spans="1:5" s="1983" customFormat="1">
      <c r="A485" s="3190"/>
      <c r="C485" s="3191"/>
      <c r="E485" s="3190"/>
    </row>
    <row r="486" spans="1:5" s="1983" customFormat="1">
      <c r="A486" s="3190"/>
      <c r="C486" s="3191"/>
      <c r="E486" s="3190"/>
    </row>
    <row r="487" spans="1:5" s="1983" customFormat="1">
      <c r="A487" s="3190"/>
      <c r="C487" s="3191"/>
      <c r="E487" s="3190"/>
    </row>
    <row r="488" spans="1:5" s="1983" customFormat="1">
      <c r="A488" s="3190"/>
      <c r="C488" s="3191"/>
      <c r="E488" s="3190"/>
    </row>
    <row r="489" spans="1:5" s="1983" customFormat="1">
      <c r="A489" s="3190"/>
      <c r="C489" s="3191"/>
      <c r="E489" s="3190"/>
    </row>
    <row r="490" spans="1:5" s="1983" customFormat="1">
      <c r="A490" s="3190"/>
      <c r="C490" s="3191"/>
      <c r="E490" s="3190"/>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24" sqref="C24:C524"/>
    </sheetView>
  </sheetViews>
  <sheetFormatPr defaultColWidth="6.625" defaultRowHeight="12.75"/>
  <cols>
    <col min="1" max="1" width="10.125" style="1992" customWidth="1"/>
    <col min="2" max="2" width="25.75" style="1982" customWidth="1"/>
    <col min="3" max="3" width="10.375" style="1993" customWidth="1"/>
    <col min="4" max="4" width="12" style="1982" customWidth="1"/>
    <col min="5" max="5" width="9.5" style="1992" customWidth="1"/>
    <col min="6" max="6" width="10.125" style="1982" customWidth="1"/>
    <col min="7" max="7" width="9.5" style="1982" customWidth="1"/>
    <col min="8" max="8" width="10" style="1982" customWidth="1"/>
    <col min="9" max="11" width="9.5" style="1982" customWidth="1"/>
    <col min="12" max="12" width="9" style="1983" customWidth="1"/>
    <col min="13" max="13" width="10.5" style="1983" bestFit="1" customWidth="1"/>
    <col min="14" max="26" width="9" style="1983" customWidth="1"/>
    <col min="27" max="254" width="9" style="1982" customWidth="1"/>
    <col min="255" max="16384" width="6.625" style="1982"/>
  </cols>
  <sheetData>
    <row r="1" spans="1:41" s="1910" customFormat="1" ht="20.25">
      <c r="A1" s="407" t="s">
        <v>460</v>
      </c>
      <c r="B1" s="2512"/>
      <c r="C1" s="1972"/>
      <c r="D1" s="1972"/>
      <c r="E1" s="1972"/>
      <c r="F1" s="1972"/>
      <c r="G1" s="1972"/>
      <c r="H1" s="1972"/>
      <c r="I1" s="1972"/>
      <c r="J1" s="1972"/>
      <c r="K1" s="408">
        <f>MATCH(B1,'数据-取费表'!A6:A16,0)+5</f>
        <v>12</v>
      </c>
      <c r="L1" s="282"/>
      <c r="M1" s="282"/>
      <c r="N1" s="282"/>
      <c r="O1" s="282"/>
      <c r="P1" s="282"/>
      <c r="Q1" s="282"/>
      <c r="R1" s="282"/>
      <c r="S1" s="282"/>
      <c r="T1" s="282"/>
      <c r="U1" s="282"/>
      <c r="V1" s="282"/>
      <c r="W1" s="282"/>
      <c r="X1" s="282"/>
      <c r="Y1" s="282"/>
      <c r="Z1" s="282"/>
    </row>
    <row r="2" spans="1:41" s="1910" customFormat="1" ht="18" customHeight="1">
      <c r="A2" s="409" t="s">
        <v>461</v>
      </c>
      <c r="B2" s="410">
        <f ca="1">C32</f>
        <v>0</v>
      </c>
      <c r="C2" s="1972"/>
      <c r="D2" s="1972"/>
      <c r="E2" s="1972"/>
      <c r="F2" s="1972"/>
      <c r="G2" s="1972"/>
      <c r="H2" s="1972"/>
      <c r="I2" s="1972"/>
      <c r="J2" s="1972"/>
      <c r="K2" s="1972"/>
      <c r="L2" s="282"/>
      <c r="M2" s="282"/>
      <c r="N2" s="282"/>
      <c r="O2" s="282"/>
      <c r="P2" s="282"/>
      <c r="Q2" s="282"/>
      <c r="R2" s="282"/>
      <c r="S2" s="282"/>
      <c r="T2" s="282"/>
      <c r="U2" s="282"/>
      <c r="V2" s="282"/>
      <c r="W2" s="282"/>
      <c r="X2" s="282"/>
      <c r="Y2" s="282"/>
      <c r="Z2" s="282"/>
    </row>
    <row r="3" spans="1:41" s="1910" customFormat="1" ht="18" customHeight="1">
      <c r="A3" s="1318" t="s">
        <v>1674</v>
      </c>
      <c r="B3" s="411">
        <f ca="1">ROUND(B2*10000/IF(B1="",'数据-汇总表'!E3,INDIRECT("'数据-取费表'!K"&amp;$K$1)),0)</f>
        <v>0</v>
      </c>
      <c r="C3" s="1972"/>
      <c r="D3" s="1972"/>
      <c r="E3" s="1972"/>
      <c r="F3" s="1972"/>
      <c r="G3" s="1972"/>
      <c r="H3" s="1972"/>
      <c r="I3" s="1972"/>
      <c r="J3" s="1972"/>
      <c r="K3" s="1972"/>
      <c r="L3" s="282"/>
      <c r="M3" s="282"/>
      <c r="N3" s="282"/>
      <c r="O3" s="282"/>
      <c r="P3" s="282"/>
      <c r="Q3" s="282"/>
      <c r="R3" s="282"/>
      <c r="S3" s="282"/>
      <c r="T3" s="282"/>
      <c r="U3" s="282"/>
      <c r="V3" s="282"/>
      <c r="W3" s="282"/>
      <c r="X3" s="282"/>
      <c r="Y3" s="282"/>
      <c r="Z3" s="282"/>
    </row>
    <row r="4" spans="1:41" s="1910" customFormat="1" ht="18" customHeight="1">
      <c r="A4" s="412" t="s">
        <v>462</v>
      </c>
      <c r="B4" s="413">
        <f ca="1">ROUND(B2*10000/IF(B1="",'数据-汇总表'!D3,INDIRECT("'数据-取费表'!R"&amp;$K$1)),0)</f>
        <v>0</v>
      </c>
      <c r="C4" s="1930"/>
      <c r="D4" s="1972"/>
      <c r="E4" s="1972"/>
      <c r="F4" s="1972"/>
      <c r="G4" s="1972"/>
      <c r="H4" s="1972"/>
      <c r="I4" s="1972"/>
      <c r="J4" s="1972"/>
      <c r="K4" s="1972"/>
      <c r="L4" s="282"/>
      <c r="M4" s="282"/>
      <c r="N4" s="282"/>
      <c r="O4" s="282"/>
      <c r="P4" s="282"/>
      <c r="Q4" s="282"/>
      <c r="R4" s="282"/>
      <c r="S4" s="282"/>
      <c r="T4" s="282"/>
      <c r="U4" s="282"/>
      <c r="V4" s="282"/>
      <c r="W4" s="282"/>
      <c r="X4" s="282"/>
      <c r="Y4" s="282"/>
      <c r="Z4" s="282"/>
    </row>
    <row r="5" spans="1:41" s="1910" customFormat="1" ht="18" customHeight="1" thickBot="1">
      <c r="A5" s="415"/>
      <c r="B5" s="416">
        <f ca="1">ROUND(B2/(IF(B1="",'数据-汇总表'!D3,INDIRECT("'数据-取费表'!R"&amp;$K$1))/666.67),0)</f>
        <v>0</v>
      </c>
      <c r="C5" s="417" t="s">
        <v>463</v>
      </c>
      <c r="D5" s="1972"/>
      <c r="E5" s="1972"/>
      <c r="F5" s="1972"/>
      <c r="G5" s="1972"/>
      <c r="H5" s="1972"/>
      <c r="I5" s="1972"/>
      <c r="J5" s="1972"/>
      <c r="K5" s="1972"/>
      <c r="L5" s="282"/>
      <c r="M5" s="282"/>
      <c r="N5" s="282"/>
      <c r="O5" s="282"/>
      <c r="P5" s="282"/>
      <c r="Q5" s="282"/>
      <c r="R5" s="282"/>
      <c r="S5" s="282"/>
      <c r="T5" s="282"/>
      <c r="U5" s="282"/>
      <c r="V5" s="282"/>
      <c r="W5" s="282"/>
      <c r="X5" s="282"/>
      <c r="Y5" s="282"/>
      <c r="Z5" s="282"/>
    </row>
    <row r="6" spans="1:41" s="1979" customFormat="1" ht="16.5" customHeight="1">
      <c r="A6" s="418" t="s">
        <v>2626</v>
      </c>
      <c r="B6" s="419"/>
      <c r="C6" s="1539">
        <f>SUM(C10:K10)</f>
        <v>0</v>
      </c>
      <c r="D6" s="1977"/>
      <c r="E6" s="1977"/>
      <c r="F6" s="1977"/>
      <c r="G6" s="1977"/>
      <c r="H6" s="1977"/>
      <c r="I6" s="1977"/>
      <c r="J6" s="1977"/>
      <c r="K6" s="1978"/>
      <c r="L6" s="3182"/>
      <c r="M6" s="3182"/>
      <c r="N6" s="3182"/>
      <c r="O6" s="3182"/>
      <c r="P6" s="3182"/>
      <c r="Q6" s="3182"/>
      <c r="R6" s="3182"/>
      <c r="S6" s="3182"/>
      <c r="T6" s="3182"/>
      <c r="U6" s="3182"/>
      <c r="V6" s="3182"/>
      <c r="W6" s="3182"/>
      <c r="X6" s="3182"/>
      <c r="Y6" s="3182"/>
      <c r="Z6" s="3182"/>
    </row>
    <row r="7" spans="1:41" s="1981" customFormat="1" ht="15">
      <c r="A7" s="420" t="s">
        <v>464</v>
      </c>
      <c r="B7" s="421" t="s">
        <v>465</v>
      </c>
      <c r="C7" s="422"/>
      <c r="D7" s="422"/>
      <c r="E7" s="422"/>
      <c r="F7" s="422"/>
      <c r="G7" s="422"/>
      <c r="H7" s="422"/>
      <c r="I7" s="422"/>
      <c r="J7" s="422"/>
      <c r="K7" s="423"/>
      <c r="AA7" s="1980"/>
      <c r="AB7" s="1980"/>
      <c r="AC7" s="1980"/>
      <c r="AD7" s="1980"/>
      <c r="AE7" s="1980"/>
      <c r="AF7" s="1980"/>
      <c r="AG7" s="1980"/>
      <c r="AH7" s="1980"/>
      <c r="AI7" s="1980"/>
      <c r="AJ7" s="1980"/>
      <c r="AK7" s="1980"/>
      <c r="AL7" s="1980"/>
      <c r="AM7" s="1980"/>
      <c r="AN7" s="1980"/>
      <c r="AO7" s="1980"/>
    </row>
    <row r="8" spans="1:41" s="1983" customFormat="1" ht="13.5" customHeight="1">
      <c r="A8" s="1547" t="s">
        <v>1835</v>
      </c>
      <c r="B8" s="424" t="s">
        <v>466</v>
      </c>
      <c r="C8" s="425"/>
      <c r="D8" s="425"/>
      <c r="E8" s="425"/>
      <c r="F8" s="425"/>
      <c r="G8" s="425"/>
      <c r="H8" s="425"/>
      <c r="I8" s="425"/>
      <c r="J8" s="425"/>
      <c r="K8" s="426"/>
      <c r="AA8" s="1982"/>
      <c r="AB8" s="1982"/>
      <c r="AC8" s="1982"/>
      <c r="AD8" s="1982"/>
      <c r="AE8" s="1982"/>
      <c r="AF8" s="1982"/>
      <c r="AG8" s="1982"/>
      <c r="AH8" s="1982"/>
      <c r="AI8" s="1982"/>
      <c r="AJ8" s="1982"/>
      <c r="AK8" s="1982"/>
      <c r="AL8" s="1982"/>
      <c r="AM8" s="1982"/>
      <c r="AN8" s="1982"/>
      <c r="AO8" s="1982"/>
    </row>
    <row r="9" spans="1:41" s="1983" customFormat="1" ht="13.5" customHeight="1">
      <c r="A9" s="1547" t="s">
        <v>1836</v>
      </c>
      <c r="B9" s="424" t="s">
        <v>467</v>
      </c>
      <c r="C9" s="427">
        <f>SUMIF('数据-汇总表'!$C19:$C33,'剩余法-现房'!C7,'数据-汇总表'!$E19:$E33)</f>
        <v>0</v>
      </c>
      <c r="D9" s="427">
        <f>SUMIF('数据-汇总表'!$C19:$C33,'剩余法-现房'!D7,'数据-汇总表'!$E19:$E33)</f>
        <v>0</v>
      </c>
      <c r="E9" s="427">
        <f>SUMIF('数据-汇总表'!$C19:$C33,'剩余法-现房'!E7,'数据-汇总表'!$E19:$E33)</f>
        <v>0</v>
      </c>
      <c r="F9" s="427">
        <f>SUMIF('数据-汇总表'!$C19:$C33,'剩余法-现房'!F7,'数据-汇总表'!$E19:$E33)</f>
        <v>0</v>
      </c>
      <c r="G9" s="427">
        <f>SUMIF('数据-汇总表'!$C19:$C33,'剩余法-现房'!G7,'数据-汇总表'!$E19:$E33)</f>
        <v>0</v>
      </c>
      <c r="H9" s="427">
        <f>SUMIF('数据-汇总表'!$C19:$C33,'剩余法-现房'!H7,'数据-汇总表'!$E19:$E33)</f>
        <v>0</v>
      </c>
      <c r="I9" s="427">
        <f>SUMIF('数据-汇总表'!$C19:$C33,'剩余法-现房'!I7,'数据-汇总表'!$E19:$E33)</f>
        <v>0</v>
      </c>
      <c r="J9" s="427">
        <f>SUMIF('数据-汇总表'!$C19:$C33,'剩余法-现房'!J7,'数据-汇总表'!$E19:$E33)</f>
        <v>0</v>
      </c>
      <c r="K9" s="428">
        <f>SUMIF('数据-汇总表'!$C19:$C33,'剩余法-现房'!K7,'数据-汇总表'!$E19:$E33)</f>
        <v>0</v>
      </c>
      <c r="AA9" s="1982"/>
      <c r="AB9" s="1982"/>
      <c r="AC9" s="1982"/>
      <c r="AD9" s="1982"/>
      <c r="AE9" s="1982"/>
      <c r="AF9" s="1982"/>
      <c r="AG9" s="1982"/>
      <c r="AH9" s="1982"/>
      <c r="AI9" s="1982"/>
      <c r="AJ9" s="1982"/>
      <c r="AK9" s="1982"/>
      <c r="AL9" s="1982"/>
      <c r="AM9" s="1982"/>
      <c r="AN9" s="1982"/>
      <c r="AO9" s="1982"/>
    </row>
    <row r="10" spans="1:41" s="1983" customFormat="1" ht="13.5" customHeight="1" thickBot="1">
      <c r="A10" s="1548" t="s">
        <v>1837</v>
      </c>
      <c r="B10" s="1540" t="s">
        <v>468</v>
      </c>
      <c r="C10" s="1541"/>
      <c r="D10" s="1541"/>
      <c r="E10" s="1541"/>
      <c r="F10" s="1542"/>
      <c r="G10" s="1542"/>
      <c r="H10" s="1542"/>
      <c r="I10" s="1542"/>
      <c r="J10" s="1542"/>
      <c r="K10" s="1543"/>
      <c r="AA10" s="1982"/>
      <c r="AB10" s="1982"/>
      <c r="AC10" s="1982"/>
      <c r="AD10" s="1982"/>
      <c r="AE10" s="1982"/>
      <c r="AF10" s="1982"/>
      <c r="AG10" s="1982"/>
      <c r="AH10" s="1982"/>
      <c r="AI10" s="1982"/>
      <c r="AJ10" s="1982"/>
      <c r="AK10" s="1982"/>
      <c r="AL10" s="1982"/>
      <c r="AM10" s="1982"/>
      <c r="AN10" s="1982"/>
      <c r="AO10" s="1982"/>
    </row>
    <row r="11" spans="1:41" s="1979" customFormat="1" ht="16.5" customHeight="1">
      <c r="A11" s="1536" t="s">
        <v>1854</v>
      </c>
      <c r="B11" s="1537"/>
      <c r="C11" s="1537"/>
      <c r="D11" s="1537"/>
      <c r="E11" s="1537"/>
      <c r="F11" s="1537"/>
      <c r="G11" s="1537"/>
      <c r="H11" s="1537"/>
      <c r="I11" s="1537"/>
      <c r="J11" s="1537"/>
      <c r="K11" s="1538"/>
      <c r="L11" s="3182"/>
      <c r="M11" s="3182"/>
      <c r="N11" s="3182"/>
      <c r="O11" s="3182"/>
      <c r="P11" s="3182"/>
      <c r="Q11" s="3182"/>
      <c r="R11" s="3182"/>
      <c r="S11" s="3182"/>
      <c r="T11" s="3182"/>
      <c r="U11" s="3182"/>
      <c r="V11" s="3182"/>
      <c r="W11" s="3182"/>
      <c r="X11" s="3182"/>
      <c r="Y11" s="3182"/>
      <c r="Z11" s="3182"/>
    </row>
    <row r="12" spans="1:41" s="1953" customFormat="1" ht="13.5" customHeight="1">
      <c r="A12" s="420" t="s">
        <v>464</v>
      </c>
      <c r="B12" s="430" t="s">
        <v>465</v>
      </c>
      <c r="C12" s="431" t="s">
        <v>469</v>
      </c>
      <c r="D12" s="432" t="s">
        <v>470</v>
      </c>
      <c r="E12" s="432" t="s">
        <v>471</v>
      </c>
      <c r="F12" s="432" t="s">
        <v>472</v>
      </c>
      <c r="G12" s="430"/>
      <c r="H12" s="433"/>
      <c r="I12" s="433"/>
      <c r="J12" s="433"/>
      <c r="K12" s="434"/>
      <c r="L12" s="3183"/>
      <c r="M12" s="3183"/>
      <c r="N12" s="3183"/>
      <c r="O12" s="3183"/>
      <c r="P12" s="3183"/>
      <c r="Q12" s="3183"/>
      <c r="R12" s="3183"/>
      <c r="S12" s="3183"/>
      <c r="T12" s="3183"/>
      <c r="U12" s="3183"/>
      <c r="V12" s="3183"/>
      <c r="W12" s="3183"/>
      <c r="X12" s="3183"/>
      <c r="Y12" s="3183"/>
      <c r="Z12" s="3183"/>
    </row>
    <row r="13" spans="1:41" s="1984" customFormat="1" ht="13.5" customHeight="1">
      <c r="A13" s="1549" t="s">
        <v>1838</v>
      </c>
      <c r="B13" s="435" t="s">
        <v>473</v>
      </c>
      <c r="C13" s="436">
        <f ca="1">IF(B1="",'数据-取费表'!M16,INDIRECT("'数据-取费表'!M"&amp;$K$1)+INDIRECT("'数据-取费表'!t"&amp;$K$1))</f>
        <v>161557</v>
      </c>
      <c r="D13" s="437"/>
      <c r="E13" s="355"/>
      <c r="F13" s="438"/>
      <c r="G13" s="430"/>
      <c r="H13" s="433"/>
      <c r="I13" s="433"/>
      <c r="J13" s="433"/>
      <c r="K13" s="434"/>
      <c r="L13" s="1985"/>
      <c r="M13" s="1985"/>
      <c r="N13" s="1985"/>
      <c r="O13" s="1985"/>
      <c r="P13" s="1985"/>
      <c r="Q13" s="1985"/>
      <c r="R13" s="1985"/>
      <c r="S13" s="1985"/>
      <c r="T13" s="1985"/>
      <c r="U13" s="1985"/>
      <c r="V13" s="1985"/>
      <c r="W13" s="1985"/>
      <c r="X13" s="1985"/>
      <c r="Y13" s="1985"/>
      <c r="Z13" s="1985"/>
    </row>
    <row r="14" spans="1:41" s="1984" customFormat="1" ht="13.5" customHeight="1">
      <c r="A14" s="1549" t="s">
        <v>1839</v>
      </c>
      <c r="B14" s="435" t="s">
        <v>474</v>
      </c>
      <c r="C14" s="53">
        <f ca="1">ROUND(C13*F14,0)</f>
        <v>8078</v>
      </c>
      <c r="D14" s="437"/>
      <c r="E14" s="355"/>
      <c r="F14" s="439">
        <f>'数据-取费表'!B33</f>
        <v>0.05</v>
      </c>
      <c r="G14" s="430" t="s">
        <v>496</v>
      </c>
      <c r="H14" s="433"/>
      <c r="I14" s="433"/>
      <c r="J14" s="433"/>
      <c r="K14" s="434"/>
      <c r="L14" s="1985"/>
      <c r="M14" s="1985"/>
      <c r="N14" s="1985"/>
      <c r="O14" s="1985"/>
      <c r="P14" s="1985"/>
      <c r="Q14" s="1985"/>
      <c r="R14" s="1985"/>
      <c r="S14" s="1985"/>
      <c r="T14" s="1985"/>
      <c r="U14" s="1985"/>
      <c r="V14" s="1985"/>
      <c r="W14" s="1985"/>
      <c r="X14" s="1985"/>
      <c r="Y14" s="1985"/>
      <c r="Z14" s="1985"/>
    </row>
    <row r="15" spans="1:41" s="1984" customFormat="1" ht="13.5" customHeight="1">
      <c r="A15" s="1549" t="s">
        <v>1840</v>
      </c>
      <c r="B15" s="435" t="s">
        <v>476</v>
      </c>
      <c r="C15" s="53">
        <f ca="1">ROUND(IF(B1="",SUMIF('数据-取费表'!C:C,"住宅",'数据-取费表'!M:M)*F15,IF(INDIRECT("'数据-取费表'!c"&amp;$K$1)="住宅",INDIRECT("'数据-取费表'!M"&amp;$K$1)*F15,0)),0)</f>
        <v>7502</v>
      </c>
      <c r="D15" s="437"/>
      <c r="E15" s="355"/>
      <c r="F15" s="439">
        <f>'数据-取费表'!B34</f>
        <v>0.05</v>
      </c>
      <c r="G15" s="430" t="s">
        <v>496</v>
      </c>
      <c r="H15" s="433"/>
      <c r="I15" s="433"/>
      <c r="J15" s="433"/>
      <c r="K15" s="434"/>
      <c r="L15" s="1985"/>
      <c r="M15" s="1985"/>
      <c r="N15" s="1985"/>
      <c r="O15" s="1985"/>
      <c r="P15" s="1985"/>
      <c r="Q15" s="1985"/>
      <c r="R15" s="1985"/>
      <c r="S15" s="1985"/>
      <c r="T15" s="1985"/>
      <c r="U15" s="1985"/>
      <c r="V15" s="1985"/>
      <c r="W15" s="1985"/>
      <c r="X15" s="1985"/>
      <c r="Y15" s="1985"/>
      <c r="Z15" s="1985"/>
    </row>
    <row r="16" spans="1:41" s="1985" customFormat="1" ht="13.5" customHeight="1">
      <c r="A16" s="1549" t="s">
        <v>1841</v>
      </c>
      <c r="B16" s="435" t="s">
        <v>478</v>
      </c>
      <c r="C16" s="53">
        <f ca="1">ROUND(D16*E16/10000,0)</f>
        <v>9232</v>
      </c>
      <c r="D16" s="437">
        <f ca="1">IF(B1="",'数据-汇总表'!E3,INDIRECT("'数据-取费表'!K"&amp;$K$1)+INDIRECT("'数据-取费表'!S"&amp;$K$1))</f>
        <v>461591.08999999997</v>
      </c>
      <c r="E16" s="53">
        <f>'数据-取费表'!B35</f>
        <v>200</v>
      </c>
      <c r="F16" s="439"/>
      <c r="G16" s="430"/>
      <c r="H16" s="433"/>
      <c r="I16" s="433"/>
      <c r="J16" s="433"/>
      <c r="K16" s="434"/>
      <c r="AA16" s="1984"/>
      <c r="AB16" s="1984"/>
      <c r="AC16" s="1984"/>
      <c r="AD16" s="1984"/>
      <c r="AE16" s="1984"/>
      <c r="AF16" s="1984"/>
      <c r="AG16" s="1984"/>
      <c r="AH16" s="1984"/>
      <c r="AI16" s="1984"/>
      <c r="AJ16" s="1984"/>
      <c r="AK16" s="1984"/>
      <c r="AL16" s="1984"/>
      <c r="AM16" s="1984"/>
      <c r="AN16" s="1984"/>
      <c r="AO16" s="1984"/>
    </row>
    <row r="17" spans="1:26" s="1984" customFormat="1" ht="13.5" customHeight="1">
      <c r="A17" s="1549" t="s">
        <v>1842</v>
      </c>
      <c r="B17" s="435" t="s">
        <v>479</v>
      </c>
      <c r="C17" s="440">
        <f ca="1">ROUND(C13*F17,0)</f>
        <v>2423</v>
      </c>
      <c r="D17" s="441"/>
      <c r="E17" s="440"/>
      <c r="F17" s="442">
        <f>'数据-取费表'!B36</f>
        <v>1.4999999999999999E-2</v>
      </c>
      <c r="G17" s="430" t="s">
        <v>496</v>
      </c>
      <c r="H17" s="443"/>
      <c r="I17" s="443"/>
      <c r="J17" s="443"/>
      <c r="K17" s="444"/>
      <c r="L17" s="1985"/>
      <c r="M17" s="1985"/>
      <c r="N17" s="1985"/>
      <c r="O17" s="1985"/>
      <c r="P17" s="1985"/>
      <c r="Q17" s="1985"/>
      <c r="R17" s="1985"/>
      <c r="S17" s="1985"/>
      <c r="T17" s="1985"/>
      <c r="U17" s="1985"/>
      <c r="V17" s="1985"/>
      <c r="W17" s="1985"/>
      <c r="X17" s="1985"/>
      <c r="Y17" s="1985"/>
      <c r="Z17" s="1985"/>
    </row>
    <row r="18" spans="1:26" s="1987" customFormat="1" ht="13.5" customHeight="1">
      <c r="A18" s="1550" t="s">
        <v>1843</v>
      </c>
      <c r="B18" s="445" t="s">
        <v>481</v>
      </c>
      <c r="C18" s="446">
        <f ca="1">SUM(C13:C17)</f>
        <v>188792</v>
      </c>
      <c r="D18" s="447"/>
      <c r="E18" s="448"/>
      <c r="F18" s="448"/>
      <c r="G18" s="1271" t="s">
        <v>2410</v>
      </c>
      <c r="H18" s="433"/>
      <c r="I18" s="433"/>
      <c r="J18" s="433"/>
      <c r="K18" s="434"/>
      <c r="L18" s="3185"/>
      <c r="M18" s="3185"/>
      <c r="N18" s="3185"/>
      <c r="O18" s="3185"/>
      <c r="P18" s="3185"/>
      <c r="Q18" s="3185"/>
      <c r="R18" s="3185"/>
      <c r="S18" s="3185"/>
      <c r="T18" s="3185"/>
      <c r="U18" s="3185"/>
      <c r="V18" s="3185"/>
      <c r="W18" s="3185"/>
      <c r="X18" s="3185"/>
      <c r="Y18" s="3185"/>
      <c r="Z18" s="3185"/>
    </row>
    <row r="19" spans="1:26" s="1987" customFormat="1" ht="13.5" customHeight="1">
      <c r="A19" s="1550" t="s">
        <v>1844</v>
      </c>
      <c r="B19" s="445" t="s">
        <v>487</v>
      </c>
      <c r="C19" s="446">
        <f ca="1">ROUND(C18*F19,0)</f>
        <v>3776</v>
      </c>
      <c r="D19" s="448"/>
      <c r="E19" s="448"/>
      <c r="F19" s="452">
        <f>'数据-取费表'!B37</f>
        <v>0.02</v>
      </c>
      <c r="G19" s="430" t="s">
        <v>497</v>
      </c>
      <c r="H19" s="433"/>
      <c r="I19" s="433"/>
      <c r="J19" s="433"/>
      <c r="K19" s="434"/>
      <c r="L19" s="3187"/>
      <c r="M19" s="3187"/>
      <c r="N19" s="3187"/>
      <c r="O19" s="3185"/>
      <c r="P19" s="3185"/>
      <c r="Q19" s="3185"/>
      <c r="R19" s="3185"/>
      <c r="S19" s="3185"/>
      <c r="T19" s="3185"/>
      <c r="U19" s="3185"/>
      <c r="V19" s="3185"/>
      <c r="W19" s="3185"/>
      <c r="X19" s="3185"/>
      <c r="Y19" s="3185"/>
      <c r="Z19" s="3185"/>
    </row>
    <row r="20" spans="1:26" s="1987" customFormat="1" ht="13.5" customHeight="1">
      <c r="A20" s="1550" t="s">
        <v>1845</v>
      </c>
      <c r="B20" s="445" t="s">
        <v>498</v>
      </c>
      <c r="C20" s="2728">
        <f>F20</f>
        <v>0.05</v>
      </c>
      <c r="D20" s="455" t="s">
        <v>499</v>
      </c>
      <c r="E20" s="455"/>
      <c r="F20" s="472">
        <f>'数据-取费表'!B38</f>
        <v>0.05</v>
      </c>
      <c r="G20" s="1271" t="s">
        <v>500</v>
      </c>
      <c r="H20" s="433"/>
      <c r="I20" s="433"/>
      <c r="J20" s="433"/>
      <c r="K20" s="434"/>
      <c r="L20" s="3187"/>
      <c r="M20" s="3187"/>
      <c r="N20" s="3187"/>
      <c r="O20" s="3185"/>
      <c r="P20" s="3185"/>
      <c r="Q20" s="3185"/>
      <c r="R20" s="3185"/>
      <c r="S20" s="3185"/>
      <c r="T20" s="3185"/>
      <c r="U20" s="3185"/>
      <c r="V20" s="3185"/>
      <c r="W20" s="3185"/>
      <c r="X20" s="3185"/>
      <c r="Y20" s="3185"/>
      <c r="Z20" s="3185"/>
    </row>
    <row r="21" spans="1:26" s="1989" customFormat="1" ht="13.5" customHeight="1">
      <c r="A21" s="1550" t="s">
        <v>1848</v>
      </c>
      <c r="B21" s="447" t="s">
        <v>488</v>
      </c>
      <c r="C21" s="456">
        <f ca="1">C22</f>
        <v>13882</v>
      </c>
      <c r="D21" s="453">
        <f ca="1">C23</f>
        <v>3.5999999999999999E-3</v>
      </c>
      <c r="E21" s="455" t="s">
        <v>501</v>
      </c>
      <c r="F21" s="457">
        <f ca="1">'数据-取费表'!B40</f>
        <v>4.7500000000000001E-2</v>
      </c>
      <c r="G21" s="1271" t="str">
        <f>IF('数据-取费表'!B22&lt;=1,"单利计息。","复利计息。")&amp;"建造成本、管理费用及销售费用产生的利息。"</f>
        <v>复利计息。建造成本、管理费用及销售费用产生的利息。</v>
      </c>
      <c r="H21" s="433"/>
      <c r="I21" s="433"/>
      <c r="J21" s="433"/>
      <c r="K21" s="434"/>
      <c r="L21" s="3193" t="s">
        <v>2431</v>
      </c>
      <c r="M21" s="3194"/>
      <c r="N21" s="3194"/>
      <c r="O21" s="3194"/>
      <c r="P21" s="3194"/>
      <c r="Q21" s="3187"/>
      <c r="R21" s="3187"/>
      <c r="S21" s="3187"/>
      <c r="T21" s="3187"/>
      <c r="U21" s="3187"/>
      <c r="V21" s="3187"/>
      <c r="W21" s="3187"/>
      <c r="X21" s="3187"/>
      <c r="Y21" s="3187"/>
      <c r="Z21" s="3187"/>
    </row>
    <row r="22" spans="1:26" s="1988" customFormat="1" ht="13.5" customHeight="1">
      <c r="A22" s="1549" t="s">
        <v>1838</v>
      </c>
      <c r="B22" s="1272" t="s">
        <v>2413</v>
      </c>
      <c r="C22" s="473">
        <f ca="1">ROUND(IF('数据-取费表'!B22&lt;=1,(C18+C19)*F21*'数据-取费表'!B20/2,(C18+C19)*(POWER((1+F21),'数据-取费表'!B20/2)-1)),0)</f>
        <v>13882</v>
      </c>
      <c r="D22" s="458"/>
      <c r="E22" s="459"/>
      <c r="F22" s="460"/>
      <c r="G22" s="2406" t="str">
        <f>IF('数据-取费表'!B22&lt;=1,"((1)+(2))×年利率×建设期÷2","((1)+(2))×((1+年利率)^(建设期÷2)-1)")</f>
        <v>((1)+(2))×((1+年利率)^(建设期÷2)-1)</v>
      </c>
      <c r="H22" s="443"/>
      <c r="I22" s="443"/>
      <c r="J22" s="443"/>
      <c r="K22" s="444"/>
      <c r="L22" s="3186"/>
      <c r="M22" s="3186"/>
      <c r="N22" s="3186"/>
      <c r="O22" s="3186"/>
      <c r="P22" s="3186"/>
      <c r="Q22" s="3186"/>
      <c r="R22" s="3186"/>
      <c r="S22" s="3186"/>
      <c r="T22" s="3186"/>
      <c r="U22" s="3186"/>
      <c r="V22" s="3186"/>
      <c r="W22" s="3186"/>
      <c r="X22" s="3186"/>
      <c r="Y22" s="3186"/>
      <c r="Z22" s="3186"/>
    </row>
    <row r="23" spans="1:26" s="1988" customFormat="1" ht="13.5" customHeight="1">
      <c r="A23" s="1549" t="s">
        <v>1839</v>
      </c>
      <c r="B23" s="1272" t="s">
        <v>502</v>
      </c>
      <c r="C23" s="474">
        <f ca="1">ROUND(IF('数据-取费表'!B22&lt;=1,F20*F21*'数据-取费表'!B20/2,F20*(POWER((1+F21),'数据-取费表'!B20/2)-1)),4)</f>
        <v>3.5999999999999999E-3</v>
      </c>
      <c r="D23" s="458"/>
      <c r="E23" s="459"/>
      <c r="F23" s="460"/>
      <c r="G23" s="2406" t="str">
        <f>IF('数据-取费表'!B22&lt;=1,"销售费用率×年利率×建设期÷2","销售费用率×((1+年利率)^(建设期÷2)-1)")</f>
        <v>销售费用率×((1+年利率)^(建设期÷2)-1)</v>
      </c>
      <c r="H23" s="443"/>
      <c r="I23" s="443"/>
      <c r="J23" s="443"/>
      <c r="K23" s="444"/>
      <c r="L23" s="3186"/>
      <c r="M23" s="3186"/>
      <c r="N23" s="3186"/>
      <c r="O23" s="3186"/>
      <c r="P23" s="3186"/>
      <c r="Q23" s="3186"/>
      <c r="R23" s="3186"/>
      <c r="S23" s="3186"/>
      <c r="T23" s="3186"/>
      <c r="U23" s="3186"/>
      <c r="V23" s="3186"/>
      <c r="W23" s="3186"/>
      <c r="X23" s="3186"/>
      <c r="Y23" s="3186"/>
      <c r="Z23" s="3186"/>
    </row>
    <row r="24" spans="1:26" s="1988" customFormat="1" ht="13.5" customHeight="1">
      <c r="A24" s="1550" t="s">
        <v>1849</v>
      </c>
      <c r="B24" s="2730" t="s">
        <v>2805</v>
      </c>
      <c r="C24" s="464">
        <f ca="1">C25</f>
        <v>28885</v>
      </c>
      <c r="D24" s="475">
        <f ca="1">C26</f>
        <v>7.4999999999999997E-3</v>
      </c>
      <c r="E24" s="455" t="s">
        <v>501</v>
      </c>
      <c r="F24" s="465">
        <f ca="1">IF(B1="",'数据-取费表'!Q16,INDIRECT("'数据-取费表'!q"&amp;$K$1))</f>
        <v>0.15</v>
      </c>
      <c r="G24" s="430"/>
      <c r="H24" s="433"/>
      <c r="I24" s="433"/>
      <c r="J24" s="433"/>
      <c r="K24" s="434"/>
      <c r="L24" s="3186"/>
      <c r="M24" s="3186"/>
      <c r="N24" s="3186"/>
      <c r="O24" s="3186"/>
      <c r="P24" s="3186"/>
      <c r="Q24" s="3186"/>
      <c r="R24" s="3186"/>
      <c r="S24" s="3186"/>
      <c r="T24" s="3186"/>
      <c r="U24" s="3186"/>
      <c r="V24" s="3186"/>
      <c r="W24" s="3186"/>
      <c r="X24" s="3186"/>
      <c r="Y24" s="3186"/>
      <c r="Z24" s="3186"/>
    </row>
    <row r="25" spans="1:26" s="1988" customFormat="1" ht="13.5" customHeight="1">
      <c r="A25" s="1549" t="s">
        <v>1838</v>
      </c>
      <c r="B25" s="1272" t="s">
        <v>2414</v>
      </c>
      <c r="C25" s="476">
        <f ca="1">ROUND((C18+C19)*F24,0)</f>
        <v>28885</v>
      </c>
      <c r="D25" s="458"/>
      <c r="E25" s="459"/>
      <c r="F25" s="466"/>
      <c r="G25" s="1270" t="s">
        <v>2411</v>
      </c>
      <c r="H25" s="443"/>
      <c r="I25" s="443"/>
      <c r="J25" s="443"/>
      <c r="K25" s="444"/>
      <c r="L25" s="3186"/>
      <c r="M25" s="3186"/>
      <c r="N25" s="3186"/>
      <c r="O25" s="3186"/>
      <c r="P25" s="3186"/>
      <c r="Q25" s="3186"/>
      <c r="R25" s="3186"/>
      <c r="S25" s="3186"/>
      <c r="T25" s="3186"/>
      <c r="U25" s="3186"/>
      <c r="V25" s="3186"/>
      <c r="W25" s="3186"/>
      <c r="X25" s="3186"/>
      <c r="Y25" s="3186"/>
      <c r="Z25" s="3186"/>
    </row>
    <row r="26" spans="1:26" s="1988" customFormat="1" ht="13.5" customHeight="1">
      <c r="A26" s="1549" t="s">
        <v>1839</v>
      </c>
      <c r="B26" s="1272" t="s">
        <v>503</v>
      </c>
      <c r="C26" s="477">
        <f ca="1">ROUND(F20*F24,4)</f>
        <v>7.4999999999999997E-3</v>
      </c>
      <c r="D26" s="458"/>
      <c r="E26" s="467"/>
      <c r="F26" s="466"/>
      <c r="G26" s="1270" t="s">
        <v>504</v>
      </c>
      <c r="H26" s="443"/>
      <c r="I26" s="443"/>
      <c r="J26" s="443"/>
      <c r="K26" s="444"/>
      <c r="L26" s="3186"/>
      <c r="M26" s="3186"/>
      <c r="N26" s="3186"/>
      <c r="O26" s="3186"/>
      <c r="P26" s="3186"/>
      <c r="Q26" s="3186"/>
      <c r="R26" s="3186"/>
      <c r="S26" s="3186"/>
      <c r="T26" s="3186"/>
      <c r="U26" s="3186"/>
      <c r="V26" s="3186"/>
      <c r="W26" s="3186"/>
      <c r="X26" s="3186"/>
      <c r="Y26" s="3186"/>
      <c r="Z26" s="3186"/>
    </row>
    <row r="27" spans="1:26" s="1988" customFormat="1" ht="13.5" customHeight="1">
      <c r="A27" s="1553" t="s">
        <v>1857</v>
      </c>
      <c r="B27" s="445" t="s">
        <v>505</v>
      </c>
      <c r="C27" s="2729">
        <f>ROUND(F27/(1+'数据-取费表'!C42),4)</f>
        <v>5.2400000000000002E-2</v>
      </c>
      <c r="D27" s="448" t="s">
        <v>2803</v>
      </c>
      <c r="E27" s="448"/>
      <c r="F27" s="452">
        <f>'数据-取费表'!B41</f>
        <v>5.5000000000000007E-2</v>
      </c>
      <c r="G27" s="1860" t="s">
        <v>2276</v>
      </c>
      <c r="H27" s="433"/>
      <c r="I27" s="433"/>
      <c r="J27" s="433"/>
      <c r="K27" s="434"/>
      <c r="L27" s="3186"/>
      <c r="M27" s="3186"/>
      <c r="N27" s="3186"/>
      <c r="O27" s="3186"/>
      <c r="P27" s="3186"/>
      <c r="Q27" s="3186"/>
      <c r="R27" s="3186"/>
      <c r="S27" s="3186"/>
      <c r="T27" s="3186"/>
      <c r="U27" s="3186"/>
      <c r="V27" s="3186"/>
      <c r="W27" s="3186"/>
      <c r="X27" s="3186"/>
      <c r="Y27" s="3186"/>
      <c r="Z27" s="3186"/>
    </row>
    <row r="28" spans="1:26" s="1989" customFormat="1" ht="13.5" customHeight="1">
      <c r="A28" s="1553" t="s">
        <v>1858</v>
      </c>
      <c r="B28" s="462" t="s">
        <v>506</v>
      </c>
      <c r="C28" s="456">
        <f ca="1">ROUND((C18+C19+C21+C24)/(1-C20-D21-D24-C27),0)</f>
        <v>265465</v>
      </c>
      <c r="D28" s="463"/>
      <c r="E28" s="455"/>
      <c r="F28" s="457"/>
      <c r="G28" s="1271" t="s">
        <v>2412</v>
      </c>
      <c r="H28" s="433"/>
      <c r="I28" s="433"/>
      <c r="J28" s="433"/>
      <c r="K28" s="434"/>
      <c r="L28" s="3187"/>
      <c r="M28" s="3187"/>
      <c r="N28" s="3187"/>
      <c r="O28" s="3187"/>
      <c r="P28" s="3187"/>
      <c r="Q28" s="3187"/>
      <c r="R28" s="3187"/>
      <c r="S28" s="3187"/>
      <c r="T28" s="3187"/>
      <c r="U28" s="3187"/>
      <c r="V28" s="3187"/>
      <c r="W28" s="3187"/>
      <c r="X28" s="3187"/>
      <c r="Y28" s="3187"/>
      <c r="Z28" s="3187"/>
    </row>
    <row r="29" spans="1:26" s="1989" customFormat="1" ht="13.5" customHeight="1">
      <c r="A29" s="1553" t="s">
        <v>1859</v>
      </c>
      <c r="B29" s="462" t="s">
        <v>507</v>
      </c>
      <c r="C29" s="478">
        <f ca="1">IF(B1="",'数据-取费表'!N16,INDIRECT("'数据-取费表'!N"&amp;$K$1))</f>
        <v>0</v>
      </c>
      <c r="D29" s="479"/>
      <c r="E29" s="480"/>
      <c r="F29" s="481"/>
      <c r="G29" s="430"/>
      <c r="H29" s="433"/>
      <c r="I29" s="433"/>
      <c r="J29" s="433"/>
      <c r="K29" s="434"/>
      <c r="L29" s="3187"/>
      <c r="M29" s="3187"/>
      <c r="N29" s="3187"/>
      <c r="O29" s="3187"/>
      <c r="P29" s="3187"/>
      <c r="Q29" s="3187"/>
      <c r="R29" s="3187"/>
      <c r="S29" s="3187"/>
      <c r="T29" s="3187"/>
      <c r="U29" s="3187"/>
      <c r="V29" s="3187"/>
      <c r="W29" s="3187"/>
      <c r="X29" s="3187"/>
      <c r="Y29" s="3187"/>
      <c r="Z29" s="3187"/>
    </row>
    <row r="30" spans="1:26" s="1989" customFormat="1" ht="13.5" customHeight="1">
      <c r="A30" s="429">
        <v>2</v>
      </c>
      <c r="B30" s="462" t="s">
        <v>508</v>
      </c>
      <c r="C30" s="483">
        <f ca="1">ROUND(C28*C29,0)</f>
        <v>0</v>
      </c>
      <c r="D30" s="479"/>
      <c r="E30" s="484"/>
      <c r="F30" s="485"/>
      <c r="G30" s="1273" t="s">
        <v>509</v>
      </c>
      <c r="H30" s="482"/>
      <c r="I30" s="482"/>
      <c r="J30" s="433"/>
      <c r="K30" s="434"/>
      <c r="L30" s="3187"/>
      <c r="M30" s="3187"/>
      <c r="N30" s="3187"/>
      <c r="O30" s="3187"/>
      <c r="P30" s="3187"/>
      <c r="Q30" s="3187"/>
      <c r="R30" s="3187"/>
      <c r="S30" s="3187"/>
      <c r="T30" s="3187"/>
      <c r="U30" s="3187"/>
      <c r="V30" s="3187"/>
      <c r="W30" s="3187"/>
      <c r="X30" s="3187"/>
      <c r="Y30" s="3187"/>
      <c r="Z30" s="3187"/>
    </row>
    <row r="31" spans="1:26" s="1994" customFormat="1" ht="13.5" customHeight="1">
      <c r="A31" s="2321" t="s">
        <v>1855</v>
      </c>
      <c r="B31" s="1274"/>
      <c r="C31" s="486">
        <f>ROUND(C6*F31/(1+'数据-取费表'!C42),0)</f>
        <v>0</v>
      </c>
      <c r="D31" s="1275"/>
      <c r="E31" s="1275"/>
      <c r="F31" s="487">
        <f>'数据-取费表'!B41</f>
        <v>5.5000000000000007E-2</v>
      </c>
      <c r="G31" s="1276"/>
      <c r="H31" s="1276"/>
      <c r="I31" s="1276"/>
      <c r="J31" s="1277"/>
      <c r="K31" s="1278"/>
      <c r="L31" s="3192"/>
      <c r="M31" s="3192"/>
      <c r="N31" s="3192"/>
      <c r="O31" s="3192"/>
      <c r="P31" s="3192"/>
      <c r="Q31" s="3192"/>
      <c r="R31" s="3192"/>
      <c r="S31" s="3192"/>
      <c r="T31" s="3192"/>
      <c r="U31" s="3192"/>
      <c r="V31" s="3192"/>
      <c r="W31" s="3192"/>
      <c r="X31" s="3192"/>
      <c r="Y31" s="3192"/>
      <c r="Z31" s="3192"/>
    </row>
    <row r="32" spans="1:26" s="1953" customFormat="1" ht="13.5" customHeight="1" thickBot="1">
      <c r="A32" s="468" t="s">
        <v>1856</v>
      </c>
      <c r="B32" s="469"/>
      <c r="C32" s="470">
        <f ca="1">IF('数据-取费表'!B20&lt;=1,(C6-C30-C31)/(1+F21*'数据-取费表'!B20+F24)/(1+'数据-取费表'!B48+'数据-取费表'!B49),(C6-C30-C31)/(1+(POWER((1+F21),'数据-取费表'!B20)-1)+F24)/(1+'数据-取费表'!B48+'数据-取费表'!B49))</f>
        <v>0</v>
      </c>
      <c r="D32" s="469"/>
      <c r="E32" s="469"/>
      <c r="F32" s="469"/>
      <c r="G32" s="2322" t="s">
        <v>2927</v>
      </c>
      <c r="H32" s="469"/>
      <c r="I32" s="469"/>
      <c r="J32" s="469"/>
      <c r="K32" s="471"/>
      <c r="L32" s="3183"/>
      <c r="M32" s="3183"/>
      <c r="N32" s="3183"/>
      <c r="O32" s="3183"/>
      <c r="P32" s="3183"/>
      <c r="Q32" s="3183"/>
      <c r="R32" s="3183"/>
      <c r="S32" s="3183"/>
      <c r="T32" s="3183"/>
      <c r="U32" s="3183"/>
      <c r="V32" s="3183"/>
      <c r="W32" s="3183"/>
      <c r="X32" s="3183"/>
      <c r="Y32" s="3183"/>
      <c r="Z32" s="3183"/>
    </row>
    <row r="33" spans="1:5" s="1983" customFormat="1">
      <c r="A33" s="3190"/>
      <c r="C33" s="3191"/>
      <c r="E33" s="3190"/>
    </row>
    <row r="34" spans="1:5" s="1983" customFormat="1" ht="12.75" customHeight="1">
      <c r="A34" s="3190"/>
      <c r="C34" s="3191"/>
      <c r="E34" s="3190"/>
    </row>
    <row r="35" spans="1:5" s="1983" customFormat="1">
      <c r="A35" s="3190"/>
      <c r="C35" s="3191"/>
      <c r="E35" s="3190"/>
    </row>
    <row r="36" spans="1:5" s="1983" customFormat="1">
      <c r="A36" s="3190"/>
      <c r="C36" s="3191"/>
      <c r="E36" s="3190"/>
    </row>
    <row r="37" spans="1:5" s="1983" customFormat="1">
      <c r="A37" s="3190"/>
      <c r="C37" s="3191"/>
      <c r="E37" s="3190"/>
    </row>
    <row r="38" spans="1:5" s="1983" customFormat="1">
      <c r="A38" s="3190"/>
      <c r="C38" s="3191"/>
      <c r="E38" s="3190"/>
    </row>
    <row r="39" spans="1:5" s="1983" customFormat="1">
      <c r="A39" s="3190"/>
      <c r="C39" s="3191"/>
      <c r="E39" s="3190"/>
    </row>
    <row r="40" spans="1:5" s="1983" customFormat="1">
      <c r="A40" s="3190"/>
      <c r="C40" s="3191"/>
      <c r="E40" s="3190"/>
    </row>
    <row r="41" spans="1:5" s="1983" customFormat="1">
      <c r="A41" s="3190"/>
      <c r="C41" s="3191"/>
      <c r="E41" s="3190"/>
    </row>
    <row r="42" spans="1:5" s="1983" customFormat="1">
      <c r="A42" s="3190"/>
      <c r="C42" s="3191"/>
      <c r="E42" s="3190"/>
    </row>
    <row r="43" spans="1:5" s="1983" customFormat="1">
      <c r="A43" s="3190"/>
      <c r="C43" s="3191"/>
      <c r="E43" s="3190"/>
    </row>
    <row r="44" spans="1:5" s="1983" customFormat="1">
      <c r="A44" s="3190"/>
      <c r="C44" s="3191"/>
      <c r="E44" s="3190"/>
    </row>
    <row r="45" spans="1:5" s="1983" customFormat="1">
      <c r="A45" s="3190"/>
      <c r="C45" s="3191"/>
      <c r="E45" s="3190"/>
    </row>
    <row r="46" spans="1:5" s="1983" customFormat="1">
      <c r="A46" s="3190"/>
      <c r="C46" s="3191"/>
      <c r="E46" s="3190"/>
    </row>
    <row r="47" spans="1:5" s="1983" customFormat="1">
      <c r="A47" s="3190"/>
      <c r="C47" s="3191"/>
      <c r="E47" s="3190"/>
    </row>
    <row r="48" spans="1:5" s="1983" customFormat="1">
      <c r="A48" s="3190"/>
      <c r="C48" s="3191"/>
      <c r="E48" s="3190"/>
    </row>
    <row r="49" spans="1:5" s="1983" customFormat="1">
      <c r="A49" s="3190"/>
      <c r="C49" s="3191"/>
      <c r="E49" s="3190"/>
    </row>
    <row r="50" spans="1:5" s="1983" customFormat="1">
      <c r="A50" s="3190"/>
      <c r="C50" s="3191"/>
      <c r="E50" s="3190"/>
    </row>
    <row r="51" spans="1:5" s="1983" customFormat="1">
      <c r="A51" s="3190"/>
      <c r="C51" s="3191"/>
      <c r="E51" s="3190"/>
    </row>
    <row r="52" spans="1:5" s="1983" customFormat="1">
      <c r="A52" s="3190"/>
      <c r="C52" s="3191"/>
      <c r="E52" s="3190"/>
    </row>
    <row r="53" spans="1:5" s="1983" customFormat="1">
      <c r="A53" s="3190"/>
      <c r="C53" s="3191"/>
      <c r="E53" s="3190"/>
    </row>
    <row r="54" spans="1:5" s="1983" customFormat="1">
      <c r="A54" s="3190"/>
      <c r="C54" s="3191"/>
      <c r="E54" s="3190"/>
    </row>
    <row r="55" spans="1:5" s="1983" customFormat="1">
      <c r="A55" s="3190"/>
      <c r="C55" s="3191"/>
      <c r="E55" s="3190"/>
    </row>
    <row r="56" spans="1:5" s="1983" customFormat="1">
      <c r="A56" s="3190"/>
      <c r="C56" s="3191"/>
      <c r="E56" s="3190"/>
    </row>
    <row r="57" spans="1:5" s="1983" customFormat="1">
      <c r="A57" s="3190"/>
      <c r="C57" s="3191"/>
      <c r="E57" s="3190"/>
    </row>
    <row r="58" spans="1:5" s="1983" customFormat="1">
      <c r="A58" s="3190"/>
      <c r="C58" s="3191"/>
      <c r="E58" s="3190"/>
    </row>
    <row r="59" spans="1:5" s="1983" customFormat="1">
      <c r="A59" s="3190"/>
      <c r="C59" s="3191"/>
      <c r="E59" s="3190"/>
    </row>
    <row r="60" spans="1:5" s="1983" customFormat="1">
      <c r="A60" s="3190"/>
      <c r="C60" s="3191"/>
      <c r="E60" s="3190"/>
    </row>
    <row r="61" spans="1:5" s="1983" customFormat="1">
      <c r="A61" s="3190"/>
      <c r="C61" s="3191"/>
      <c r="E61" s="3190"/>
    </row>
    <row r="62" spans="1:5" s="1983" customFormat="1">
      <c r="A62" s="3190"/>
      <c r="C62" s="3191"/>
      <c r="E62" s="3190"/>
    </row>
    <row r="63" spans="1:5" s="1983" customFormat="1">
      <c r="A63" s="3190"/>
      <c r="C63" s="3191"/>
      <c r="E63" s="3190"/>
    </row>
    <row r="64" spans="1:5" s="1983" customFormat="1">
      <c r="A64" s="3190"/>
      <c r="C64" s="3191"/>
      <c r="E64" s="3190"/>
    </row>
    <row r="65" spans="1:5" s="1983" customFormat="1">
      <c r="A65" s="3190"/>
      <c r="C65" s="3191"/>
      <c r="E65" s="3190"/>
    </row>
    <row r="66" spans="1:5" s="1983" customFormat="1">
      <c r="A66" s="3190"/>
      <c r="C66" s="3191"/>
      <c r="E66" s="3190"/>
    </row>
    <row r="67" spans="1:5" s="1983" customFormat="1">
      <c r="A67" s="3190"/>
      <c r="C67" s="3191"/>
      <c r="E67" s="3190"/>
    </row>
    <row r="68" spans="1:5" s="1983" customFormat="1">
      <c r="A68" s="3190"/>
      <c r="C68" s="3191"/>
      <c r="E68" s="3190"/>
    </row>
    <row r="69" spans="1:5" s="1983" customFormat="1">
      <c r="A69" s="3190"/>
      <c r="C69" s="3191"/>
      <c r="E69" s="3190"/>
    </row>
    <row r="70" spans="1:5" s="1983" customFormat="1">
      <c r="A70" s="3190"/>
      <c r="C70" s="3191"/>
      <c r="E70" s="3190"/>
    </row>
    <row r="71" spans="1:5" s="1983" customFormat="1">
      <c r="A71" s="3190"/>
      <c r="C71" s="3191"/>
      <c r="E71" s="3190"/>
    </row>
    <row r="72" spans="1:5" s="1983" customFormat="1">
      <c r="A72" s="3190"/>
      <c r="C72" s="3191"/>
      <c r="E72" s="3190"/>
    </row>
    <row r="73" spans="1:5" s="1983" customFormat="1">
      <c r="A73" s="3190"/>
      <c r="C73" s="3191"/>
      <c r="E73" s="3190"/>
    </row>
    <row r="74" spans="1:5" s="1983" customFormat="1">
      <c r="A74" s="3190"/>
      <c r="C74" s="3191"/>
      <c r="E74" s="3190"/>
    </row>
    <row r="75" spans="1:5" s="1983" customFormat="1">
      <c r="A75" s="3190"/>
      <c r="C75" s="3191"/>
      <c r="E75" s="3190"/>
    </row>
    <row r="76" spans="1:5" s="1983" customFormat="1">
      <c r="A76" s="3190"/>
      <c r="C76" s="3191"/>
      <c r="E76" s="3190"/>
    </row>
    <row r="77" spans="1:5" s="1983" customFormat="1">
      <c r="A77" s="3190"/>
      <c r="C77" s="3191"/>
      <c r="E77" s="3190"/>
    </row>
    <row r="78" spans="1:5" s="1983" customFormat="1">
      <c r="A78" s="3190"/>
      <c r="C78" s="3191"/>
      <c r="E78" s="3190"/>
    </row>
    <row r="79" spans="1:5" s="1983" customFormat="1">
      <c r="A79" s="3190"/>
      <c r="C79" s="3191"/>
      <c r="E79" s="3190"/>
    </row>
    <row r="80" spans="1:5" s="1983" customFormat="1">
      <c r="A80" s="3190"/>
      <c r="C80" s="3191"/>
      <c r="E80" s="3190"/>
    </row>
    <row r="81" spans="1:5" s="1983" customFormat="1">
      <c r="A81" s="3190"/>
      <c r="C81" s="3191"/>
      <c r="E81" s="3190"/>
    </row>
    <row r="82" spans="1:5" s="1983" customFormat="1">
      <c r="A82" s="3190"/>
      <c r="C82" s="3191"/>
      <c r="E82" s="3190"/>
    </row>
    <row r="83" spans="1:5" s="1983" customFormat="1">
      <c r="A83" s="3190"/>
      <c r="C83" s="3191"/>
      <c r="E83" s="3190"/>
    </row>
    <row r="84" spans="1:5" s="1983" customFormat="1">
      <c r="A84" s="3190"/>
      <c r="C84" s="3191"/>
      <c r="E84" s="3190"/>
    </row>
    <row r="85" spans="1:5" s="1983" customFormat="1">
      <c r="A85" s="3190"/>
      <c r="C85" s="3191"/>
      <c r="E85" s="3190"/>
    </row>
    <row r="86" spans="1:5" s="1983" customFormat="1">
      <c r="A86" s="3190"/>
      <c r="C86" s="3191"/>
      <c r="E86" s="3190"/>
    </row>
    <row r="87" spans="1:5" s="1983" customFormat="1">
      <c r="A87" s="3190"/>
      <c r="C87" s="3191"/>
      <c r="E87" s="3190"/>
    </row>
    <row r="88" spans="1:5" s="1983" customFormat="1">
      <c r="A88" s="3190"/>
      <c r="C88" s="3191"/>
      <c r="E88" s="3190"/>
    </row>
    <row r="89" spans="1:5" s="1983" customFormat="1">
      <c r="A89" s="3190"/>
      <c r="C89" s="3191"/>
      <c r="E89" s="3190"/>
    </row>
    <row r="90" spans="1:5" s="1983" customFormat="1">
      <c r="A90" s="3190"/>
      <c r="C90" s="3191"/>
      <c r="E90" s="3190"/>
    </row>
    <row r="91" spans="1:5" s="1983" customFormat="1">
      <c r="A91" s="3190"/>
      <c r="C91" s="3191"/>
      <c r="E91" s="3190"/>
    </row>
    <row r="92" spans="1:5" s="1983" customFormat="1">
      <c r="A92" s="3190"/>
      <c r="C92" s="3191"/>
      <c r="E92" s="3190"/>
    </row>
    <row r="93" spans="1:5" s="1983" customFormat="1">
      <c r="A93" s="3190"/>
      <c r="C93" s="3191"/>
      <c r="E93" s="3190"/>
    </row>
    <row r="94" spans="1:5" s="1983" customFormat="1">
      <c r="A94" s="3190"/>
      <c r="C94" s="3191"/>
      <c r="E94" s="3190"/>
    </row>
    <row r="95" spans="1:5" s="1983" customFormat="1">
      <c r="A95" s="3190"/>
      <c r="C95" s="3191"/>
      <c r="E95" s="3190"/>
    </row>
    <row r="96" spans="1:5" s="1983" customFormat="1">
      <c r="A96" s="3190"/>
      <c r="C96" s="3191"/>
      <c r="E96" s="3190"/>
    </row>
    <row r="97" spans="1:5" s="1983" customFormat="1">
      <c r="A97" s="3190"/>
      <c r="C97" s="3191"/>
      <c r="E97" s="3190"/>
    </row>
    <row r="98" spans="1:5" s="1983" customFormat="1">
      <c r="A98" s="3190"/>
      <c r="C98" s="3191"/>
      <c r="E98" s="3190"/>
    </row>
    <row r="99" spans="1:5" s="1983" customFormat="1">
      <c r="A99" s="3190"/>
      <c r="C99" s="3191"/>
      <c r="E99" s="3190"/>
    </row>
    <row r="100" spans="1:5" s="1983" customFormat="1">
      <c r="A100" s="3190"/>
      <c r="C100" s="3191"/>
      <c r="E100" s="3190"/>
    </row>
    <row r="101" spans="1:5" s="1983" customFormat="1">
      <c r="A101" s="3190"/>
      <c r="C101" s="3191"/>
      <c r="E101" s="3190"/>
    </row>
    <row r="102" spans="1:5" s="1983" customFormat="1">
      <c r="A102" s="3190"/>
      <c r="C102" s="3191"/>
      <c r="E102" s="3190"/>
    </row>
    <row r="103" spans="1:5" s="1983" customFormat="1">
      <c r="A103" s="3190"/>
      <c r="C103" s="3191"/>
      <c r="E103" s="3190"/>
    </row>
    <row r="104" spans="1:5" s="1983" customFormat="1">
      <c r="A104" s="3190"/>
      <c r="C104" s="3191"/>
      <c r="E104" s="3190"/>
    </row>
    <row r="105" spans="1:5" s="1983" customFormat="1">
      <c r="A105" s="3190"/>
      <c r="C105" s="3191"/>
      <c r="E105" s="3190"/>
    </row>
    <row r="106" spans="1:5" s="1983" customFormat="1">
      <c r="A106" s="3190"/>
      <c r="C106" s="3191"/>
      <c r="E106" s="3190"/>
    </row>
    <row r="107" spans="1:5" s="1983" customFormat="1">
      <c r="A107" s="3190"/>
      <c r="C107" s="3191"/>
      <c r="E107" s="3190"/>
    </row>
    <row r="108" spans="1:5" s="1983" customFormat="1">
      <c r="A108" s="3190"/>
      <c r="C108" s="3191"/>
      <c r="E108" s="3190"/>
    </row>
    <row r="109" spans="1:5" s="1983" customFormat="1">
      <c r="A109" s="3190"/>
      <c r="C109" s="3191"/>
      <c r="E109" s="3190"/>
    </row>
    <row r="110" spans="1:5" s="1983" customFormat="1">
      <c r="A110" s="3190"/>
      <c r="C110" s="3191"/>
      <c r="E110" s="3190"/>
    </row>
    <row r="111" spans="1:5" s="1983" customFormat="1">
      <c r="A111" s="3190"/>
      <c r="C111" s="3191"/>
      <c r="E111" s="3190"/>
    </row>
    <row r="112" spans="1:5" s="1983" customFormat="1">
      <c r="A112" s="3190"/>
      <c r="C112" s="3191"/>
      <c r="E112" s="3190"/>
    </row>
    <row r="113" spans="1:5" s="1983" customFormat="1">
      <c r="A113" s="3190"/>
      <c r="C113" s="3191"/>
      <c r="E113" s="3190"/>
    </row>
    <row r="114" spans="1:5" s="1983" customFormat="1">
      <c r="A114" s="3190"/>
      <c r="C114" s="3191"/>
      <c r="E114" s="3190"/>
    </row>
    <row r="115" spans="1:5" s="1983" customFormat="1">
      <c r="A115" s="3190"/>
      <c r="C115" s="3191"/>
      <c r="E115" s="3190"/>
    </row>
    <row r="116" spans="1:5" s="1983" customFormat="1">
      <c r="A116" s="3190"/>
      <c r="C116" s="3191"/>
      <c r="E116" s="3190"/>
    </row>
    <row r="117" spans="1:5" s="1983" customFormat="1">
      <c r="A117" s="3190"/>
      <c r="C117" s="3191"/>
      <c r="E117" s="3190"/>
    </row>
    <row r="118" spans="1:5" s="1983" customFormat="1">
      <c r="A118" s="3190"/>
      <c r="C118" s="3191"/>
      <c r="E118" s="3190"/>
    </row>
    <row r="119" spans="1:5" s="1983" customFormat="1">
      <c r="A119" s="3190"/>
      <c r="C119" s="3191"/>
      <c r="E119" s="3190"/>
    </row>
    <row r="120" spans="1:5" s="1983" customFormat="1">
      <c r="A120" s="3190"/>
      <c r="C120" s="3191"/>
      <c r="E120" s="3190"/>
    </row>
    <row r="121" spans="1:5" s="1983" customFormat="1">
      <c r="A121" s="3190"/>
      <c r="C121" s="3191"/>
      <c r="E121" s="3190"/>
    </row>
    <row r="122" spans="1:5" s="1983" customFormat="1">
      <c r="A122" s="3190"/>
      <c r="C122" s="3191"/>
      <c r="E122" s="3190"/>
    </row>
    <row r="123" spans="1:5" s="1983" customFormat="1">
      <c r="A123" s="3190"/>
      <c r="C123" s="3191"/>
      <c r="E123" s="3190"/>
    </row>
    <row r="124" spans="1:5" s="1983" customFormat="1">
      <c r="A124" s="3190"/>
      <c r="C124" s="3191"/>
      <c r="E124" s="3190"/>
    </row>
    <row r="125" spans="1:5" s="1983" customFormat="1">
      <c r="A125" s="3190"/>
      <c r="C125" s="3191"/>
      <c r="E125" s="3190"/>
    </row>
    <row r="126" spans="1:5" s="1983" customFormat="1">
      <c r="A126" s="3190"/>
      <c r="C126" s="3191"/>
      <c r="E126" s="3190"/>
    </row>
    <row r="127" spans="1:5" s="1983" customFormat="1">
      <c r="A127" s="3190"/>
      <c r="C127" s="3191"/>
      <c r="E127" s="3190"/>
    </row>
    <row r="128" spans="1:5" s="1983" customFormat="1">
      <c r="A128" s="3190"/>
      <c r="C128" s="3191"/>
      <c r="E128" s="3190"/>
    </row>
    <row r="129" spans="1:5" s="1983" customFormat="1">
      <c r="A129" s="3190"/>
      <c r="C129" s="3191"/>
      <c r="E129" s="3190"/>
    </row>
    <row r="130" spans="1:5" s="1983" customFormat="1">
      <c r="A130" s="3190"/>
      <c r="C130" s="3191"/>
      <c r="E130" s="3190"/>
    </row>
    <row r="131" spans="1:5" s="1983" customFormat="1">
      <c r="A131" s="3190"/>
      <c r="C131" s="3191"/>
      <c r="E131" s="3190"/>
    </row>
    <row r="132" spans="1:5" s="1983" customFormat="1">
      <c r="A132" s="3190"/>
      <c r="C132" s="3191"/>
      <c r="E132" s="3190"/>
    </row>
    <row r="133" spans="1:5" s="1983" customFormat="1">
      <c r="A133" s="3190"/>
      <c r="C133" s="3191"/>
      <c r="E133" s="3190"/>
    </row>
    <row r="134" spans="1:5" s="1983" customFormat="1">
      <c r="A134" s="3190"/>
      <c r="C134" s="3191"/>
      <c r="E134" s="3190"/>
    </row>
    <row r="135" spans="1:5" s="1983" customFormat="1">
      <c r="A135" s="3190"/>
      <c r="C135" s="3191"/>
      <c r="E135" s="3190"/>
    </row>
    <row r="136" spans="1:5" s="1983" customFormat="1">
      <c r="A136" s="3190"/>
      <c r="C136" s="3191"/>
      <c r="E136" s="3190"/>
    </row>
    <row r="137" spans="1:5" s="1983" customFormat="1">
      <c r="A137" s="3190"/>
      <c r="C137" s="3191"/>
      <c r="E137" s="3190"/>
    </row>
    <row r="138" spans="1:5" s="1983" customFormat="1">
      <c r="A138" s="3190"/>
      <c r="C138" s="3191"/>
      <c r="E138" s="3190"/>
    </row>
    <row r="139" spans="1:5" s="1983" customFormat="1">
      <c r="A139" s="3190"/>
      <c r="C139" s="3191"/>
      <c r="E139" s="3190"/>
    </row>
    <row r="140" spans="1:5" s="1983" customFormat="1">
      <c r="A140" s="3190"/>
      <c r="C140" s="3191"/>
      <c r="E140" s="3190"/>
    </row>
    <row r="141" spans="1:5" s="1983" customFormat="1">
      <c r="A141" s="3190"/>
      <c r="C141" s="3191"/>
      <c r="E141" s="3190"/>
    </row>
    <row r="142" spans="1:5" s="1983" customFormat="1">
      <c r="A142" s="3190"/>
      <c r="C142" s="3191"/>
      <c r="E142" s="3190"/>
    </row>
    <row r="143" spans="1:5" s="1983" customFormat="1">
      <c r="A143" s="3190"/>
      <c r="C143" s="3191"/>
      <c r="E143" s="3190"/>
    </row>
    <row r="144" spans="1:5" s="1983" customFormat="1">
      <c r="A144" s="3190"/>
      <c r="C144" s="3191"/>
      <c r="E144" s="3190"/>
    </row>
    <row r="145" spans="1:5" s="1983" customFormat="1">
      <c r="A145" s="3190"/>
      <c r="C145" s="3191"/>
      <c r="E145" s="3190"/>
    </row>
    <row r="146" spans="1:5" s="1983" customFormat="1">
      <c r="A146" s="3190"/>
      <c r="C146" s="3191"/>
      <c r="E146" s="3190"/>
    </row>
    <row r="147" spans="1:5" s="1983" customFormat="1">
      <c r="A147" s="3190"/>
      <c r="C147" s="3191"/>
      <c r="E147" s="3190"/>
    </row>
    <row r="148" spans="1:5" s="1983" customFormat="1">
      <c r="A148" s="3190"/>
      <c r="C148" s="3191"/>
      <c r="E148" s="3190"/>
    </row>
    <row r="149" spans="1:5" s="1983" customFormat="1">
      <c r="A149" s="3190"/>
      <c r="C149" s="3191"/>
      <c r="E149" s="3190"/>
    </row>
    <row r="150" spans="1:5" s="1983" customFormat="1">
      <c r="A150" s="3190"/>
      <c r="C150" s="3191"/>
      <c r="E150" s="3190"/>
    </row>
    <row r="151" spans="1:5" s="1983" customFormat="1">
      <c r="A151" s="3190"/>
      <c r="C151" s="3191"/>
      <c r="E151" s="3190"/>
    </row>
    <row r="152" spans="1:5" s="1983" customFormat="1">
      <c r="A152" s="3190"/>
      <c r="C152" s="3191"/>
      <c r="E152" s="3190"/>
    </row>
    <row r="153" spans="1:5" s="1983" customFormat="1">
      <c r="A153" s="3190"/>
      <c r="C153" s="3191"/>
      <c r="E153" s="3190"/>
    </row>
    <row r="154" spans="1:5" s="1983" customFormat="1">
      <c r="A154" s="3190"/>
      <c r="C154" s="3191"/>
      <c r="E154" s="3190"/>
    </row>
    <row r="155" spans="1:5" s="1983" customFormat="1">
      <c r="A155" s="3190"/>
      <c r="C155" s="3191"/>
      <c r="E155" s="3190"/>
    </row>
    <row r="156" spans="1:5" s="1983" customFormat="1">
      <c r="A156" s="3190"/>
      <c r="C156" s="3191"/>
      <c r="E156" s="3190"/>
    </row>
    <row r="157" spans="1:5" s="1983" customFormat="1">
      <c r="A157" s="3190"/>
      <c r="C157" s="3191"/>
      <c r="E157" s="3190"/>
    </row>
    <row r="158" spans="1:5" s="1983" customFormat="1">
      <c r="A158" s="3190"/>
      <c r="C158" s="3191"/>
      <c r="E158" s="3190"/>
    </row>
    <row r="159" spans="1:5" s="1983" customFormat="1">
      <c r="A159" s="3190"/>
      <c r="C159" s="3191"/>
      <c r="E159" s="3190"/>
    </row>
    <row r="160" spans="1:5" s="1983" customFormat="1">
      <c r="A160" s="3190"/>
      <c r="C160" s="3191"/>
      <c r="E160" s="3190"/>
    </row>
    <row r="161" spans="1:5" s="1983" customFormat="1">
      <c r="A161" s="3190"/>
      <c r="C161" s="3191"/>
      <c r="E161" s="3190"/>
    </row>
    <row r="162" spans="1:5" s="1983" customFormat="1">
      <c r="A162" s="3190"/>
      <c r="C162" s="3191"/>
      <c r="E162" s="3190"/>
    </row>
    <row r="163" spans="1:5" s="1983" customFormat="1">
      <c r="A163" s="3190"/>
      <c r="C163" s="3191"/>
      <c r="E163" s="3190"/>
    </row>
    <row r="164" spans="1:5" s="1983" customFormat="1">
      <c r="A164" s="3190"/>
      <c r="C164" s="3191"/>
      <c r="E164" s="3190"/>
    </row>
    <row r="165" spans="1:5" s="1983" customFormat="1">
      <c r="A165" s="3190"/>
      <c r="C165" s="3191"/>
      <c r="E165" s="3190"/>
    </row>
    <row r="166" spans="1:5" s="1983" customFormat="1">
      <c r="A166" s="3190"/>
      <c r="C166" s="3191"/>
      <c r="E166" s="3190"/>
    </row>
    <row r="167" spans="1:5" s="1983" customFormat="1">
      <c r="A167" s="3190"/>
      <c r="C167" s="3191"/>
      <c r="E167" s="3190"/>
    </row>
    <row r="168" spans="1:5" s="1983" customFormat="1">
      <c r="A168" s="3190"/>
      <c r="C168" s="3191"/>
      <c r="E168" s="3190"/>
    </row>
    <row r="169" spans="1:5" s="1983" customFormat="1">
      <c r="A169" s="3190"/>
      <c r="C169" s="3191"/>
      <c r="E169" s="3190"/>
    </row>
    <row r="170" spans="1:5" s="1983" customFormat="1">
      <c r="A170" s="3190"/>
      <c r="C170" s="3191"/>
      <c r="E170" s="3190"/>
    </row>
    <row r="171" spans="1:5" s="1983" customFormat="1">
      <c r="A171" s="3190"/>
      <c r="C171" s="3191"/>
      <c r="E171" s="3190"/>
    </row>
    <row r="172" spans="1:5" s="1983" customFormat="1">
      <c r="A172" s="3190"/>
      <c r="C172" s="3191"/>
      <c r="E172" s="3190"/>
    </row>
    <row r="173" spans="1:5" s="1983" customFormat="1">
      <c r="A173" s="3190"/>
      <c r="C173" s="3191"/>
      <c r="E173" s="3190"/>
    </row>
    <row r="174" spans="1:5" s="1983" customFormat="1">
      <c r="A174" s="3190"/>
      <c r="C174" s="3191"/>
      <c r="E174" s="3190"/>
    </row>
    <row r="175" spans="1:5" s="1983" customFormat="1">
      <c r="A175" s="3190"/>
      <c r="C175" s="3191"/>
      <c r="E175" s="3190"/>
    </row>
    <row r="176" spans="1:5" s="1983" customFormat="1">
      <c r="A176" s="3190"/>
      <c r="C176" s="3191"/>
      <c r="E176" s="3190"/>
    </row>
    <row r="177" spans="1:5" s="1983" customFormat="1">
      <c r="A177" s="3190"/>
      <c r="C177" s="3191"/>
      <c r="E177" s="3190"/>
    </row>
    <row r="178" spans="1:5" s="1983" customFormat="1">
      <c r="A178" s="3190"/>
      <c r="C178" s="3191"/>
      <c r="E178" s="3190"/>
    </row>
    <row r="179" spans="1:5" s="1983" customFormat="1">
      <c r="A179" s="3190"/>
      <c r="C179" s="3191"/>
      <c r="E179" s="3190"/>
    </row>
    <row r="180" spans="1:5" s="1983" customFormat="1">
      <c r="A180" s="3190"/>
      <c r="C180" s="3191"/>
      <c r="E180" s="3190"/>
    </row>
    <row r="181" spans="1:5" s="1983" customFormat="1">
      <c r="A181" s="3190"/>
      <c r="C181" s="3191"/>
      <c r="E181" s="3190"/>
    </row>
    <row r="182" spans="1:5" s="1983" customFormat="1">
      <c r="A182" s="3190"/>
      <c r="C182" s="3191"/>
      <c r="E182" s="3190"/>
    </row>
    <row r="183" spans="1:5" s="1983" customFormat="1">
      <c r="A183" s="3190"/>
      <c r="C183" s="3191"/>
      <c r="E183" s="3190"/>
    </row>
    <row r="184" spans="1:5" s="1983" customFormat="1">
      <c r="A184" s="3190"/>
      <c r="C184" s="3191"/>
      <c r="E184" s="3190"/>
    </row>
    <row r="185" spans="1:5" s="1983" customFormat="1">
      <c r="A185" s="3190"/>
      <c r="C185" s="3191"/>
      <c r="E185" s="3190"/>
    </row>
    <row r="186" spans="1:5" s="1983" customFormat="1">
      <c r="A186" s="3190"/>
      <c r="C186" s="3191"/>
      <c r="E186" s="3190"/>
    </row>
    <row r="187" spans="1:5" s="1983" customFormat="1">
      <c r="A187" s="3190"/>
      <c r="C187" s="3191"/>
      <c r="E187" s="3190"/>
    </row>
    <row r="188" spans="1:5" s="1983" customFormat="1">
      <c r="A188" s="3190"/>
      <c r="C188" s="3191"/>
      <c r="E188" s="3190"/>
    </row>
    <row r="189" spans="1:5" s="1983" customFormat="1">
      <c r="A189" s="3190"/>
      <c r="C189" s="3191"/>
      <c r="E189" s="3190"/>
    </row>
    <row r="190" spans="1:5" s="1983" customFormat="1">
      <c r="A190" s="3190"/>
      <c r="C190" s="3191"/>
      <c r="E190" s="3190"/>
    </row>
    <row r="191" spans="1:5" s="1983" customFormat="1">
      <c r="A191" s="3190"/>
      <c r="C191" s="3191"/>
      <c r="E191" s="3190"/>
    </row>
    <row r="192" spans="1:5" s="1983" customFormat="1">
      <c r="A192" s="3190"/>
      <c r="C192" s="3191"/>
      <c r="E192" s="3190"/>
    </row>
    <row r="193" spans="1:5" s="1983" customFormat="1">
      <c r="A193" s="3190"/>
      <c r="C193" s="3191"/>
      <c r="E193" s="3190"/>
    </row>
    <row r="194" spans="1:5" s="1983" customFormat="1">
      <c r="A194" s="3190"/>
      <c r="C194" s="3191"/>
      <c r="E194" s="3190"/>
    </row>
    <row r="195" spans="1:5" s="1983" customFormat="1">
      <c r="A195" s="3190"/>
      <c r="C195" s="3191"/>
      <c r="E195" s="3190"/>
    </row>
    <row r="196" spans="1:5" s="1983" customFormat="1">
      <c r="A196" s="3190"/>
      <c r="C196" s="3191"/>
      <c r="E196" s="3190"/>
    </row>
    <row r="197" spans="1:5" s="1983" customFormat="1">
      <c r="A197" s="3190"/>
      <c r="C197" s="3191"/>
      <c r="E197" s="3190"/>
    </row>
    <row r="198" spans="1:5" s="1983" customFormat="1">
      <c r="A198" s="3190"/>
      <c r="C198" s="3191"/>
      <c r="E198" s="3190"/>
    </row>
    <row r="199" spans="1:5" s="1983" customFormat="1">
      <c r="A199" s="3190"/>
      <c r="C199" s="3191"/>
      <c r="E199" s="3190"/>
    </row>
    <row r="200" spans="1:5" s="1983" customFormat="1">
      <c r="A200" s="3190"/>
      <c r="C200" s="3191"/>
      <c r="E200" s="3190"/>
    </row>
    <row r="201" spans="1:5" s="1983" customFormat="1">
      <c r="A201" s="3190"/>
      <c r="C201" s="3191"/>
      <c r="E201" s="3190"/>
    </row>
    <row r="202" spans="1:5" s="1983" customFormat="1">
      <c r="A202" s="3190"/>
      <c r="C202" s="3191"/>
      <c r="E202" s="3190"/>
    </row>
    <row r="203" spans="1:5" s="1983" customFormat="1">
      <c r="A203" s="3190"/>
      <c r="C203" s="3191"/>
      <c r="E203" s="3190"/>
    </row>
    <row r="204" spans="1:5" s="1983" customFormat="1">
      <c r="A204" s="3190"/>
      <c r="C204" s="3191"/>
      <c r="E204" s="3190"/>
    </row>
    <row r="205" spans="1:5" s="1983" customFormat="1">
      <c r="A205" s="3190"/>
      <c r="C205" s="3191"/>
      <c r="E205" s="3190"/>
    </row>
    <row r="206" spans="1:5" s="1983" customFormat="1">
      <c r="A206" s="3190"/>
      <c r="C206" s="3191"/>
      <c r="E206" s="3190"/>
    </row>
    <row r="207" spans="1:5" s="1983" customFormat="1">
      <c r="A207" s="3190"/>
      <c r="C207" s="3191"/>
      <c r="E207" s="3190"/>
    </row>
    <row r="208" spans="1:5" s="1983" customFormat="1">
      <c r="A208" s="3190"/>
      <c r="C208" s="3191"/>
      <c r="E208" s="3190"/>
    </row>
    <row r="209" spans="1:5" s="1983" customFormat="1">
      <c r="A209" s="3190"/>
      <c r="C209" s="3191"/>
      <c r="E209" s="3190"/>
    </row>
    <row r="210" spans="1:5" s="1983" customFormat="1">
      <c r="A210" s="3190"/>
      <c r="C210" s="3191"/>
      <c r="E210" s="3190"/>
    </row>
    <row r="211" spans="1:5" s="1983" customFormat="1">
      <c r="A211" s="3190"/>
      <c r="C211" s="3191"/>
      <c r="E211" s="3190"/>
    </row>
    <row r="212" spans="1:5" s="1983" customFormat="1">
      <c r="A212" s="3190"/>
      <c r="C212" s="3191"/>
      <c r="E212" s="3190"/>
    </row>
    <row r="213" spans="1:5" s="1983" customFormat="1">
      <c r="A213" s="3190"/>
      <c r="C213" s="3191"/>
      <c r="E213" s="3190"/>
    </row>
    <row r="214" spans="1:5" s="1983" customFormat="1">
      <c r="A214" s="3190"/>
      <c r="C214" s="3191"/>
      <c r="E214" s="3190"/>
    </row>
    <row r="215" spans="1:5" s="1983" customFormat="1">
      <c r="A215" s="3190"/>
      <c r="C215" s="3191"/>
      <c r="E215" s="3190"/>
    </row>
    <row r="216" spans="1:5" s="1983" customFormat="1">
      <c r="A216" s="3190"/>
      <c r="C216" s="3191"/>
      <c r="E216" s="3190"/>
    </row>
    <row r="217" spans="1:5" s="1983" customFormat="1">
      <c r="A217" s="3190"/>
      <c r="C217" s="3191"/>
      <c r="E217" s="3190"/>
    </row>
    <row r="218" spans="1:5" s="1983" customFormat="1">
      <c r="A218" s="3190"/>
      <c r="C218" s="3191"/>
      <c r="E218" s="3190"/>
    </row>
    <row r="219" spans="1:5" s="1983" customFormat="1">
      <c r="A219" s="3190"/>
      <c r="C219" s="3191"/>
      <c r="E219" s="3190"/>
    </row>
    <row r="220" spans="1:5" s="1983" customFormat="1">
      <c r="A220" s="3190"/>
      <c r="C220" s="3191"/>
      <c r="E220" s="3190"/>
    </row>
    <row r="221" spans="1:5" s="1983" customFormat="1">
      <c r="A221" s="3190"/>
      <c r="C221" s="3191"/>
      <c r="E221" s="3190"/>
    </row>
    <row r="222" spans="1:5" s="1983" customFormat="1">
      <c r="A222" s="3190"/>
      <c r="C222" s="3191"/>
      <c r="E222" s="3190"/>
    </row>
    <row r="223" spans="1:5" s="1983" customFormat="1">
      <c r="A223" s="3190"/>
      <c r="C223" s="3191"/>
      <c r="E223" s="3190"/>
    </row>
    <row r="224" spans="1:5" s="1983" customFormat="1">
      <c r="A224" s="3190"/>
      <c r="C224" s="3191"/>
      <c r="E224" s="3190"/>
    </row>
    <row r="225" spans="1:5" s="1983" customFormat="1">
      <c r="A225" s="3190"/>
      <c r="C225" s="3191"/>
      <c r="E225" s="3190"/>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C24" sqref="C24:C524"/>
    </sheetView>
  </sheetViews>
  <sheetFormatPr defaultColWidth="9" defaultRowHeight="14.25"/>
  <cols>
    <col min="1" max="1" width="13.37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510</v>
      </c>
      <c r="B1" s="489"/>
      <c r="C1" s="490" t="s">
        <v>591</v>
      </c>
      <c r="D1" s="491" t="s">
        <v>512</v>
      </c>
      <c r="E1" s="721"/>
      <c r="F1" s="722"/>
      <c r="G1" s="721"/>
      <c r="H1" s="721"/>
      <c r="I1" s="721"/>
      <c r="J1" s="721"/>
      <c r="K1" s="723"/>
      <c r="L1" s="3195"/>
      <c r="M1" s="3196"/>
      <c r="N1" s="3196"/>
      <c r="O1" s="3196"/>
      <c r="P1" s="2000"/>
      <c r="Q1" s="2000"/>
      <c r="R1" s="2000"/>
      <c r="S1" s="2000"/>
      <c r="T1" s="2000"/>
      <c r="U1" s="2000"/>
      <c r="V1" s="2000"/>
      <c r="W1" s="2000"/>
      <c r="X1" s="2000"/>
      <c r="Y1" s="2000"/>
      <c r="Z1" s="2000"/>
      <c r="AA1" s="2000"/>
      <c r="AB1" s="2000"/>
      <c r="AC1" s="3197"/>
    </row>
    <row r="2" spans="1:29" s="1280" customFormat="1" ht="28.5" customHeight="1">
      <c r="A2" s="409" t="s">
        <v>461</v>
      </c>
      <c r="B2" s="494" t="e">
        <f>F63</f>
        <v>#DIV/0!</v>
      </c>
      <c r="C2" s="3207"/>
      <c r="D2" s="3207"/>
      <c r="E2" s="3207"/>
      <c r="F2" s="3208"/>
      <c r="G2" s="3207"/>
      <c r="H2" s="3207"/>
      <c r="I2" s="3207"/>
      <c r="J2" s="3207"/>
      <c r="K2" s="3209"/>
      <c r="L2" s="1999"/>
      <c r="M2" s="2000"/>
      <c r="N2" s="2000"/>
      <c r="O2" s="2000"/>
      <c r="P2" s="2000"/>
      <c r="Q2" s="2000"/>
      <c r="R2" s="2000"/>
      <c r="S2" s="2000"/>
      <c r="T2" s="2000"/>
      <c r="U2" s="2000"/>
      <c r="V2" s="2000"/>
      <c r="W2" s="2000"/>
      <c r="X2" s="2000"/>
      <c r="Y2" s="2000"/>
      <c r="Z2" s="2000"/>
      <c r="AA2" s="2000"/>
      <c r="AB2" s="2000"/>
      <c r="AC2" s="3197"/>
    </row>
    <row r="3" spans="1:29" s="1280" customFormat="1" ht="28.5" customHeight="1">
      <c r="A3" s="1319" t="s">
        <v>1675</v>
      </c>
      <c r="B3" s="496" t="e">
        <f>ROUND(B2*10000/'数据-汇总表'!E3,0)</f>
        <v>#DIV/0!</v>
      </c>
      <c r="C3" s="3206"/>
      <c r="D3" s="3206"/>
      <c r="E3" s="3206"/>
      <c r="F3" s="3206"/>
      <c r="G3" s="3207"/>
      <c r="H3" s="3207"/>
      <c r="I3" s="3207"/>
      <c r="J3" s="3207"/>
      <c r="K3" s="3209"/>
      <c r="L3" s="1999"/>
      <c r="M3" s="2000"/>
      <c r="N3" s="2000"/>
      <c r="O3" s="2000"/>
      <c r="P3" s="2000"/>
      <c r="Q3" s="2000"/>
      <c r="R3" s="2000"/>
      <c r="S3" s="2000"/>
      <c r="T3" s="2000"/>
      <c r="U3" s="2000"/>
      <c r="V3" s="2000"/>
      <c r="W3" s="2000"/>
      <c r="X3" s="2000"/>
      <c r="Y3" s="2000"/>
      <c r="Z3" s="2000"/>
      <c r="AA3" s="2000"/>
      <c r="AB3" s="1930"/>
      <c r="AC3" s="1930"/>
    </row>
    <row r="4" spans="1:29" s="1280" customFormat="1" ht="28.5" customHeight="1">
      <c r="A4" s="497" t="s">
        <v>514</v>
      </c>
      <c r="B4" s="413" t="e">
        <f>IF(B43="单位面积地价",C45,ROUND(B2*10000/'数据-汇总表'!D3,0))</f>
        <v>#DIV/0!</v>
      </c>
      <c r="C4" s="3206"/>
      <c r="D4" s="3206"/>
      <c r="E4" s="3206"/>
      <c r="F4" s="3206"/>
      <c r="G4" s="3207"/>
      <c r="H4" s="3207"/>
      <c r="I4" s="3207"/>
      <c r="J4" s="3207"/>
      <c r="K4" s="3209"/>
      <c r="L4" s="1999"/>
      <c r="M4" s="2000"/>
      <c r="N4" s="2000"/>
      <c r="O4" s="2000"/>
      <c r="P4" s="2000"/>
      <c r="Q4" s="2000"/>
      <c r="R4" s="2000"/>
      <c r="S4" s="2000"/>
      <c r="T4" s="2000"/>
      <c r="U4" s="2000"/>
      <c r="V4" s="2000"/>
      <c r="W4" s="2000"/>
      <c r="X4" s="2000"/>
      <c r="Y4" s="2000"/>
      <c r="Z4" s="2000"/>
      <c r="AA4" s="2000"/>
      <c r="AB4" s="2000"/>
      <c r="AC4" s="1930"/>
    </row>
    <row r="5" spans="1:29" s="1280" customFormat="1" ht="28.5" customHeight="1" thickBot="1">
      <c r="A5" s="415"/>
      <c r="B5" s="416" t="e">
        <f>ROUND(B2/('数据-汇总表'!D3/666.67),0)</f>
        <v>#DIV/0!</v>
      </c>
      <c r="C5" s="417" t="s">
        <v>463</v>
      </c>
      <c r="D5" s="3206"/>
      <c r="E5" s="3206"/>
      <c r="F5" s="3206"/>
      <c r="G5" s="3207"/>
      <c r="H5" s="3207"/>
      <c r="I5" s="3207"/>
      <c r="J5" s="3207"/>
      <c r="K5" s="3209"/>
      <c r="L5" s="1999"/>
      <c r="M5" s="2000"/>
      <c r="N5" s="2000"/>
      <c r="O5" s="2000"/>
      <c r="P5" s="2000"/>
      <c r="Q5" s="2000"/>
      <c r="R5" s="2000"/>
      <c r="S5" s="2000"/>
      <c r="T5" s="2000"/>
      <c r="U5" s="2000"/>
      <c r="V5" s="2000"/>
      <c r="W5" s="2000"/>
      <c r="X5" s="2000"/>
      <c r="Y5" s="2000"/>
      <c r="Z5" s="2000"/>
      <c r="AA5" s="2000"/>
      <c r="AB5" s="3198"/>
      <c r="AC5" s="1930"/>
    </row>
    <row r="6" spans="1:29" ht="15">
      <c r="A6" s="498" t="s">
        <v>515</v>
      </c>
      <c r="B6" s="499"/>
      <c r="C6" s="3856" t="s">
        <v>516</v>
      </c>
      <c r="D6" s="3857"/>
      <c r="E6" s="3883" t="s">
        <v>517</v>
      </c>
      <c r="F6" s="3884"/>
      <c r="G6" s="3856" t="s">
        <v>518</v>
      </c>
      <c r="H6" s="3857"/>
      <c r="I6" s="3856" t="s">
        <v>519</v>
      </c>
      <c r="J6" s="3857"/>
      <c r="K6" s="500" t="s">
        <v>520</v>
      </c>
      <c r="L6" s="2001"/>
      <c r="M6" s="2002"/>
      <c r="N6" s="2002"/>
      <c r="O6" s="2002"/>
      <c r="P6" s="3858" t="s">
        <v>521</v>
      </c>
      <c r="Q6" s="3859"/>
      <c r="R6" s="3844" t="s">
        <v>517</v>
      </c>
      <c r="S6" s="3845"/>
      <c r="T6" s="3844" t="s">
        <v>518</v>
      </c>
      <c r="U6" s="3845"/>
      <c r="V6" s="3864" t="s">
        <v>519</v>
      </c>
      <c r="W6" s="3864"/>
      <c r="X6" s="1489"/>
      <c r="Y6" s="3844" t="s">
        <v>521</v>
      </c>
      <c r="Z6" s="3845"/>
      <c r="AA6" s="3839" t="s">
        <v>517</v>
      </c>
      <c r="AB6" s="3840" t="s">
        <v>518</v>
      </c>
      <c r="AC6" s="3839" t="s">
        <v>519</v>
      </c>
    </row>
    <row r="7" spans="1:29" ht="15">
      <c r="A7" s="501"/>
      <c r="B7" s="502"/>
      <c r="C7" s="3867" t="s">
        <v>2887</v>
      </c>
      <c r="D7" s="3868"/>
      <c r="E7" s="3885" t="s">
        <v>2888</v>
      </c>
      <c r="F7" s="3886"/>
      <c r="G7" s="3867" t="s">
        <v>2889</v>
      </c>
      <c r="H7" s="3868"/>
      <c r="I7" s="3867" t="s">
        <v>2890</v>
      </c>
      <c r="J7" s="3868"/>
      <c r="K7" s="500"/>
      <c r="L7" s="2001"/>
      <c r="M7" s="2002"/>
      <c r="N7" s="2002"/>
      <c r="O7" s="2002"/>
      <c r="P7" s="3860"/>
      <c r="Q7" s="3861"/>
      <c r="R7" s="3846"/>
      <c r="S7" s="3847"/>
      <c r="T7" s="3846"/>
      <c r="U7" s="3847"/>
      <c r="V7" s="3864"/>
      <c r="W7" s="3864"/>
      <c r="X7" s="1489"/>
      <c r="Y7" s="3846"/>
      <c r="Z7" s="3847"/>
      <c r="AA7" s="3840"/>
      <c r="AB7" s="3840"/>
      <c r="AC7" s="3840"/>
    </row>
    <row r="8" spans="1:29" ht="15.75" thickBot="1">
      <c r="A8" s="503"/>
      <c r="B8" s="504"/>
      <c r="C8" s="3865" t="s">
        <v>2891</v>
      </c>
      <c r="D8" s="3866"/>
      <c r="E8" s="3887" t="s">
        <v>2891</v>
      </c>
      <c r="F8" s="3888"/>
      <c r="G8" s="3865" t="s">
        <v>2891</v>
      </c>
      <c r="H8" s="3866"/>
      <c r="I8" s="3865" t="s">
        <v>2891</v>
      </c>
      <c r="J8" s="3866"/>
      <c r="K8" s="500" t="s">
        <v>522</v>
      </c>
      <c r="L8" s="2001"/>
      <c r="M8" s="2002"/>
      <c r="N8" s="2002"/>
      <c r="O8" s="2002"/>
      <c r="P8" s="3862"/>
      <c r="Q8" s="3863"/>
      <c r="R8" s="3846"/>
      <c r="S8" s="3847"/>
      <c r="T8" s="3848"/>
      <c r="U8" s="3849"/>
      <c r="V8" s="3864"/>
      <c r="W8" s="3864"/>
      <c r="X8" s="1489"/>
      <c r="Y8" s="3848"/>
      <c r="Z8" s="3849"/>
      <c r="AA8" s="3841"/>
      <c r="AB8" s="3841"/>
      <c r="AC8" s="3841"/>
    </row>
    <row r="9" spans="1:29" s="1194" customFormat="1" ht="15.75" thickBot="1">
      <c r="A9" s="2615"/>
      <c r="B9" s="2622" t="s">
        <v>523</v>
      </c>
      <c r="C9" s="505">
        <f>'数据-取费表'!B2</f>
        <v>44191</v>
      </c>
      <c r="D9" s="506">
        <v>100</v>
      </c>
      <c r="E9" s="507"/>
      <c r="F9" s="508">
        <f>SUMIF(67:67,YEAR(E9)&amp;"-"&amp;INT((MONTH(E9)+2)/3),68:68)</f>
        <v>0</v>
      </c>
      <c r="G9" s="509"/>
      <c r="H9" s="506">
        <f>SUMIF(67:67,YEAR(G9)&amp;"-"&amp;INT((MONTH(G9)+2)/3),68:68)</f>
        <v>0</v>
      </c>
      <c r="I9" s="509"/>
      <c r="J9" s="506">
        <f>SUMIF(67:67,YEAR(I9)&amp;"-"&amp;INT((MONTH(I9)+2)/3),68:68)</f>
        <v>0</v>
      </c>
      <c r="K9" s="510"/>
      <c r="L9" s="2003"/>
      <c r="M9" s="2004"/>
      <c r="N9" s="2004"/>
      <c r="O9" s="2004"/>
      <c r="P9" s="3842" t="s">
        <v>524</v>
      </c>
      <c r="Q9" s="3851"/>
      <c r="R9" s="1490" t="s">
        <v>8</v>
      </c>
      <c r="S9" s="1491">
        <f t="shared" ref="S9:S17" si="0">F9</f>
        <v>0</v>
      </c>
      <c r="T9" s="1490" t="s">
        <v>8</v>
      </c>
      <c r="U9" s="1491">
        <f t="shared" ref="U9:U17" si="1">H9</f>
        <v>0</v>
      </c>
      <c r="V9" s="1490" t="s">
        <v>8</v>
      </c>
      <c r="W9" s="1491">
        <f t="shared" ref="W9:W17" si="2">J9</f>
        <v>0</v>
      </c>
      <c r="X9" s="1492"/>
      <c r="Y9" s="3842" t="s">
        <v>524</v>
      </c>
      <c r="Z9" s="3843"/>
      <c r="AA9" s="1493" t="e">
        <f>D9/F9</f>
        <v>#DIV/0!</v>
      </c>
      <c r="AB9" s="1493" t="e">
        <f>D9/H9</f>
        <v>#DIV/0!</v>
      </c>
      <c r="AC9" s="1493" t="e">
        <f>D9/J9</f>
        <v>#DIV/0!</v>
      </c>
    </row>
    <row r="10" spans="1:29" s="1194" customFormat="1" ht="15.75" thickBot="1">
      <c r="A10" s="2616"/>
      <c r="B10" s="2623" t="s">
        <v>525</v>
      </c>
      <c r="C10" s="511" t="s">
        <v>526</v>
      </c>
      <c r="D10" s="506">
        <v>100</v>
      </c>
      <c r="E10" s="511"/>
      <c r="F10" s="508">
        <f>SUMIF(70:70,E10,71:71)-SUMIF(70:70,C10,71:71)+100</f>
        <v>0</v>
      </c>
      <c r="G10" s="511"/>
      <c r="H10" s="506">
        <f>SUMIF(70:70,G10,71:71)-SUMIF(70:70,C10,71:71)+100</f>
        <v>0</v>
      </c>
      <c r="I10" s="511"/>
      <c r="J10" s="506">
        <f>SUMIF(70:70,I10,71:71)-SUMIF(70:70,C10,71:71)+100</f>
        <v>0</v>
      </c>
      <c r="K10" s="510"/>
      <c r="L10" s="2003"/>
      <c r="M10" s="2004"/>
      <c r="N10" s="2004"/>
      <c r="O10" s="2004"/>
      <c r="P10" s="3842" t="s">
        <v>527</v>
      </c>
      <c r="Q10" s="3843"/>
      <c r="R10" s="1490" t="s">
        <v>8</v>
      </c>
      <c r="S10" s="1491">
        <f t="shared" si="0"/>
        <v>0</v>
      </c>
      <c r="T10" s="1490" t="s">
        <v>8</v>
      </c>
      <c r="U10" s="1491">
        <f t="shared" si="1"/>
        <v>0</v>
      </c>
      <c r="V10" s="1490" t="s">
        <v>8</v>
      </c>
      <c r="W10" s="1491">
        <f t="shared" si="2"/>
        <v>0</v>
      </c>
      <c r="X10" s="1492"/>
      <c r="Y10" s="3842" t="s">
        <v>527</v>
      </c>
      <c r="Z10" s="3843"/>
      <c r="AA10" s="1493" t="e">
        <f t="shared" ref="AA10:AA42" si="3">D10/F10</f>
        <v>#DIV/0!</v>
      </c>
      <c r="AB10" s="1493" t="e">
        <f t="shared" ref="AB10:AB42" si="4">D10/H10</f>
        <v>#DIV/0!</v>
      </c>
      <c r="AC10" s="1493" t="e">
        <f t="shared" ref="AC10:AC42" si="5">D10/J10</f>
        <v>#DIV/0!</v>
      </c>
    </row>
    <row r="11" spans="1:29" s="1194" customFormat="1" ht="15">
      <c r="A11" s="2617"/>
      <c r="B11" s="2624" t="s">
        <v>2730</v>
      </c>
      <c r="C11" s="512"/>
      <c r="D11" s="244">
        <v>100</v>
      </c>
      <c r="E11" s="512"/>
      <c r="F11" s="244">
        <f>SUMIF(72:72,E11,73:73)-SUMIF(72:72,C11,73:73)+100</f>
        <v>100</v>
      </c>
      <c r="G11" s="512"/>
      <c r="H11" s="244">
        <f>SUMIF(72:72,G11,73:73)-SUMIF(72:72,C11,73:73)+100</f>
        <v>100</v>
      </c>
      <c r="I11" s="512"/>
      <c r="J11" s="244">
        <f>SUMIF(72:72,I11,73:73)-SUMIF(72:72,C11,73:73)+100</f>
        <v>100</v>
      </c>
      <c r="K11" s="510"/>
      <c r="L11" s="2003"/>
      <c r="M11" s="2004"/>
      <c r="N11" s="2004"/>
      <c r="O11" s="2005"/>
      <c r="P11" s="3850" t="s">
        <v>529</v>
      </c>
      <c r="Q11" s="1125" t="str">
        <f t="shared" ref="Q11:Q17" si="6">B11</f>
        <v>用途</v>
      </c>
      <c r="R11" s="1490" t="s">
        <v>8</v>
      </c>
      <c r="S11" s="1491">
        <f t="shared" si="0"/>
        <v>100</v>
      </c>
      <c r="T11" s="1490" t="s">
        <v>8</v>
      </c>
      <c r="U11" s="1491">
        <f t="shared" si="1"/>
        <v>100</v>
      </c>
      <c r="V11" s="1490" t="s">
        <v>8</v>
      </c>
      <c r="W11" s="1491">
        <f t="shared" si="2"/>
        <v>100</v>
      </c>
      <c r="X11" s="1492"/>
      <c r="Y11" s="3801" t="s">
        <v>530</v>
      </c>
      <c r="Z11" s="1124" t="str">
        <f t="shared" ref="Z11:Z17" si="7">Q11</f>
        <v>用途</v>
      </c>
      <c r="AA11" s="1493">
        <f t="shared" si="3"/>
        <v>1</v>
      </c>
      <c r="AB11" s="1493">
        <f t="shared" si="4"/>
        <v>1</v>
      </c>
      <c r="AC11" s="1493">
        <f t="shared" si="5"/>
        <v>1</v>
      </c>
    </row>
    <row r="12" spans="1:29" s="1282" customFormat="1" ht="27">
      <c r="A12" s="2618"/>
      <c r="B12" s="2623" t="s">
        <v>2731</v>
      </c>
      <c r="C12" s="514"/>
      <c r="D12" s="245">
        <v>100</v>
      </c>
      <c r="E12" s="514"/>
      <c r="F12" s="245">
        <f>ROUND(100/'数据-取费表'!G16,0)</f>
        <v>100</v>
      </c>
      <c r="G12" s="514"/>
      <c r="H12" s="245">
        <f>ROUND(100/'数据-取费表'!G16,0)</f>
        <v>100</v>
      </c>
      <c r="I12" s="514"/>
      <c r="J12" s="245">
        <f>ROUND(100/'数据-取费表'!G16,0)</f>
        <v>100</v>
      </c>
      <c r="K12" s="517"/>
      <c r="L12" s="2006"/>
      <c r="M12" s="2045"/>
      <c r="N12" s="2045"/>
      <c r="O12" s="2007"/>
      <c r="P12" s="3850"/>
      <c r="Q12" s="1125" t="str">
        <f t="shared" si="6"/>
        <v>土地使用年限（年）</v>
      </c>
      <c r="R12" s="1490" t="s">
        <v>8</v>
      </c>
      <c r="S12" s="1491">
        <f t="shared" si="0"/>
        <v>100</v>
      </c>
      <c r="T12" s="1490" t="s">
        <v>8</v>
      </c>
      <c r="U12" s="1491">
        <f t="shared" si="1"/>
        <v>100</v>
      </c>
      <c r="V12" s="1490" t="s">
        <v>8</v>
      </c>
      <c r="W12" s="1491">
        <f t="shared" si="2"/>
        <v>100</v>
      </c>
      <c r="X12" s="1492"/>
      <c r="Y12" s="3801"/>
      <c r="Z12" s="1124" t="str">
        <f t="shared" si="7"/>
        <v>土地使用年限（年）</v>
      </c>
      <c r="AA12" s="1493">
        <f t="shared" si="3"/>
        <v>1</v>
      </c>
      <c r="AB12" s="1493">
        <f t="shared" si="4"/>
        <v>1</v>
      </c>
      <c r="AC12" s="1493">
        <f t="shared" si="5"/>
        <v>1</v>
      </c>
    </row>
    <row r="13" spans="1:29" ht="15">
      <c r="A13" s="2619"/>
      <c r="B13" s="2623" t="s">
        <v>2732</v>
      </c>
      <c r="C13" s="519"/>
      <c r="D13" s="245">
        <v>100</v>
      </c>
      <c r="E13" s="519"/>
      <c r="F13" s="245" t="e">
        <f>LOOKUP(E13,77:77,78:78)-LOOKUP(C13,77:77,78:78)+100</f>
        <v>#N/A</v>
      </c>
      <c r="G13" s="520"/>
      <c r="H13" s="245" t="e">
        <f>LOOKUP(G13,77:77,78:78)-LOOKUP(C13,77:77,78:78)+100</f>
        <v>#N/A</v>
      </c>
      <c r="I13" s="519"/>
      <c r="J13" s="245" t="e">
        <f>LOOKUP(I13,77:77,78:78)-LOOKUP(C13,77:77,78:78)+100</f>
        <v>#N/A</v>
      </c>
      <c r="K13" s="521"/>
      <c r="L13" s="2008"/>
      <c r="M13" s="2002"/>
      <c r="N13" s="2002"/>
      <c r="O13" s="2009"/>
      <c r="P13" s="3850"/>
      <c r="Q13" s="1125" t="str">
        <f t="shared" si="6"/>
        <v>容积率</v>
      </c>
      <c r="R13" s="1490" t="s">
        <v>8</v>
      </c>
      <c r="S13" s="1491" t="e">
        <f t="shared" si="0"/>
        <v>#N/A</v>
      </c>
      <c r="T13" s="1490" t="s">
        <v>8</v>
      </c>
      <c r="U13" s="1491" t="e">
        <f t="shared" si="1"/>
        <v>#N/A</v>
      </c>
      <c r="V13" s="1490" t="s">
        <v>8</v>
      </c>
      <c r="W13" s="1491" t="e">
        <f t="shared" si="2"/>
        <v>#N/A</v>
      </c>
      <c r="X13" s="1492"/>
      <c r="Y13" s="3801"/>
      <c r="Z13" s="1124" t="str">
        <f t="shared" si="7"/>
        <v>容积率</v>
      </c>
      <c r="AA13" s="1493" t="e">
        <f t="shared" si="3"/>
        <v>#N/A</v>
      </c>
      <c r="AB13" s="1493" t="e">
        <f t="shared" si="4"/>
        <v>#N/A</v>
      </c>
      <c r="AC13" s="1493" t="e">
        <f t="shared" si="5"/>
        <v>#N/A</v>
      </c>
    </row>
    <row r="14" spans="1:29" s="1194" customFormat="1" ht="15">
      <c r="A14" s="2620"/>
      <c r="B14" s="2626">
        <v>111</v>
      </c>
      <c r="C14" s="514"/>
      <c r="D14" s="524">
        <v>100</v>
      </c>
      <c r="E14" s="527"/>
      <c r="F14" s="245">
        <f>SUMIF(79:79,E14,80:80)-SUMIF(79:79,C14,80:80)+100</f>
        <v>100</v>
      </c>
      <c r="G14" s="528"/>
      <c r="H14" s="245">
        <f>SUMIF(79:79,G14,80:80)-SUMIF(79:79,C14,80:80)+100</f>
        <v>100</v>
      </c>
      <c r="I14" s="527"/>
      <c r="J14" s="245">
        <f>SUMIF(79:79,I14,80:80)-SUMIF(79:79,C14,80:80)+100</f>
        <v>100</v>
      </c>
      <c r="K14" s="517"/>
      <c r="L14" s="2003"/>
      <c r="M14" s="2004"/>
      <c r="N14" s="2004"/>
      <c r="O14" s="2005"/>
      <c r="P14" s="3850"/>
      <c r="Q14" s="1125">
        <f t="shared" si="6"/>
        <v>111</v>
      </c>
      <c r="R14" s="1490" t="s">
        <v>8</v>
      </c>
      <c r="S14" s="1491">
        <f t="shared" si="0"/>
        <v>100</v>
      </c>
      <c r="T14" s="1490" t="s">
        <v>8</v>
      </c>
      <c r="U14" s="1491">
        <f t="shared" si="1"/>
        <v>100</v>
      </c>
      <c r="V14" s="1490" t="s">
        <v>8</v>
      </c>
      <c r="W14" s="1491">
        <f t="shared" si="2"/>
        <v>100</v>
      </c>
      <c r="X14" s="1492"/>
      <c r="Y14" s="3801"/>
      <c r="Z14" s="1124">
        <f t="shared" si="7"/>
        <v>111</v>
      </c>
      <c r="AA14" s="1493">
        <f>D14/F14</f>
        <v>1</v>
      </c>
      <c r="AB14" s="1493">
        <f>D14/H14</f>
        <v>1</v>
      </c>
      <c r="AC14" s="1493">
        <f>D14/J14</f>
        <v>1</v>
      </c>
    </row>
    <row r="15" spans="1:29" ht="15">
      <c r="A15" s="2620"/>
      <c r="B15" s="2626">
        <v>111</v>
      </c>
      <c r="C15" s="525"/>
      <c r="D15" s="526">
        <v>100</v>
      </c>
      <c r="E15" s="527"/>
      <c r="F15" s="245">
        <f>SUMIF(81:81,E15,82:82)-SUMIF(81:81,C15,82:82)+100</f>
        <v>100</v>
      </c>
      <c r="G15" s="528"/>
      <c r="H15" s="526">
        <f>SUMIF(81:81,G15,82:82)-SUMIF(81:81,C15,82:82)+100</f>
        <v>100</v>
      </c>
      <c r="I15" s="527"/>
      <c r="J15" s="526">
        <f>SUMIF(81:81,I15,82:82)-SUMIF(81:81,C15,82:82)+100</f>
        <v>100</v>
      </c>
      <c r="K15" s="517"/>
      <c r="L15" s="2010"/>
      <c r="M15" s="2002"/>
      <c r="N15" s="2002"/>
      <c r="O15" s="2009"/>
      <c r="P15" s="3850"/>
      <c r="Q15" s="1125">
        <f t="shared" si="6"/>
        <v>111</v>
      </c>
      <c r="R15" s="1490" t="s">
        <v>8</v>
      </c>
      <c r="S15" s="1491">
        <f t="shared" si="0"/>
        <v>100</v>
      </c>
      <c r="T15" s="1490" t="s">
        <v>8</v>
      </c>
      <c r="U15" s="1491">
        <f t="shared" si="1"/>
        <v>100</v>
      </c>
      <c r="V15" s="1490" t="s">
        <v>8</v>
      </c>
      <c r="W15" s="1491">
        <f t="shared" si="2"/>
        <v>100</v>
      </c>
      <c r="X15" s="1492"/>
      <c r="Y15" s="3801"/>
      <c r="Z15" s="1124">
        <f t="shared" si="7"/>
        <v>111</v>
      </c>
      <c r="AA15" s="1493">
        <f t="shared" si="3"/>
        <v>1</v>
      </c>
      <c r="AB15" s="1493">
        <f t="shared" si="4"/>
        <v>1</v>
      </c>
      <c r="AC15" s="1493">
        <f t="shared" si="5"/>
        <v>1</v>
      </c>
    </row>
    <row r="16" spans="1:29" ht="15.75" thickBot="1">
      <c r="A16" s="2621"/>
      <c r="B16" s="2627">
        <v>111</v>
      </c>
      <c r="C16" s="531"/>
      <c r="D16" s="532">
        <v>100</v>
      </c>
      <c r="E16" s="527"/>
      <c r="F16" s="532">
        <f>SUMIF(83:83,E16,84:84)-SUMIF(83:83,C16,84:84)+100</f>
        <v>100</v>
      </c>
      <c r="G16" s="528"/>
      <c r="H16" s="532">
        <f>SUMIF(83:83,G16,84:84)-SUMIF(83:83,C16,84:84)+100</f>
        <v>100</v>
      </c>
      <c r="I16" s="527"/>
      <c r="J16" s="532">
        <f>SUMIF(83:83,I16,84:84)-SUMIF(83:83,C16,84:84)+100</f>
        <v>100</v>
      </c>
      <c r="K16" s="517"/>
      <c r="L16" s="2010"/>
      <c r="M16" s="2002"/>
      <c r="N16" s="2002"/>
      <c r="O16" s="2009"/>
      <c r="P16" s="3850"/>
      <c r="Q16" s="1125">
        <f t="shared" si="6"/>
        <v>111</v>
      </c>
      <c r="R16" s="1490" t="s">
        <v>8</v>
      </c>
      <c r="S16" s="1491">
        <f t="shared" si="0"/>
        <v>100</v>
      </c>
      <c r="T16" s="1490" t="s">
        <v>8</v>
      </c>
      <c r="U16" s="1491">
        <f t="shared" si="1"/>
        <v>100</v>
      </c>
      <c r="V16" s="1490" t="s">
        <v>8</v>
      </c>
      <c r="W16" s="1491">
        <f t="shared" si="2"/>
        <v>100</v>
      </c>
      <c r="X16" s="1492"/>
      <c r="Y16" s="3801"/>
      <c r="Z16" s="1124">
        <f t="shared" si="7"/>
        <v>111</v>
      </c>
      <c r="AA16" s="1493">
        <f t="shared" si="3"/>
        <v>1</v>
      </c>
      <c r="AB16" s="1493">
        <f t="shared" si="4"/>
        <v>1</v>
      </c>
      <c r="AC16" s="1493">
        <f t="shared" si="5"/>
        <v>1</v>
      </c>
    </row>
    <row r="17" spans="1:29" ht="57">
      <c r="A17" s="2613" t="s">
        <v>2728</v>
      </c>
      <c r="B17" s="164" t="s">
        <v>592</v>
      </c>
      <c r="C17" s="902" t="str">
        <f>估价对象房地状况!G15</f>
        <v>估价对象位于XX开发区，园区建设成熟度XX，产业集聚程度XX</v>
      </c>
      <c r="D17" s="535">
        <v>100</v>
      </c>
      <c r="E17" s="536"/>
      <c r="F17" s="535">
        <f>SUMIF(85:85,E18,86:86)-SUMIF(85:85,C18,86:86)+100</f>
        <v>100</v>
      </c>
      <c r="G17" s="536"/>
      <c r="H17" s="535">
        <f>SUMIF(85:85,G18,86:86)-SUMIF(85:85,C18,86:86)+100</f>
        <v>100</v>
      </c>
      <c r="I17" s="538"/>
      <c r="J17" s="535">
        <f>SUMIF(85:85,I18,86:86)-SUMIF(85:85,C18,86:86)+100</f>
        <v>100</v>
      </c>
      <c r="K17" s="521"/>
      <c r="L17" s="2010"/>
      <c r="M17" s="2002"/>
      <c r="N17" s="2002"/>
      <c r="O17" s="2009"/>
      <c r="P17" s="3852" t="s">
        <v>534</v>
      </c>
      <c r="Q17" s="1494" t="str">
        <f t="shared" si="6"/>
        <v>产业集聚程度</v>
      </c>
      <c r="R17" s="1495" t="s">
        <v>8</v>
      </c>
      <c r="S17" s="1496">
        <f t="shared" si="0"/>
        <v>100</v>
      </c>
      <c r="T17" s="1495" t="s">
        <v>8</v>
      </c>
      <c r="U17" s="1496">
        <f t="shared" si="1"/>
        <v>100</v>
      </c>
      <c r="V17" s="1495" t="s">
        <v>8</v>
      </c>
      <c r="W17" s="1496">
        <f t="shared" si="2"/>
        <v>100</v>
      </c>
      <c r="X17" s="1489"/>
      <c r="Y17" s="3852" t="s">
        <v>534</v>
      </c>
      <c r="Z17" s="1497" t="str">
        <f t="shared" si="7"/>
        <v>产业集聚程度</v>
      </c>
      <c r="AA17" s="1498">
        <f t="shared" si="3"/>
        <v>1</v>
      </c>
      <c r="AB17" s="1498">
        <f t="shared" si="4"/>
        <v>1</v>
      </c>
      <c r="AC17" s="1498">
        <f t="shared" si="5"/>
        <v>1</v>
      </c>
    </row>
    <row r="18" spans="1:29" ht="15">
      <c r="A18" s="518"/>
      <c r="B18" s="850"/>
      <c r="C18" s="562"/>
      <c r="D18" s="541"/>
      <c r="E18" s="540"/>
      <c r="F18" s="541"/>
      <c r="G18" s="540"/>
      <c r="H18" s="545"/>
      <c r="I18" s="540"/>
      <c r="J18" s="541"/>
      <c r="K18" s="517"/>
      <c r="L18" s="2010"/>
      <c r="M18" s="2002"/>
      <c r="N18" s="2002"/>
      <c r="O18" s="2009"/>
      <c r="P18" s="3853"/>
      <c r="Q18" s="1494"/>
      <c r="R18" s="1495"/>
      <c r="S18" s="1496"/>
      <c r="T18" s="1495"/>
      <c r="U18" s="1496"/>
      <c r="V18" s="1495"/>
      <c r="W18" s="1496"/>
      <c r="X18" s="1489"/>
      <c r="Y18" s="3853"/>
      <c r="Z18" s="1497"/>
      <c r="AA18" s="1498">
        <v>1</v>
      </c>
      <c r="AB18" s="1498">
        <v>1</v>
      </c>
      <c r="AC18" s="1498">
        <v>1</v>
      </c>
    </row>
    <row r="19" spans="1:29" ht="85.5">
      <c r="A19" s="518"/>
      <c r="B19" s="852" t="s">
        <v>537</v>
      </c>
      <c r="C19" s="853" t="str">
        <f>估价对象房地状况!G16</f>
        <v>估价对象周边道路状况、公共交通通达情况、停车便捷程度，综合评价交通便捷度较好</v>
      </c>
      <c r="D19" s="545">
        <v>100</v>
      </c>
      <c r="E19" s="548"/>
      <c r="F19" s="551">
        <f>SUMIF(87:87,E20,88:88)-SUMIF(87:87,C20,88:88)+100</f>
        <v>100</v>
      </c>
      <c r="G19" s="548"/>
      <c r="H19" s="551">
        <f>SUMIF(87:87,G20,88:88)-SUMIF(87:87,C20,88:88)+100</f>
        <v>100</v>
      </c>
      <c r="I19" s="550"/>
      <c r="J19" s="545">
        <f>SUMIF(87:87,I20,88:88)-SUMIF(87:87,C20,88:88)+100</f>
        <v>100</v>
      </c>
      <c r="K19" s="521"/>
      <c r="L19" s="2010"/>
      <c r="M19" s="2002"/>
      <c r="N19" s="2002"/>
      <c r="O19" s="2009"/>
      <c r="P19" s="3853"/>
      <c r="Q19" s="1494" t="str">
        <f>B19</f>
        <v>交通便捷度</v>
      </c>
      <c r="R19" s="1495" t="s">
        <v>8</v>
      </c>
      <c r="S19" s="1496">
        <f>F19</f>
        <v>100</v>
      </c>
      <c r="T19" s="1495" t="s">
        <v>8</v>
      </c>
      <c r="U19" s="1496">
        <f>H19</f>
        <v>100</v>
      </c>
      <c r="V19" s="1495" t="s">
        <v>8</v>
      </c>
      <c r="W19" s="1496">
        <f>J19</f>
        <v>100</v>
      </c>
      <c r="X19" s="1489"/>
      <c r="Y19" s="3853"/>
      <c r="Z19" s="1497" t="str">
        <f>Q19</f>
        <v>交通便捷度</v>
      </c>
      <c r="AA19" s="1498">
        <f t="shared" si="3"/>
        <v>1</v>
      </c>
      <c r="AB19" s="1498">
        <f t="shared" si="4"/>
        <v>1</v>
      </c>
      <c r="AC19" s="1498">
        <f t="shared" si="5"/>
        <v>1</v>
      </c>
    </row>
    <row r="20" spans="1:29" ht="15">
      <c r="A20" s="518"/>
      <c r="B20" s="903"/>
      <c r="C20" s="562"/>
      <c r="D20" s="541"/>
      <c r="E20" s="542"/>
      <c r="F20" s="541"/>
      <c r="G20" s="542"/>
      <c r="H20" s="541"/>
      <c r="I20" s="544"/>
      <c r="J20" s="541"/>
      <c r="K20" s="517"/>
      <c r="L20" s="2010"/>
      <c r="M20" s="2002"/>
      <c r="N20" s="2002"/>
      <c r="O20" s="2009"/>
      <c r="P20" s="3853"/>
      <c r="Q20" s="1494"/>
      <c r="R20" s="1495"/>
      <c r="S20" s="1496"/>
      <c r="T20" s="1495"/>
      <c r="U20" s="1496"/>
      <c r="V20" s="1495"/>
      <c r="W20" s="1496"/>
      <c r="X20" s="1489"/>
      <c r="Y20" s="3853"/>
      <c r="Z20" s="1497"/>
      <c r="AA20" s="1498">
        <v>1</v>
      </c>
      <c r="AB20" s="1498">
        <v>1</v>
      </c>
      <c r="AC20" s="1498">
        <v>1</v>
      </c>
    </row>
    <row r="21" spans="1:29" ht="27">
      <c r="A21" s="501"/>
      <c r="B21" s="852" t="s">
        <v>538</v>
      </c>
      <c r="C21" s="853">
        <f>估价对象房地状况!G17</f>
        <v>0</v>
      </c>
      <c r="D21" s="545">
        <v>100</v>
      </c>
      <c r="E21" s="548"/>
      <c r="F21" s="549">
        <f>SUMIF(89:89,E22,90:90)-SUMIF(89:89,C22,90:90)+100</f>
        <v>100</v>
      </c>
      <c r="G21" s="550"/>
      <c r="H21" s="549">
        <f>SUMIF(89:89,G22,90:90)-SUMIF(89:89,C22,90:90)+100</f>
        <v>100</v>
      </c>
      <c r="I21" s="550"/>
      <c r="J21" s="549">
        <f>SUMIF(89:89,I22,90:90)-SUMIF(89:89,C22,90:90)+100</f>
        <v>100</v>
      </c>
      <c r="K21" s="986"/>
      <c r="L21" s="2010"/>
      <c r="M21" s="2002"/>
      <c r="N21" s="2002"/>
      <c r="O21" s="2009"/>
      <c r="P21" s="3853"/>
      <c r="Q21" s="1494" t="str">
        <f t="shared" ref="Q21:Q35" si="8">B21</f>
        <v>区域土地利用方向</v>
      </c>
      <c r="R21" s="1495" t="s">
        <v>8</v>
      </c>
      <c r="S21" s="1496">
        <f>F21</f>
        <v>100</v>
      </c>
      <c r="T21" s="1495" t="s">
        <v>8</v>
      </c>
      <c r="U21" s="1496">
        <f>H21</f>
        <v>100</v>
      </c>
      <c r="V21" s="1495" t="s">
        <v>8</v>
      </c>
      <c r="W21" s="1496">
        <f>J21</f>
        <v>100</v>
      </c>
      <c r="X21" s="1489"/>
      <c r="Y21" s="3853"/>
      <c r="Z21" s="1497" t="str">
        <f>Q21</f>
        <v>区域土地利用方向</v>
      </c>
      <c r="AA21" s="1498">
        <f t="shared" si="3"/>
        <v>1</v>
      </c>
      <c r="AB21" s="1498">
        <f t="shared" si="4"/>
        <v>1</v>
      </c>
      <c r="AC21" s="1498">
        <f t="shared" si="5"/>
        <v>1</v>
      </c>
    </row>
    <row r="22" spans="1:29" ht="15">
      <c r="A22" s="501"/>
      <c r="B22" s="581"/>
      <c r="C22" s="562"/>
      <c r="D22" s="541"/>
      <c r="E22" s="542"/>
      <c r="F22" s="543"/>
      <c r="G22" s="544"/>
      <c r="H22" s="543"/>
      <c r="I22" s="544"/>
      <c r="J22" s="543"/>
      <c r="K22" s="1291"/>
      <c r="L22" s="2010"/>
      <c r="M22" s="2002"/>
      <c r="N22" s="2002"/>
      <c r="O22" s="2009"/>
      <c r="P22" s="3853"/>
      <c r="Q22" s="1494"/>
      <c r="R22" s="1495"/>
      <c r="S22" s="1496"/>
      <c r="T22" s="1495"/>
      <c r="U22" s="1496"/>
      <c r="V22" s="1495"/>
      <c r="W22" s="1496"/>
      <c r="X22" s="1489"/>
      <c r="Y22" s="3853"/>
      <c r="Z22" s="1497"/>
      <c r="AA22" s="1498"/>
      <c r="AB22" s="1498"/>
      <c r="AC22" s="1498"/>
    </row>
    <row r="23" spans="1:29" ht="71.25">
      <c r="A23" s="501"/>
      <c r="B23" s="903" t="s">
        <v>593</v>
      </c>
      <c r="C23" s="853" t="str">
        <f>估价对象房地状况!G18</f>
        <v>该园区内是否有污染型企业，绿化情况，卫生条件，整体环境状况判断</v>
      </c>
      <c r="D23" s="545">
        <v>100</v>
      </c>
      <c r="E23" s="548"/>
      <c r="F23" s="545">
        <f>SUMIF(91:91,E24,92:92)-SUMIF(91:91,C24,92:92)+100</f>
        <v>100</v>
      </c>
      <c r="G23" s="548"/>
      <c r="H23" s="545">
        <f>SUMIF(91:91,G24,92:92)-SUMIF(91:91,C24,92:92)+100</f>
        <v>100</v>
      </c>
      <c r="I23" s="550"/>
      <c r="J23" s="545">
        <f>SUMIF(91:91,I24,92:92)-SUMIF(91:91,C24,92:92)+100</f>
        <v>100</v>
      </c>
      <c r="K23" s="521"/>
      <c r="L23" s="2010"/>
      <c r="M23" s="2002"/>
      <c r="N23" s="2002"/>
      <c r="O23" s="2009"/>
      <c r="P23" s="3853"/>
      <c r="Q23" s="1494" t="str">
        <f t="shared" si="8"/>
        <v>环境状况</v>
      </c>
      <c r="R23" s="1495" t="s">
        <v>8</v>
      </c>
      <c r="S23" s="1496">
        <f>F23</f>
        <v>100</v>
      </c>
      <c r="T23" s="1495" t="s">
        <v>8</v>
      </c>
      <c r="U23" s="1496">
        <f>H23</f>
        <v>100</v>
      </c>
      <c r="V23" s="1495" t="s">
        <v>8</v>
      </c>
      <c r="W23" s="1496">
        <f>J23</f>
        <v>100</v>
      </c>
      <c r="X23" s="1489"/>
      <c r="Y23" s="3853"/>
      <c r="Z23" s="1497" t="str">
        <f>Q23</f>
        <v>环境状况</v>
      </c>
      <c r="AA23" s="1498">
        <f t="shared" si="3"/>
        <v>1</v>
      </c>
      <c r="AB23" s="1498">
        <f t="shared" si="4"/>
        <v>1</v>
      </c>
      <c r="AC23" s="1498">
        <f t="shared" si="5"/>
        <v>1</v>
      </c>
    </row>
    <row r="24" spans="1:29" ht="15">
      <c r="A24" s="501"/>
      <c r="B24" s="581"/>
      <c r="C24" s="562"/>
      <c r="D24" s="541"/>
      <c r="E24" s="540"/>
      <c r="F24" s="541"/>
      <c r="G24" s="540"/>
      <c r="H24" s="541"/>
      <c r="I24" s="562"/>
      <c r="J24" s="541"/>
      <c r="K24" s="517"/>
      <c r="L24" s="2010"/>
      <c r="M24" s="2002"/>
      <c r="N24" s="2002"/>
      <c r="O24" s="2009"/>
      <c r="P24" s="3853"/>
      <c r="Q24" s="1494"/>
      <c r="R24" s="1495"/>
      <c r="S24" s="1496"/>
      <c r="T24" s="1495"/>
      <c r="U24" s="1496"/>
      <c r="V24" s="1495"/>
      <c r="W24" s="1496"/>
      <c r="X24" s="1489"/>
      <c r="Y24" s="3853"/>
      <c r="Z24" s="1497"/>
      <c r="AA24" s="1498">
        <v>1</v>
      </c>
      <c r="AB24" s="1498">
        <v>1</v>
      </c>
      <c r="AC24" s="1498">
        <v>1</v>
      </c>
    </row>
    <row r="25" spans="1:29" s="1194" customFormat="1" ht="42.75">
      <c r="A25" s="563"/>
      <c r="B25" s="2423" t="s">
        <v>2524</v>
      </c>
      <c r="C25" s="853" t="str">
        <f>估价对象房地状况!G19</f>
        <v>估价对象所在区域公共配套设施齐备情况</v>
      </c>
      <c r="D25" s="545">
        <v>100</v>
      </c>
      <c r="E25" s="548"/>
      <c r="F25" s="545">
        <f>SUMIF(93:93,E26,94:94)-SUMIF(93:93,C26,94:94)+100</f>
        <v>100</v>
      </c>
      <c r="G25" s="548"/>
      <c r="H25" s="545">
        <f>SUMIF(93:93,G26,94:94)-SUMIF(93:93,C26,94:94)+100</f>
        <v>100</v>
      </c>
      <c r="I25" s="550"/>
      <c r="J25" s="545">
        <f>SUMIF(93:93,I26,94:94)-SUMIF(93:93,C26,94:94)+100</f>
        <v>100</v>
      </c>
      <c r="K25" s="521"/>
      <c r="L25" s="2003"/>
      <c r="M25" s="2004"/>
      <c r="N25" s="2004"/>
      <c r="O25" s="2005"/>
      <c r="P25" s="3853"/>
      <c r="Q25" s="1125" t="str">
        <f t="shared" si="8"/>
        <v>公共配套设施</v>
      </c>
      <c r="R25" s="1490" t="s">
        <v>8</v>
      </c>
      <c r="S25" s="1491">
        <f>F25</f>
        <v>100</v>
      </c>
      <c r="T25" s="1490" t="s">
        <v>8</v>
      </c>
      <c r="U25" s="1491">
        <f>H25</f>
        <v>100</v>
      </c>
      <c r="V25" s="1490" t="s">
        <v>8</v>
      </c>
      <c r="W25" s="1491">
        <f>J25</f>
        <v>100</v>
      </c>
      <c r="X25" s="1492"/>
      <c r="Y25" s="3853"/>
      <c r="Z25" s="1124" t="str">
        <f>Q25</f>
        <v>公共配套设施</v>
      </c>
      <c r="AA25" s="1498">
        <f>D25/F25</f>
        <v>1</v>
      </c>
      <c r="AB25" s="1498">
        <f>D25/H25</f>
        <v>1</v>
      </c>
      <c r="AC25" s="1498">
        <f>D25/J25</f>
        <v>1</v>
      </c>
    </row>
    <row r="26" spans="1:29" s="1194" customFormat="1" ht="15">
      <c r="A26" s="563"/>
      <c r="B26" s="581"/>
      <c r="C26" s="2422"/>
      <c r="D26" s="541"/>
      <c r="E26" s="540"/>
      <c r="F26" s="541"/>
      <c r="G26" s="540"/>
      <c r="H26" s="541"/>
      <c r="I26" s="562"/>
      <c r="J26" s="541"/>
      <c r="K26" s="517"/>
      <c r="L26" s="2003"/>
      <c r="M26" s="2004"/>
      <c r="N26" s="2004"/>
      <c r="O26" s="2005"/>
      <c r="P26" s="3853"/>
      <c r="Q26" s="1125"/>
      <c r="R26" s="1490"/>
      <c r="S26" s="1491"/>
      <c r="T26" s="1490"/>
      <c r="U26" s="1491"/>
      <c r="V26" s="1490"/>
      <c r="W26" s="1491"/>
      <c r="X26" s="1492"/>
      <c r="Y26" s="3853"/>
      <c r="Z26" s="1124"/>
      <c r="AA26" s="1493">
        <v>1</v>
      </c>
      <c r="AB26" s="1493">
        <v>1</v>
      </c>
      <c r="AC26" s="1493">
        <v>1</v>
      </c>
    </row>
    <row r="27" spans="1:29" s="1194" customFormat="1" ht="28.5">
      <c r="A27" s="563"/>
      <c r="B27" s="2423" t="s">
        <v>2525</v>
      </c>
      <c r="C27" s="853" t="str">
        <f>估价对象房地状况!G20</f>
        <v>估价对象所在区域基础设施水平</v>
      </c>
      <c r="D27" s="545">
        <v>100</v>
      </c>
      <c r="E27" s="548"/>
      <c r="F27" s="545">
        <f>SUMIF(95:95,E28,96:96)-SUMIF(95:95,C28,96:96)+100</f>
        <v>100</v>
      </c>
      <c r="G27" s="548"/>
      <c r="H27" s="545">
        <f>SUMIF(95:95,G28,96:96)-SUMIF(95:95,C28,96:96)+100</f>
        <v>100</v>
      </c>
      <c r="I27" s="550"/>
      <c r="J27" s="545">
        <f>SUMIF(95:95,I28,96:96)-SUMIF(95:95,C28,96:96)+100</f>
        <v>100</v>
      </c>
      <c r="K27" s="521"/>
      <c r="L27" s="2003"/>
      <c r="M27" s="2004"/>
      <c r="N27" s="2004"/>
      <c r="O27" s="2005"/>
      <c r="P27" s="3853"/>
      <c r="Q27" s="2414" t="str">
        <f t="shared" ref="Q27" si="9">B27</f>
        <v>基础设施水平</v>
      </c>
      <c r="R27" s="1490" t="s">
        <v>8</v>
      </c>
      <c r="S27" s="1491">
        <f>F27</f>
        <v>100</v>
      </c>
      <c r="T27" s="1490" t="s">
        <v>8</v>
      </c>
      <c r="U27" s="1491">
        <f>H27</f>
        <v>100</v>
      </c>
      <c r="V27" s="1490" t="s">
        <v>8</v>
      </c>
      <c r="W27" s="1491">
        <f>J27</f>
        <v>100</v>
      </c>
      <c r="X27" s="1492"/>
      <c r="Y27" s="3853"/>
      <c r="Z27" s="2413" t="str">
        <f>Q27</f>
        <v>基础设施水平</v>
      </c>
      <c r="AA27" s="1498">
        <f>D27/F27</f>
        <v>1</v>
      </c>
      <c r="AB27" s="1498">
        <f>D27/H27</f>
        <v>1</v>
      </c>
      <c r="AC27" s="1498">
        <f>D27/J27</f>
        <v>1</v>
      </c>
    </row>
    <row r="28" spans="1:29" s="1194" customFormat="1" ht="15">
      <c r="A28" s="563"/>
      <c r="B28" s="581"/>
      <c r="C28" s="2422"/>
      <c r="D28" s="541"/>
      <c r="E28" s="565"/>
      <c r="F28" s="541"/>
      <c r="G28" s="565"/>
      <c r="H28" s="541"/>
      <c r="I28" s="565"/>
      <c r="J28" s="541"/>
      <c r="K28" s="517"/>
      <c r="L28" s="2003"/>
      <c r="M28" s="2004"/>
      <c r="N28" s="2004"/>
      <c r="O28" s="2005"/>
      <c r="P28" s="3853"/>
      <c r="Q28" s="2414"/>
      <c r="R28" s="1490"/>
      <c r="S28" s="1491"/>
      <c r="T28" s="1490"/>
      <c r="U28" s="1491"/>
      <c r="V28" s="1490"/>
      <c r="W28" s="1491"/>
      <c r="X28" s="1492"/>
      <c r="Y28" s="3853"/>
      <c r="Z28" s="2413"/>
      <c r="AA28" s="1493">
        <v>1</v>
      </c>
      <c r="AB28" s="1493">
        <v>1</v>
      </c>
      <c r="AC28" s="1493">
        <v>1</v>
      </c>
    </row>
    <row r="29" spans="1:29" ht="15">
      <c r="A29" s="518"/>
      <c r="B29" s="581" t="s">
        <v>541</v>
      </c>
      <c r="C29" s="569"/>
      <c r="D29" s="526">
        <v>100</v>
      </c>
      <c r="E29" s="566"/>
      <c r="F29" s="526">
        <f>SUMIF(97:97,E29,98:98)-SUMIF(97:97,C29,98:98)+100</f>
        <v>100</v>
      </c>
      <c r="G29" s="566"/>
      <c r="H29" s="526">
        <f>SUMIF(97:97,G29,98:98)-SUMIF(97:97,C29,98:98)+100</f>
        <v>100</v>
      </c>
      <c r="I29" s="566"/>
      <c r="J29" s="526">
        <f>SUMIF(97:97,I29,98:98)-SUMIF(97:97,C29,98:98)+100</f>
        <v>100</v>
      </c>
      <c r="K29" s="521"/>
      <c r="L29" s="2010"/>
      <c r="M29" s="2002"/>
      <c r="N29" s="2002"/>
      <c r="O29" s="2009"/>
      <c r="P29" s="3853"/>
      <c r="Q29" s="1494" t="str">
        <f t="shared" si="8"/>
        <v>临街状况</v>
      </c>
      <c r="R29" s="1495" t="s">
        <v>8</v>
      </c>
      <c r="S29" s="1496">
        <f t="shared" ref="S29:S42" si="10">F29</f>
        <v>100</v>
      </c>
      <c r="T29" s="1495" t="s">
        <v>8</v>
      </c>
      <c r="U29" s="1496">
        <f t="shared" ref="U29:U42" si="11">H29</f>
        <v>100</v>
      </c>
      <c r="V29" s="1495" t="s">
        <v>8</v>
      </c>
      <c r="W29" s="1496">
        <f t="shared" ref="W29:W42" si="12">J29</f>
        <v>100</v>
      </c>
      <c r="X29" s="1489"/>
      <c r="Y29" s="3853"/>
      <c r="Z29" s="1497" t="str">
        <f t="shared" ref="Z29:Z42" si="13">Q29</f>
        <v>临街状况</v>
      </c>
      <c r="AA29" s="1498">
        <f t="shared" si="3"/>
        <v>1</v>
      </c>
      <c r="AB29" s="1498">
        <f t="shared" si="4"/>
        <v>1</v>
      </c>
      <c r="AC29" s="1498">
        <f t="shared" si="5"/>
        <v>1</v>
      </c>
    </row>
    <row r="30" spans="1:29" ht="27">
      <c r="A30" s="518"/>
      <c r="B30" s="903" t="s">
        <v>542</v>
      </c>
      <c r="C30" s="2425">
        <f>估价对象房地状况!G22</f>
        <v>0</v>
      </c>
      <c r="D30" s="545">
        <v>100</v>
      </c>
      <c r="E30" s="548"/>
      <c r="F30" s="545">
        <f>SUMIF(99:99,E31,100:100)-SUMIF(99:99,C31,100:100)+100</f>
        <v>100</v>
      </c>
      <c r="G30" s="548"/>
      <c r="H30" s="545">
        <f>SUMIF(99:99,G31,100:100)-SUMIF(99:99,C31,100:100)+100</f>
        <v>100</v>
      </c>
      <c r="I30" s="550"/>
      <c r="J30" s="545">
        <f>SUMIF(99:99,I31,100:100)-SUMIF(99:99,C31,100:100)+100</f>
        <v>100</v>
      </c>
      <c r="K30" s="521"/>
      <c r="L30" s="2010"/>
      <c r="M30" s="2002"/>
      <c r="N30" s="2002"/>
      <c r="O30" s="2009"/>
      <c r="P30" s="3853"/>
      <c r="Q30" s="1494" t="str">
        <f t="shared" si="8"/>
        <v>毗邻道路的类型与等级</v>
      </c>
      <c r="R30" s="1495" t="s">
        <v>8</v>
      </c>
      <c r="S30" s="1496">
        <f t="shared" si="10"/>
        <v>100</v>
      </c>
      <c r="T30" s="1495" t="s">
        <v>8</v>
      </c>
      <c r="U30" s="1496">
        <f t="shared" si="11"/>
        <v>100</v>
      </c>
      <c r="V30" s="1495" t="s">
        <v>8</v>
      </c>
      <c r="W30" s="1496">
        <f t="shared" si="12"/>
        <v>100</v>
      </c>
      <c r="X30" s="1489"/>
      <c r="Y30" s="3853"/>
      <c r="Z30" s="1497" t="str">
        <f t="shared" si="13"/>
        <v>毗邻道路的类型与等级</v>
      </c>
      <c r="AA30" s="1498">
        <f t="shared" si="3"/>
        <v>1</v>
      </c>
      <c r="AB30" s="1498">
        <f t="shared" si="4"/>
        <v>1</v>
      </c>
      <c r="AC30" s="1498">
        <f t="shared" si="5"/>
        <v>1</v>
      </c>
    </row>
    <row r="31" spans="1:29" ht="15">
      <c r="A31" s="518"/>
      <c r="B31" s="581"/>
      <c r="C31" s="562"/>
      <c r="D31" s="541"/>
      <c r="E31" s="562"/>
      <c r="F31" s="541"/>
      <c r="G31" s="562"/>
      <c r="H31" s="541"/>
      <c r="I31" s="562"/>
      <c r="J31" s="541"/>
      <c r="K31" s="567"/>
      <c r="L31" s="2010"/>
      <c r="M31" s="2002"/>
      <c r="N31" s="2002"/>
      <c r="O31" s="2009"/>
      <c r="P31" s="3853"/>
      <c r="Q31" s="1494"/>
      <c r="R31" s="1495"/>
      <c r="S31" s="1496"/>
      <c r="T31" s="1495"/>
      <c r="U31" s="1496"/>
      <c r="V31" s="1495"/>
      <c r="W31" s="1496"/>
      <c r="X31" s="1489"/>
      <c r="Y31" s="3853"/>
      <c r="Z31" s="1497"/>
      <c r="AA31" s="1498">
        <v>1</v>
      </c>
      <c r="AB31" s="1498">
        <v>1</v>
      </c>
      <c r="AC31" s="1498">
        <v>1</v>
      </c>
    </row>
    <row r="32" spans="1:29" ht="15">
      <c r="A32" s="518"/>
      <c r="B32" s="513" t="s">
        <v>543</v>
      </c>
      <c r="C32" s="2426">
        <f>估价对象房地状况!G23</f>
        <v>0</v>
      </c>
      <c r="D32" s="526">
        <v>100</v>
      </c>
      <c r="E32" s="566"/>
      <c r="F32" s="526">
        <f>SUMIF(101:101,E32,102:102)-SUMIF(101:101,C32,102:102)+100</f>
        <v>100</v>
      </c>
      <c r="G32" s="566"/>
      <c r="H32" s="526">
        <f>SUMIF(101:101,G32,102:102)-SUMIF(101:101,C32,102:102)+100</f>
        <v>100</v>
      </c>
      <c r="I32" s="566"/>
      <c r="J32" s="526">
        <f>SUMIF(101:101,I32,102:102)-SUMIF(101:101,C32,102:102)+100</f>
        <v>100</v>
      </c>
      <c r="K32" s="570"/>
      <c r="L32" s="2010"/>
      <c r="M32" s="2002"/>
      <c r="N32" s="2002"/>
      <c r="O32" s="2009"/>
      <c r="P32" s="3853"/>
      <c r="Q32" s="1494" t="str">
        <f t="shared" si="8"/>
        <v>土地级别</v>
      </c>
      <c r="R32" s="1495" t="s">
        <v>8</v>
      </c>
      <c r="S32" s="1496">
        <f t="shared" si="10"/>
        <v>100</v>
      </c>
      <c r="T32" s="1495" t="s">
        <v>8</v>
      </c>
      <c r="U32" s="1496">
        <f t="shared" si="11"/>
        <v>100</v>
      </c>
      <c r="V32" s="1495" t="s">
        <v>8</v>
      </c>
      <c r="W32" s="1496">
        <f t="shared" si="12"/>
        <v>100</v>
      </c>
      <c r="X32" s="1489"/>
      <c r="Y32" s="3853"/>
      <c r="Z32" s="1497" t="str">
        <f t="shared" si="13"/>
        <v>土地级别</v>
      </c>
      <c r="AA32" s="1498">
        <f t="shared" si="3"/>
        <v>1</v>
      </c>
      <c r="AB32" s="1498">
        <f t="shared" si="4"/>
        <v>1</v>
      </c>
      <c r="AC32" s="1498">
        <f t="shared" si="5"/>
        <v>1</v>
      </c>
    </row>
    <row r="33" spans="1:29" ht="15">
      <c r="A33" s="501"/>
      <c r="B33" s="858">
        <v>111</v>
      </c>
      <c r="C33" s="528"/>
      <c r="D33" s="526">
        <v>100</v>
      </c>
      <c r="E33" s="572"/>
      <c r="F33" s="526">
        <f>SUMIF(103:103,E33,104:104)-SUMIF(103:103,C33,104:104)+100</f>
        <v>100</v>
      </c>
      <c r="G33" s="572"/>
      <c r="H33" s="526">
        <f>SUMIF(103:103,G33,104:104)-SUMIF(103:103,C33,104:104)+100</f>
        <v>100</v>
      </c>
      <c r="I33" s="527"/>
      <c r="J33" s="526">
        <f>SUMIF(103:103,I33,104:104)-SUMIF(103:103,C33,104:104)+100</f>
        <v>100</v>
      </c>
      <c r="K33" s="567"/>
      <c r="L33" s="2010"/>
      <c r="M33" s="2002"/>
      <c r="N33" s="2002"/>
      <c r="O33" s="2009"/>
      <c r="P33" s="3853"/>
      <c r="Q33" s="1494">
        <f t="shared" si="8"/>
        <v>111</v>
      </c>
      <c r="R33" s="1495" t="s">
        <v>8</v>
      </c>
      <c r="S33" s="1496">
        <f t="shared" si="10"/>
        <v>100</v>
      </c>
      <c r="T33" s="1495" t="s">
        <v>8</v>
      </c>
      <c r="U33" s="1496">
        <f t="shared" si="11"/>
        <v>100</v>
      </c>
      <c r="V33" s="1495" t="s">
        <v>8</v>
      </c>
      <c r="W33" s="1496">
        <f t="shared" si="12"/>
        <v>100</v>
      </c>
      <c r="X33" s="1489"/>
      <c r="Y33" s="3853"/>
      <c r="Z33" s="1497">
        <f t="shared" si="13"/>
        <v>111</v>
      </c>
      <c r="AA33" s="1498">
        <f t="shared" si="3"/>
        <v>1</v>
      </c>
      <c r="AB33" s="1498">
        <f t="shared" si="4"/>
        <v>1</v>
      </c>
      <c r="AC33" s="1498">
        <f t="shared" si="5"/>
        <v>1</v>
      </c>
    </row>
    <row r="34" spans="1:29" ht="15">
      <c r="A34" s="573"/>
      <c r="B34" s="588">
        <v>111</v>
      </c>
      <c r="C34" s="528"/>
      <c r="D34" s="526">
        <v>100</v>
      </c>
      <c r="E34" s="572"/>
      <c r="F34" s="526">
        <f>SUMIF(105:105,E35,106:106)-SUMIF(105:105,C35,106:106)+100</f>
        <v>100</v>
      </c>
      <c r="G34" s="572"/>
      <c r="H34" s="526">
        <f>SUMIF(105:105,G34,106:106)-SUMIF(105:105,C34,106:106)+100</f>
        <v>100</v>
      </c>
      <c r="I34" s="528"/>
      <c r="J34" s="526">
        <f>SUMIF(105:105,I34,106:106)-SUMIF(105:105,C34,106:106)+100</f>
        <v>100</v>
      </c>
      <c r="K34" s="567"/>
      <c r="L34" s="2010"/>
      <c r="M34" s="2002"/>
      <c r="N34" s="2002"/>
      <c r="O34" s="2009"/>
      <c r="P34" s="3854" t="s">
        <v>544</v>
      </c>
      <c r="Q34" s="1494">
        <f t="shared" si="8"/>
        <v>111</v>
      </c>
      <c r="R34" s="1495" t="s">
        <v>8</v>
      </c>
      <c r="S34" s="1496">
        <f t="shared" si="10"/>
        <v>100</v>
      </c>
      <c r="T34" s="1495" t="s">
        <v>8</v>
      </c>
      <c r="U34" s="1496">
        <f t="shared" si="11"/>
        <v>100</v>
      </c>
      <c r="V34" s="1495" t="s">
        <v>8</v>
      </c>
      <c r="W34" s="1496">
        <f t="shared" si="12"/>
        <v>100</v>
      </c>
      <c r="X34" s="1489"/>
      <c r="Y34" s="3855" t="s">
        <v>544</v>
      </c>
      <c r="Z34" s="1497">
        <f t="shared" si="13"/>
        <v>111</v>
      </c>
      <c r="AA34" s="1498">
        <f t="shared" si="3"/>
        <v>1</v>
      </c>
      <c r="AB34" s="1498">
        <f t="shared" si="4"/>
        <v>1</v>
      </c>
      <c r="AC34" s="1498">
        <f t="shared" si="5"/>
        <v>1</v>
      </c>
    </row>
    <row r="35" spans="1:29" s="1283" customFormat="1" ht="15.75" thickBot="1">
      <c r="A35" s="575"/>
      <c r="B35" s="2424">
        <v>111</v>
      </c>
      <c r="C35" s="579"/>
      <c r="D35" s="246">
        <v>100</v>
      </c>
      <c r="E35" s="725"/>
      <c r="F35" s="532">
        <f>SUMIF(107:107,E35,108:108)-SUMIF(107:107,C35,108:108)+100</f>
        <v>100</v>
      </c>
      <c r="G35" s="725"/>
      <c r="H35" s="532">
        <f>SUMIF(107:107,G35,108:108)-SUMIF(107:107,C35,108:108)+100</f>
        <v>100</v>
      </c>
      <c r="I35" s="579"/>
      <c r="J35" s="532">
        <f>SUMIF(107:107,I35,108:108)-SUMIF(107:107,C35,108:108)+100</f>
        <v>100</v>
      </c>
      <c r="K35" s="567"/>
      <c r="L35" s="2008"/>
      <c r="M35" s="2038"/>
      <c r="N35" s="2038"/>
      <c r="O35" s="2011"/>
      <c r="P35" s="3855"/>
      <c r="Q35" s="1494">
        <f t="shared" si="8"/>
        <v>111</v>
      </c>
      <c r="R35" s="1499" t="s">
        <v>8</v>
      </c>
      <c r="S35" s="1500">
        <f t="shared" si="10"/>
        <v>100</v>
      </c>
      <c r="T35" s="1499" t="s">
        <v>8</v>
      </c>
      <c r="U35" s="1500">
        <f t="shared" si="11"/>
        <v>100</v>
      </c>
      <c r="V35" s="1499" t="s">
        <v>8</v>
      </c>
      <c r="W35" s="1500">
        <f t="shared" si="12"/>
        <v>100</v>
      </c>
      <c r="X35" s="1501"/>
      <c r="Y35" s="3855"/>
      <c r="Z35" s="1502">
        <f t="shared" si="13"/>
        <v>111</v>
      </c>
      <c r="AA35" s="1498">
        <f t="shared" si="3"/>
        <v>1</v>
      </c>
      <c r="AB35" s="1498">
        <f t="shared" si="4"/>
        <v>1</v>
      </c>
      <c r="AC35" s="1498">
        <f t="shared" si="5"/>
        <v>1</v>
      </c>
    </row>
    <row r="36" spans="1:29" ht="15">
      <c r="A36" s="2610" t="s">
        <v>2729</v>
      </c>
      <c r="B36" s="581" t="s">
        <v>546</v>
      </c>
      <c r="C36" s="582"/>
      <c r="D36" s="583">
        <v>100</v>
      </c>
      <c r="E36" s="582"/>
      <c r="F36" s="583" t="e">
        <f>LOOKUP(E36,110:110,111:111)-LOOKUP(C36,110:110,111:111)+100</f>
        <v>#N/A</v>
      </c>
      <c r="G36" s="582"/>
      <c r="H36" s="583" t="e">
        <f>LOOKUP(G36,110:110,111:111)-LOOKUP(C36,110:110,111:111)+100</f>
        <v>#N/A</v>
      </c>
      <c r="I36" s="584"/>
      <c r="J36" s="583" t="e">
        <f>LOOKUP(I36,110:110,111:111)-LOOKUP(C36,110:110,111:111)+100</f>
        <v>#N/A</v>
      </c>
      <c r="K36" s="567"/>
      <c r="L36" s="2010"/>
      <c r="M36" s="2002"/>
      <c r="N36" s="2002"/>
      <c r="O36" s="2009"/>
      <c r="P36" s="3855"/>
      <c r="Q36" s="1494" t="str">
        <f>B36</f>
        <v>宗地面积</v>
      </c>
      <c r="R36" s="1495" t="s">
        <v>8</v>
      </c>
      <c r="S36" s="1496" t="e">
        <f t="shared" si="10"/>
        <v>#N/A</v>
      </c>
      <c r="T36" s="1495" t="s">
        <v>8</v>
      </c>
      <c r="U36" s="1496" t="e">
        <f t="shared" si="11"/>
        <v>#N/A</v>
      </c>
      <c r="V36" s="1495" t="s">
        <v>8</v>
      </c>
      <c r="W36" s="1496" t="e">
        <f t="shared" si="12"/>
        <v>#N/A</v>
      </c>
      <c r="X36" s="1489"/>
      <c r="Y36" s="3855"/>
      <c r="Z36" s="1497" t="str">
        <f t="shared" si="13"/>
        <v>宗地面积</v>
      </c>
      <c r="AA36" s="1498" t="e">
        <f t="shared" si="3"/>
        <v>#N/A</v>
      </c>
      <c r="AB36" s="1498" t="e">
        <f t="shared" si="4"/>
        <v>#N/A</v>
      </c>
      <c r="AC36" s="1498" t="e">
        <f t="shared" si="5"/>
        <v>#N/A</v>
      </c>
    </row>
    <row r="37" spans="1:29" ht="15">
      <c r="A37" s="580"/>
      <c r="B37" s="513" t="s">
        <v>547</v>
      </c>
      <c r="C37" s="585"/>
      <c r="D37" s="526">
        <v>100</v>
      </c>
      <c r="E37" s="585"/>
      <c r="F37" s="526">
        <f>SUMIF(112:112,E37,113:113)-SUMIF(112:112,C37,113:113)+100</f>
        <v>100</v>
      </c>
      <c r="G37" s="585"/>
      <c r="H37" s="526">
        <f>SUMIF(112:112,G37,113:113)-SUMIF(112:112,C37,113:113)+100</f>
        <v>100</v>
      </c>
      <c r="I37" s="585"/>
      <c r="J37" s="526">
        <f>SUMIF(112:112,I37,113:113)-SUMIF(112:112,C37,113:113)+100</f>
        <v>100</v>
      </c>
      <c r="K37" s="570"/>
      <c r="L37" s="2010"/>
      <c r="M37" s="2002"/>
      <c r="N37" s="2002"/>
      <c r="O37" s="2009"/>
      <c r="P37" s="3855"/>
      <c r="Q37" s="1494" t="str">
        <f t="shared" ref="Q37:Q42" si="14">B37</f>
        <v>宗地形状</v>
      </c>
      <c r="R37" s="1495" t="s">
        <v>8</v>
      </c>
      <c r="S37" s="1496">
        <f t="shared" si="10"/>
        <v>100</v>
      </c>
      <c r="T37" s="1495" t="s">
        <v>8</v>
      </c>
      <c r="U37" s="1496">
        <f t="shared" si="11"/>
        <v>100</v>
      </c>
      <c r="V37" s="1495" t="s">
        <v>8</v>
      </c>
      <c r="W37" s="1496">
        <f t="shared" si="12"/>
        <v>100</v>
      </c>
      <c r="X37" s="1489"/>
      <c r="Y37" s="3855"/>
      <c r="Z37" s="1497" t="str">
        <f t="shared" si="13"/>
        <v>宗地形状</v>
      </c>
      <c r="AA37" s="1498">
        <f t="shared" si="3"/>
        <v>1</v>
      </c>
      <c r="AB37" s="1498">
        <f t="shared" si="4"/>
        <v>1</v>
      </c>
      <c r="AC37" s="1498">
        <f t="shared" si="5"/>
        <v>1</v>
      </c>
    </row>
    <row r="38" spans="1:29" s="1194" customFormat="1" ht="15">
      <c r="A38" s="586"/>
      <c r="B38" s="1795" t="s">
        <v>2403</v>
      </c>
      <c r="C38" s="587"/>
      <c r="D38" s="245">
        <v>100</v>
      </c>
      <c r="E38" s="587"/>
      <c r="F38" s="526">
        <f>SUMIF(114:114,E38,115:115)-SUMIF(114:114,C38,115:115)+100</f>
        <v>100</v>
      </c>
      <c r="G38" s="587"/>
      <c r="H38" s="526">
        <f>SUMIF(114:114,G38,115:115)-SUMIF(114:114,C38,115:115)+100</f>
        <v>100</v>
      </c>
      <c r="I38" s="587"/>
      <c r="J38" s="526">
        <f>SUMIF(114:114,I38,115:115)-SUMIF(114:114,C38,115:115)+100</f>
        <v>100</v>
      </c>
      <c r="K38" s="570"/>
      <c r="L38" s="2003"/>
      <c r="M38" s="2004"/>
      <c r="N38" s="2004"/>
      <c r="O38" s="2005"/>
      <c r="P38" s="3855"/>
      <c r="Q38" s="1494" t="str">
        <f t="shared" si="14"/>
        <v>宗地开发程度</v>
      </c>
      <c r="R38" s="1490" t="s">
        <v>8</v>
      </c>
      <c r="S38" s="1491">
        <f t="shared" si="10"/>
        <v>100</v>
      </c>
      <c r="T38" s="1490" t="s">
        <v>8</v>
      </c>
      <c r="U38" s="1491">
        <f t="shared" si="11"/>
        <v>100</v>
      </c>
      <c r="V38" s="1490" t="s">
        <v>8</v>
      </c>
      <c r="W38" s="1491">
        <f t="shared" si="12"/>
        <v>100</v>
      </c>
      <c r="X38" s="1492"/>
      <c r="Y38" s="3855"/>
      <c r="Z38" s="1124" t="str">
        <f t="shared" si="13"/>
        <v>宗地开发程度</v>
      </c>
      <c r="AA38" s="1493">
        <f t="shared" si="3"/>
        <v>1</v>
      </c>
      <c r="AB38" s="1493">
        <f t="shared" si="4"/>
        <v>1</v>
      </c>
      <c r="AC38" s="1493">
        <f t="shared" si="5"/>
        <v>1</v>
      </c>
    </row>
    <row r="39" spans="1:29" ht="15">
      <c r="A39" s="580"/>
      <c r="B39" s="513" t="s">
        <v>549</v>
      </c>
      <c r="C39" s="585"/>
      <c r="D39" s="526">
        <v>100</v>
      </c>
      <c r="E39" s="585"/>
      <c r="F39" s="526">
        <f>SUMIF(116:116,E39,117:117)-SUMIF(116:116,C39,117:117)+100</f>
        <v>100</v>
      </c>
      <c r="G39" s="585"/>
      <c r="H39" s="526">
        <f>SUMIF(116:116,G39,117:117)-SUMIF(116:116,C39,117:117)+100</f>
        <v>100</v>
      </c>
      <c r="I39" s="585"/>
      <c r="J39" s="526">
        <f>SUMIF(116:116,I39,117:117)-SUMIF(116:116,C39,117:117)+100</f>
        <v>100</v>
      </c>
      <c r="K39" s="570"/>
      <c r="L39" s="2010"/>
      <c r="M39" s="2002"/>
      <c r="N39" s="2002"/>
      <c r="O39" s="2009"/>
      <c r="P39" s="3855" t="s">
        <v>595</v>
      </c>
      <c r="Q39" s="1494" t="str">
        <f t="shared" si="14"/>
        <v>工程地质条件</v>
      </c>
      <c r="R39" s="1495" t="s">
        <v>8</v>
      </c>
      <c r="S39" s="1496">
        <f t="shared" si="10"/>
        <v>100</v>
      </c>
      <c r="T39" s="1495" t="s">
        <v>8</v>
      </c>
      <c r="U39" s="1496">
        <f t="shared" si="11"/>
        <v>100</v>
      </c>
      <c r="V39" s="1495" t="s">
        <v>8</v>
      </c>
      <c r="W39" s="1496">
        <f t="shared" si="12"/>
        <v>100</v>
      </c>
      <c r="X39" s="1489"/>
      <c r="Y39" s="3855" t="s">
        <v>595</v>
      </c>
      <c r="Z39" s="1497" t="str">
        <f t="shared" si="13"/>
        <v>工程地质条件</v>
      </c>
      <c r="AA39" s="1498">
        <f t="shared" si="3"/>
        <v>1</v>
      </c>
      <c r="AB39" s="1498">
        <f t="shared" si="4"/>
        <v>1</v>
      </c>
      <c r="AC39" s="1498">
        <f t="shared" si="5"/>
        <v>1</v>
      </c>
    </row>
    <row r="40" spans="1:29" ht="15">
      <c r="A40" s="580"/>
      <c r="B40" s="588">
        <v>111</v>
      </c>
      <c r="C40" s="528"/>
      <c r="D40" s="526">
        <v>100</v>
      </c>
      <c r="E40" s="528"/>
      <c r="F40" s="526">
        <f>SUMIF(118:118,E40,119:119)-SUMIF(118:118,C40,119:119)+100</f>
        <v>100</v>
      </c>
      <c r="G40" s="528"/>
      <c r="H40" s="526">
        <f>SUMIF(118:118,G40,119:119)-SUMIF(118:118,C40,119:119)+100</f>
        <v>100</v>
      </c>
      <c r="I40" s="527"/>
      <c r="J40" s="526">
        <f>SUMIF(118:118,I40,119:119)-SUMIF(118:118,C40,119:119)+100</f>
        <v>100</v>
      </c>
      <c r="K40" s="567"/>
      <c r="L40" s="2010"/>
      <c r="M40" s="2002"/>
      <c r="N40" s="2002"/>
      <c r="O40" s="2009"/>
      <c r="P40" s="3855"/>
      <c r="Q40" s="1494">
        <f t="shared" si="14"/>
        <v>111</v>
      </c>
      <c r="R40" s="1495" t="s">
        <v>8</v>
      </c>
      <c r="S40" s="1496">
        <f t="shared" si="10"/>
        <v>100</v>
      </c>
      <c r="T40" s="1495" t="s">
        <v>8</v>
      </c>
      <c r="U40" s="1496">
        <f t="shared" si="11"/>
        <v>100</v>
      </c>
      <c r="V40" s="1495" t="s">
        <v>8</v>
      </c>
      <c r="W40" s="1496">
        <f t="shared" si="12"/>
        <v>100</v>
      </c>
      <c r="X40" s="1489"/>
      <c r="Y40" s="3855"/>
      <c r="Z40" s="1497">
        <f t="shared" si="13"/>
        <v>111</v>
      </c>
      <c r="AA40" s="1498">
        <f t="shared" si="3"/>
        <v>1</v>
      </c>
      <c r="AB40" s="1498">
        <f t="shared" si="4"/>
        <v>1</v>
      </c>
      <c r="AC40" s="1498">
        <f t="shared" si="5"/>
        <v>1</v>
      </c>
    </row>
    <row r="41" spans="1:29" ht="15">
      <c r="A41" s="580"/>
      <c r="B41" s="588">
        <v>111</v>
      </c>
      <c r="C41" s="528"/>
      <c r="D41" s="526">
        <v>100</v>
      </c>
      <c r="E41" s="528"/>
      <c r="F41" s="526">
        <f>SUMIF(120:120,E41,121:121)-SUMIF(120:120,C41,121:121)+100</f>
        <v>100</v>
      </c>
      <c r="G41" s="528"/>
      <c r="H41" s="526">
        <f>SUMIF(120:120,G41,121:121)-SUMIF(120:120,C41,121:121)+100</f>
        <v>100</v>
      </c>
      <c r="I41" s="527"/>
      <c r="J41" s="526">
        <f>SUMIF(120:120,I41,121:121)-SUMIF(120:120,C41,121:121)+100</f>
        <v>100</v>
      </c>
      <c r="K41" s="567"/>
      <c r="L41" s="2010"/>
      <c r="M41" s="2002"/>
      <c r="N41" s="2002"/>
      <c r="O41" s="2009"/>
      <c r="P41" s="3855"/>
      <c r="Q41" s="1494">
        <f t="shared" si="14"/>
        <v>111</v>
      </c>
      <c r="R41" s="1495" t="s">
        <v>8</v>
      </c>
      <c r="S41" s="1496">
        <f t="shared" si="10"/>
        <v>100</v>
      </c>
      <c r="T41" s="1495" t="s">
        <v>8</v>
      </c>
      <c r="U41" s="1496">
        <f t="shared" si="11"/>
        <v>100</v>
      </c>
      <c r="V41" s="1495" t="s">
        <v>8</v>
      </c>
      <c r="W41" s="1496">
        <f t="shared" si="12"/>
        <v>100</v>
      </c>
      <c r="X41" s="1489"/>
      <c r="Y41" s="3855"/>
      <c r="Z41" s="1497">
        <f t="shared" si="13"/>
        <v>111</v>
      </c>
      <c r="AA41" s="1498">
        <f t="shared" si="3"/>
        <v>1</v>
      </c>
      <c r="AB41" s="1498">
        <f t="shared" si="4"/>
        <v>1</v>
      </c>
      <c r="AC41" s="1498">
        <f t="shared" si="5"/>
        <v>1</v>
      </c>
    </row>
    <row r="42" spans="1:29" s="1283" customFormat="1" ht="15.75" thickBot="1">
      <c r="A42" s="589"/>
      <c r="B42" s="588">
        <v>111</v>
      </c>
      <c r="C42" s="590"/>
      <c r="D42" s="246">
        <v>100</v>
      </c>
      <c r="E42" s="528"/>
      <c r="F42" s="532">
        <f>SUMIF(122:122,E42,123:123)-SUMIF(122:122,C42,123:123)+100</f>
        <v>100</v>
      </c>
      <c r="G42" s="528"/>
      <c r="H42" s="532">
        <f>SUMIF(122:122,G42,123:123)-SUMIF(122:122,C42,123:123)+100</f>
        <v>100</v>
      </c>
      <c r="I42" s="527"/>
      <c r="J42" s="532">
        <f>SUMIF(122:122,I42,123:123)-SUMIF(122:122,C42,123:123)+100</f>
        <v>100</v>
      </c>
      <c r="K42" s="592"/>
      <c r="L42" s="2008"/>
      <c r="M42" s="2038"/>
      <c r="N42" s="2038"/>
      <c r="O42" s="2011"/>
      <c r="P42" s="3855"/>
      <c r="Q42" s="1494">
        <f t="shared" si="14"/>
        <v>111</v>
      </c>
      <c r="R42" s="1499" t="s">
        <v>8</v>
      </c>
      <c r="S42" s="1500">
        <f t="shared" si="10"/>
        <v>100</v>
      </c>
      <c r="T42" s="1499" t="s">
        <v>8</v>
      </c>
      <c r="U42" s="1500">
        <f t="shared" si="11"/>
        <v>100</v>
      </c>
      <c r="V42" s="1499" t="s">
        <v>8</v>
      </c>
      <c r="W42" s="1500">
        <f t="shared" si="12"/>
        <v>100</v>
      </c>
      <c r="X42" s="1501"/>
      <c r="Y42" s="3855"/>
      <c r="Z42" s="1502">
        <f t="shared" si="13"/>
        <v>111</v>
      </c>
      <c r="AA42" s="1498">
        <f t="shared" si="3"/>
        <v>1</v>
      </c>
      <c r="AB42" s="1498">
        <f t="shared" si="4"/>
        <v>1</v>
      </c>
      <c r="AC42" s="1498">
        <f t="shared" si="5"/>
        <v>1</v>
      </c>
    </row>
    <row r="43" spans="1:29" ht="15">
      <c r="A43" s="593" t="s">
        <v>550</v>
      </c>
      <c r="B43" s="594" t="s">
        <v>2892</v>
      </c>
      <c r="C43" s="595" t="s">
        <v>1</v>
      </c>
      <c r="D43" s="596"/>
      <c r="E43" s="597"/>
      <c r="F43" s="598"/>
      <c r="G43" s="599"/>
      <c r="H43" s="600"/>
      <c r="I43" s="597"/>
      <c r="J43" s="600"/>
      <c r="K43" s="1284"/>
      <c r="L43" s="2012"/>
      <c r="M43" s="2002"/>
      <c r="N43" s="2002"/>
      <c r="O43" s="2013"/>
      <c r="P43" s="3850" t="str">
        <f>A43</f>
        <v>成交单价</v>
      </c>
      <c r="Q43" s="3850"/>
      <c r="R43" s="3864">
        <f>E43</f>
        <v>0</v>
      </c>
      <c r="S43" s="3864"/>
      <c r="T43" s="3864">
        <f>G43</f>
        <v>0</v>
      </c>
      <c r="U43" s="3864"/>
      <c r="V43" s="3864">
        <f>I43</f>
        <v>0</v>
      </c>
      <c r="W43" s="3864"/>
      <c r="X43" s="1484"/>
      <c r="Y43" s="1503"/>
      <c r="Z43" s="1484"/>
      <c r="AA43" s="1484"/>
      <c r="AB43" s="1484"/>
      <c r="AC43" s="1484"/>
    </row>
    <row r="44" spans="1:29" ht="15.75" thickBot="1">
      <c r="A44" s="601" t="s">
        <v>2667</v>
      </c>
      <c r="B44" s="602"/>
      <c r="C44" s="603" t="e">
        <f>R45</f>
        <v>#DIV/0!</v>
      </c>
      <c r="D44" s="2999" t="s">
        <v>2961</v>
      </c>
      <c r="E44" s="603" t="e">
        <f>R44</f>
        <v>#DIV/0!</v>
      </c>
      <c r="F44" s="3000"/>
      <c r="G44" s="604" t="e">
        <f>T44</f>
        <v>#DIV/0!</v>
      </c>
      <c r="H44" s="3000"/>
      <c r="I44" s="603" t="e">
        <f>V44</f>
        <v>#DIV/0!</v>
      </c>
      <c r="J44" s="3000"/>
      <c r="K44" s="3001">
        <f>F44+H44+J44</f>
        <v>0</v>
      </c>
      <c r="L44" s="2012"/>
      <c r="M44" s="2002"/>
      <c r="N44" s="2002"/>
      <c r="O44" s="2013"/>
      <c r="P44" s="3850" t="str">
        <f>A44</f>
        <v>比较价格（元/平方米）</v>
      </c>
      <c r="Q44" s="3850"/>
      <c r="R44" s="3874" t="e">
        <f>ROUND(PRODUCT(R43,AA9:AA42),0)</f>
        <v>#DIV/0!</v>
      </c>
      <c r="S44" s="3874"/>
      <c r="T44" s="3874" t="e">
        <f>ROUND(PRODUCT(T43,AB9:AB42),0)</f>
        <v>#DIV/0!</v>
      </c>
      <c r="U44" s="3874"/>
      <c r="V44" s="3874" t="e">
        <f>ROUND(PRODUCT(V43,AC9:AC42),0)</f>
        <v>#DIV/0!</v>
      </c>
      <c r="W44" s="3874"/>
      <c r="X44" s="1484"/>
      <c r="Y44" s="1484"/>
      <c r="Z44" s="1484"/>
      <c r="AA44" s="1484"/>
      <c r="AB44" s="1484"/>
      <c r="AC44" s="1484"/>
    </row>
    <row r="45" spans="1:29" ht="15.75" thickBot="1">
      <c r="A45" s="605" t="s">
        <v>2893</v>
      </c>
      <c r="B45" s="606"/>
      <c r="C45" s="607" t="e">
        <f>R45</f>
        <v>#DIV/0!</v>
      </c>
      <c r="D45" s="607"/>
      <c r="E45" s="607"/>
      <c r="F45" s="607"/>
      <c r="G45" s="607"/>
      <c r="H45" s="607"/>
      <c r="I45" s="607"/>
      <c r="J45" s="607"/>
      <c r="K45" s="1285"/>
      <c r="L45" s="2012"/>
      <c r="M45" s="2002"/>
      <c r="N45" s="2002"/>
      <c r="O45" s="2013"/>
      <c r="P45" s="3871" t="str">
        <f>A45</f>
        <v>估价对象XX用房的比较价格（楼面单价，元/平方米）</v>
      </c>
      <c r="Q45" s="3872"/>
      <c r="R45" s="3882" t="e">
        <f>ROUND(IF(D44="简单平均",AVERAGE(R44:W44),R44*F44+T44*H44+V44*J44),0)</f>
        <v>#DIV/0!</v>
      </c>
      <c r="S45" s="3882"/>
      <c r="T45" s="3882"/>
      <c r="U45" s="3882"/>
      <c r="V45" s="3882"/>
      <c r="W45" s="3882"/>
      <c r="X45" s="1484"/>
      <c r="Y45" s="1484"/>
      <c r="Z45" s="1484"/>
      <c r="AA45" s="1484"/>
      <c r="AB45" s="1484"/>
      <c r="AC45" s="1484"/>
    </row>
    <row r="46" spans="1:29">
      <c r="A46" s="3199"/>
      <c r="B46" s="3199"/>
      <c r="C46" s="3199"/>
      <c r="D46" s="3199"/>
      <c r="E46" s="3199"/>
      <c r="F46" s="3199"/>
      <c r="G46" s="3201"/>
      <c r="H46" s="3199"/>
      <c r="I46" s="3199"/>
      <c r="J46" s="3199"/>
      <c r="K46" s="3202"/>
      <c r="L46" s="2017"/>
      <c r="M46" s="2002"/>
      <c r="N46" s="2002"/>
      <c r="O46" s="2013"/>
      <c r="P46" s="2013"/>
      <c r="Q46" s="2013"/>
      <c r="R46" s="2013"/>
      <c r="S46" s="2013"/>
      <c r="T46" s="2013"/>
      <c r="U46" s="2013"/>
      <c r="V46" s="2013"/>
      <c r="W46" s="2013"/>
      <c r="X46" s="2013"/>
      <c r="Y46" s="2013"/>
      <c r="Z46" s="2013"/>
      <c r="AA46" s="2013"/>
      <c r="AB46" s="2013"/>
      <c r="AC46" s="2013"/>
    </row>
    <row r="47" spans="1:29">
      <c r="A47" s="3199"/>
      <c r="B47" s="3199"/>
      <c r="C47" s="3199"/>
      <c r="D47" s="3199"/>
      <c r="E47" s="3199"/>
      <c r="F47" s="3199"/>
      <c r="G47" s="3199"/>
      <c r="H47" s="3199"/>
      <c r="I47" s="3199"/>
      <c r="J47" s="3199"/>
      <c r="K47" s="3202"/>
      <c r="L47" s="2017"/>
      <c r="M47" s="2002"/>
      <c r="N47" s="2002"/>
      <c r="O47" s="2013"/>
      <c r="P47" s="2013"/>
      <c r="Q47" s="2013"/>
      <c r="R47" s="2013"/>
      <c r="S47" s="2013"/>
      <c r="T47" s="2013"/>
      <c r="U47" s="2013"/>
      <c r="V47" s="2013"/>
      <c r="W47" s="2013"/>
      <c r="X47" s="2013"/>
      <c r="Y47" s="2013"/>
      <c r="Z47" s="2013"/>
      <c r="AA47" s="2013"/>
      <c r="AB47" s="2013"/>
      <c r="AC47" s="2013"/>
    </row>
    <row r="48" spans="1:29" ht="13.5" customHeight="1">
      <c r="A48" s="3199"/>
      <c r="B48" s="3199"/>
      <c r="C48" s="608" t="s">
        <v>551</v>
      </c>
      <c r="D48" s="609"/>
      <c r="E48" s="610" t="e">
        <f>IF(E43&lt;E44,E44/E43-1,E43/E44-1)</f>
        <v>#DIV/0!</v>
      </c>
      <c r="F48" s="611" t="e">
        <f>IF(OR(E48&gt;=0.3,E48&lt;=-0.3),"超过30%","")</f>
        <v>#DIV/0!</v>
      </c>
      <c r="G48" s="610" t="e">
        <f>IF(G43&lt;G44,G44/G43-1,G43/G44-1)</f>
        <v>#DIV/0!</v>
      </c>
      <c r="H48" s="611" t="e">
        <f>IF(OR(G48&gt;=0.3,G48&lt;=-0.3),"超过30%","")</f>
        <v>#DIV/0!</v>
      </c>
      <c r="I48" s="610" t="e">
        <f>IF(I43&lt;I44,I44/I43-1,I43/I44-1)</f>
        <v>#DIV/0!</v>
      </c>
      <c r="J48" s="611" t="e">
        <f>IF(OR(I48&gt;=0.3,I48&lt;=-0.3),"超过30%","")</f>
        <v>#DIV/0!</v>
      </c>
      <c r="K48" s="3202"/>
      <c r="L48" s="2017"/>
      <c r="M48" s="2002"/>
      <c r="N48" s="2002"/>
      <c r="O48" s="2013"/>
      <c r="P48" s="2013"/>
      <c r="Q48" s="2013"/>
      <c r="R48" s="2013"/>
      <c r="S48" s="2013"/>
      <c r="T48" s="2013"/>
      <c r="U48" s="2013"/>
      <c r="V48" s="2013"/>
      <c r="W48" s="2013"/>
      <c r="X48" s="2013"/>
      <c r="Y48" s="2013"/>
      <c r="Z48" s="2013"/>
      <c r="AA48" s="2013"/>
      <c r="AB48" s="2013"/>
      <c r="AC48" s="2013"/>
    </row>
    <row r="49" spans="1:29" ht="13.5" customHeight="1">
      <c r="A49" s="3199"/>
      <c r="B49" s="3199"/>
      <c r="C49" s="608" t="s">
        <v>552</v>
      </c>
      <c r="D49" s="612"/>
      <c r="E49" s="610" t="e">
        <f>IF(E44&lt;G44,G44/E44-1,E44/G44-1)</f>
        <v>#DIV/0!</v>
      </c>
      <c r="F49" s="611" t="e">
        <f>IF(OR(E49&gt;=0.2,E49&lt;=-0.2),"超过20%","")</f>
        <v>#DIV/0!</v>
      </c>
      <c r="G49" s="610" t="e">
        <f>IF(G44&lt;I44,I44/G44-1,G44/I44-1)</f>
        <v>#DIV/0!</v>
      </c>
      <c r="H49" s="611" t="e">
        <f>IF(OR(G49&gt;=0.2,G49&lt;=-0.2),"超过20%","")</f>
        <v>#DIV/0!</v>
      </c>
      <c r="I49" s="610" t="e">
        <f>IF(I44&lt;E44,E44/I44-1,I44/E44-1)</f>
        <v>#DIV/0!</v>
      </c>
      <c r="J49" s="611" t="e">
        <f>IF(OR(I49&gt;=0.2,I49&lt;=-0.2),"超过20%","")</f>
        <v>#DIV/0!</v>
      </c>
      <c r="K49" s="3202"/>
      <c r="L49" s="2017"/>
      <c r="M49" s="2013"/>
      <c r="N49" s="2013"/>
      <c r="O49" s="2013"/>
      <c r="P49" s="2013"/>
      <c r="Q49" s="2013"/>
      <c r="R49" s="2013"/>
      <c r="S49" s="2013"/>
      <c r="T49" s="2013"/>
      <c r="U49" s="2013"/>
      <c r="V49" s="2013"/>
      <c r="W49" s="2013"/>
      <c r="X49" s="2013"/>
      <c r="Y49" s="2013"/>
      <c r="Z49" s="2013"/>
      <c r="AA49" s="2013"/>
      <c r="AB49" s="2013"/>
      <c r="AC49" s="2013"/>
    </row>
    <row r="50" spans="1:29" s="1288" customFormat="1" ht="13.5" customHeight="1">
      <c r="A50" s="3200"/>
      <c r="B50" s="3200"/>
      <c r="C50" s="608" t="s">
        <v>553</v>
      </c>
      <c r="D50" s="612"/>
      <c r="E50" s="610" t="e">
        <f>IF(E43&lt;G43,G43/E43-1,E43/G43-1)</f>
        <v>#DIV/0!</v>
      </c>
      <c r="F50" s="611" t="e">
        <f>IF(OR(E50&gt;=0.3,E50&lt;=-0.3),"超过30%","")</f>
        <v>#DIV/0!</v>
      </c>
      <c r="G50" s="610" t="e">
        <f>IF(G43&lt;I43,I43/G43-1,G43/I43-1)</f>
        <v>#DIV/0!</v>
      </c>
      <c r="H50" s="611" t="e">
        <f>IF(OR(G50&gt;=0.3,G50&lt;=-0.3),"超过30%","")</f>
        <v>#DIV/0!</v>
      </c>
      <c r="I50" s="610" t="e">
        <f>IF(I43&lt;E43,E43/I43-1,I43/E43-1)</f>
        <v>#DIV/0!</v>
      </c>
      <c r="J50" s="611" t="e">
        <f>IF(OR(I50&gt;=0.3,I50&lt;=-0.3),"超过30%","")</f>
        <v>#DIV/0!</v>
      </c>
      <c r="K50" s="3203"/>
      <c r="L50" s="2020"/>
      <c r="M50" s="2014"/>
      <c r="N50" s="2014"/>
      <c r="O50" s="2014"/>
      <c r="P50" s="2014"/>
      <c r="Q50" s="2014"/>
      <c r="R50" s="2014"/>
      <c r="S50" s="2014"/>
      <c r="T50" s="2014"/>
      <c r="U50" s="2014"/>
      <c r="V50" s="2014"/>
      <c r="W50" s="2014"/>
      <c r="X50" s="2014"/>
      <c r="Y50" s="2014"/>
      <c r="Z50" s="2014"/>
      <c r="AA50" s="2014"/>
      <c r="AB50" s="2014"/>
      <c r="AC50" s="2014"/>
    </row>
    <row r="51" spans="1:29" s="1288" customFormat="1" ht="15" thickBot="1">
      <c r="A51" s="3200"/>
      <c r="B51" s="3211"/>
      <c r="C51" s="2018"/>
      <c r="D51" s="2014"/>
      <c r="E51" s="2014"/>
      <c r="F51" s="2014"/>
      <c r="G51" s="2014"/>
      <c r="H51" s="2014"/>
      <c r="I51" s="2014"/>
      <c r="J51" s="2014"/>
      <c r="K51" s="3203"/>
      <c r="L51" s="2020"/>
      <c r="M51" s="2014"/>
      <c r="N51" s="2014"/>
      <c r="O51" s="2014"/>
      <c r="P51" s="2014"/>
      <c r="Q51" s="2014"/>
      <c r="R51" s="2014"/>
      <c r="S51" s="2014"/>
      <c r="T51" s="2014"/>
      <c r="U51" s="2014"/>
      <c r="V51" s="2014"/>
      <c r="W51" s="2014"/>
      <c r="X51" s="2014"/>
      <c r="Y51" s="2014"/>
      <c r="Z51" s="2014"/>
      <c r="AA51" s="2014"/>
      <c r="AB51" s="2014"/>
      <c r="AC51" s="2014"/>
    </row>
    <row r="52" spans="1:29" ht="27">
      <c r="A52" s="613" t="s">
        <v>554</v>
      </c>
      <c r="B52" s="614" t="s">
        <v>555</v>
      </c>
      <c r="C52" s="1485" t="s">
        <v>1714</v>
      </c>
      <c r="D52" s="2093" t="s">
        <v>2278</v>
      </c>
      <c r="E52" s="615" t="s">
        <v>556</v>
      </c>
      <c r="F52" s="1851" t="s">
        <v>557</v>
      </c>
      <c r="G52" s="3877" t="s">
        <v>2269</v>
      </c>
      <c r="H52" s="3878"/>
      <c r="I52" s="1852" t="s">
        <v>1933</v>
      </c>
      <c r="J52" s="1481" t="str">
        <f>项目基本情况!F41</f>
        <v>四川省眉山市视高街道新明村、南桥社区</v>
      </c>
      <c r="K52" s="2021" t="s">
        <v>1713</v>
      </c>
      <c r="L52" s="2017"/>
      <c r="M52" s="2013"/>
      <c r="N52" s="2013"/>
      <c r="O52" s="2013"/>
      <c r="P52" s="2013"/>
      <c r="Q52" s="2013"/>
      <c r="R52" s="2013"/>
      <c r="S52" s="2013"/>
      <c r="T52" s="2013"/>
      <c r="U52" s="2013"/>
      <c r="V52" s="2013"/>
      <c r="W52" s="2013"/>
      <c r="X52" s="2013"/>
      <c r="Y52" s="2013"/>
      <c r="Z52" s="2013"/>
      <c r="AA52" s="2013"/>
      <c r="AB52" s="2013"/>
      <c r="AC52" s="2013"/>
    </row>
    <row r="53" spans="1:29" s="1289" customFormat="1" ht="12.75">
      <c r="A53" s="617" t="s">
        <v>558</v>
      </c>
      <c r="B53" s="618" t="e">
        <f>C45</f>
        <v>#DIV/0!</v>
      </c>
      <c r="C53" s="619">
        <v>1</v>
      </c>
      <c r="D53" s="2094">
        <v>1</v>
      </c>
      <c r="E53" s="619">
        <f>'数据-汇总表'!E8+'数据-汇总表'!E9</f>
        <v>461591.08999999997</v>
      </c>
      <c r="F53" s="1850" t="e">
        <f t="shared" ref="F53:F62" si="15">ROUND(B53*E53/10000,0)</f>
        <v>#DIV/0!</v>
      </c>
      <c r="G53" s="3879"/>
      <c r="H53" s="3880"/>
      <c r="I53" s="1853">
        <v>1</v>
      </c>
      <c r="J53" s="1482">
        <v>1</v>
      </c>
      <c r="K53" s="3204"/>
      <c r="L53" s="2022"/>
      <c r="M53" s="2022"/>
      <c r="N53" s="2022"/>
      <c r="O53" s="2022"/>
      <c r="P53" s="2022"/>
      <c r="Q53" s="2022"/>
      <c r="R53" s="2022"/>
      <c r="S53" s="2022"/>
      <c r="T53" s="2022"/>
      <c r="U53" s="2022"/>
      <c r="V53" s="2022"/>
      <c r="W53" s="2022"/>
      <c r="X53" s="2022"/>
      <c r="Y53" s="2022"/>
      <c r="Z53" s="2022"/>
      <c r="AA53" s="2022"/>
      <c r="AB53" s="2022"/>
      <c r="AC53" s="2022"/>
    </row>
    <row r="54" spans="1:29" s="1289" customFormat="1" ht="12.75">
      <c r="A54" s="621" t="s">
        <v>559</v>
      </c>
      <c r="B54" s="622" t="e">
        <f>ROUND($C$45*C54*D54,0)</f>
        <v>#DIV/0!</v>
      </c>
      <c r="C54" s="364">
        <f t="shared" ref="C54:C62" si="16">IF($C$52="北京市系数",I54,J54)</f>
        <v>0</v>
      </c>
      <c r="D54" s="2095">
        <v>0.25</v>
      </c>
      <c r="E54" s="623"/>
      <c r="F54" s="1850" t="e">
        <f t="shared" si="15"/>
        <v>#DIV/0!</v>
      </c>
      <c r="G54" s="3881" t="s">
        <v>2270</v>
      </c>
      <c r="H54" s="1854">
        <f>项目基本情况!B43</f>
        <v>0</v>
      </c>
      <c r="I54" s="1853">
        <f>SUMIF(修正!$A$45:$A$56,H54,修正!B45:B56)</f>
        <v>0</v>
      </c>
      <c r="J54" s="1483"/>
      <c r="K54" s="3204"/>
      <c r="L54" s="2022"/>
      <c r="M54" s="2022"/>
      <c r="N54" s="2022"/>
      <c r="O54" s="2022"/>
      <c r="P54" s="2022"/>
      <c r="Q54" s="2022"/>
      <c r="R54" s="2022"/>
      <c r="S54" s="2022"/>
      <c r="T54" s="2022"/>
      <c r="U54" s="2022"/>
      <c r="V54" s="2022"/>
      <c r="W54" s="2022"/>
      <c r="X54" s="2022"/>
      <c r="Y54" s="2022"/>
      <c r="Z54" s="2022"/>
      <c r="AA54" s="2022"/>
      <c r="AB54" s="2022"/>
      <c r="AC54" s="2022"/>
    </row>
    <row r="55" spans="1:29" s="1289" customFormat="1" ht="12.75">
      <c r="A55" s="621" t="s">
        <v>560</v>
      </c>
      <c r="B55" s="622" t="e">
        <f t="shared" ref="B55:B62" si="17">ROUND($C$45*C55*D55,0)</f>
        <v>#DIV/0!</v>
      </c>
      <c r="C55" s="364">
        <f t="shared" si="16"/>
        <v>0</v>
      </c>
      <c r="D55" s="2095">
        <v>0.25</v>
      </c>
      <c r="E55" s="623"/>
      <c r="F55" s="1850" t="e">
        <f t="shared" si="15"/>
        <v>#DIV/0!</v>
      </c>
      <c r="G55" s="3881"/>
      <c r="H55" s="1855">
        <f>项目基本情况!B43</f>
        <v>0</v>
      </c>
      <c r="I55" s="1853">
        <f>SUMIF(修正!$A$45:$A$56,H55,修正!C45:C56)</f>
        <v>0</v>
      </c>
      <c r="J55" s="1483"/>
      <c r="K55" s="3204"/>
      <c r="L55" s="2022"/>
      <c r="M55" s="2022"/>
      <c r="N55" s="2022"/>
      <c r="O55" s="2022"/>
      <c r="P55" s="2022"/>
      <c r="Q55" s="2022"/>
      <c r="R55" s="2022"/>
      <c r="S55" s="2022"/>
      <c r="T55" s="2022"/>
      <c r="U55" s="2022"/>
      <c r="V55" s="2022"/>
      <c r="W55" s="2022"/>
      <c r="X55" s="2022"/>
      <c r="Y55" s="2022"/>
      <c r="Z55" s="2022"/>
      <c r="AA55" s="2022"/>
      <c r="AB55" s="2022"/>
      <c r="AC55" s="2022"/>
    </row>
    <row r="56" spans="1:29" s="1289" customFormat="1" ht="12.75">
      <c r="A56" s="621" t="s">
        <v>561</v>
      </c>
      <c r="B56" s="622" t="e">
        <f t="shared" si="17"/>
        <v>#DIV/0!</v>
      </c>
      <c r="C56" s="364">
        <f t="shared" si="16"/>
        <v>0</v>
      </c>
      <c r="D56" s="2095">
        <v>0.25</v>
      </c>
      <c r="E56" s="623"/>
      <c r="F56" s="1850" t="e">
        <f t="shared" si="15"/>
        <v>#DIV/0!</v>
      </c>
      <c r="G56" s="3881"/>
      <c r="H56" s="1855">
        <f>项目基本情况!B43</f>
        <v>0</v>
      </c>
      <c r="I56" s="1853">
        <f>SUMIF(修正!$A$45:$A$56,H56,修正!D45:D56)</f>
        <v>0</v>
      </c>
      <c r="J56" s="1483"/>
      <c r="K56" s="3204"/>
      <c r="L56" s="2022"/>
      <c r="M56" s="2022"/>
      <c r="N56" s="2022"/>
      <c r="O56" s="2022"/>
      <c r="P56" s="2022"/>
      <c r="Q56" s="2022"/>
      <c r="R56" s="2022"/>
      <c r="S56" s="2022"/>
      <c r="T56" s="2022"/>
      <c r="U56" s="2022"/>
      <c r="V56" s="2022"/>
      <c r="W56" s="2022"/>
      <c r="X56" s="2022"/>
      <c r="Y56" s="2022"/>
      <c r="Z56" s="2022"/>
      <c r="AA56" s="2022"/>
      <c r="AB56" s="2022"/>
      <c r="AC56" s="2022"/>
    </row>
    <row r="57" spans="1:29" s="1289" customFormat="1" ht="12.75">
      <c r="A57" s="621" t="s">
        <v>562</v>
      </c>
      <c r="B57" s="622" t="e">
        <f t="shared" si="17"/>
        <v>#DIV/0!</v>
      </c>
      <c r="C57" s="364">
        <f t="shared" si="16"/>
        <v>0</v>
      </c>
      <c r="D57" s="2095">
        <v>0.25</v>
      </c>
      <c r="E57" s="623"/>
      <c r="F57" s="1850" t="e">
        <f t="shared" si="15"/>
        <v>#DIV/0!</v>
      </c>
      <c r="G57" s="3881"/>
      <c r="H57" s="1855">
        <f>项目基本情况!B43</f>
        <v>0</v>
      </c>
      <c r="I57" s="1853">
        <f>SUMIF(修正!$A$45:$A$56,H57,修正!E45:E56)</f>
        <v>0</v>
      </c>
      <c r="J57" s="1483"/>
      <c r="K57" s="3204"/>
      <c r="L57" s="2022"/>
      <c r="M57" s="2022"/>
      <c r="N57" s="2022"/>
      <c r="O57" s="2022"/>
      <c r="P57" s="2022"/>
      <c r="Q57" s="2022"/>
      <c r="R57" s="2022"/>
      <c r="S57" s="2022"/>
      <c r="T57" s="2022"/>
      <c r="U57" s="2022"/>
      <c r="V57" s="2022"/>
      <c r="W57" s="2022"/>
      <c r="X57" s="2022"/>
      <c r="Y57" s="2022"/>
      <c r="Z57" s="2022"/>
      <c r="AA57" s="2022"/>
      <c r="AB57" s="2022"/>
      <c r="AC57" s="2022"/>
    </row>
    <row r="58" spans="1:29" s="1289" customFormat="1" ht="12.75">
      <c r="A58" s="2197" t="s">
        <v>2310</v>
      </c>
      <c r="B58" s="622" t="e">
        <f t="shared" si="17"/>
        <v>#DIV/0!</v>
      </c>
      <c r="C58" s="364">
        <f t="shared" si="16"/>
        <v>0</v>
      </c>
      <c r="D58" s="2095">
        <v>0.25</v>
      </c>
      <c r="E58" s="625">
        <f>'数据-汇总表'!E11</f>
        <v>0</v>
      </c>
      <c r="F58" s="1850" t="e">
        <f t="shared" si="15"/>
        <v>#DIV/0!</v>
      </c>
      <c r="G58" s="1856" t="s">
        <v>2271</v>
      </c>
      <c r="H58" s="1855">
        <f>项目基本情况!C43</f>
        <v>0</v>
      </c>
      <c r="I58" s="1853">
        <f>SUMIF(修正!$A$45:$A$56,H58,修正!F45:F56)</f>
        <v>0</v>
      </c>
      <c r="J58" s="1483"/>
      <c r="K58" s="3204"/>
      <c r="L58" s="2022"/>
      <c r="M58" s="2022"/>
      <c r="N58" s="2022"/>
      <c r="O58" s="2022"/>
      <c r="P58" s="2022"/>
      <c r="Q58" s="2022"/>
      <c r="R58" s="2022"/>
      <c r="S58" s="2022"/>
      <c r="T58" s="2022"/>
      <c r="U58" s="2022"/>
      <c r="V58" s="2022"/>
      <c r="W58" s="2022"/>
      <c r="X58" s="2022"/>
      <c r="Y58" s="2022"/>
      <c r="Z58" s="2022"/>
      <c r="AA58" s="2022"/>
      <c r="AB58" s="2022"/>
      <c r="AC58" s="2022"/>
    </row>
    <row r="59" spans="1:29" s="1289" customFormat="1" ht="12.75">
      <c r="A59" s="621" t="s">
        <v>563</v>
      </c>
      <c r="B59" s="622" t="e">
        <f t="shared" si="17"/>
        <v>#DIV/0!</v>
      </c>
      <c r="C59" s="364">
        <f t="shared" si="16"/>
        <v>0</v>
      </c>
      <c r="D59" s="2095">
        <v>0.25</v>
      </c>
      <c r="E59" s="625">
        <f>'数据-汇总表'!E12</f>
        <v>0</v>
      </c>
      <c r="F59" s="1850" t="e">
        <f t="shared" si="15"/>
        <v>#DIV/0!</v>
      </c>
      <c r="G59" s="1846" t="s">
        <v>1667</v>
      </c>
      <c r="H59" s="1854">
        <f>IF(G59="商业",项目基本情况!B43,IF(G59="办公",项目基本情况!C43,IF(G59="住宅",项目基本情况!D43,项目基本情况!E43)))</f>
        <v>0</v>
      </c>
      <c r="I59" s="1853">
        <f>SUMIF(修正!$A$45:$A$56,H59,修正!G45:G56)</f>
        <v>0</v>
      </c>
      <c r="J59" s="1483"/>
      <c r="K59" s="3204"/>
      <c r="L59" s="2022"/>
      <c r="M59" s="2022"/>
      <c r="N59" s="2022"/>
      <c r="O59" s="2022"/>
      <c r="P59" s="2022"/>
      <c r="Q59" s="2022"/>
      <c r="R59" s="2022"/>
      <c r="S59" s="2022"/>
      <c r="T59" s="2022"/>
      <c r="U59" s="2022"/>
      <c r="V59" s="2022"/>
      <c r="W59" s="2022"/>
      <c r="X59" s="2022"/>
      <c r="Y59" s="2022"/>
      <c r="Z59" s="2022"/>
      <c r="AA59" s="2022"/>
      <c r="AB59" s="2022"/>
      <c r="AC59" s="2022"/>
    </row>
    <row r="60" spans="1:29" s="1289" customFormat="1" ht="12.75">
      <c r="A60" s="621" t="s">
        <v>564</v>
      </c>
      <c r="B60" s="622" t="e">
        <f t="shared" si="17"/>
        <v>#DIV/0!</v>
      </c>
      <c r="C60" s="364">
        <f t="shared" si="16"/>
        <v>0</v>
      </c>
      <c r="D60" s="2095">
        <v>0.25</v>
      </c>
      <c r="E60" s="625">
        <f>'数据-汇总表'!E13</f>
        <v>0</v>
      </c>
      <c r="F60" s="1850" t="e">
        <f t="shared" si="15"/>
        <v>#DIV/0!</v>
      </c>
      <c r="G60" s="1846" t="s">
        <v>913</v>
      </c>
      <c r="H60" s="1854">
        <f>IF(G60="商业",项目基本情况!B43,IF(G60="办公",项目基本情况!C43,IF(G60="住宅",项目基本情况!D43,项目基本情况!E43)))</f>
        <v>0</v>
      </c>
      <c r="I60" s="1853">
        <f>SUMIF(修正!$A$45:$A$56,H60,修正!H45:H56)</f>
        <v>0</v>
      </c>
      <c r="J60" s="1483"/>
      <c r="K60" s="3204"/>
      <c r="L60" s="2022"/>
      <c r="M60" s="2022"/>
      <c r="N60" s="2022"/>
      <c r="O60" s="2022"/>
      <c r="P60" s="2022"/>
      <c r="Q60" s="2022"/>
      <c r="R60" s="2022"/>
      <c r="S60" s="2022"/>
      <c r="T60" s="2022"/>
      <c r="U60" s="2022"/>
      <c r="V60" s="2022"/>
      <c r="W60" s="2022"/>
      <c r="X60" s="2022"/>
      <c r="Y60" s="2022"/>
      <c r="Z60" s="2022"/>
      <c r="AA60" s="2022"/>
      <c r="AB60" s="2022"/>
      <c r="AC60" s="2022"/>
    </row>
    <row r="61" spans="1:29" s="1289" customFormat="1" ht="12.75">
      <c r="A61" s="621" t="s">
        <v>565</v>
      </c>
      <c r="B61" s="622" t="e">
        <f t="shared" si="17"/>
        <v>#DIV/0!</v>
      </c>
      <c r="C61" s="364">
        <f t="shared" si="16"/>
        <v>0</v>
      </c>
      <c r="D61" s="2095">
        <v>0.25</v>
      </c>
      <c r="E61" s="625">
        <f>'数据-汇总表'!E14</f>
        <v>0</v>
      </c>
      <c r="F61" s="1850" t="e">
        <f t="shared" si="15"/>
        <v>#DIV/0!</v>
      </c>
      <c r="G61" s="1856" t="s">
        <v>2270</v>
      </c>
      <c r="H61" s="1855">
        <f>项目基本情况!B43</f>
        <v>0</v>
      </c>
      <c r="I61" s="1853">
        <f>SUMIF(修正!$A$45:$A$56,H61,修正!H45:H56)</f>
        <v>0</v>
      </c>
      <c r="J61" s="1483"/>
      <c r="K61" s="3204"/>
      <c r="L61" s="2022"/>
      <c r="M61" s="2022"/>
      <c r="N61" s="2022"/>
      <c r="O61" s="2022"/>
      <c r="P61" s="2022"/>
      <c r="Q61" s="2022"/>
      <c r="R61" s="2022"/>
      <c r="S61" s="2022"/>
      <c r="T61" s="2022"/>
      <c r="U61" s="2022"/>
      <c r="V61" s="2022"/>
      <c r="W61" s="2022"/>
      <c r="X61" s="2022"/>
      <c r="Y61" s="2022"/>
      <c r="Z61" s="2022"/>
      <c r="AA61" s="2022"/>
      <c r="AB61" s="2022"/>
      <c r="AC61" s="2022"/>
    </row>
    <row r="62" spans="1:29" s="1289" customFormat="1" ht="13.5" thickBot="1">
      <c r="A62" s="621" t="s">
        <v>566</v>
      </c>
      <c r="B62" s="622" t="e">
        <f t="shared" si="17"/>
        <v>#DIV/0!</v>
      </c>
      <c r="C62" s="364">
        <f t="shared" si="16"/>
        <v>0</v>
      </c>
      <c r="D62" s="2095">
        <v>0.25</v>
      </c>
      <c r="E62" s="625">
        <f>'数据-汇总表'!E15</f>
        <v>0</v>
      </c>
      <c r="F62" s="1850" t="e">
        <f t="shared" si="15"/>
        <v>#DIV/0!</v>
      </c>
      <c r="G62" s="1857" t="s">
        <v>2271</v>
      </c>
      <c r="H62" s="1858">
        <f>项目基本情况!C43</f>
        <v>0</v>
      </c>
      <c r="I62" s="1853">
        <f>SUMIF(修正!$A$45:$A$56,H62,修正!H45:H56)</f>
        <v>0</v>
      </c>
      <c r="J62" s="1483"/>
      <c r="K62" s="3204"/>
      <c r="L62" s="2022"/>
      <c r="M62" s="2022"/>
      <c r="N62" s="2022"/>
      <c r="O62" s="2022"/>
      <c r="P62" s="2022"/>
      <c r="Q62" s="2022"/>
      <c r="R62" s="2022"/>
      <c r="S62" s="2022"/>
      <c r="T62" s="2022"/>
      <c r="U62" s="2022"/>
      <c r="V62" s="2022"/>
      <c r="W62" s="2022"/>
      <c r="X62" s="2022"/>
      <c r="Y62" s="2022"/>
      <c r="Z62" s="2022"/>
      <c r="AA62" s="2022"/>
      <c r="AB62" s="2022"/>
      <c r="AC62" s="2022"/>
    </row>
    <row r="63" spans="1:29" s="1289" customFormat="1" ht="13.5" thickBot="1">
      <c r="A63" s="626" t="s">
        <v>567</v>
      </c>
      <c r="B63" s="627" t="s">
        <v>17</v>
      </c>
      <c r="C63" s="627" t="s">
        <v>18</v>
      </c>
      <c r="D63" s="627" t="s">
        <v>2279</v>
      </c>
      <c r="E63" s="627">
        <f>IF(B43="楼面地价",SUM(E53:E62),'数据-汇总表'!D3)</f>
        <v>214384.13</v>
      </c>
      <c r="F63" s="628" t="e">
        <f>IF(B43="楼面地价",SUM(F53:F62),ROUND(C45*E63/10000,0))</f>
        <v>#DIV/0!</v>
      </c>
      <c r="G63" s="2023"/>
      <c r="H63" s="2023"/>
      <c r="I63" s="2023"/>
      <c r="J63" s="2023"/>
      <c r="K63" s="3212"/>
      <c r="L63" s="2022"/>
      <c r="M63" s="2022"/>
      <c r="N63" s="2022"/>
      <c r="O63" s="2022"/>
      <c r="P63" s="2022"/>
      <c r="Q63" s="2022"/>
      <c r="R63" s="2022"/>
      <c r="S63" s="2022"/>
      <c r="T63" s="2022"/>
      <c r="U63" s="2022"/>
      <c r="V63" s="2022"/>
      <c r="W63" s="2022"/>
      <c r="X63" s="2022"/>
      <c r="Y63" s="2022"/>
      <c r="Z63" s="2022"/>
      <c r="AA63" s="2022"/>
      <c r="AB63" s="2022"/>
      <c r="AC63" s="2022"/>
    </row>
    <row r="64" spans="1:29">
      <c r="A64" s="2013"/>
      <c r="B64" s="2015"/>
      <c r="C64" s="2018"/>
      <c r="D64" s="2013"/>
      <c r="E64" s="2013"/>
      <c r="F64" s="2013"/>
      <c r="G64" s="2013"/>
      <c r="H64" s="2013"/>
      <c r="I64" s="2013"/>
      <c r="J64" s="2013"/>
      <c r="K64" s="2016"/>
      <c r="L64" s="2017"/>
      <c r="M64" s="2013"/>
      <c r="N64" s="2013"/>
      <c r="O64" s="2013"/>
      <c r="P64" s="2013"/>
      <c r="Q64" s="2013"/>
      <c r="R64" s="2013"/>
      <c r="S64" s="2013"/>
      <c r="T64" s="2013"/>
      <c r="U64" s="2013"/>
      <c r="V64" s="2013"/>
      <c r="W64" s="2013"/>
      <c r="X64" s="2013"/>
      <c r="Y64" s="2013"/>
      <c r="Z64" s="2013"/>
      <c r="AA64" s="2013"/>
      <c r="AB64" s="2013"/>
      <c r="AC64" s="2013"/>
    </row>
    <row r="65" spans="1:29">
      <c r="A65" s="2013"/>
      <c r="B65" s="2015"/>
      <c r="C65" s="2503" t="str">
        <f>YEAR(C9)&amp;"-"&amp;MONTH(C9)&amp;"-1"</f>
        <v>2020-12-1</v>
      </c>
      <c r="D65" s="2502">
        <f>EDATE(C65,-3)</f>
        <v>44075</v>
      </c>
      <c r="E65" s="2502">
        <f t="shared" ref="E65:N65" si="18">EDATE(D65,-3)</f>
        <v>43983</v>
      </c>
      <c r="F65" s="2502">
        <f t="shared" si="18"/>
        <v>43891</v>
      </c>
      <c r="G65" s="2502">
        <f t="shared" si="18"/>
        <v>43800</v>
      </c>
      <c r="H65" s="2502">
        <f t="shared" si="18"/>
        <v>43709</v>
      </c>
      <c r="I65" s="2502">
        <f t="shared" si="18"/>
        <v>43617</v>
      </c>
      <c r="J65" s="2502">
        <f t="shared" si="18"/>
        <v>43525</v>
      </c>
      <c r="K65" s="2502">
        <f t="shared" si="18"/>
        <v>43435</v>
      </c>
      <c r="L65" s="2502">
        <f t="shared" si="18"/>
        <v>43344</v>
      </c>
      <c r="M65" s="2502">
        <f t="shared" si="18"/>
        <v>43252</v>
      </c>
      <c r="N65" s="2502">
        <f t="shared" si="18"/>
        <v>43160</v>
      </c>
      <c r="O65" s="2013"/>
      <c r="P65" s="2013"/>
      <c r="Q65" s="2013"/>
      <c r="R65" s="2013"/>
      <c r="S65" s="2013"/>
      <c r="T65" s="2013"/>
      <c r="U65" s="2013"/>
      <c r="V65" s="2013"/>
      <c r="W65" s="2013"/>
      <c r="X65" s="2013"/>
      <c r="Y65" s="2013"/>
      <c r="Z65" s="2013"/>
      <c r="AA65" s="2013"/>
      <c r="AB65" s="2013"/>
      <c r="AC65" s="2013"/>
    </row>
    <row r="66" spans="1:29" ht="21.75" thickBot="1">
      <c r="A66" s="1506" t="s">
        <v>568</v>
      </c>
      <c r="B66" s="1484"/>
      <c r="C66" s="1505"/>
      <c r="D66" s="1505"/>
      <c r="E66" s="1505"/>
      <c r="F66" s="1507"/>
      <c r="G66" s="1507"/>
      <c r="H66" s="1505"/>
      <c r="I66" s="1505"/>
      <c r="J66" s="1505"/>
      <c r="K66" s="1508"/>
      <c r="L66" s="1504"/>
      <c r="M66" s="1505"/>
      <c r="N66" s="1505"/>
      <c r="O66" s="2024"/>
      <c r="P66" s="2024"/>
      <c r="Q66" s="2025"/>
      <c r="R66" s="2013"/>
      <c r="S66" s="2013"/>
      <c r="T66" s="2013"/>
      <c r="U66" s="2013"/>
      <c r="V66" s="2013"/>
      <c r="W66" s="2013"/>
      <c r="X66" s="2013"/>
      <c r="Y66" s="2013"/>
      <c r="Z66" s="2013"/>
      <c r="AA66" s="2013"/>
      <c r="AB66" s="2013"/>
      <c r="AC66" s="2013"/>
    </row>
    <row r="67" spans="1:29" s="1290" customFormat="1" ht="15">
      <c r="A67" s="2407" t="s">
        <v>2509</v>
      </c>
      <c r="B67" s="630"/>
      <c r="C67" s="2499" t="str">
        <f>YEAR(C65)&amp;"-"&amp;ROUNDUP(MONTH(C65)/3,0)</f>
        <v>2020-4</v>
      </c>
      <c r="D67" s="2504" t="str">
        <f t="shared" ref="D67:N67" si="19">YEAR(D65)&amp;"-"&amp;ROUNDUP(MONTH(D65)/3,0)</f>
        <v>2020-3</v>
      </c>
      <c r="E67" s="2504" t="str">
        <f t="shared" si="19"/>
        <v>2020-2</v>
      </c>
      <c r="F67" s="2504" t="str">
        <f t="shared" si="19"/>
        <v>2020-1</v>
      </c>
      <c r="G67" s="2504" t="str">
        <f t="shared" si="19"/>
        <v>2019-4</v>
      </c>
      <c r="H67" s="2504" t="str">
        <f t="shared" si="19"/>
        <v>2019-3</v>
      </c>
      <c r="I67" s="2504" t="str">
        <f t="shared" si="19"/>
        <v>2019-2</v>
      </c>
      <c r="J67" s="2504" t="str">
        <f t="shared" si="19"/>
        <v>2019-1</v>
      </c>
      <c r="K67" s="2504" t="str">
        <f t="shared" si="19"/>
        <v>2018-4</v>
      </c>
      <c r="L67" s="2504" t="str">
        <f t="shared" si="19"/>
        <v>2018-3</v>
      </c>
      <c r="M67" s="2504" t="str">
        <f t="shared" si="19"/>
        <v>2018-2</v>
      </c>
      <c r="N67" s="2504" t="str">
        <f t="shared" si="19"/>
        <v>2018-1</v>
      </c>
      <c r="O67" s="2026"/>
      <c r="P67" s="2027"/>
      <c r="Q67" s="2028"/>
      <c r="R67" s="2028"/>
      <c r="S67" s="2028"/>
      <c r="T67" s="2028"/>
      <c r="U67" s="2028"/>
      <c r="V67" s="2028"/>
      <c r="W67" s="2028"/>
      <c r="X67" s="2028"/>
      <c r="Y67" s="2028"/>
      <c r="Z67" s="2028"/>
      <c r="AA67" s="2028"/>
      <c r="AB67" s="2028"/>
      <c r="AC67" s="2028"/>
    </row>
    <row r="68" spans="1:29" s="1194" customFormat="1" ht="27.75" customHeight="1">
      <c r="A68" s="2501" t="s">
        <v>2623</v>
      </c>
      <c r="B68" s="465" t="str">
        <f>"北京市平均增长率"&amp;TEXT(基准地价!P24,"0.00%")</f>
        <v>北京市平均增长率1.23%</v>
      </c>
      <c r="C68" s="875">
        <v>100</v>
      </c>
      <c r="D68" s="714"/>
      <c r="E68" s="714"/>
      <c r="F68" s="714"/>
      <c r="G68" s="714"/>
      <c r="H68" s="714"/>
      <c r="I68" s="714"/>
      <c r="J68" s="714"/>
      <c r="K68" s="714"/>
      <c r="L68" s="714"/>
      <c r="M68" s="2497"/>
      <c r="N68" s="2498"/>
      <c r="O68" s="2029"/>
      <c r="P68" s="2025"/>
      <c r="Q68" s="1891"/>
      <c r="R68" s="1891"/>
      <c r="S68" s="1891"/>
      <c r="T68" s="1891"/>
      <c r="U68" s="1891"/>
      <c r="V68" s="1891"/>
      <c r="W68" s="1891"/>
      <c r="X68" s="1891"/>
      <c r="Y68" s="1891"/>
      <c r="Z68" s="1891"/>
      <c r="AA68" s="1891"/>
      <c r="AB68" s="1891"/>
      <c r="AC68" s="1891"/>
    </row>
    <row r="69" spans="1:29" s="1194" customFormat="1" ht="15.75" thickBot="1">
      <c r="A69" s="637" t="s">
        <v>569</v>
      </c>
      <c r="B69" s="638"/>
      <c r="C69" s="2495"/>
      <c r="D69" s="2496"/>
      <c r="E69" s="2496"/>
      <c r="F69" s="2496"/>
      <c r="G69" s="2496"/>
      <c r="H69" s="2496"/>
      <c r="I69" s="2496"/>
      <c r="J69" s="2496"/>
      <c r="K69" s="2496"/>
      <c r="L69" s="2496"/>
      <c r="M69" s="2496"/>
      <c r="N69" s="2496"/>
      <c r="O69" s="2029"/>
      <c r="P69" s="2025"/>
      <c r="Q69" s="2025"/>
      <c r="R69" s="1891"/>
      <c r="S69" s="1891"/>
      <c r="T69" s="1891"/>
      <c r="U69" s="1891"/>
      <c r="V69" s="1891"/>
      <c r="W69" s="1891"/>
      <c r="X69" s="1891"/>
      <c r="Y69" s="1891"/>
      <c r="Z69" s="1891"/>
      <c r="AA69" s="1891"/>
      <c r="AB69" s="1891"/>
      <c r="AC69" s="1891"/>
    </row>
    <row r="70" spans="1:29" s="1194" customFormat="1" ht="15">
      <c r="A70" s="643" t="s">
        <v>525</v>
      </c>
      <c r="B70" s="632"/>
      <c r="C70" s="644" t="s">
        <v>570</v>
      </c>
      <c r="D70" s="645"/>
      <c r="E70" s="645"/>
      <c r="F70" s="645"/>
      <c r="G70" s="645"/>
      <c r="H70" s="645"/>
      <c r="I70" s="645"/>
      <c r="J70" s="645"/>
      <c r="K70" s="645"/>
      <c r="L70" s="646"/>
      <c r="M70" s="647"/>
      <c r="N70" s="3213"/>
      <c r="O70" s="2029"/>
      <c r="P70" s="2030"/>
      <c r="Q70" s="2025"/>
      <c r="R70" s="1891"/>
      <c r="S70" s="1891"/>
      <c r="T70" s="1891"/>
      <c r="U70" s="1891"/>
      <c r="V70" s="1891"/>
      <c r="W70" s="1891"/>
      <c r="X70" s="1891"/>
      <c r="Y70" s="1891"/>
      <c r="Z70" s="1891"/>
      <c r="AA70" s="1891"/>
      <c r="AB70" s="1891"/>
      <c r="AC70" s="1891"/>
    </row>
    <row r="71" spans="1:29" s="1194" customFormat="1" ht="15.75" thickBot="1">
      <c r="A71" s="643"/>
      <c r="B71" s="632"/>
      <c r="C71" s="633">
        <v>100</v>
      </c>
      <c r="D71" s="634"/>
      <c r="E71" s="634"/>
      <c r="F71" s="634"/>
      <c r="G71" s="634"/>
      <c r="H71" s="634"/>
      <c r="I71" s="634"/>
      <c r="J71" s="634"/>
      <c r="K71" s="634"/>
      <c r="L71" s="634"/>
      <c r="M71" s="636"/>
      <c r="N71" s="3213"/>
      <c r="O71" s="2029"/>
      <c r="P71" s="2025"/>
      <c r="Q71" s="2025"/>
      <c r="R71" s="1891"/>
      <c r="S71" s="1891"/>
      <c r="T71" s="1891"/>
      <c r="U71" s="1891"/>
      <c r="V71" s="1891"/>
      <c r="W71" s="1891"/>
      <c r="X71" s="1891"/>
      <c r="Y71" s="1891"/>
      <c r="Z71" s="1891"/>
      <c r="AA71" s="1891"/>
      <c r="AB71" s="1891"/>
      <c r="AC71" s="1891"/>
    </row>
    <row r="72" spans="1:29">
      <c r="A72" s="648" t="s">
        <v>571</v>
      </c>
      <c r="B72" s="649" t="s">
        <v>528</v>
      </c>
      <c r="C72" s="584"/>
      <c r="D72" s="584"/>
      <c r="E72" s="584"/>
      <c r="F72" s="584"/>
      <c r="G72" s="584"/>
      <c r="H72" s="584"/>
      <c r="I72" s="584"/>
      <c r="J72" s="584"/>
      <c r="K72" s="650"/>
      <c r="L72" s="651"/>
      <c r="M72" s="652"/>
      <c r="N72" s="3214"/>
      <c r="O72" s="2031"/>
      <c r="P72" s="2032"/>
      <c r="Q72" s="2025"/>
      <c r="R72" s="2013"/>
      <c r="S72" s="2013"/>
      <c r="T72" s="2013"/>
      <c r="U72" s="2013"/>
      <c r="V72" s="2013"/>
      <c r="W72" s="2013"/>
      <c r="X72" s="2013"/>
      <c r="Y72" s="2013"/>
      <c r="Z72" s="2013"/>
      <c r="AA72" s="2013"/>
      <c r="AB72" s="2013"/>
      <c r="AC72" s="2013"/>
    </row>
    <row r="73" spans="1:29" ht="15.75" thickBot="1">
      <c r="A73" s="653"/>
      <c r="B73" s="654"/>
      <c r="C73" s="655"/>
      <c r="D73" s="655"/>
      <c r="E73" s="655"/>
      <c r="F73" s="655"/>
      <c r="G73" s="655"/>
      <c r="H73" s="655"/>
      <c r="I73" s="655"/>
      <c r="J73" s="655"/>
      <c r="K73" s="655"/>
      <c r="L73" s="655"/>
      <c r="M73" s="656"/>
      <c r="N73" s="3215"/>
      <c r="O73" s="2033"/>
      <c r="P73" s="2032"/>
      <c r="Q73" s="2025"/>
      <c r="R73" s="2013"/>
      <c r="S73" s="2013"/>
      <c r="T73" s="2013"/>
      <c r="U73" s="2013"/>
      <c r="V73" s="2013"/>
      <c r="W73" s="2013"/>
      <c r="X73" s="2013"/>
      <c r="Y73" s="2013"/>
      <c r="Z73" s="2013"/>
      <c r="AA73" s="2013"/>
      <c r="AB73" s="2013"/>
      <c r="AC73" s="2013"/>
    </row>
    <row r="74" spans="1:29" ht="27.75" thickTop="1">
      <c r="A74" s="653"/>
      <c r="B74" s="657" t="s">
        <v>531</v>
      </c>
      <c r="C74" s="658"/>
      <c r="D74" s="658"/>
      <c r="E74" s="658"/>
      <c r="F74" s="658"/>
      <c r="G74" s="658"/>
      <c r="H74" s="658"/>
      <c r="I74" s="658"/>
      <c r="J74" s="658"/>
      <c r="K74" s="659"/>
      <c r="L74" s="660"/>
      <c r="M74" s="661"/>
      <c r="N74" s="3214"/>
      <c r="O74" s="2031"/>
      <c r="P74" s="2032"/>
      <c r="Q74" s="2025"/>
      <c r="R74" s="2013"/>
      <c r="S74" s="2013"/>
      <c r="T74" s="2013"/>
      <c r="U74" s="2013"/>
      <c r="V74" s="2013"/>
      <c r="W74" s="2013"/>
      <c r="X74" s="2013"/>
      <c r="Y74" s="2013"/>
      <c r="Z74" s="2013"/>
      <c r="AA74" s="2013"/>
      <c r="AB74" s="2013"/>
      <c r="AC74" s="2013"/>
    </row>
    <row r="75" spans="1:29" ht="15.75" thickBot="1">
      <c r="A75" s="653"/>
      <c r="B75" s="662"/>
      <c r="C75" s="663"/>
      <c r="D75" s="663"/>
      <c r="E75" s="663"/>
      <c r="F75" s="663"/>
      <c r="G75" s="663"/>
      <c r="H75" s="663"/>
      <c r="I75" s="663"/>
      <c r="J75" s="663"/>
      <c r="K75" s="663"/>
      <c r="L75" s="663"/>
      <c r="M75" s="664"/>
      <c r="N75" s="3215"/>
      <c r="O75" s="2033"/>
      <c r="P75" s="2032"/>
      <c r="Q75" s="2025"/>
      <c r="R75" s="2013"/>
      <c r="S75" s="2013"/>
      <c r="T75" s="2013"/>
      <c r="U75" s="2013"/>
      <c r="V75" s="2013"/>
      <c r="W75" s="2013"/>
      <c r="X75" s="2013"/>
      <c r="Y75" s="2013"/>
      <c r="Z75" s="2013"/>
      <c r="AA75" s="2013"/>
      <c r="AB75" s="2013"/>
      <c r="AC75" s="2013"/>
    </row>
    <row r="76" spans="1:29" ht="15.75" thickTop="1">
      <c r="A76" s="653"/>
      <c r="B76" s="665" t="s">
        <v>532</v>
      </c>
      <c r="C76" s="666" t="str">
        <f>C77&amp;"（含）"&amp;"-"&amp;D77</f>
        <v>（含）-</v>
      </c>
      <c r="D76" s="666" t="str">
        <f t="shared" ref="D76:L76" si="20">D77&amp;"（含）"&amp;"-"&amp;E77</f>
        <v>（含）-</v>
      </c>
      <c r="E76" s="666" t="str">
        <f t="shared" si="20"/>
        <v>（含）-</v>
      </c>
      <c r="F76" s="666" t="str">
        <f t="shared" si="20"/>
        <v>（含）-</v>
      </c>
      <c r="G76" s="666" t="str">
        <f t="shared" si="20"/>
        <v>（含）-</v>
      </c>
      <c r="H76" s="666" t="str">
        <f t="shared" si="20"/>
        <v>（含）-</v>
      </c>
      <c r="I76" s="666" t="str">
        <f t="shared" si="20"/>
        <v>（含）-</v>
      </c>
      <c r="J76" s="666" t="str">
        <f t="shared" si="20"/>
        <v>（含）-</v>
      </c>
      <c r="K76" s="666" t="str">
        <f t="shared" si="20"/>
        <v>（含）-</v>
      </c>
      <c r="L76" s="666" t="str">
        <f t="shared" si="20"/>
        <v>（含）-</v>
      </c>
      <c r="M76" s="541" t="str">
        <f>M77&amp;"（含）"&amp;"-"&amp;P77</f>
        <v>（含）-</v>
      </c>
      <c r="N76" s="3215"/>
      <c r="O76" s="2033"/>
      <c r="P76" s="2032"/>
      <c r="Q76" s="2025"/>
      <c r="R76" s="2013"/>
      <c r="S76" s="2013"/>
      <c r="T76" s="2013"/>
      <c r="U76" s="2013"/>
      <c r="V76" s="2013"/>
      <c r="W76" s="2013"/>
      <c r="X76" s="2013"/>
      <c r="Y76" s="2013"/>
      <c r="Z76" s="2013"/>
      <c r="AA76" s="2013"/>
      <c r="AB76" s="2013"/>
      <c r="AC76" s="2013"/>
    </row>
    <row r="77" spans="1:29" ht="15">
      <c r="A77" s="653"/>
      <c r="B77" s="667"/>
      <c r="C77" s="527"/>
      <c r="D77" s="527"/>
      <c r="E77" s="527"/>
      <c r="F77" s="527"/>
      <c r="G77" s="527"/>
      <c r="H77" s="527"/>
      <c r="I77" s="527"/>
      <c r="J77" s="527"/>
      <c r="K77" s="668"/>
      <c r="L77" s="669"/>
      <c r="M77" s="670"/>
      <c r="N77" s="3214"/>
      <c r="O77" s="2031"/>
      <c r="P77" s="2032"/>
      <c r="Q77" s="2025"/>
      <c r="R77" s="2013"/>
      <c r="S77" s="2013"/>
      <c r="T77" s="2013"/>
      <c r="U77" s="2013"/>
      <c r="V77" s="2013"/>
      <c r="W77" s="2013"/>
      <c r="X77" s="2013"/>
      <c r="Y77" s="2013"/>
      <c r="Z77" s="2013"/>
      <c r="AA77" s="2013"/>
      <c r="AB77" s="2013"/>
      <c r="AC77" s="2013"/>
    </row>
    <row r="78" spans="1:29" ht="15.75" thickBot="1">
      <c r="A78" s="653"/>
      <c r="B78" s="654"/>
      <c r="C78" s="663">
        <v>100</v>
      </c>
      <c r="D78" s="663">
        <f>IF($B$43="单位面积地价",C78+$K13,C78-$K13)</f>
        <v>100</v>
      </c>
      <c r="E78" s="663">
        <f t="shared" ref="E78:M78" si="21">IF($B$43="单位面积地价",D78+$K13,D78-$K13)</f>
        <v>100</v>
      </c>
      <c r="F78" s="663">
        <f t="shared" si="21"/>
        <v>100</v>
      </c>
      <c r="G78" s="663">
        <f t="shared" si="21"/>
        <v>100</v>
      </c>
      <c r="H78" s="663">
        <f t="shared" si="21"/>
        <v>100</v>
      </c>
      <c r="I78" s="663">
        <f t="shared" si="21"/>
        <v>100</v>
      </c>
      <c r="J78" s="663">
        <f t="shared" si="21"/>
        <v>100</v>
      </c>
      <c r="K78" s="663">
        <f t="shared" si="21"/>
        <v>100</v>
      </c>
      <c r="L78" s="663">
        <f t="shared" si="21"/>
        <v>100</v>
      </c>
      <c r="M78" s="663">
        <f t="shared" si="21"/>
        <v>100</v>
      </c>
      <c r="N78" s="3215"/>
      <c r="O78" s="2033"/>
      <c r="P78" s="2032"/>
      <c r="Q78" s="2025"/>
      <c r="R78" s="2013"/>
      <c r="S78" s="2013"/>
      <c r="T78" s="2013"/>
      <c r="U78" s="2013"/>
      <c r="V78" s="2013"/>
      <c r="W78" s="2013"/>
      <c r="X78" s="2013"/>
      <c r="Y78" s="2013"/>
      <c r="Z78" s="2013"/>
      <c r="AA78" s="2013"/>
      <c r="AB78" s="2013"/>
      <c r="AC78" s="2013"/>
    </row>
    <row r="79" spans="1:29" s="1283" customFormat="1" ht="15.75" thickTop="1">
      <c r="A79" s="671"/>
      <c r="B79" s="657">
        <f>B14</f>
        <v>111</v>
      </c>
      <c r="C79" s="672"/>
      <c r="D79" s="672"/>
      <c r="E79" s="672"/>
      <c r="F79" s="672"/>
      <c r="G79" s="672"/>
      <c r="H79" s="673"/>
      <c r="I79" s="673"/>
      <c r="J79" s="673"/>
      <c r="K79" s="673"/>
      <c r="L79" s="674"/>
      <c r="M79" s="675"/>
      <c r="N79" s="3216"/>
      <c r="O79" s="2034"/>
      <c r="P79" s="2035"/>
      <c r="Q79" s="2036"/>
      <c r="R79" s="2037"/>
      <c r="S79" s="2037"/>
      <c r="T79" s="2037"/>
      <c r="U79" s="2037"/>
      <c r="V79" s="2037"/>
      <c r="W79" s="2037"/>
      <c r="X79" s="2037"/>
      <c r="Y79" s="2037"/>
      <c r="Z79" s="2037"/>
      <c r="AA79" s="2037"/>
      <c r="AB79" s="2037"/>
      <c r="AC79" s="2037"/>
    </row>
    <row r="80" spans="1:29" s="1283" customFormat="1" ht="15.75" thickBot="1">
      <c r="A80" s="671"/>
      <c r="B80" s="662"/>
      <c r="C80" s="676"/>
      <c r="D80" s="655"/>
      <c r="E80" s="655"/>
      <c r="F80" s="655"/>
      <c r="G80" s="655"/>
      <c r="H80" s="655"/>
      <c r="I80" s="655"/>
      <c r="J80" s="655"/>
      <c r="K80" s="655"/>
      <c r="L80" s="655"/>
      <c r="M80" s="656"/>
      <c r="N80" s="3215"/>
      <c r="O80" s="2033"/>
      <c r="P80" s="2035"/>
      <c r="Q80" s="2036"/>
      <c r="R80" s="2037"/>
      <c r="S80" s="2037"/>
      <c r="T80" s="2037"/>
      <c r="U80" s="2037"/>
      <c r="V80" s="2037"/>
      <c r="W80" s="2037"/>
      <c r="X80" s="2037"/>
      <c r="Y80" s="2037"/>
      <c r="Z80" s="2037"/>
      <c r="AA80" s="2037"/>
      <c r="AB80" s="2037"/>
      <c r="AC80" s="2037"/>
    </row>
    <row r="81" spans="1:29" s="1283" customFormat="1" ht="15.75" thickTop="1">
      <c r="A81" s="671"/>
      <c r="B81" s="657">
        <f>B15</f>
        <v>111</v>
      </c>
      <c r="C81" s="672"/>
      <c r="D81" s="672"/>
      <c r="E81" s="672"/>
      <c r="F81" s="672"/>
      <c r="G81" s="672"/>
      <c r="H81" s="673"/>
      <c r="I81" s="673"/>
      <c r="J81" s="673"/>
      <c r="K81" s="673"/>
      <c r="L81" s="674"/>
      <c r="M81" s="675"/>
      <c r="N81" s="3216"/>
      <c r="O81" s="2034"/>
      <c r="P81" s="2038"/>
      <c r="Q81" s="2039"/>
      <c r="R81" s="2037"/>
      <c r="S81" s="2037"/>
      <c r="T81" s="2037"/>
      <c r="U81" s="2037"/>
      <c r="V81" s="2037"/>
      <c r="W81" s="2037"/>
      <c r="X81" s="2037"/>
      <c r="Y81" s="2037"/>
      <c r="Z81" s="2037"/>
      <c r="AA81" s="2037"/>
      <c r="AB81" s="2037"/>
      <c r="AC81" s="2037"/>
    </row>
    <row r="82" spans="1:29" s="1283" customFormat="1" ht="15.75" thickBot="1">
      <c r="A82" s="671"/>
      <c r="B82" s="662"/>
      <c r="C82" s="676"/>
      <c r="D82" s="676"/>
      <c r="E82" s="676"/>
      <c r="F82" s="676"/>
      <c r="G82" s="676"/>
      <c r="H82" s="677"/>
      <c r="I82" s="677"/>
      <c r="J82" s="677"/>
      <c r="K82" s="677"/>
      <c r="L82" s="677"/>
      <c r="M82" s="678"/>
      <c r="N82" s="3216"/>
      <c r="O82" s="2034"/>
      <c r="P82" s="2035"/>
      <c r="Q82" s="2036"/>
      <c r="R82" s="2037"/>
      <c r="S82" s="2037"/>
      <c r="T82" s="2037"/>
      <c r="U82" s="2037"/>
      <c r="V82" s="2037"/>
      <c r="W82" s="2037"/>
      <c r="X82" s="2037"/>
      <c r="Y82" s="2037"/>
      <c r="Z82" s="2037"/>
      <c r="AA82" s="2037"/>
      <c r="AB82" s="2037"/>
      <c r="AC82" s="2037"/>
    </row>
    <row r="83" spans="1:29" s="1283" customFormat="1" ht="15.75" thickTop="1">
      <c r="A83" s="671"/>
      <c r="B83" s="665">
        <f>B16</f>
        <v>111</v>
      </c>
      <c r="C83" s="645"/>
      <c r="D83" s="645"/>
      <c r="E83" s="645"/>
      <c r="F83" s="645"/>
      <c r="G83" s="645"/>
      <c r="H83" s="679"/>
      <c r="I83" s="679"/>
      <c r="J83" s="679"/>
      <c r="K83" s="679"/>
      <c r="L83" s="680"/>
      <c r="M83" s="681"/>
      <c r="N83" s="3216"/>
      <c r="O83" s="2034"/>
      <c r="P83" s="2040"/>
      <c r="Q83" s="2036"/>
      <c r="R83" s="2037"/>
      <c r="S83" s="2037"/>
      <c r="T83" s="2037"/>
      <c r="U83" s="2037"/>
      <c r="V83" s="2037"/>
      <c r="W83" s="2037"/>
      <c r="X83" s="2037"/>
      <c r="Y83" s="2037"/>
      <c r="Z83" s="2037"/>
      <c r="AA83" s="2037"/>
      <c r="AB83" s="2037"/>
      <c r="AC83" s="2037"/>
    </row>
    <row r="84" spans="1:29" s="1283" customFormat="1" ht="15.75" thickBot="1">
      <c r="A84" s="682"/>
      <c r="B84" s="683"/>
      <c r="C84" s="684"/>
      <c r="D84" s="684"/>
      <c r="E84" s="684"/>
      <c r="F84" s="684"/>
      <c r="G84" s="684"/>
      <c r="H84" s="685"/>
      <c r="I84" s="685"/>
      <c r="J84" s="685"/>
      <c r="K84" s="685"/>
      <c r="L84" s="685"/>
      <c r="M84" s="686"/>
      <c r="N84" s="3216"/>
      <c r="O84" s="2034"/>
      <c r="P84" s="2035"/>
      <c r="Q84" s="2036"/>
      <c r="R84" s="2037"/>
      <c r="S84" s="2037"/>
      <c r="T84" s="2037"/>
      <c r="U84" s="2037"/>
      <c r="V84" s="2037"/>
      <c r="W84" s="2037"/>
      <c r="X84" s="2037"/>
      <c r="Y84" s="2037"/>
      <c r="Z84" s="2037"/>
      <c r="AA84" s="2037"/>
      <c r="AB84" s="2037"/>
      <c r="AC84" s="2037"/>
    </row>
    <row r="85" spans="1:29">
      <c r="A85" s="648" t="s">
        <v>533</v>
      </c>
      <c r="B85" s="649" t="s">
        <v>596</v>
      </c>
      <c r="C85" s="687" t="s">
        <v>573</v>
      </c>
      <c r="D85" s="687" t="s">
        <v>574</v>
      </c>
      <c r="E85" s="687" t="s">
        <v>575</v>
      </c>
      <c r="F85" s="687" t="s">
        <v>576</v>
      </c>
      <c r="G85" s="687" t="s">
        <v>577</v>
      </c>
      <c r="H85" s="688"/>
      <c r="I85" s="688"/>
      <c r="J85" s="688"/>
      <c r="K85" s="689"/>
      <c r="L85" s="690"/>
      <c r="M85" s="691"/>
      <c r="N85" s="3214"/>
      <c r="O85" s="2031"/>
      <c r="P85" s="2041"/>
      <c r="Q85" s="2025"/>
      <c r="R85" s="2013"/>
      <c r="S85" s="2013"/>
      <c r="T85" s="2013"/>
      <c r="U85" s="2013"/>
      <c r="V85" s="2013"/>
      <c r="W85" s="2013"/>
      <c r="X85" s="2013"/>
      <c r="Y85" s="2013"/>
      <c r="Z85" s="2013"/>
      <c r="AA85" s="2013"/>
      <c r="AB85" s="2013"/>
      <c r="AC85" s="2013"/>
    </row>
    <row r="86" spans="1:29" ht="15.75" thickBot="1">
      <c r="A86" s="653"/>
      <c r="B86" s="662"/>
      <c r="C86" s="663">
        <v>100</v>
      </c>
      <c r="D86" s="663">
        <f>C86-$K17</f>
        <v>100</v>
      </c>
      <c r="E86" s="663">
        <f>D86-$K17</f>
        <v>100</v>
      </c>
      <c r="F86" s="663">
        <f>E86-$K17</f>
        <v>100</v>
      </c>
      <c r="G86" s="663">
        <f>F86-$K17</f>
        <v>100</v>
      </c>
      <c r="H86" s="663"/>
      <c r="I86" s="663"/>
      <c r="J86" s="663"/>
      <c r="K86" s="663"/>
      <c r="L86" s="663"/>
      <c r="M86" s="664"/>
      <c r="N86" s="3215"/>
      <c r="O86" s="2033"/>
      <c r="P86" s="2032"/>
      <c r="Q86" s="2025"/>
      <c r="R86" s="2013"/>
      <c r="S86" s="2013"/>
      <c r="T86" s="2013"/>
      <c r="U86" s="2013"/>
      <c r="V86" s="2013"/>
      <c r="W86" s="2013"/>
      <c r="X86" s="2013"/>
      <c r="Y86" s="2013"/>
      <c r="Z86" s="2013"/>
      <c r="AA86" s="2013"/>
      <c r="AB86" s="2013"/>
      <c r="AC86" s="2013"/>
    </row>
    <row r="87" spans="1:29" ht="15.75" thickTop="1">
      <c r="A87" s="653"/>
      <c r="B87" s="657" t="s">
        <v>580</v>
      </c>
      <c r="C87" s="692" t="s">
        <v>573</v>
      </c>
      <c r="D87" s="692" t="s">
        <v>574</v>
      </c>
      <c r="E87" s="692" t="s">
        <v>575</v>
      </c>
      <c r="F87" s="692" t="s">
        <v>576</v>
      </c>
      <c r="G87" s="692" t="s">
        <v>577</v>
      </c>
      <c r="H87" s="658"/>
      <c r="I87" s="658"/>
      <c r="J87" s="658"/>
      <c r="K87" s="659"/>
      <c r="L87" s="660"/>
      <c r="M87" s="661"/>
      <c r="N87" s="3214"/>
      <c r="O87" s="2031"/>
      <c r="P87" s="2032"/>
      <c r="Q87" s="2025"/>
      <c r="R87" s="2013"/>
      <c r="S87" s="2013"/>
      <c r="T87" s="2013"/>
      <c r="U87" s="2013"/>
      <c r="V87" s="2013"/>
      <c r="W87" s="2013"/>
      <c r="X87" s="2013"/>
      <c r="Y87" s="2013"/>
      <c r="Z87" s="2013"/>
      <c r="AA87" s="2013"/>
      <c r="AB87" s="2013"/>
      <c r="AC87" s="2013"/>
    </row>
    <row r="88" spans="1:29" ht="15.75" thickBot="1">
      <c r="A88" s="653"/>
      <c r="B88" s="662"/>
      <c r="C88" s="663">
        <v>100</v>
      </c>
      <c r="D88" s="663">
        <f>C88-$K19</f>
        <v>100</v>
      </c>
      <c r="E88" s="663">
        <f>D88-$K19</f>
        <v>100</v>
      </c>
      <c r="F88" s="663">
        <f>E88-$K19</f>
        <v>100</v>
      </c>
      <c r="G88" s="663">
        <f>F88-$K19</f>
        <v>100</v>
      </c>
      <c r="H88" s="663"/>
      <c r="I88" s="663"/>
      <c r="J88" s="663"/>
      <c r="K88" s="663"/>
      <c r="L88" s="663"/>
      <c r="M88" s="664"/>
      <c r="N88" s="3215"/>
      <c r="O88" s="2033"/>
      <c r="P88" s="2032"/>
      <c r="Q88" s="2025"/>
      <c r="R88" s="2013"/>
      <c r="S88" s="2013"/>
      <c r="T88" s="2013"/>
      <c r="U88" s="2013"/>
      <c r="V88" s="2013"/>
      <c r="W88" s="2013"/>
      <c r="X88" s="2013"/>
      <c r="Y88" s="2013"/>
      <c r="Z88" s="2013"/>
      <c r="AA88" s="2013"/>
      <c r="AB88" s="2013"/>
      <c r="AC88" s="2013"/>
    </row>
    <row r="89" spans="1:29" s="1194" customFormat="1" ht="27.75" thickTop="1">
      <c r="A89" s="693"/>
      <c r="B89" s="657" t="s">
        <v>581</v>
      </c>
      <c r="C89" s="692" t="s">
        <v>573</v>
      </c>
      <c r="D89" s="692" t="s">
        <v>574</v>
      </c>
      <c r="E89" s="692" t="s">
        <v>575</v>
      </c>
      <c r="F89" s="692" t="s">
        <v>576</v>
      </c>
      <c r="G89" s="692" t="s">
        <v>577</v>
      </c>
      <c r="H89" s="692"/>
      <c r="I89" s="692"/>
      <c r="J89" s="692"/>
      <c r="K89" s="692"/>
      <c r="L89" s="694"/>
      <c r="M89" s="695"/>
      <c r="N89" s="3213"/>
      <c r="O89" s="2029"/>
      <c r="P89" s="2032"/>
      <c r="Q89" s="2025"/>
      <c r="R89" s="1891"/>
      <c r="S89" s="1891"/>
      <c r="T89" s="1891"/>
      <c r="U89" s="1891"/>
      <c r="V89" s="1891"/>
      <c r="W89" s="1891"/>
      <c r="X89" s="1891"/>
      <c r="Y89" s="1891"/>
      <c r="Z89" s="1891"/>
      <c r="AA89" s="1891"/>
      <c r="AB89" s="1891"/>
      <c r="AC89" s="1891"/>
    </row>
    <row r="90" spans="1:29" s="1194" customFormat="1" ht="15.75" thickBot="1">
      <c r="A90" s="693"/>
      <c r="B90" s="662"/>
      <c r="C90" s="696">
        <v>100</v>
      </c>
      <c r="D90" s="663">
        <f>C90-$K21</f>
        <v>100</v>
      </c>
      <c r="E90" s="663">
        <f>D90-$K21</f>
        <v>100</v>
      </c>
      <c r="F90" s="663">
        <f>E90-$K21</f>
        <v>100</v>
      </c>
      <c r="G90" s="663">
        <f>F90-$K21</f>
        <v>100</v>
      </c>
      <c r="H90" s="663"/>
      <c r="I90" s="663"/>
      <c r="J90" s="663"/>
      <c r="K90" s="663"/>
      <c r="L90" s="663"/>
      <c r="M90" s="664"/>
      <c r="N90" s="3215"/>
      <c r="O90" s="2033"/>
      <c r="P90" s="2032"/>
      <c r="Q90" s="2025"/>
      <c r="R90" s="1891"/>
      <c r="S90" s="1891"/>
      <c r="T90" s="1891"/>
      <c r="U90" s="1891"/>
      <c r="V90" s="1891"/>
      <c r="W90" s="1891"/>
      <c r="X90" s="1891"/>
      <c r="Y90" s="1891"/>
      <c r="Z90" s="1891"/>
      <c r="AA90" s="1891"/>
      <c r="AB90" s="1891"/>
      <c r="AC90" s="1891"/>
    </row>
    <row r="91" spans="1:29" s="1194" customFormat="1" ht="27.75" thickTop="1">
      <c r="A91" s="693"/>
      <c r="B91" s="657" t="s">
        <v>582</v>
      </c>
      <c r="C91" s="687" t="s">
        <v>573</v>
      </c>
      <c r="D91" s="687" t="s">
        <v>574</v>
      </c>
      <c r="E91" s="687" t="s">
        <v>575</v>
      </c>
      <c r="F91" s="687" t="s">
        <v>576</v>
      </c>
      <c r="G91" s="687" t="s">
        <v>577</v>
      </c>
      <c r="H91" s="692"/>
      <c r="I91" s="692"/>
      <c r="J91" s="692"/>
      <c r="K91" s="692"/>
      <c r="L91" s="692"/>
      <c r="M91" s="695"/>
      <c r="N91" s="3213"/>
      <c r="O91" s="2029"/>
      <c r="P91" s="2032"/>
      <c r="Q91" s="2025"/>
      <c r="R91" s="1891"/>
      <c r="S91" s="1891"/>
      <c r="T91" s="1891"/>
      <c r="U91" s="1891"/>
      <c r="V91" s="1891"/>
      <c r="W91" s="1891"/>
      <c r="X91" s="1891"/>
      <c r="Y91" s="1891"/>
      <c r="Z91" s="1891"/>
      <c r="AA91" s="1891"/>
      <c r="AB91" s="1891"/>
      <c r="AC91" s="1891"/>
    </row>
    <row r="92" spans="1:29" s="1194" customFormat="1" ht="15.75" thickBot="1">
      <c r="A92" s="693"/>
      <c r="B92" s="662"/>
      <c r="C92" s="663">
        <v>100</v>
      </c>
      <c r="D92" s="663">
        <f>C92-$K23</f>
        <v>100</v>
      </c>
      <c r="E92" s="663">
        <f>D92-$K23</f>
        <v>100</v>
      </c>
      <c r="F92" s="663">
        <f>E92-$K23</f>
        <v>100</v>
      </c>
      <c r="G92" s="663">
        <f>F92-$K23</f>
        <v>100</v>
      </c>
      <c r="H92" s="663"/>
      <c r="I92" s="663"/>
      <c r="J92" s="663"/>
      <c r="K92" s="663"/>
      <c r="L92" s="663"/>
      <c r="M92" s="664"/>
      <c r="N92" s="3215"/>
      <c r="O92" s="2033"/>
      <c r="P92" s="2032"/>
      <c r="Q92" s="2025"/>
      <c r="R92" s="1891"/>
      <c r="S92" s="1891"/>
      <c r="T92" s="1891"/>
      <c r="U92" s="1891"/>
      <c r="V92" s="1891"/>
      <c r="W92" s="1891"/>
      <c r="X92" s="1891"/>
      <c r="Y92" s="1891"/>
      <c r="Z92" s="1891"/>
      <c r="AA92" s="1891"/>
      <c r="AB92" s="1891"/>
      <c r="AC92" s="1891"/>
    </row>
    <row r="93" spans="1:29" s="1283" customFormat="1" ht="15.75" thickTop="1">
      <c r="A93" s="671"/>
      <c r="B93" s="1796" t="s">
        <v>2524</v>
      </c>
      <c r="C93" s="687" t="s">
        <v>573</v>
      </c>
      <c r="D93" s="687" t="s">
        <v>574</v>
      </c>
      <c r="E93" s="687" t="s">
        <v>575</v>
      </c>
      <c r="F93" s="687" t="s">
        <v>576</v>
      </c>
      <c r="G93" s="687" t="s">
        <v>577</v>
      </c>
      <c r="H93" s="697"/>
      <c r="I93" s="697"/>
      <c r="J93" s="697"/>
      <c r="K93" s="697"/>
      <c r="L93" s="698"/>
      <c r="M93" s="699"/>
      <c r="N93" s="3216"/>
      <c r="O93" s="2034"/>
      <c r="P93" s="2035"/>
      <c r="Q93" s="2036"/>
      <c r="R93" s="2037"/>
      <c r="S93" s="2037"/>
      <c r="T93" s="2037"/>
      <c r="U93" s="2037"/>
      <c r="V93" s="2037"/>
      <c r="W93" s="2037"/>
      <c r="X93" s="2037"/>
      <c r="Y93" s="2037"/>
      <c r="Z93" s="2037"/>
      <c r="AA93" s="2037"/>
      <c r="AB93" s="2037"/>
      <c r="AC93" s="2037"/>
    </row>
    <row r="94" spans="1:29" s="1283" customFormat="1" ht="15.75" thickBot="1">
      <c r="A94" s="671"/>
      <c r="B94" s="662"/>
      <c r="C94" s="663">
        <v>100</v>
      </c>
      <c r="D94" s="663">
        <f>C94-$K25</f>
        <v>100</v>
      </c>
      <c r="E94" s="663">
        <f>D94-$K25</f>
        <v>100</v>
      </c>
      <c r="F94" s="663">
        <f>E94-$K25</f>
        <v>100</v>
      </c>
      <c r="G94" s="663">
        <f>F94-$K25</f>
        <v>100</v>
      </c>
      <c r="H94" s="700"/>
      <c r="I94" s="700"/>
      <c r="J94" s="700"/>
      <c r="K94" s="700"/>
      <c r="L94" s="700"/>
      <c r="M94" s="701"/>
      <c r="N94" s="3216"/>
      <c r="O94" s="2034"/>
      <c r="P94" s="2035"/>
      <c r="Q94" s="2036"/>
      <c r="R94" s="2037"/>
      <c r="S94" s="2037"/>
      <c r="T94" s="2037"/>
      <c r="U94" s="2037"/>
      <c r="V94" s="2037"/>
      <c r="W94" s="2037"/>
      <c r="X94" s="2037"/>
      <c r="Y94" s="2037"/>
      <c r="Z94" s="2037"/>
      <c r="AA94" s="2037"/>
      <c r="AB94" s="2037"/>
      <c r="AC94" s="2037"/>
    </row>
    <row r="95" spans="1:29" s="1283" customFormat="1" ht="15.75" thickTop="1">
      <c r="A95" s="671"/>
      <c r="B95" s="2427" t="s">
        <v>2526</v>
      </c>
      <c r="C95" s="2428" t="s">
        <v>2527</v>
      </c>
      <c r="D95" s="2428" t="s">
        <v>2528</v>
      </c>
      <c r="E95" s="2428" t="s">
        <v>2529</v>
      </c>
      <c r="F95" s="2428" t="s">
        <v>2530</v>
      </c>
      <c r="G95" s="2428" t="s">
        <v>2531</v>
      </c>
      <c r="H95" s="697"/>
      <c r="I95" s="697"/>
      <c r="J95" s="697"/>
      <c r="K95" s="697"/>
      <c r="L95" s="697"/>
      <c r="M95" s="699"/>
      <c r="N95" s="3216"/>
      <c r="O95" s="2034"/>
      <c r="P95" s="2035"/>
      <c r="Q95" s="2036"/>
      <c r="R95" s="2037"/>
      <c r="S95" s="2037"/>
      <c r="T95" s="2037"/>
      <c r="U95" s="2037"/>
      <c r="V95" s="2037"/>
      <c r="W95" s="2037"/>
      <c r="X95" s="2037"/>
      <c r="Y95" s="2037"/>
      <c r="Z95" s="2037"/>
      <c r="AA95" s="2037"/>
      <c r="AB95" s="2037"/>
      <c r="AC95" s="2037"/>
    </row>
    <row r="96" spans="1:29" s="1283" customFormat="1" ht="15.75" thickBot="1">
      <c r="A96" s="671"/>
      <c r="B96" s="665"/>
      <c r="C96" s="663">
        <v>100</v>
      </c>
      <c r="D96" s="663">
        <f>C96-$K27</f>
        <v>100</v>
      </c>
      <c r="E96" s="663">
        <f>D96-$K27</f>
        <v>100</v>
      </c>
      <c r="F96" s="663">
        <f>E96-$K27</f>
        <v>100</v>
      </c>
      <c r="G96" s="663">
        <f>F96-$K27</f>
        <v>100</v>
      </c>
      <c r="H96" s="667"/>
      <c r="I96" s="667"/>
      <c r="J96" s="667"/>
      <c r="K96" s="667"/>
      <c r="L96" s="667"/>
      <c r="M96" s="2420"/>
      <c r="N96" s="3216"/>
      <c r="O96" s="2034"/>
      <c r="P96" s="2035"/>
      <c r="Q96" s="2036"/>
      <c r="R96" s="2037"/>
      <c r="S96" s="2037"/>
      <c r="T96" s="2037"/>
      <c r="U96" s="2037"/>
      <c r="V96" s="2037"/>
      <c r="W96" s="2037"/>
      <c r="X96" s="2037"/>
      <c r="Y96" s="2037"/>
      <c r="Z96" s="2037"/>
      <c r="AA96" s="2037"/>
      <c r="AB96" s="2037"/>
      <c r="AC96" s="2037"/>
    </row>
    <row r="97" spans="1:29" ht="15.75" thickTop="1">
      <c r="A97" s="653"/>
      <c r="B97" s="657" t="str">
        <f>B29</f>
        <v>临街状况</v>
      </c>
      <c r="C97" s="658" t="s">
        <v>583</v>
      </c>
      <c r="D97" s="658" t="s">
        <v>584</v>
      </c>
      <c r="E97" s="658" t="s">
        <v>585</v>
      </c>
      <c r="F97" s="658" t="s">
        <v>586</v>
      </c>
      <c r="G97" s="658"/>
      <c r="H97" s="658"/>
      <c r="I97" s="658"/>
      <c r="J97" s="658"/>
      <c r="K97" s="659"/>
      <c r="L97" s="660"/>
      <c r="M97" s="661"/>
      <c r="N97" s="3214"/>
      <c r="O97" s="2031"/>
      <c r="P97" s="2032"/>
      <c r="Q97" s="2025"/>
      <c r="R97" s="2013"/>
      <c r="S97" s="2013"/>
      <c r="T97" s="2013"/>
      <c r="U97" s="2013"/>
      <c r="V97" s="2013"/>
      <c r="W97" s="2013"/>
      <c r="X97" s="2013"/>
      <c r="Y97" s="2013"/>
      <c r="Z97" s="2013"/>
      <c r="AA97" s="2013"/>
      <c r="AB97" s="2013"/>
      <c r="AC97" s="2013"/>
    </row>
    <row r="98" spans="1:29" ht="15.75" thickBot="1">
      <c r="A98" s="653"/>
      <c r="B98" s="662"/>
      <c r="C98" s="663">
        <v>100</v>
      </c>
      <c r="D98" s="663">
        <f t="shared" ref="D98:M98" si="22">C98-$K29</f>
        <v>100</v>
      </c>
      <c r="E98" s="663">
        <f t="shared" si="22"/>
        <v>100</v>
      </c>
      <c r="F98" s="663">
        <f t="shared" si="22"/>
        <v>100</v>
      </c>
      <c r="G98" s="663">
        <f t="shared" si="22"/>
        <v>100</v>
      </c>
      <c r="H98" s="663">
        <f t="shared" si="22"/>
        <v>100</v>
      </c>
      <c r="I98" s="663">
        <f t="shared" si="22"/>
        <v>100</v>
      </c>
      <c r="J98" s="663">
        <f t="shared" si="22"/>
        <v>100</v>
      </c>
      <c r="K98" s="663">
        <f t="shared" si="22"/>
        <v>100</v>
      </c>
      <c r="L98" s="663">
        <f t="shared" si="22"/>
        <v>100</v>
      </c>
      <c r="M98" s="663">
        <f t="shared" si="22"/>
        <v>100</v>
      </c>
      <c r="N98" s="3215"/>
      <c r="O98" s="2033"/>
      <c r="P98" s="2032"/>
      <c r="Q98" s="2025"/>
      <c r="R98" s="2013"/>
      <c r="S98" s="2013"/>
      <c r="T98" s="2013"/>
      <c r="U98" s="2013"/>
      <c r="V98" s="2013"/>
      <c r="W98" s="2013"/>
      <c r="X98" s="2013"/>
      <c r="Y98" s="2013"/>
      <c r="Z98" s="2013"/>
      <c r="AA98" s="2013"/>
      <c r="AB98" s="2013"/>
      <c r="AC98" s="2013"/>
    </row>
    <row r="99" spans="1:29" ht="27.75" thickTop="1">
      <c r="A99" s="653"/>
      <c r="B99" s="657" t="s">
        <v>542</v>
      </c>
      <c r="C99" s="672"/>
      <c r="D99" s="672"/>
      <c r="E99" s="672"/>
      <c r="F99" s="672"/>
      <c r="G99" s="672"/>
      <c r="H99" s="702"/>
      <c r="I99" s="702"/>
      <c r="J99" s="702"/>
      <c r="K99" s="703"/>
      <c r="L99" s="704"/>
      <c r="M99" s="705"/>
      <c r="N99" s="3214"/>
      <c r="O99" s="2031"/>
      <c r="P99" s="2032"/>
      <c r="Q99" s="2025"/>
      <c r="R99" s="2013"/>
      <c r="S99" s="2013"/>
      <c r="T99" s="2013"/>
      <c r="U99" s="2013"/>
      <c r="V99" s="2013"/>
      <c r="W99" s="2013"/>
      <c r="X99" s="2013"/>
      <c r="Y99" s="2013"/>
      <c r="Z99" s="2013"/>
      <c r="AA99" s="2013"/>
      <c r="AB99" s="2013"/>
      <c r="AC99" s="2013"/>
    </row>
    <row r="100" spans="1:29" ht="15.75" thickBot="1">
      <c r="A100" s="653"/>
      <c r="B100" s="662"/>
      <c r="C100" s="663">
        <v>100</v>
      </c>
      <c r="D100" s="663">
        <f t="shared" ref="D100:M100" si="23">C100-$K30</f>
        <v>100</v>
      </c>
      <c r="E100" s="663">
        <f t="shared" si="23"/>
        <v>100</v>
      </c>
      <c r="F100" s="663">
        <f t="shared" si="23"/>
        <v>100</v>
      </c>
      <c r="G100" s="663">
        <f t="shared" si="23"/>
        <v>100</v>
      </c>
      <c r="H100" s="663">
        <f t="shared" si="23"/>
        <v>100</v>
      </c>
      <c r="I100" s="663">
        <f t="shared" si="23"/>
        <v>100</v>
      </c>
      <c r="J100" s="663">
        <f t="shared" si="23"/>
        <v>100</v>
      </c>
      <c r="K100" s="663">
        <f t="shared" si="23"/>
        <v>100</v>
      </c>
      <c r="L100" s="663">
        <f t="shared" si="23"/>
        <v>100</v>
      </c>
      <c r="M100" s="663">
        <f t="shared" si="23"/>
        <v>100</v>
      </c>
      <c r="N100" s="3215"/>
      <c r="O100" s="2033"/>
      <c r="P100" s="2032"/>
      <c r="Q100" s="2025"/>
      <c r="R100" s="2013"/>
      <c r="S100" s="2013"/>
      <c r="T100" s="2013"/>
      <c r="U100" s="2013"/>
      <c r="V100" s="2013"/>
      <c r="W100" s="2013"/>
      <c r="X100" s="2013"/>
      <c r="Y100" s="2013"/>
      <c r="Z100" s="2013"/>
      <c r="AA100" s="2013"/>
      <c r="AB100" s="2013"/>
      <c r="AC100" s="2013"/>
    </row>
    <row r="101" spans="1:29" ht="15.75" thickTop="1">
      <c r="A101" s="653"/>
      <c r="B101" s="657" t="s">
        <v>543</v>
      </c>
      <c r="C101" s="702"/>
      <c r="D101" s="702"/>
      <c r="E101" s="702"/>
      <c r="F101" s="702"/>
      <c r="G101" s="702"/>
      <c r="H101" s="702"/>
      <c r="I101" s="702"/>
      <c r="J101" s="702"/>
      <c r="K101" s="703"/>
      <c r="L101" s="704"/>
      <c r="M101" s="705"/>
      <c r="N101" s="3214"/>
      <c r="O101" s="2031"/>
      <c r="P101" s="2032"/>
      <c r="Q101" s="2025"/>
      <c r="R101" s="2013"/>
      <c r="S101" s="2013"/>
      <c r="T101" s="2013"/>
      <c r="U101" s="2013"/>
      <c r="V101" s="2013"/>
      <c r="W101" s="2013"/>
      <c r="X101" s="2013"/>
      <c r="Y101" s="2013"/>
      <c r="Z101" s="2013"/>
      <c r="AA101" s="2013"/>
      <c r="AB101" s="2013"/>
      <c r="AC101" s="2013"/>
    </row>
    <row r="102" spans="1:29" ht="15.75" thickBot="1">
      <c r="A102" s="653"/>
      <c r="B102" s="662"/>
      <c r="C102" s="663">
        <v>100</v>
      </c>
      <c r="D102" s="663">
        <f t="shared" ref="D102:M102" si="24">C102-$K32</f>
        <v>100</v>
      </c>
      <c r="E102" s="663">
        <f t="shared" si="24"/>
        <v>100</v>
      </c>
      <c r="F102" s="663">
        <f t="shared" si="24"/>
        <v>100</v>
      </c>
      <c r="G102" s="663">
        <f t="shared" si="24"/>
        <v>100</v>
      </c>
      <c r="H102" s="663">
        <f t="shared" si="24"/>
        <v>100</v>
      </c>
      <c r="I102" s="663">
        <f t="shared" si="24"/>
        <v>100</v>
      </c>
      <c r="J102" s="663">
        <f t="shared" si="24"/>
        <v>100</v>
      </c>
      <c r="K102" s="663">
        <f t="shared" si="24"/>
        <v>100</v>
      </c>
      <c r="L102" s="663">
        <f t="shared" si="24"/>
        <v>100</v>
      </c>
      <c r="M102" s="663">
        <f t="shared" si="24"/>
        <v>100</v>
      </c>
      <c r="N102" s="3215"/>
      <c r="O102" s="2033"/>
      <c r="P102" s="2032"/>
      <c r="Q102" s="2025"/>
      <c r="R102" s="2013"/>
      <c r="S102" s="2013"/>
      <c r="T102" s="2013"/>
      <c r="U102" s="2013"/>
      <c r="V102" s="2013"/>
      <c r="W102" s="2013"/>
      <c r="X102" s="2013"/>
      <c r="Y102" s="2013"/>
      <c r="Z102" s="2013"/>
      <c r="AA102" s="2013"/>
      <c r="AB102" s="2013"/>
      <c r="AC102" s="2013"/>
    </row>
    <row r="103" spans="1:29" ht="15.75" thickTop="1">
      <c r="A103" s="653"/>
      <c r="B103" s="665">
        <f>B33</f>
        <v>111</v>
      </c>
      <c r="C103" s="672"/>
      <c r="D103" s="672"/>
      <c r="E103" s="672"/>
      <c r="F103" s="672"/>
      <c r="G103" s="706"/>
      <c r="H103" s="706"/>
      <c r="I103" s="706"/>
      <c r="J103" s="706"/>
      <c r="K103" s="707"/>
      <c r="L103" s="708"/>
      <c r="M103" s="709"/>
      <c r="N103" s="3214"/>
      <c r="O103" s="2031"/>
      <c r="P103" s="2032"/>
      <c r="Q103" s="2025"/>
      <c r="R103" s="2013"/>
      <c r="S103" s="2013"/>
      <c r="T103" s="2013"/>
      <c r="U103" s="2013"/>
      <c r="V103" s="2013"/>
      <c r="W103" s="2013"/>
      <c r="X103" s="2013"/>
      <c r="Y103" s="2013"/>
      <c r="Z103" s="2013"/>
      <c r="AA103" s="2013"/>
      <c r="AB103" s="2013"/>
      <c r="AC103" s="2013"/>
    </row>
    <row r="104" spans="1:29" ht="15.75" thickBot="1">
      <c r="A104" s="653"/>
      <c r="B104" s="683"/>
      <c r="C104" s="676"/>
      <c r="D104" s="655"/>
      <c r="E104" s="655"/>
      <c r="F104" s="655"/>
      <c r="G104" s="710"/>
      <c r="H104" s="710"/>
      <c r="I104" s="710"/>
      <c r="J104" s="710"/>
      <c r="K104" s="710"/>
      <c r="L104" s="710"/>
      <c r="M104" s="711"/>
      <c r="N104" s="3215"/>
      <c r="O104" s="2033"/>
      <c r="P104" s="2032"/>
      <c r="Q104" s="2025"/>
      <c r="R104" s="2013"/>
      <c r="S104" s="2013"/>
      <c r="T104" s="2013"/>
      <c r="U104" s="2013"/>
      <c r="V104" s="2013"/>
      <c r="W104" s="2013"/>
      <c r="X104" s="2013"/>
      <c r="Y104" s="2013"/>
      <c r="Z104" s="2013"/>
      <c r="AA104" s="2013"/>
      <c r="AB104" s="2013"/>
      <c r="AC104" s="2013"/>
    </row>
    <row r="105" spans="1:29" ht="15" thickTop="1">
      <c r="A105" s="573"/>
      <c r="B105" s="657">
        <f>B34</f>
        <v>111</v>
      </c>
      <c r="C105" s="672"/>
      <c r="D105" s="672"/>
      <c r="E105" s="672"/>
      <c r="F105" s="672"/>
      <c r="G105" s="702"/>
      <c r="H105" s="702"/>
      <c r="I105" s="702"/>
      <c r="J105" s="702"/>
      <c r="K105" s="703"/>
      <c r="L105" s="704"/>
      <c r="M105" s="705"/>
      <c r="N105" s="3214"/>
      <c r="O105" s="2031"/>
      <c r="P105" s="2032"/>
      <c r="Q105" s="2025"/>
      <c r="R105" s="2013"/>
      <c r="S105" s="2013"/>
      <c r="T105" s="2013"/>
      <c r="U105" s="2013"/>
      <c r="V105" s="2013"/>
      <c r="W105" s="2013"/>
      <c r="X105" s="2013"/>
      <c r="Y105" s="2013"/>
      <c r="Z105" s="2013"/>
      <c r="AA105" s="2013"/>
      <c r="AB105" s="2013"/>
      <c r="AC105" s="2013"/>
    </row>
    <row r="106" spans="1:29" ht="15.75" thickBot="1">
      <c r="A106" s="653"/>
      <c r="B106" s="662"/>
      <c r="C106" s="676"/>
      <c r="D106" s="676"/>
      <c r="E106" s="676"/>
      <c r="F106" s="676"/>
      <c r="G106" s="655"/>
      <c r="H106" s="655"/>
      <c r="I106" s="655"/>
      <c r="J106" s="655"/>
      <c r="K106" s="655"/>
      <c r="L106" s="655"/>
      <c r="M106" s="656"/>
      <c r="N106" s="3215"/>
      <c r="O106" s="2033"/>
      <c r="P106" s="2032"/>
      <c r="Q106" s="2025"/>
      <c r="R106" s="2013"/>
      <c r="S106" s="2013"/>
      <c r="T106" s="2013"/>
      <c r="U106" s="2013"/>
      <c r="V106" s="2013"/>
      <c r="W106" s="2013"/>
      <c r="X106" s="2013"/>
      <c r="Y106" s="2013"/>
      <c r="Z106" s="2013"/>
      <c r="AA106" s="2013"/>
      <c r="AB106" s="2013"/>
      <c r="AC106" s="2013"/>
    </row>
    <row r="107" spans="1:29" s="1283" customFormat="1" ht="15" thickTop="1">
      <c r="A107" s="712"/>
      <c r="B107" s="713">
        <f>B35</f>
        <v>111</v>
      </c>
      <c r="C107" s="645"/>
      <c r="D107" s="645"/>
      <c r="E107" s="645"/>
      <c r="F107" s="645"/>
      <c r="G107" s="714"/>
      <c r="H107" s="714"/>
      <c r="I107" s="714"/>
      <c r="J107" s="715"/>
      <c r="K107" s="715"/>
      <c r="L107" s="716"/>
      <c r="M107" s="717"/>
      <c r="N107" s="3216"/>
      <c r="O107" s="2034"/>
      <c r="P107" s="2035"/>
      <c r="Q107" s="2036"/>
      <c r="R107" s="2037"/>
      <c r="S107" s="2037"/>
      <c r="T107" s="2037"/>
      <c r="U107" s="2037"/>
      <c r="V107" s="2037"/>
      <c r="W107" s="2037"/>
      <c r="X107" s="2037"/>
      <c r="Y107" s="2037"/>
      <c r="Z107" s="2037"/>
      <c r="AA107" s="2037"/>
      <c r="AB107" s="2037"/>
      <c r="AC107" s="2037"/>
    </row>
    <row r="108" spans="1:29" s="1283" customFormat="1" ht="15.75" thickBot="1">
      <c r="A108" s="671"/>
      <c r="B108" s="665"/>
      <c r="C108" s="684"/>
      <c r="D108" s="684"/>
      <c r="E108" s="684"/>
      <c r="F108" s="684"/>
      <c r="G108" s="578"/>
      <c r="H108" s="578"/>
      <c r="I108" s="578"/>
      <c r="J108" s="578"/>
      <c r="K108" s="578"/>
      <c r="L108" s="578"/>
      <c r="M108" s="718"/>
      <c r="N108" s="3215"/>
      <c r="O108" s="2033"/>
      <c r="P108" s="2035"/>
      <c r="Q108" s="2036"/>
      <c r="R108" s="2037"/>
      <c r="S108" s="2037"/>
      <c r="T108" s="2037"/>
      <c r="U108" s="2037"/>
      <c r="V108" s="2037"/>
      <c r="W108" s="2037"/>
      <c r="X108" s="2037"/>
      <c r="Y108" s="2037"/>
      <c r="Z108" s="2037"/>
      <c r="AA108" s="2037"/>
      <c r="AB108" s="2037"/>
      <c r="AC108" s="2037"/>
    </row>
    <row r="109" spans="1:29">
      <c r="A109" s="648" t="s">
        <v>545</v>
      </c>
      <c r="B109" s="649" t="s">
        <v>587</v>
      </c>
      <c r="C109" s="688" t="str">
        <f t="shared" ref="C109:L109" si="25">C110&amp;"(含)"&amp;"-"&amp;D110</f>
        <v>(含)-</v>
      </c>
      <c r="D109" s="688" t="str">
        <f t="shared" si="25"/>
        <v>(含)-</v>
      </c>
      <c r="E109" s="688" t="str">
        <f t="shared" si="25"/>
        <v>(含)-</v>
      </c>
      <c r="F109" s="688" t="str">
        <f t="shared" si="25"/>
        <v>(含)-</v>
      </c>
      <c r="G109" s="688" t="str">
        <f t="shared" si="25"/>
        <v>(含)-</v>
      </c>
      <c r="H109" s="688" t="str">
        <f t="shared" si="25"/>
        <v>(含)-</v>
      </c>
      <c r="I109" s="688" t="str">
        <f t="shared" si="25"/>
        <v>(含)-</v>
      </c>
      <c r="J109" s="688" t="str">
        <f t="shared" si="25"/>
        <v>(含)-</v>
      </c>
      <c r="K109" s="2765" t="str">
        <f t="shared" si="25"/>
        <v>(含)-</v>
      </c>
      <c r="L109" s="2766" t="str">
        <f t="shared" si="25"/>
        <v>(含)-</v>
      </c>
      <c r="M109" s="2767" t="str">
        <f>M110&amp;"(含)"&amp;"-"&amp;P110</f>
        <v>(含)-</v>
      </c>
      <c r="N109" s="3214"/>
      <c r="O109" s="2031"/>
      <c r="P109" s="2032"/>
      <c r="Q109" s="2025"/>
      <c r="R109" s="2013"/>
      <c r="S109" s="2013"/>
      <c r="T109" s="2013"/>
      <c r="U109" s="2013"/>
      <c r="V109" s="2013"/>
      <c r="W109" s="2013"/>
      <c r="X109" s="2013"/>
      <c r="Y109" s="2013"/>
      <c r="Z109" s="2013"/>
      <c r="AA109" s="2013"/>
      <c r="AB109" s="2013"/>
      <c r="AC109" s="2013"/>
    </row>
    <row r="110" spans="1:29" ht="15">
      <c r="A110" s="653"/>
      <c r="B110" s="665"/>
      <c r="C110" s="714"/>
      <c r="D110" s="714"/>
      <c r="E110" s="714"/>
      <c r="F110" s="714"/>
      <c r="G110" s="714"/>
      <c r="H110" s="714"/>
      <c r="I110" s="714"/>
      <c r="J110" s="715"/>
      <c r="K110" s="715"/>
      <c r="L110" s="716"/>
      <c r="M110" s="717"/>
      <c r="N110" s="3214"/>
      <c r="O110" s="2031"/>
      <c r="P110" s="2032"/>
      <c r="Q110" s="2025"/>
      <c r="R110" s="2013"/>
      <c r="S110" s="2013"/>
      <c r="T110" s="2013"/>
      <c r="U110" s="2013"/>
      <c r="V110" s="2013"/>
      <c r="W110" s="2013"/>
      <c r="X110" s="2013"/>
      <c r="Y110" s="2013"/>
      <c r="Z110" s="2013"/>
      <c r="AA110" s="2013"/>
      <c r="AB110" s="2013"/>
      <c r="AC110" s="2013"/>
    </row>
    <row r="111" spans="1:29" ht="15.75" thickBot="1">
      <c r="A111" s="653"/>
      <c r="B111" s="662"/>
      <c r="C111" s="684"/>
      <c r="D111" s="710"/>
      <c r="E111" s="710"/>
      <c r="F111" s="710"/>
      <c r="G111" s="710"/>
      <c r="H111" s="710"/>
      <c r="I111" s="710"/>
      <c r="J111" s="710"/>
      <c r="K111" s="710"/>
      <c r="L111" s="710"/>
      <c r="M111" s="711"/>
      <c r="N111" s="3215"/>
      <c r="O111" s="2033"/>
      <c r="P111" s="2032"/>
      <c r="Q111" s="2025"/>
      <c r="R111" s="2013"/>
      <c r="S111" s="2013"/>
      <c r="T111" s="2013"/>
      <c r="U111" s="2013"/>
      <c r="V111" s="2013"/>
      <c r="W111" s="2013"/>
      <c r="X111" s="2013"/>
      <c r="Y111" s="2013"/>
      <c r="Z111" s="2013"/>
      <c r="AA111" s="2013"/>
      <c r="AB111" s="2013"/>
      <c r="AC111" s="2013"/>
    </row>
    <row r="112" spans="1:29" ht="15" thickTop="1">
      <c r="A112" s="719"/>
      <c r="B112" s="657" t="s">
        <v>588</v>
      </c>
      <c r="C112" s="702"/>
      <c r="D112" s="702"/>
      <c r="E112" s="702"/>
      <c r="F112" s="702"/>
      <c r="G112" s="702"/>
      <c r="H112" s="702"/>
      <c r="I112" s="702"/>
      <c r="J112" s="702"/>
      <c r="K112" s="703"/>
      <c r="L112" s="704"/>
      <c r="M112" s="705"/>
      <c r="N112" s="3214"/>
      <c r="O112" s="2031"/>
      <c r="P112" s="2032"/>
      <c r="Q112" s="2025"/>
      <c r="R112" s="2013"/>
      <c r="S112" s="2013"/>
      <c r="T112" s="2013"/>
      <c r="U112" s="2013"/>
      <c r="V112" s="2013"/>
      <c r="W112" s="2013"/>
      <c r="X112" s="2013"/>
      <c r="Y112" s="2013"/>
      <c r="Z112" s="2013"/>
      <c r="AA112" s="2013"/>
      <c r="AB112" s="2013"/>
      <c r="AC112" s="2013"/>
    </row>
    <row r="113" spans="1:29" ht="15.75" thickBot="1">
      <c r="A113" s="653"/>
      <c r="B113" s="662"/>
      <c r="C113" s="663">
        <v>100</v>
      </c>
      <c r="D113" s="663">
        <f t="shared" ref="D113:M113" si="26">C113-$K37</f>
        <v>100</v>
      </c>
      <c r="E113" s="663">
        <f t="shared" si="26"/>
        <v>100</v>
      </c>
      <c r="F113" s="663">
        <f t="shared" si="26"/>
        <v>100</v>
      </c>
      <c r="G113" s="663">
        <f t="shared" si="26"/>
        <v>100</v>
      </c>
      <c r="H113" s="663">
        <f t="shared" si="26"/>
        <v>100</v>
      </c>
      <c r="I113" s="663">
        <f t="shared" si="26"/>
        <v>100</v>
      </c>
      <c r="J113" s="663">
        <f t="shared" si="26"/>
        <v>100</v>
      </c>
      <c r="K113" s="663">
        <f t="shared" si="26"/>
        <v>100</v>
      </c>
      <c r="L113" s="663">
        <f t="shared" si="26"/>
        <v>100</v>
      </c>
      <c r="M113" s="664">
        <f t="shared" si="26"/>
        <v>100</v>
      </c>
      <c r="N113" s="3215"/>
      <c r="O113" s="2033"/>
      <c r="P113" s="2032"/>
      <c r="Q113" s="2025"/>
      <c r="R113" s="2013"/>
      <c r="S113" s="2013"/>
      <c r="T113" s="2013"/>
      <c r="U113" s="2013"/>
      <c r="V113" s="2013"/>
      <c r="W113" s="2013"/>
      <c r="X113" s="2013"/>
      <c r="Y113" s="2013"/>
      <c r="Z113" s="2013"/>
      <c r="AA113" s="2013"/>
      <c r="AB113" s="2013"/>
      <c r="AC113" s="2013"/>
    </row>
    <row r="114" spans="1:29" s="1283" customFormat="1" ht="15" thickTop="1">
      <c r="A114" s="712"/>
      <c r="B114" s="1796" t="s">
        <v>2404</v>
      </c>
      <c r="C114" s="1315"/>
      <c r="D114" s="1315"/>
      <c r="E114" s="1315"/>
      <c r="F114" s="1315"/>
      <c r="G114" s="1315"/>
      <c r="H114" s="702"/>
      <c r="I114" s="702"/>
      <c r="J114" s="702"/>
      <c r="K114" s="703"/>
      <c r="L114" s="704"/>
      <c r="M114" s="705"/>
      <c r="N114" s="3216"/>
      <c r="O114" s="2034"/>
      <c r="P114" s="2035"/>
      <c r="Q114" s="2036"/>
      <c r="R114" s="2037"/>
      <c r="S114" s="2037"/>
      <c r="T114" s="2037"/>
      <c r="U114" s="2037"/>
      <c r="V114" s="2037"/>
      <c r="W114" s="2037"/>
      <c r="X114" s="2037"/>
      <c r="Y114" s="2037"/>
      <c r="Z114" s="2037"/>
      <c r="AA114" s="2037"/>
      <c r="AB114" s="2037"/>
      <c r="AC114" s="2037"/>
    </row>
    <row r="115" spans="1:29" s="1283" customFormat="1" ht="15.75" thickBot="1">
      <c r="A115" s="671"/>
      <c r="B115" s="662"/>
      <c r="C115" s="663">
        <v>100</v>
      </c>
      <c r="D115" s="663">
        <f t="shared" ref="D115:M115" si="27">C115-$K38</f>
        <v>100</v>
      </c>
      <c r="E115" s="663">
        <f t="shared" si="27"/>
        <v>100</v>
      </c>
      <c r="F115" s="663">
        <f t="shared" si="27"/>
        <v>100</v>
      </c>
      <c r="G115" s="663">
        <f t="shared" si="27"/>
        <v>100</v>
      </c>
      <c r="H115" s="663">
        <f t="shared" si="27"/>
        <v>100</v>
      </c>
      <c r="I115" s="663">
        <f t="shared" si="27"/>
        <v>100</v>
      </c>
      <c r="J115" s="663">
        <f t="shared" si="27"/>
        <v>100</v>
      </c>
      <c r="K115" s="663">
        <f t="shared" si="27"/>
        <v>100</v>
      </c>
      <c r="L115" s="663">
        <f t="shared" si="27"/>
        <v>100</v>
      </c>
      <c r="M115" s="664">
        <f t="shared" si="27"/>
        <v>100</v>
      </c>
      <c r="N115" s="3216"/>
      <c r="O115" s="2034"/>
      <c r="P115" s="2035"/>
      <c r="Q115" s="2036"/>
      <c r="R115" s="2037"/>
      <c r="S115" s="2037"/>
      <c r="T115" s="2037"/>
      <c r="U115" s="2037"/>
      <c r="V115" s="2037"/>
      <c r="W115" s="2037"/>
      <c r="X115" s="2037"/>
      <c r="Y115" s="2037"/>
      <c r="Z115" s="2037"/>
      <c r="AA115" s="2037"/>
      <c r="AB115" s="2037"/>
      <c r="AC115" s="2037"/>
    </row>
    <row r="116" spans="1:29" ht="15" thickTop="1">
      <c r="A116" s="719"/>
      <c r="B116" s="657" t="s">
        <v>590</v>
      </c>
      <c r="C116" s="672"/>
      <c r="D116" s="672"/>
      <c r="E116" s="702"/>
      <c r="F116" s="702"/>
      <c r="G116" s="702"/>
      <c r="H116" s="702"/>
      <c r="I116" s="702"/>
      <c r="J116" s="702"/>
      <c r="K116" s="703"/>
      <c r="L116" s="704"/>
      <c r="M116" s="705"/>
      <c r="N116" s="3214"/>
      <c r="O116" s="2031"/>
      <c r="P116" s="2032"/>
      <c r="Q116" s="2025"/>
      <c r="R116" s="2013"/>
      <c r="S116" s="2013"/>
      <c r="T116" s="2013"/>
      <c r="U116" s="2013"/>
      <c r="V116" s="2013"/>
      <c r="W116" s="2013"/>
      <c r="X116" s="2013"/>
      <c r="Y116" s="2013"/>
      <c r="Z116" s="2013"/>
      <c r="AA116" s="2013"/>
      <c r="AB116" s="2013"/>
      <c r="AC116" s="2013"/>
    </row>
    <row r="117" spans="1:29" ht="15.75" thickBot="1">
      <c r="A117" s="653"/>
      <c r="B117" s="662"/>
      <c r="C117" s="663">
        <v>100</v>
      </c>
      <c r="D117" s="663">
        <f t="shared" ref="D117:M117" si="28">C117-$K39</f>
        <v>100</v>
      </c>
      <c r="E117" s="663">
        <f t="shared" si="28"/>
        <v>100</v>
      </c>
      <c r="F117" s="663">
        <f t="shared" si="28"/>
        <v>100</v>
      </c>
      <c r="G117" s="663">
        <f t="shared" si="28"/>
        <v>100</v>
      </c>
      <c r="H117" s="663">
        <f t="shared" si="28"/>
        <v>100</v>
      </c>
      <c r="I117" s="663">
        <f t="shared" si="28"/>
        <v>100</v>
      </c>
      <c r="J117" s="663">
        <f t="shared" si="28"/>
        <v>100</v>
      </c>
      <c r="K117" s="663">
        <f t="shared" si="28"/>
        <v>100</v>
      </c>
      <c r="L117" s="663">
        <f t="shared" si="28"/>
        <v>100</v>
      </c>
      <c r="M117" s="664">
        <f t="shared" si="28"/>
        <v>100</v>
      </c>
      <c r="N117" s="3215"/>
      <c r="O117" s="2033"/>
      <c r="P117" s="2032"/>
      <c r="Q117" s="2025"/>
      <c r="R117" s="2013"/>
      <c r="S117" s="2013"/>
      <c r="T117" s="2013"/>
      <c r="U117" s="2013"/>
      <c r="V117" s="2013"/>
      <c r="W117" s="2013"/>
      <c r="X117" s="2013"/>
      <c r="Y117" s="2013"/>
      <c r="Z117" s="2013"/>
      <c r="AA117" s="2013"/>
      <c r="AB117" s="2013"/>
      <c r="AC117" s="2013"/>
    </row>
    <row r="118" spans="1:29" ht="15" thickTop="1">
      <c r="A118" s="719"/>
      <c r="B118" s="657">
        <f>B40</f>
        <v>111</v>
      </c>
      <c r="C118" s="672"/>
      <c r="D118" s="672"/>
      <c r="E118" s="672"/>
      <c r="F118" s="672"/>
      <c r="G118" s="672"/>
      <c r="H118" s="702"/>
      <c r="I118" s="702"/>
      <c r="J118" s="702"/>
      <c r="K118" s="703"/>
      <c r="L118" s="704"/>
      <c r="M118" s="705"/>
      <c r="N118" s="3214"/>
      <c r="O118" s="2031"/>
      <c r="P118" s="2032"/>
      <c r="Q118" s="2025"/>
      <c r="R118" s="2013"/>
      <c r="S118" s="2013"/>
      <c r="T118" s="2013"/>
      <c r="U118" s="2013"/>
      <c r="V118" s="2013"/>
      <c r="W118" s="2013"/>
      <c r="X118" s="2013"/>
      <c r="Y118" s="2013"/>
      <c r="Z118" s="2013"/>
      <c r="AA118" s="2013"/>
      <c r="AB118" s="2013"/>
      <c r="AC118" s="2013"/>
    </row>
    <row r="119" spans="1:29" ht="15.75" thickBot="1">
      <c r="A119" s="653"/>
      <c r="B119" s="662"/>
      <c r="C119" s="676"/>
      <c r="D119" s="655"/>
      <c r="E119" s="655"/>
      <c r="F119" s="655"/>
      <c r="G119" s="655"/>
      <c r="H119" s="655"/>
      <c r="I119" s="655"/>
      <c r="J119" s="655"/>
      <c r="K119" s="655"/>
      <c r="L119" s="655"/>
      <c r="M119" s="656"/>
      <c r="N119" s="3215"/>
      <c r="O119" s="2033"/>
      <c r="P119" s="2032"/>
      <c r="Q119" s="2025"/>
      <c r="R119" s="2013"/>
      <c r="S119" s="2013"/>
      <c r="T119" s="2013"/>
      <c r="U119" s="2013"/>
      <c r="V119" s="2013"/>
      <c r="W119" s="2013"/>
      <c r="X119" s="2013"/>
      <c r="Y119" s="2013"/>
      <c r="Z119" s="2013"/>
      <c r="AA119" s="2013"/>
      <c r="AB119" s="2013"/>
      <c r="AC119" s="2013"/>
    </row>
    <row r="120" spans="1:29" ht="15" thickTop="1">
      <c r="A120" s="719"/>
      <c r="B120" s="657">
        <f>B41</f>
        <v>111</v>
      </c>
      <c r="C120" s="672"/>
      <c r="D120" s="672"/>
      <c r="E120" s="672"/>
      <c r="F120" s="672"/>
      <c r="G120" s="702"/>
      <c r="H120" s="702"/>
      <c r="I120" s="702"/>
      <c r="J120" s="702"/>
      <c r="K120" s="703"/>
      <c r="L120" s="704"/>
      <c r="M120" s="705"/>
      <c r="N120" s="3214"/>
      <c r="O120" s="2031"/>
      <c r="P120" s="2032"/>
      <c r="Q120" s="2025"/>
      <c r="R120" s="2013"/>
      <c r="S120" s="2013"/>
      <c r="T120" s="2013"/>
      <c r="U120" s="2013"/>
      <c r="V120" s="2013"/>
      <c r="W120" s="2013"/>
      <c r="X120" s="2013"/>
      <c r="Y120" s="2013"/>
      <c r="Z120" s="2013"/>
      <c r="AA120" s="2013"/>
      <c r="AB120" s="2013"/>
      <c r="AC120" s="2013"/>
    </row>
    <row r="121" spans="1:29" ht="15.75" thickBot="1">
      <c r="A121" s="653"/>
      <c r="B121" s="662"/>
      <c r="C121" s="676"/>
      <c r="D121" s="676"/>
      <c r="E121" s="676"/>
      <c r="F121" s="676"/>
      <c r="G121" s="655"/>
      <c r="H121" s="655"/>
      <c r="I121" s="655"/>
      <c r="J121" s="655"/>
      <c r="K121" s="655"/>
      <c r="L121" s="655"/>
      <c r="M121" s="656"/>
      <c r="N121" s="3215"/>
      <c r="O121" s="2033"/>
      <c r="P121" s="2032"/>
      <c r="Q121" s="2025"/>
      <c r="R121" s="2013"/>
      <c r="S121" s="2013"/>
      <c r="T121" s="2013"/>
      <c r="U121" s="2013"/>
      <c r="V121" s="2013"/>
      <c r="W121" s="2013"/>
      <c r="X121" s="2013"/>
      <c r="Y121" s="2013"/>
      <c r="Z121" s="2013"/>
      <c r="AA121" s="2013"/>
      <c r="AB121" s="2013"/>
      <c r="AC121" s="2013"/>
    </row>
    <row r="122" spans="1:29" s="1283" customFormat="1" ht="15" thickTop="1">
      <c r="A122" s="712"/>
      <c r="B122" s="657">
        <f>B42</f>
        <v>111</v>
      </c>
      <c r="C122" s="645"/>
      <c r="D122" s="645"/>
      <c r="E122" s="645"/>
      <c r="F122" s="645"/>
      <c r="G122" s="673"/>
      <c r="H122" s="673"/>
      <c r="I122" s="673"/>
      <c r="J122" s="673"/>
      <c r="K122" s="673"/>
      <c r="L122" s="674"/>
      <c r="M122" s="675"/>
      <c r="N122" s="3216"/>
      <c r="O122" s="2034"/>
      <c r="P122" s="2035"/>
      <c r="Q122" s="2036"/>
      <c r="R122" s="2037"/>
      <c r="S122" s="2037"/>
      <c r="T122" s="2037"/>
      <c r="U122" s="2037"/>
      <c r="V122" s="2037"/>
      <c r="W122" s="2037"/>
      <c r="X122" s="2037"/>
      <c r="Y122" s="2037"/>
      <c r="Z122" s="2037"/>
      <c r="AA122" s="2037"/>
      <c r="AB122" s="2037"/>
      <c r="AC122" s="2037"/>
    </row>
    <row r="123" spans="1:29" s="1283" customFormat="1" ht="15.75" thickBot="1">
      <c r="A123" s="682"/>
      <c r="B123" s="720"/>
      <c r="C123" s="684"/>
      <c r="D123" s="684"/>
      <c r="E123" s="684"/>
      <c r="F123" s="684"/>
      <c r="G123" s="710"/>
      <c r="H123" s="710"/>
      <c r="I123" s="710"/>
      <c r="J123" s="710"/>
      <c r="K123" s="710"/>
      <c r="L123" s="710"/>
      <c r="M123" s="711"/>
      <c r="N123" s="3216"/>
      <c r="O123" s="2034"/>
      <c r="P123" s="2035"/>
      <c r="Q123" s="2036"/>
      <c r="R123" s="2037"/>
      <c r="S123" s="2037"/>
      <c r="T123" s="2037"/>
      <c r="U123" s="2037"/>
      <c r="V123" s="2037"/>
      <c r="W123" s="2037"/>
      <c r="X123" s="2037"/>
      <c r="Y123" s="2037"/>
      <c r="Z123" s="2037"/>
      <c r="AA123" s="2037"/>
      <c r="AB123" s="2037"/>
      <c r="AC123" s="2037"/>
    </row>
    <row r="124" spans="1:29">
      <c r="A124" s="2046"/>
      <c r="B124" s="2046"/>
      <c r="C124" s="2046"/>
      <c r="D124" s="2046"/>
      <c r="E124" s="2046"/>
      <c r="F124" s="2046"/>
      <c r="G124" s="2046"/>
      <c r="H124" s="2046"/>
      <c r="I124" s="2046"/>
      <c r="J124" s="2046"/>
      <c r="K124" s="2047"/>
      <c r="L124" s="2048"/>
      <c r="M124" s="2046"/>
      <c r="N124" s="2046"/>
      <c r="O124" s="2046"/>
      <c r="P124" s="2046"/>
      <c r="Q124" s="2046"/>
      <c r="R124" s="2046"/>
      <c r="S124" s="2046"/>
      <c r="T124" s="2046"/>
      <c r="U124" s="2046"/>
      <c r="V124" s="2046"/>
      <c r="W124" s="2046"/>
      <c r="X124" s="2046"/>
      <c r="Y124" s="2046"/>
      <c r="Z124" s="2046"/>
      <c r="AA124" s="2046"/>
      <c r="AB124" s="2046"/>
      <c r="AC124" s="2046"/>
    </row>
    <row r="125" spans="1:29">
      <c r="A125" s="2046"/>
      <c r="B125" s="2046"/>
      <c r="C125" s="2046"/>
      <c r="D125" s="2046"/>
      <c r="E125" s="2046"/>
      <c r="F125" s="2046"/>
      <c r="G125" s="2046"/>
      <c r="H125" s="2046"/>
      <c r="I125" s="2046"/>
      <c r="J125" s="2046"/>
      <c r="K125" s="2047"/>
      <c r="L125" s="2048"/>
      <c r="M125" s="2046"/>
      <c r="N125" s="2046"/>
      <c r="O125" s="2046"/>
      <c r="P125" s="2046"/>
      <c r="Q125" s="2046"/>
      <c r="R125" s="2046"/>
      <c r="S125" s="2046"/>
      <c r="T125" s="2046"/>
      <c r="U125" s="2046"/>
      <c r="V125" s="2046"/>
      <c r="W125" s="2046"/>
      <c r="X125" s="2046"/>
      <c r="Y125" s="2046"/>
      <c r="Z125" s="2046"/>
      <c r="AA125" s="2046"/>
      <c r="AB125" s="2046"/>
      <c r="AC125" s="2046"/>
    </row>
    <row r="126" spans="1:29">
      <c r="A126" s="2046"/>
      <c r="B126" s="2046"/>
      <c r="C126" s="2046"/>
      <c r="D126" s="2046"/>
      <c r="E126" s="2046"/>
      <c r="F126" s="2046"/>
      <c r="G126" s="2046"/>
      <c r="H126" s="2046"/>
      <c r="I126" s="2046"/>
      <c r="J126" s="2046"/>
      <c r="K126" s="2047"/>
      <c r="L126" s="2048"/>
      <c r="M126" s="2046"/>
      <c r="N126" s="2046"/>
      <c r="O126" s="2046"/>
      <c r="P126" s="2046"/>
      <c r="Q126" s="2046"/>
      <c r="R126" s="2046"/>
      <c r="S126" s="2046"/>
      <c r="T126" s="2046"/>
      <c r="U126" s="2046"/>
      <c r="V126" s="2046"/>
      <c r="W126" s="2046"/>
      <c r="X126" s="2046"/>
      <c r="Y126" s="2046"/>
      <c r="Z126" s="2046"/>
      <c r="AA126" s="2046"/>
      <c r="AB126" s="2046"/>
      <c r="AC126" s="2046"/>
    </row>
    <row r="127" spans="1:29">
      <c r="A127" s="2046"/>
      <c r="B127" s="2046"/>
      <c r="C127" s="2046"/>
      <c r="D127" s="2046"/>
      <c r="E127" s="2046"/>
      <c r="F127" s="2046"/>
      <c r="G127" s="2046"/>
      <c r="H127" s="2046"/>
      <c r="I127" s="2046"/>
      <c r="J127" s="2046"/>
      <c r="K127" s="2047"/>
      <c r="L127" s="2048"/>
      <c r="M127" s="2046"/>
      <c r="N127" s="2046"/>
      <c r="O127" s="2046"/>
      <c r="P127" s="2046"/>
      <c r="Q127" s="2046"/>
      <c r="R127" s="2046"/>
      <c r="S127" s="2046"/>
      <c r="T127" s="2046"/>
      <c r="U127" s="2046"/>
      <c r="V127" s="2046"/>
      <c r="W127" s="2046"/>
      <c r="X127" s="2046"/>
      <c r="Y127" s="2046"/>
      <c r="Z127" s="2046"/>
      <c r="AA127" s="2046"/>
      <c r="AB127" s="2046"/>
      <c r="AC127" s="2046"/>
    </row>
    <row r="128" spans="1:29">
      <c r="A128" s="2046"/>
      <c r="B128" s="2046"/>
      <c r="C128" s="2046"/>
      <c r="D128" s="2046"/>
      <c r="E128" s="2046"/>
      <c r="F128" s="2046"/>
      <c r="G128" s="2046"/>
      <c r="H128" s="2046"/>
      <c r="I128" s="2046"/>
      <c r="J128" s="2046"/>
      <c r="K128" s="2047"/>
      <c r="L128" s="2048"/>
      <c r="M128" s="2046"/>
      <c r="N128" s="2046"/>
      <c r="O128" s="2046"/>
      <c r="P128" s="2046"/>
      <c r="Q128" s="2046"/>
      <c r="R128" s="2046"/>
      <c r="S128" s="2046"/>
      <c r="T128" s="2046"/>
      <c r="U128" s="2046"/>
      <c r="V128" s="2046"/>
      <c r="W128" s="2046"/>
      <c r="X128" s="2046"/>
      <c r="Y128" s="2046"/>
      <c r="Z128" s="2046"/>
      <c r="AA128" s="2046"/>
      <c r="AB128" s="2046"/>
      <c r="AC128" s="2046"/>
    </row>
    <row r="129" spans="1:29">
      <c r="A129" s="2046"/>
      <c r="B129" s="2046"/>
      <c r="C129" s="2046"/>
      <c r="D129" s="2046"/>
      <c r="E129" s="2046"/>
      <c r="F129" s="2046"/>
      <c r="G129" s="2046"/>
      <c r="H129" s="2046"/>
      <c r="I129" s="2046"/>
      <c r="J129" s="2046"/>
      <c r="K129" s="2047"/>
      <c r="L129" s="2048"/>
      <c r="M129" s="2046"/>
      <c r="N129" s="2046"/>
      <c r="O129" s="2046"/>
      <c r="P129" s="2046"/>
      <c r="Q129" s="2046"/>
      <c r="R129" s="2046"/>
      <c r="S129" s="2046"/>
      <c r="T129" s="2046"/>
      <c r="U129" s="2046"/>
      <c r="V129" s="2046"/>
      <c r="W129" s="2046"/>
      <c r="X129" s="2046"/>
      <c r="Y129" s="2046"/>
      <c r="Z129" s="2046"/>
      <c r="AA129" s="2046"/>
      <c r="AB129" s="2046"/>
      <c r="AC129" s="2046"/>
    </row>
    <row r="130" spans="1:29">
      <c r="A130" s="2046"/>
      <c r="B130" s="2046"/>
      <c r="C130" s="2046"/>
      <c r="D130" s="2046"/>
      <c r="E130" s="2046"/>
      <c r="F130" s="2046"/>
      <c r="G130" s="2046"/>
      <c r="H130" s="2046"/>
      <c r="I130" s="2046"/>
      <c r="J130" s="2046"/>
      <c r="K130" s="2047"/>
      <c r="L130" s="2048"/>
      <c r="M130" s="2046"/>
      <c r="N130" s="2046"/>
      <c r="O130" s="2046"/>
      <c r="P130" s="2046"/>
      <c r="Q130" s="2046"/>
      <c r="R130" s="2046"/>
      <c r="S130" s="2046"/>
      <c r="T130" s="2046"/>
      <c r="U130" s="2046"/>
      <c r="V130" s="2046"/>
      <c r="W130" s="2046"/>
      <c r="X130" s="2046"/>
      <c r="Y130" s="2046"/>
      <c r="Z130" s="2046"/>
      <c r="AA130" s="2046"/>
      <c r="AB130" s="2046"/>
      <c r="AC130" s="2046"/>
    </row>
    <row r="131" spans="1:29">
      <c r="A131" s="2046"/>
      <c r="B131" s="2046"/>
      <c r="C131" s="2046"/>
      <c r="D131" s="2046"/>
      <c r="E131" s="2046"/>
      <c r="F131" s="2046"/>
      <c r="G131" s="2046"/>
      <c r="H131" s="2046"/>
      <c r="I131" s="2046"/>
      <c r="J131" s="2046"/>
      <c r="K131" s="2047"/>
      <c r="L131" s="2048"/>
      <c r="M131" s="2046"/>
      <c r="N131" s="2046"/>
      <c r="O131" s="2046"/>
      <c r="P131" s="2046"/>
      <c r="Q131" s="2046"/>
      <c r="R131" s="2046"/>
      <c r="S131" s="2046"/>
      <c r="T131" s="2046"/>
      <c r="U131" s="2046"/>
      <c r="V131" s="2046"/>
      <c r="W131" s="2046"/>
      <c r="X131" s="2046"/>
      <c r="Y131" s="2046"/>
      <c r="Z131" s="2046"/>
      <c r="AA131" s="2046"/>
      <c r="AB131" s="2046"/>
      <c r="AC131" s="2046"/>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4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4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4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4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4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4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4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row r="236" spans="1:29">
      <c r="A236" s="2046"/>
      <c r="B236" s="2046"/>
      <c r="C236" s="2046"/>
      <c r="D236" s="2046"/>
      <c r="E236" s="2046"/>
      <c r="F236" s="2046"/>
      <c r="G236" s="2046"/>
      <c r="H236" s="2046"/>
      <c r="I236" s="2046"/>
      <c r="J236" s="2046"/>
      <c r="K236" s="2047"/>
      <c r="L236" s="2048"/>
      <c r="M236" s="2046"/>
      <c r="N236" s="2046"/>
      <c r="O236" s="2046"/>
      <c r="P236" s="2046"/>
      <c r="Q236" s="2046"/>
      <c r="R236" s="2046"/>
      <c r="S236" s="2046"/>
      <c r="T236" s="2046"/>
      <c r="U236" s="2046"/>
      <c r="V236" s="2046"/>
      <c r="W236" s="2046"/>
      <c r="X236" s="2046"/>
      <c r="Y236" s="2046"/>
      <c r="Z236" s="2046"/>
      <c r="AA236" s="2046"/>
      <c r="AB236" s="2046"/>
      <c r="AC236" s="2046"/>
    </row>
    <row r="237" spans="1:29">
      <c r="A237" s="2046"/>
      <c r="B237" s="2046"/>
      <c r="C237" s="2046"/>
      <c r="D237" s="2046"/>
      <c r="E237" s="2046"/>
      <c r="F237" s="2046"/>
      <c r="G237" s="2046"/>
      <c r="H237" s="2046"/>
      <c r="I237" s="2046"/>
      <c r="J237" s="2046"/>
      <c r="K237" s="2047"/>
      <c r="L237" s="2048"/>
      <c r="M237" s="2046"/>
      <c r="N237" s="2046"/>
      <c r="O237" s="2046"/>
      <c r="P237" s="2046"/>
      <c r="Q237" s="2046"/>
      <c r="R237" s="2046"/>
      <c r="S237" s="2046"/>
      <c r="T237" s="2046"/>
      <c r="U237" s="2046"/>
      <c r="V237" s="2046"/>
      <c r="W237" s="2046"/>
      <c r="X237" s="2046"/>
      <c r="Y237" s="2046"/>
      <c r="Z237" s="2046"/>
      <c r="AA237" s="2046"/>
      <c r="AB237" s="2046"/>
      <c r="AC237" s="2046"/>
    </row>
    <row r="238" spans="1:29">
      <c r="A238" s="2046"/>
      <c r="B238" s="2046"/>
      <c r="C238" s="2046"/>
      <c r="D238" s="2046"/>
      <c r="E238" s="2046"/>
      <c r="F238" s="2046"/>
      <c r="G238" s="2046"/>
      <c r="H238" s="2046"/>
      <c r="I238" s="2046"/>
      <c r="J238" s="2046"/>
      <c r="K238" s="2047"/>
      <c r="L238" s="2048"/>
      <c r="M238" s="2046"/>
      <c r="N238" s="2046"/>
      <c r="O238" s="2046"/>
      <c r="P238" s="2046"/>
      <c r="Q238" s="2046"/>
      <c r="R238" s="2046"/>
      <c r="S238" s="2046"/>
      <c r="T238" s="2046"/>
      <c r="U238" s="2046"/>
      <c r="V238" s="2046"/>
      <c r="W238" s="2046"/>
      <c r="X238" s="2046"/>
      <c r="Y238" s="2046"/>
      <c r="Z238" s="2046"/>
      <c r="AA238" s="2046"/>
      <c r="AB238" s="2046"/>
      <c r="AC238" s="2046"/>
    </row>
    <row r="239" spans="1:29">
      <c r="A239" s="2046"/>
      <c r="B239" s="2046"/>
      <c r="C239" s="2046"/>
      <c r="D239" s="2046"/>
      <c r="E239" s="2046"/>
      <c r="F239" s="2046"/>
      <c r="G239" s="2046"/>
      <c r="H239" s="2046"/>
      <c r="I239" s="2046"/>
      <c r="J239" s="2046"/>
      <c r="K239" s="2047"/>
      <c r="L239" s="2048"/>
      <c r="M239" s="2046"/>
      <c r="N239" s="2046"/>
      <c r="O239" s="2046"/>
      <c r="P239" s="2046"/>
      <c r="Q239" s="2046"/>
      <c r="R239" s="2046"/>
      <c r="S239" s="2046"/>
      <c r="T239" s="2046"/>
      <c r="U239" s="2046"/>
      <c r="V239" s="2046"/>
      <c r="W239" s="2046"/>
      <c r="X239" s="2046"/>
      <c r="Y239" s="2046"/>
      <c r="Z239" s="2046"/>
      <c r="AA239" s="2046"/>
      <c r="AB239" s="2046"/>
      <c r="AC239" s="2046"/>
    </row>
    <row r="240" spans="1:29">
      <c r="A240" s="2046"/>
      <c r="B240" s="2046"/>
      <c r="C240" s="2046"/>
      <c r="D240" s="2046"/>
      <c r="E240" s="2046"/>
      <c r="F240" s="2046"/>
      <c r="G240" s="2046"/>
      <c r="H240" s="2046"/>
      <c r="I240" s="2046"/>
      <c r="J240" s="2046"/>
      <c r="K240" s="2047"/>
      <c r="L240" s="2048"/>
      <c r="M240" s="2046"/>
      <c r="N240" s="2046"/>
      <c r="O240" s="2046"/>
      <c r="P240" s="2046"/>
      <c r="Q240" s="2046"/>
      <c r="R240" s="2046"/>
      <c r="S240" s="2046"/>
      <c r="T240" s="2046"/>
      <c r="U240" s="2046"/>
      <c r="V240" s="2046"/>
      <c r="W240" s="2046"/>
      <c r="X240" s="2046"/>
      <c r="Y240" s="2046"/>
      <c r="Z240" s="2046"/>
      <c r="AA240" s="2046"/>
      <c r="AB240" s="2046"/>
      <c r="AC240" s="2046"/>
    </row>
    <row r="241" spans="1:29">
      <c r="A241" s="2046"/>
      <c r="B241" s="2046"/>
      <c r="C241" s="2046"/>
      <c r="D241" s="2046"/>
      <c r="E241" s="2046"/>
      <c r="F241" s="2046"/>
      <c r="G241" s="2046"/>
      <c r="H241" s="2046"/>
      <c r="I241" s="2046"/>
      <c r="J241" s="2046"/>
      <c r="K241" s="2047"/>
      <c r="L241" s="2048"/>
      <c r="M241" s="2046"/>
      <c r="N241" s="2046"/>
      <c r="O241" s="2046"/>
      <c r="P241" s="2046"/>
      <c r="Q241" s="2046"/>
      <c r="R241" s="2046"/>
      <c r="S241" s="2046"/>
      <c r="T241" s="2046"/>
      <c r="U241" s="2046"/>
      <c r="V241" s="2046"/>
      <c r="W241" s="2046"/>
      <c r="X241" s="2046"/>
      <c r="Y241" s="2046"/>
      <c r="Z241" s="2046"/>
      <c r="AA241" s="2046"/>
      <c r="AB241" s="2046"/>
      <c r="AC241" s="2046"/>
    </row>
    <row r="242" spans="1:29">
      <c r="A242" s="2046"/>
      <c r="B242" s="2046"/>
      <c r="C242" s="2046"/>
      <c r="D242" s="2046"/>
      <c r="E242" s="2046"/>
      <c r="F242" s="2046"/>
      <c r="G242" s="2046"/>
      <c r="H242" s="2046"/>
      <c r="I242" s="2046"/>
      <c r="J242" s="2046"/>
      <c r="K242" s="2047"/>
      <c r="L242" s="2048"/>
      <c r="M242" s="2046"/>
      <c r="N242" s="2046"/>
      <c r="O242" s="2046"/>
      <c r="P242" s="2046"/>
      <c r="Q242" s="2046"/>
      <c r="R242" s="2046"/>
      <c r="S242" s="2046"/>
      <c r="T242" s="2046"/>
      <c r="U242" s="2046"/>
      <c r="V242" s="2046"/>
      <c r="W242" s="2046"/>
      <c r="X242" s="2046"/>
      <c r="Y242" s="2046"/>
      <c r="Z242" s="2046"/>
      <c r="AA242" s="2046"/>
      <c r="AB242" s="2046"/>
      <c r="AC242" s="2046"/>
    </row>
    <row r="243" spans="1:29">
      <c r="A243" s="2046"/>
      <c r="B243" s="2046"/>
      <c r="C243" s="2046"/>
      <c r="D243" s="2046"/>
      <c r="E243" s="2046"/>
      <c r="F243" s="2046"/>
      <c r="G243" s="2046"/>
      <c r="H243" s="2046"/>
      <c r="I243" s="2046"/>
      <c r="J243" s="2046"/>
      <c r="K243" s="2047"/>
      <c r="L243" s="2048"/>
      <c r="M243" s="2046"/>
      <c r="N243" s="2046"/>
      <c r="O243" s="2046"/>
      <c r="P243" s="2046"/>
      <c r="Q243" s="2046"/>
      <c r="R243" s="2046"/>
      <c r="S243" s="2046"/>
      <c r="T243" s="2046"/>
      <c r="U243" s="2046"/>
      <c r="V243" s="2046"/>
      <c r="W243" s="2046"/>
      <c r="X243" s="2046"/>
      <c r="Y243" s="2046"/>
      <c r="Z243" s="2046"/>
      <c r="AA243" s="2046"/>
      <c r="AB243" s="2046"/>
      <c r="AC243" s="2046"/>
    </row>
    <row r="244" spans="1:29">
      <c r="A244" s="2046"/>
      <c r="B244" s="2046"/>
      <c r="C244" s="2046"/>
      <c r="D244" s="2046"/>
      <c r="E244" s="2046"/>
      <c r="F244" s="2046"/>
      <c r="G244" s="2046"/>
      <c r="H244" s="2046"/>
      <c r="I244" s="2046"/>
      <c r="J244" s="2046"/>
      <c r="K244" s="2047"/>
      <c r="L244" s="2048"/>
      <c r="M244" s="2046"/>
      <c r="N244" s="2046"/>
      <c r="O244" s="2046"/>
      <c r="P244" s="2046"/>
      <c r="Q244" s="2046"/>
      <c r="R244" s="2046"/>
      <c r="S244" s="2046"/>
      <c r="T244" s="2046"/>
      <c r="U244" s="2046"/>
      <c r="V244" s="2046"/>
      <c r="W244" s="2046"/>
      <c r="X244" s="2046"/>
      <c r="Y244" s="2046"/>
      <c r="Z244" s="2046"/>
      <c r="AA244" s="2046"/>
      <c r="AB244" s="2046"/>
      <c r="AC244" s="2046"/>
    </row>
    <row r="245" spans="1:29">
      <c r="A245" s="2046"/>
      <c r="B245" s="2046"/>
      <c r="C245" s="2046"/>
      <c r="D245" s="2046"/>
      <c r="E245" s="2046"/>
      <c r="F245" s="2046"/>
      <c r="G245" s="2046"/>
      <c r="H245" s="2046"/>
      <c r="I245" s="2046"/>
      <c r="J245" s="2046"/>
      <c r="K245" s="2047"/>
      <c r="L245" s="2048"/>
      <c r="M245" s="2046"/>
      <c r="N245" s="2046"/>
      <c r="O245" s="2046"/>
      <c r="P245" s="2046"/>
      <c r="Q245" s="2046"/>
      <c r="R245" s="2046"/>
      <c r="S245" s="2046"/>
      <c r="T245" s="2046"/>
      <c r="U245" s="2046"/>
      <c r="V245" s="2046"/>
      <c r="W245" s="2046"/>
      <c r="X245" s="2046"/>
      <c r="Y245" s="2046"/>
      <c r="Z245" s="2046"/>
      <c r="AA245" s="2046"/>
      <c r="AB245" s="2046"/>
      <c r="AC245" s="2046"/>
    </row>
    <row r="246" spans="1:29">
      <c r="A246" s="2046"/>
      <c r="B246" s="2046"/>
      <c r="C246" s="2046"/>
      <c r="D246" s="2046"/>
      <c r="E246" s="2046"/>
      <c r="F246" s="2046"/>
      <c r="G246" s="2046"/>
      <c r="H246" s="2046"/>
      <c r="I246" s="2046"/>
      <c r="J246" s="2046"/>
      <c r="K246" s="2047"/>
      <c r="L246" s="2048"/>
      <c r="M246" s="2046"/>
      <c r="N246" s="2046"/>
      <c r="O246" s="2046"/>
      <c r="P246" s="2046"/>
      <c r="Q246" s="2046"/>
      <c r="R246" s="2046"/>
      <c r="S246" s="2046"/>
      <c r="T246" s="2046"/>
      <c r="U246" s="2046"/>
      <c r="V246" s="2046"/>
      <c r="W246" s="2046"/>
      <c r="X246" s="2046"/>
      <c r="Y246" s="2046"/>
      <c r="Z246" s="2046"/>
      <c r="AA246" s="2046"/>
      <c r="AB246" s="2046"/>
      <c r="AC246" s="2046"/>
    </row>
    <row r="247" spans="1:29">
      <c r="A247" s="2046"/>
      <c r="B247" s="2046"/>
      <c r="C247" s="2046"/>
      <c r="D247" s="2046"/>
      <c r="E247" s="2046"/>
      <c r="F247" s="2046"/>
      <c r="G247" s="2046"/>
      <c r="H247" s="2046"/>
      <c r="I247" s="2046"/>
      <c r="J247" s="2046"/>
      <c r="K247" s="2047"/>
      <c r="L247" s="2048"/>
      <c r="M247" s="2046"/>
      <c r="N247" s="2046"/>
      <c r="O247" s="2046"/>
      <c r="P247" s="2046"/>
      <c r="Q247" s="2046"/>
      <c r="R247" s="2046"/>
      <c r="S247" s="2046"/>
      <c r="T247" s="2046"/>
      <c r="U247" s="2046"/>
      <c r="V247" s="2046"/>
      <c r="W247" s="2046"/>
      <c r="X247" s="2046"/>
      <c r="Y247" s="2046"/>
      <c r="Z247" s="2046"/>
      <c r="AA247" s="2046"/>
      <c r="AB247" s="2046"/>
      <c r="AC247" s="2046"/>
    </row>
    <row r="248" spans="1:29">
      <c r="A248" s="2046"/>
      <c r="B248" s="2046"/>
      <c r="C248" s="2046"/>
      <c r="D248" s="2046"/>
      <c r="E248" s="2046"/>
      <c r="F248" s="2046"/>
      <c r="G248" s="2046"/>
      <c r="H248" s="2046"/>
      <c r="I248" s="2046"/>
      <c r="J248" s="2046"/>
      <c r="K248" s="2047"/>
      <c r="L248" s="2048"/>
      <c r="M248" s="2046"/>
      <c r="N248" s="2046"/>
      <c r="O248" s="2046"/>
      <c r="P248" s="2046"/>
      <c r="Q248" s="2046"/>
      <c r="R248" s="2046"/>
      <c r="S248" s="2046"/>
      <c r="T248" s="2046"/>
      <c r="U248" s="2046"/>
      <c r="V248" s="2046"/>
      <c r="W248" s="2046"/>
      <c r="X248" s="2046"/>
      <c r="Y248" s="2046"/>
      <c r="Z248" s="2046"/>
      <c r="AA248" s="2046"/>
      <c r="AB248" s="2046"/>
      <c r="AC248" s="2046"/>
    </row>
    <row r="249" spans="1:29">
      <c r="A249" s="2046"/>
      <c r="B249" s="2046"/>
      <c r="C249" s="2046"/>
      <c r="D249" s="2046"/>
      <c r="E249" s="2046"/>
      <c r="F249" s="2046"/>
      <c r="G249" s="2046"/>
      <c r="H249" s="2046"/>
      <c r="I249" s="2046"/>
      <c r="J249" s="2046"/>
      <c r="K249" s="2047"/>
      <c r="L249" s="2048"/>
      <c r="M249" s="2046"/>
      <c r="N249" s="2046"/>
      <c r="O249" s="2046"/>
      <c r="P249" s="2046"/>
      <c r="Q249" s="2046"/>
      <c r="R249" s="2046"/>
      <c r="S249" s="2046"/>
      <c r="T249" s="2046"/>
      <c r="U249" s="2046"/>
      <c r="V249" s="2046"/>
      <c r="W249" s="2046"/>
      <c r="X249" s="2046"/>
      <c r="Y249" s="2046"/>
      <c r="Z249" s="2046"/>
      <c r="AA249" s="2046"/>
      <c r="AB249" s="2046"/>
      <c r="AC249" s="2046"/>
    </row>
    <row r="250" spans="1:29">
      <c r="A250" s="2046"/>
      <c r="B250" s="2046"/>
      <c r="C250" s="2046"/>
      <c r="D250" s="2046"/>
      <c r="E250" s="2046"/>
      <c r="F250" s="2046"/>
      <c r="G250" s="2046"/>
      <c r="H250" s="2046"/>
      <c r="I250" s="2046"/>
      <c r="J250" s="2046"/>
      <c r="K250" s="2047"/>
      <c r="L250" s="2048"/>
      <c r="M250" s="2046"/>
      <c r="N250" s="2046"/>
      <c r="O250" s="2046"/>
      <c r="P250" s="2046"/>
      <c r="Q250" s="2046"/>
      <c r="R250" s="2046"/>
      <c r="S250" s="2046"/>
      <c r="T250" s="2046"/>
      <c r="U250" s="2046"/>
      <c r="V250" s="2046"/>
      <c r="W250" s="2046"/>
      <c r="X250" s="2046"/>
      <c r="Y250" s="2046"/>
      <c r="Z250" s="2046"/>
      <c r="AA250" s="2046"/>
      <c r="AB250" s="2046"/>
      <c r="AC250" s="2046"/>
    </row>
    <row r="251" spans="1:29">
      <c r="A251" s="2046"/>
      <c r="B251" s="2046"/>
      <c r="C251" s="2046"/>
      <c r="D251" s="2046"/>
      <c r="E251" s="2046"/>
      <c r="F251" s="2046"/>
      <c r="G251" s="2046"/>
      <c r="H251" s="2046"/>
      <c r="I251" s="2046"/>
      <c r="J251" s="2046"/>
      <c r="K251" s="2047"/>
      <c r="L251" s="2048"/>
      <c r="M251" s="2046"/>
      <c r="N251" s="2046"/>
      <c r="O251" s="2046"/>
      <c r="P251" s="2046"/>
      <c r="Q251" s="2046"/>
      <c r="R251" s="2046"/>
      <c r="S251" s="2046"/>
      <c r="T251" s="2046"/>
      <c r="U251" s="2046"/>
      <c r="V251" s="2046"/>
      <c r="W251" s="2046"/>
      <c r="X251" s="2046"/>
      <c r="Y251" s="2046"/>
      <c r="Z251" s="2046"/>
      <c r="AA251" s="2046"/>
      <c r="AB251" s="2046"/>
      <c r="AC251" s="2046"/>
    </row>
    <row r="252" spans="1:29">
      <c r="A252" s="2046"/>
      <c r="B252" s="2046"/>
      <c r="C252" s="2046"/>
      <c r="D252" s="2046"/>
      <c r="E252" s="2046"/>
      <c r="F252" s="2046"/>
      <c r="G252" s="2046"/>
      <c r="H252" s="2046"/>
      <c r="I252" s="2046"/>
      <c r="J252" s="2046"/>
      <c r="K252" s="2047"/>
      <c r="L252" s="2048"/>
      <c r="M252" s="2046"/>
      <c r="N252" s="2046"/>
      <c r="O252" s="2046"/>
      <c r="P252" s="2046"/>
      <c r="Q252" s="2046"/>
      <c r="R252" s="2046"/>
      <c r="S252" s="2046"/>
      <c r="T252" s="2046"/>
      <c r="U252" s="2046"/>
      <c r="V252" s="2046"/>
      <c r="W252" s="2046"/>
      <c r="X252" s="2046"/>
      <c r="Y252" s="2046"/>
      <c r="Z252" s="2046"/>
      <c r="AA252" s="2046"/>
      <c r="AB252" s="2046"/>
      <c r="AC252" s="2046"/>
    </row>
    <row r="253" spans="1:29">
      <c r="A253" s="2046"/>
      <c r="B253" s="2046"/>
      <c r="C253" s="2046"/>
      <c r="D253" s="2046"/>
      <c r="E253" s="2046"/>
      <c r="F253" s="2046"/>
      <c r="G253" s="2046"/>
      <c r="H253" s="2046"/>
      <c r="I253" s="2046"/>
      <c r="J253" s="2046"/>
      <c r="K253" s="2047"/>
      <c r="L253" s="2048"/>
      <c r="M253" s="2046"/>
      <c r="N253" s="2046"/>
      <c r="O253" s="2046"/>
      <c r="P253" s="2046"/>
      <c r="Q253" s="2046"/>
      <c r="R253" s="2046"/>
      <c r="S253" s="2046"/>
      <c r="T253" s="2046"/>
      <c r="U253" s="2046"/>
      <c r="V253" s="2046"/>
      <c r="W253" s="2046"/>
      <c r="X253" s="2046"/>
      <c r="Y253" s="2046"/>
      <c r="Z253" s="2046"/>
      <c r="AA253" s="2046"/>
      <c r="AB253" s="2046"/>
      <c r="AC253" s="2046"/>
    </row>
    <row r="254" spans="1:29">
      <c r="A254" s="2046"/>
      <c r="B254" s="2046"/>
      <c r="C254" s="2046"/>
      <c r="D254" s="2046"/>
      <c r="E254" s="2046"/>
      <c r="F254" s="2046"/>
      <c r="G254" s="2046"/>
      <c r="H254" s="2046"/>
      <c r="I254" s="2046"/>
      <c r="J254" s="2046"/>
      <c r="K254" s="2047"/>
      <c r="L254" s="2048"/>
      <c r="M254" s="2046"/>
      <c r="N254" s="2046"/>
      <c r="O254" s="2046"/>
      <c r="P254" s="2046"/>
      <c r="Q254" s="2046"/>
      <c r="R254" s="2046"/>
      <c r="S254" s="2046"/>
      <c r="T254" s="2046"/>
      <c r="U254" s="2046"/>
      <c r="V254" s="2046"/>
      <c r="W254" s="2046"/>
      <c r="X254" s="2046"/>
      <c r="Y254" s="2046"/>
      <c r="Z254" s="2046"/>
      <c r="AA254" s="2046"/>
      <c r="AB254" s="2046"/>
      <c r="AC254" s="2046"/>
    </row>
    <row r="255" spans="1:29">
      <c r="A255" s="2046"/>
      <c r="B255" s="2046"/>
      <c r="C255" s="2046"/>
      <c r="D255" s="2046"/>
      <c r="E255" s="2046"/>
      <c r="F255" s="2046"/>
      <c r="G255" s="2046"/>
      <c r="H255" s="2046"/>
      <c r="I255" s="2046"/>
      <c r="J255" s="2046"/>
      <c r="K255" s="2047"/>
      <c r="L255" s="2048"/>
      <c r="M255" s="2046"/>
      <c r="N255" s="2046"/>
      <c r="O255" s="2046"/>
      <c r="P255" s="2046"/>
      <c r="Q255" s="2046"/>
      <c r="R255" s="2046"/>
      <c r="S255" s="2046"/>
      <c r="T255" s="2046"/>
      <c r="U255" s="2046"/>
      <c r="V255" s="2046"/>
      <c r="W255" s="2046"/>
      <c r="X255" s="2046"/>
      <c r="Y255" s="2046"/>
      <c r="Z255" s="2046"/>
      <c r="AA255" s="2046"/>
      <c r="AB255" s="2046"/>
      <c r="AC255" s="2046"/>
    </row>
    <row r="256" spans="1:29">
      <c r="A256" s="2046"/>
      <c r="B256" s="2046"/>
      <c r="C256" s="2046"/>
      <c r="D256" s="2046"/>
      <c r="E256" s="2046"/>
      <c r="F256" s="2046"/>
      <c r="G256" s="2046"/>
      <c r="H256" s="2046"/>
      <c r="I256" s="2046"/>
      <c r="J256" s="2046"/>
      <c r="K256" s="2047"/>
      <c r="L256" s="2048"/>
      <c r="M256" s="2046"/>
      <c r="N256" s="2046"/>
      <c r="O256" s="2046"/>
      <c r="P256" s="2046"/>
      <c r="Q256" s="2046"/>
      <c r="R256" s="2046"/>
      <c r="S256" s="2046"/>
      <c r="T256" s="2046"/>
      <c r="U256" s="2046"/>
      <c r="V256" s="2046"/>
      <c r="W256" s="2046"/>
      <c r="X256" s="2046"/>
      <c r="Y256" s="2046"/>
      <c r="Z256" s="2046"/>
      <c r="AA256" s="2046"/>
      <c r="AB256" s="2046"/>
      <c r="AC256" s="2046"/>
    </row>
    <row r="257" spans="1:29">
      <c r="A257" s="2046"/>
      <c r="B257" s="2046"/>
      <c r="C257" s="2046"/>
      <c r="D257" s="2046"/>
      <c r="E257" s="2046"/>
      <c r="F257" s="2046"/>
      <c r="G257" s="2046"/>
      <c r="H257" s="2046"/>
      <c r="I257" s="2046"/>
      <c r="J257" s="2046"/>
      <c r="K257" s="2047"/>
      <c r="L257" s="2048"/>
      <c r="M257" s="2046"/>
      <c r="N257" s="2046"/>
      <c r="O257" s="2046"/>
      <c r="P257" s="2046"/>
      <c r="Q257" s="2046"/>
      <c r="R257" s="2046"/>
      <c r="S257" s="2046"/>
      <c r="T257" s="2046"/>
      <c r="U257" s="2046"/>
      <c r="V257" s="2046"/>
      <c r="W257" s="2046"/>
      <c r="X257" s="2046"/>
      <c r="Y257" s="2046"/>
      <c r="Z257" s="2046"/>
      <c r="AA257" s="2046"/>
      <c r="AB257" s="2046"/>
      <c r="AC257" s="2046"/>
    </row>
    <row r="258" spans="1:29">
      <c r="A258" s="2046"/>
      <c r="B258" s="2046"/>
      <c r="C258" s="2046"/>
      <c r="D258" s="2046"/>
      <c r="E258" s="2046"/>
      <c r="F258" s="2046"/>
      <c r="G258" s="2046"/>
      <c r="H258" s="2046"/>
      <c r="I258" s="2046"/>
      <c r="J258" s="2046"/>
      <c r="K258" s="2047"/>
      <c r="L258" s="2048"/>
      <c r="M258" s="2046"/>
      <c r="N258" s="2046"/>
      <c r="O258" s="2046"/>
      <c r="P258" s="2046"/>
      <c r="Q258" s="2046"/>
      <c r="R258" s="2046"/>
      <c r="S258" s="2046"/>
      <c r="T258" s="2046"/>
      <c r="U258" s="2046"/>
      <c r="V258" s="2046"/>
      <c r="W258" s="2046"/>
      <c r="X258" s="2046"/>
      <c r="Y258" s="2046"/>
      <c r="Z258" s="2046"/>
      <c r="AA258" s="2046"/>
      <c r="AB258" s="2046"/>
      <c r="AC258" s="2046"/>
    </row>
    <row r="259" spans="1:29">
      <c r="A259" s="2046"/>
      <c r="B259" s="2046"/>
      <c r="C259" s="2046"/>
      <c r="D259" s="2046"/>
      <c r="E259" s="2046"/>
      <c r="F259" s="2046"/>
      <c r="G259" s="2046"/>
      <c r="H259" s="2046"/>
      <c r="I259" s="2046"/>
      <c r="J259" s="2046"/>
      <c r="K259" s="2047"/>
      <c r="L259" s="2048"/>
      <c r="M259" s="2046"/>
      <c r="N259" s="2046"/>
      <c r="O259" s="2046"/>
      <c r="P259" s="2046"/>
      <c r="Q259" s="2046"/>
      <c r="R259" s="2046"/>
      <c r="S259" s="2046"/>
      <c r="T259" s="2046"/>
      <c r="U259" s="2046"/>
      <c r="V259" s="2046"/>
      <c r="W259" s="2046"/>
      <c r="X259" s="2046"/>
      <c r="Y259" s="2046"/>
      <c r="Z259" s="2046"/>
      <c r="AA259" s="2046"/>
      <c r="AB259" s="2046"/>
      <c r="AC259" s="2046"/>
    </row>
    <row r="260" spans="1:29">
      <c r="A260" s="2046"/>
      <c r="B260" s="2046"/>
      <c r="C260" s="2046"/>
      <c r="D260" s="2046"/>
      <c r="E260" s="2046"/>
      <c r="F260" s="2046"/>
      <c r="G260" s="2046"/>
      <c r="H260" s="2046"/>
      <c r="I260" s="2046"/>
      <c r="J260" s="2046"/>
      <c r="K260" s="2047"/>
      <c r="L260" s="2048"/>
      <c r="M260" s="2046"/>
      <c r="N260" s="2046"/>
      <c r="O260" s="2046"/>
      <c r="P260" s="2046"/>
      <c r="Q260" s="2046"/>
      <c r="R260" s="2046"/>
      <c r="S260" s="2046"/>
      <c r="T260" s="2046"/>
      <c r="U260" s="2046"/>
      <c r="V260" s="2046"/>
      <c r="W260" s="2046"/>
      <c r="X260" s="2046"/>
      <c r="Y260" s="2046"/>
      <c r="Z260" s="2046"/>
      <c r="AA260" s="2046"/>
      <c r="AB260" s="2046"/>
      <c r="AC260" s="2046"/>
    </row>
    <row r="261" spans="1:29">
      <c r="A261" s="2046"/>
      <c r="B261" s="2046"/>
      <c r="C261" s="2046"/>
      <c r="D261" s="2046"/>
      <c r="E261" s="2046"/>
      <c r="F261" s="2046"/>
      <c r="G261" s="2046"/>
      <c r="H261" s="2046"/>
      <c r="I261" s="2046"/>
      <c r="J261" s="2046"/>
      <c r="K261" s="2047"/>
      <c r="L261" s="2048"/>
      <c r="M261" s="2046"/>
      <c r="N261" s="2046"/>
      <c r="O261" s="2046"/>
      <c r="P261" s="2046"/>
      <c r="Q261" s="2046"/>
      <c r="R261" s="2046"/>
      <c r="S261" s="2046"/>
      <c r="T261" s="2046"/>
      <c r="U261" s="2046"/>
      <c r="V261" s="2046"/>
      <c r="W261" s="2046"/>
      <c r="X261" s="2046"/>
      <c r="Y261" s="2046"/>
      <c r="Z261" s="2046"/>
      <c r="AA261" s="2046"/>
      <c r="AB261" s="2046"/>
      <c r="AC261" s="2046"/>
    </row>
    <row r="262" spans="1:29">
      <c r="A262" s="2046"/>
      <c r="B262" s="2046"/>
      <c r="C262" s="2046"/>
      <c r="D262" s="2046"/>
      <c r="E262" s="2046"/>
      <c r="F262" s="2046"/>
      <c r="G262" s="2046"/>
      <c r="H262" s="2046"/>
      <c r="I262" s="2046"/>
      <c r="J262" s="2046"/>
      <c r="K262" s="2047"/>
      <c r="L262" s="2048"/>
      <c r="M262" s="2046"/>
      <c r="N262" s="2046"/>
      <c r="O262" s="2046"/>
      <c r="P262" s="2046"/>
      <c r="Q262" s="2046"/>
      <c r="R262" s="2046"/>
      <c r="S262" s="2046"/>
      <c r="T262" s="2046"/>
      <c r="U262" s="2046"/>
      <c r="V262" s="2046"/>
      <c r="W262" s="2046"/>
      <c r="X262" s="2046"/>
      <c r="Y262" s="2046"/>
      <c r="Z262" s="2046"/>
      <c r="AA262" s="2046"/>
      <c r="AB262" s="2046"/>
      <c r="AC262" s="2046"/>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74" priority="18" stopIfTrue="1" operator="containsText" text="超过">
      <formula>NOT(ISERROR(SEARCH("超过",F48)))</formula>
    </cfRule>
  </conditionalFormatting>
  <conditionalFormatting sqref="J50">
    <cfRule type="containsText" dxfId="173" priority="17" stopIfTrue="1" operator="containsText" text="超过">
      <formula>NOT(ISERROR(SEARCH("超过",J50)))</formula>
    </cfRule>
  </conditionalFormatting>
  <conditionalFormatting sqref="H50">
    <cfRule type="containsText" dxfId="172" priority="16" stopIfTrue="1" operator="containsText" text="超过">
      <formula>NOT(ISERROR(SEARCH("超过",H50)))</formula>
    </cfRule>
  </conditionalFormatting>
  <conditionalFormatting sqref="F50">
    <cfRule type="containsText" dxfId="171" priority="15" stopIfTrue="1" operator="containsText" text="超过">
      <formula>NOT(ISERROR(SEARCH("超过",F50)))</formula>
    </cfRule>
  </conditionalFormatting>
  <conditionalFormatting sqref="F49 H49 J49">
    <cfRule type="containsText" dxfId="170" priority="14" stopIfTrue="1" operator="containsText" text="超过">
      <formula>NOT(ISERROR(SEARCH("超过",F49)))</formula>
    </cfRule>
  </conditionalFormatting>
  <conditionalFormatting sqref="E48">
    <cfRule type="expression" dxfId="169" priority="13" stopIfTrue="1">
      <formula>$F$48="超过30%"</formula>
    </cfRule>
  </conditionalFormatting>
  <conditionalFormatting sqref="G50">
    <cfRule type="expression" dxfId="168" priority="12" stopIfTrue="1">
      <formula>$H$50="超过30%"</formula>
    </cfRule>
  </conditionalFormatting>
  <conditionalFormatting sqref="E50">
    <cfRule type="expression" dxfId="167" priority="10" stopIfTrue="1">
      <formula>$F$50="超过30%"</formula>
    </cfRule>
  </conditionalFormatting>
  <conditionalFormatting sqref="G48">
    <cfRule type="expression" dxfId="166" priority="9" stopIfTrue="1">
      <formula>$H$48="超过30%"</formula>
    </cfRule>
  </conditionalFormatting>
  <conditionalFormatting sqref="G49">
    <cfRule type="expression" dxfId="165" priority="8" stopIfTrue="1">
      <formula>$H$49="超过20%"</formula>
    </cfRule>
  </conditionalFormatting>
  <conditionalFormatting sqref="I48">
    <cfRule type="expression" dxfId="164" priority="7" stopIfTrue="1">
      <formula>$J$48="超过30%"</formula>
    </cfRule>
  </conditionalFormatting>
  <conditionalFormatting sqref="I49">
    <cfRule type="expression" dxfId="163" priority="6" stopIfTrue="1">
      <formula>$J$49="超过20%"</formula>
    </cfRule>
  </conditionalFormatting>
  <conditionalFormatting sqref="I50">
    <cfRule type="expression" dxfId="162" priority="5" stopIfTrue="1">
      <formula>$J$50="超过30%"</formula>
    </cfRule>
  </conditionalFormatting>
  <conditionalFormatting sqref="E49">
    <cfRule type="expression" dxfId="161" priority="51" stopIfTrue="1">
      <formula>#REF!+$F$49="超过20%"</formula>
    </cfRule>
  </conditionalFormatting>
  <conditionalFormatting sqref="F44">
    <cfRule type="expression" dxfId="160" priority="4">
      <formula>$D$44="简单平均"</formula>
    </cfRule>
  </conditionalFormatting>
  <conditionalFormatting sqref="H44">
    <cfRule type="expression" dxfId="159" priority="3">
      <formula>$D$44="简单平均"</formula>
    </cfRule>
  </conditionalFormatting>
  <conditionalFormatting sqref="J44">
    <cfRule type="expression" dxfId="158" priority="2">
      <formula>$D$44="简单平均"</formula>
    </cfRule>
  </conditionalFormatting>
  <conditionalFormatting sqref="F9:F42 H9:H42 J9:J42">
    <cfRule type="cellIs" dxfId="157"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C24" sqref="C24:C524"/>
    </sheetView>
  </sheetViews>
  <sheetFormatPr defaultColWidth="12" defaultRowHeight="12"/>
  <cols>
    <col min="1" max="1" width="9.75" style="1340" customWidth="1"/>
    <col min="2" max="2" width="20.875" style="1455" customWidth="1"/>
    <col min="3" max="4" width="12" style="1341"/>
    <col min="5" max="5" width="14.625" style="1341" customWidth="1"/>
    <col min="6" max="8" width="12" style="1341"/>
    <col min="9" max="9" width="12.25" style="1341" bestFit="1" customWidth="1"/>
    <col min="10" max="10" width="12" style="1341"/>
    <col min="11" max="11" width="9.625" style="1338" customWidth="1"/>
    <col min="12" max="12" width="12" style="1341"/>
    <col min="13" max="14" width="10.625" style="1341" customWidth="1"/>
    <col min="15" max="17" width="12" style="1341"/>
    <col min="18" max="18" width="12" style="1340"/>
    <col min="19" max="22" width="15.5" style="1340" customWidth="1"/>
    <col min="23" max="28" width="12" style="1341"/>
    <col min="29" max="29" width="9.375" style="1340" customWidth="1"/>
    <col min="30" max="35" width="9.375" style="1339" customWidth="1"/>
    <col min="36" max="39" width="9.375" style="1340" customWidth="1"/>
    <col min="40" max="41" width="9.375" style="1341" customWidth="1"/>
    <col min="42" max="16384" width="12" style="1341"/>
  </cols>
  <sheetData>
    <row r="1" spans="1:39" ht="20.25">
      <c r="A1" s="1335" t="s">
        <v>1684</v>
      </c>
      <c r="B1" s="1336"/>
      <c r="C1" s="1342" t="s">
        <v>2405</v>
      </c>
      <c r="D1" s="1448">
        <f>SUM(D29:D30,D33:D39)</f>
        <v>0</v>
      </c>
      <c r="E1" s="1342" t="s">
        <v>2406</v>
      </c>
      <c r="F1" s="2293"/>
      <c r="G1" s="1337"/>
      <c r="H1" s="1337"/>
      <c r="I1" s="1337"/>
      <c r="J1" s="1337"/>
      <c r="K1" s="2056"/>
      <c r="L1" s="1782" t="s">
        <v>2224</v>
      </c>
      <c r="M1" s="1783">
        <f>SUMPRODUCT((区片价!B5:B9=I2)*(区片价!C3:F3=E2)*(区片价!C5:F9))</f>
        <v>0</v>
      </c>
      <c r="N1" s="1784">
        <f>SUMPRODUCT((因素修正幅度!B5:B9=I2)*(因素修正幅度!C3:F3=E2)*(因素修正幅度!C5:F9))</f>
        <v>0</v>
      </c>
      <c r="O1" s="2056"/>
      <c r="P1" s="2056"/>
      <c r="Q1" s="2056"/>
      <c r="R1" s="2639" t="s">
        <v>2735</v>
      </c>
      <c r="S1" s="2639" t="s">
        <v>2736</v>
      </c>
      <c r="T1" s="2639" t="s">
        <v>2757</v>
      </c>
      <c r="U1" s="2639" t="s">
        <v>2758</v>
      </c>
      <c r="V1" s="2639" t="s">
        <v>2759</v>
      </c>
      <c r="W1" s="2056"/>
      <c r="X1" s="2056"/>
      <c r="Y1" s="2056"/>
      <c r="Z1" s="2056"/>
      <c r="AA1" s="2056"/>
      <c r="AB1" s="2056"/>
      <c r="AC1" s="2057"/>
    </row>
    <row r="2" spans="1:39" ht="15.75">
      <c r="A2" s="1342" t="s">
        <v>910</v>
      </c>
      <c r="B2" s="1016" t="e">
        <f>C26</f>
        <v>#DIV/0!</v>
      </c>
      <c r="C2" s="1343" t="s">
        <v>911</v>
      </c>
      <c r="D2" s="1344" t="s">
        <v>912</v>
      </c>
      <c r="E2" s="1345"/>
      <c r="F2" s="1344" t="s">
        <v>914</v>
      </c>
      <c r="G2" s="1568">
        <f>IF(E2="商业",项目基本情况!B43,IF(E2="办公",项目基本情况!C43,IF(E2="住宅",项目基本情况!D43,项目基本情况!E43)))</f>
        <v>0</v>
      </c>
      <c r="H2" s="1344" t="s">
        <v>916</v>
      </c>
      <c r="I2" s="1569">
        <f>IF(E2="商业",项目基本情况!B44,IF(E2="办公",项目基本情况!C44,IF(E2="住宅",项目基本情况!D44,项目基本情况!E44)))</f>
        <v>0</v>
      </c>
      <c r="J2" s="1346"/>
      <c r="K2" s="3217"/>
      <c r="L2" s="1785" t="s">
        <v>2225</v>
      </c>
      <c r="M2" s="1786">
        <f>SUMPRODUCT((区片价!B10:B28=I2)*(区片价!C3:F3=E2)*(区片价!C10:F28))</f>
        <v>0</v>
      </c>
      <c r="N2" s="1787">
        <f>SUMPRODUCT((因素修正幅度!B10:B28=I2)*(因素修正幅度!C3:F3=E2)*(因素修正幅度!C10:F28))</f>
        <v>0</v>
      </c>
      <c r="O2" s="3217"/>
      <c r="P2" s="2056"/>
      <c r="Q2" s="2056"/>
      <c r="R2" s="2640">
        <v>1</v>
      </c>
      <c r="S2" s="2640" t="e">
        <f>ROUND(IF(G3&gt;1,IF(R2&lt;7,SUMPRODUCT((B93:B98=R2)*(C92:N92=G2)*(C93:N98)),SUMIF(C92:N92,G2,C100:N100)),IF(R2&lt;7,SUMPRODUCT((B102:B107=R2)*(C92:N92=G2)*(C102:N107)),SUMIF(C92:N92,G2,C109:N109))),4)</f>
        <v>#DIV/0!</v>
      </c>
      <c r="T2" s="2640" t="e">
        <f>ROUND($C$5*$C$18*$C$19*$C$20*S2*$C$24,0)</f>
        <v>#DIV/0!</v>
      </c>
      <c r="U2" s="2629"/>
      <c r="V2" s="2640" t="e">
        <f>ROUND(T2*U2/10000,0)</f>
        <v>#DIV/0!</v>
      </c>
      <c r="W2" s="2056"/>
      <c r="X2" s="2056"/>
      <c r="Y2" s="2056"/>
      <c r="Z2" s="2056"/>
      <c r="AA2" s="2056"/>
      <c r="AB2" s="2056"/>
      <c r="AC2" s="2057"/>
    </row>
    <row r="3" spans="1:39" ht="15.75">
      <c r="A3" s="1347" t="s">
        <v>1677</v>
      </c>
      <c r="B3" s="1016" t="e">
        <f>ROUND(B2*10000/D1,0)</f>
        <v>#DIV/0!</v>
      </c>
      <c r="C3" s="1343" t="s">
        <v>917</v>
      </c>
      <c r="D3" s="1344" t="s">
        <v>918</v>
      </c>
      <c r="E3" s="1348"/>
      <c r="F3" s="1349"/>
      <c r="G3" s="1017">
        <f>IF(F3="宗地容积率",'数据-汇总表'!I4,IF(F3="估价对象容积率",'数据-汇总表'!I6,'数据-汇总表'!I7))</f>
        <v>0</v>
      </c>
      <c r="H3" s="1350" t="s">
        <v>919</v>
      </c>
      <c r="I3" s="1018">
        <v>8</v>
      </c>
      <c r="J3" s="1346" t="s">
        <v>920</v>
      </c>
      <c r="K3" s="3217"/>
      <c r="L3" s="1785" t="s">
        <v>2226</v>
      </c>
      <c r="M3" s="1786">
        <f>SUMPRODUCT((区片价!B29:B48=I2)*(区片价!C3:F3=E2)*(区片价!C29:F48))</f>
        <v>0</v>
      </c>
      <c r="N3" s="1787">
        <f>SUMPRODUCT((因素修正幅度!B29:B48=I2)*(因素修正幅度!C3:F3=E2)*(因素修正幅度!C29:F48))</f>
        <v>0</v>
      </c>
      <c r="O3" s="3217"/>
      <c r="P3" s="2056"/>
      <c r="Q3" s="2056"/>
      <c r="R3" s="2640">
        <v>2</v>
      </c>
      <c r="S3" s="2640" t="e">
        <f>ROUND(IF(G3&gt;1,IF(R3&lt;7,SUMPRODUCT((B93:B98=R3)*(C92:N92=G2)*(C93:N98)),SUMIF(C92:N92,G2,C100:N100)),IF(R3&lt;7,SUMPRODUCT((B102:B107=R3)*(C92:N92=G2)*(C102:N107)),SUMIF(C92:N92,G2,C109:N109))),4)</f>
        <v>#DIV/0!</v>
      </c>
      <c r="T3" s="2640" t="e">
        <f t="shared" ref="T3:T16" si="0">ROUND($C$5*$C$18*$C$19*$C$20*S3*$C$24,0)</f>
        <v>#DIV/0!</v>
      </c>
      <c r="U3" s="2629"/>
      <c r="V3" s="2640" t="e">
        <f t="shared" ref="V3:V16" si="1">ROUND(T3*U3/10000,0)</f>
        <v>#DIV/0!</v>
      </c>
      <c r="W3" s="2056"/>
      <c r="X3" s="2056"/>
      <c r="Y3" s="2056"/>
      <c r="Z3" s="2056"/>
      <c r="AA3" s="2056"/>
      <c r="AB3" s="2056"/>
      <c r="AC3" s="2057"/>
    </row>
    <row r="4" spans="1:39" ht="28.5">
      <c r="A4" s="1791" t="s">
        <v>2265</v>
      </c>
      <c r="B4" s="2294" t="e">
        <f>ROUND(B2*10000/F1,0)</f>
        <v>#DIV/0!</v>
      </c>
      <c r="C4" s="1794" t="s">
        <v>2240</v>
      </c>
      <c r="D4" s="1794" t="e">
        <f>ROUND(B2/(F1/666.67),0)</f>
        <v>#DIV/0!</v>
      </c>
      <c r="E4" s="1794" t="s">
        <v>2241</v>
      </c>
      <c r="F4" s="1792"/>
      <c r="G4" s="1792"/>
      <c r="H4" s="1792"/>
      <c r="I4" s="1792"/>
      <c r="J4" s="1793"/>
      <c r="K4" s="3218"/>
      <c r="L4" s="1785" t="s">
        <v>2227</v>
      </c>
      <c r="M4" s="1786">
        <f>SUMPRODUCT((区片价!B49:B75=I2)*(区片价!C3:F3=E2)*(区片价!C49:F75))</f>
        <v>0</v>
      </c>
      <c r="N4" s="1787">
        <f>SUMPRODUCT((因素修正幅度!B49:B75=I2)*(因素修正幅度!C3:F3=E2)*(因素修正幅度!C49:F75))</f>
        <v>0</v>
      </c>
      <c r="O4" s="3218"/>
      <c r="P4" s="2056"/>
      <c r="Q4" s="2056"/>
      <c r="R4" s="2640">
        <v>3</v>
      </c>
      <c r="S4" s="2640" t="e">
        <f>ROUND(IF(G3&gt;1,IF(R4&lt;7,SUMPRODUCT((B93:B98=R4)*(C92:N92=G2)*(C93:N98)),SUMIF(C92:N92,G2,C100:N100)),IF(R4&lt;7,SUMPRODUCT((B102:B107=R4)*(C92:N92=G2)*(C102:N107)),SUMIF(C92:N92,G2,C109:N109))),4)</f>
        <v>#DIV/0!</v>
      </c>
      <c r="T4" s="2640" t="e">
        <f t="shared" si="0"/>
        <v>#DIV/0!</v>
      </c>
      <c r="U4" s="2629"/>
      <c r="V4" s="2640" t="e">
        <f t="shared" si="1"/>
        <v>#DIV/0!</v>
      </c>
      <c r="W4" s="2056"/>
      <c r="X4" s="2056"/>
      <c r="Y4" s="2056"/>
      <c r="Z4" s="2056"/>
      <c r="AA4" s="2056"/>
      <c r="AB4" s="2056"/>
      <c r="AC4" s="2057"/>
    </row>
    <row r="5" spans="1:39" s="1357" customFormat="1" ht="15.75" thickBot="1">
      <c r="A5" s="1554" t="s">
        <v>1813</v>
      </c>
      <c r="B5" s="1351" t="s">
        <v>921</v>
      </c>
      <c r="C5" s="1019" t="e">
        <f>ROUND(IF(E2="商业",C6*C7+C16,(IF(E2="住宅",C6*C12+C16,C6+C16))),0)</f>
        <v>#DIV/0!</v>
      </c>
      <c r="D5" s="2778" t="e">
        <f>ROUND(C6+C16,0)</f>
        <v>#DIV/0!</v>
      </c>
      <c r="E5" s="2778"/>
      <c r="F5" s="1352"/>
      <c r="G5" s="1353"/>
      <c r="H5" s="1353"/>
      <c r="I5" s="1353"/>
      <c r="J5" s="1354"/>
      <c r="K5" s="3219"/>
      <c r="L5" s="1785" t="s">
        <v>2228</v>
      </c>
      <c r="M5" s="1786">
        <f>SUMPRODUCT((区片价!B76:B109=I2)*(区片价!C3:F3=E2)*(区片价!C76:F109))</f>
        <v>0</v>
      </c>
      <c r="N5" s="1787">
        <f>SUMPRODUCT((因素修正幅度!B76:B109=I2)*(因素修正幅度!C3:F3=E2)*(因素修正幅度!C76:F109))</f>
        <v>0</v>
      </c>
      <c r="O5" s="3219"/>
      <c r="P5" s="3222"/>
      <c r="Q5" s="2056"/>
      <c r="R5" s="2640">
        <v>4</v>
      </c>
      <c r="S5" s="2640" t="e">
        <f>ROUND(IF(G3&gt;1,IF(R5&lt;7,SUMPRODUCT((B93:B98=R5)*(C92:N92=G2)*(C93:N98)),SUMIF(C92:N92,G2,C100:N100)),IF(R5&lt;7,SUMPRODUCT((B102:B107=R5)*(C92:N92=G2)*(C102:N107)),SUMIF(C92:N92,G2,C109:N109))),4)</f>
        <v>#DIV/0!</v>
      </c>
      <c r="T5" s="2640" t="e">
        <f t="shared" si="0"/>
        <v>#DIV/0!</v>
      </c>
      <c r="U5" s="2629"/>
      <c r="V5" s="2640" t="e">
        <f t="shared" si="1"/>
        <v>#DIV/0!</v>
      </c>
      <c r="W5" s="2056"/>
      <c r="X5" s="2056"/>
      <c r="Y5" s="2056"/>
      <c r="Z5" s="2056"/>
      <c r="AA5" s="2056"/>
      <c r="AB5" s="2056"/>
      <c r="AC5" s="2058"/>
      <c r="AD5" s="1355"/>
      <c r="AE5" s="1355"/>
      <c r="AF5" s="1355"/>
      <c r="AG5" s="1355"/>
      <c r="AH5" s="1355"/>
      <c r="AI5" s="1355"/>
      <c r="AJ5" s="1356"/>
      <c r="AK5" s="1356"/>
      <c r="AL5" s="1356"/>
      <c r="AM5" s="1356"/>
    </row>
    <row r="6" spans="1:39" ht="15.75" thickBot="1">
      <c r="A6" s="1555" t="s">
        <v>1860</v>
      </c>
      <c r="B6" s="1358" t="s">
        <v>921</v>
      </c>
      <c r="C6" s="1020">
        <f>SUMIF(L1:L12,基准地价!G2,M1:M12)</f>
        <v>0</v>
      </c>
      <c r="D6" s="1359" t="s">
        <v>1685</v>
      </c>
      <c r="E6" s="1360"/>
      <c r="F6" s="1360"/>
      <c r="G6" s="1361"/>
      <c r="H6" s="1361"/>
      <c r="I6" s="1361"/>
      <c r="J6" s="1362"/>
      <c r="K6" s="3220"/>
      <c r="L6" s="1785" t="s">
        <v>2229</v>
      </c>
      <c r="M6" s="1786">
        <f>SUMPRODUCT((区片价!B110:B157=I2)*(区片价!C3:F3=E2)*(区片价!C110:F157))</f>
        <v>0</v>
      </c>
      <c r="N6" s="1787">
        <f>SUMPRODUCT((因素修正幅度!B110:B157=I2)*(因素修正幅度!C3:F3=E2)*(因素修正幅度!C110:F157))</f>
        <v>0</v>
      </c>
      <c r="O6" s="3220"/>
      <c r="P6" s="3223"/>
      <c r="Q6" s="2056"/>
      <c r="R6" s="2640">
        <v>5</v>
      </c>
      <c r="S6" s="2640" t="e">
        <f>ROUND(IF(G3&gt;1,IF(R6&lt;7,SUMPRODUCT((B93:B98=R6)*(C92:N92=G2)*(C93:N98)),SUMIF(C92:N92,G2,C100:N100)),IF(R6&lt;7,SUMPRODUCT((B102:B107=R6)*(C92:N92=G2)*(C102:N107)),SUMIF(C92:N92,G2,C109:N109))),4)</f>
        <v>#DIV/0!</v>
      </c>
      <c r="T6" s="2640" t="e">
        <f t="shared" si="0"/>
        <v>#DIV/0!</v>
      </c>
      <c r="U6" s="2629"/>
      <c r="V6" s="2640" t="e">
        <f t="shared" si="1"/>
        <v>#DIV/0!</v>
      </c>
      <c r="W6" s="2056"/>
      <c r="X6" s="2056"/>
      <c r="Y6" s="2056"/>
      <c r="Z6" s="2056"/>
      <c r="AA6" s="2056"/>
      <c r="AB6" s="2056"/>
      <c r="AC6" s="2058"/>
      <c r="AD6" s="1355"/>
      <c r="AE6" s="1355"/>
      <c r="AF6" s="1355"/>
      <c r="AG6" s="1355"/>
      <c r="AH6" s="1355"/>
      <c r="AI6" s="1355"/>
      <c r="AJ6" s="1356"/>
    </row>
    <row r="7" spans="1:39" ht="24">
      <c r="A7" s="3890" t="str">
        <f>IF(E2="商业",IF(C8="不临58条商业街","",2),"")</f>
        <v/>
      </c>
      <c r="B7" s="1363" t="s">
        <v>922</v>
      </c>
      <c r="C7" s="1021" t="e">
        <f>IF(C8="不临58条商业街",1,ROUND(1+(1.6*E8+1.2*E9+0.8*E10+0.4*E11)*C9,4))</f>
        <v>#DIV/0!</v>
      </c>
      <c r="D7" s="1364" t="s">
        <v>923</v>
      </c>
      <c r="E7" s="1022"/>
      <c r="F7" s="1365"/>
      <c r="G7" s="1366"/>
      <c r="H7" s="1366"/>
      <c r="I7" s="1366"/>
      <c r="J7" s="1367"/>
      <c r="K7" s="3220"/>
      <c r="L7" s="1785" t="s">
        <v>2230</v>
      </c>
      <c r="M7" s="1786">
        <f>SUMPRODUCT((区片价!B158:B205=I2)*(区片价!C3:F3=E2)*(区片价!C158:F205))</f>
        <v>0</v>
      </c>
      <c r="N7" s="1787">
        <f>SUMPRODUCT((因素修正幅度!B158:B205=I2)*(因素修正幅度!C3:F3=E2)*(因素修正幅度!C158:F205))</f>
        <v>0</v>
      </c>
      <c r="O7" s="3220"/>
      <c r="P7" s="3223"/>
      <c r="Q7" s="2056"/>
      <c r="R7" s="2640">
        <v>6</v>
      </c>
      <c r="S7" s="2640" t="e">
        <f>ROUND(IF(G3&gt;1,IF(R7&lt;7,SUMPRODUCT((B93:B98=R7)*(C92:N92=G2)*(C93:N98)),SUMIF(C92:N92,G2,C100:N100)),IF(R7&lt;7,SUMPRODUCT((B102:B107=R7)*(C92:N92=G2)*(C102:N107)),SUMIF(C92:N92,G2,C109:N109))),4)</f>
        <v>#DIV/0!</v>
      </c>
      <c r="T7" s="2640" t="e">
        <f t="shared" si="0"/>
        <v>#DIV/0!</v>
      </c>
      <c r="U7" s="2629"/>
      <c r="V7" s="2640" t="e">
        <f t="shared" si="1"/>
        <v>#DIV/0!</v>
      </c>
      <c r="W7" s="2638" t="s">
        <v>2738</v>
      </c>
      <c r="X7" s="2630">
        <f>G2</f>
        <v>0</v>
      </c>
      <c r="Y7" s="2630" t="s">
        <v>2739</v>
      </c>
      <c r="Z7" s="2631">
        <f>G3</f>
        <v>0</v>
      </c>
      <c r="AA7" s="2059"/>
      <c r="AB7" s="2059"/>
      <c r="AC7" s="2060"/>
      <c r="AD7" s="2632"/>
      <c r="AE7" s="2632"/>
      <c r="AF7" s="2632"/>
      <c r="AG7" s="2632"/>
      <c r="AH7" s="2632"/>
      <c r="AI7" s="2632"/>
      <c r="AJ7" s="2633"/>
    </row>
    <row r="8" spans="1:39" ht="15">
      <c r="A8" s="3891"/>
      <c r="B8" s="1350" t="s">
        <v>924</v>
      </c>
      <c r="C8" s="1456"/>
      <c r="D8" s="1023" t="s">
        <v>925</v>
      </c>
      <c r="E8" s="1024" t="e">
        <f>ROUND(C11/E7,4)</f>
        <v>#DIV/0!</v>
      </c>
      <c r="F8" s="1368" t="s">
        <v>926</v>
      </c>
      <c r="G8" s="1369"/>
      <c r="H8" s="1369"/>
      <c r="I8" s="1369"/>
      <c r="J8" s="1370"/>
      <c r="K8" s="3220"/>
      <c r="L8" s="1785" t="s">
        <v>2231</v>
      </c>
      <c r="M8" s="1786">
        <f>SUMPRODUCT((区片价!B206:B244=I2)*(区片价!C3:F3=E2)*(区片价!C206:F244))</f>
        <v>0</v>
      </c>
      <c r="N8" s="1787">
        <f>SUMPRODUCT((因素修正幅度!B206:B244=I2)*(因素修正幅度!C3:F3=E2)*(因素修正幅度!C206:F244))</f>
        <v>0</v>
      </c>
      <c r="O8" s="3220"/>
      <c r="P8" s="2056"/>
      <c r="Q8" s="2056"/>
      <c r="R8" s="2640">
        <v>7</v>
      </c>
      <c r="S8" s="2629"/>
      <c r="T8" s="2640" t="e">
        <f t="shared" si="0"/>
        <v>#DIV/0!</v>
      </c>
      <c r="U8" s="2629"/>
      <c r="V8" s="2640" t="e">
        <f t="shared" si="1"/>
        <v>#DIV/0!</v>
      </c>
      <c r="W8" s="3901" t="s">
        <v>2756</v>
      </c>
      <c r="X8" s="3902"/>
      <c r="Y8" s="1749" t="s">
        <v>2740</v>
      </c>
      <c r="Z8" s="1749" t="s">
        <v>2741</v>
      </c>
      <c r="AA8" s="1749" t="s">
        <v>2742</v>
      </c>
      <c r="AB8" s="1749" t="s">
        <v>2743</v>
      </c>
      <c r="AC8" s="1749" t="s">
        <v>2744</v>
      </c>
      <c r="AD8" s="1749" t="s">
        <v>2745</v>
      </c>
      <c r="AE8" s="1749" t="s">
        <v>2746</v>
      </c>
      <c r="AF8" s="1749" t="s">
        <v>2747</v>
      </c>
      <c r="AG8" s="1749" t="s">
        <v>2748</v>
      </c>
      <c r="AH8" s="1749" t="s">
        <v>2749</v>
      </c>
      <c r="AI8" s="1749" t="s">
        <v>2750</v>
      </c>
      <c r="AJ8" s="1749" t="s">
        <v>2751</v>
      </c>
    </row>
    <row r="9" spans="1:39" ht="15">
      <c r="A9" s="3891"/>
      <c r="B9" s="1350" t="s">
        <v>927</v>
      </c>
      <c r="C9" s="1025">
        <f>SUMIF(修正!C59:C119,C8,修正!E59:E119)</f>
        <v>0</v>
      </c>
      <c r="D9" s="1026" t="s">
        <v>928</v>
      </c>
      <c r="E9" s="1026" t="e">
        <f>ROUND(C11/E7,4)</f>
        <v>#DIV/0!</v>
      </c>
      <c r="F9" s="1368" t="s">
        <v>929</v>
      </c>
      <c r="G9" s="1369"/>
      <c r="H9" s="1369"/>
      <c r="I9" s="1369"/>
      <c r="J9" s="1370"/>
      <c r="K9" s="3220"/>
      <c r="L9" s="1785" t="s">
        <v>2232</v>
      </c>
      <c r="M9" s="1786">
        <f>SUMPRODUCT((区片价!B245:B289=I2)*(区片价!C3:F3=E2)*(区片价!C245:F289))</f>
        <v>0</v>
      </c>
      <c r="N9" s="1787">
        <f>SUMPRODUCT((因素修正幅度!B245:B289=I2)*(因素修正幅度!C3:F3=E2)*(因素修正幅度!C245:F289))</f>
        <v>0</v>
      </c>
      <c r="O9" s="3220"/>
      <c r="P9" s="2056"/>
      <c r="Q9" s="2056"/>
      <c r="R9" s="2640">
        <v>8</v>
      </c>
      <c r="S9" s="2629"/>
      <c r="T9" s="2640" t="e">
        <f t="shared" si="0"/>
        <v>#DIV/0!</v>
      </c>
      <c r="U9" s="2629"/>
      <c r="V9" s="2640" t="e">
        <f t="shared" si="1"/>
        <v>#DIV/0!</v>
      </c>
      <c r="W9" s="3900" t="s">
        <v>2752</v>
      </c>
      <c r="X9" s="2634" t="s">
        <v>2753</v>
      </c>
      <c r="Y9" s="2771"/>
      <c r="Z9" s="2635">
        <f t="shared" ref="Z9:AJ9" si="2">$Y$9</f>
        <v>0</v>
      </c>
      <c r="AA9" s="2635">
        <f t="shared" si="2"/>
        <v>0</v>
      </c>
      <c r="AB9" s="2635">
        <f t="shared" si="2"/>
        <v>0</v>
      </c>
      <c r="AC9" s="2635">
        <f t="shared" si="2"/>
        <v>0</v>
      </c>
      <c r="AD9" s="2635">
        <f t="shared" si="2"/>
        <v>0</v>
      </c>
      <c r="AE9" s="2635">
        <f t="shared" si="2"/>
        <v>0</v>
      </c>
      <c r="AF9" s="2635">
        <f t="shared" si="2"/>
        <v>0</v>
      </c>
      <c r="AG9" s="2635">
        <f t="shared" si="2"/>
        <v>0</v>
      </c>
      <c r="AH9" s="2635">
        <f t="shared" si="2"/>
        <v>0</v>
      </c>
      <c r="AI9" s="2635">
        <f t="shared" si="2"/>
        <v>0</v>
      </c>
      <c r="AJ9" s="2635">
        <f t="shared" si="2"/>
        <v>0</v>
      </c>
    </row>
    <row r="10" spans="1:39" ht="15">
      <c r="A10" s="3891"/>
      <c r="B10" s="1350" t="s">
        <v>930</v>
      </c>
      <c r="C10" s="1026">
        <f>SUMIF(修正!C59:C119,C8,修正!F59:F119)</f>
        <v>0</v>
      </c>
      <c r="D10" s="1026" t="s">
        <v>931</v>
      </c>
      <c r="E10" s="1026" t="e">
        <f>ROUND(C11/E7,4)</f>
        <v>#DIV/0!</v>
      </c>
      <c r="F10" s="1368" t="s">
        <v>932</v>
      </c>
      <c r="G10" s="1369"/>
      <c r="H10" s="1369"/>
      <c r="I10" s="1369"/>
      <c r="J10" s="1370"/>
      <c r="K10" s="3220"/>
      <c r="L10" s="1785" t="s">
        <v>2233</v>
      </c>
      <c r="M10" s="1786">
        <f>SUMPRODUCT((区片价!B290:B316=I2)*(区片价!C3:F3=E2)*(区片价!C290:F316))</f>
        <v>0</v>
      </c>
      <c r="N10" s="1787">
        <f>SUMPRODUCT((因素修正幅度!B290:B316=I2)*(因素修正幅度!C3:F3=E2)*(因素修正幅度!C290:F316))</f>
        <v>0</v>
      </c>
      <c r="O10" s="3220"/>
      <c r="P10" s="2056"/>
      <c r="Q10" s="2056"/>
      <c r="R10" s="2640">
        <v>9</v>
      </c>
      <c r="S10" s="2629"/>
      <c r="T10" s="2640" t="e">
        <f t="shared" si="0"/>
        <v>#DIV/0!</v>
      </c>
      <c r="U10" s="2629"/>
      <c r="V10" s="2640" t="e">
        <f t="shared" si="1"/>
        <v>#DIV/0!</v>
      </c>
      <c r="W10" s="3900"/>
      <c r="X10" s="2634">
        <v>7</v>
      </c>
      <c r="Y10" s="2636">
        <f>(-0.163*(Y9^2)-0.59*Y9+7617)*(10^(-4))</f>
        <v>0.76170000000000004</v>
      </c>
      <c r="Z10" s="2636">
        <f>(-0.163*(Z9^2)-0.59*Z9+7617)*(10^(-4))</f>
        <v>0.76170000000000004</v>
      </c>
      <c r="AA10" s="2636">
        <f>(-0.161*(AA9^2)-7.509*AA9+6533)*(10^(-4))</f>
        <v>0.65329999999999999</v>
      </c>
      <c r="AB10" s="2636">
        <f>(-0.161*(AB9^2)-7.509*AB9+6533)*(10^(-4))</f>
        <v>0.65329999999999999</v>
      </c>
      <c r="AC10" s="2636">
        <f>(-0.161*(AC9^2)-7.509*AC9+6533)*(10^(-4))</f>
        <v>0.65329999999999999</v>
      </c>
      <c r="AD10" s="2636">
        <f>(-0.161*(AD9^2)-7.509*AD9+6533)*(10^(-4))</f>
        <v>0.65329999999999999</v>
      </c>
      <c r="AE10" s="2636">
        <f>(-0.161*(AE9^2)-7.509*AE9+6533)*(10^(-4))</f>
        <v>0.65329999999999999</v>
      </c>
      <c r="AF10" s="2636">
        <f>(-0.214*(AF9^2)-21.991*AF9+4665)*(10^(-4))</f>
        <v>0.46650000000000003</v>
      </c>
      <c r="AG10" s="2636">
        <f>(-0.214*(AG9^2)-21.991*AG9+4665)*(10^(-4))</f>
        <v>0.46650000000000003</v>
      </c>
      <c r="AH10" s="2636">
        <f>(-0.214*(AH9^2)-21.991*AH9+4665)*(10^(-4))</f>
        <v>0.46650000000000003</v>
      </c>
      <c r="AI10" s="2636">
        <f>(-0.214*(AI9^2)-21.991*AI9+4665)*(10^(-4))</f>
        <v>0.46650000000000003</v>
      </c>
      <c r="AJ10" s="2636">
        <f>(-0.214*(AJ9^2)-21.991*AJ9+4665)*(10^(-4))</f>
        <v>0.46650000000000003</v>
      </c>
    </row>
    <row r="11" spans="1:39" ht="15.75" customHeight="1" thickBot="1">
      <c r="A11" s="3891"/>
      <c r="B11" s="1371" t="s">
        <v>933</v>
      </c>
      <c r="C11" s="1027">
        <f>C10/4</f>
        <v>0</v>
      </c>
      <c r="D11" s="1027" t="s">
        <v>934</v>
      </c>
      <c r="E11" s="1027" t="e">
        <f>ROUND(C11/E7,4)</f>
        <v>#DIV/0!</v>
      </c>
      <c r="F11" s="1372" t="s">
        <v>935</v>
      </c>
      <c r="G11" s="1373"/>
      <c r="H11" s="1373"/>
      <c r="I11" s="1373"/>
      <c r="J11" s="1374"/>
      <c r="K11" s="3220"/>
      <c r="L11" s="1785" t="s">
        <v>2234</v>
      </c>
      <c r="M11" s="1786">
        <f>SUMPRODUCT((区片价!B317:B337=I2)*(区片价!C3:F3=E2)*(区片价!C317:F337))</f>
        <v>0</v>
      </c>
      <c r="N11" s="1787">
        <f>SUMPRODUCT((因素修正幅度!B317:B337=I2)*(因素修正幅度!C3:F3=E2)*(因素修正幅度!C317:F337))</f>
        <v>0</v>
      </c>
      <c r="O11" s="3220"/>
      <c r="P11" s="2056"/>
      <c r="Q11" s="2056"/>
      <c r="R11" s="2640">
        <v>10</v>
      </c>
      <c r="S11" s="2629"/>
      <c r="T11" s="2640" t="e">
        <f t="shared" si="0"/>
        <v>#DIV/0!</v>
      </c>
      <c r="U11" s="2629"/>
      <c r="V11" s="2640" t="e">
        <f t="shared" si="1"/>
        <v>#DIV/0!</v>
      </c>
      <c r="W11" s="3900" t="s">
        <v>2754</v>
      </c>
      <c r="X11" s="1026" t="s">
        <v>2739</v>
      </c>
      <c r="Y11" s="1569">
        <f>$G$3</f>
        <v>0</v>
      </c>
      <c r="Z11" s="1569">
        <f t="shared" ref="Z11:AJ11" si="3">$G$3</f>
        <v>0</v>
      </c>
      <c r="AA11" s="1569">
        <f t="shared" si="3"/>
        <v>0</v>
      </c>
      <c r="AB11" s="1569">
        <f t="shared" si="3"/>
        <v>0</v>
      </c>
      <c r="AC11" s="1569">
        <f t="shared" si="3"/>
        <v>0</v>
      </c>
      <c r="AD11" s="1569">
        <f t="shared" si="3"/>
        <v>0</v>
      </c>
      <c r="AE11" s="1569">
        <f t="shared" si="3"/>
        <v>0</v>
      </c>
      <c r="AF11" s="1569">
        <f t="shared" si="3"/>
        <v>0</v>
      </c>
      <c r="AG11" s="1569">
        <f t="shared" si="3"/>
        <v>0</v>
      </c>
      <c r="AH11" s="1569">
        <f t="shared" si="3"/>
        <v>0</v>
      </c>
      <c r="AI11" s="1569">
        <f t="shared" si="3"/>
        <v>0</v>
      </c>
      <c r="AJ11" s="1569">
        <f t="shared" si="3"/>
        <v>0</v>
      </c>
    </row>
    <row r="12" spans="1:39" ht="25.5" thickBot="1">
      <c r="A12" s="3890" t="s">
        <v>1861</v>
      </c>
      <c r="B12" s="1375" t="s">
        <v>936</v>
      </c>
      <c r="C12" s="1021">
        <f>ROUND(C15*D15*E15*F15*G15*H15*I15*J15,4)</f>
        <v>1</v>
      </c>
      <c r="D12" s="1376" t="s">
        <v>937</v>
      </c>
      <c r="E12" s="1377"/>
      <c r="F12" s="1377"/>
      <c r="G12" s="1378"/>
      <c r="H12" s="1378"/>
      <c r="I12" s="1378"/>
      <c r="J12" s="1379"/>
      <c r="K12" s="3220"/>
      <c r="L12" s="1788" t="s">
        <v>2235</v>
      </c>
      <c r="M12" s="1789">
        <f>SUMPRODUCT((区片价!B338:B344=I2)*(区片价!C3:F3=E2)*(区片价!C338:F344))</f>
        <v>0</v>
      </c>
      <c r="N12" s="1790">
        <f>SUMPRODUCT((因素修正幅度!B338:B344=I2)*(因素修正幅度!C3:F3=E2)*(因素修正幅度!C338:F344))</f>
        <v>0</v>
      </c>
      <c r="O12" s="3220"/>
      <c r="P12" s="2056"/>
      <c r="Q12" s="2056"/>
      <c r="R12" s="2640">
        <v>11</v>
      </c>
      <c r="S12" s="2629"/>
      <c r="T12" s="2640" t="e">
        <f t="shared" si="0"/>
        <v>#DIV/0!</v>
      </c>
      <c r="U12" s="2629"/>
      <c r="V12" s="2640" t="e">
        <f t="shared" si="1"/>
        <v>#DIV/0!</v>
      </c>
      <c r="W12" s="3900"/>
      <c r="X12" s="2637" t="s">
        <v>2755</v>
      </c>
      <c r="Y12" s="2635">
        <f t="shared" ref="Y12:AJ12" si="4">Y9</f>
        <v>0</v>
      </c>
      <c r="Z12" s="2635">
        <f t="shared" si="4"/>
        <v>0</v>
      </c>
      <c r="AA12" s="2635">
        <f t="shared" si="4"/>
        <v>0</v>
      </c>
      <c r="AB12" s="2635">
        <f t="shared" si="4"/>
        <v>0</v>
      </c>
      <c r="AC12" s="2635">
        <f t="shared" si="4"/>
        <v>0</v>
      </c>
      <c r="AD12" s="2635">
        <f t="shared" si="4"/>
        <v>0</v>
      </c>
      <c r="AE12" s="2635">
        <f t="shared" si="4"/>
        <v>0</v>
      </c>
      <c r="AF12" s="2635">
        <f t="shared" si="4"/>
        <v>0</v>
      </c>
      <c r="AG12" s="2635">
        <f t="shared" si="4"/>
        <v>0</v>
      </c>
      <c r="AH12" s="2635">
        <f t="shared" si="4"/>
        <v>0</v>
      </c>
      <c r="AI12" s="2635">
        <f t="shared" si="4"/>
        <v>0</v>
      </c>
      <c r="AJ12" s="2635">
        <f t="shared" si="4"/>
        <v>0</v>
      </c>
    </row>
    <row r="13" spans="1:39" ht="24">
      <c r="A13" s="3892"/>
      <c r="B13" s="1380" t="s">
        <v>1686</v>
      </c>
      <c r="C13" s="1381" t="s">
        <v>1687</v>
      </c>
      <c r="D13" s="1063" t="s">
        <v>1688</v>
      </c>
      <c r="E13" s="1063" t="s">
        <v>1689</v>
      </c>
      <c r="F13" s="1382" t="s">
        <v>938</v>
      </c>
      <c r="G13" s="1383" t="s">
        <v>1632</v>
      </c>
      <c r="H13" s="1384" t="s">
        <v>1632</v>
      </c>
      <c r="I13" s="1385" t="s">
        <v>1632</v>
      </c>
      <c r="J13" s="1386" t="s">
        <v>1632</v>
      </c>
      <c r="K13" s="2828"/>
      <c r="L13" s="2828"/>
      <c r="M13" s="2828"/>
      <c r="N13" s="2828"/>
      <c r="O13" s="2828"/>
      <c r="P13" s="2056"/>
      <c r="Q13" s="2056"/>
      <c r="R13" s="2640">
        <v>12</v>
      </c>
      <c r="S13" s="2629"/>
      <c r="T13" s="2640" t="e">
        <f t="shared" si="0"/>
        <v>#DIV/0!</v>
      </c>
      <c r="U13" s="2629"/>
      <c r="V13" s="2640" t="e">
        <f t="shared" si="1"/>
        <v>#DIV/0!</v>
      </c>
      <c r="W13" s="3900"/>
      <c r="X13" s="2637"/>
      <c r="Y13" s="2636" t="e">
        <f>(-0.163*(Y12^2)-0.59*Y12+7617)*(10^(-4))/Y11</f>
        <v>#DIV/0!</v>
      </c>
      <c r="Z13" s="2636" t="e">
        <f t="shared" ref="Z13:AJ13" si="5">(-0.163*(Z12^2)-0.59*Z12+7617)*(10^(-4))/Z11</f>
        <v>#DIV/0!</v>
      </c>
      <c r="AA13" s="2636" t="e">
        <f t="shared" si="5"/>
        <v>#DIV/0!</v>
      </c>
      <c r="AB13" s="2636" t="e">
        <f t="shared" si="5"/>
        <v>#DIV/0!</v>
      </c>
      <c r="AC13" s="2636" t="e">
        <f t="shared" si="5"/>
        <v>#DIV/0!</v>
      </c>
      <c r="AD13" s="2636" t="e">
        <f t="shared" si="5"/>
        <v>#DIV/0!</v>
      </c>
      <c r="AE13" s="2636" t="e">
        <f t="shared" si="5"/>
        <v>#DIV/0!</v>
      </c>
      <c r="AF13" s="2636" t="e">
        <f t="shared" si="5"/>
        <v>#DIV/0!</v>
      </c>
      <c r="AG13" s="2636" t="e">
        <f t="shared" si="5"/>
        <v>#DIV/0!</v>
      </c>
      <c r="AH13" s="2636" t="e">
        <f t="shared" si="5"/>
        <v>#DIV/0!</v>
      </c>
      <c r="AI13" s="2636" t="e">
        <f t="shared" si="5"/>
        <v>#DIV/0!</v>
      </c>
      <c r="AJ13" s="2636" t="e">
        <f t="shared" si="5"/>
        <v>#DIV/0!</v>
      </c>
    </row>
    <row r="14" spans="1:39" ht="12.75" customHeight="1">
      <c r="A14" s="3892"/>
      <c r="B14" s="1387"/>
      <c r="C14" s="1388"/>
      <c r="D14" s="1389"/>
      <c r="E14" s="1389"/>
      <c r="F14" s="1390"/>
      <c r="G14" s="1391" t="s">
        <v>939</v>
      </c>
      <c r="H14" s="1392"/>
      <c r="I14" s="1393"/>
      <c r="J14" s="1394"/>
      <c r="K14" s="3221"/>
      <c r="L14" s="3221"/>
      <c r="M14" s="3221"/>
      <c r="N14" s="3221"/>
      <c r="O14" s="3221"/>
      <c r="P14" s="2056"/>
      <c r="Q14" s="2056"/>
      <c r="R14" s="2640">
        <v>13</v>
      </c>
      <c r="S14" s="2629"/>
      <c r="T14" s="2640" t="e">
        <f t="shared" si="0"/>
        <v>#DIV/0!</v>
      </c>
      <c r="U14" s="2629"/>
      <c r="V14" s="2640" t="e">
        <f t="shared" si="1"/>
        <v>#DIV/0!</v>
      </c>
      <c r="W14" s="2056"/>
      <c r="X14" s="2056"/>
      <c r="Y14" s="2056"/>
      <c r="Z14" s="2056"/>
      <c r="AA14" s="2056"/>
      <c r="AB14" s="2056"/>
      <c r="AC14" s="2057"/>
    </row>
    <row r="15" spans="1:39" ht="13.5" customHeight="1" thickBot="1">
      <c r="A15" s="3893"/>
      <c r="B15" s="2833" t="s">
        <v>1690</v>
      </c>
      <c r="C15" s="1027">
        <f>IF(C14="有",1.1,1)</f>
        <v>1</v>
      </c>
      <c r="D15" s="1027">
        <f>IF(D14="有",1.1,1)</f>
        <v>1</v>
      </c>
      <c r="E15" s="1027">
        <f>IF(E14="有",1.1,1)</f>
        <v>1</v>
      </c>
      <c r="F15" s="1027">
        <f>IF(F14="500米范围内",1.2,IF(F14="500-1000米",1.1,1))</f>
        <v>1</v>
      </c>
      <c r="G15" s="2825">
        <v>1</v>
      </c>
      <c r="H15" s="2825">
        <v>1</v>
      </c>
      <c r="I15" s="2825">
        <v>1</v>
      </c>
      <c r="J15" s="2826">
        <v>1</v>
      </c>
      <c r="K15" s="2829"/>
      <c r="L15" s="2829"/>
      <c r="M15" s="2829"/>
      <c r="N15" s="2829"/>
      <c r="O15" s="2829"/>
      <c r="P15" s="2056"/>
      <c r="Q15" s="2056"/>
      <c r="R15" s="2640">
        <v>14</v>
      </c>
      <c r="S15" s="2629"/>
      <c r="T15" s="2640" t="e">
        <f t="shared" si="0"/>
        <v>#DIV/0!</v>
      </c>
      <c r="U15" s="2629"/>
      <c r="V15" s="2640" t="e">
        <f t="shared" si="1"/>
        <v>#DIV/0!</v>
      </c>
      <c r="W15" s="2056"/>
      <c r="X15" s="2056"/>
      <c r="Y15" s="2056"/>
      <c r="Z15" s="2056"/>
      <c r="AA15" s="2056"/>
      <c r="AB15" s="2056"/>
      <c r="AC15" s="2057"/>
    </row>
    <row r="16" spans="1:39" ht="24.6" customHeight="1">
      <c r="A16" s="3890" t="s">
        <v>1828</v>
      </c>
      <c r="B16" s="1363" t="s">
        <v>940</v>
      </c>
      <c r="C16" s="1030" t="e">
        <f>ROUND(IF(F17="与级别开发程度一致",0,(G17-E17)/C17),0)</f>
        <v>#DIV/0!</v>
      </c>
      <c r="D16" s="3908" t="s">
        <v>944</v>
      </c>
      <c r="E16" s="3909"/>
      <c r="F16" s="3908" t="s">
        <v>941</v>
      </c>
      <c r="G16" s="3909"/>
      <c r="H16" s="1395"/>
      <c r="I16" s="1395"/>
      <c r="J16" s="1395"/>
      <c r="K16" s="1395"/>
      <c r="L16" s="1395"/>
      <c r="M16" s="1395"/>
      <c r="N16" s="1395"/>
      <c r="O16" s="2838"/>
      <c r="P16" s="2056"/>
      <c r="Q16" s="2059"/>
      <c r="R16" s="2640">
        <v>15</v>
      </c>
      <c r="S16" s="2629"/>
      <c r="T16" s="2640" t="e">
        <f t="shared" si="0"/>
        <v>#DIV/0!</v>
      </c>
      <c r="U16" s="2629"/>
      <c r="V16" s="2640" t="e">
        <f t="shared" si="1"/>
        <v>#DIV/0!</v>
      </c>
      <c r="W16" s="2059"/>
      <c r="X16" s="2059"/>
      <c r="Y16" s="2059"/>
      <c r="Z16" s="2059"/>
      <c r="AA16" s="2059"/>
      <c r="AB16" s="2059"/>
      <c r="AC16" s="2060"/>
    </row>
    <row r="17" spans="1:40" ht="13.5" thickBot="1">
      <c r="A17" s="3894"/>
      <c r="B17" s="2839" t="s">
        <v>943</v>
      </c>
      <c r="C17" s="2840">
        <f>SUMPRODUCT((修正!A2:A5=E2)*(修正!B1:M1=G2)*(修正!B2:M5))</f>
        <v>0</v>
      </c>
      <c r="D17" s="2841" t="str">
        <f>IF(OR(G2="八级",G2="九级",G2="十级",G2="十一级",G2="十二级"),"五通一平","七通一平")</f>
        <v>七通一平</v>
      </c>
      <c r="E17" s="2831">
        <f>SUMPRODUCT((修正!B1:M1=G2)*(修正!B15:M15))</f>
        <v>0</v>
      </c>
      <c r="F17" s="2832"/>
      <c r="G17" s="2831">
        <f>SUM(H17:O17)</f>
        <v>0</v>
      </c>
      <c r="H17" s="1029">
        <f>SUMPRODUCT((七通一平=H16)*(修正!B1:M1=G2)*(修正!B6:M14))</f>
        <v>0</v>
      </c>
      <c r="I17" s="1029">
        <f>SUMPRODUCT((七通一平=I16)*(修正!B1:M1=G2)*(修正!B6:M14))</f>
        <v>0</v>
      </c>
      <c r="J17" s="1029">
        <f>SUMPRODUCT((七通一平=J16)*(修正!B1:M1=G2)*(修正!B6:M14))</f>
        <v>0</v>
      </c>
      <c r="K17" s="1029">
        <f>SUMPRODUCT((七通一平=K16)*(修正!B1:M1=G2)*(修正!B6:M14))</f>
        <v>0</v>
      </c>
      <c r="L17" s="1029">
        <f>SUMPRODUCT((七通一平=L16)*(修正!B1:M1=G2)*(修正!B6:M14))</f>
        <v>0</v>
      </c>
      <c r="M17" s="1029">
        <f>SUMPRODUCT((七通一平=M16)*(修正!B1:M1=G2)*(修正!B6:M14))</f>
        <v>0</v>
      </c>
      <c r="N17" s="1029">
        <f>SUMPRODUCT((七通一平=N16)*(修正!B1:M1=G2)*(修正!B6:M14))</f>
        <v>0</v>
      </c>
      <c r="O17" s="2842">
        <f>SUMPRODUCT((七通一平=O16)*(修正!B1:M1=G2)*(修正!B6:M14))</f>
        <v>0</v>
      </c>
      <c r="P17" s="2056"/>
      <c r="Q17" s="2059"/>
      <c r="R17" s="2060"/>
      <c r="S17" s="2060"/>
      <c r="T17" s="2060"/>
      <c r="U17" s="2060"/>
      <c r="V17" s="2060"/>
      <c r="W17" s="2059"/>
      <c r="X17" s="2059"/>
      <c r="Y17" s="2059"/>
      <c r="Z17" s="2059"/>
      <c r="AA17" s="2059"/>
      <c r="AB17" s="2059"/>
      <c r="AC17" s="2060"/>
      <c r="AH17" s="1338"/>
      <c r="AI17" s="1338"/>
      <c r="AJ17" s="1341"/>
      <c r="AK17" s="1341"/>
      <c r="AL17" s="1341"/>
      <c r="AM17" s="1341"/>
    </row>
    <row r="18" spans="1:40" s="1357" customFormat="1" ht="15.75" thickBot="1">
      <c r="A18" s="2483" t="s">
        <v>1819</v>
      </c>
      <c r="B18" s="2834" t="s">
        <v>945</v>
      </c>
      <c r="C18" s="2835">
        <f>SUMIF(修正!C18:C39,E3,修正!E18:E39)</f>
        <v>0</v>
      </c>
      <c r="D18" s="2836"/>
      <c r="E18" s="2837"/>
      <c r="F18" s="2820"/>
      <c r="G18" s="2819"/>
      <c r="H18" s="2819"/>
      <c r="I18" s="2819"/>
      <c r="J18" s="2827"/>
      <c r="K18" s="3219"/>
      <c r="L18" s="2819"/>
      <c r="M18" s="2819"/>
      <c r="N18" s="2819"/>
      <c r="O18" s="2819"/>
      <c r="P18" s="3224"/>
      <c r="Q18" s="2061"/>
      <c r="R18" s="2061"/>
      <c r="S18" s="2061"/>
      <c r="T18" s="2061"/>
      <c r="U18" s="2061"/>
      <c r="V18" s="2061"/>
      <c r="W18" s="2060"/>
      <c r="X18" s="2060"/>
      <c r="Y18" s="2060"/>
      <c r="Z18" s="2060"/>
      <c r="AA18" s="2059"/>
      <c r="AB18" s="2059"/>
      <c r="AC18" s="2062"/>
      <c r="AD18" s="1400"/>
      <c r="AE18" s="1400"/>
      <c r="AF18" s="1400"/>
      <c r="AG18" s="1400"/>
      <c r="AH18" s="1339"/>
      <c r="AI18" s="1339"/>
      <c r="AJ18" s="1340"/>
      <c r="AK18" s="1340"/>
      <c r="AL18" s="1340"/>
    </row>
    <row r="19" spans="1:40" s="1357" customFormat="1" ht="27.75" thickBot="1">
      <c r="A19" s="1556" t="s">
        <v>1825</v>
      </c>
      <c r="B19" s="1398" t="s">
        <v>946</v>
      </c>
      <c r="C19" s="1031">
        <f>ROUND(IF(H19="按公示增长率计算",SUMPRODUCT((地价!A3:A32=YEAR(G19)&amp;"-"&amp;ROUNDUP(MONTH(G19)/3,0))*(地价!X2:AB2=E2)*(地价!X3:AB32)),IF(H19="地价指数",M20/M19,(1+I19)^O19)),4)</f>
        <v>0</v>
      </c>
      <c r="D19" s="1402" t="s">
        <v>947</v>
      </c>
      <c r="E19" s="1032">
        <v>41640</v>
      </c>
      <c r="F19" s="1402" t="s">
        <v>948</v>
      </c>
      <c r="G19" s="1033">
        <f>'数据-取费表'!B2</f>
        <v>44191</v>
      </c>
      <c r="H19" s="1403" t="s">
        <v>2945</v>
      </c>
      <c r="I19" s="2489" t="str">
        <f>IF(H19="季度增幅（自定义）",SUMIF(N21:N24,E2,O21:O24),"")</f>
        <v/>
      </c>
      <c r="J19" s="1399"/>
      <c r="K19" s="3219"/>
      <c r="L19" s="2738" t="s">
        <v>2814</v>
      </c>
      <c r="M19" s="2739">
        <f>ROUND(SUMIF(地价!B2:F2,E2,地价!B32:F32),0)</f>
        <v>0</v>
      </c>
      <c r="N19" s="2491" t="s">
        <v>1666</v>
      </c>
      <c r="O19" s="2490">
        <f>ROUNDDOWN(DATEDIF(E19,G19,"M")/3,0)</f>
        <v>27</v>
      </c>
      <c r="P19" s="2060"/>
      <c r="Q19" s="2628"/>
      <c r="R19" s="2062"/>
      <c r="S19" s="2062"/>
      <c r="T19" s="2062"/>
      <c r="U19" s="2062"/>
      <c r="V19" s="2062"/>
      <c r="W19" s="2062"/>
      <c r="X19" s="2062"/>
      <c r="Y19" s="1339"/>
      <c r="Z19" s="1339"/>
      <c r="AA19" s="1339"/>
      <c r="AB19" s="1339"/>
      <c r="AC19" s="1400"/>
      <c r="AD19" s="1401"/>
      <c r="AE19" s="1405"/>
      <c r="AF19" s="1340"/>
      <c r="AG19" s="1356"/>
      <c r="AH19" s="1356"/>
      <c r="AI19" s="1356"/>
    </row>
    <row r="20" spans="1:40" s="1357" customFormat="1" ht="27.75" thickBot="1">
      <c r="A20" s="2483" t="s">
        <v>1826</v>
      </c>
      <c r="B20" s="2484" t="s">
        <v>961</v>
      </c>
      <c r="C20" s="2485" t="e">
        <f>ROUND(POWER(1+G20,J20-I20)*(POWER(1+G20,I20)-1)/(POWER(1+G20,J20)-1),4)</f>
        <v>#DIV/0!</v>
      </c>
      <c r="D20" s="2486" t="s">
        <v>962</v>
      </c>
      <c r="E20" s="2768">
        <f ca="1">存贷款利率!I4/100</f>
        <v>4.3499999999999997E-2</v>
      </c>
      <c r="F20" s="2486" t="s">
        <v>963</v>
      </c>
      <c r="G20" s="2487">
        <f>SUMIF(M26:P26,E2,M28:P28)</f>
        <v>0</v>
      </c>
      <c r="H20" s="2486" t="s">
        <v>964</v>
      </c>
      <c r="I20" s="2482" t="e">
        <f>SUMIF('数据-取费表'!C6:C15,E2,'数据-取费表'!F6:F15)/COUNTIF('数据-取费表'!C6:C15,E2)</f>
        <v>#DIV/0!</v>
      </c>
      <c r="J20" s="2488">
        <f>IF(E2="住宅",70,IF(E2="商业",40,50))</f>
        <v>50</v>
      </c>
      <c r="K20" s="2829"/>
      <c r="L20" s="2740" t="s">
        <v>2815</v>
      </c>
      <c r="M20" s="2822">
        <f>ROUND(SUMPRODUCT((地价!A4:A32=YEAR(G19)&amp;"-"&amp;ROUNDUP(MONTH(G19)/3,0))*(地价!B2:F2=E2)*(地价!B4:F32)),0)</f>
        <v>0</v>
      </c>
      <c r="N20" s="2494" t="s">
        <v>2620</v>
      </c>
      <c r="O20" s="2492" t="s">
        <v>2619</v>
      </c>
      <c r="P20" s="2493" t="s">
        <v>2624</v>
      </c>
      <c r="Q20" s="2628"/>
      <c r="R20" s="2062"/>
      <c r="S20" s="2062"/>
      <c r="T20" s="2062"/>
      <c r="U20" s="2062"/>
      <c r="V20" s="2062"/>
      <c r="W20" s="2062"/>
      <c r="X20" s="2062"/>
      <c r="Y20" s="1400"/>
      <c r="Z20" s="1400"/>
      <c r="AA20" s="1400"/>
      <c r="AB20" s="1400"/>
      <c r="AC20" s="1400"/>
      <c r="AD20" s="1400"/>
    </row>
    <row r="21" spans="1:40" s="1357" customFormat="1" ht="14.25">
      <c r="A21" s="1558" t="s">
        <v>1827</v>
      </c>
      <c r="B21" s="1408" t="s">
        <v>2981</v>
      </c>
      <c r="C21" s="1132" t="b">
        <f>IF(B21="容积率修正",IF(G3&lt;=10,D22,J22),C23)</f>
        <v>0</v>
      </c>
      <c r="D21" s="1409"/>
      <c r="E21" s="1409"/>
      <c r="F21" s="1409"/>
      <c r="G21" s="1409"/>
      <c r="H21" s="1409"/>
      <c r="I21" s="1409"/>
      <c r="J21" s="1410"/>
      <c r="K21" s="3219"/>
      <c r="L21" s="1409"/>
      <c r="M21" s="1409"/>
      <c r="N21" s="1406" t="s">
        <v>965</v>
      </c>
      <c r="O21" s="1469"/>
      <c r="P21" s="2481">
        <f>SUMPRODUCT((地价!A3:A32=YEAR(G19)&amp;"-"&amp;ROUNDUP(MONTH(G19)/3,0))*(地价!AD2:AH2=N21)*(地价!AD3:AH32))</f>
        <v>1.1599999999999999E-2</v>
      </c>
      <c r="Q21" s="2628"/>
      <c r="R21" s="2062"/>
      <c r="S21" s="2062"/>
      <c r="T21" s="2062"/>
      <c r="U21" s="2062"/>
      <c r="V21" s="2062"/>
      <c r="W21" s="2062"/>
      <c r="X21" s="2062"/>
      <c r="Y21" s="1339"/>
      <c r="Z21" s="1339"/>
      <c r="AA21" s="1339"/>
      <c r="AB21" s="1339"/>
      <c r="AC21" s="1400"/>
      <c r="AD21" s="1400"/>
    </row>
    <row r="22" spans="1:40" s="1357" customFormat="1" ht="14.25">
      <c r="A22" s="1559" t="s">
        <v>1860</v>
      </c>
      <c r="B22" s="1411" t="s">
        <v>966</v>
      </c>
      <c r="C22" s="1034" t="s">
        <v>1692</v>
      </c>
      <c r="D22" s="1034" t="b">
        <f>IF(E22=G22,F22,IF(G3&lt;=10,ROUND(F22+(H22-F22)*(G3-E22)/(G22-E22),4),"——"))</f>
        <v>0</v>
      </c>
      <c r="E22" s="1017">
        <f>ROUNDDOWN(G3,1)</f>
        <v>0</v>
      </c>
      <c r="F22" s="103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17">
        <f>ROUNDUP(G3,1)</f>
        <v>0</v>
      </c>
      <c r="H22" s="103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34" t="s">
        <v>967</v>
      </c>
      <c r="J22" s="1034" t="str">
        <f>IF(G3&gt;10,D113,"——")</f>
        <v>——</v>
      </c>
      <c r="K22" s="3225"/>
      <c r="L22" s="1409"/>
      <c r="M22" s="1409"/>
      <c r="N22" s="1406" t="s">
        <v>968</v>
      </c>
      <c r="O22" s="1469"/>
      <c r="P22" s="2481">
        <f>SUMPRODUCT((地价!A3:A32=YEAR(G19)&amp;"-"&amp;ROUNDUP(MONTH(G19)/3,0))*(地价!AD2:AH2=N22)*(地价!AD3:AH32))</f>
        <v>1.1599999999999999E-2</v>
      </c>
      <c r="Q22" s="2628"/>
      <c r="R22" s="2062"/>
      <c r="S22" s="2062"/>
      <c r="T22" s="2062"/>
      <c r="U22" s="2062"/>
      <c r="V22" s="2062"/>
      <c r="W22" s="2062"/>
      <c r="X22" s="2062"/>
      <c r="Y22" s="1400"/>
      <c r="Z22" s="1400"/>
      <c r="AA22" s="1400"/>
      <c r="AB22" s="1400"/>
      <c r="AC22" s="1400"/>
      <c r="AD22" s="1400"/>
    </row>
    <row r="23" spans="1:40" ht="15.75" thickBot="1">
      <c r="A23" s="1559" t="s">
        <v>1861</v>
      </c>
      <c r="B23" s="1411" t="s">
        <v>969</v>
      </c>
      <c r="C23" s="1035">
        <f>ROUND(IF(G3&gt;1,IF(I3&lt;7,SUMPRODUCT((B93:B98=I3)*(C92:N92=G2)*(C93:N98)),SUMIF(C92:N92,G2,C100:N100)),IF(I3&lt;7,SUMPRODUCT((B102:B107=I3)*(C92:N92=G2)*(C102:N107)),SUMIF(C92:N92,G2,C109:N109))),4)</f>
        <v>0</v>
      </c>
      <c r="D23" s="1457"/>
      <c r="E23" s="1457"/>
      <c r="F23" s="1458"/>
      <c r="G23" s="1459"/>
      <c r="H23" s="1460"/>
      <c r="I23" s="1461"/>
      <c r="J23" s="1461"/>
      <c r="K23" s="3226"/>
      <c r="L23" s="1337"/>
      <c r="M23" s="1337"/>
      <c r="N23" s="1406" t="s">
        <v>913</v>
      </c>
      <c r="O23" s="1469"/>
      <c r="P23" s="2481">
        <f>SUMPRODUCT((地价!A3:A32=YEAR(G19)&amp;"-"&amp;ROUNDUP(MONTH(G19)/3,0))*(地价!AD2:AH2=N23)*(地价!AD3:AH32))</f>
        <v>1.9E-2</v>
      </c>
      <c r="Q23" s="2628"/>
      <c r="R23" s="2062"/>
      <c r="S23" s="2062"/>
      <c r="T23" s="2062"/>
      <c r="U23" s="2062"/>
      <c r="V23" s="2062"/>
      <c r="W23" s="2062"/>
      <c r="X23" s="2062"/>
      <c r="Y23" s="1339"/>
      <c r="Z23" s="1339"/>
      <c r="AA23" s="1339"/>
      <c r="AB23" s="1339"/>
      <c r="AC23" s="1339"/>
      <c r="AE23" s="1340"/>
      <c r="AF23" s="1340"/>
      <c r="AG23" s="1340"/>
      <c r="AH23" s="1340"/>
      <c r="AI23" s="1340"/>
      <c r="AJ23" s="1341"/>
      <c r="AK23" s="1341"/>
      <c r="AL23" s="1341"/>
      <c r="AM23" s="1341"/>
    </row>
    <row r="24" spans="1:40" s="1357" customFormat="1" ht="15.75" thickBot="1">
      <c r="A24" s="1557" t="s">
        <v>1862</v>
      </c>
      <c r="B24" s="1351" t="s">
        <v>970</v>
      </c>
      <c r="C24" s="1036">
        <f>SUMIF(A44:A87,E2,B44:B87)</f>
        <v>0</v>
      </c>
      <c r="D24" s="1462"/>
      <c r="E24" s="1463"/>
      <c r="F24" s="1463"/>
      <c r="G24" s="1463"/>
      <c r="H24" s="1463"/>
      <c r="I24" s="1463"/>
      <c r="J24" s="1463"/>
      <c r="K24" s="3226"/>
      <c r="L24" s="1409"/>
      <c r="M24" s="1409"/>
      <c r="N24" s="1406" t="s">
        <v>971</v>
      </c>
      <c r="O24" s="2821"/>
      <c r="P24" s="2481">
        <f>SUMPRODUCT((地价!A3:A32=YEAR(G19)&amp;"-"&amp;ROUNDUP(MONTH(G19)/3,0))*(地价!AD2:AH2=N24)*(地价!AD3:AH32))</f>
        <v>1.23E-2</v>
      </c>
      <c r="Q24" s="2628"/>
      <c r="R24" s="2062"/>
      <c r="S24" s="2062"/>
      <c r="T24" s="2062"/>
      <c r="U24" s="2062"/>
      <c r="V24" s="2062"/>
      <c r="W24" s="2062"/>
      <c r="X24" s="2062"/>
      <c r="Y24" s="1400"/>
      <c r="Z24" s="1400"/>
      <c r="AA24" s="1400"/>
      <c r="AB24" s="1400"/>
      <c r="AC24" s="1400"/>
      <c r="AD24" s="1400"/>
    </row>
    <row r="25" spans="1:40" ht="15" thickBot="1">
      <c r="A25" s="1557" t="s">
        <v>1863</v>
      </c>
      <c r="B25" s="1413" t="s">
        <v>972</v>
      </c>
      <c r="C25" s="1414"/>
      <c r="D25" s="1366"/>
      <c r="E25" s="1366"/>
      <c r="F25" s="1415"/>
      <c r="G25" s="1366"/>
      <c r="H25" s="1366"/>
      <c r="I25" s="1366"/>
      <c r="J25" s="1367"/>
      <c r="K25" s="3220"/>
      <c r="L25" s="2062"/>
      <c r="M25" s="2062"/>
      <c r="N25" s="2823" t="s">
        <v>2622</v>
      </c>
      <c r="O25" s="2824"/>
      <c r="P25" s="2288">
        <f>SUMPRODUCT((地价!A3:A32=YEAR(G19)&amp;"-"&amp;ROUNDUP(MONTH(G19)/3,0))*(地价!AD2:AH2=N25)*(地价!AD3:AH32))</f>
        <v>1.7299999999999999E-2</v>
      </c>
      <c r="Q25" s="2628"/>
      <c r="R25" s="2062"/>
      <c r="S25" s="2062"/>
      <c r="T25" s="2062"/>
      <c r="U25" s="2062"/>
      <c r="V25" s="2062"/>
      <c r="W25" s="2062"/>
      <c r="X25" s="2062"/>
      <c r="Y25" s="1339"/>
      <c r="Z25" s="1339"/>
      <c r="AA25" s="1339"/>
      <c r="AB25" s="1339"/>
      <c r="AC25" s="1339"/>
      <c r="AE25" s="1340"/>
      <c r="AF25" s="1340"/>
      <c r="AG25" s="1340"/>
      <c r="AH25" s="1340"/>
      <c r="AI25" s="1341"/>
      <c r="AJ25" s="1341"/>
      <c r="AK25" s="1341"/>
      <c r="AL25" s="1341"/>
      <c r="AM25" s="1341"/>
    </row>
    <row r="26" spans="1:40" ht="14.25">
      <c r="A26" s="1416"/>
      <c r="B26" s="1411" t="s">
        <v>976</v>
      </c>
      <c r="C26" s="3002" t="e">
        <f>IF(B21="容积率修正",E29+SUM(E33:E39),SUM(V2:V16)+SUM(E33:E39))</f>
        <v>#DIV/0!</v>
      </c>
      <c r="D26" s="1417"/>
      <c r="E26" s="1392"/>
      <c r="F26" s="1418"/>
      <c r="G26" s="1392"/>
      <c r="H26" s="1392"/>
      <c r="I26" s="1392"/>
      <c r="J26" s="1419"/>
      <c r="K26" s="3220"/>
      <c r="L26" s="1516" t="s">
        <v>888</v>
      </c>
      <c r="M26" s="1364" t="s">
        <v>973</v>
      </c>
      <c r="N26" s="1364" t="s">
        <v>974</v>
      </c>
      <c r="O26" s="1364" t="s">
        <v>892</v>
      </c>
      <c r="P26" s="1404" t="s">
        <v>975</v>
      </c>
      <c r="Q26" s="2628"/>
      <c r="R26" s="2062"/>
      <c r="S26" s="2062"/>
      <c r="T26" s="2062"/>
      <c r="U26" s="2062"/>
      <c r="V26" s="2062"/>
      <c r="W26" s="2062"/>
      <c r="X26" s="2062"/>
      <c r="Y26" s="1400"/>
      <c r="Z26" s="1400"/>
      <c r="AA26" s="1400"/>
      <c r="AB26" s="1400"/>
      <c r="AC26" s="1339"/>
      <c r="AE26" s="1340"/>
      <c r="AF26" s="1340"/>
      <c r="AG26" s="1340"/>
      <c r="AH26" s="1340"/>
      <c r="AI26" s="1341"/>
      <c r="AJ26" s="1341"/>
      <c r="AK26" s="1341"/>
      <c r="AL26" s="1341"/>
      <c r="AM26" s="1341"/>
    </row>
    <row r="27" spans="1:40" ht="15" thickBot="1">
      <c r="A27" s="1416"/>
      <c r="B27" s="1420" t="s">
        <v>978</v>
      </c>
      <c r="C27" s="1038" t="e">
        <f>E30+SUM(I33:I39)</f>
        <v>#DIV/0!</v>
      </c>
      <c r="D27" s="1421"/>
      <c r="E27" s="1422"/>
      <c r="F27" s="1423"/>
      <c r="G27" s="1422"/>
      <c r="H27" s="1422"/>
      <c r="I27" s="1422"/>
      <c r="J27" s="1424"/>
      <c r="K27" s="3220"/>
      <c r="L27" s="1396" t="s">
        <v>977</v>
      </c>
      <c r="M27" s="1025">
        <v>0.25</v>
      </c>
      <c r="N27" s="1025">
        <v>0.2</v>
      </c>
      <c r="O27" s="1025">
        <v>0.15</v>
      </c>
      <c r="P27" s="1466">
        <v>0.1</v>
      </c>
      <c r="Q27" s="2062"/>
      <c r="R27" s="2628"/>
      <c r="S27" s="2628"/>
      <c r="T27" s="2628"/>
      <c r="U27" s="2628"/>
      <c r="V27" s="2628"/>
      <c r="W27" s="2062"/>
      <c r="X27" s="2062"/>
      <c r="Y27" s="2062"/>
      <c r="Z27" s="2062"/>
      <c r="AA27" s="2062"/>
      <c r="AB27" s="2062"/>
      <c r="AC27" s="2062"/>
    </row>
    <row r="28" spans="1:40" ht="15" thickBot="1">
      <c r="A28" s="1412"/>
      <c r="B28" s="1425" t="s">
        <v>979</v>
      </c>
      <c r="C28" s="1426" t="s">
        <v>980</v>
      </c>
      <c r="D28" s="1426" t="s">
        <v>981</v>
      </c>
      <c r="E28" s="1427" t="s">
        <v>982</v>
      </c>
      <c r="F28" s="1428"/>
      <c r="G28" s="1378"/>
      <c r="H28" s="1378"/>
      <c r="I28" s="1378"/>
      <c r="J28" s="1379"/>
      <c r="K28" s="3220"/>
      <c r="L28" s="1397" t="s">
        <v>963</v>
      </c>
      <c r="M28" s="1467">
        <f ca="1">ROUND($E$20*(1+M27),3)</f>
        <v>5.3999999999999999E-2</v>
      </c>
      <c r="N28" s="1467">
        <f ca="1">ROUND($E$20*(1+N27),3)</f>
        <v>5.1999999999999998E-2</v>
      </c>
      <c r="O28" s="1467">
        <f ca="1">ROUND($E$20*(1+O27),3)</f>
        <v>0.05</v>
      </c>
      <c r="P28" s="1468">
        <f ca="1">ROUND($E$20*(1+P27),3)</f>
        <v>4.8000000000000001E-2</v>
      </c>
      <c r="Q28" s="2062"/>
      <c r="R28" s="2628"/>
      <c r="S28" s="2628"/>
      <c r="T28" s="2628"/>
      <c r="U28" s="2628"/>
      <c r="V28" s="2628"/>
      <c r="W28" s="2062"/>
      <c r="X28" s="2062"/>
      <c r="Y28" s="2062"/>
      <c r="Z28" s="2062"/>
      <c r="AA28" s="2062"/>
      <c r="AB28" s="2062"/>
      <c r="AC28" s="2062"/>
      <c r="AD28" s="1400"/>
      <c r="AE28" s="1400"/>
      <c r="AF28" s="1400"/>
      <c r="AG28" s="1400"/>
    </row>
    <row r="29" spans="1:40" ht="14.25">
      <c r="A29" s="1429"/>
      <c r="B29" s="1430" t="s">
        <v>983</v>
      </c>
      <c r="C29" s="1037" t="e">
        <f>ROUND(C5*C18*C19*C20*C21*C24,0)</f>
        <v>#DIV/0!</v>
      </c>
      <c r="D29" s="1431"/>
      <c r="E29" s="1749" t="e">
        <f>ROUND(C29*D29/10000,0)</f>
        <v>#DIV/0!</v>
      </c>
      <c r="F29" s="1432" t="s">
        <v>1691</v>
      </c>
      <c r="G29" s="1433"/>
      <c r="H29" s="1433"/>
      <c r="I29" s="1433"/>
      <c r="J29" s="1434"/>
      <c r="K29" s="3227"/>
      <c r="L29" s="3227"/>
      <c r="M29" s="3227"/>
      <c r="N29" s="3227"/>
      <c r="O29" s="3227"/>
      <c r="P29" s="2056"/>
      <c r="Q29" s="2062"/>
      <c r="R29" s="2062"/>
      <c r="S29" s="2062"/>
      <c r="T29" s="2062"/>
      <c r="U29" s="2062"/>
      <c r="V29" s="2062"/>
      <c r="W29" s="2628"/>
      <c r="X29" s="2628"/>
      <c r="Y29" s="2628"/>
      <c r="Z29" s="2628"/>
      <c r="AA29" s="2628"/>
      <c r="AB29" s="2062"/>
      <c r="AC29" s="2062"/>
      <c r="AD29" s="2062"/>
      <c r="AE29" s="2062"/>
      <c r="AF29" s="2062"/>
      <c r="AG29" s="2062"/>
      <c r="AH29" s="2062"/>
      <c r="AJ29" s="1339"/>
      <c r="AK29" s="1339"/>
      <c r="AL29" s="1339"/>
      <c r="AM29" s="1338"/>
      <c r="AN29" s="1338"/>
    </row>
    <row r="30" spans="1:40" ht="24.75" thickBot="1">
      <c r="A30" s="1435"/>
      <c r="B30" s="1436" t="s">
        <v>984</v>
      </c>
      <c r="C30" s="1029" t="e">
        <f>ROUND(IF(E2="工业",C29*M39,C29*M38),0)</f>
        <v>#DIV/0!</v>
      </c>
      <c r="D30" s="1437"/>
      <c r="E30" s="1749" t="e">
        <f>ROUND(C30*D30/10000,0)</f>
        <v>#DIV/0!</v>
      </c>
      <c r="F30" s="1438" t="s">
        <v>985</v>
      </c>
      <c r="G30" s="1439"/>
      <c r="H30" s="1439"/>
      <c r="I30" s="1439"/>
      <c r="J30" s="1440"/>
      <c r="K30" s="3220"/>
      <c r="L30" s="3220"/>
      <c r="M30" s="3220"/>
      <c r="N30" s="3220"/>
      <c r="O30" s="3220"/>
      <c r="P30" s="2056"/>
      <c r="Q30" s="2056"/>
      <c r="R30" s="2056"/>
      <c r="S30" s="2056"/>
      <c r="T30" s="2056"/>
      <c r="U30" s="2056"/>
      <c r="V30" s="2056"/>
      <c r="W30" s="2057"/>
      <c r="X30" s="2057"/>
      <c r="Y30" s="2057"/>
      <c r="Z30" s="2057"/>
      <c r="AA30" s="2057"/>
      <c r="AB30" s="2056"/>
      <c r="AC30" s="2056"/>
      <c r="AD30" s="2056"/>
      <c r="AE30" s="2056"/>
      <c r="AF30" s="2056"/>
      <c r="AG30" s="2056"/>
      <c r="AH30" s="2056"/>
      <c r="AI30" s="1400"/>
      <c r="AJ30" s="1400"/>
      <c r="AK30" s="1400"/>
      <c r="AL30" s="1400"/>
      <c r="AM30" s="1338"/>
      <c r="AN30" s="1338"/>
    </row>
    <row r="31" spans="1:40">
      <c r="A31" s="1441"/>
      <c r="B31" s="1442" t="s">
        <v>986</v>
      </c>
      <c r="C31" s="1443" t="s">
        <v>987</v>
      </c>
      <c r="D31" s="1378"/>
      <c r="E31" s="1443"/>
      <c r="F31" s="1443"/>
      <c r="G31" s="1376" t="s">
        <v>985</v>
      </c>
      <c r="H31" s="1378"/>
      <c r="I31" s="1444"/>
      <c r="J31" s="1379"/>
      <c r="K31" s="3220"/>
      <c r="L31" s="3220"/>
      <c r="M31" s="3220"/>
      <c r="N31" s="3220"/>
      <c r="O31" s="3220"/>
      <c r="P31" s="2056"/>
      <c r="Q31" s="2056"/>
      <c r="R31" s="2056"/>
      <c r="S31" s="2056"/>
      <c r="T31" s="2056"/>
      <c r="U31" s="2056"/>
      <c r="V31" s="2056"/>
      <c r="W31" s="2057"/>
      <c r="X31" s="2057"/>
      <c r="Y31" s="2057"/>
      <c r="Z31" s="2057"/>
      <c r="AA31" s="2057"/>
      <c r="AB31" s="2056"/>
      <c r="AC31" s="2056"/>
      <c r="AD31" s="2056"/>
      <c r="AE31" s="2056"/>
      <c r="AF31" s="2056"/>
      <c r="AG31" s="2056"/>
      <c r="AH31" s="2056"/>
      <c r="AJ31" s="1339"/>
      <c r="AK31" s="1339"/>
      <c r="AL31" s="1339"/>
      <c r="AM31" s="1338"/>
      <c r="AN31" s="1338"/>
    </row>
    <row r="32" spans="1:40" ht="24">
      <c r="A32" s="1429"/>
      <c r="B32" s="1445"/>
      <c r="C32" s="1446" t="s">
        <v>980</v>
      </c>
      <c r="D32" s="1447" t="s">
        <v>981</v>
      </c>
      <c r="E32" s="1447" t="s">
        <v>982</v>
      </c>
      <c r="F32" s="1448" t="s">
        <v>988</v>
      </c>
      <c r="G32" s="1407" t="s">
        <v>980</v>
      </c>
      <c r="H32" s="1407" t="s">
        <v>981</v>
      </c>
      <c r="I32" s="1407" t="s">
        <v>982</v>
      </c>
      <c r="J32" s="1449"/>
      <c r="K32" s="3228"/>
      <c r="L32" s="3228"/>
      <c r="M32" s="3228"/>
      <c r="N32" s="3228"/>
      <c r="O32" s="3228"/>
      <c r="P32" s="2056"/>
      <c r="Q32" s="2056"/>
      <c r="R32" s="2056"/>
      <c r="S32" s="2056"/>
      <c r="T32" s="2056"/>
      <c r="U32" s="2056"/>
      <c r="V32" s="2056"/>
      <c r="W32" s="2057"/>
      <c r="X32" s="2057"/>
      <c r="Y32" s="2057"/>
      <c r="Z32" s="2057"/>
      <c r="AA32" s="2057"/>
      <c r="AB32" s="2056"/>
      <c r="AC32" s="2056"/>
      <c r="AD32" s="2056"/>
      <c r="AE32" s="2056"/>
      <c r="AF32" s="2056"/>
      <c r="AG32" s="2056"/>
      <c r="AH32" s="2056"/>
      <c r="AI32" s="1338"/>
      <c r="AJ32" s="1338"/>
      <c r="AK32" s="1338"/>
      <c r="AL32" s="1338"/>
      <c r="AM32" s="1338"/>
      <c r="AN32" s="1338"/>
    </row>
    <row r="33" spans="1:44" ht="12.75">
      <c r="A33" s="3897"/>
      <c r="B33" s="1451" t="s">
        <v>989</v>
      </c>
      <c r="C33" s="1037" t="e">
        <f>ROUND(D5*C19*C20*C24*F33,0)</f>
        <v>#DIV/0!</v>
      </c>
      <c r="D33" s="1464"/>
      <c r="E33" s="1026" t="e">
        <f>ROUND(C33*D33/10000,0)</f>
        <v>#DIV/0!</v>
      </c>
      <c r="F33" s="1026">
        <f>SUMIF(修正!A45:A56,G2,修正!B45:B56)</f>
        <v>0</v>
      </c>
      <c r="G33" s="1026" t="e">
        <f t="shared" ref="G33" si="6">ROUND(IF(E2="工业",C33*$M$39,C33*$M$38),0)</f>
        <v>#DIV/0!</v>
      </c>
      <c r="H33" s="1026">
        <f>D33</f>
        <v>0</v>
      </c>
      <c r="I33" s="1026" t="e">
        <f>ROUND(G33*H33/10000,0)</f>
        <v>#DIV/0!</v>
      </c>
      <c r="J33" s="3897" t="s">
        <v>2985</v>
      </c>
      <c r="K33" s="2828"/>
      <c r="L33" s="2828"/>
      <c r="M33" s="2828"/>
      <c r="N33" s="2828"/>
      <c r="O33" s="2828"/>
      <c r="P33" s="2056"/>
      <c r="Q33" s="2056"/>
      <c r="R33" s="2056"/>
      <c r="S33" s="2056"/>
      <c r="T33" s="2056"/>
      <c r="U33" s="2056"/>
      <c r="V33" s="2056"/>
      <c r="W33" s="2057"/>
      <c r="X33" s="2057"/>
      <c r="Y33" s="2057"/>
      <c r="Z33" s="2057"/>
      <c r="AA33" s="2057"/>
      <c r="AB33" s="2056"/>
      <c r="AC33" s="2056"/>
      <c r="AD33" s="2056"/>
      <c r="AE33" s="2056"/>
      <c r="AF33" s="2056"/>
      <c r="AG33" s="2056"/>
      <c r="AH33" s="2057"/>
      <c r="AJ33" s="1339"/>
      <c r="AK33" s="1339"/>
      <c r="AL33" s="1339"/>
      <c r="AM33" s="1339"/>
      <c r="AN33" s="1339"/>
      <c r="AO33" s="1340"/>
      <c r="AP33" s="1340"/>
      <c r="AQ33" s="1340"/>
      <c r="AR33" s="1340"/>
    </row>
    <row r="34" spans="1:44" ht="12.75">
      <c r="A34" s="3898"/>
      <c r="B34" s="1381" t="s">
        <v>990</v>
      </c>
      <c r="C34" s="1037" t="e">
        <f>ROUND(D5*C19*C20*C24*F34,0)</f>
        <v>#DIV/0!</v>
      </c>
      <c r="D34" s="1464"/>
      <c r="E34" s="1026" t="e">
        <f t="shared" ref="E34:E39" si="7">ROUND(C34*D34/10000,0)</f>
        <v>#DIV/0!</v>
      </c>
      <c r="F34" s="1026">
        <f>SUMIF(修正!A45:A56,G2,修正!C45:C56)</f>
        <v>0</v>
      </c>
      <c r="G34" s="1026" t="e">
        <f>ROUND(IF(E2="工业",C34*$M$39,C34*$M$38),0)</f>
        <v>#DIV/0!</v>
      </c>
      <c r="H34" s="1026">
        <f t="shared" ref="H34:H39" si="8">D34</f>
        <v>0</v>
      </c>
      <c r="I34" s="1026" t="e">
        <f t="shared" ref="I34:I39" si="9">ROUND(G34*H34/10000,0)</f>
        <v>#DIV/0!</v>
      </c>
      <c r="J34" s="3898"/>
      <c r="K34" s="2828"/>
      <c r="L34" s="2828"/>
      <c r="M34" s="2828"/>
      <c r="N34" s="2828"/>
      <c r="O34" s="2828"/>
      <c r="P34" s="2056"/>
      <c r="Q34" s="2056"/>
      <c r="R34" s="2056"/>
      <c r="S34" s="2056"/>
      <c r="T34" s="2056"/>
      <c r="U34" s="2056"/>
      <c r="V34" s="2056"/>
      <c r="W34" s="2057"/>
      <c r="X34" s="2057"/>
      <c r="Y34" s="2057"/>
      <c r="Z34" s="2057"/>
      <c r="AA34" s="2057"/>
      <c r="AB34" s="2056"/>
      <c r="AC34" s="2056"/>
      <c r="AD34" s="2056"/>
      <c r="AE34" s="2056"/>
      <c r="AF34" s="2056"/>
      <c r="AG34" s="2056"/>
      <c r="AH34" s="2057"/>
      <c r="AJ34" s="1339"/>
      <c r="AK34" s="1339"/>
      <c r="AL34" s="1339"/>
      <c r="AM34" s="1339"/>
      <c r="AN34" s="1339"/>
      <c r="AO34" s="1340"/>
      <c r="AP34" s="1340"/>
      <c r="AQ34" s="1340"/>
      <c r="AR34" s="1340"/>
    </row>
    <row r="35" spans="1:44" ht="12.75">
      <c r="A35" s="3898"/>
      <c r="B35" s="1381" t="s">
        <v>991</v>
      </c>
      <c r="C35" s="1037" t="e">
        <f>ROUND(D5*C19*C20*C24*F35,0)</f>
        <v>#DIV/0!</v>
      </c>
      <c r="D35" s="1464"/>
      <c r="E35" s="1026" t="e">
        <f t="shared" si="7"/>
        <v>#DIV/0!</v>
      </c>
      <c r="F35" s="1026">
        <f>SUMIF(修正!A45:A56,G2,修正!D45:D56)</f>
        <v>0</v>
      </c>
      <c r="G35" s="1026" t="e">
        <f>ROUND(IF(E2="工业",C35*$M$39,C35*$M$38),0)</f>
        <v>#DIV/0!</v>
      </c>
      <c r="H35" s="1026">
        <f t="shared" si="8"/>
        <v>0</v>
      </c>
      <c r="I35" s="1026" t="e">
        <f t="shared" si="9"/>
        <v>#DIV/0!</v>
      </c>
      <c r="J35" s="3898"/>
      <c r="K35" s="2828"/>
      <c r="L35" s="2828"/>
      <c r="M35" s="2828"/>
      <c r="N35" s="2828"/>
      <c r="O35" s="2828"/>
      <c r="P35" s="2056"/>
      <c r="Q35" s="2056"/>
      <c r="R35" s="2056"/>
      <c r="S35" s="2056"/>
      <c r="T35" s="2056"/>
      <c r="U35" s="2056"/>
      <c r="V35" s="2056"/>
      <c r="W35" s="2057"/>
      <c r="X35" s="2057"/>
      <c r="Y35" s="2057"/>
      <c r="Z35" s="2057"/>
      <c r="AA35" s="2057"/>
      <c r="AB35" s="2056"/>
      <c r="AC35" s="2056"/>
      <c r="AD35" s="2056"/>
      <c r="AE35" s="2056"/>
      <c r="AF35" s="2056"/>
      <c r="AG35" s="2056"/>
      <c r="AH35" s="2057"/>
      <c r="AJ35" s="1339"/>
      <c r="AK35" s="1339"/>
      <c r="AL35" s="1339"/>
      <c r="AM35" s="1339"/>
      <c r="AN35" s="1339"/>
      <c r="AO35" s="1340"/>
      <c r="AP35" s="1340"/>
      <c r="AQ35" s="1340"/>
      <c r="AR35" s="1340"/>
    </row>
    <row r="36" spans="1:44" ht="13.5" thickBot="1">
      <c r="A36" s="3899"/>
      <c r="B36" s="1381" t="s">
        <v>992</v>
      </c>
      <c r="C36" s="1037" t="e">
        <f>ROUND(D5*C19*C20*C24*F36,0)</f>
        <v>#DIV/0!</v>
      </c>
      <c r="D36" s="1464"/>
      <c r="E36" s="1026" t="e">
        <f t="shared" si="7"/>
        <v>#DIV/0!</v>
      </c>
      <c r="F36" s="1026">
        <f>SUMIF(修正!A45:A56,G2,修正!E45:E56)</f>
        <v>0</v>
      </c>
      <c r="G36" s="1026" t="e">
        <f>ROUND(IF(E2="工业",C36*$M$39,C36*$M$38),0)</f>
        <v>#DIV/0!</v>
      </c>
      <c r="H36" s="1026">
        <f t="shared" si="8"/>
        <v>0</v>
      </c>
      <c r="I36" s="1026" t="e">
        <f t="shared" si="9"/>
        <v>#DIV/0!</v>
      </c>
      <c r="J36" s="3899"/>
      <c r="K36" s="2828"/>
      <c r="L36" s="2828"/>
      <c r="M36" s="2828"/>
      <c r="N36" s="2828"/>
      <c r="O36" s="2828"/>
      <c r="P36" s="2056"/>
      <c r="Q36" s="2056"/>
      <c r="R36" s="2056"/>
      <c r="S36" s="2056"/>
      <c r="T36" s="2056"/>
      <c r="U36" s="2056"/>
      <c r="V36" s="2056"/>
      <c r="W36" s="2057"/>
      <c r="X36" s="2057"/>
      <c r="Y36" s="2057"/>
      <c r="Z36" s="2057"/>
      <c r="AA36" s="2057"/>
      <c r="AB36" s="2056"/>
      <c r="AC36" s="2056"/>
      <c r="AD36" s="2056"/>
      <c r="AE36" s="2056"/>
      <c r="AF36" s="2056"/>
      <c r="AG36" s="2056"/>
      <c r="AH36" s="2057"/>
      <c r="AJ36" s="1339"/>
      <c r="AK36" s="1339"/>
      <c r="AL36" s="1339"/>
      <c r="AM36" s="1339"/>
      <c r="AN36" s="1339"/>
      <c r="AO36" s="1340"/>
      <c r="AP36" s="1340"/>
      <c r="AQ36" s="1340"/>
      <c r="AR36" s="1340"/>
    </row>
    <row r="37" spans="1:44" ht="12.75">
      <c r="A37" s="1450"/>
      <c r="B37" s="1381" t="s">
        <v>993</v>
      </c>
      <c r="C37" s="1026" t="e">
        <f>ROUND(D5*C19*C20*C24*F37,0)</f>
        <v>#DIV/0!</v>
      </c>
      <c r="D37" s="1464"/>
      <c r="E37" s="1026" t="e">
        <f t="shared" si="7"/>
        <v>#DIV/0!</v>
      </c>
      <c r="F37" s="1037">
        <f>SUMIF(修正!A45:A56,G2,修正!F45:F56)</f>
        <v>0</v>
      </c>
      <c r="G37" s="1026" t="e">
        <f>ROUND(IF(E2="工业",C37*$M$39,C37*$M$38),0)</f>
        <v>#DIV/0!</v>
      </c>
      <c r="H37" s="1026">
        <f t="shared" si="8"/>
        <v>0</v>
      </c>
      <c r="I37" s="1026" t="e">
        <f t="shared" si="9"/>
        <v>#DIV/0!</v>
      </c>
      <c r="J37" s="1452"/>
      <c r="K37" s="2056"/>
      <c r="L37" s="1470" t="s">
        <v>1693</v>
      </c>
      <c r="M37" s="1471"/>
      <c r="N37" s="2056"/>
      <c r="O37" s="2056"/>
      <c r="P37" s="2056"/>
      <c r="Q37" s="2056"/>
      <c r="R37" s="2057"/>
      <c r="S37" s="2057"/>
      <c r="T37" s="2057"/>
      <c r="U37" s="2057"/>
      <c r="V37" s="2057"/>
      <c r="W37" s="2056"/>
      <c r="X37" s="2056"/>
      <c r="Y37" s="2056"/>
      <c r="Z37" s="2056"/>
      <c r="AA37" s="2056"/>
      <c r="AB37" s="2056"/>
      <c r="AC37" s="2057"/>
    </row>
    <row r="38" spans="1:44" ht="12.75">
      <c r="A38" s="1450"/>
      <c r="B38" s="1381" t="s">
        <v>994</v>
      </c>
      <c r="C38" s="1026" t="e">
        <f>ROUND(D5*C19*C41*C24*F38,0)</f>
        <v>#DIV/0!</v>
      </c>
      <c r="D38" s="1464"/>
      <c r="E38" s="1026" t="e">
        <f t="shared" si="7"/>
        <v>#DIV/0!</v>
      </c>
      <c r="F38" s="1037">
        <f>SUMIF(修正!A45:A56,G2,修正!G45:G56)</f>
        <v>0</v>
      </c>
      <c r="G38" s="1026" t="e">
        <f>ROUND(IF(E2="工业",C38*$M$39,C38*$M$38),0)</f>
        <v>#DIV/0!</v>
      </c>
      <c r="H38" s="1026">
        <f t="shared" si="8"/>
        <v>0</v>
      </c>
      <c r="I38" s="1026" t="e">
        <f t="shared" si="9"/>
        <v>#DIV/0!</v>
      </c>
      <c r="J38" s="1452"/>
      <c r="K38" s="2056"/>
      <c r="L38" s="1472" t="s">
        <v>1695</v>
      </c>
      <c r="M38" s="1473">
        <v>0.25</v>
      </c>
      <c r="N38" s="2056"/>
      <c r="O38" s="2056"/>
      <c r="P38" s="2056"/>
      <c r="Q38" s="2056"/>
      <c r="R38" s="2057"/>
      <c r="S38" s="2057"/>
      <c r="T38" s="2057"/>
      <c r="U38" s="2057"/>
      <c r="V38" s="2057"/>
      <c r="W38" s="2056"/>
      <c r="X38" s="2056"/>
      <c r="Y38" s="2056"/>
      <c r="Z38" s="2056"/>
      <c r="AA38" s="2056"/>
      <c r="AB38" s="2056"/>
      <c r="AC38" s="2057"/>
    </row>
    <row r="39" spans="1:44" ht="13.5" thickBot="1">
      <c r="A39" s="1435"/>
      <c r="B39" s="1453" t="s">
        <v>995</v>
      </c>
      <c r="C39" s="1029" t="e">
        <f>ROUND(D5*C19*C41*C24*F39,0)</f>
        <v>#DIV/0!</v>
      </c>
      <c r="D39" s="1465"/>
      <c r="E39" s="1029" t="e">
        <f t="shared" si="7"/>
        <v>#DIV/0!</v>
      </c>
      <c r="F39" s="1039">
        <f>SUMIF(修正!A45:A56,G2,修正!H45:H56)</f>
        <v>0</v>
      </c>
      <c r="G39" s="1029" t="e">
        <f>ROUND(IF(E2="工业",C39*$M$39,C39*$M$38),0)</f>
        <v>#DIV/0!</v>
      </c>
      <c r="H39" s="1029">
        <f t="shared" si="8"/>
        <v>0</v>
      </c>
      <c r="I39" s="1029" t="e">
        <f t="shared" si="9"/>
        <v>#DIV/0!</v>
      </c>
      <c r="J39" s="1454"/>
      <c r="K39" s="2056"/>
      <c r="L39" s="1474" t="s">
        <v>1694</v>
      </c>
      <c r="M39" s="1475">
        <v>0.15</v>
      </c>
      <c r="N39" s="2056"/>
      <c r="O39" s="2056"/>
      <c r="P39" s="2056"/>
      <c r="Q39" s="2056"/>
      <c r="R39" s="2057"/>
      <c r="S39" s="2057"/>
      <c r="T39" s="2057"/>
      <c r="U39" s="2057"/>
      <c r="V39" s="2057"/>
      <c r="W39" s="2056"/>
      <c r="X39" s="2056"/>
      <c r="Y39" s="2056"/>
      <c r="Z39" s="2056"/>
      <c r="AA39" s="2056"/>
      <c r="AB39" s="2056"/>
      <c r="AC39" s="2057"/>
    </row>
    <row r="40" spans="1:44" s="1338" customFormat="1">
      <c r="B40" s="2063"/>
      <c r="C40" s="2063"/>
      <c r="D40" s="2063"/>
      <c r="E40" s="2063"/>
      <c r="F40" s="2063"/>
      <c r="G40" s="2063"/>
      <c r="H40" s="2063"/>
      <c r="I40" s="2063"/>
      <c r="J40" s="2063"/>
      <c r="K40" s="2063"/>
      <c r="L40" s="2063"/>
      <c r="M40" s="2063"/>
      <c r="N40" s="2063"/>
      <c r="O40" s="2063"/>
      <c r="P40" s="2063"/>
      <c r="Q40" s="2063"/>
      <c r="R40" s="2064"/>
      <c r="S40" s="2064"/>
      <c r="T40" s="2064"/>
      <c r="U40" s="2064"/>
      <c r="V40" s="2064"/>
      <c r="W40" s="2063"/>
      <c r="X40" s="2063"/>
      <c r="Y40" s="2063"/>
      <c r="Z40" s="2063"/>
      <c r="AA40" s="2063"/>
      <c r="AB40" s="2063"/>
      <c r="AC40" s="2064"/>
      <c r="AD40" s="1339"/>
      <c r="AE40" s="1339"/>
      <c r="AF40" s="1339"/>
      <c r="AG40" s="1339"/>
      <c r="AH40" s="1339"/>
      <c r="AI40" s="1339"/>
      <c r="AJ40" s="1339"/>
      <c r="AK40" s="1339"/>
      <c r="AL40" s="1339"/>
      <c r="AM40" s="1339"/>
    </row>
    <row r="41" spans="1:44" s="1338" customFormat="1" ht="12.75">
      <c r="A41" s="1339"/>
      <c r="B41" s="2818" t="s">
        <v>2939</v>
      </c>
      <c r="C41" s="820" t="e">
        <f>ROUND(POWER(1+E41,H41-G41)*(POWER(1+E41,G41)-1)/(POWER(1+E41,H41)-1),4)</f>
        <v>#DIV/0!</v>
      </c>
      <c r="D41" s="364" t="s">
        <v>2937</v>
      </c>
      <c r="E41" s="2817">
        <f>G20</f>
        <v>0</v>
      </c>
      <c r="F41" s="364" t="s">
        <v>2938</v>
      </c>
      <c r="G41" s="382"/>
      <c r="H41" s="364">
        <v>50</v>
      </c>
      <c r="I41" s="2063"/>
      <c r="J41" s="2063"/>
      <c r="K41" s="2063"/>
      <c r="L41" s="2063"/>
      <c r="M41" s="2063"/>
      <c r="N41" s="2063"/>
      <c r="O41" s="2063"/>
      <c r="P41" s="2063"/>
      <c r="Q41" s="2063"/>
      <c r="R41" s="2064"/>
      <c r="S41" s="2064"/>
      <c r="T41" s="2064"/>
      <c r="U41" s="2064"/>
      <c r="V41" s="2064"/>
      <c r="W41" s="2063"/>
      <c r="X41" s="2063"/>
      <c r="Y41" s="2063"/>
      <c r="Z41" s="2063"/>
      <c r="AA41" s="2063"/>
      <c r="AB41" s="2063"/>
      <c r="AC41" s="2064"/>
      <c r="AD41" s="1339"/>
      <c r="AE41" s="1339"/>
      <c r="AF41" s="1339"/>
      <c r="AG41" s="1339"/>
      <c r="AH41" s="1339"/>
      <c r="AI41" s="1339"/>
      <c r="AJ41" s="1339"/>
      <c r="AK41" s="1339"/>
      <c r="AL41" s="1339"/>
      <c r="AM41" s="1339"/>
    </row>
    <row r="42" spans="1:44" s="1338" customFormat="1">
      <c r="A42" s="1339"/>
      <c r="B42" s="2065"/>
      <c r="C42" s="2063"/>
      <c r="D42" s="2063"/>
      <c r="E42" s="2063"/>
      <c r="F42" s="2063"/>
      <c r="G42" s="2063"/>
      <c r="H42" s="2063"/>
      <c r="I42" s="2063"/>
      <c r="J42" s="2063"/>
      <c r="K42" s="2063"/>
      <c r="L42" s="2063"/>
      <c r="M42" s="2063"/>
      <c r="N42" s="2063"/>
      <c r="O42" s="2063"/>
      <c r="P42" s="2063"/>
      <c r="Q42" s="2063"/>
      <c r="R42" s="2064"/>
      <c r="S42" s="2064"/>
      <c r="T42" s="2064"/>
      <c r="U42" s="2064"/>
      <c r="V42" s="2064"/>
      <c r="W42" s="2063"/>
      <c r="X42" s="2063"/>
      <c r="Y42" s="2063"/>
      <c r="Z42" s="2063"/>
      <c r="AA42" s="2063"/>
      <c r="AB42" s="2063"/>
      <c r="AC42" s="2064"/>
      <c r="AD42" s="1339"/>
      <c r="AE42" s="1339"/>
      <c r="AF42" s="1339"/>
      <c r="AG42" s="1339"/>
      <c r="AH42" s="1339"/>
      <c r="AI42" s="1339"/>
      <c r="AJ42" s="1339"/>
      <c r="AK42" s="1339"/>
      <c r="AL42" s="1339"/>
      <c r="AM42" s="1339"/>
    </row>
    <row r="43" spans="1:44" s="1338" customFormat="1">
      <c r="A43" s="1339"/>
      <c r="B43" s="2065"/>
      <c r="C43" s="2063"/>
      <c r="D43" s="2063"/>
      <c r="E43" s="2063"/>
      <c r="F43" s="2063"/>
      <c r="G43" s="2063"/>
      <c r="H43" s="2063"/>
      <c r="I43" s="2063"/>
      <c r="J43" s="2063"/>
      <c r="K43" s="2063"/>
      <c r="L43" s="2063"/>
      <c r="M43" s="2063"/>
      <c r="N43" s="2063"/>
      <c r="O43" s="2063"/>
      <c r="P43" s="2063"/>
      <c r="Q43" s="2063"/>
      <c r="R43" s="2064"/>
      <c r="S43" s="2064"/>
      <c r="T43" s="2064"/>
      <c r="U43" s="2064"/>
      <c r="V43" s="2064"/>
      <c r="W43" s="2063"/>
      <c r="X43" s="2063"/>
      <c r="Y43" s="2063"/>
      <c r="Z43" s="2063"/>
      <c r="AA43" s="2063"/>
      <c r="AB43" s="2063"/>
      <c r="AC43" s="2064"/>
      <c r="AD43" s="1339"/>
      <c r="AE43" s="1339"/>
      <c r="AF43" s="1339"/>
      <c r="AG43" s="1339"/>
      <c r="AH43" s="1339"/>
      <c r="AI43" s="1339"/>
      <c r="AJ43" s="1339"/>
      <c r="AK43" s="1339"/>
      <c r="AL43" s="1339"/>
      <c r="AM43" s="1339"/>
    </row>
    <row r="44" spans="1:44" s="1338" customFormat="1" ht="15" thickBot="1">
      <c r="A44" s="2260" t="s">
        <v>996</v>
      </c>
      <c r="B44" s="2261"/>
      <c r="C44" s="2262"/>
      <c r="D44" s="2263"/>
      <c r="E44" s="2263"/>
      <c r="F44" s="2264"/>
      <c r="G44" s="1040"/>
      <c r="H44" s="2264"/>
      <c r="I44" s="1040"/>
      <c r="J44" s="1040"/>
      <c r="K44" s="1040"/>
      <c r="L44" s="1040"/>
      <c r="M44" s="1040"/>
      <c r="O44" s="2063"/>
      <c r="P44" s="2063"/>
      <c r="Q44" s="2063"/>
      <c r="R44" s="2064"/>
      <c r="S44" s="2064"/>
      <c r="T44" s="2064"/>
      <c r="U44" s="2064"/>
      <c r="V44" s="2064"/>
      <c r="W44" s="2063"/>
      <c r="X44" s="2063"/>
      <c r="Y44" s="2063"/>
      <c r="Z44" s="2063"/>
      <c r="AA44" s="2063"/>
      <c r="AB44" s="2063"/>
      <c r="AC44" s="2064"/>
      <c r="AD44" s="1339"/>
      <c r="AE44" s="1339"/>
      <c r="AF44" s="1339"/>
      <c r="AG44" s="1339"/>
      <c r="AH44" s="1339"/>
      <c r="AI44" s="1339"/>
      <c r="AJ44" s="1339"/>
      <c r="AK44" s="1339"/>
      <c r="AL44" s="1339"/>
      <c r="AM44" s="1339"/>
    </row>
    <row r="45" spans="1:44" s="1338" customFormat="1" ht="15">
      <c r="A45" s="2265" t="s">
        <v>997</v>
      </c>
      <c r="B45" s="2266">
        <f>1+E47</f>
        <v>1</v>
      </c>
      <c r="C45" s="2267"/>
      <c r="D45" s="2268"/>
      <c r="E45" s="2269"/>
      <c r="F45" s="2270"/>
      <c r="G45" s="2264"/>
      <c r="H45" s="2264"/>
      <c r="I45" s="1040"/>
      <c r="J45" s="1040"/>
      <c r="K45" s="1040"/>
      <c r="L45" s="1040"/>
      <c r="M45" s="1040"/>
      <c r="O45" s="2063"/>
      <c r="P45" s="2063"/>
      <c r="Q45" s="2063"/>
      <c r="R45" s="2064"/>
      <c r="S45" s="2064"/>
      <c r="T45" s="2064"/>
      <c r="U45" s="2064"/>
      <c r="V45" s="2064"/>
      <c r="W45" s="2063"/>
      <c r="X45" s="2063"/>
      <c r="Y45" s="2063"/>
      <c r="Z45" s="2063"/>
      <c r="AA45" s="2063"/>
      <c r="AB45" s="2063"/>
      <c r="AC45" s="2064"/>
      <c r="AD45" s="1339"/>
      <c r="AE45" s="1339"/>
      <c r="AF45" s="1339"/>
      <c r="AG45" s="1339"/>
      <c r="AH45" s="1339"/>
      <c r="AI45" s="1339"/>
      <c r="AJ45" s="1339"/>
      <c r="AK45" s="1339"/>
      <c r="AL45" s="1339"/>
      <c r="AM45" s="1339"/>
    </row>
    <row r="46" spans="1:44" s="1338" customFormat="1" ht="24">
      <c r="A46" s="1041" t="s">
        <v>998</v>
      </c>
      <c r="B46" s="2249" t="s">
        <v>999</v>
      </c>
      <c r="C46" s="2271" t="s">
        <v>1000</v>
      </c>
      <c r="D46" s="2272" t="s">
        <v>1001</v>
      </c>
      <c r="E46" s="2273" t="s">
        <v>1003</v>
      </c>
      <c r="F46" s="2274" t="s">
        <v>2236</v>
      </c>
      <c r="G46" s="2272" t="s">
        <v>1004</v>
      </c>
      <c r="H46" s="2255" t="s">
        <v>2397</v>
      </c>
      <c r="I46" s="2272" t="s">
        <v>1002</v>
      </c>
      <c r="J46" s="2275" t="s">
        <v>1005</v>
      </c>
      <c r="K46" s="2275" t="s">
        <v>1006</v>
      </c>
      <c r="L46" s="2275" t="s">
        <v>1007</v>
      </c>
      <c r="M46" s="2275" t="s">
        <v>1008</v>
      </c>
      <c r="N46" s="2275" t="s">
        <v>1009</v>
      </c>
      <c r="P46" s="2063"/>
      <c r="Q46" s="2063"/>
      <c r="R46" s="2064"/>
      <c r="S46" s="2064"/>
      <c r="T46" s="2064"/>
      <c r="U46" s="2064"/>
      <c r="V46" s="2064"/>
      <c r="W46" s="2063"/>
      <c r="X46" s="2063"/>
      <c r="Y46" s="2063"/>
      <c r="Z46" s="2063"/>
      <c r="AA46" s="2063"/>
      <c r="AB46" s="2063"/>
      <c r="AC46" s="2063"/>
      <c r="AD46" s="2064"/>
      <c r="AE46" s="1339"/>
      <c r="AF46" s="1339"/>
      <c r="AG46" s="1339"/>
      <c r="AH46" s="1339"/>
      <c r="AI46" s="1339"/>
      <c r="AJ46" s="1339"/>
      <c r="AK46" s="1339"/>
      <c r="AL46" s="1339"/>
      <c r="AM46" s="1339"/>
      <c r="AN46" s="1339"/>
    </row>
    <row r="47" spans="1:44" s="1338" customFormat="1" ht="36">
      <c r="A47" s="1041" t="s">
        <v>1010</v>
      </c>
      <c r="B47" s="2252" t="str">
        <f>估价对象房地状况!C16</f>
        <v>估价对象位于XX商圈，周边商业氛围成熟，人流量大，商业繁华度好</v>
      </c>
      <c r="C47" s="1028"/>
      <c r="D47" s="2258">
        <f t="shared" ref="D47:D55" si="10">SUMIF($J$46:$N$46,C47,J47:N47)</f>
        <v>0</v>
      </c>
      <c r="E47" s="2277">
        <f>ROUND(SUM(D47:D55),4)</f>
        <v>0</v>
      </c>
      <c r="F47" s="2278" t="str">
        <f>IF(E2="商业",SUMIF(L1:L12,G2,N1:N12),"——")</f>
        <v>——</v>
      </c>
      <c r="G47" s="2256"/>
      <c r="H47" s="2301" t="str">
        <f t="shared" ref="H47:H55" si="11">IFERROR(ROUNDDOWN(($F$47*I47/2),4),"——")</f>
        <v>——</v>
      </c>
      <c r="I47" s="2276">
        <v>0.33</v>
      </c>
      <c r="J47" s="2279">
        <f t="shared" ref="J47:J55" si="12">K47+$G47</f>
        <v>0</v>
      </c>
      <c r="K47" s="2279">
        <f t="shared" ref="K47:K55" si="13">$L47+$G47</f>
        <v>0</v>
      </c>
      <c r="L47" s="2279">
        <v>0</v>
      </c>
      <c r="M47" s="2279">
        <f t="shared" ref="M47:N55" si="14">L47-$G47</f>
        <v>0</v>
      </c>
      <c r="N47" s="2279">
        <f t="shared" si="14"/>
        <v>0</v>
      </c>
      <c r="P47" s="2063"/>
      <c r="Q47" s="2063"/>
      <c r="R47" s="2064"/>
      <c r="S47" s="2064"/>
      <c r="T47" s="2064"/>
      <c r="U47" s="2064"/>
      <c r="V47" s="2064"/>
      <c r="W47" s="2063"/>
      <c r="X47" s="2063"/>
      <c r="Y47" s="2063"/>
      <c r="Z47" s="2063"/>
      <c r="AA47" s="2063"/>
      <c r="AB47" s="2063"/>
      <c r="AC47" s="2063"/>
      <c r="AD47" s="2064"/>
      <c r="AE47" s="1339"/>
      <c r="AF47" s="1339"/>
      <c r="AG47" s="1339"/>
      <c r="AH47" s="1339"/>
      <c r="AI47" s="1339"/>
      <c r="AJ47" s="1339"/>
      <c r="AK47" s="1339"/>
      <c r="AL47" s="1339"/>
      <c r="AM47" s="1339"/>
      <c r="AN47" s="1339"/>
    </row>
    <row r="48" spans="1:44" s="1338" customFormat="1" ht="48">
      <c r="A48" s="1041" t="s">
        <v>1011</v>
      </c>
      <c r="B48" s="2249" t="str">
        <f>估价对象房地状况!C18</f>
        <v>估价对象周边道路状况、公共交通通达情况、停车便捷程度，综合评价交通便捷度较好</v>
      </c>
      <c r="C48" s="1028"/>
      <c r="D48" s="2258">
        <f t="shared" si="10"/>
        <v>0</v>
      </c>
      <c r="E48" s="2280"/>
      <c r="F48" s="2278"/>
      <c r="G48" s="2256"/>
      <c r="H48" s="2301" t="str">
        <f t="shared" si="11"/>
        <v>——</v>
      </c>
      <c r="I48" s="2276">
        <v>0.25</v>
      </c>
      <c r="J48" s="2279">
        <f t="shared" si="12"/>
        <v>0</v>
      </c>
      <c r="K48" s="2279">
        <f t="shared" si="13"/>
        <v>0</v>
      </c>
      <c r="L48" s="2279">
        <v>0</v>
      </c>
      <c r="M48" s="2279">
        <f t="shared" si="14"/>
        <v>0</v>
      </c>
      <c r="N48" s="2279">
        <f t="shared" si="14"/>
        <v>0</v>
      </c>
      <c r="P48" s="2063"/>
      <c r="Q48" s="2063"/>
      <c r="R48" s="2064"/>
      <c r="S48" s="2064"/>
      <c r="T48" s="2064"/>
      <c r="U48" s="2064"/>
      <c r="V48" s="2064"/>
      <c r="W48" s="2063"/>
      <c r="X48" s="2063"/>
      <c r="Y48" s="2063"/>
      <c r="Z48" s="2063"/>
      <c r="AA48" s="2063"/>
      <c r="AB48" s="2063"/>
      <c r="AC48" s="2063"/>
      <c r="AD48" s="2064"/>
      <c r="AE48" s="1339"/>
      <c r="AF48" s="1339"/>
      <c r="AG48" s="1339"/>
      <c r="AH48" s="1339"/>
      <c r="AI48" s="1339"/>
      <c r="AJ48" s="1339"/>
      <c r="AK48" s="1339"/>
      <c r="AL48" s="1339"/>
      <c r="AM48" s="1339"/>
      <c r="AN48" s="1339"/>
    </row>
    <row r="49" spans="1:40" s="1338" customFormat="1" ht="24">
      <c r="A49" s="1041" t="s">
        <v>1012</v>
      </c>
      <c r="B49" s="2249">
        <f>估价对象房地状况!C19</f>
        <v>0</v>
      </c>
      <c r="C49" s="1028"/>
      <c r="D49" s="2258">
        <f t="shared" si="10"/>
        <v>0</v>
      </c>
      <c r="E49" s="2280"/>
      <c r="F49" s="2278"/>
      <c r="G49" s="2256"/>
      <c r="H49" s="2301" t="str">
        <f t="shared" si="11"/>
        <v>——</v>
      </c>
      <c r="I49" s="2276">
        <v>0.05</v>
      </c>
      <c r="J49" s="2279">
        <f t="shared" si="12"/>
        <v>0</v>
      </c>
      <c r="K49" s="2279">
        <f t="shared" si="13"/>
        <v>0</v>
      </c>
      <c r="L49" s="2279">
        <v>0</v>
      </c>
      <c r="M49" s="2279">
        <f t="shared" si="14"/>
        <v>0</v>
      </c>
      <c r="N49" s="2279">
        <f t="shared" si="14"/>
        <v>0</v>
      </c>
      <c r="P49" s="2063"/>
      <c r="Q49" s="2063"/>
      <c r="R49" s="2064"/>
      <c r="S49" s="2064"/>
      <c r="T49" s="2064"/>
      <c r="U49" s="2064"/>
      <c r="V49" s="2064"/>
      <c r="W49" s="2063"/>
      <c r="X49" s="2063"/>
      <c r="Y49" s="2063"/>
      <c r="Z49" s="2063"/>
      <c r="AA49" s="2063"/>
      <c r="AB49" s="2063"/>
      <c r="AC49" s="2063"/>
      <c r="AD49" s="2064"/>
      <c r="AE49" s="1339"/>
      <c r="AF49" s="1339"/>
      <c r="AG49" s="1339"/>
      <c r="AH49" s="1339"/>
      <c r="AI49" s="1339"/>
      <c r="AJ49" s="1339"/>
      <c r="AK49" s="1339"/>
      <c r="AL49" s="1339"/>
      <c r="AM49" s="1339"/>
      <c r="AN49" s="1339"/>
    </row>
    <row r="50" spans="1:40" s="1338" customFormat="1" ht="36">
      <c r="A50" s="1041" t="s">
        <v>1013</v>
      </c>
      <c r="B50" s="2770" t="s">
        <v>2895</v>
      </c>
      <c r="C50" s="1028"/>
      <c r="D50" s="2258">
        <f t="shared" si="10"/>
        <v>0</v>
      </c>
      <c r="E50" s="2280"/>
      <c r="F50" s="2278"/>
      <c r="G50" s="2256"/>
      <c r="H50" s="2301" t="str">
        <f t="shared" si="11"/>
        <v>——</v>
      </c>
      <c r="I50" s="2276">
        <v>0.05</v>
      </c>
      <c r="J50" s="2279">
        <f t="shared" si="12"/>
        <v>0</v>
      </c>
      <c r="K50" s="2279">
        <f t="shared" si="13"/>
        <v>0</v>
      </c>
      <c r="L50" s="2279">
        <v>0</v>
      </c>
      <c r="M50" s="2279">
        <f t="shared" si="14"/>
        <v>0</v>
      </c>
      <c r="N50" s="2279">
        <f t="shared" si="14"/>
        <v>0</v>
      </c>
      <c r="P50" s="2063"/>
      <c r="Q50" s="2063"/>
      <c r="R50" s="2064"/>
      <c r="S50" s="2064"/>
      <c r="T50" s="2064"/>
      <c r="U50" s="2064"/>
      <c r="V50" s="2064"/>
      <c r="W50" s="2063"/>
      <c r="X50" s="2063"/>
      <c r="Y50" s="2063"/>
      <c r="Z50" s="2063"/>
      <c r="AA50" s="2063"/>
      <c r="AB50" s="2063"/>
      <c r="AC50" s="2063"/>
      <c r="AD50" s="2064"/>
      <c r="AE50" s="1339"/>
      <c r="AF50" s="1339"/>
      <c r="AG50" s="1339"/>
      <c r="AH50" s="1339"/>
      <c r="AI50" s="1339"/>
      <c r="AJ50" s="1339"/>
      <c r="AK50" s="1339"/>
      <c r="AL50" s="1339"/>
      <c r="AM50" s="1339"/>
      <c r="AN50" s="1339"/>
    </row>
    <row r="51" spans="1:40" s="1338" customFormat="1" ht="24">
      <c r="A51" s="1041" t="s">
        <v>1014</v>
      </c>
      <c r="B51" s="2249">
        <f>估价对象房地状况!C24</f>
        <v>0</v>
      </c>
      <c r="C51" s="1028"/>
      <c r="D51" s="2258">
        <f t="shared" si="10"/>
        <v>0</v>
      </c>
      <c r="E51" s="2280"/>
      <c r="F51" s="2278"/>
      <c r="G51" s="2256"/>
      <c r="H51" s="2301" t="str">
        <f t="shared" si="11"/>
        <v>——</v>
      </c>
      <c r="I51" s="2276">
        <v>0.08</v>
      </c>
      <c r="J51" s="2279">
        <f t="shared" si="12"/>
        <v>0</v>
      </c>
      <c r="K51" s="2279">
        <f t="shared" si="13"/>
        <v>0</v>
      </c>
      <c r="L51" s="2279">
        <v>0</v>
      </c>
      <c r="M51" s="2279">
        <f t="shared" si="14"/>
        <v>0</v>
      </c>
      <c r="N51" s="2279">
        <f t="shared" si="14"/>
        <v>0</v>
      </c>
      <c r="P51" s="2063"/>
      <c r="Q51" s="2063"/>
      <c r="R51" s="2064"/>
      <c r="S51" s="2064"/>
      <c r="T51" s="2064"/>
      <c r="U51" s="2064"/>
      <c r="V51" s="2064"/>
      <c r="W51" s="2063"/>
      <c r="X51" s="2063"/>
      <c r="Y51" s="2063"/>
      <c r="Z51" s="2063"/>
      <c r="AA51" s="2063"/>
      <c r="AB51" s="2063"/>
      <c r="AC51" s="2063"/>
      <c r="AD51" s="2064"/>
      <c r="AE51" s="1339"/>
      <c r="AF51" s="1339"/>
      <c r="AG51" s="1339"/>
      <c r="AH51" s="1339"/>
      <c r="AI51" s="1339"/>
      <c r="AJ51" s="1339"/>
      <c r="AK51" s="1339"/>
      <c r="AL51" s="1339"/>
      <c r="AM51" s="1339"/>
      <c r="AN51" s="1339"/>
    </row>
    <row r="52" spans="1:40" s="1338" customFormat="1" ht="24">
      <c r="A52" s="1041" t="s">
        <v>1015</v>
      </c>
      <c r="B52" s="2769" t="s">
        <v>2894</v>
      </c>
      <c r="C52" s="1028"/>
      <c r="D52" s="2258">
        <f t="shared" si="10"/>
        <v>0</v>
      </c>
      <c r="E52" s="2280"/>
      <c r="F52" s="2278"/>
      <c r="G52" s="2256"/>
      <c r="H52" s="2301" t="str">
        <f t="shared" si="11"/>
        <v>——</v>
      </c>
      <c r="I52" s="2276">
        <v>0.03</v>
      </c>
      <c r="J52" s="2279">
        <f t="shared" si="12"/>
        <v>0</v>
      </c>
      <c r="K52" s="2279">
        <f t="shared" si="13"/>
        <v>0</v>
      </c>
      <c r="L52" s="2279">
        <v>0</v>
      </c>
      <c r="M52" s="2279">
        <f t="shared" si="14"/>
        <v>0</v>
      </c>
      <c r="N52" s="2279">
        <f t="shared" si="14"/>
        <v>0</v>
      </c>
      <c r="P52" s="2063"/>
      <c r="Q52" s="2063"/>
      <c r="R52" s="2064"/>
      <c r="S52" s="2064"/>
      <c r="T52" s="2064"/>
      <c r="U52" s="2064"/>
      <c r="V52" s="2064"/>
      <c r="W52" s="2063"/>
      <c r="X52" s="2063"/>
      <c r="Y52" s="2063"/>
      <c r="Z52" s="2063"/>
      <c r="AA52" s="2063"/>
      <c r="AB52" s="2063"/>
      <c r="AC52" s="2063"/>
      <c r="AD52" s="2064"/>
      <c r="AE52" s="1339"/>
      <c r="AF52" s="1339"/>
      <c r="AG52" s="1339"/>
      <c r="AH52" s="1339"/>
      <c r="AI52" s="1339"/>
      <c r="AJ52" s="1339"/>
      <c r="AK52" s="1339"/>
      <c r="AL52" s="1339"/>
      <c r="AM52" s="1339"/>
      <c r="AN52" s="1339"/>
    </row>
    <row r="53" spans="1:40" s="1338" customFormat="1" ht="24">
      <c r="A53" s="2281" t="s">
        <v>1016</v>
      </c>
      <c r="B53" s="2250" t="str">
        <f>估价对象房地状况!C21</f>
        <v>估价对象所在区域公共配套设施齐备情况</v>
      </c>
      <c r="C53" s="1028"/>
      <c r="D53" s="2258">
        <f t="shared" si="10"/>
        <v>0</v>
      </c>
      <c r="E53" s="2280"/>
      <c r="F53" s="2278"/>
      <c r="G53" s="2256"/>
      <c r="H53" s="2301" t="str">
        <f t="shared" si="11"/>
        <v>——</v>
      </c>
      <c r="I53" s="2276">
        <v>0.05</v>
      </c>
      <c r="J53" s="2279">
        <f t="shared" si="12"/>
        <v>0</v>
      </c>
      <c r="K53" s="2279">
        <f t="shared" si="13"/>
        <v>0</v>
      </c>
      <c r="L53" s="2279">
        <v>0</v>
      </c>
      <c r="M53" s="2279">
        <f t="shared" si="14"/>
        <v>0</v>
      </c>
      <c r="N53" s="2279">
        <f t="shared" si="14"/>
        <v>0</v>
      </c>
      <c r="P53" s="2063"/>
      <c r="Q53" s="2063"/>
      <c r="R53" s="2064"/>
      <c r="S53" s="2064"/>
      <c r="T53" s="2064"/>
      <c r="U53" s="2064"/>
      <c r="V53" s="2064"/>
      <c r="W53" s="2063"/>
      <c r="X53" s="2063"/>
      <c r="Y53" s="2063"/>
      <c r="Z53" s="2063"/>
      <c r="AA53" s="2063"/>
      <c r="AB53" s="2063"/>
      <c r="AC53" s="2063"/>
      <c r="AD53" s="2064"/>
      <c r="AE53" s="1339"/>
      <c r="AF53" s="1339"/>
      <c r="AG53" s="1339"/>
      <c r="AH53" s="1339"/>
      <c r="AI53" s="1339"/>
      <c r="AJ53" s="1339"/>
      <c r="AK53" s="1339"/>
      <c r="AL53" s="1339"/>
      <c r="AM53" s="1339"/>
      <c r="AN53" s="1339"/>
    </row>
    <row r="54" spans="1:40" s="1338" customFormat="1" ht="24">
      <c r="A54" s="2281" t="s">
        <v>1017</v>
      </c>
      <c r="B54" s="2249" t="str">
        <f>估价对象房地状况!C22</f>
        <v>估价对象所在区域基础设施水平</v>
      </c>
      <c r="C54" s="1028"/>
      <c r="D54" s="2258">
        <f t="shared" si="10"/>
        <v>0</v>
      </c>
      <c r="E54" s="2280"/>
      <c r="F54" s="2278"/>
      <c r="G54" s="2256"/>
      <c r="H54" s="2301" t="str">
        <f t="shared" si="11"/>
        <v>——</v>
      </c>
      <c r="I54" s="2276">
        <v>0.1</v>
      </c>
      <c r="J54" s="2279">
        <f t="shared" si="12"/>
        <v>0</v>
      </c>
      <c r="K54" s="2279">
        <f t="shared" si="13"/>
        <v>0</v>
      </c>
      <c r="L54" s="2279">
        <v>0</v>
      </c>
      <c r="M54" s="2279">
        <f t="shared" si="14"/>
        <v>0</v>
      </c>
      <c r="N54" s="2279">
        <f t="shared" si="14"/>
        <v>0</v>
      </c>
      <c r="P54" s="2063"/>
      <c r="Q54" s="2063"/>
      <c r="R54" s="2064"/>
      <c r="S54" s="2064"/>
      <c r="T54" s="2064"/>
      <c r="U54" s="2064"/>
      <c r="V54" s="2064"/>
      <c r="W54" s="2063"/>
      <c r="X54" s="2063"/>
      <c r="Y54" s="2063"/>
      <c r="Z54" s="2063"/>
      <c r="AA54" s="2063"/>
      <c r="AB54" s="2063"/>
      <c r="AC54" s="2063"/>
      <c r="AD54" s="2064"/>
      <c r="AE54" s="1339"/>
      <c r="AF54" s="1339"/>
      <c r="AG54" s="1339"/>
      <c r="AH54" s="1339"/>
      <c r="AI54" s="1339"/>
      <c r="AJ54" s="1339"/>
      <c r="AK54" s="1339"/>
      <c r="AL54" s="1339"/>
      <c r="AM54" s="1339"/>
      <c r="AN54" s="1339"/>
    </row>
    <row r="55" spans="1:40" s="1338" customFormat="1" ht="24.75" thickBot="1">
      <c r="A55" s="2282" t="s">
        <v>1018</v>
      </c>
      <c r="B55" s="2253" t="str">
        <f>估价对象房地状况!C20</f>
        <v>区域自然环境：；人文环境；综合评价环境状况一般</v>
      </c>
      <c r="C55" s="1028"/>
      <c r="D55" s="2258">
        <f t="shared" si="10"/>
        <v>0</v>
      </c>
      <c r="E55" s="2284"/>
      <c r="F55" s="2278"/>
      <c r="G55" s="2256"/>
      <c r="H55" s="2301" t="str">
        <f t="shared" si="11"/>
        <v>——</v>
      </c>
      <c r="I55" s="2283">
        <v>0.06</v>
      </c>
      <c r="J55" s="2279">
        <f t="shared" si="12"/>
        <v>0</v>
      </c>
      <c r="K55" s="2279">
        <f t="shared" si="13"/>
        <v>0</v>
      </c>
      <c r="L55" s="2279">
        <v>0</v>
      </c>
      <c r="M55" s="2279">
        <f t="shared" si="14"/>
        <v>0</v>
      </c>
      <c r="N55" s="2279">
        <f t="shared" si="14"/>
        <v>0</v>
      </c>
      <c r="P55" s="2063"/>
      <c r="Q55" s="2063"/>
      <c r="R55" s="2064"/>
      <c r="S55" s="2064"/>
      <c r="T55" s="2064"/>
      <c r="U55" s="2064"/>
      <c r="V55" s="2064"/>
      <c r="W55" s="2063"/>
      <c r="X55" s="2063"/>
      <c r="Y55" s="2063"/>
      <c r="Z55" s="2063"/>
      <c r="AA55" s="2063"/>
      <c r="AB55" s="2063"/>
      <c r="AC55" s="2063"/>
      <c r="AD55" s="2064"/>
      <c r="AE55" s="1339"/>
      <c r="AF55" s="1339"/>
      <c r="AG55" s="1339"/>
      <c r="AH55" s="1339"/>
      <c r="AI55" s="1339"/>
      <c r="AJ55" s="1339"/>
      <c r="AK55" s="1339"/>
      <c r="AL55" s="1339"/>
      <c r="AM55" s="1339"/>
      <c r="AN55" s="1339"/>
    </row>
    <row r="56" spans="1:40" s="1338" customFormat="1" ht="15">
      <c r="A56" s="2265" t="s">
        <v>1019</v>
      </c>
      <c r="B56" s="2266">
        <f>1+E58</f>
        <v>1</v>
      </c>
      <c r="C56" s="2285"/>
      <c r="D56" s="2268"/>
      <c r="E56" s="2269"/>
      <c r="F56" s="2270"/>
      <c r="G56" s="2264"/>
      <c r="H56" s="2264"/>
      <c r="I56" s="2264"/>
      <c r="J56" s="1040"/>
      <c r="K56" s="1040"/>
      <c r="L56" s="1040"/>
      <c r="M56" s="1040"/>
      <c r="N56" s="1040"/>
      <c r="P56" s="2063"/>
      <c r="Q56" s="2063"/>
      <c r="R56" s="2064"/>
      <c r="S56" s="2064"/>
      <c r="T56" s="2064"/>
      <c r="U56" s="2064"/>
      <c r="V56" s="2064"/>
      <c r="W56" s="2063"/>
      <c r="X56" s="2063"/>
      <c r="Y56" s="2063"/>
      <c r="Z56" s="2063"/>
      <c r="AA56" s="2063"/>
      <c r="AB56" s="2063"/>
      <c r="AC56" s="2063"/>
      <c r="AD56" s="2064"/>
      <c r="AE56" s="1339"/>
      <c r="AF56" s="1339"/>
      <c r="AG56" s="1339"/>
      <c r="AH56" s="1339"/>
      <c r="AI56" s="1339"/>
      <c r="AJ56" s="1339"/>
      <c r="AK56" s="1339"/>
      <c r="AL56" s="1339"/>
      <c r="AM56" s="1339"/>
      <c r="AN56" s="1339"/>
    </row>
    <row r="57" spans="1:40" s="1338" customFormat="1" ht="24">
      <c r="A57" s="1041" t="s">
        <v>998</v>
      </c>
      <c r="B57" s="2249"/>
      <c r="C57" s="2271" t="s">
        <v>1000</v>
      </c>
      <c r="D57" s="2272" t="s">
        <v>1001</v>
      </c>
      <c r="E57" s="2273" t="s">
        <v>1003</v>
      </c>
      <c r="F57" s="2274" t="s">
        <v>2237</v>
      </c>
      <c r="G57" s="2272" t="s">
        <v>1004</v>
      </c>
      <c r="H57" s="2255" t="s">
        <v>2397</v>
      </c>
      <c r="I57" s="2272" t="s">
        <v>1002</v>
      </c>
      <c r="J57" s="2275" t="s">
        <v>1005</v>
      </c>
      <c r="K57" s="2275" t="s">
        <v>1006</v>
      </c>
      <c r="L57" s="2275" t="s">
        <v>1007</v>
      </c>
      <c r="M57" s="2275" t="s">
        <v>1008</v>
      </c>
      <c r="N57" s="2275" t="s">
        <v>1009</v>
      </c>
      <c r="P57" s="2063"/>
      <c r="Q57" s="2063"/>
      <c r="R57" s="2064"/>
      <c r="S57" s="2064"/>
      <c r="T57" s="2064"/>
      <c r="U57" s="2064"/>
      <c r="V57" s="2064"/>
      <c r="W57" s="2063"/>
      <c r="X57" s="2063"/>
      <c r="Y57" s="2063"/>
      <c r="Z57" s="2063"/>
      <c r="AA57" s="2063"/>
      <c r="AB57" s="2063"/>
      <c r="AC57" s="2063"/>
      <c r="AD57" s="2064"/>
      <c r="AE57" s="1339"/>
      <c r="AF57" s="1339"/>
      <c r="AG57" s="1339"/>
      <c r="AH57" s="1339"/>
      <c r="AI57" s="1339"/>
      <c r="AJ57" s="1339"/>
      <c r="AK57" s="1339"/>
      <c r="AL57" s="1339"/>
      <c r="AM57" s="1339"/>
      <c r="AN57" s="1339"/>
    </row>
    <row r="58" spans="1:40" s="1338" customFormat="1" ht="36">
      <c r="A58" s="1041" t="s">
        <v>1020</v>
      </c>
      <c r="B58" s="2252" t="str">
        <f>估价对象房地状况!C17</f>
        <v>估价对象位于XX商圈，周边办公楼项目较多，入驻率高，办公集聚程度较好</v>
      </c>
      <c r="C58" s="1028"/>
      <c r="D58" s="2258">
        <f t="shared" ref="D58:D66" si="15">SUMIF($J$57:$N$57,C58,J58:N58)</f>
        <v>0</v>
      </c>
      <c r="E58" s="2277">
        <f>ROUND(SUM(D58:D66),4)</f>
        <v>0</v>
      </c>
      <c r="F58" s="2278" t="str">
        <f>IF(E2="办公",SUMIF(L1:L12,G2,N1:N12),"——")</f>
        <v>——</v>
      </c>
      <c r="G58" s="2256"/>
      <c r="H58" s="2301" t="str">
        <f>IFERROR(ROUNDDOWN($F$58*I58/2,4),"——")</f>
        <v>——</v>
      </c>
      <c r="I58" s="2276">
        <v>0.24</v>
      </c>
      <c r="J58" s="2279">
        <f t="shared" ref="J58:J66" si="16">K58+$G58</f>
        <v>0</v>
      </c>
      <c r="K58" s="2279">
        <f t="shared" ref="K58:K66" si="17">$L58+$G58</f>
        <v>0</v>
      </c>
      <c r="L58" s="2279">
        <v>0</v>
      </c>
      <c r="M58" s="2279">
        <f t="shared" ref="M58:N66" si="18">L58-$G58</f>
        <v>0</v>
      </c>
      <c r="N58" s="2279">
        <f t="shared" si="18"/>
        <v>0</v>
      </c>
      <c r="P58" s="2063"/>
      <c r="Q58" s="2063"/>
      <c r="R58" s="2064"/>
      <c r="S58" s="2064"/>
      <c r="T58" s="2064"/>
      <c r="U58" s="2064"/>
      <c r="V58" s="2064"/>
      <c r="W58" s="2063"/>
      <c r="X58" s="2063"/>
      <c r="Y58" s="2063"/>
      <c r="Z58" s="2063"/>
      <c r="AA58" s="2063"/>
      <c r="AB58" s="2063"/>
      <c r="AC58" s="2063"/>
      <c r="AD58" s="2064"/>
      <c r="AE58" s="1339"/>
      <c r="AF58" s="1339"/>
      <c r="AG58" s="1339"/>
      <c r="AH58" s="1339"/>
      <c r="AI58" s="1339"/>
      <c r="AJ58" s="1339"/>
      <c r="AK58" s="1339"/>
      <c r="AL58" s="1339"/>
      <c r="AM58" s="1339"/>
      <c r="AN58" s="1339"/>
    </row>
    <row r="59" spans="1:40" s="1338" customFormat="1" ht="48">
      <c r="A59" s="1041" t="s">
        <v>1011</v>
      </c>
      <c r="B59" s="2249" t="str">
        <f>估价对象房地状况!C18</f>
        <v>估价对象周边道路状况、公共交通通达情况、停车便捷程度，综合评价交通便捷度较好</v>
      </c>
      <c r="C59" s="1028"/>
      <c r="D59" s="2258">
        <f t="shared" si="15"/>
        <v>0</v>
      </c>
      <c r="E59" s="2280"/>
      <c r="F59" s="2278"/>
      <c r="G59" s="2256"/>
      <c r="H59" s="2257" t="str">
        <f t="shared" ref="H59:H66" si="19">IFERROR($F$58*I59/2,"——")</f>
        <v>——</v>
      </c>
      <c r="I59" s="2276">
        <v>0.3</v>
      </c>
      <c r="J59" s="2279">
        <f t="shared" si="16"/>
        <v>0</v>
      </c>
      <c r="K59" s="2279">
        <f t="shared" si="17"/>
        <v>0</v>
      </c>
      <c r="L59" s="2279">
        <v>0</v>
      </c>
      <c r="M59" s="2279">
        <f t="shared" si="18"/>
        <v>0</v>
      </c>
      <c r="N59" s="2279">
        <f t="shared" si="18"/>
        <v>0</v>
      </c>
      <c r="P59" s="2063"/>
      <c r="Q59" s="2063"/>
      <c r="R59" s="2064"/>
      <c r="S59" s="2064"/>
      <c r="T59" s="2064"/>
      <c r="U59" s="2064"/>
      <c r="V59" s="2064"/>
      <c r="W59" s="2063"/>
      <c r="X59" s="2063"/>
      <c r="Y59" s="2063"/>
      <c r="Z59" s="2063"/>
      <c r="AA59" s="2063"/>
      <c r="AB59" s="2063"/>
      <c r="AC59" s="2063"/>
      <c r="AD59" s="2064"/>
      <c r="AE59" s="1339"/>
      <c r="AF59" s="1339"/>
      <c r="AG59" s="1339"/>
      <c r="AH59" s="1339"/>
      <c r="AI59" s="1339"/>
      <c r="AJ59" s="1339"/>
      <c r="AK59" s="1339"/>
      <c r="AL59" s="1339"/>
      <c r="AM59" s="1339"/>
      <c r="AN59" s="1339"/>
    </row>
    <row r="60" spans="1:40" s="1338" customFormat="1" ht="24">
      <c r="A60" s="1041" t="s">
        <v>1012</v>
      </c>
      <c r="B60" s="2249">
        <f>估价对象房地状况!C19</f>
        <v>0</v>
      </c>
      <c r="C60" s="1028"/>
      <c r="D60" s="2258">
        <f t="shared" si="15"/>
        <v>0</v>
      </c>
      <c r="E60" s="2280"/>
      <c r="F60" s="2278"/>
      <c r="G60" s="2256"/>
      <c r="H60" s="2257" t="str">
        <f t="shared" si="19"/>
        <v>——</v>
      </c>
      <c r="I60" s="2276">
        <v>0.08</v>
      </c>
      <c r="J60" s="2279">
        <f t="shared" si="16"/>
        <v>0</v>
      </c>
      <c r="K60" s="2279">
        <f t="shared" si="17"/>
        <v>0</v>
      </c>
      <c r="L60" s="2279">
        <v>0</v>
      </c>
      <c r="M60" s="2279">
        <f t="shared" si="18"/>
        <v>0</v>
      </c>
      <c r="N60" s="2279">
        <f t="shared" si="18"/>
        <v>0</v>
      </c>
      <c r="P60" s="2063"/>
      <c r="Q60" s="2063"/>
      <c r="R60" s="2064"/>
      <c r="S60" s="2064"/>
      <c r="T60" s="2064"/>
      <c r="U60" s="2064"/>
      <c r="V60" s="2064"/>
      <c r="W60" s="2063"/>
      <c r="X60" s="2063"/>
      <c r="Y60" s="2063"/>
      <c r="Z60" s="2063"/>
      <c r="AA60" s="2063"/>
      <c r="AB60" s="2063"/>
      <c r="AC60" s="2063"/>
      <c r="AD60" s="2064"/>
      <c r="AE60" s="1339"/>
      <c r="AF60" s="1339"/>
      <c r="AG60" s="1339"/>
      <c r="AH60" s="1339"/>
      <c r="AI60" s="1339"/>
      <c r="AJ60" s="1339"/>
      <c r="AK60" s="1339"/>
      <c r="AL60" s="1339"/>
      <c r="AM60" s="1339"/>
      <c r="AN60" s="1339"/>
    </row>
    <row r="61" spans="1:40" s="1338" customFormat="1" ht="36">
      <c r="A61" s="1041" t="s">
        <v>1013</v>
      </c>
      <c r="B61" s="2770" t="s">
        <v>2896</v>
      </c>
      <c r="C61" s="1028"/>
      <c r="D61" s="2258">
        <f t="shared" si="15"/>
        <v>0</v>
      </c>
      <c r="E61" s="2280"/>
      <c r="F61" s="2278"/>
      <c r="G61" s="2256"/>
      <c r="H61" s="2257" t="str">
        <f t="shared" si="19"/>
        <v>——</v>
      </c>
      <c r="I61" s="2276">
        <v>0.04</v>
      </c>
      <c r="J61" s="2279">
        <f t="shared" si="16"/>
        <v>0</v>
      </c>
      <c r="K61" s="2279">
        <f t="shared" si="17"/>
        <v>0</v>
      </c>
      <c r="L61" s="2279">
        <v>0</v>
      </c>
      <c r="M61" s="2279">
        <f t="shared" si="18"/>
        <v>0</v>
      </c>
      <c r="N61" s="2279">
        <f t="shared" si="18"/>
        <v>0</v>
      </c>
      <c r="P61" s="2063"/>
      <c r="Q61" s="2063"/>
      <c r="R61" s="2064"/>
      <c r="S61" s="2064"/>
      <c r="T61" s="2064"/>
      <c r="U61" s="2064"/>
      <c r="V61" s="2064"/>
      <c r="W61" s="2063"/>
      <c r="X61" s="2063"/>
      <c r="Y61" s="2063"/>
      <c r="Z61" s="2063"/>
      <c r="AA61" s="2063"/>
      <c r="AB61" s="2063"/>
      <c r="AC61" s="2063"/>
      <c r="AD61" s="2064"/>
      <c r="AE61" s="1339"/>
      <c r="AF61" s="1339"/>
      <c r="AG61" s="1339"/>
      <c r="AH61" s="1339"/>
      <c r="AI61" s="1339"/>
      <c r="AJ61" s="1339"/>
      <c r="AK61" s="1339"/>
      <c r="AL61" s="1339"/>
      <c r="AM61" s="1339"/>
      <c r="AN61" s="1339"/>
    </row>
    <row r="62" spans="1:40" s="1338" customFormat="1" ht="24">
      <c r="A62" s="1041" t="s">
        <v>1014</v>
      </c>
      <c r="B62" s="2249">
        <f>估价对象房地状况!C24</f>
        <v>0</v>
      </c>
      <c r="C62" s="1028"/>
      <c r="D62" s="2258">
        <f t="shared" si="15"/>
        <v>0</v>
      </c>
      <c r="E62" s="2280"/>
      <c r="F62" s="2278"/>
      <c r="G62" s="2256"/>
      <c r="H62" s="2257" t="str">
        <f t="shared" si="19"/>
        <v>——</v>
      </c>
      <c r="I62" s="2276">
        <v>0.05</v>
      </c>
      <c r="J62" s="2279">
        <f t="shared" si="16"/>
        <v>0</v>
      </c>
      <c r="K62" s="2279">
        <f t="shared" si="17"/>
        <v>0</v>
      </c>
      <c r="L62" s="2279">
        <v>0</v>
      </c>
      <c r="M62" s="2279">
        <f t="shared" si="18"/>
        <v>0</v>
      </c>
      <c r="N62" s="2279">
        <f t="shared" si="18"/>
        <v>0</v>
      </c>
      <c r="P62" s="2063"/>
      <c r="Q62" s="2063"/>
      <c r="R62" s="2064"/>
      <c r="S62" s="2064"/>
      <c r="T62" s="2064"/>
      <c r="U62" s="2064"/>
      <c r="V62" s="2064"/>
      <c r="W62" s="2063"/>
      <c r="X62" s="2063"/>
      <c r="Y62" s="2063"/>
      <c r="Z62" s="2063"/>
      <c r="AA62" s="2063"/>
      <c r="AB62" s="2063"/>
      <c r="AC62" s="2063"/>
      <c r="AD62" s="2064"/>
      <c r="AE62" s="1339"/>
      <c r="AF62" s="1339"/>
      <c r="AG62" s="1339"/>
      <c r="AH62" s="1339"/>
      <c r="AI62" s="1339"/>
      <c r="AJ62" s="1339"/>
      <c r="AK62" s="1339"/>
      <c r="AL62" s="1339"/>
      <c r="AM62" s="1339"/>
      <c r="AN62" s="1339"/>
    </row>
    <row r="63" spans="1:40" s="1338" customFormat="1" ht="24">
      <c r="A63" s="1041" t="s">
        <v>1015</v>
      </c>
      <c r="B63" s="2769" t="s">
        <v>2894</v>
      </c>
      <c r="C63" s="1028"/>
      <c r="D63" s="2258">
        <f t="shared" si="15"/>
        <v>0</v>
      </c>
      <c r="E63" s="2280"/>
      <c r="F63" s="2278"/>
      <c r="G63" s="2256"/>
      <c r="H63" s="2257" t="str">
        <f t="shared" si="19"/>
        <v>——</v>
      </c>
      <c r="I63" s="2276">
        <v>0.05</v>
      </c>
      <c r="J63" s="2279">
        <f t="shared" si="16"/>
        <v>0</v>
      </c>
      <c r="K63" s="2279">
        <f t="shared" si="17"/>
        <v>0</v>
      </c>
      <c r="L63" s="2279">
        <v>0</v>
      </c>
      <c r="M63" s="2279">
        <f t="shared" si="18"/>
        <v>0</v>
      </c>
      <c r="N63" s="2279">
        <f t="shared" si="18"/>
        <v>0</v>
      </c>
      <c r="P63" s="2063"/>
      <c r="Q63" s="2063"/>
      <c r="R63" s="2064"/>
      <c r="S63" s="2064"/>
      <c r="T63" s="2064"/>
      <c r="U63" s="2064"/>
      <c r="V63" s="2064"/>
      <c r="W63" s="2063"/>
      <c r="X63" s="2063"/>
      <c r="Y63" s="2063"/>
      <c r="Z63" s="2063"/>
      <c r="AA63" s="2063"/>
      <c r="AB63" s="2063"/>
      <c r="AC63" s="2063"/>
      <c r="AD63" s="2064"/>
      <c r="AE63" s="1339"/>
      <c r="AF63" s="1339"/>
      <c r="AG63" s="1339"/>
      <c r="AH63" s="1339"/>
      <c r="AI63" s="1339"/>
      <c r="AJ63" s="1339"/>
      <c r="AK63" s="1339"/>
      <c r="AL63" s="1339"/>
      <c r="AM63" s="1339"/>
      <c r="AN63" s="1339"/>
    </row>
    <row r="64" spans="1:40" s="1338" customFormat="1" ht="24">
      <c r="A64" s="1041" t="s">
        <v>1016</v>
      </c>
      <c r="B64" s="2250" t="str">
        <f>估价对象房地状况!C21</f>
        <v>估价对象所在区域公共配套设施齐备情况</v>
      </c>
      <c r="C64" s="1028"/>
      <c r="D64" s="2258">
        <f t="shared" si="15"/>
        <v>0</v>
      </c>
      <c r="E64" s="2280"/>
      <c r="F64" s="2278"/>
      <c r="G64" s="2256"/>
      <c r="H64" s="2257" t="str">
        <f t="shared" si="19"/>
        <v>——</v>
      </c>
      <c r="I64" s="2276">
        <v>0.06</v>
      </c>
      <c r="J64" s="2279">
        <f t="shared" si="16"/>
        <v>0</v>
      </c>
      <c r="K64" s="2279">
        <f t="shared" si="17"/>
        <v>0</v>
      </c>
      <c r="L64" s="2279">
        <v>0</v>
      </c>
      <c r="M64" s="2279">
        <f t="shared" si="18"/>
        <v>0</v>
      </c>
      <c r="N64" s="2279">
        <f t="shared" si="18"/>
        <v>0</v>
      </c>
      <c r="P64" s="2063"/>
      <c r="Q64" s="2063"/>
      <c r="R64" s="2064"/>
      <c r="S64" s="2064"/>
      <c r="T64" s="2064"/>
      <c r="U64" s="2064"/>
      <c r="V64" s="2064"/>
      <c r="W64" s="2063"/>
      <c r="X64" s="2063"/>
      <c r="Y64" s="2063"/>
      <c r="Z64" s="2063"/>
      <c r="AA64" s="2063"/>
      <c r="AB64" s="2063"/>
      <c r="AC64" s="2063"/>
      <c r="AD64" s="2064"/>
      <c r="AE64" s="1339"/>
      <c r="AF64" s="1339"/>
      <c r="AG64" s="1339"/>
      <c r="AH64" s="1339"/>
      <c r="AI64" s="1339"/>
      <c r="AJ64" s="1339"/>
      <c r="AK64" s="1339"/>
      <c r="AL64" s="1339"/>
      <c r="AM64" s="1339"/>
      <c r="AN64" s="1339"/>
    </row>
    <row r="65" spans="1:40" s="1338" customFormat="1" ht="24">
      <c r="A65" s="1041" t="s">
        <v>1017</v>
      </c>
      <c r="B65" s="2250" t="str">
        <f>估价对象房地状况!C22</f>
        <v>估价对象所在区域基础设施水平</v>
      </c>
      <c r="C65" s="1028"/>
      <c r="D65" s="2258">
        <f t="shared" si="15"/>
        <v>0</v>
      </c>
      <c r="E65" s="2280"/>
      <c r="F65" s="2278"/>
      <c r="G65" s="2256"/>
      <c r="H65" s="2257" t="str">
        <f t="shared" si="19"/>
        <v>——</v>
      </c>
      <c r="I65" s="2276">
        <v>0.12</v>
      </c>
      <c r="J65" s="2279">
        <f t="shared" si="16"/>
        <v>0</v>
      </c>
      <c r="K65" s="2279">
        <f t="shared" si="17"/>
        <v>0</v>
      </c>
      <c r="L65" s="2279">
        <v>0</v>
      </c>
      <c r="M65" s="2279">
        <f t="shared" si="18"/>
        <v>0</v>
      </c>
      <c r="N65" s="2279">
        <f t="shared" si="18"/>
        <v>0</v>
      </c>
      <c r="P65" s="2063"/>
      <c r="Q65" s="2063"/>
      <c r="R65" s="2064"/>
      <c r="S65" s="2064"/>
      <c r="T65" s="2064"/>
      <c r="U65" s="2064"/>
      <c r="V65" s="2064"/>
      <c r="W65" s="2063"/>
      <c r="X65" s="2063"/>
      <c r="Y65" s="2063"/>
      <c r="Z65" s="2063"/>
      <c r="AA65" s="2063"/>
      <c r="AB65" s="2063"/>
      <c r="AC65" s="2063"/>
      <c r="AD65" s="2064"/>
      <c r="AE65" s="1339"/>
      <c r="AF65" s="1339"/>
      <c r="AG65" s="1339"/>
      <c r="AH65" s="1339"/>
      <c r="AI65" s="1339"/>
      <c r="AJ65" s="1339"/>
      <c r="AK65" s="1339"/>
      <c r="AL65" s="1339"/>
      <c r="AM65" s="1339"/>
      <c r="AN65" s="1339"/>
    </row>
    <row r="66" spans="1:40" s="1338" customFormat="1" ht="24.75" thickBot="1">
      <c r="A66" s="2282" t="s">
        <v>1018</v>
      </c>
      <c r="B66" s="2254" t="str">
        <f>估价对象房地状况!C20</f>
        <v>区域自然环境：；人文环境；综合评价环境状况一般</v>
      </c>
      <c r="C66" s="1028"/>
      <c r="D66" s="2258">
        <f t="shared" si="15"/>
        <v>0</v>
      </c>
      <c r="E66" s="2284"/>
      <c r="F66" s="2278"/>
      <c r="G66" s="2256"/>
      <c r="H66" s="2257" t="str">
        <f t="shared" si="19"/>
        <v>——</v>
      </c>
      <c r="I66" s="2283">
        <v>0.06</v>
      </c>
      <c r="J66" s="2279">
        <f t="shared" si="16"/>
        <v>0</v>
      </c>
      <c r="K66" s="2279">
        <f t="shared" si="17"/>
        <v>0</v>
      </c>
      <c r="L66" s="2279">
        <v>0</v>
      </c>
      <c r="M66" s="2279">
        <f t="shared" si="18"/>
        <v>0</v>
      </c>
      <c r="N66" s="2279">
        <f t="shared" si="18"/>
        <v>0</v>
      </c>
      <c r="P66" s="2063"/>
      <c r="Q66" s="2063"/>
      <c r="R66" s="2064"/>
      <c r="S66" s="2064"/>
      <c r="T66" s="2064"/>
      <c r="U66" s="2064"/>
      <c r="V66" s="2064"/>
      <c r="W66" s="2063"/>
      <c r="X66" s="2063"/>
      <c r="Y66" s="2063"/>
      <c r="Z66" s="2063"/>
      <c r="AA66" s="2063"/>
      <c r="AB66" s="2063"/>
      <c r="AC66" s="2063"/>
      <c r="AD66" s="2064"/>
      <c r="AE66" s="1339"/>
      <c r="AF66" s="1339"/>
      <c r="AG66" s="1339"/>
      <c r="AH66" s="1339"/>
      <c r="AI66" s="1339"/>
      <c r="AJ66" s="1339"/>
      <c r="AK66" s="1339"/>
      <c r="AL66" s="1339"/>
      <c r="AM66" s="1339"/>
      <c r="AN66" s="1339"/>
    </row>
    <row r="67" spans="1:40" s="1338" customFormat="1" ht="15">
      <c r="A67" s="2265" t="s">
        <v>1021</v>
      </c>
      <c r="B67" s="2266">
        <f>1+E69</f>
        <v>1</v>
      </c>
      <c r="C67" s="2285"/>
      <c r="D67" s="2268"/>
      <c r="E67" s="2269"/>
      <c r="F67" s="2270"/>
      <c r="G67" s="2264"/>
      <c r="H67" s="2264"/>
      <c r="I67" s="2264"/>
      <c r="J67" s="1040"/>
      <c r="K67" s="1040"/>
      <c r="L67" s="1040"/>
      <c r="M67" s="1040"/>
      <c r="N67" s="1040"/>
      <c r="P67" s="2063"/>
      <c r="Q67" s="2063"/>
      <c r="R67" s="2064"/>
      <c r="S67" s="2064"/>
      <c r="T67" s="2064"/>
      <c r="U67" s="2064"/>
      <c r="V67" s="2064"/>
      <c r="W67" s="2063"/>
      <c r="X67" s="2063"/>
      <c r="Y67" s="2063"/>
      <c r="Z67" s="2063"/>
      <c r="AA67" s="2063"/>
      <c r="AB67" s="2063"/>
      <c r="AC67" s="2063"/>
      <c r="AD67" s="2064"/>
      <c r="AE67" s="1339"/>
      <c r="AF67" s="1339"/>
      <c r="AG67" s="1339"/>
      <c r="AH67" s="1339"/>
      <c r="AI67" s="1339"/>
      <c r="AJ67" s="1339"/>
      <c r="AK67" s="1339"/>
      <c r="AL67" s="1339"/>
      <c r="AM67" s="1339"/>
      <c r="AN67" s="1339"/>
    </row>
    <row r="68" spans="1:40" s="1338" customFormat="1" ht="24">
      <c r="A68" s="1041" t="s">
        <v>998</v>
      </c>
      <c r="B68" s="2249"/>
      <c r="C68" s="2271" t="s">
        <v>1000</v>
      </c>
      <c r="D68" s="2272" t="s">
        <v>1001</v>
      </c>
      <c r="E68" s="2273" t="s">
        <v>1003</v>
      </c>
      <c r="F68" s="2274" t="s">
        <v>2238</v>
      </c>
      <c r="G68" s="2272" t="s">
        <v>1004</v>
      </c>
      <c r="H68" s="2255" t="s">
        <v>2397</v>
      </c>
      <c r="I68" s="2272" t="s">
        <v>1002</v>
      </c>
      <c r="J68" s="2275" t="s">
        <v>1005</v>
      </c>
      <c r="K68" s="2275" t="s">
        <v>1006</v>
      </c>
      <c r="L68" s="2275" t="s">
        <v>1007</v>
      </c>
      <c r="M68" s="2275" t="s">
        <v>1008</v>
      </c>
      <c r="N68" s="2275" t="s">
        <v>1009</v>
      </c>
      <c r="P68" s="2063"/>
      <c r="Q68" s="2063"/>
      <c r="R68" s="2064"/>
      <c r="S68" s="2064"/>
      <c r="T68" s="2064"/>
      <c r="U68" s="2064"/>
      <c r="V68" s="2064"/>
      <c r="W68" s="2063"/>
      <c r="X68" s="2063"/>
      <c r="Y68" s="2063"/>
      <c r="Z68" s="2063"/>
      <c r="AA68" s="2063"/>
      <c r="AB68" s="2063"/>
      <c r="AC68" s="2063"/>
      <c r="AD68" s="2064"/>
      <c r="AE68" s="1339"/>
      <c r="AF68" s="1339"/>
      <c r="AG68" s="1339"/>
      <c r="AH68" s="1339"/>
      <c r="AI68" s="1339"/>
      <c r="AJ68" s="1339"/>
      <c r="AK68" s="1339"/>
      <c r="AL68" s="1339"/>
      <c r="AM68" s="1339"/>
      <c r="AN68" s="1339"/>
    </row>
    <row r="69" spans="1:40" s="1338" customFormat="1" ht="48">
      <c r="A69" s="1041" t="s">
        <v>1022</v>
      </c>
      <c r="B69" s="2252" t="str">
        <f>估价对象房地状况!C15</f>
        <v>估价对象周边居住用地比例、居住小区规模和社区发展完善程度，综合评价居住社区成熟度一般</v>
      </c>
      <c r="C69" s="1133"/>
      <c r="D69" s="2258">
        <f t="shared" ref="D69:D77" si="20">SUMIF($J$68:$N$68,C69,J69:N69)</f>
        <v>0</v>
      </c>
      <c r="E69" s="2277">
        <f>ROUND(SUM(D69:D77),4)</f>
        <v>0</v>
      </c>
      <c r="F69" s="2278" t="str">
        <f>IF(E2="住宅",SUMIF(L1:L12,G2,N1:N12),"——")</f>
        <v>——</v>
      </c>
      <c r="G69" s="2259"/>
      <c r="H69" s="2302" t="str">
        <f t="shared" ref="H69:H77" si="21">IFERROR(ROUNDDOWN($F$69*I69/2,4),"——")</f>
        <v>——</v>
      </c>
      <c r="I69" s="2276">
        <v>0.14000000000000001</v>
      </c>
      <c r="J69" s="2279">
        <f t="shared" ref="J69:J77" si="22">K69+$G69</f>
        <v>0</v>
      </c>
      <c r="K69" s="2279">
        <f t="shared" ref="K69:K77" si="23">$L69+$G69</f>
        <v>0</v>
      </c>
      <c r="L69" s="2279">
        <v>0</v>
      </c>
      <c r="M69" s="2279">
        <f t="shared" ref="M69:N77" si="24">L69-$G69</f>
        <v>0</v>
      </c>
      <c r="N69" s="2279">
        <f t="shared" si="24"/>
        <v>0</v>
      </c>
      <c r="P69" s="2063"/>
      <c r="Q69" s="2063"/>
      <c r="R69" s="2064"/>
      <c r="S69" s="2064"/>
      <c r="T69" s="2064"/>
      <c r="U69" s="2064"/>
      <c r="V69" s="2064"/>
      <c r="W69" s="2063"/>
      <c r="X69" s="2063"/>
      <c r="Y69" s="2063"/>
      <c r="Z69" s="2063"/>
      <c r="AA69" s="2063"/>
      <c r="AB69" s="2063"/>
      <c r="AC69" s="2063"/>
      <c r="AD69" s="2064"/>
      <c r="AE69" s="1339"/>
      <c r="AF69" s="1339"/>
      <c r="AG69" s="1339"/>
      <c r="AH69" s="1339"/>
      <c r="AI69" s="1339"/>
      <c r="AJ69" s="1339"/>
      <c r="AK69" s="1339"/>
      <c r="AL69" s="1339"/>
      <c r="AM69" s="1339"/>
      <c r="AN69" s="1339"/>
    </row>
    <row r="70" spans="1:40" s="1338" customFormat="1" ht="48">
      <c r="A70" s="1041" t="s">
        <v>1023</v>
      </c>
      <c r="B70" s="2249" t="str">
        <f>估价对象房地状况!C18</f>
        <v>估价对象周边道路状况、公共交通通达情况、停车便捷程度，综合评价交通便捷度较好</v>
      </c>
      <c r="C70" s="1133"/>
      <c r="D70" s="2258">
        <f t="shared" si="20"/>
        <v>0</v>
      </c>
      <c r="E70" s="2286"/>
      <c r="F70" s="2287"/>
      <c r="G70" s="2259"/>
      <c r="H70" s="2302" t="str">
        <f t="shared" si="21"/>
        <v>——</v>
      </c>
      <c r="I70" s="2276">
        <v>0.3</v>
      </c>
      <c r="J70" s="2279">
        <f t="shared" si="22"/>
        <v>0</v>
      </c>
      <c r="K70" s="2279">
        <f t="shared" si="23"/>
        <v>0</v>
      </c>
      <c r="L70" s="2279">
        <v>0</v>
      </c>
      <c r="M70" s="2279">
        <f t="shared" si="24"/>
        <v>0</v>
      </c>
      <c r="N70" s="2279">
        <f t="shared" si="24"/>
        <v>0</v>
      </c>
      <c r="P70" s="2063"/>
      <c r="Q70" s="2063"/>
      <c r="R70" s="2064"/>
      <c r="S70" s="2064"/>
      <c r="T70" s="2064"/>
      <c r="U70" s="2064"/>
      <c r="V70" s="2064"/>
      <c r="W70" s="2063"/>
      <c r="X70" s="2063"/>
      <c r="Y70" s="2063"/>
      <c r="Z70" s="2063"/>
      <c r="AA70" s="2063"/>
      <c r="AB70" s="2063"/>
      <c r="AC70" s="2063"/>
      <c r="AD70" s="2064"/>
      <c r="AE70" s="1339"/>
      <c r="AF70" s="1339"/>
      <c r="AG70" s="1339"/>
      <c r="AH70" s="1339"/>
      <c r="AI70" s="1339"/>
      <c r="AJ70" s="1339"/>
      <c r="AK70" s="1339"/>
      <c r="AL70" s="1339"/>
      <c r="AM70" s="1339"/>
      <c r="AN70" s="1339"/>
    </row>
    <row r="71" spans="1:40" s="1338" customFormat="1" ht="24">
      <c r="A71" s="1041" t="s">
        <v>1012</v>
      </c>
      <c r="B71" s="2249">
        <f>估价对象房地状况!C19</f>
        <v>0</v>
      </c>
      <c r="C71" s="1133"/>
      <c r="D71" s="2258">
        <f t="shared" si="20"/>
        <v>0</v>
      </c>
      <c r="E71" s="2286"/>
      <c r="F71" s="2287"/>
      <c r="G71" s="2259"/>
      <c r="H71" s="2302" t="str">
        <f t="shared" si="21"/>
        <v>——</v>
      </c>
      <c r="I71" s="2276">
        <v>0.08</v>
      </c>
      <c r="J71" s="2279">
        <f t="shared" si="22"/>
        <v>0</v>
      </c>
      <c r="K71" s="2279">
        <f t="shared" si="23"/>
        <v>0</v>
      </c>
      <c r="L71" s="2279">
        <v>0</v>
      </c>
      <c r="M71" s="2279">
        <f t="shared" si="24"/>
        <v>0</v>
      </c>
      <c r="N71" s="2279">
        <f t="shared" si="24"/>
        <v>0</v>
      </c>
      <c r="P71" s="2063"/>
      <c r="Q71" s="2063"/>
      <c r="R71" s="2064"/>
      <c r="S71" s="2064"/>
      <c r="T71" s="2064"/>
      <c r="U71" s="2064"/>
      <c r="V71" s="2064"/>
      <c r="W71" s="2063"/>
      <c r="X71" s="2063"/>
      <c r="Y71" s="2063"/>
      <c r="Z71" s="2063"/>
      <c r="AA71" s="2063"/>
      <c r="AB71" s="2063"/>
      <c r="AC71" s="2063"/>
      <c r="AD71" s="2064"/>
      <c r="AE71" s="1339"/>
      <c r="AF71" s="1339"/>
      <c r="AG71" s="1339"/>
      <c r="AH71" s="1339"/>
      <c r="AI71" s="1339"/>
      <c r="AJ71" s="1339"/>
      <c r="AK71" s="1339"/>
      <c r="AL71" s="1339"/>
      <c r="AM71" s="1339"/>
      <c r="AN71" s="1339"/>
    </row>
    <row r="72" spans="1:40" s="1338" customFormat="1" ht="14.25">
      <c r="A72" s="1041" t="s">
        <v>1024</v>
      </c>
      <c r="B72" s="2249">
        <f>估价对象房地状况!C24</f>
        <v>0</v>
      </c>
      <c r="C72" s="1133"/>
      <c r="D72" s="2258">
        <f t="shared" si="20"/>
        <v>0</v>
      </c>
      <c r="E72" s="2286"/>
      <c r="F72" s="2287"/>
      <c r="G72" s="2259"/>
      <c r="H72" s="2302" t="str">
        <f t="shared" si="21"/>
        <v>——</v>
      </c>
      <c r="I72" s="2276">
        <v>0.04</v>
      </c>
      <c r="J72" s="2279">
        <f t="shared" si="22"/>
        <v>0</v>
      </c>
      <c r="K72" s="2279">
        <f t="shared" si="23"/>
        <v>0</v>
      </c>
      <c r="L72" s="2279">
        <v>0</v>
      </c>
      <c r="M72" s="2279">
        <f t="shared" si="24"/>
        <v>0</v>
      </c>
      <c r="N72" s="2279">
        <f t="shared" si="24"/>
        <v>0</v>
      </c>
      <c r="P72" s="2063"/>
      <c r="Q72" s="2063"/>
      <c r="R72" s="2064"/>
      <c r="S72" s="2064"/>
      <c r="T72" s="2064"/>
      <c r="U72" s="2064"/>
      <c r="V72" s="2064"/>
      <c r="W72" s="2063"/>
      <c r="X72" s="2063"/>
      <c r="Y72" s="2063"/>
      <c r="Z72" s="2063"/>
      <c r="AA72" s="2063"/>
      <c r="AB72" s="2063"/>
      <c r="AC72" s="2063"/>
      <c r="AD72" s="2064"/>
      <c r="AE72" s="1339"/>
      <c r="AF72" s="1339"/>
      <c r="AG72" s="1339"/>
      <c r="AH72" s="1339"/>
      <c r="AI72" s="1339"/>
      <c r="AJ72" s="1339"/>
      <c r="AK72" s="1339"/>
      <c r="AL72" s="1339"/>
      <c r="AM72" s="1339"/>
      <c r="AN72" s="1339"/>
    </row>
    <row r="73" spans="1:40" s="1338" customFormat="1" ht="24">
      <c r="A73" s="1041" t="s">
        <v>1016</v>
      </c>
      <c r="B73" s="2250" t="str">
        <f>估价对象房地状况!C21</f>
        <v>估价对象所在区域公共配套设施齐备情况</v>
      </c>
      <c r="C73" s="1133"/>
      <c r="D73" s="2258">
        <f t="shared" si="20"/>
        <v>0</v>
      </c>
      <c r="E73" s="2286"/>
      <c r="F73" s="2287"/>
      <c r="G73" s="2259"/>
      <c r="H73" s="2302" t="str">
        <f t="shared" si="21"/>
        <v>——</v>
      </c>
      <c r="I73" s="2276">
        <v>0.08</v>
      </c>
      <c r="J73" s="2279">
        <f t="shared" si="22"/>
        <v>0</v>
      </c>
      <c r="K73" s="2279">
        <f t="shared" si="23"/>
        <v>0</v>
      </c>
      <c r="L73" s="2279">
        <v>0</v>
      </c>
      <c r="M73" s="2279">
        <f t="shared" si="24"/>
        <v>0</v>
      </c>
      <c r="N73" s="2279">
        <f t="shared" si="24"/>
        <v>0</v>
      </c>
      <c r="P73" s="2063"/>
      <c r="Q73" s="2063"/>
      <c r="R73" s="2064"/>
      <c r="S73" s="2064"/>
      <c r="T73" s="2064"/>
      <c r="U73" s="2064"/>
      <c r="V73" s="2064"/>
      <c r="W73" s="2063"/>
      <c r="X73" s="2063"/>
      <c r="Y73" s="2063"/>
      <c r="Z73" s="2063"/>
      <c r="AA73" s="2063"/>
      <c r="AB73" s="2063"/>
      <c r="AC73" s="2063"/>
      <c r="AD73" s="2064"/>
      <c r="AE73" s="1339"/>
      <c r="AF73" s="1339"/>
      <c r="AG73" s="1339"/>
      <c r="AH73" s="1339"/>
      <c r="AI73" s="1339"/>
      <c r="AJ73" s="1339"/>
      <c r="AK73" s="1339"/>
      <c r="AL73" s="1339"/>
      <c r="AM73" s="1339"/>
      <c r="AN73" s="1339"/>
    </row>
    <row r="74" spans="1:40" s="1338" customFormat="1" ht="24">
      <c r="A74" s="1041" t="s">
        <v>1017</v>
      </c>
      <c r="B74" s="2250" t="str">
        <f>估价对象房地状况!C22</f>
        <v>估价对象所在区域基础设施水平</v>
      </c>
      <c r="C74" s="1133"/>
      <c r="D74" s="2258">
        <f t="shared" si="20"/>
        <v>0</v>
      </c>
      <c r="E74" s="2286"/>
      <c r="F74" s="2287"/>
      <c r="G74" s="2259"/>
      <c r="H74" s="2302" t="str">
        <f t="shared" si="21"/>
        <v>——</v>
      </c>
      <c r="I74" s="2276">
        <v>0.12</v>
      </c>
      <c r="J74" s="2279">
        <f t="shared" si="22"/>
        <v>0</v>
      </c>
      <c r="K74" s="2279">
        <f t="shared" si="23"/>
        <v>0</v>
      </c>
      <c r="L74" s="2279">
        <v>0</v>
      </c>
      <c r="M74" s="2279">
        <f t="shared" si="24"/>
        <v>0</v>
      </c>
      <c r="N74" s="2279">
        <f t="shared" si="24"/>
        <v>0</v>
      </c>
      <c r="P74" s="2063"/>
      <c r="Q74" s="2063"/>
      <c r="R74" s="2064"/>
      <c r="S74" s="2064"/>
      <c r="T74" s="2064"/>
      <c r="U74" s="2064"/>
      <c r="V74" s="2064"/>
      <c r="W74" s="2063"/>
      <c r="X74" s="2063"/>
      <c r="Y74" s="2063"/>
      <c r="Z74" s="2063"/>
      <c r="AA74" s="2063"/>
      <c r="AB74" s="2063"/>
      <c r="AC74" s="2063"/>
      <c r="AD74" s="2064"/>
      <c r="AE74" s="1339"/>
      <c r="AF74" s="1339"/>
      <c r="AG74" s="1339"/>
      <c r="AH74" s="1339"/>
      <c r="AI74" s="1339"/>
      <c r="AJ74" s="1339"/>
      <c r="AK74" s="1339"/>
      <c r="AL74" s="1339"/>
      <c r="AM74" s="1339"/>
      <c r="AN74" s="1339"/>
    </row>
    <row r="75" spans="1:40" s="1338" customFormat="1" ht="24">
      <c r="A75" s="1041" t="s">
        <v>1015</v>
      </c>
      <c r="B75" s="2769" t="s">
        <v>2894</v>
      </c>
      <c r="C75" s="1133"/>
      <c r="D75" s="2258">
        <f t="shared" si="20"/>
        <v>0</v>
      </c>
      <c r="E75" s="2286"/>
      <c r="F75" s="2287"/>
      <c r="G75" s="2259"/>
      <c r="H75" s="2302" t="str">
        <f t="shared" si="21"/>
        <v>——</v>
      </c>
      <c r="I75" s="2276">
        <v>0.05</v>
      </c>
      <c r="J75" s="2279">
        <f t="shared" si="22"/>
        <v>0</v>
      </c>
      <c r="K75" s="2279">
        <f t="shared" si="23"/>
        <v>0</v>
      </c>
      <c r="L75" s="2279">
        <v>0</v>
      </c>
      <c r="M75" s="2279">
        <f t="shared" si="24"/>
        <v>0</v>
      </c>
      <c r="N75" s="2279">
        <f t="shared" si="24"/>
        <v>0</v>
      </c>
      <c r="P75" s="2063"/>
      <c r="Q75" s="2063"/>
      <c r="R75" s="2064"/>
      <c r="S75" s="2064"/>
      <c r="T75" s="2064"/>
      <c r="U75" s="2064"/>
      <c r="V75" s="2064"/>
      <c r="W75" s="2063"/>
      <c r="X75" s="2063"/>
      <c r="Y75" s="2063"/>
      <c r="Z75" s="2063"/>
      <c r="AA75" s="2063"/>
      <c r="AB75" s="2063"/>
      <c r="AC75" s="2063"/>
      <c r="AD75" s="2064"/>
      <c r="AE75" s="1339"/>
      <c r="AF75" s="1339"/>
      <c r="AG75" s="1339"/>
      <c r="AH75" s="1339"/>
      <c r="AI75" s="1339"/>
      <c r="AJ75" s="1339"/>
      <c r="AK75" s="1339"/>
      <c r="AL75" s="1339"/>
      <c r="AM75" s="1339"/>
      <c r="AN75" s="1339"/>
    </row>
    <row r="76" spans="1:40" ht="24">
      <c r="A76" s="1041" t="s">
        <v>1018</v>
      </c>
      <c r="B76" s="2252" t="str">
        <f>估价对象房地状况!C20</f>
        <v>区域自然环境：；人文环境；综合评价环境状况一般</v>
      </c>
      <c r="C76" s="1133"/>
      <c r="D76" s="2258">
        <f t="shared" si="20"/>
        <v>0</v>
      </c>
      <c r="E76" s="2286"/>
      <c r="F76" s="2287"/>
      <c r="G76" s="2259"/>
      <c r="H76" s="2302" t="str">
        <f t="shared" si="21"/>
        <v>——</v>
      </c>
      <c r="I76" s="2276">
        <v>0.15</v>
      </c>
      <c r="J76" s="2279">
        <f t="shared" si="22"/>
        <v>0</v>
      </c>
      <c r="K76" s="2279">
        <f t="shared" si="23"/>
        <v>0</v>
      </c>
      <c r="L76" s="2279">
        <v>0</v>
      </c>
      <c r="M76" s="2279">
        <f t="shared" si="24"/>
        <v>0</v>
      </c>
      <c r="N76" s="2279">
        <f t="shared" si="24"/>
        <v>0</v>
      </c>
      <c r="P76" s="2066"/>
      <c r="Q76" s="2066"/>
      <c r="R76" s="2067"/>
      <c r="S76" s="2067"/>
      <c r="T76" s="2067"/>
      <c r="U76" s="2067"/>
      <c r="V76" s="2067"/>
      <c r="W76" s="2066"/>
      <c r="X76" s="2066"/>
      <c r="Y76" s="2066"/>
      <c r="Z76" s="2066"/>
      <c r="AA76" s="2066"/>
      <c r="AB76" s="2066"/>
      <c r="AC76" s="2066"/>
      <c r="AD76" s="2067"/>
      <c r="AJ76" s="1339"/>
      <c r="AN76" s="1340"/>
    </row>
    <row r="77" spans="1:40" ht="24.75" thickBot="1">
      <c r="A77" s="2282" t="s">
        <v>1025</v>
      </c>
      <c r="B77" s="1750"/>
      <c r="C77" s="1133"/>
      <c r="D77" s="2258">
        <f t="shared" si="20"/>
        <v>0</v>
      </c>
      <c r="E77" s="2288"/>
      <c r="F77" s="2287"/>
      <c r="G77" s="2259"/>
      <c r="H77" s="2302" t="str">
        <f t="shared" si="21"/>
        <v>——</v>
      </c>
      <c r="I77" s="2283">
        <v>0.04</v>
      </c>
      <c r="J77" s="2279">
        <f t="shared" si="22"/>
        <v>0</v>
      </c>
      <c r="K77" s="2279">
        <f t="shared" si="23"/>
        <v>0</v>
      </c>
      <c r="L77" s="2279">
        <v>0</v>
      </c>
      <c r="M77" s="2279">
        <f t="shared" si="24"/>
        <v>0</v>
      </c>
      <c r="N77" s="2279">
        <f t="shared" si="24"/>
        <v>0</v>
      </c>
      <c r="AC77" s="1341"/>
      <c r="AD77" s="1340"/>
      <c r="AJ77" s="1339"/>
      <c r="AN77" s="1340"/>
    </row>
    <row r="78" spans="1:40" ht="15">
      <c r="A78" s="2265" t="s">
        <v>1026</v>
      </c>
      <c r="B78" s="2266">
        <f>1+E80</f>
        <v>1</v>
      </c>
      <c r="C78" s="2285"/>
      <c r="D78" s="2268"/>
      <c r="E78" s="2269"/>
      <c r="F78" s="2270"/>
      <c r="G78" s="2264"/>
      <c r="H78" s="2264"/>
      <c r="I78" s="2264"/>
      <c r="J78" s="1040"/>
      <c r="K78" s="1040"/>
      <c r="L78" s="1040"/>
      <c r="M78" s="1040"/>
      <c r="N78" s="1040"/>
      <c r="AC78" s="1341"/>
      <c r="AD78" s="1340"/>
      <c r="AJ78" s="1339"/>
      <c r="AN78" s="1340"/>
    </row>
    <row r="79" spans="1:40" ht="24">
      <c r="A79" s="1041" t="s">
        <v>998</v>
      </c>
      <c r="B79" s="2249"/>
      <c r="C79" s="2271" t="s">
        <v>1000</v>
      </c>
      <c r="D79" s="2272" t="s">
        <v>1001</v>
      </c>
      <c r="E79" s="2273" t="s">
        <v>1003</v>
      </c>
      <c r="F79" s="2274" t="s">
        <v>2239</v>
      </c>
      <c r="G79" s="2272" t="s">
        <v>1004</v>
      </c>
      <c r="H79" s="2255" t="s">
        <v>2397</v>
      </c>
      <c r="I79" s="2272" t="s">
        <v>1002</v>
      </c>
      <c r="J79" s="2275" t="s">
        <v>1005</v>
      </c>
      <c r="K79" s="2275" t="s">
        <v>1006</v>
      </c>
      <c r="L79" s="2275" t="s">
        <v>1007</v>
      </c>
      <c r="M79" s="2275" t="s">
        <v>1008</v>
      </c>
      <c r="N79" s="2275" t="s">
        <v>1009</v>
      </c>
      <c r="AC79" s="1341"/>
      <c r="AD79" s="1340"/>
      <c r="AJ79" s="1339"/>
      <c r="AN79" s="1340"/>
    </row>
    <row r="80" spans="1:40" ht="36">
      <c r="A80" s="1041" t="s">
        <v>1027</v>
      </c>
      <c r="B80" s="2249" t="str">
        <f>估价对象房地状况!G15</f>
        <v>估价对象位于XX开发区，园区建设成熟度XX，产业集聚程度XX</v>
      </c>
      <c r="C80" s="1028"/>
      <c r="D80" s="2258">
        <f t="shared" ref="D80:D87" si="25">SUMIF($J$79:$N$79,C80,J80:N80)</f>
        <v>0</v>
      </c>
      <c r="E80" s="2277">
        <f>ROUND(SUM(D80:D87),4)</f>
        <v>0</v>
      </c>
      <c r="F80" s="2278" t="str">
        <f>IF(E2="工业",SUMIF(L1:L12,G2,N1:N12),"——")</f>
        <v>——</v>
      </c>
      <c r="G80" s="2256"/>
      <c r="H80" s="2301" t="str">
        <f t="shared" ref="H80:H87" si="26">IFERROR(ROUNDDOWN($F$80*I80/2,4),"——")</f>
        <v>——</v>
      </c>
      <c r="I80" s="2276">
        <v>0.26</v>
      </c>
      <c r="J80" s="2279">
        <f t="shared" ref="J80:J87" si="27">K80+$G80</f>
        <v>0</v>
      </c>
      <c r="K80" s="2279">
        <f t="shared" ref="K80:K87" si="28">$L80+$G80</f>
        <v>0</v>
      </c>
      <c r="L80" s="2279">
        <v>0</v>
      </c>
      <c r="M80" s="2279">
        <f t="shared" ref="M80:N87" si="29">L80-$G80</f>
        <v>0</v>
      </c>
      <c r="N80" s="2279">
        <f t="shared" si="29"/>
        <v>0</v>
      </c>
      <c r="AC80" s="1341"/>
      <c r="AD80" s="1340"/>
      <c r="AJ80" s="1339"/>
      <c r="AN80" s="1340"/>
    </row>
    <row r="81" spans="1:40" ht="48">
      <c r="A81" s="1041" t="s">
        <v>1023</v>
      </c>
      <c r="B81" s="2249" t="str">
        <f>估价对象房地状况!G16</f>
        <v>估价对象周边道路状况、公共交通通达情况、停车便捷程度，综合评价交通便捷度较好</v>
      </c>
      <c r="C81" s="1028"/>
      <c r="D81" s="2258">
        <f t="shared" si="25"/>
        <v>0</v>
      </c>
      <c r="E81" s="2286"/>
      <c r="F81" s="2287"/>
      <c r="G81" s="2256"/>
      <c r="H81" s="2301" t="str">
        <f t="shared" si="26"/>
        <v>——</v>
      </c>
      <c r="I81" s="2276">
        <v>0.33</v>
      </c>
      <c r="J81" s="2279">
        <f t="shared" si="27"/>
        <v>0</v>
      </c>
      <c r="K81" s="2279">
        <f t="shared" si="28"/>
        <v>0</v>
      </c>
      <c r="L81" s="2279">
        <v>0</v>
      </c>
      <c r="M81" s="2279">
        <f t="shared" si="29"/>
        <v>0</v>
      </c>
      <c r="N81" s="2279">
        <f t="shared" si="29"/>
        <v>0</v>
      </c>
      <c r="AC81" s="1341"/>
      <c r="AD81" s="1340"/>
      <c r="AJ81" s="1339"/>
      <c r="AN81" s="1340"/>
    </row>
    <row r="82" spans="1:40" ht="24">
      <c r="A82" s="1041" t="s">
        <v>1012</v>
      </c>
      <c r="B82" s="2249">
        <f>估价对象房地状况!G17</f>
        <v>0</v>
      </c>
      <c r="C82" s="1028"/>
      <c r="D82" s="2258">
        <f t="shared" si="25"/>
        <v>0</v>
      </c>
      <c r="E82" s="2286"/>
      <c r="F82" s="2287"/>
      <c r="G82" s="2256"/>
      <c r="H82" s="2301" t="str">
        <f t="shared" si="26"/>
        <v>——</v>
      </c>
      <c r="I82" s="2276">
        <v>0.05</v>
      </c>
      <c r="J82" s="2279">
        <f t="shared" si="27"/>
        <v>0</v>
      </c>
      <c r="K82" s="2279">
        <f t="shared" si="28"/>
        <v>0</v>
      </c>
      <c r="L82" s="2279">
        <v>0</v>
      </c>
      <c r="M82" s="2279">
        <f t="shared" si="29"/>
        <v>0</v>
      </c>
      <c r="N82" s="2279">
        <f t="shared" si="29"/>
        <v>0</v>
      </c>
      <c r="AC82" s="1341"/>
      <c r="AD82" s="1340"/>
      <c r="AJ82" s="1339"/>
      <c r="AN82" s="1340"/>
    </row>
    <row r="83" spans="1:40" ht="14.25">
      <c r="A83" s="1041" t="s">
        <v>1024</v>
      </c>
      <c r="B83" s="2249">
        <f>估价对象房地状况!G22</f>
        <v>0</v>
      </c>
      <c r="C83" s="1028"/>
      <c r="D83" s="2258">
        <f t="shared" si="25"/>
        <v>0</v>
      </c>
      <c r="E83" s="2286"/>
      <c r="F83" s="2287"/>
      <c r="G83" s="2256"/>
      <c r="H83" s="2301" t="str">
        <f t="shared" si="26"/>
        <v>——</v>
      </c>
      <c r="I83" s="2276">
        <v>0.04</v>
      </c>
      <c r="J83" s="2279">
        <f t="shared" si="27"/>
        <v>0</v>
      </c>
      <c r="K83" s="2279">
        <f t="shared" si="28"/>
        <v>0</v>
      </c>
      <c r="L83" s="2279">
        <v>0</v>
      </c>
      <c r="M83" s="2279">
        <f t="shared" si="29"/>
        <v>0</v>
      </c>
      <c r="N83" s="2279">
        <f t="shared" si="29"/>
        <v>0</v>
      </c>
      <c r="AC83" s="1341"/>
      <c r="AD83" s="1340"/>
      <c r="AJ83" s="1339"/>
      <c r="AN83" s="1340"/>
    </row>
    <row r="84" spans="1:40" ht="24">
      <c r="A84" s="1041" t="s">
        <v>1016</v>
      </c>
      <c r="B84" s="2250" t="str">
        <f>估价对象房地状况!G19</f>
        <v>估价对象所在区域公共配套设施齐备情况</v>
      </c>
      <c r="C84" s="1028"/>
      <c r="D84" s="2258">
        <f t="shared" si="25"/>
        <v>0</v>
      </c>
      <c r="E84" s="2286"/>
      <c r="F84" s="2287"/>
      <c r="G84" s="2256"/>
      <c r="H84" s="2301" t="str">
        <f t="shared" si="26"/>
        <v>——</v>
      </c>
      <c r="I84" s="2276">
        <v>0.06</v>
      </c>
      <c r="J84" s="2279">
        <f t="shared" si="27"/>
        <v>0</v>
      </c>
      <c r="K84" s="2279">
        <f t="shared" si="28"/>
        <v>0</v>
      </c>
      <c r="L84" s="2279">
        <v>0</v>
      </c>
      <c r="M84" s="2279">
        <f t="shared" si="29"/>
        <v>0</v>
      </c>
      <c r="N84" s="2279">
        <f t="shared" si="29"/>
        <v>0</v>
      </c>
      <c r="AC84" s="1341"/>
      <c r="AD84" s="1340"/>
      <c r="AJ84" s="1339"/>
      <c r="AN84" s="1340"/>
    </row>
    <row r="85" spans="1:40" ht="24">
      <c r="A85" s="1041" t="s">
        <v>1017</v>
      </c>
      <c r="B85" s="2250" t="str">
        <f>估价对象房地状况!G20</f>
        <v>估价对象所在区域基础设施水平</v>
      </c>
      <c r="C85" s="1028"/>
      <c r="D85" s="2258">
        <f t="shared" si="25"/>
        <v>0</v>
      </c>
      <c r="E85" s="2286"/>
      <c r="F85" s="2287"/>
      <c r="G85" s="2256"/>
      <c r="H85" s="2301" t="str">
        <f t="shared" si="26"/>
        <v>——</v>
      </c>
      <c r="I85" s="2276">
        <v>0.15</v>
      </c>
      <c r="J85" s="2279">
        <f t="shared" si="27"/>
        <v>0</v>
      </c>
      <c r="K85" s="2279">
        <f t="shared" si="28"/>
        <v>0</v>
      </c>
      <c r="L85" s="2279">
        <v>0</v>
      </c>
      <c r="M85" s="2279">
        <f t="shared" si="29"/>
        <v>0</v>
      </c>
      <c r="N85" s="2279">
        <f t="shared" si="29"/>
        <v>0</v>
      </c>
      <c r="AC85" s="1341"/>
      <c r="AD85" s="1340"/>
      <c r="AJ85" s="1339"/>
      <c r="AN85" s="1340"/>
    </row>
    <row r="86" spans="1:40" ht="24">
      <c r="A86" s="1041" t="s">
        <v>1015</v>
      </c>
      <c r="B86" s="2769" t="s">
        <v>2894</v>
      </c>
      <c r="C86" s="1028"/>
      <c r="D86" s="2258">
        <f t="shared" si="25"/>
        <v>0</v>
      </c>
      <c r="E86" s="2286"/>
      <c r="F86" s="2287"/>
      <c r="G86" s="2256"/>
      <c r="H86" s="2301" t="str">
        <f t="shared" si="26"/>
        <v>——</v>
      </c>
      <c r="I86" s="2276">
        <v>0.05</v>
      </c>
      <c r="J86" s="2279">
        <f t="shared" si="27"/>
        <v>0</v>
      </c>
      <c r="K86" s="2279">
        <f t="shared" si="28"/>
        <v>0</v>
      </c>
      <c r="L86" s="2279">
        <v>0</v>
      </c>
      <c r="M86" s="2279">
        <f t="shared" si="29"/>
        <v>0</v>
      </c>
      <c r="N86" s="2279">
        <f t="shared" si="29"/>
        <v>0</v>
      </c>
      <c r="AC86" s="1341"/>
      <c r="AD86" s="1340"/>
      <c r="AJ86" s="1339"/>
      <c r="AN86" s="1340"/>
    </row>
    <row r="87" spans="1:40" ht="36.75" thickBot="1">
      <c r="A87" s="2282" t="s">
        <v>1028</v>
      </c>
      <c r="B87" s="2251" t="str">
        <f>估价对象房地状况!G18</f>
        <v>该园区内是否有污染型企业，绿化情况，卫生条件，整体环境状况判断</v>
      </c>
      <c r="C87" s="1028"/>
      <c r="D87" s="2258">
        <f t="shared" si="25"/>
        <v>0</v>
      </c>
      <c r="E87" s="2288"/>
      <c r="F87" s="2287"/>
      <c r="G87" s="2256"/>
      <c r="H87" s="2301" t="str">
        <f t="shared" si="26"/>
        <v>——</v>
      </c>
      <c r="I87" s="2283">
        <v>0.06</v>
      </c>
      <c r="J87" s="2279">
        <f t="shared" si="27"/>
        <v>0</v>
      </c>
      <c r="K87" s="2279">
        <f t="shared" si="28"/>
        <v>0</v>
      </c>
      <c r="L87" s="2279">
        <v>0</v>
      </c>
      <c r="M87" s="2279">
        <f t="shared" si="29"/>
        <v>0</v>
      </c>
      <c r="N87" s="2279">
        <f t="shared" si="29"/>
        <v>0</v>
      </c>
      <c r="AC87" s="1341"/>
      <c r="AD87" s="1340"/>
      <c r="AJ87" s="1339"/>
      <c r="AN87" s="1340"/>
    </row>
    <row r="90" spans="1:40">
      <c r="A90" s="3895" t="s">
        <v>1623</v>
      </c>
      <c r="B90" s="3895"/>
      <c r="C90" s="3895"/>
      <c r="D90" s="3895"/>
      <c r="E90" s="3895"/>
      <c r="F90" s="3895"/>
      <c r="G90" s="3895"/>
      <c r="H90" s="3895"/>
      <c r="I90" s="3895"/>
      <c r="J90" s="3895"/>
      <c r="K90" s="2291"/>
      <c r="L90" s="2291"/>
      <c r="M90" s="2291"/>
      <c r="N90" s="2291"/>
    </row>
    <row r="91" spans="1:40">
      <c r="A91" s="3896" t="s">
        <v>1433</v>
      </c>
      <c r="B91" s="3896" t="s">
        <v>1624</v>
      </c>
      <c r="C91" s="1114" t="s">
        <v>1625</v>
      </c>
      <c r="D91" s="1115"/>
      <c r="E91" s="1115"/>
      <c r="F91" s="1115"/>
      <c r="G91" s="1115"/>
      <c r="H91" s="1115"/>
      <c r="I91" s="1115"/>
      <c r="J91" s="1116"/>
      <c r="K91" s="1108"/>
      <c r="L91" s="1108"/>
      <c r="M91" s="1108"/>
      <c r="N91" s="1108"/>
    </row>
    <row r="92" spans="1:40">
      <c r="A92" s="3896"/>
      <c r="B92" s="3896"/>
      <c r="C92" s="2290" t="s">
        <v>897</v>
      </c>
      <c r="D92" s="2290" t="s">
        <v>875</v>
      </c>
      <c r="E92" s="2290" t="s">
        <v>876</v>
      </c>
      <c r="F92" s="2290" t="s">
        <v>900</v>
      </c>
      <c r="G92" s="2290" t="s">
        <v>878</v>
      </c>
      <c r="H92" s="2290" t="s">
        <v>879</v>
      </c>
      <c r="I92" s="2290" t="s">
        <v>880</v>
      </c>
      <c r="J92" s="2290" t="s">
        <v>881</v>
      </c>
      <c r="K92" s="2290" t="s">
        <v>905</v>
      </c>
      <c r="L92" s="2290" t="s">
        <v>883</v>
      </c>
      <c r="M92" s="2290" t="s">
        <v>884</v>
      </c>
      <c r="N92" s="2290" t="s">
        <v>908</v>
      </c>
    </row>
    <row r="93" spans="1:40">
      <c r="A93" s="3903" t="s">
        <v>2737</v>
      </c>
      <c r="B93" s="1117">
        <v>1</v>
      </c>
      <c r="C93" s="1118">
        <v>1.9361999999999999</v>
      </c>
      <c r="D93" s="1118">
        <v>1.9361999999999999</v>
      </c>
      <c r="E93" s="1118">
        <v>1.8629</v>
      </c>
      <c r="F93" s="1118">
        <v>1.8629</v>
      </c>
      <c r="G93" s="1118">
        <v>1.8629</v>
      </c>
      <c r="H93" s="1118">
        <v>1.8629</v>
      </c>
      <c r="I93" s="1118">
        <v>1.8629</v>
      </c>
      <c r="J93" s="1118">
        <v>1.9419999999999999</v>
      </c>
      <c r="K93" s="1118">
        <v>1.9419999999999999</v>
      </c>
      <c r="L93" s="1118">
        <v>1.9419999999999999</v>
      </c>
      <c r="M93" s="1118">
        <v>1.9419999999999999</v>
      </c>
      <c r="N93" s="1118">
        <v>1.9419999999999999</v>
      </c>
    </row>
    <row r="94" spans="1:40">
      <c r="A94" s="3904"/>
      <c r="B94" s="1117">
        <v>2</v>
      </c>
      <c r="C94" s="1118">
        <v>1.4198</v>
      </c>
      <c r="D94" s="1118">
        <v>1.4198</v>
      </c>
      <c r="E94" s="1118">
        <v>1.3371999999999999</v>
      </c>
      <c r="F94" s="1118">
        <v>1.3371999999999999</v>
      </c>
      <c r="G94" s="1118">
        <v>1.3371999999999999</v>
      </c>
      <c r="H94" s="1118">
        <v>1.3371999999999999</v>
      </c>
      <c r="I94" s="1118">
        <v>1.3371999999999999</v>
      </c>
      <c r="J94" s="1118">
        <v>1.2799</v>
      </c>
      <c r="K94" s="1118">
        <v>1.2799</v>
      </c>
      <c r="L94" s="1118">
        <v>1.2799</v>
      </c>
      <c r="M94" s="1118">
        <v>1.2799</v>
      </c>
      <c r="N94" s="1118">
        <v>1.2799</v>
      </c>
    </row>
    <row r="95" spans="1:40">
      <c r="A95" s="3904"/>
      <c r="B95" s="1117">
        <v>3</v>
      </c>
      <c r="C95" s="1118">
        <v>1.1594</v>
      </c>
      <c r="D95" s="1118">
        <v>1.1594</v>
      </c>
      <c r="E95" s="1118">
        <v>1.0788</v>
      </c>
      <c r="F95" s="1118">
        <v>1.0788</v>
      </c>
      <c r="G95" s="1118">
        <v>1.0788</v>
      </c>
      <c r="H95" s="1118">
        <v>1.0788</v>
      </c>
      <c r="I95" s="1118">
        <v>1.0788</v>
      </c>
      <c r="J95" s="1118">
        <v>1.0072000000000001</v>
      </c>
      <c r="K95" s="1118">
        <v>1.0072000000000001</v>
      </c>
      <c r="L95" s="1118">
        <v>1.0072000000000001</v>
      </c>
      <c r="M95" s="1118">
        <v>1.0072000000000001</v>
      </c>
      <c r="N95" s="1118">
        <v>1.0072000000000001</v>
      </c>
    </row>
    <row r="96" spans="1:40">
      <c r="A96" s="3904"/>
      <c r="B96" s="1117">
        <v>4</v>
      </c>
      <c r="C96" s="1118">
        <v>0.96220000000000006</v>
      </c>
      <c r="D96" s="1118">
        <v>0.96220000000000006</v>
      </c>
      <c r="E96" s="1118">
        <v>0.86560000000000004</v>
      </c>
      <c r="F96" s="1118">
        <v>0.86560000000000004</v>
      </c>
      <c r="G96" s="1118">
        <v>0.86560000000000004</v>
      </c>
      <c r="H96" s="1118">
        <v>0.86560000000000004</v>
      </c>
      <c r="I96" s="1118">
        <v>0.86560000000000004</v>
      </c>
      <c r="J96" s="1118">
        <v>0.75249999999999995</v>
      </c>
      <c r="K96" s="1118">
        <v>0.75249999999999995</v>
      </c>
      <c r="L96" s="1118">
        <v>0.75249999999999995</v>
      </c>
      <c r="M96" s="1118">
        <v>0.75249999999999995</v>
      </c>
      <c r="N96" s="1118">
        <v>0.75249999999999995</v>
      </c>
    </row>
    <row r="97" spans="1:14">
      <c r="A97" s="3904"/>
      <c r="B97" s="1117">
        <v>5</v>
      </c>
      <c r="C97" s="1118">
        <v>0.8417</v>
      </c>
      <c r="D97" s="1118">
        <v>0.8417</v>
      </c>
      <c r="E97" s="1118">
        <v>0.73709999999999998</v>
      </c>
      <c r="F97" s="1118">
        <v>0.73709999999999998</v>
      </c>
      <c r="G97" s="1118">
        <v>0.73709999999999998</v>
      </c>
      <c r="H97" s="1118">
        <v>0.73709999999999998</v>
      </c>
      <c r="I97" s="1118">
        <v>0.73709999999999998</v>
      </c>
      <c r="J97" s="1118">
        <v>0.56589999999999996</v>
      </c>
      <c r="K97" s="1118">
        <v>0.56589999999999996</v>
      </c>
      <c r="L97" s="1118">
        <v>0.56589999999999996</v>
      </c>
      <c r="M97" s="1118">
        <v>0.56589999999999996</v>
      </c>
      <c r="N97" s="1118">
        <v>0.56589999999999996</v>
      </c>
    </row>
    <row r="98" spans="1:14">
      <c r="A98" s="3904"/>
      <c r="B98" s="1117">
        <v>6</v>
      </c>
      <c r="C98" s="1118">
        <v>0.76080000000000003</v>
      </c>
      <c r="D98" s="1118">
        <v>0.76080000000000003</v>
      </c>
      <c r="E98" s="1118">
        <v>0.6482</v>
      </c>
      <c r="F98" s="1118">
        <v>0.6482</v>
      </c>
      <c r="G98" s="1118">
        <v>0.6482</v>
      </c>
      <c r="H98" s="1118">
        <v>0.6482</v>
      </c>
      <c r="I98" s="1118">
        <v>0.6482</v>
      </c>
      <c r="J98" s="1118">
        <v>0.45250000000000001</v>
      </c>
      <c r="K98" s="1118">
        <v>0.45250000000000001</v>
      </c>
      <c r="L98" s="1118">
        <v>0.45250000000000001</v>
      </c>
      <c r="M98" s="1118">
        <v>0.45250000000000001</v>
      </c>
      <c r="N98" s="1118">
        <v>0.45250000000000001</v>
      </c>
    </row>
    <row r="99" spans="1:14">
      <c r="A99" s="3904"/>
      <c r="B99" s="1117" t="s">
        <v>1626</v>
      </c>
      <c r="C99" s="1119">
        <f>$I$3</f>
        <v>8</v>
      </c>
      <c r="D99" s="1119">
        <f t="shared" ref="D99:N99" si="30">$I$3</f>
        <v>8</v>
      </c>
      <c r="E99" s="1119">
        <f t="shared" si="30"/>
        <v>8</v>
      </c>
      <c r="F99" s="1119">
        <f t="shared" si="30"/>
        <v>8</v>
      </c>
      <c r="G99" s="1119">
        <f t="shared" si="30"/>
        <v>8</v>
      </c>
      <c r="H99" s="1119">
        <f t="shared" si="30"/>
        <v>8</v>
      </c>
      <c r="I99" s="1119">
        <f t="shared" si="30"/>
        <v>8</v>
      </c>
      <c r="J99" s="1119">
        <f t="shared" si="30"/>
        <v>8</v>
      </c>
      <c r="K99" s="1119">
        <f t="shared" si="30"/>
        <v>8</v>
      </c>
      <c r="L99" s="1119">
        <f t="shared" si="30"/>
        <v>8</v>
      </c>
      <c r="M99" s="1119">
        <f t="shared" si="30"/>
        <v>8</v>
      </c>
      <c r="N99" s="1119">
        <f t="shared" si="30"/>
        <v>8</v>
      </c>
    </row>
    <row r="100" spans="1:14">
      <c r="A100" s="3905"/>
      <c r="B100" s="1117">
        <v>7</v>
      </c>
      <c r="C100" s="1120">
        <f>(-0.163*(C99^2)-0.59*C99+7617)*(10^(-4))</f>
        <v>0.76018479999999999</v>
      </c>
      <c r="D100" s="1120">
        <f>(-0.163*(D99^2)-0.59*D99+7617)*(10^(-4))</f>
        <v>0.76018479999999999</v>
      </c>
      <c r="E100" s="1120">
        <f>(-0.161*(E99^2)-7.509*E99+6533)*(10^(-4))</f>
        <v>0.64626240000000001</v>
      </c>
      <c r="F100" s="1120">
        <f>(-0.161*(F99^2)-7.509*F99+6533)*(10^(-4))</f>
        <v>0.64626240000000001</v>
      </c>
      <c r="G100" s="1120">
        <f>(-0.161*(G99^2)-7.509*G99+6533)*(10^(-4))</f>
        <v>0.64626240000000001</v>
      </c>
      <c r="H100" s="1120">
        <f>(-0.161*(H99^2)-7.509*H99+6533)*(10^(-4))</f>
        <v>0.64626240000000001</v>
      </c>
      <c r="I100" s="1120">
        <f>(-0.161*(I99^2)-7.509*I99+6533)*(10^(-4))</f>
        <v>0.64626240000000001</v>
      </c>
      <c r="J100" s="1120">
        <f>(-0.214*(J99^2)-21.991*J99+4665)*(10^(-4))</f>
        <v>0.44753760000000004</v>
      </c>
      <c r="K100" s="1120">
        <f>(-0.214*(K99^2)-21.991*K99+4665)*(10^(-4))</f>
        <v>0.44753760000000004</v>
      </c>
      <c r="L100" s="1120">
        <f>(-0.214*(L99^2)-21.991*L99+4665)*(10^(-4))</f>
        <v>0.44753760000000004</v>
      </c>
      <c r="M100" s="1120">
        <f>(-0.214*(M99^2)-21.991*M99+4665)*(10^(-4))</f>
        <v>0.44753760000000004</v>
      </c>
      <c r="N100" s="1120">
        <f>(-0.214*(N99^2)-21.991*N99+4665)*(10^(-4))</f>
        <v>0.44753760000000004</v>
      </c>
    </row>
    <row r="101" spans="1:14">
      <c r="A101" s="3903" t="s">
        <v>1627</v>
      </c>
      <c r="B101" s="1121" t="s">
        <v>896</v>
      </c>
      <c r="C101" s="1122">
        <f>$G$3</f>
        <v>0</v>
      </c>
      <c r="D101" s="1122">
        <f t="shared" ref="D101:N101" si="31">$G$3</f>
        <v>0</v>
      </c>
      <c r="E101" s="1122">
        <f t="shared" si="31"/>
        <v>0</v>
      </c>
      <c r="F101" s="1122">
        <f t="shared" si="31"/>
        <v>0</v>
      </c>
      <c r="G101" s="1122">
        <f t="shared" si="31"/>
        <v>0</v>
      </c>
      <c r="H101" s="1122">
        <f t="shared" si="31"/>
        <v>0</v>
      </c>
      <c r="I101" s="1122">
        <f t="shared" si="31"/>
        <v>0</v>
      </c>
      <c r="J101" s="1122">
        <f t="shared" si="31"/>
        <v>0</v>
      </c>
      <c r="K101" s="1122">
        <f t="shared" si="31"/>
        <v>0</v>
      </c>
      <c r="L101" s="1122">
        <f t="shared" si="31"/>
        <v>0</v>
      </c>
      <c r="M101" s="1122">
        <f t="shared" si="31"/>
        <v>0</v>
      </c>
      <c r="N101" s="1122">
        <f t="shared" si="31"/>
        <v>0</v>
      </c>
    </row>
    <row r="102" spans="1:14">
      <c r="A102" s="3904"/>
      <c r="B102" s="1117">
        <v>1</v>
      </c>
      <c r="C102" s="1118" t="e">
        <f>1.9362/C101</f>
        <v>#DIV/0!</v>
      </c>
      <c r="D102" s="1118" t="e">
        <f>1.9362/D101</f>
        <v>#DIV/0!</v>
      </c>
      <c r="E102" s="1118" t="e">
        <f>1.8629/E101</f>
        <v>#DIV/0!</v>
      </c>
      <c r="F102" s="1118" t="e">
        <f>1.8629/F101</f>
        <v>#DIV/0!</v>
      </c>
      <c r="G102" s="1118" t="e">
        <f>1.8629/G101</f>
        <v>#DIV/0!</v>
      </c>
      <c r="H102" s="1118" t="e">
        <f>1.8629/H101</f>
        <v>#DIV/0!</v>
      </c>
      <c r="I102" s="1118" t="e">
        <f>1.8629/I101</f>
        <v>#DIV/0!</v>
      </c>
      <c r="J102" s="1118" t="e">
        <f>1.942/J101</f>
        <v>#DIV/0!</v>
      </c>
      <c r="K102" s="1118" t="e">
        <f>1.942/K101</f>
        <v>#DIV/0!</v>
      </c>
      <c r="L102" s="1118" t="e">
        <f>1.942/L101</f>
        <v>#DIV/0!</v>
      </c>
      <c r="M102" s="1118" t="e">
        <f>1.942/M101</f>
        <v>#DIV/0!</v>
      </c>
      <c r="N102" s="1118" t="e">
        <f>1.942/N101</f>
        <v>#DIV/0!</v>
      </c>
    </row>
    <row r="103" spans="1:14">
      <c r="A103" s="3904"/>
      <c r="B103" s="1117">
        <v>2</v>
      </c>
      <c r="C103" s="1118" t="e">
        <f>1.4198/C101</f>
        <v>#DIV/0!</v>
      </c>
      <c r="D103" s="1118" t="e">
        <f>1.4198/D101</f>
        <v>#DIV/0!</v>
      </c>
      <c r="E103" s="1118" t="e">
        <f>1.3372/E101</f>
        <v>#DIV/0!</v>
      </c>
      <c r="F103" s="1118" t="e">
        <f>1.3372/F101</f>
        <v>#DIV/0!</v>
      </c>
      <c r="G103" s="1118" t="e">
        <f>1.3372/G101</f>
        <v>#DIV/0!</v>
      </c>
      <c r="H103" s="1118" t="e">
        <f>1.3372/H101</f>
        <v>#DIV/0!</v>
      </c>
      <c r="I103" s="1118" t="e">
        <f>1.3372/I101</f>
        <v>#DIV/0!</v>
      </c>
      <c r="J103" s="1118" t="e">
        <f>1.2799/J101</f>
        <v>#DIV/0!</v>
      </c>
      <c r="K103" s="1118" t="e">
        <f>1.2799/K101</f>
        <v>#DIV/0!</v>
      </c>
      <c r="L103" s="1118" t="e">
        <f>1.2799/L101</f>
        <v>#DIV/0!</v>
      </c>
      <c r="M103" s="1118" t="e">
        <f>1.2799/M101</f>
        <v>#DIV/0!</v>
      </c>
      <c r="N103" s="1118" t="e">
        <f>1.2799/N101</f>
        <v>#DIV/0!</v>
      </c>
    </row>
    <row r="104" spans="1:14">
      <c r="A104" s="3904"/>
      <c r="B104" s="1117">
        <v>3</v>
      </c>
      <c r="C104" s="1118" t="e">
        <f>1.1594/C101</f>
        <v>#DIV/0!</v>
      </c>
      <c r="D104" s="1118" t="e">
        <f>1.1594/D101</f>
        <v>#DIV/0!</v>
      </c>
      <c r="E104" s="1118" t="e">
        <f>1.0788/E101</f>
        <v>#DIV/0!</v>
      </c>
      <c r="F104" s="1118" t="e">
        <f>1.0788/F101</f>
        <v>#DIV/0!</v>
      </c>
      <c r="G104" s="1118" t="e">
        <f>1.0788/G101</f>
        <v>#DIV/0!</v>
      </c>
      <c r="H104" s="1118" t="e">
        <f>1.0788/H101</f>
        <v>#DIV/0!</v>
      </c>
      <c r="I104" s="1118" t="e">
        <f>1.0788/I101</f>
        <v>#DIV/0!</v>
      </c>
      <c r="J104" s="1118" t="e">
        <f>1.0072/J101</f>
        <v>#DIV/0!</v>
      </c>
      <c r="K104" s="1118" t="e">
        <f>1.0072/K101</f>
        <v>#DIV/0!</v>
      </c>
      <c r="L104" s="1118" t="e">
        <f>1.0072/L101</f>
        <v>#DIV/0!</v>
      </c>
      <c r="M104" s="1118" t="e">
        <f>1.0072/M101</f>
        <v>#DIV/0!</v>
      </c>
      <c r="N104" s="1118" t="e">
        <f>1.0072/N101</f>
        <v>#DIV/0!</v>
      </c>
    </row>
    <row r="105" spans="1:14">
      <c r="A105" s="3904"/>
      <c r="B105" s="1117">
        <v>4</v>
      </c>
      <c r="C105" s="1118" t="e">
        <f>0.9622/C101</f>
        <v>#DIV/0!</v>
      </c>
      <c r="D105" s="1118" t="e">
        <f>0.9622/D101</f>
        <v>#DIV/0!</v>
      </c>
      <c r="E105" s="1118" t="e">
        <f>0.8656/E101</f>
        <v>#DIV/0!</v>
      </c>
      <c r="F105" s="1118" t="e">
        <f>0.8656/F101</f>
        <v>#DIV/0!</v>
      </c>
      <c r="G105" s="1118" t="e">
        <f>0.8656/G101</f>
        <v>#DIV/0!</v>
      </c>
      <c r="H105" s="1118" t="e">
        <f>0.8656/H101</f>
        <v>#DIV/0!</v>
      </c>
      <c r="I105" s="1118" t="e">
        <f>0.8656/I101</f>
        <v>#DIV/0!</v>
      </c>
      <c r="J105" s="1118" t="e">
        <f>0.7525/J101</f>
        <v>#DIV/0!</v>
      </c>
      <c r="K105" s="1118" t="e">
        <f>0.7525/K101</f>
        <v>#DIV/0!</v>
      </c>
      <c r="L105" s="1118" t="e">
        <f>0.7525/L101</f>
        <v>#DIV/0!</v>
      </c>
      <c r="M105" s="1118" t="e">
        <f>0.7525/M101</f>
        <v>#DIV/0!</v>
      </c>
      <c r="N105" s="1118" t="e">
        <f>0.7525/N101</f>
        <v>#DIV/0!</v>
      </c>
    </row>
    <row r="106" spans="1:14">
      <c r="A106" s="3904"/>
      <c r="B106" s="1117">
        <v>5</v>
      </c>
      <c r="C106" s="1118" t="e">
        <f>0.8417/C101</f>
        <v>#DIV/0!</v>
      </c>
      <c r="D106" s="1118" t="e">
        <f>0.8417/D101</f>
        <v>#DIV/0!</v>
      </c>
      <c r="E106" s="1118" t="e">
        <f>0.7371/E101</f>
        <v>#DIV/0!</v>
      </c>
      <c r="F106" s="1118" t="e">
        <f>0.7371/F101</f>
        <v>#DIV/0!</v>
      </c>
      <c r="G106" s="1118" t="e">
        <f>0.7371/G101</f>
        <v>#DIV/0!</v>
      </c>
      <c r="H106" s="1118" t="e">
        <f>0.7371/H101</f>
        <v>#DIV/0!</v>
      </c>
      <c r="I106" s="1118" t="e">
        <f>0.7371/I101</f>
        <v>#DIV/0!</v>
      </c>
      <c r="J106" s="1118" t="e">
        <f>0.5659/J101</f>
        <v>#DIV/0!</v>
      </c>
      <c r="K106" s="1118" t="e">
        <f>0.5659/K101</f>
        <v>#DIV/0!</v>
      </c>
      <c r="L106" s="1118" t="e">
        <f>0.5659/L101</f>
        <v>#DIV/0!</v>
      </c>
      <c r="M106" s="1118" t="e">
        <f>0.5659/M101</f>
        <v>#DIV/0!</v>
      </c>
      <c r="N106" s="1118" t="e">
        <f>0.5659/N101</f>
        <v>#DIV/0!</v>
      </c>
    </row>
    <row r="107" spans="1:14">
      <c r="A107" s="3904"/>
      <c r="B107" s="1117">
        <v>6</v>
      </c>
      <c r="C107" s="1118" t="e">
        <f>0.7608/C101</f>
        <v>#DIV/0!</v>
      </c>
      <c r="D107" s="1118" t="e">
        <f>0.7608/D101</f>
        <v>#DIV/0!</v>
      </c>
      <c r="E107" s="1118" t="e">
        <f>0.6482/E101</f>
        <v>#DIV/0!</v>
      </c>
      <c r="F107" s="1118" t="e">
        <f>0.6482/F101</f>
        <v>#DIV/0!</v>
      </c>
      <c r="G107" s="1118" t="e">
        <f>0.6482/G101</f>
        <v>#DIV/0!</v>
      </c>
      <c r="H107" s="1118" t="e">
        <f>0.6482/H101</f>
        <v>#DIV/0!</v>
      </c>
      <c r="I107" s="1118" t="e">
        <f>0.6482/I101</f>
        <v>#DIV/0!</v>
      </c>
      <c r="J107" s="1118" t="e">
        <f>0.4525/J101</f>
        <v>#DIV/0!</v>
      </c>
      <c r="K107" s="1118" t="e">
        <f>0.4525/K101</f>
        <v>#DIV/0!</v>
      </c>
      <c r="L107" s="1118" t="e">
        <f>0.4525/L101</f>
        <v>#DIV/0!</v>
      </c>
      <c r="M107" s="1118" t="e">
        <f>0.4525/M101</f>
        <v>#DIV/0!</v>
      </c>
      <c r="N107" s="1118" t="e">
        <f>0.4525/N101</f>
        <v>#DIV/0!</v>
      </c>
    </row>
    <row r="108" spans="1:14">
      <c r="A108" s="3904"/>
      <c r="B108" s="3906" t="s">
        <v>1628</v>
      </c>
      <c r="C108" s="1119">
        <f>C99</f>
        <v>8</v>
      </c>
      <c r="D108" s="1119">
        <f t="shared" ref="D108:N108" si="32">D99</f>
        <v>8</v>
      </c>
      <c r="E108" s="1119">
        <f t="shared" si="32"/>
        <v>8</v>
      </c>
      <c r="F108" s="1119">
        <f t="shared" si="32"/>
        <v>8</v>
      </c>
      <c r="G108" s="1119">
        <f t="shared" si="32"/>
        <v>8</v>
      </c>
      <c r="H108" s="1119">
        <f t="shared" si="32"/>
        <v>8</v>
      </c>
      <c r="I108" s="1119">
        <f t="shared" si="32"/>
        <v>8</v>
      </c>
      <c r="J108" s="1119">
        <f t="shared" si="32"/>
        <v>8</v>
      </c>
      <c r="K108" s="1119">
        <f t="shared" si="32"/>
        <v>8</v>
      </c>
      <c r="L108" s="1119">
        <f t="shared" si="32"/>
        <v>8</v>
      </c>
      <c r="M108" s="1119">
        <f t="shared" si="32"/>
        <v>8</v>
      </c>
      <c r="N108" s="1119">
        <f t="shared" si="32"/>
        <v>8</v>
      </c>
    </row>
    <row r="109" spans="1:14">
      <c r="A109" s="3905"/>
      <c r="B109" s="3907"/>
      <c r="C109" s="1120" t="e">
        <f>(-0.163*(C108^2)-0.59*C108+7617)*(10^(-4))/C101</f>
        <v>#DIV/0!</v>
      </c>
      <c r="D109" s="1120" t="e">
        <f>(-0.163*(D108^2)-0.59*D108+7617)*(10^(-4))/D101</f>
        <v>#DIV/0!</v>
      </c>
      <c r="E109" s="1120" t="e">
        <f>(-0.161*(E108^2)-7.509*E108+6533)*(10^(-4))/E101</f>
        <v>#DIV/0!</v>
      </c>
      <c r="F109" s="1120" t="e">
        <f>(-0.161*(F108^2)-7.509*F108+6533)*(10^(-4))/F101</f>
        <v>#DIV/0!</v>
      </c>
      <c r="G109" s="1120" t="e">
        <f>(-0.161*(G108^2)-7.509*G108+6533)*(10^(-4))/G101</f>
        <v>#DIV/0!</v>
      </c>
      <c r="H109" s="1120" t="e">
        <f>(-0.161*(H108^2)-7.509*H108+6533)*(10^(-4))/H101</f>
        <v>#DIV/0!</v>
      </c>
      <c r="I109" s="1120" t="e">
        <f>(-0.161*(I108^2)-7.509*I108+6533)*(10^(-4))/I101</f>
        <v>#DIV/0!</v>
      </c>
      <c r="J109" s="1120" t="e">
        <f>(-0.214*(J108^2)-21.991*J108+4665)*(10^(-4))/J101</f>
        <v>#DIV/0!</v>
      </c>
      <c r="K109" s="1120" t="e">
        <f>(-0.214*(K108^2)-21.991*K108+4665)*(10^(-4))/K101</f>
        <v>#DIV/0!</v>
      </c>
      <c r="L109" s="1120" t="e">
        <f>(-0.214*(L108^2)-21.991*L108+4665)*(10^(-4))/L101</f>
        <v>#DIV/0!</v>
      </c>
      <c r="M109" s="1120" t="e">
        <f>(-0.214*(M108^2)-21.991*M108+4665)*(10^(-4))/M101</f>
        <v>#DIV/0!</v>
      </c>
      <c r="N109" s="1120" t="e">
        <f>(-0.214*(N108^2)-21.991*N108+4665)*(10^(-4))/N101</f>
        <v>#DIV/0!</v>
      </c>
    </row>
    <row r="110" spans="1:14">
      <c r="A110" s="3889" t="s">
        <v>1629</v>
      </c>
      <c r="B110" s="3889"/>
      <c r="C110" s="3889"/>
      <c r="D110" s="3889"/>
      <c r="E110" s="3889"/>
      <c r="F110" s="3889"/>
      <c r="G110" s="3889"/>
      <c r="H110" s="3889"/>
      <c r="I110" s="3889"/>
      <c r="J110" s="3889"/>
      <c r="K110" s="2289"/>
      <c r="L110" s="2289"/>
      <c r="M110" s="2289"/>
      <c r="N110" s="2289"/>
    </row>
    <row r="112" spans="1:14" ht="12.75" thickBot="1"/>
    <row r="113" spans="1:13" ht="25.5" thickBot="1">
      <c r="A113" s="994" t="s">
        <v>886</v>
      </c>
      <c r="B113" s="2292">
        <f>G3</f>
        <v>0</v>
      </c>
      <c r="C113" s="995" t="s">
        <v>887</v>
      </c>
      <c r="D113" s="996">
        <f>SUMPRODUCT((A115:A118=F113)*(B114:M114=H113)*B115:M118)</f>
        <v>0</v>
      </c>
      <c r="E113" s="997" t="s">
        <v>888</v>
      </c>
      <c r="F113" s="998">
        <f>E2</f>
        <v>0</v>
      </c>
      <c r="G113" s="997" t="s">
        <v>889</v>
      </c>
      <c r="H113" s="998">
        <f>G2</f>
        <v>0</v>
      </c>
      <c r="I113" s="997"/>
      <c r="J113" s="989"/>
      <c r="K113" s="989"/>
      <c r="L113" s="989"/>
      <c r="M113" s="989"/>
    </row>
    <row r="114" spans="1:13" ht="12.75">
      <c r="A114" s="1001"/>
      <c r="B114" s="1002" t="s">
        <v>874</v>
      </c>
      <c r="C114" s="1002" t="s">
        <v>875</v>
      </c>
      <c r="D114" s="1002" t="s">
        <v>876</v>
      </c>
      <c r="E114" s="1003" t="s">
        <v>877</v>
      </c>
      <c r="F114" s="1003" t="s">
        <v>878</v>
      </c>
      <c r="G114" s="1003" t="s">
        <v>879</v>
      </c>
      <c r="H114" s="1004" t="s">
        <v>880</v>
      </c>
      <c r="I114" s="1004" t="s">
        <v>881</v>
      </c>
      <c r="J114" s="1005" t="s">
        <v>882</v>
      </c>
      <c r="K114" s="1005" t="s">
        <v>883</v>
      </c>
      <c r="L114" s="1005" t="s">
        <v>884</v>
      </c>
      <c r="M114" s="1006" t="s">
        <v>885</v>
      </c>
    </row>
    <row r="115" spans="1:13" ht="12.75">
      <c r="A115" s="1007" t="s">
        <v>890</v>
      </c>
      <c r="B115" s="1008">
        <f>ROUND(0.9335-0.0094*B113,4)</f>
        <v>0.9335</v>
      </c>
      <c r="C115" s="1008">
        <f>B115</f>
        <v>0.9335</v>
      </c>
      <c r="D115" s="1008">
        <f>ROUND(0.8331-0.0109*B113,4)</f>
        <v>0.83309999999999995</v>
      </c>
      <c r="E115" s="1008">
        <f>D115</f>
        <v>0.83309999999999995</v>
      </c>
      <c r="F115" s="1008">
        <f>E115</f>
        <v>0.83309999999999995</v>
      </c>
      <c r="G115" s="1008">
        <f>F115</f>
        <v>0.83309999999999995</v>
      </c>
      <c r="H115" s="1008">
        <f>G115</f>
        <v>0.83309999999999995</v>
      </c>
      <c r="I115" s="1008">
        <f>ROUND(0.689-0.0155*B113,4)</f>
        <v>0.68899999999999995</v>
      </c>
      <c r="J115" s="1008">
        <f t="shared" ref="J115:M118" si="33">I115</f>
        <v>0.68899999999999995</v>
      </c>
      <c r="K115" s="1008">
        <f t="shared" si="33"/>
        <v>0.68899999999999995</v>
      </c>
      <c r="L115" s="1008">
        <f t="shared" si="33"/>
        <v>0.68899999999999995</v>
      </c>
      <c r="M115" s="1009">
        <f t="shared" si="33"/>
        <v>0.68899999999999995</v>
      </c>
    </row>
    <row r="116" spans="1:13" ht="12.75">
      <c r="A116" s="1007" t="s">
        <v>891</v>
      </c>
      <c r="B116" s="1008">
        <f>ROUND(0.949-0.012*B113,4)</f>
        <v>0.94899999999999995</v>
      </c>
      <c r="C116" s="1008">
        <f>B116</f>
        <v>0.94899999999999995</v>
      </c>
      <c r="D116" s="1008">
        <f>ROUND(0.8567-0.013*B113,4)</f>
        <v>0.85670000000000002</v>
      </c>
      <c r="E116" s="1008">
        <f t="shared" ref="E116:H117" si="34">D116</f>
        <v>0.85670000000000002</v>
      </c>
      <c r="F116" s="1008">
        <f t="shared" si="34"/>
        <v>0.85670000000000002</v>
      </c>
      <c r="G116" s="1008">
        <f t="shared" si="34"/>
        <v>0.85670000000000002</v>
      </c>
      <c r="H116" s="1008">
        <f t="shared" si="34"/>
        <v>0.85670000000000002</v>
      </c>
      <c r="I116" s="1008">
        <f>ROUND(0.7694-0.014*B113,4)</f>
        <v>0.76939999999999997</v>
      </c>
      <c r="J116" s="1008">
        <f t="shared" si="33"/>
        <v>0.76939999999999997</v>
      </c>
      <c r="K116" s="1008">
        <f t="shared" si="33"/>
        <v>0.76939999999999997</v>
      </c>
      <c r="L116" s="1008">
        <f t="shared" si="33"/>
        <v>0.76939999999999997</v>
      </c>
      <c r="M116" s="1009">
        <f t="shared" si="33"/>
        <v>0.76939999999999997</v>
      </c>
    </row>
    <row r="117" spans="1:13" ht="12.75">
      <c r="A117" s="1010" t="s">
        <v>892</v>
      </c>
      <c r="B117" s="1008">
        <f>ROUND(0.8808-0.006*B113,4)</f>
        <v>0.88080000000000003</v>
      </c>
      <c r="C117" s="1008">
        <f>B117</f>
        <v>0.88080000000000003</v>
      </c>
      <c r="D117" s="1008">
        <f>ROUND(0.8748-0.008*B113,4)</f>
        <v>0.87480000000000002</v>
      </c>
      <c r="E117" s="1008">
        <f t="shared" si="34"/>
        <v>0.87480000000000002</v>
      </c>
      <c r="F117" s="1008">
        <f t="shared" si="34"/>
        <v>0.87480000000000002</v>
      </c>
      <c r="G117" s="1008">
        <f t="shared" si="34"/>
        <v>0.87480000000000002</v>
      </c>
      <c r="H117" s="1008">
        <f t="shared" si="34"/>
        <v>0.87480000000000002</v>
      </c>
      <c r="I117" s="1008">
        <f>ROUND(0.7412-0.0095*B113,4)</f>
        <v>0.74119999999999997</v>
      </c>
      <c r="J117" s="1008">
        <f t="shared" si="33"/>
        <v>0.74119999999999997</v>
      </c>
      <c r="K117" s="1008">
        <f t="shared" si="33"/>
        <v>0.74119999999999997</v>
      </c>
      <c r="L117" s="1008">
        <f t="shared" si="33"/>
        <v>0.74119999999999997</v>
      </c>
      <c r="M117" s="1009">
        <f t="shared" si="33"/>
        <v>0.74119999999999997</v>
      </c>
    </row>
    <row r="118" spans="1:13" ht="13.5" thickBot="1">
      <c r="A118" s="1011" t="s">
        <v>893</v>
      </c>
      <c r="B118" s="1012">
        <f>ROUND(0.7275-0.01*B113,4)</f>
        <v>0.72750000000000004</v>
      </c>
      <c r="C118" s="1012">
        <f>B118</f>
        <v>0.72750000000000004</v>
      </c>
      <c r="D118" s="1012">
        <f>ROUND(0.7043-0.012*B113,4)</f>
        <v>0.70430000000000004</v>
      </c>
      <c r="E118" s="1012">
        <f>D118</f>
        <v>0.70430000000000004</v>
      </c>
      <c r="F118" s="1012">
        <f>E118</f>
        <v>0.70430000000000004</v>
      </c>
      <c r="G118" s="1012">
        <f>ROUND(0.6299-0.0122*B113,4)</f>
        <v>0.62990000000000002</v>
      </c>
      <c r="H118" s="1012">
        <f>G118</f>
        <v>0.62990000000000002</v>
      </c>
      <c r="I118" s="1012">
        <f>ROUND(0.5667-0.0136*B113,4)</f>
        <v>0.56669999999999998</v>
      </c>
      <c r="J118" s="1012">
        <f t="shared" si="33"/>
        <v>0.56669999999999998</v>
      </c>
      <c r="K118" s="1012">
        <f t="shared" si="33"/>
        <v>0.56669999999999998</v>
      </c>
      <c r="L118" s="1012">
        <f t="shared" si="33"/>
        <v>0.56669999999999998</v>
      </c>
      <c r="M118" s="1013">
        <f t="shared" si="33"/>
        <v>0.56669999999999998</v>
      </c>
    </row>
  </sheetData>
  <sheetProtection password="CEE9" sheet="1" objects="1" scenarios="1"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56" priority="5" stopIfTrue="1" operator="notEqual">
      <formula>"——"</formula>
    </cfRule>
  </conditionalFormatting>
  <conditionalFormatting sqref="F58">
    <cfRule type="cellIs" dxfId="155" priority="4" stopIfTrue="1" operator="notEqual">
      <formula>"——"</formula>
    </cfRule>
  </conditionalFormatting>
  <conditionalFormatting sqref="F69">
    <cfRule type="cellIs" dxfId="154" priority="3" stopIfTrue="1" operator="notEqual">
      <formula>"——"</formula>
    </cfRule>
  </conditionalFormatting>
  <conditionalFormatting sqref="F80">
    <cfRule type="cellIs" dxfId="153" priority="2" stopIfTrue="1" operator="notEqual">
      <formula>"——"</formula>
    </cfRule>
  </conditionalFormatting>
  <conditionalFormatting sqref="H58:H66 H47:H55 H69:H77 H80:H87">
    <cfRule type="cellIs" dxfId="152"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0" customWidth="1"/>
    <col min="2" max="9" width="8.25" style="1079" customWidth="1"/>
    <col min="10" max="13" width="8.25" style="1040"/>
    <col min="14" max="14" width="10" style="1040" customWidth="1"/>
    <col min="15" max="16" width="8.25" style="1040"/>
    <col min="17" max="17" width="34.125" style="1040" customWidth="1"/>
    <col min="18" max="18" width="8.25" style="1040" customWidth="1"/>
    <col min="19" max="19" width="8.25" style="1040"/>
    <col min="20" max="20" width="11.625" style="1040" customWidth="1"/>
    <col min="21" max="16384" width="8.25" style="1040"/>
  </cols>
  <sheetData>
    <row r="1" spans="1:13" ht="19.5" customHeight="1" thickBot="1">
      <c r="A1" s="1080" t="s">
        <v>1421</v>
      </c>
      <c r="B1" s="1046" t="s">
        <v>897</v>
      </c>
      <c r="C1" s="1046" t="s">
        <v>898</v>
      </c>
      <c r="D1" s="1046" t="s">
        <v>899</v>
      </c>
      <c r="E1" s="1046" t="s">
        <v>900</v>
      </c>
      <c r="F1" s="1046" t="s">
        <v>901</v>
      </c>
      <c r="G1" s="1046" t="s">
        <v>902</v>
      </c>
      <c r="H1" s="1046" t="s">
        <v>903</v>
      </c>
      <c r="I1" s="1046" t="s">
        <v>904</v>
      </c>
      <c r="J1" s="1046" t="s">
        <v>905</v>
      </c>
      <c r="K1" s="1046" t="s">
        <v>906</v>
      </c>
      <c r="L1" s="1046" t="s">
        <v>907</v>
      </c>
      <c r="M1" s="1047" t="s">
        <v>908</v>
      </c>
    </row>
    <row r="2" spans="1:13" ht="19.5" customHeight="1">
      <c r="A2" s="1081" t="s">
        <v>997</v>
      </c>
      <c r="B2" s="1082">
        <v>3.5</v>
      </c>
      <c r="C2" s="1082">
        <v>3.5</v>
      </c>
      <c r="D2" s="1083">
        <v>2.5</v>
      </c>
      <c r="E2" s="1083">
        <v>2.5</v>
      </c>
      <c r="F2" s="1083">
        <v>2.5</v>
      </c>
      <c r="G2" s="1083">
        <v>2.5</v>
      </c>
      <c r="H2" s="1083">
        <v>2.5</v>
      </c>
      <c r="I2" s="1082">
        <v>2</v>
      </c>
      <c r="J2" s="1082">
        <v>2</v>
      </c>
      <c r="K2" s="1082">
        <v>2</v>
      </c>
      <c r="L2" s="1082">
        <v>2</v>
      </c>
      <c r="M2" s="1084">
        <v>2</v>
      </c>
    </row>
    <row r="3" spans="1:13" ht="19.5" customHeight="1">
      <c r="A3" s="1085" t="s">
        <v>1019</v>
      </c>
      <c r="B3" s="1086">
        <v>3.5</v>
      </c>
      <c r="C3" s="1086">
        <v>3.5</v>
      </c>
      <c r="D3" s="1087">
        <v>2.5</v>
      </c>
      <c r="E3" s="1087">
        <v>2.5</v>
      </c>
      <c r="F3" s="1087">
        <v>2.5</v>
      </c>
      <c r="G3" s="1087">
        <v>2.5</v>
      </c>
      <c r="H3" s="1087">
        <v>2.5</v>
      </c>
      <c r="I3" s="1086">
        <v>2</v>
      </c>
      <c r="J3" s="1086">
        <v>2</v>
      </c>
      <c r="K3" s="1086">
        <v>2</v>
      </c>
      <c r="L3" s="1086">
        <v>2</v>
      </c>
      <c r="M3" s="1088">
        <v>2</v>
      </c>
    </row>
    <row r="4" spans="1:13" ht="19.5" customHeight="1">
      <c r="A4" s="1085" t="s">
        <v>1021</v>
      </c>
      <c r="B4" s="1087">
        <v>2.5</v>
      </c>
      <c r="C4" s="1087">
        <v>2.5</v>
      </c>
      <c r="D4" s="1087">
        <v>2.5</v>
      </c>
      <c r="E4" s="1087">
        <v>2.5</v>
      </c>
      <c r="F4" s="1087">
        <v>2.5</v>
      </c>
      <c r="G4" s="1087">
        <v>2.5</v>
      </c>
      <c r="H4" s="1087">
        <v>2.5</v>
      </c>
      <c r="I4" s="1086">
        <v>1.5</v>
      </c>
      <c r="J4" s="1086">
        <v>1.5</v>
      </c>
      <c r="K4" s="1086">
        <v>1.5</v>
      </c>
      <c r="L4" s="1086">
        <v>1.5</v>
      </c>
      <c r="M4" s="1088">
        <v>1.5</v>
      </c>
    </row>
    <row r="5" spans="1:13" ht="19.5" customHeight="1" thickBot="1">
      <c r="A5" s="1089" t="s">
        <v>1422</v>
      </c>
      <c r="B5" s="1090">
        <v>1.5</v>
      </c>
      <c r="C5" s="1090">
        <v>1.5</v>
      </c>
      <c r="D5" s="1090">
        <v>1.5</v>
      </c>
      <c r="E5" s="1090">
        <v>1.5</v>
      </c>
      <c r="F5" s="1090">
        <v>1.5</v>
      </c>
      <c r="G5" s="1091">
        <v>1.2</v>
      </c>
      <c r="H5" s="1091">
        <v>1.2</v>
      </c>
      <c r="I5" s="1091">
        <v>1</v>
      </c>
      <c r="J5" s="1091">
        <v>1</v>
      </c>
      <c r="K5" s="1091">
        <v>1</v>
      </c>
      <c r="L5" s="1091">
        <v>1</v>
      </c>
      <c r="M5" s="1092">
        <v>1</v>
      </c>
    </row>
    <row r="6" spans="1:13" ht="19.5" customHeight="1">
      <c r="A6" s="1093" t="s">
        <v>1423</v>
      </c>
      <c r="B6" s="1094">
        <v>80</v>
      </c>
      <c r="C6" s="1094">
        <v>80</v>
      </c>
      <c r="D6" s="1094">
        <v>65</v>
      </c>
      <c r="E6" s="1094">
        <v>65</v>
      </c>
      <c r="F6" s="1094">
        <v>65</v>
      </c>
      <c r="G6" s="1094">
        <v>65</v>
      </c>
      <c r="H6" s="1094">
        <v>65</v>
      </c>
      <c r="I6" s="1094">
        <v>50</v>
      </c>
      <c r="J6" s="1094">
        <v>50</v>
      </c>
      <c r="K6" s="1094">
        <v>50</v>
      </c>
      <c r="L6" s="1094">
        <v>50</v>
      </c>
      <c r="M6" s="1095">
        <v>50</v>
      </c>
    </row>
    <row r="7" spans="1:13" ht="19.5" customHeight="1">
      <c r="A7" s="1041" t="s">
        <v>1424</v>
      </c>
      <c r="B7" s="1042">
        <v>70</v>
      </c>
      <c r="C7" s="1042">
        <v>70</v>
      </c>
      <c r="D7" s="1042">
        <v>55</v>
      </c>
      <c r="E7" s="1042">
        <v>55</v>
      </c>
      <c r="F7" s="1042">
        <v>55</v>
      </c>
      <c r="G7" s="1042">
        <v>55</v>
      </c>
      <c r="H7" s="1042">
        <v>55</v>
      </c>
      <c r="I7" s="1042">
        <v>40</v>
      </c>
      <c r="J7" s="1042">
        <v>40</v>
      </c>
      <c r="K7" s="1042">
        <v>40</v>
      </c>
      <c r="L7" s="1042">
        <v>40</v>
      </c>
      <c r="M7" s="1096">
        <v>40</v>
      </c>
    </row>
    <row r="8" spans="1:13" ht="19.5" customHeight="1">
      <c r="A8" s="1041" t="s">
        <v>1425</v>
      </c>
      <c r="B8" s="1042">
        <v>20</v>
      </c>
      <c r="C8" s="1042">
        <v>20</v>
      </c>
      <c r="D8" s="1042">
        <v>15</v>
      </c>
      <c r="E8" s="1042">
        <v>15</v>
      </c>
      <c r="F8" s="1042">
        <v>15</v>
      </c>
      <c r="G8" s="1042">
        <v>15</v>
      </c>
      <c r="H8" s="1042">
        <v>15</v>
      </c>
      <c r="I8" s="1042">
        <v>10</v>
      </c>
      <c r="J8" s="1042">
        <v>10</v>
      </c>
      <c r="K8" s="1042">
        <v>10</v>
      </c>
      <c r="L8" s="1042">
        <v>10</v>
      </c>
      <c r="M8" s="1096">
        <v>10</v>
      </c>
    </row>
    <row r="9" spans="1:13" ht="19.5" customHeight="1">
      <c r="A9" s="1041" t="s">
        <v>1426</v>
      </c>
      <c r="B9" s="1042">
        <v>30</v>
      </c>
      <c r="C9" s="1042">
        <v>30</v>
      </c>
      <c r="D9" s="1042">
        <v>25</v>
      </c>
      <c r="E9" s="1042">
        <v>25</v>
      </c>
      <c r="F9" s="1042">
        <v>25</v>
      </c>
      <c r="G9" s="1042">
        <v>25</v>
      </c>
      <c r="H9" s="1042">
        <v>25</v>
      </c>
      <c r="I9" s="1042">
        <v>20</v>
      </c>
      <c r="J9" s="1042">
        <v>20</v>
      </c>
      <c r="K9" s="1042">
        <v>20</v>
      </c>
      <c r="L9" s="1042">
        <v>20</v>
      </c>
      <c r="M9" s="1096">
        <v>20</v>
      </c>
    </row>
    <row r="10" spans="1:13" ht="19.5" customHeight="1">
      <c r="A10" s="1041" t="s">
        <v>1427</v>
      </c>
      <c r="B10" s="1042">
        <v>45</v>
      </c>
      <c r="C10" s="1042">
        <v>45</v>
      </c>
      <c r="D10" s="1042">
        <v>35</v>
      </c>
      <c r="E10" s="1042">
        <v>35</v>
      </c>
      <c r="F10" s="1042">
        <v>35</v>
      </c>
      <c r="G10" s="1042">
        <v>35</v>
      </c>
      <c r="H10" s="1042">
        <v>35</v>
      </c>
      <c r="I10" s="1042">
        <v>25</v>
      </c>
      <c r="J10" s="1042">
        <v>25</v>
      </c>
      <c r="K10" s="1042">
        <v>25</v>
      </c>
      <c r="L10" s="1042">
        <v>25</v>
      </c>
      <c r="M10" s="1096">
        <v>25</v>
      </c>
    </row>
    <row r="11" spans="1:13" ht="19.5" customHeight="1">
      <c r="A11" s="1041" t="s">
        <v>1428</v>
      </c>
      <c r="B11" s="1042">
        <v>60</v>
      </c>
      <c r="C11" s="1042">
        <v>60</v>
      </c>
      <c r="D11" s="1042">
        <v>50</v>
      </c>
      <c r="E11" s="1042">
        <v>50</v>
      </c>
      <c r="F11" s="1042">
        <v>50</v>
      </c>
      <c r="G11" s="1042">
        <v>50</v>
      </c>
      <c r="H11" s="1042">
        <v>50</v>
      </c>
      <c r="I11" s="1042">
        <v>40</v>
      </c>
      <c r="J11" s="1042">
        <v>40</v>
      </c>
      <c r="K11" s="1042">
        <v>40</v>
      </c>
      <c r="L11" s="1042">
        <v>40</v>
      </c>
      <c r="M11" s="1096">
        <v>40</v>
      </c>
    </row>
    <row r="12" spans="1:13" ht="19.5" customHeight="1">
      <c r="A12" s="1041" t="s">
        <v>1429</v>
      </c>
      <c r="B12" s="1042">
        <v>50</v>
      </c>
      <c r="C12" s="1042">
        <v>50</v>
      </c>
      <c r="D12" s="1042">
        <v>40</v>
      </c>
      <c r="E12" s="1042">
        <v>40</v>
      </c>
      <c r="F12" s="1042">
        <v>40</v>
      </c>
      <c r="G12" s="1042">
        <v>40</v>
      </c>
      <c r="H12" s="1042">
        <v>40</v>
      </c>
      <c r="I12" s="1042">
        <v>30</v>
      </c>
      <c r="J12" s="1042">
        <v>30</v>
      </c>
      <c r="K12" s="1042">
        <v>30</v>
      </c>
      <c r="L12" s="1042">
        <v>30</v>
      </c>
      <c r="M12" s="1096">
        <v>30</v>
      </c>
    </row>
    <row r="13" spans="1:13" ht="19.5" customHeight="1">
      <c r="A13" s="1097" t="s">
        <v>1430</v>
      </c>
      <c r="B13" s="1127">
        <v>20</v>
      </c>
      <c r="C13" s="1127">
        <v>20</v>
      </c>
      <c r="D13" s="1127">
        <v>15</v>
      </c>
      <c r="E13" s="1127">
        <v>15</v>
      </c>
      <c r="F13" s="1127">
        <v>15</v>
      </c>
      <c r="G13" s="1127">
        <v>15</v>
      </c>
      <c r="H13" s="1127">
        <v>15</v>
      </c>
      <c r="I13" s="1127">
        <v>10</v>
      </c>
      <c r="J13" s="1127">
        <v>10</v>
      </c>
      <c r="K13" s="1127">
        <v>10</v>
      </c>
      <c r="L13" s="1127">
        <v>10</v>
      </c>
      <c r="M13" s="1098">
        <v>10</v>
      </c>
    </row>
    <row r="14" spans="1:13" ht="19.5" customHeight="1">
      <c r="A14" s="1042" t="s">
        <v>1431</v>
      </c>
      <c r="B14" s="1099">
        <v>0</v>
      </c>
      <c r="C14" s="1099">
        <v>0</v>
      </c>
      <c r="D14" s="1099">
        <v>0</v>
      </c>
      <c r="E14" s="1099">
        <v>0</v>
      </c>
      <c r="F14" s="1099">
        <v>0</v>
      </c>
      <c r="G14" s="1099">
        <v>0</v>
      </c>
      <c r="H14" s="1099">
        <v>0</v>
      </c>
      <c r="I14" s="1099">
        <v>0</v>
      </c>
      <c r="J14" s="1099">
        <v>0</v>
      </c>
      <c r="K14" s="1099">
        <v>0</v>
      </c>
      <c r="L14" s="1099">
        <v>0</v>
      </c>
      <c r="M14" s="1099">
        <v>0</v>
      </c>
    </row>
    <row r="15" spans="1:13" ht="19.5" customHeight="1">
      <c r="A15" s="2830" t="s">
        <v>2942</v>
      </c>
      <c r="B15" s="2776">
        <f>SUM(B6:B13)</f>
        <v>375</v>
      </c>
      <c r="C15" s="2776">
        <f t="shared" ref="C15:H15" si="0">SUM(C6:C13)</f>
        <v>375</v>
      </c>
      <c r="D15" s="2776">
        <f t="shared" si="0"/>
        <v>300</v>
      </c>
      <c r="E15" s="2776">
        <f t="shared" si="0"/>
        <v>300</v>
      </c>
      <c r="F15" s="2776">
        <f t="shared" si="0"/>
        <v>300</v>
      </c>
      <c r="G15" s="2776">
        <f t="shared" si="0"/>
        <v>300</v>
      </c>
      <c r="H15" s="2776">
        <f t="shared" si="0"/>
        <v>300</v>
      </c>
      <c r="I15" s="2776">
        <f>SUM(I6:I10,I13)</f>
        <v>155</v>
      </c>
      <c r="J15" s="2776">
        <f t="shared" ref="J15:M15" si="1">SUM(J6:J10,J13)</f>
        <v>155</v>
      </c>
      <c r="K15" s="2776">
        <f t="shared" si="1"/>
        <v>155</v>
      </c>
      <c r="L15" s="2776">
        <f t="shared" si="1"/>
        <v>155</v>
      </c>
      <c r="M15" s="2776">
        <f t="shared" si="1"/>
        <v>155</v>
      </c>
    </row>
    <row r="16" spans="1:13" ht="19.5" customHeight="1">
      <c r="A16" s="1100" t="s">
        <v>1432</v>
      </c>
      <c r="B16" s="1100"/>
      <c r="C16" s="1101"/>
      <c r="D16" s="1101"/>
      <c r="E16" s="1100"/>
      <c r="F16" s="1101"/>
      <c r="G16" s="1101"/>
    </row>
    <row r="17" spans="1:9" ht="19.5" customHeight="1">
      <c r="A17" s="1042" t="s">
        <v>1433</v>
      </c>
      <c r="B17" s="1102" t="s">
        <v>1434</v>
      </c>
      <c r="C17" s="1102" t="s">
        <v>1633</v>
      </c>
      <c r="D17" s="1103"/>
      <c r="E17" s="1042" t="s">
        <v>1435</v>
      </c>
      <c r="F17" s="1104"/>
      <c r="G17" s="1104"/>
    </row>
    <row r="18" spans="1:9" s="1517" customFormat="1" ht="19.5" customHeight="1">
      <c r="A18" s="3896" t="s">
        <v>997</v>
      </c>
      <c r="B18" s="1128" t="s">
        <v>1436</v>
      </c>
      <c r="C18" s="1105" t="s">
        <v>1437</v>
      </c>
      <c r="D18" s="1106"/>
      <c r="E18" s="1128">
        <v>1</v>
      </c>
      <c r="F18" s="1107" t="s">
        <v>1438</v>
      </c>
      <c r="G18" s="1108"/>
      <c r="H18" s="1079"/>
      <c r="I18" s="1079"/>
    </row>
    <row r="19" spans="1:9" s="1517" customFormat="1" ht="19.5" customHeight="1">
      <c r="A19" s="3896"/>
      <c r="B19" s="3896" t="s">
        <v>1439</v>
      </c>
      <c r="C19" s="1105" t="s">
        <v>1440</v>
      </c>
      <c r="D19" s="1106"/>
      <c r="E19" s="1128">
        <v>0.9</v>
      </c>
      <c r="F19" s="1107" t="s">
        <v>1441</v>
      </c>
      <c r="G19" s="1108"/>
      <c r="H19" s="1079"/>
      <c r="I19" s="1079"/>
    </row>
    <row r="20" spans="1:9" s="1517" customFormat="1" ht="19.5" customHeight="1">
      <c r="A20" s="3896"/>
      <c r="B20" s="3896"/>
      <c r="C20" s="1105" t="s">
        <v>1442</v>
      </c>
      <c r="D20" s="1106"/>
      <c r="E20" s="1128">
        <v>1.1000000000000001</v>
      </c>
      <c r="F20" s="1107" t="s">
        <v>1443</v>
      </c>
      <c r="G20" s="1108"/>
      <c r="H20" s="1079"/>
      <c r="I20" s="1079"/>
    </row>
    <row r="21" spans="1:9" s="1517" customFormat="1" ht="19.5" customHeight="1">
      <c r="A21" s="3896"/>
      <c r="B21" s="3896"/>
      <c r="C21" s="1105" t="s">
        <v>1444</v>
      </c>
      <c r="D21" s="1106"/>
      <c r="E21" s="1128">
        <v>0.8</v>
      </c>
      <c r="F21" s="1107" t="s">
        <v>1445</v>
      </c>
      <c r="G21" s="1108"/>
      <c r="H21" s="1079"/>
      <c r="I21" s="1079"/>
    </row>
    <row r="22" spans="1:9" s="1517" customFormat="1" ht="19.5" customHeight="1">
      <c r="A22" s="3896"/>
      <c r="B22" s="3896"/>
      <c r="C22" s="1105" t="s">
        <v>1446</v>
      </c>
      <c r="D22" s="1106"/>
      <c r="E22" s="1128">
        <v>0.5</v>
      </c>
      <c r="F22" s="1107"/>
      <c r="G22" s="1108"/>
      <c r="H22" s="1079"/>
      <c r="I22" s="1079"/>
    </row>
    <row r="23" spans="1:9" s="1517" customFormat="1" ht="19.5" customHeight="1">
      <c r="A23" s="3896" t="s">
        <v>1019</v>
      </c>
      <c r="B23" s="1128" t="s">
        <v>1436</v>
      </c>
      <c r="C23" s="1105" t="s">
        <v>1447</v>
      </c>
      <c r="D23" s="1106"/>
      <c r="E23" s="1128">
        <v>1</v>
      </c>
      <c r="F23" s="1107" t="s">
        <v>1448</v>
      </c>
      <c r="G23" s="1108"/>
      <c r="H23" s="1079"/>
      <c r="I23" s="1079"/>
    </row>
    <row r="24" spans="1:9" s="1517" customFormat="1" ht="19.5" customHeight="1">
      <c r="A24" s="3896"/>
      <c r="B24" s="3896" t="s">
        <v>1439</v>
      </c>
      <c r="C24" s="1105" t="s">
        <v>1449</v>
      </c>
      <c r="D24" s="1106"/>
      <c r="E24" s="1128">
        <v>0.5</v>
      </c>
      <c r="F24" s="1107"/>
      <c r="G24" s="1108"/>
      <c r="H24" s="1079"/>
      <c r="I24" s="1079"/>
    </row>
    <row r="25" spans="1:9" s="1517" customFormat="1" ht="19.5" customHeight="1">
      <c r="A25" s="3896"/>
      <c r="B25" s="3896"/>
      <c r="C25" s="1105" t="s">
        <v>1450</v>
      </c>
      <c r="D25" s="1106"/>
      <c r="E25" s="1128">
        <v>1.1000000000000001</v>
      </c>
      <c r="F25" s="1107"/>
      <c r="G25" s="1108"/>
      <c r="H25" s="1079"/>
      <c r="I25" s="1079"/>
    </row>
    <row r="26" spans="1:9" s="1517" customFormat="1" ht="19.5" customHeight="1">
      <c r="A26" s="3896"/>
      <c r="B26" s="3896"/>
      <c r="C26" s="1105" t="s">
        <v>1451</v>
      </c>
      <c r="D26" s="1106"/>
      <c r="E26" s="1128">
        <v>1.1000000000000001</v>
      </c>
      <c r="F26" s="1107"/>
      <c r="G26" s="1108"/>
      <c r="H26" s="1079"/>
      <c r="I26" s="1079"/>
    </row>
    <row r="27" spans="1:9" s="1517" customFormat="1" ht="19.5" customHeight="1">
      <c r="A27" s="3896"/>
      <c r="B27" s="3896"/>
      <c r="C27" s="1105" t="s">
        <v>1452</v>
      </c>
      <c r="D27" s="1106"/>
      <c r="E27" s="1128">
        <v>0.9</v>
      </c>
      <c r="F27" s="1107" t="s">
        <v>1453</v>
      </c>
      <c r="G27" s="1108"/>
      <c r="H27" s="1079"/>
      <c r="I27" s="1079"/>
    </row>
    <row r="28" spans="1:9" s="1517" customFormat="1" ht="19.5" customHeight="1">
      <c r="A28" s="3896"/>
      <c r="B28" s="3896"/>
      <c r="C28" s="1105" t="s">
        <v>1454</v>
      </c>
      <c r="D28" s="1106"/>
      <c r="E28" s="1128">
        <v>0.9</v>
      </c>
      <c r="F28" s="1107" t="s">
        <v>1455</v>
      </c>
      <c r="G28" s="1108"/>
      <c r="H28" s="1079"/>
      <c r="I28" s="1079"/>
    </row>
    <row r="29" spans="1:9" s="1517" customFormat="1" ht="19.5" customHeight="1">
      <c r="A29" s="3896"/>
      <c r="B29" s="3896"/>
      <c r="C29" s="1105" t="s">
        <v>1456</v>
      </c>
      <c r="D29" s="1106"/>
      <c r="E29" s="1128">
        <v>0.9</v>
      </c>
      <c r="F29" s="1107" t="s">
        <v>1457</v>
      </c>
      <c r="G29" s="1108"/>
      <c r="H29" s="1079"/>
      <c r="I29" s="1079"/>
    </row>
    <row r="30" spans="1:9" s="1517" customFormat="1" ht="19.5" customHeight="1">
      <c r="A30" s="3896"/>
      <c r="B30" s="3896"/>
      <c r="C30" s="1105" t="s">
        <v>1458</v>
      </c>
      <c r="D30" s="1106"/>
      <c r="E30" s="1128">
        <v>0.9</v>
      </c>
      <c r="F30" s="1107" t="s">
        <v>1459</v>
      </c>
      <c r="G30" s="1108"/>
      <c r="H30" s="1079"/>
      <c r="I30" s="1079"/>
    </row>
    <row r="31" spans="1:9" s="1517" customFormat="1" ht="19.5" customHeight="1">
      <c r="A31" s="3896"/>
      <c r="B31" s="3896"/>
      <c r="C31" s="1105" t="s">
        <v>1460</v>
      </c>
      <c r="D31" s="1106"/>
      <c r="E31" s="1128">
        <v>0.8</v>
      </c>
      <c r="F31" s="1107" t="s">
        <v>1461</v>
      </c>
      <c r="G31" s="1108"/>
      <c r="H31" s="1079"/>
      <c r="I31" s="1079"/>
    </row>
    <row r="32" spans="1:9" s="1517" customFormat="1" ht="19.5" customHeight="1">
      <c r="A32" s="3896"/>
      <c r="B32" s="3896"/>
      <c r="C32" s="1105" t="s">
        <v>1462</v>
      </c>
      <c r="D32" s="1106"/>
      <c r="E32" s="1128">
        <v>0.8</v>
      </c>
      <c r="F32" s="1107" t="s">
        <v>1463</v>
      </c>
      <c r="G32" s="1108"/>
      <c r="H32" s="1079"/>
      <c r="I32" s="1079"/>
    </row>
    <row r="33" spans="1:9" s="1517" customFormat="1" ht="19.5" customHeight="1">
      <c r="A33" s="3896" t="s">
        <v>1464</v>
      </c>
      <c r="B33" s="1128" t="s">
        <v>1436</v>
      </c>
      <c r="C33" s="1105" t="s">
        <v>1465</v>
      </c>
      <c r="D33" s="1106"/>
      <c r="E33" s="1128">
        <v>1</v>
      </c>
      <c r="F33" s="1107" t="s">
        <v>1466</v>
      </c>
      <c r="G33" s="1108"/>
      <c r="H33" s="1079"/>
      <c r="I33" s="1079"/>
    </row>
    <row r="34" spans="1:9" s="1517" customFormat="1" ht="19.5" customHeight="1">
      <c r="A34" s="3896"/>
      <c r="B34" s="1128" t="s">
        <v>1439</v>
      </c>
      <c r="C34" s="1105" t="s">
        <v>1467</v>
      </c>
      <c r="D34" s="1106"/>
      <c r="E34" s="1128">
        <v>1.5</v>
      </c>
      <c r="F34" s="1107" t="s">
        <v>1468</v>
      </c>
      <c r="G34" s="1108"/>
      <c r="H34" s="1079"/>
      <c r="I34" s="1079"/>
    </row>
    <row r="35" spans="1:9" s="1517" customFormat="1" ht="19.5" customHeight="1">
      <c r="A35" s="3896" t="s">
        <v>1422</v>
      </c>
      <c r="B35" s="1128" t="s">
        <v>1436</v>
      </c>
      <c r="C35" s="1105" t="s">
        <v>1469</v>
      </c>
      <c r="D35" s="1106"/>
      <c r="E35" s="1128">
        <v>1</v>
      </c>
      <c r="F35" s="1107" t="s">
        <v>1470</v>
      </c>
      <c r="G35" s="1108"/>
      <c r="H35" s="1079"/>
      <c r="I35" s="1079"/>
    </row>
    <row r="36" spans="1:9" s="1517" customFormat="1" ht="19.5" customHeight="1">
      <c r="A36" s="3896"/>
      <c r="B36" s="3896" t="s">
        <v>1439</v>
      </c>
      <c r="C36" s="1105" t="s">
        <v>1471</v>
      </c>
      <c r="D36" s="1106"/>
      <c r="E36" s="1128">
        <v>1</v>
      </c>
      <c r="F36" s="1107" t="s">
        <v>1472</v>
      </c>
      <c r="G36" s="1108"/>
      <c r="H36" s="1079"/>
      <c r="I36" s="1079"/>
    </row>
    <row r="37" spans="1:9" s="1517" customFormat="1" ht="19.5" customHeight="1">
      <c r="A37" s="3896"/>
      <c r="B37" s="3896"/>
      <c r="C37" s="1105" t="s">
        <v>1473</v>
      </c>
      <c r="D37" s="1106"/>
      <c r="E37" s="1128">
        <v>1.5</v>
      </c>
      <c r="F37" s="1107" t="s">
        <v>1474</v>
      </c>
      <c r="G37" s="1108"/>
      <c r="H37" s="1079"/>
      <c r="I37" s="1079"/>
    </row>
    <row r="38" spans="1:9" s="1517" customFormat="1" ht="19.5" customHeight="1">
      <c r="A38" s="3896"/>
      <c r="B38" s="3896"/>
      <c r="C38" s="1105" t="s">
        <v>1475</v>
      </c>
      <c r="D38" s="1106"/>
      <c r="E38" s="1128">
        <v>1</v>
      </c>
      <c r="F38" s="1107" t="s">
        <v>1476</v>
      </c>
      <c r="G38" s="1108"/>
      <c r="H38" s="1079"/>
      <c r="I38" s="1079"/>
    </row>
    <row r="39" spans="1:9" s="1517" customFormat="1" ht="19.5" customHeight="1">
      <c r="A39" s="3896"/>
      <c r="B39" s="3896"/>
      <c r="C39" s="1105" t="s">
        <v>1477</v>
      </c>
      <c r="D39" s="1106"/>
      <c r="E39" s="1128">
        <v>1</v>
      </c>
      <c r="F39" s="1107" t="s">
        <v>1478</v>
      </c>
      <c r="G39" s="1108"/>
      <c r="H39" s="1079"/>
      <c r="I39" s="1079"/>
    </row>
    <row r="40" spans="1:9" s="1517" customFormat="1" ht="19.5" customHeight="1">
      <c r="A40" s="1518" t="s">
        <v>1479</v>
      </c>
      <c r="B40" s="1518"/>
      <c r="C40" s="1518"/>
      <c r="D40" s="1518"/>
      <c r="E40" s="1518"/>
      <c r="F40" s="1107"/>
      <c r="G40" s="1107"/>
      <c r="H40" s="1079"/>
      <c r="I40" s="1079"/>
    </row>
    <row r="42" spans="1:9" ht="19.5" customHeight="1">
      <c r="A42" s="1109"/>
      <c r="B42" s="1042" t="s">
        <v>1480</v>
      </c>
      <c r="C42" s="1042" t="s">
        <v>1480</v>
      </c>
      <c r="D42" s="1042" t="s">
        <v>1480</v>
      </c>
      <c r="E42" s="1127" t="s">
        <v>1480</v>
      </c>
      <c r="F42" s="1127" t="s">
        <v>1480</v>
      </c>
      <c r="G42" s="1127" t="s">
        <v>1481</v>
      </c>
      <c r="H42" s="1127" t="s">
        <v>1480</v>
      </c>
    </row>
    <row r="43" spans="1:9" ht="19.5" customHeight="1">
      <c r="A43" s="1110"/>
      <c r="B43" s="1127" t="s">
        <v>997</v>
      </c>
      <c r="C43" s="1127" t="s">
        <v>997</v>
      </c>
      <c r="D43" s="1127" t="s">
        <v>997</v>
      </c>
      <c r="E43" s="1127" t="s">
        <v>997</v>
      </c>
      <c r="F43" s="1042" t="s">
        <v>1019</v>
      </c>
      <c r="G43" s="1042" t="s">
        <v>1422</v>
      </c>
      <c r="H43" s="1042" t="s">
        <v>1482</v>
      </c>
    </row>
    <row r="44" spans="1:9" ht="19.5" customHeight="1">
      <c r="A44" s="1111"/>
      <c r="B44" s="1042">
        <v>1</v>
      </c>
      <c r="C44" s="1042">
        <v>2</v>
      </c>
      <c r="D44" s="1042">
        <v>3</v>
      </c>
      <c r="E44" s="1127">
        <v>4</v>
      </c>
      <c r="F44" s="1103" t="s">
        <v>1483</v>
      </c>
      <c r="G44" s="1103" t="s">
        <v>1483</v>
      </c>
      <c r="H44" s="1103" t="s">
        <v>1483</v>
      </c>
    </row>
    <row r="45" spans="1:9" ht="19.5" customHeight="1">
      <c r="A45" s="1126" t="s">
        <v>897</v>
      </c>
      <c r="B45" s="1042">
        <v>0.8</v>
      </c>
      <c r="C45" s="1042">
        <v>0.5</v>
      </c>
      <c r="D45" s="1042">
        <v>0.36</v>
      </c>
      <c r="E45" s="1042">
        <v>0.3</v>
      </c>
      <c r="F45" s="1103">
        <v>0.3</v>
      </c>
      <c r="G45" s="1042">
        <v>0.3</v>
      </c>
      <c r="H45" s="1042">
        <v>0.25</v>
      </c>
    </row>
    <row r="46" spans="1:9" ht="19.5" customHeight="1">
      <c r="A46" s="1126" t="s">
        <v>898</v>
      </c>
      <c r="B46" s="1042">
        <v>0.8</v>
      </c>
      <c r="C46" s="1042">
        <v>0.5</v>
      </c>
      <c r="D46" s="1042">
        <v>0.36</v>
      </c>
      <c r="E46" s="1042">
        <v>0.3</v>
      </c>
      <c r="F46" s="1042">
        <v>0.3</v>
      </c>
      <c r="G46" s="1042">
        <v>0.3</v>
      </c>
      <c r="H46" s="1042">
        <v>0.25</v>
      </c>
    </row>
    <row r="47" spans="1:9" ht="19.5" customHeight="1">
      <c r="A47" s="1126" t="s">
        <v>899</v>
      </c>
      <c r="B47" s="1042">
        <v>0.7</v>
      </c>
      <c r="C47" s="1042">
        <v>0.4</v>
      </c>
      <c r="D47" s="1042">
        <v>0.28000000000000003</v>
      </c>
      <c r="E47" s="1042">
        <v>0.25</v>
      </c>
      <c r="F47" s="1042">
        <v>0.25</v>
      </c>
      <c r="G47" s="1042">
        <v>0.25</v>
      </c>
      <c r="H47" s="1042">
        <v>0.2</v>
      </c>
    </row>
    <row r="48" spans="1:9" ht="19.5" customHeight="1">
      <c r="A48" s="1126" t="s">
        <v>900</v>
      </c>
      <c r="B48" s="1042">
        <v>0.7</v>
      </c>
      <c r="C48" s="1042">
        <v>0.4</v>
      </c>
      <c r="D48" s="1042">
        <v>0.28000000000000003</v>
      </c>
      <c r="E48" s="1042">
        <v>0.25</v>
      </c>
      <c r="F48" s="1042">
        <v>0.25</v>
      </c>
      <c r="G48" s="1042">
        <v>0.25</v>
      </c>
      <c r="H48" s="1042">
        <v>0.2</v>
      </c>
    </row>
    <row r="49" spans="1:8" s="1079" customFormat="1" ht="19.5" customHeight="1">
      <c r="A49" s="1126" t="s">
        <v>901</v>
      </c>
      <c r="B49" s="1042">
        <v>0.7</v>
      </c>
      <c r="C49" s="1042">
        <v>0.4</v>
      </c>
      <c r="D49" s="1042">
        <v>0.28000000000000003</v>
      </c>
      <c r="E49" s="1042">
        <v>0.25</v>
      </c>
      <c r="F49" s="1042">
        <v>0.25</v>
      </c>
      <c r="G49" s="1042">
        <v>0.25</v>
      </c>
      <c r="H49" s="1042">
        <v>0.2</v>
      </c>
    </row>
    <row r="50" spans="1:8" s="1079" customFormat="1" ht="19.5" customHeight="1">
      <c r="A50" s="1126" t="s">
        <v>902</v>
      </c>
      <c r="B50" s="1042">
        <v>0.7</v>
      </c>
      <c r="C50" s="1042">
        <v>0.4</v>
      </c>
      <c r="D50" s="1042">
        <v>0.28000000000000003</v>
      </c>
      <c r="E50" s="1042">
        <v>0.25</v>
      </c>
      <c r="F50" s="1042">
        <v>0.25</v>
      </c>
      <c r="G50" s="1042">
        <v>0.25</v>
      </c>
      <c r="H50" s="1042">
        <v>0.2</v>
      </c>
    </row>
    <row r="51" spans="1:8" s="1079" customFormat="1" ht="19.5" customHeight="1">
      <c r="A51" s="1126" t="s">
        <v>903</v>
      </c>
      <c r="B51" s="1042">
        <v>0.7</v>
      </c>
      <c r="C51" s="1042">
        <v>0.4</v>
      </c>
      <c r="D51" s="1042">
        <v>0.28000000000000003</v>
      </c>
      <c r="E51" s="1042">
        <v>0.25</v>
      </c>
      <c r="F51" s="1042">
        <v>0.25</v>
      </c>
      <c r="G51" s="1042">
        <v>0.25</v>
      </c>
      <c r="H51" s="1042">
        <v>0.2</v>
      </c>
    </row>
    <row r="52" spans="1:8" s="1079" customFormat="1" ht="19.5" customHeight="1">
      <c r="A52" s="1126" t="s">
        <v>904</v>
      </c>
      <c r="B52" s="1042">
        <v>0.6</v>
      </c>
      <c r="C52" s="1042">
        <v>0.3</v>
      </c>
      <c r="D52" s="1042">
        <v>0.2</v>
      </c>
      <c r="E52" s="1042">
        <v>0.2</v>
      </c>
      <c r="F52" s="1042">
        <v>0.2</v>
      </c>
      <c r="G52" s="1042">
        <v>0.2</v>
      </c>
      <c r="H52" s="1042">
        <v>0.15</v>
      </c>
    </row>
    <row r="53" spans="1:8" s="1079" customFormat="1" ht="19.5" customHeight="1">
      <c r="A53" s="1126" t="s">
        <v>905</v>
      </c>
      <c r="B53" s="1042">
        <v>0.6</v>
      </c>
      <c r="C53" s="1042">
        <v>0.3</v>
      </c>
      <c r="D53" s="1042">
        <v>0.2</v>
      </c>
      <c r="E53" s="1042">
        <v>0.2</v>
      </c>
      <c r="F53" s="1042">
        <v>0.2</v>
      </c>
      <c r="G53" s="1042">
        <v>0.2</v>
      </c>
      <c r="H53" s="1042">
        <v>0.15</v>
      </c>
    </row>
    <row r="54" spans="1:8" s="1079" customFormat="1" ht="19.5" customHeight="1">
      <c r="A54" s="1126" t="s">
        <v>906</v>
      </c>
      <c r="B54" s="1042">
        <v>0.6</v>
      </c>
      <c r="C54" s="1042">
        <v>0.3</v>
      </c>
      <c r="D54" s="1042">
        <v>0.2</v>
      </c>
      <c r="E54" s="1042">
        <v>0.2</v>
      </c>
      <c r="F54" s="1042">
        <v>0.2</v>
      </c>
      <c r="G54" s="1042">
        <v>0.2</v>
      </c>
      <c r="H54" s="1042">
        <v>0.15</v>
      </c>
    </row>
    <row r="55" spans="1:8" s="1079" customFormat="1" ht="19.5" customHeight="1">
      <c r="A55" s="1126" t="s">
        <v>907</v>
      </c>
      <c r="B55" s="1042">
        <v>0.6</v>
      </c>
      <c r="C55" s="1042">
        <v>0.3</v>
      </c>
      <c r="D55" s="1042">
        <v>0.2</v>
      </c>
      <c r="E55" s="1042">
        <v>0.2</v>
      </c>
      <c r="F55" s="1042">
        <v>0.2</v>
      </c>
      <c r="G55" s="1042">
        <v>0.2</v>
      </c>
      <c r="H55" s="1042">
        <v>0.15</v>
      </c>
    </row>
    <row r="56" spans="1:8" s="1079" customFormat="1" ht="19.5" customHeight="1">
      <c r="A56" s="1126" t="s">
        <v>908</v>
      </c>
      <c r="B56" s="1042">
        <v>0.6</v>
      </c>
      <c r="C56" s="1042">
        <v>0.3</v>
      </c>
      <c r="D56" s="1042">
        <v>0.2</v>
      </c>
      <c r="E56" s="1042">
        <v>0.2</v>
      </c>
      <c r="F56" s="1042">
        <v>0.2</v>
      </c>
      <c r="G56" s="1042">
        <v>0.2</v>
      </c>
      <c r="H56" s="1042">
        <v>0.15</v>
      </c>
    </row>
    <row r="58" spans="1:8" s="1079" customFormat="1" ht="19.5" customHeight="1">
      <c r="A58" s="1112"/>
      <c r="B58" s="1100"/>
      <c r="C58" s="1100"/>
      <c r="D58" s="1100" t="s">
        <v>1484</v>
      </c>
      <c r="E58" s="1100"/>
      <c r="F58" s="1100"/>
    </row>
    <row r="59" spans="1:8" s="1079" customFormat="1" ht="19.5" customHeight="1">
      <c r="A59" s="1128" t="s">
        <v>1485</v>
      </c>
      <c r="B59" s="1128" t="s">
        <v>1486</v>
      </c>
      <c r="C59" s="1128" t="s">
        <v>1487</v>
      </c>
      <c r="D59" s="1128" t="s">
        <v>1488</v>
      </c>
      <c r="E59" s="1128" t="s">
        <v>1489</v>
      </c>
      <c r="F59" s="1128" t="s">
        <v>1490</v>
      </c>
    </row>
    <row r="60" spans="1:8" s="1079" customFormat="1" ht="19.5" customHeight="1">
      <c r="A60" s="1128"/>
      <c r="B60" s="1128"/>
      <c r="C60" s="1128" t="s">
        <v>1622</v>
      </c>
      <c r="D60" s="1128"/>
      <c r="E60" s="1113" t="s">
        <v>1431</v>
      </c>
      <c r="F60" s="1128" t="s">
        <v>1431</v>
      </c>
    </row>
    <row r="61" spans="1:8" s="1079" customFormat="1" ht="24">
      <c r="A61" s="1128">
        <v>1</v>
      </c>
      <c r="B61" s="3896" t="s">
        <v>1491</v>
      </c>
      <c r="C61" s="1042" t="s">
        <v>1492</v>
      </c>
      <c r="D61" s="1042" t="s">
        <v>1493</v>
      </c>
      <c r="E61" s="1113">
        <v>0.5</v>
      </c>
      <c r="F61" s="1128">
        <v>80</v>
      </c>
      <c r="H61" s="1079">
        <f>SUMIF(C59:C119,基准地价!C8,E59:E119)</f>
        <v>0</v>
      </c>
    </row>
    <row r="62" spans="1:8" s="1079" customFormat="1" ht="24">
      <c r="A62" s="1128">
        <v>2</v>
      </c>
      <c r="B62" s="3896"/>
      <c r="C62" s="1042" t="s">
        <v>1494</v>
      </c>
      <c r="D62" s="1042" t="s">
        <v>1495</v>
      </c>
      <c r="E62" s="1113">
        <v>0.5</v>
      </c>
      <c r="F62" s="1128">
        <v>80</v>
      </c>
    </row>
    <row r="63" spans="1:8" s="1079" customFormat="1" ht="36">
      <c r="A63" s="1128">
        <v>3</v>
      </c>
      <c r="B63" s="3896"/>
      <c r="C63" s="1042" t="s">
        <v>1496</v>
      </c>
      <c r="D63" s="1042" t="s">
        <v>1497</v>
      </c>
      <c r="E63" s="1113">
        <v>0.5</v>
      </c>
      <c r="F63" s="1128">
        <v>80</v>
      </c>
    </row>
    <row r="64" spans="1:8" s="1079" customFormat="1" ht="36">
      <c r="A64" s="1128">
        <v>4</v>
      </c>
      <c r="B64" s="3896"/>
      <c r="C64" s="1042" t="s">
        <v>1498</v>
      </c>
      <c r="D64" s="1042" t="s">
        <v>1499</v>
      </c>
      <c r="E64" s="1113">
        <v>0.4</v>
      </c>
      <c r="F64" s="1128">
        <v>60</v>
      </c>
    </row>
    <row r="65" spans="1:6" s="1079" customFormat="1" ht="36">
      <c r="A65" s="1128">
        <v>5</v>
      </c>
      <c r="B65" s="3896"/>
      <c r="C65" s="1042" t="s">
        <v>1500</v>
      </c>
      <c r="D65" s="1042" t="s">
        <v>1501</v>
      </c>
      <c r="E65" s="1113">
        <v>0.2</v>
      </c>
      <c r="F65" s="1128">
        <v>30</v>
      </c>
    </row>
    <row r="66" spans="1:6" s="1079" customFormat="1" ht="36">
      <c r="A66" s="1128">
        <v>6</v>
      </c>
      <c r="B66" s="3896"/>
      <c r="C66" s="1042" t="s">
        <v>1502</v>
      </c>
      <c r="D66" s="1042" t="s">
        <v>1503</v>
      </c>
      <c r="E66" s="1113">
        <v>0.3</v>
      </c>
      <c r="F66" s="1128">
        <v>50</v>
      </c>
    </row>
    <row r="67" spans="1:6" s="1079" customFormat="1" ht="36">
      <c r="A67" s="1128">
        <v>7</v>
      </c>
      <c r="B67" s="3896"/>
      <c r="C67" s="1042" t="s">
        <v>1504</v>
      </c>
      <c r="D67" s="1042" t="s">
        <v>1505</v>
      </c>
      <c r="E67" s="1113">
        <v>0.2</v>
      </c>
      <c r="F67" s="1128">
        <v>30</v>
      </c>
    </row>
    <row r="68" spans="1:6" s="1079" customFormat="1" ht="36">
      <c r="A68" s="1128">
        <v>8</v>
      </c>
      <c r="B68" s="3896"/>
      <c r="C68" s="1042" t="s">
        <v>1506</v>
      </c>
      <c r="D68" s="1042" t="s">
        <v>1507</v>
      </c>
      <c r="E68" s="1113">
        <v>0.2</v>
      </c>
      <c r="F68" s="1128">
        <v>30</v>
      </c>
    </row>
    <row r="69" spans="1:6" s="1079" customFormat="1" ht="36">
      <c r="A69" s="1128">
        <v>9</v>
      </c>
      <c r="B69" s="3896"/>
      <c r="C69" s="1042" t="s">
        <v>1508</v>
      </c>
      <c r="D69" s="1042" t="s">
        <v>1509</v>
      </c>
      <c r="E69" s="1113">
        <v>0.2</v>
      </c>
      <c r="F69" s="1128">
        <v>30</v>
      </c>
    </row>
    <row r="70" spans="1:6" s="1079" customFormat="1" ht="48">
      <c r="A70" s="1128">
        <v>10</v>
      </c>
      <c r="B70" s="3896"/>
      <c r="C70" s="1042" t="s">
        <v>1510</v>
      </c>
      <c r="D70" s="1042" t="s">
        <v>1511</v>
      </c>
      <c r="E70" s="1113">
        <v>0.2</v>
      </c>
      <c r="F70" s="1128">
        <v>30</v>
      </c>
    </row>
    <row r="71" spans="1:6" s="1079" customFormat="1" ht="48">
      <c r="A71" s="1128">
        <v>11</v>
      </c>
      <c r="B71" s="3896"/>
      <c r="C71" s="1042" t="s">
        <v>1512</v>
      </c>
      <c r="D71" s="1042" t="s">
        <v>1513</v>
      </c>
      <c r="E71" s="1113">
        <v>0.2</v>
      </c>
      <c r="F71" s="1128">
        <v>30</v>
      </c>
    </row>
    <row r="72" spans="1:6" s="1079" customFormat="1" ht="36">
      <c r="A72" s="1128">
        <v>12</v>
      </c>
      <c r="B72" s="3896"/>
      <c r="C72" s="1042" t="s">
        <v>1514</v>
      </c>
      <c r="D72" s="1042" t="s">
        <v>1515</v>
      </c>
      <c r="E72" s="1113">
        <v>0.5</v>
      </c>
      <c r="F72" s="1128">
        <v>80</v>
      </c>
    </row>
    <row r="73" spans="1:6" s="1079" customFormat="1" ht="24">
      <c r="A73" s="1128">
        <v>13</v>
      </c>
      <c r="B73" s="3896"/>
      <c r="C73" s="1042" t="s">
        <v>1516</v>
      </c>
      <c r="D73" s="1042" t="s">
        <v>1517</v>
      </c>
      <c r="E73" s="1113">
        <v>0.4</v>
      </c>
      <c r="F73" s="1128">
        <v>60</v>
      </c>
    </row>
    <row r="74" spans="1:6" s="1079" customFormat="1" ht="24">
      <c r="A74" s="1128">
        <v>14</v>
      </c>
      <c r="B74" s="3896"/>
      <c r="C74" s="1042" t="s">
        <v>1518</v>
      </c>
      <c r="D74" s="1042" t="s">
        <v>1519</v>
      </c>
      <c r="E74" s="1113">
        <v>0.2</v>
      </c>
      <c r="F74" s="1128">
        <v>30</v>
      </c>
    </row>
    <row r="75" spans="1:6" s="1079" customFormat="1" ht="24">
      <c r="A75" s="1128">
        <v>15</v>
      </c>
      <c r="B75" s="3896"/>
      <c r="C75" s="1042" t="s">
        <v>1520</v>
      </c>
      <c r="D75" s="1042" t="s">
        <v>1521</v>
      </c>
      <c r="E75" s="1113">
        <v>0.2</v>
      </c>
      <c r="F75" s="1128">
        <v>30</v>
      </c>
    </row>
    <row r="76" spans="1:6" s="1079" customFormat="1" ht="24">
      <c r="A76" s="1128">
        <v>16</v>
      </c>
      <c r="B76" s="3896" t="s">
        <v>1522</v>
      </c>
      <c r="C76" s="1042" t="s">
        <v>1523</v>
      </c>
      <c r="D76" s="1042" t="s">
        <v>1524</v>
      </c>
      <c r="E76" s="1113">
        <v>0.5</v>
      </c>
      <c r="F76" s="1128">
        <v>80</v>
      </c>
    </row>
    <row r="77" spans="1:6" s="1079" customFormat="1" ht="24">
      <c r="A77" s="1128">
        <v>17</v>
      </c>
      <c r="B77" s="3896"/>
      <c r="C77" s="1042" t="s">
        <v>1525</v>
      </c>
      <c r="D77" s="1042" t="s">
        <v>1526</v>
      </c>
      <c r="E77" s="1113">
        <v>0.5</v>
      </c>
      <c r="F77" s="1128">
        <v>80</v>
      </c>
    </row>
    <row r="78" spans="1:6" s="1079" customFormat="1" ht="24">
      <c r="A78" s="1128">
        <v>18</v>
      </c>
      <c r="B78" s="3896"/>
      <c r="C78" s="1042" t="s">
        <v>1527</v>
      </c>
      <c r="D78" s="1042" t="s">
        <v>1528</v>
      </c>
      <c r="E78" s="1113">
        <v>0.2</v>
      </c>
      <c r="F78" s="1128">
        <v>30</v>
      </c>
    </row>
    <row r="79" spans="1:6" s="1079" customFormat="1" ht="24">
      <c r="A79" s="1128">
        <v>19</v>
      </c>
      <c r="B79" s="3896"/>
      <c r="C79" s="1042" t="s">
        <v>1529</v>
      </c>
      <c r="D79" s="1042" t="s">
        <v>1530</v>
      </c>
      <c r="E79" s="1113">
        <v>0.5</v>
      </c>
      <c r="F79" s="1128">
        <v>80</v>
      </c>
    </row>
    <row r="80" spans="1:6" s="1079" customFormat="1" ht="36">
      <c r="A80" s="1128">
        <v>20</v>
      </c>
      <c r="B80" s="3896"/>
      <c r="C80" s="1042" t="s">
        <v>1531</v>
      </c>
      <c r="D80" s="1042" t="s">
        <v>1532</v>
      </c>
      <c r="E80" s="1113">
        <v>0.2</v>
      </c>
      <c r="F80" s="1128">
        <v>30</v>
      </c>
    </row>
    <row r="81" spans="1:6" s="1079" customFormat="1" ht="36">
      <c r="A81" s="1128">
        <v>21</v>
      </c>
      <c r="B81" s="3896"/>
      <c r="C81" s="1042" t="s">
        <v>1533</v>
      </c>
      <c r="D81" s="1042" t="s">
        <v>1534</v>
      </c>
      <c r="E81" s="1113">
        <v>0.2</v>
      </c>
      <c r="F81" s="1128">
        <v>30</v>
      </c>
    </row>
    <row r="82" spans="1:6" s="1079" customFormat="1" ht="48">
      <c r="A82" s="1128">
        <v>22</v>
      </c>
      <c r="B82" s="3896"/>
      <c r="C82" s="1042" t="s">
        <v>1535</v>
      </c>
      <c r="D82" s="1042" t="s">
        <v>1536</v>
      </c>
      <c r="E82" s="1113">
        <v>0.2</v>
      </c>
      <c r="F82" s="1128">
        <v>30</v>
      </c>
    </row>
    <row r="83" spans="1:6" s="1079" customFormat="1" ht="48">
      <c r="A83" s="1128">
        <v>23</v>
      </c>
      <c r="B83" s="3896"/>
      <c r="C83" s="1042" t="s">
        <v>1537</v>
      </c>
      <c r="D83" s="1042" t="s">
        <v>1538</v>
      </c>
      <c r="E83" s="1113">
        <v>0.2</v>
      </c>
      <c r="F83" s="1128">
        <v>30</v>
      </c>
    </row>
    <row r="84" spans="1:6" s="1079" customFormat="1" ht="36">
      <c r="A84" s="1128">
        <v>24</v>
      </c>
      <c r="B84" s="3896"/>
      <c r="C84" s="1042" t="s">
        <v>1539</v>
      </c>
      <c r="D84" s="1042" t="s">
        <v>1540</v>
      </c>
      <c r="E84" s="1113">
        <v>0.2</v>
      </c>
      <c r="F84" s="1128">
        <v>30</v>
      </c>
    </row>
    <row r="85" spans="1:6" s="1079" customFormat="1" ht="36">
      <c r="A85" s="1128">
        <v>25</v>
      </c>
      <c r="B85" s="3896"/>
      <c r="C85" s="1042" t="s">
        <v>1541</v>
      </c>
      <c r="D85" s="1042" t="s">
        <v>1542</v>
      </c>
      <c r="E85" s="1113">
        <v>0.5</v>
      </c>
      <c r="F85" s="1128">
        <v>80</v>
      </c>
    </row>
    <row r="86" spans="1:6" s="1079" customFormat="1" ht="36">
      <c r="A86" s="1128">
        <v>26</v>
      </c>
      <c r="B86" s="3896"/>
      <c r="C86" s="1042" t="s">
        <v>1543</v>
      </c>
      <c r="D86" s="1042" t="s">
        <v>1544</v>
      </c>
      <c r="E86" s="1113">
        <v>0.2</v>
      </c>
      <c r="F86" s="1128">
        <v>30</v>
      </c>
    </row>
    <row r="87" spans="1:6" s="1079" customFormat="1" ht="36">
      <c r="A87" s="1128">
        <v>27</v>
      </c>
      <c r="B87" s="3896"/>
      <c r="C87" s="1042" t="s">
        <v>1545</v>
      </c>
      <c r="D87" s="1042" t="s">
        <v>1546</v>
      </c>
      <c r="E87" s="1113">
        <v>0.2</v>
      </c>
      <c r="F87" s="1128">
        <v>30</v>
      </c>
    </row>
    <row r="88" spans="1:6" s="1079" customFormat="1" ht="36">
      <c r="A88" s="1128">
        <v>28</v>
      </c>
      <c r="B88" s="3896"/>
      <c r="C88" s="1042" t="s">
        <v>1547</v>
      </c>
      <c r="D88" s="1042" t="s">
        <v>1548</v>
      </c>
      <c r="E88" s="1113">
        <v>0.2</v>
      </c>
      <c r="F88" s="1128">
        <v>30</v>
      </c>
    </row>
    <row r="89" spans="1:6" s="1079" customFormat="1" ht="24">
      <c r="A89" s="1128">
        <v>29</v>
      </c>
      <c r="B89" s="3896"/>
      <c r="C89" s="1042" t="s">
        <v>1549</v>
      </c>
      <c r="D89" s="1042" t="s">
        <v>1550</v>
      </c>
      <c r="E89" s="1113">
        <v>0.2</v>
      </c>
      <c r="F89" s="1128">
        <v>30</v>
      </c>
    </row>
    <row r="90" spans="1:6" s="1079" customFormat="1" ht="24">
      <c r="A90" s="1128">
        <v>30</v>
      </c>
      <c r="B90" s="3896"/>
      <c r="C90" s="1042" t="s">
        <v>1551</v>
      </c>
      <c r="D90" s="1042" t="s">
        <v>1552</v>
      </c>
      <c r="E90" s="1113">
        <v>0.2</v>
      </c>
      <c r="F90" s="1128">
        <v>30</v>
      </c>
    </row>
    <row r="91" spans="1:6" s="1079" customFormat="1" ht="36">
      <c r="A91" s="1128">
        <v>31</v>
      </c>
      <c r="B91" s="3896"/>
      <c r="C91" s="1042" t="s">
        <v>1553</v>
      </c>
      <c r="D91" s="1042" t="s">
        <v>1554</v>
      </c>
      <c r="E91" s="1113">
        <v>0.2</v>
      </c>
      <c r="F91" s="1128">
        <v>30</v>
      </c>
    </row>
    <row r="92" spans="1:6" s="1079" customFormat="1" ht="24">
      <c r="A92" s="1128">
        <v>32</v>
      </c>
      <c r="B92" s="3896" t="s">
        <v>1555</v>
      </c>
      <c r="C92" s="1128" t="s">
        <v>1556</v>
      </c>
      <c r="D92" s="1042" t="s">
        <v>1557</v>
      </c>
      <c r="E92" s="1113">
        <v>0.2</v>
      </c>
      <c r="F92" s="1128">
        <v>30</v>
      </c>
    </row>
    <row r="93" spans="1:6" s="1079" customFormat="1" ht="36">
      <c r="A93" s="1128">
        <v>33</v>
      </c>
      <c r="B93" s="3896"/>
      <c r="C93" s="1128" t="s">
        <v>1558</v>
      </c>
      <c r="D93" s="1042" t="s">
        <v>1559</v>
      </c>
      <c r="E93" s="1113">
        <v>0.2</v>
      </c>
      <c r="F93" s="1128">
        <v>30</v>
      </c>
    </row>
    <row r="94" spans="1:6" s="1079" customFormat="1" ht="48">
      <c r="A94" s="1128">
        <v>34</v>
      </c>
      <c r="B94" s="3896"/>
      <c r="C94" s="1128" t="s">
        <v>1560</v>
      </c>
      <c r="D94" s="1042" t="s">
        <v>1561</v>
      </c>
      <c r="E94" s="1113">
        <v>0.2</v>
      </c>
      <c r="F94" s="1128">
        <v>30</v>
      </c>
    </row>
    <row r="95" spans="1:6" s="1079" customFormat="1" ht="36">
      <c r="A95" s="1128">
        <v>35</v>
      </c>
      <c r="B95" s="3896"/>
      <c r="C95" s="1128" t="s">
        <v>1562</v>
      </c>
      <c r="D95" s="1042" t="s">
        <v>1563</v>
      </c>
      <c r="E95" s="1113">
        <v>0.2</v>
      </c>
      <c r="F95" s="1128">
        <v>30</v>
      </c>
    </row>
    <row r="96" spans="1:6" s="1079" customFormat="1" ht="48">
      <c r="A96" s="1128">
        <v>36</v>
      </c>
      <c r="B96" s="3896"/>
      <c r="C96" s="1042" t="s">
        <v>1564</v>
      </c>
      <c r="D96" s="1042" t="s">
        <v>1565</v>
      </c>
      <c r="E96" s="1113">
        <v>0.2</v>
      </c>
      <c r="F96" s="1128">
        <v>30</v>
      </c>
    </row>
    <row r="97" spans="1:6" s="1079" customFormat="1" ht="36">
      <c r="A97" s="1128">
        <v>37</v>
      </c>
      <c r="B97" s="3896"/>
      <c r="C97" s="1128" t="s">
        <v>1566</v>
      </c>
      <c r="D97" s="1042" t="s">
        <v>1567</v>
      </c>
      <c r="E97" s="1113">
        <v>0.2</v>
      </c>
      <c r="F97" s="1128">
        <v>30</v>
      </c>
    </row>
    <row r="98" spans="1:6" s="1079" customFormat="1" ht="36">
      <c r="A98" s="1128">
        <v>38</v>
      </c>
      <c r="B98" s="3896"/>
      <c r="C98" s="1128" t="s">
        <v>1568</v>
      </c>
      <c r="D98" s="1042" t="s">
        <v>1569</v>
      </c>
      <c r="E98" s="1113">
        <v>0.2</v>
      </c>
      <c r="F98" s="1128">
        <v>30</v>
      </c>
    </row>
    <row r="99" spans="1:6" s="1079" customFormat="1" ht="36">
      <c r="A99" s="1128">
        <v>39</v>
      </c>
      <c r="B99" s="3896" t="s">
        <v>1570</v>
      </c>
      <c r="C99" s="1128" t="s">
        <v>1571</v>
      </c>
      <c r="D99" s="1042" t="s">
        <v>1572</v>
      </c>
      <c r="E99" s="1113">
        <v>0.3</v>
      </c>
      <c r="F99" s="1128">
        <v>50</v>
      </c>
    </row>
    <row r="100" spans="1:6" s="1079" customFormat="1" ht="24">
      <c r="A100" s="1128">
        <v>40</v>
      </c>
      <c r="B100" s="3896"/>
      <c r="C100" s="1128" t="s">
        <v>1573</v>
      </c>
      <c r="D100" s="1042" t="s">
        <v>1574</v>
      </c>
      <c r="E100" s="1113">
        <v>0.2</v>
      </c>
      <c r="F100" s="1128">
        <v>30</v>
      </c>
    </row>
    <row r="101" spans="1:6" s="1079" customFormat="1" ht="36">
      <c r="A101" s="1128">
        <v>41</v>
      </c>
      <c r="B101" s="3896"/>
      <c r="C101" s="1128" t="s">
        <v>1575</v>
      </c>
      <c r="D101" s="1042" t="s">
        <v>1572</v>
      </c>
      <c r="E101" s="1113">
        <v>0.2</v>
      </c>
      <c r="F101" s="1128">
        <v>30</v>
      </c>
    </row>
    <row r="102" spans="1:6" s="1079" customFormat="1" ht="48">
      <c r="A102" s="1128">
        <v>42</v>
      </c>
      <c r="B102" s="1128" t="s">
        <v>1576</v>
      </c>
      <c r="C102" s="1042" t="s">
        <v>1577</v>
      </c>
      <c r="D102" s="1042" t="s">
        <v>1578</v>
      </c>
      <c r="E102" s="1113">
        <v>0.2</v>
      </c>
      <c r="F102" s="1128">
        <v>30</v>
      </c>
    </row>
    <row r="103" spans="1:6" s="1079" customFormat="1" ht="24">
      <c r="A103" s="1128">
        <v>43</v>
      </c>
      <c r="B103" s="1128" t="s">
        <v>1579</v>
      </c>
      <c r="C103" s="1128" t="s">
        <v>1580</v>
      </c>
      <c r="D103" s="1042" t="s">
        <v>1581</v>
      </c>
      <c r="E103" s="1113">
        <v>0.2</v>
      </c>
      <c r="F103" s="1128">
        <v>30</v>
      </c>
    </row>
    <row r="104" spans="1:6" s="1079" customFormat="1" ht="36">
      <c r="A104" s="1128">
        <v>44</v>
      </c>
      <c r="B104" s="1128" t="s">
        <v>1582</v>
      </c>
      <c r="C104" s="1128" t="s">
        <v>1583</v>
      </c>
      <c r="D104" s="1042" t="s">
        <v>1584</v>
      </c>
      <c r="E104" s="1113">
        <v>0.2</v>
      </c>
      <c r="F104" s="1128">
        <v>30</v>
      </c>
    </row>
    <row r="105" spans="1:6" s="1079" customFormat="1" ht="36">
      <c r="A105" s="1128">
        <v>45</v>
      </c>
      <c r="B105" s="3896" t="s">
        <v>1585</v>
      </c>
      <c r="C105" s="1128" t="s">
        <v>1586</v>
      </c>
      <c r="D105" s="1042" t="s">
        <v>1587</v>
      </c>
      <c r="E105" s="1113">
        <v>0.2</v>
      </c>
      <c r="F105" s="1128">
        <v>30</v>
      </c>
    </row>
    <row r="106" spans="1:6" s="1079" customFormat="1" ht="36">
      <c r="A106" s="1128">
        <v>46</v>
      </c>
      <c r="B106" s="3896"/>
      <c r="C106" s="1128" t="s">
        <v>1588</v>
      </c>
      <c r="D106" s="1042" t="s">
        <v>1589</v>
      </c>
      <c r="E106" s="1113">
        <v>0.2</v>
      </c>
      <c r="F106" s="1128">
        <v>30</v>
      </c>
    </row>
    <row r="107" spans="1:6" s="1079" customFormat="1" ht="36">
      <c r="A107" s="1128">
        <v>47</v>
      </c>
      <c r="B107" s="3896" t="s">
        <v>1590</v>
      </c>
      <c r="C107" s="1128" t="s">
        <v>1591</v>
      </c>
      <c r="D107" s="1042" t="s">
        <v>1592</v>
      </c>
      <c r="E107" s="1113">
        <v>0.3</v>
      </c>
      <c r="F107" s="1128">
        <v>50</v>
      </c>
    </row>
    <row r="108" spans="1:6" s="1079" customFormat="1" ht="36">
      <c r="A108" s="1128">
        <v>48</v>
      </c>
      <c r="B108" s="3896"/>
      <c r="C108" s="1128" t="s">
        <v>1593</v>
      </c>
      <c r="D108" s="1042" t="s">
        <v>1594</v>
      </c>
      <c r="E108" s="1113">
        <v>0.2</v>
      </c>
      <c r="F108" s="1128">
        <v>30</v>
      </c>
    </row>
    <row r="109" spans="1:6" s="1079" customFormat="1" ht="36">
      <c r="A109" s="1128">
        <v>49</v>
      </c>
      <c r="B109" s="1128" t="s">
        <v>1595</v>
      </c>
      <c r="C109" s="1128" t="s">
        <v>1596</v>
      </c>
      <c r="D109" s="1042" t="s">
        <v>1597</v>
      </c>
      <c r="E109" s="1113">
        <v>0.2</v>
      </c>
      <c r="F109" s="1128">
        <v>30</v>
      </c>
    </row>
    <row r="110" spans="1:6" s="1079" customFormat="1" ht="36">
      <c r="A110" s="1128">
        <v>50</v>
      </c>
      <c r="B110" s="1128" t="s">
        <v>1598</v>
      </c>
      <c r="C110" s="1128" t="s">
        <v>1599</v>
      </c>
      <c r="D110" s="1042" t="s">
        <v>1600</v>
      </c>
      <c r="E110" s="1113">
        <v>0.2</v>
      </c>
      <c r="F110" s="1128">
        <v>30</v>
      </c>
    </row>
    <row r="111" spans="1:6" s="1079" customFormat="1" ht="36">
      <c r="A111" s="1128">
        <v>51</v>
      </c>
      <c r="B111" s="3896" t="s">
        <v>1601</v>
      </c>
      <c r="C111" s="1128" t="s">
        <v>1602</v>
      </c>
      <c r="D111" s="1042" t="s">
        <v>1603</v>
      </c>
      <c r="E111" s="1113">
        <v>0.2</v>
      </c>
      <c r="F111" s="1128">
        <v>30</v>
      </c>
    </row>
    <row r="112" spans="1:6" s="1079" customFormat="1" ht="24">
      <c r="A112" s="1128">
        <v>52</v>
      </c>
      <c r="B112" s="3896"/>
      <c r="C112" s="1128" t="s">
        <v>1604</v>
      </c>
      <c r="D112" s="1042" t="s">
        <v>1605</v>
      </c>
      <c r="E112" s="1113">
        <v>0.2</v>
      </c>
      <c r="F112" s="1128">
        <v>30</v>
      </c>
    </row>
    <row r="113" spans="1:14" s="1079" customFormat="1" ht="24">
      <c r="A113" s="1128">
        <v>53</v>
      </c>
      <c r="B113" s="3896"/>
      <c r="C113" s="1128" t="s">
        <v>1606</v>
      </c>
      <c r="D113" s="1042" t="s">
        <v>1607</v>
      </c>
      <c r="E113" s="1113">
        <v>0.2</v>
      </c>
      <c r="F113" s="1128">
        <v>30</v>
      </c>
    </row>
    <row r="114" spans="1:14" ht="36">
      <c r="A114" s="1128">
        <v>54</v>
      </c>
      <c r="B114" s="1128" t="s">
        <v>1608</v>
      </c>
      <c r="C114" s="1128" t="s">
        <v>1609</v>
      </c>
      <c r="D114" s="1042" t="s">
        <v>1610</v>
      </c>
      <c r="E114" s="1113">
        <v>0.2</v>
      </c>
      <c r="F114" s="1128">
        <v>30</v>
      </c>
    </row>
    <row r="115" spans="1:14" ht="24">
      <c r="A115" s="1128">
        <v>55</v>
      </c>
      <c r="B115" s="1128" t="s">
        <v>1611</v>
      </c>
      <c r="C115" s="1128" t="s">
        <v>1612</v>
      </c>
      <c r="D115" s="1042" t="s">
        <v>1613</v>
      </c>
      <c r="E115" s="1113">
        <v>0.2</v>
      </c>
      <c r="F115" s="1128">
        <v>30</v>
      </c>
    </row>
    <row r="116" spans="1:14" ht="24">
      <c r="A116" s="1128">
        <v>56</v>
      </c>
      <c r="B116" s="3896" t="s">
        <v>1614</v>
      </c>
      <c r="C116" s="1128" t="s">
        <v>1615</v>
      </c>
      <c r="D116" s="1042" t="s">
        <v>1616</v>
      </c>
      <c r="E116" s="1113">
        <v>0.2</v>
      </c>
      <c r="F116" s="1128">
        <v>30</v>
      </c>
    </row>
    <row r="117" spans="1:14" ht="36">
      <c r="A117" s="1128">
        <v>57</v>
      </c>
      <c r="B117" s="3896"/>
      <c r="C117" s="1128" t="s">
        <v>1617</v>
      </c>
      <c r="D117" s="1042" t="s">
        <v>1618</v>
      </c>
      <c r="E117" s="1113">
        <v>0.2</v>
      </c>
      <c r="F117" s="1128">
        <v>30</v>
      </c>
    </row>
    <row r="118" spans="1:14" ht="36">
      <c r="A118" s="1128">
        <v>58</v>
      </c>
      <c r="B118" s="1128" t="s">
        <v>1619</v>
      </c>
      <c r="C118" s="1128" t="s">
        <v>1620</v>
      </c>
      <c r="D118" s="1042" t="s">
        <v>1621</v>
      </c>
      <c r="E118" s="1113">
        <v>0.2</v>
      </c>
      <c r="F118" s="1128">
        <v>30</v>
      </c>
    </row>
    <row r="119" spans="1:14" ht="13.5">
      <c r="A119" s="1128"/>
      <c r="B119" s="1128"/>
      <c r="C119" s="1128"/>
      <c r="D119" s="1128"/>
      <c r="E119" s="1113"/>
      <c r="F119" s="1128"/>
    </row>
    <row r="121" spans="1:14" ht="19.5" customHeight="1">
      <c r="A121" s="3895" t="s">
        <v>1623</v>
      </c>
      <c r="B121" s="3895"/>
      <c r="C121" s="3895"/>
      <c r="D121" s="3895"/>
      <c r="E121" s="3895"/>
      <c r="F121" s="3895"/>
      <c r="G121" s="3895"/>
      <c r="H121" s="3895"/>
      <c r="I121" s="3895"/>
      <c r="J121" s="3895"/>
      <c r="K121" s="1129"/>
      <c r="L121" s="1129"/>
      <c r="M121" s="1129"/>
      <c r="N121" s="1129"/>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79" customWidth="1"/>
    <col min="2" max="5" width="10.25" style="1040" customWidth="1"/>
    <col min="6" max="6" width="9" style="1040"/>
    <col min="7" max="7" width="9" style="1043"/>
    <col min="8" max="8" width="9" style="1040"/>
    <col min="9" max="9" width="9" style="1043"/>
    <col min="10" max="16384" width="9" style="1040"/>
  </cols>
  <sheetData>
    <row r="1" spans="1:20">
      <c r="A1" s="3910" t="s">
        <v>1029</v>
      </c>
      <c r="B1" s="3910"/>
      <c r="C1" s="3910"/>
      <c r="D1" s="3910"/>
      <c r="E1" s="3910"/>
      <c r="F1" s="3910"/>
      <c r="H1" s="1044"/>
      <c r="I1" s="1045" t="s">
        <v>1030</v>
      </c>
      <c r="J1" s="1046" t="s">
        <v>1031</v>
      </c>
      <c r="K1" s="1046" t="s">
        <v>1032</v>
      </c>
      <c r="L1" s="1046" t="s">
        <v>1033</v>
      </c>
      <c r="M1" s="1046" t="s">
        <v>1034</v>
      </c>
      <c r="N1" s="1046" t="s">
        <v>1035</v>
      </c>
      <c r="O1" s="1046" t="s">
        <v>1036</v>
      </c>
      <c r="P1" s="1046" t="s">
        <v>1037</v>
      </c>
      <c r="Q1" s="1046" t="s">
        <v>1038</v>
      </c>
      <c r="R1" s="1046" t="s">
        <v>1039</v>
      </c>
      <c r="S1" s="1046" t="s">
        <v>1040</v>
      </c>
      <c r="T1" s="1047" t="s">
        <v>1041</v>
      </c>
    </row>
    <row r="2" spans="1:20" ht="14.25" thickBot="1">
      <c r="A2" s="3911" t="s">
        <v>1042</v>
      </c>
      <c r="B2" s="3911"/>
      <c r="C2" s="3911"/>
      <c r="D2" s="3911"/>
      <c r="E2" s="3911"/>
      <c r="F2" s="3911"/>
      <c r="I2" s="1048" t="s">
        <v>1043</v>
      </c>
      <c r="J2" s="1049" t="s">
        <v>1044</v>
      </c>
      <c r="K2" s="1049" t="s">
        <v>1045</v>
      </c>
      <c r="L2" s="1049" t="s">
        <v>1046</v>
      </c>
      <c r="M2" s="1049" t="s">
        <v>1047</v>
      </c>
      <c r="N2" s="1049" t="s">
        <v>1048</v>
      </c>
      <c r="O2" s="1049" t="s">
        <v>1049</v>
      </c>
      <c r="P2" s="1049" t="s">
        <v>1050</v>
      </c>
      <c r="Q2" s="1049" t="s">
        <v>1051</v>
      </c>
      <c r="R2" s="1049" t="s">
        <v>1052</v>
      </c>
      <c r="S2" s="1049" t="s">
        <v>1053</v>
      </c>
      <c r="T2" s="1049" t="s">
        <v>1054</v>
      </c>
    </row>
    <row r="3" spans="1:20" s="1044" customFormat="1" ht="19.5" customHeight="1">
      <c r="A3" s="3912" t="s">
        <v>1055</v>
      </c>
      <c r="B3" s="1050"/>
      <c r="C3" s="1051" t="s">
        <v>1056</v>
      </c>
      <c r="D3" s="1051" t="s">
        <v>1057</v>
      </c>
      <c r="E3" s="1051" t="s">
        <v>1058</v>
      </c>
      <c r="F3" s="1051" t="s">
        <v>1059</v>
      </c>
      <c r="G3" s="1052"/>
      <c r="I3" s="1048" t="s">
        <v>1060</v>
      </c>
      <c r="J3" s="1049" t="s">
        <v>1061</v>
      </c>
      <c r="K3" s="1049" t="s">
        <v>1062</v>
      </c>
      <c r="L3" s="1049" t="s">
        <v>1063</v>
      </c>
      <c r="M3" s="1049" t="s">
        <v>1064</v>
      </c>
      <c r="N3" s="1049" t="s">
        <v>1065</v>
      </c>
      <c r="O3" s="1049" t="s">
        <v>1066</v>
      </c>
      <c r="P3" s="1049" t="s">
        <v>1067</v>
      </c>
      <c r="Q3" s="1049" t="s">
        <v>1068</v>
      </c>
      <c r="R3" s="1049" t="s">
        <v>1069</v>
      </c>
      <c r="S3" s="1049" t="s">
        <v>1070</v>
      </c>
      <c r="T3" s="1049" t="s">
        <v>1071</v>
      </c>
    </row>
    <row r="4" spans="1:20" s="1044" customFormat="1" ht="19.5" customHeight="1" thickBot="1">
      <c r="A4" s="3913"/>
      <c r="B4" s="1053" t="s">
        <v>1072</v>
      </c>
      <c r="C4" s="1053" t="s">
        <v>1073</v>
      </c>
      <c r="D4" s="1053" t="s">
        <v>1073</v>
      </c>
      <c r="E4" s="1053" t="s">
        <v>1073</v>
      </c>
      <c r="F4" s="1054" t="s">
        <v>1073</v>
      </c>
      <c r="G4" s="1052"/>
      <c r="I4" s="1048" t="s">
        <v>1074</v>
      </c>
      <c r="J4" s="1049" t="s">
        <v>1075</v>
      </c>
      <c r="K4" s="1049" t="s">
        <v>1076</v>
      </c>
      <c r="L4" s="1049" t="s">
        <v>1077</v>
      </c>
      <c r="M4" s="1049" t="s">
        <v>1078</v>
      </c>
      <c r="N4" s="1049" t="s">
        <v>1079</v>
      </c>
      <c r="O4" s="1049" t="s">
        <v>1080</v>
      </c>
      <c r="P4" s="1049" t="s">
        <v>1081</v>
      </c>
      <c r="Q4" s="1049" t="s">
        <v>1082</v>
      </c>
      <c r="R4" s="1049" t="s">
        <v>1083</v>
      </c>
      <c r="S4" s="1049" t="s">
        <v>1084</v>
      </c>
      <c r="T4" s="1049" t="s">
        <v>1085</v>
      </c>
    </row>
    <row r="5" spans="1:20" ht="14.25" customHeight="1" thickBot="1">
      <c r="A5" s="1055" t="s">
        <v>1086</v>
      </c>
      <c r="B5" s="1056" t="s">
        <v>1043</v>
      </c>
      <c r="C5" s="1056">
        <v>29530</v>
      </c>
      <c r="D5" s="1056">
        <v>28130</v>
      </c>
      <c r="E5" s="1056">
        <v>27930</v>
      </c>
      <c r="F5" s="1057">
        <v>11300</v>
      </c>
      <c r="G5" s="1058" t="s">
        <v>1030</v>
      </c>
      <c r="H5" s="1059">
        <f>SUMPRODUCT((B5:B9=基准地价!I2)*(C3:F3=基准地价!E2)*(C5:F9))</f>
        <v>0</v>
      </c>
      <c r="I5" s="1048" t="s">
        <v>1087</v>
      </c>
      <c r="J5" s="1049" t="s">
        <v>1088</v>
      </c>
      <c r="K5" s="1049" t="s">
        <v>1089</v>
      </c>
      <c r="L5" s="1049" t="s">
        <v>1090</v>
      </c>
      <c r="M5" s="1049" t="s">
        <v>1091</v>
      </c>
      <c r="N5" s="1049" t="s">
        <v>1092</v>
      </c>
      <c r="O5" s="1049" t="s">
        <v>1093</v>
      </c>
      <c r="P5" s="1049" t="s">
        <v>1094</v>
      </c>
      <c r="Q5" s="1049" t="s">
        <v>1095</v>
      </c>
      <c r="R5" s="1049" t="s">
        <v>1096</v>
      </c>
      <c r="S5" s="1049" t="s">
        <v>1097</v>
      </c>
      <c r="T5" s="1049" t="s">
        <v>1098</v>
      </c>
    </row>
    <row r="6" spans="1:20" ht="14.25" customHeight="1" thickBot="1">
      <c r="A6" s="1055" t="s">
        <v>1086</v>
      </c>
      <c r="B6" s="1049" t="s">
        <v>1099</v>
      </c>
      <c r="C6" s="1049">
        <v>30290</v>
      </c>
      <c r="D6" s="1049">
        <v>29210</v>
      </c>
      <c r="E6" s="1049">
        <v>28860</v>
      </c>
      <c r="F6" s="1060">
        <v>12600</v>
      </c>
      <c r="G6" s="1061" t="s">
        <v>1100</v>
      </c>
      <c r="H6" s="1062">
        <f>SUMPRODUCT((B10:B28=基准地价!I2)*(C3:F3=基准地价!E2)*(C10:F28))</f>
        <v>0</v>
      </c>
      <c r="I6" s="1048" t="s">
        <v>1101</v>
      </c>
      <c r="J6" s="1049" t="s">
        <v>1102</v>
      </c>
      <c r="K6" s="1049" t="s">
        <v>1103</v>
      </c>
      <c r="L6" s="1049" t="s">
        <v>1104</v>
      </c>
      <c r="M6" s="1049" t="s">
        <v>1105</v>
      </c>
      <c r="N6" s="1049" t="s">
        <v>1106</v>
      </c>
      <c r="O6" s="1049" t="s">
        <v>1107</v>
      </c>
      <c r="P6" s="1049" t="s">
        <v>1108</v>
      </c>
      <c r="Q6" s="1049" t="s">
        <v>1109</v>
      </c>
      <c r="R6" s="1049" t="s">
        <v>1110</v>
      </c>
      <c r="S6" s="1049" t="s">
        <v>1111</v>
      </c>
      <c r="T6" s="1049" t="s">
        <v>1112</v>
      </c>
    </row>
    <row r="7" spans="1:20" ht="14.25" customHeight="1" thickBot="1">
      <c r="A7" s="1055" t="s">
        <v>1086</v>
      </c>
      <c r="B7" s="1063" t="s">
        <v>1074</v>
      </c>
      <c r="C7" s="1049">
        <v>29350</v>
      </c>
      <c r="D7" s="1049">
        <v>28410</v>
      </c>
      <c r="E7" s="1049">
        <v>27990</v>
      </c>
      <c r="F7" s="1060">
        <v>12300</v>
      </c>
      <c r="G7" s="1061" t="s">
        <v>899</v>
      </c>
      <c r="H7" s="1062">
        <f>SUMPRODUCT((B29:B48=基准地价!I2)*(C3:F3=基准地价!E2)*(C29:F48))</f>
        <v>0</v>
      </c>
      <c r="J7" s="1049" t="s">
        <v>1113</v>
      </c>
      <c r="K7" s="1049" t="s">
        <v>1114</v>
      </c>
      <c r="L7" s="1049" t="s">
        <v>1115</v>
      </c>
      <c r="M7" s="1049" t="s">
        <v>1116</v>
      </c>
      <c r="N7" s="1049" t="s">
        <v>1117</v>
      </c>
      <c r="O7" s="1049" t="s">
        <v>1118</v>
      </c>
      <c r="P7" s="1049" t="s">
        <v>1119</v>
      </c>
      <c r="Q7" s="1049" t="s">
        <v>1120</v>
      </c>
      <c r="R7" s="1049" t="s">
        <v>1121</v>
      </c>
      <c r="S7" s="1049" t="s">
        <v>1122</v>
      </c>
      <c r="T7" s="1063" t="s">
        <v>1123</v>
      </c>
    </row>
    <row r="8" spans="1:20" ht="14.25" customHeight="1" thickBot="1">
      <c r="A8" s="1055" t="s">
        <v>1086</v>
      </c>
      <c r="B8" s="1049" t="s">
        <v>1087</v>
      </c>
      <c r="C8" s="1049">
        <v>30890</v>
      </c>
      <c r="D8" s="1049">
        <v>29780</v>
      </c>
      <c r="E8" s="1049">
        <v>29270</v>
      </c>
      <c r="F8" s="1060">
        <v>11600</v>
      </c>
      <c r="G8" s="1061" t="s">
        <v>900</v>
      </c>
      <c r="H8" s="1062">
        <f>SUMPRODUCT((B49:B75=基准地价!I2)*(C3:F3=基准地价!E2)*(C49:F75))</f>
        <v>0</v>
      </c>
      <c r="J8" s="1049" t="s">
        <v>1124</v>
      </c>
      <c r="K8" s="1049" t="s">
        <v>1125</v>
      </c>
      <c r="L8" s="1049" t="s">
        <v>1126</v>
      </c>
      <c r="M8" s="1049" t="s">
        <v>1127</v>
      </c>
      <c r="N8" s="1049" t="s">
        <v>1128</v>
      </c>
      <c r="O8" s="1049" t="s">
        <v>1129</v>
      </c>
      <c r="P8" s="1049" t="s">
        <v>1130</v>
      </c>
      <c r="Q8" s="1049" t="s">
        <v>1131</v>
      </c>
      <c r="R8" s="1049" t="s">
        <v>1132</v>
      </c>
      <c r="S8" s="1049" t="s">
        <v>1133</v>
      </c>
      <c r="T8" s="1049" t="s">
        <v>1134</v>
      </c>
    </row>
    <row r="9" spans="1:20" ht="14.25" customHeight="1" thickBot="1">
      <c r="A9" s="1055" t="s">
        <v>1086</v>
      </c>
      <c r="B9" s="1064" t="s">
        <v>1101</v>
      </c>
      <c r="C9" s="1065">
        <v>28140</v>
      </c>
      <c r="D9" s="1065"/>
      <c r="E9" s="1065"/>
      <c r="F9" s="1066"/>
      <c r="G9" s="1061" t="s">
        <v>901</v>
      </c>
      <c r="H9" s="1062">
        <f>SUMPRODUCT((B76:B109=基准地价!I2)*(C3:F3=基准地价!E2)*(C76:F109))</f>
        <v>0</v>
      </c>
      <c r="J9" s="1049" t="s">
        <v>1135</v>
      </c>
      <c r="K9" s="1049" t="s">
        <v>1136</v>
      </c>
      <c r="L9" s="1049" t="s">
        <v>1137</v>
      </c>
      <c r="M9" s="1049" t="s">
        <v>1138</v>
      </c>
      <c r="N9" s="1049" t="s">
        <v>1139</v>
      </c>
      <c r="O9" s="1049" t="s">
        <v>1140</v>
      </c>
      <c r="P9" s="1049" t="s">
        <v>1141</v>
      </c>
      <c r="Q9" s="1049" t="s">
        <v>1142</v>
      </c>
      <c r="R9" s="1049" t="s">
        <v>1143</v>
      </c>
      <c r="S9" s="1049" t="s">
        <v>1144</v>
      </c>
    </row>
    <row r="10" spans="1:20" ht="14.25" customHeight="1" thickBot="1">
      <c r="A10" s="1055" t="s">
        <v>1145</v>
      </c>
      <c r="B10" s="1056" t="s">
        <v>1146</v>
      </c>
      <c r="C10" s="1056">
        <v>27450</v>
      </c>
      <c r="D10" s="1056">
        <v>26180</v>
      </c>
      <c r="E10" s="1056">
        <v>25980</v>
      </c>
      <c r="F10" s="1057">
        <v>8910</v>
      </c>
      <c r="G10" s="1061" t="s">
        <v>902</v>
      </c>
      <c r="H10" s="1062">
        <f>SUMPRODUCT((B110:B157=基准地价!I2)*(C3:F3=基准地价!E2)*(C110:F157))</f>
        <v>0</v>
      </c>
      <c r="J10" s="1049" t="s">
        <v>1147</v>
      </c>
      <c r="K10" s="1049" t="s">
        <v>1148</v>
      </c>
      <c r="L10" s="1049" t="s">
        <v>1149</v>
      </c>
      <c r="M10" s="1049" t="s">
        <v>1150</v>
      </c>
      <c r="N10" s="1049" t="s">
        <v>1151</v>
      </c>
      <c r="O10" s="1049" t="s">
        <v>1152</v>
      </c>
      <c r="P10" s="1049" t="s">
        <v>1153</v>
      </c>
      <c r="Q10" s="1049" t="s">
        <v>1154</v>
      </c>
      <c r="R10" s="1049" t="s">
        <v>1155</v>
      </c>
      <c r="S10" s="1049" t="s">
        <v>1156</v>
      </c>
    </row>
    <row r="11" spans="1:20" ht="14.25" customHeight="1" thickBot="1">
      <c r="A11" s="1055" t="s">
        <v>1145</v>
      </c>
      <c r="B11" s="1063" t="s">
        <v>1061</v>
      </c>
      <c r="C11" s="1049">
        <v>22950</v>
      </c>
      <c r="D11" s="1049">
        <v>22630</v>
      </c>
      <c r="E11" s="1049">
        <v>22030</v>
      </c>
      <c r="F11" s="1067">
        <v>8330</v>
      </c>
      <c r="G11" s="1061" t="s">
        <v>903</v>
      </c>
      <c r="H11" s="1062">
        <f>SUMPRODUCT((B158:B205=基准地价!I2)*(C3:F3=基准地价!E2)*(C158:F205))</f>
        <v>0</v>
      </c>
      <c r="J11" s="1049" t="s">
        <v>1157</v>
      </c>
      <c r="K11" s="1049" t="s">
        <v>1158</v>
      </c>
      <c r="L11" s="1049" t="s">
        <v>1159</v>
      </c>
      <c r="M11" s="1049" t="s">
        <v>1160</v>
      </c>
      <c r="N11" s="1049" t="s">
        <v>1161</v>
      </c>
      <c r="O11" s="1049" t="s">
        <v>1162</v>
      </c>
      <c r="P11" s="1049" t="s">
        <v>1163</v>
      </c>
      <c r="Q11" s="1049" t="s">
        <v>1164</v>
      </c>
      <c r="R11" s="1049" t="s">
        <v>1165</v>
      </c>
      <c r="S11" s="1049" t="s">
        <v>1166</v>
      </c>
    </row>
    <row r="12" spans="1:20" ht="14.25" customHeight="1" thickBot="1">
      <c r="A12" s="1055" t="s">
        <v>1145</v>
      </c>
      <c r="B12" s="1063" t="s">
        <v>1075</v>
      </c>
      <c r="C12" s="1049">
        <v>24940</v>
      </c>
      <c r="D12" s="1049">
        <v>23180</v>
      </c>
      <c r="E12" s="1049">
        <v>22910</v>
      </c>
      <c r="F12" s="1067">
        <v>7180</v>
      </c>
      <c r="G12" s="1061" t="s">
        <v>904</v>
      </c>
      <c r="H12" s="1062">
        <f>SUMPRODUCT((B206:B244=基准地价!I2)*(C3:F3=基准地价!E2)*(C206:F244))</f>
        <v>0</v>
      </c>
      <c r="J12" s="1049" t="s">
        <v>1167</v>
      </c>
      <c r="K12" s="1049" t="s">
        <v>1168</v>
      </c>
      <c r="L12" s="1049" t="s">
        <v>1169</v>
      </c>
      <c r="M12" s="1049" t="s">
        <v>1170</v>
      </c>
      <c r="N12" s="1049" t="s">
        <v>1171</v>
      </c>
      <c r="O12" s="1049" t="s">
        <v>1172</v>
      </c>
      <c r="P12" s="1049" t="s">
        <v>1173</v>
      </c>
      <c r="Q12" s="1049" t="s">
        <v>1174</v>
      </c>
      <c r="R12" s="1049" t="s">
        <v>1175</v>
      </c>
      <c r="S12" s="1049" t="s">
        <v>1176</v>
      </c>
    </row>
    <row r="13" spans="1:20" ht="14.25" customHeight="1" thickBot="1">
      <c r="A13" s="1055" t="s">
        <v>1145</v>
      </c>
      <c r="B13" s="1063" t="s">
        <v>1088</v>
      </c>
      <c r="C13" s="1049">
        <v>24140</v>
      </c>
      <c r="D13" s="1049">
        <v>22270</v>
      </c>
      <c r="E13" s="1049">
        <v>21950</v>
      </c>
      <c r="F13" s="1067">
        <v>7600</v>
      </c>
      <c r="G13" s="1061" t="s">
        <v>905</v>
      </c>
      <c r="H13" s="1062">
        <f>SUMPRODUCT((B245:B289=基准地价!I2)*(C3:F3=基准地价!E2)*(C245:F289))</f>
        <v>0</v>
      </c>
      <c r="J13" s="1049" t="s">
        <v>1177</v>
      </c>
      <c r="K13" s="1049" t="s">
        <v>1178</v>
      </c>
      <c r="L13" s="1049" t="s">
        <v>1179</v>
      </c>
      <c r="M13" s="1049" t="s">
        <v>1180</v>
      </c>
      <c r="N13" s="1049" t="s">
        <v>1181</v>
      </c>
      <c r="O13" s="1049" t="s">
        <v>1182</v>
      </c>
      <c r="P13" s="1049" t="s">
        <v>1183</v>
      </c>
      <c r="Q13" s="1049" t="s">
        <v>1184</v>
      </c>
      <c r="R13" s="1049" t="s">
        <v>1185</v>
      </c>
      <c r="S13" s="1049" t="s">
        <v>1186</v>
      </c>
    </row>
    <row r="14" spans="1:20" ht="14.25" customHeight="1" thickBot="1">
      <c r="A14" s="1055" t="s">
        <v>1145</v>
      </c>
      <c r="B14" s="1063" t="s">
        <v>1102</v>
      </c>
      <c r="C14" s="1049">
        <v>25600</v>
      </c>
      <c r="D14" s="1049">
        <v>22260</v>
      </c>
      <c r="E14" s="1049">
        <v>22110</v>
      </c>
      <c r="F14" s="1067">
        <v>7630</v>
      </c>
      <c r="G14" s="1061" t="s">
        <v>906</v>
      </c>
      <c r="H14" s="1062">
        <f>SUMPRODUCT((B290:B316=基准地价!I2)*(C3:F3=基准地价!E2)*(C290:F316))</f>
        <v>0</v>
      </c>
      <c r="J14" s="1049" t="s">
        <v>1187</v>
      </c>
      <c r="K14" s="1049" t="s">
        <v>1188</v>
      </c>
      <c r="L14" s="1049" t="s">
        <v>1189</v>
      </c>
      <c r="M14" s="1049" t="s">
        <v>1190</v>
      </c>
      <c r="N14" s="1049" t="s">
        <v>1191</v>
      </c>
      <c r="O14" s="1049" t="s">
        <v>1192</v>
      </c>
      <c r="P14" s="1049" t="s">
        <v>1193</v>
      </c>
      <c r="Q14" s="1049" t="s">
        <v>1194</v>
      </c>
      <c r="R14" s="1049" t="s">
        <v>1195</v>
      </c>
      <c r="S14" s="1049" t="s">
        <v>1196</v>
      </c>
    </row>
    <row r="15" spans="1:20" ht="14.25" customHeight="1" thickBot="1">
      <c r="A15" s="1055" t="s">
        <v>1145</v>
      </c>
      <c r="B15" s="1063" t="s">
        <v>1113</v>
      </c>
      <c r="C15" s="1049">
        <v>24760</v>
      </c>
      <c r="D15" s="1049">
        <v>24440</v>
      </c>
      <c r="E15" s="1049">
        <v>24130</v>
      </c>
      <c r="F15" s="1067">
        <v>9480</v>
      </c>
      <c r="G15" s="1061" t="s">
        <v>907</v>
      </c>
      <c r="H15" s="1062">
        <f>SUMPRODUCT((B317:B337=基准地价!I2)*(C3:F3=基准地价!E2)*(C317:F337))</f>
        <v>0</v>
      </c>
      <c r="J15" s="1049" t="s">
        <v>1197</v>
      </c>
      <c r="K15" s="1049" t="s">
        <v>1198</v>
      </c>
      <c r="L15" s="1049" t="s">
        <v>1199</v>
      </c>
      <c r="M15" s="1049" t="s">
        <v>1200</v>
      </c>
      <c r="N15" s="1049" t="s">
        <v>1201</v>
      </c>
      <c r="O15" s="1049" t="s">
        <v>1202</v>
      </c>
      <c r="P15" s="1049" t="s">
        <v>1203</v>
      </c>
      <c r="Q15" s="1049" t="s">
        <v>1204</v>
      </c>
      <c r="R15" s="1049" t="s">
        <v>1205</v>
      </c>
      <c r="S15" s="1049" t="s">
        <v>1206</v>
      </c>
    </row>
    <row r="16" spans="1:20" ht="14.25" customHeight="1" thickBot="1">
      <c r="A16" s="1055" t="s">
        <v>1145</v>
      </c>
      <c r="B16" s="1063" t="s">
        <v>1124</v>
      </c>
      <c r="C16" s="1049">
        <v>22220</v>
      </c>
      <c r="D16" s="1049">
        <v>22310</v>
      </c>
      <c r="E16" s="1049">
        <v>22000</v>
      </c>
      <c r="F16" s="1067">
        <v>8900</v>
      </c>
      <c r="G16" s="1068" t="s">
        <v>908</v>
      </c>
      <c r="H16" s="1069">
        <f>SUMPRODUCT((B338:B344=基准地价!I2)*(C3:F3=基准地价!E2)*(C338:F344))</f>
        <v>0</v>
      </c>
      <c r="J16" s="1049" t="s">
        <v>1207</v>
      </c>
      <c r="K16" s="1049" t="s">
        <v>1208</v>
      </c>
      <c r="L16" s="1049" t="s">
        <v>1209</v>
      </c>
      <c r="M16" s="1049" t="s">
        <v>1210</v>
      </c>
      <c r="N16" s="1049" t="s">
        <v>1211</v>
      </c>
      <c r="O16" s="1049" t="s">
        <v>1212</v>
      </c>
      <c r="P16" s="1049" t="s">
        <v>1213</v>
      </c>
      <c r="Q16" s="1049" t="s">
        <v>1214</v>
      </c>
      <c r="R16" s="1049" t="s">
        <v>1215</v>
      </c>
      <c r="S16" s="1049" t="s">
        <v>1216</v>
      </c>
    </row>
    <row r="17" spans="1:19" ht="14.25" customHeight="1" thickBot="1">
      <c r="A17" s="1055" t="s">
        <v>1145</v>
      </c>
      <c r="B17" s="1063" t="s">
        <v>1135</v>
      </c>
      <c r="C17" s="1049">
        <v>24700</v>
      </c>
      <c r="D17" s="1049">
        <v>25150</v>
      </c>
      <c r="E17" s="1049">
        <v>24700</v>
      </c>
      <c r="F17" s="1070"/>
      <c r="H17" s="1071"/>
      <c r="J17" s="1049" t="s">
        <v>1217</v>
      </c>
      <c r="K17" s="1049" t="s">
        <v>1218</v>
      </c>
      <c r="L17" s="1049" t="s">
        <v>1219</v>
      </c>
      <c r="M17" s="1049" t="s">
        <v>1220</v>
      </c>
      <c r="N17" s="1049" t="s">
        <v>1221</v>
      </c>
      <c r="O17" s="1049" t="s">
        <v>1222</v>
      </c>
      <c r="P17" s="1049" t="s">
        <v>1223</v>
      </c>
      <c r="Q17" s="1049" t="s">
        <v>1224</v>
      </c>
      <c r="R17" s="1049" t="s">
        <v>1225</v>
      </c>
      <c r="S17" s="1049" t="s">
        <v>1226</v>
      </c>
    </row>
    <row r="18" spans="1:19" ht="14.25" customHeight="1" thickBot="1">
      <c r="A18" s="1055" t="s">
        <v>1145</v>
      </c>
      <c r="B18" s="1063" t="s">
        <v>1147</v>
      </c>
      <c r="C18" s="1049">
        <v>22350</v>
      </c>
      <c r="D18" s="1049">
        <v>24340</v>
      </c>
      <c r="E18" s="1049">
        <v>24100</v>
      </c>
      <c r="F18" s="1070"/>
      <c r="H18" s="1071"/>
      <c r="J18" s="1049" t="s">
        <v>1227</v>
      </c>
      <c r="K18" s="1049" t="s">
        <v>1228</v>
      </c>
      <c r="L18" s="1049" t="s">
        <v>1229</v>
      </c>
      <c r="M18" s="1049" t="s">
        <v>1230</v>
      </c>
      <c r="N18" s="1049" t="s">
        <v>1231</v>
      </c>
      <c r="O18" s="1049" t="s">
        <v>1232</v>
      </c>
      <c r="P18" s="1049" t="s">
        <v>1233</v>
      </c>
      <c r="Q18" s="1049" t="s">
        <v>1234</v>
      </c>
      <c r="R18" s="1049" t="s">
        <v>1235</v>
      </c>
      <c r="S18" s="1049" t="s">
        <v>1236</v>
      </c>
    </row>
    <row r="19" spans="1:19" ht="14.25" customHeight="1" thickBot="1">
      <c r="A19" s="1055" t="s">
        <v>1145</v>
      </c>
      <c r="B19" s="1063" t="s">
        <v>1157</v>
      </c>
      <c r="C19" s="1049">
        <v>23430</v>
      </c>
      <c r="D19" s="1049">
        <v>21580</v>
      </c>
      <c r="E19" s="1049">
        <v>21350</v>
      </c>
      <c r="F19" s="1070"/>
      <c r="H19" s="1071"/>
      <c r="J19" s="1049" t="s">
        <v>1237</v>
      </c>
      <c r="K19" s="1049" t="s">
        <v>1238</v>
      </c>
      <c r="L19" s="1049" t="s">
        <v>1239</v>
      </c>
      <c r="M19" s="1049" t="s">
        <v>1240</v>
      </c>
      <c r="N19" s="1049" t="s">
        <v>1241</v>
      </c>
      <c r="O19" s="1049" t="s">
        <v>1242</v>
      </c>
      <c r="P19" s="1049" t="s">
        <v>1243</v>
      </c>
      <c r="Q19" s="1049" t="s">
        <v>1244</v>
      </c>
      <c r="R19" s="1049" t="s">
        <v>1245</v>
      </c>
      <c r="S19" s="1049" t="s">
        <v>1246</v>
      </c>
    </row>
    <row r="20" spans="1:19" ht="14.25" customHeight="1" thickBot="1">
      <c r="A20" s="1055" t="s">
        <v>1145</v>
      </c>
      <c r="B20" s="1063" t="s">
        <v>1167</v>
      </c>
      <c r="C20" s="1049">
        <v>27660</v>
      </c>
      <c r="D20" s="1049">
        <v>24240</v>
      </c>
      <c r="E20" s="1049">
        <v>24020</v>
      </c>
      <c r="F20" s="1070"/>
      <c r="J20" s="1049" t="s">
        <v>1247</v>
      </c>
      <c r="K20" s="1049" t="s">
        <v>1248</v>
      </c>
      <c r="L20" s="1049" t="s">
        <v>1249</v>
      </c>
      <c r="M20" s="1049" t="s">
        <v>1250</v>
      </c>
      <c r="N20" s="1049" t="s">
        <v>1251</v>
      </c>
      <c r="O20" s="1049" t="s">
        <v>1252</v>
      </c>
      <c r="P20" s="1049" t="s">
        <v>1253</v>
      </c>
      <c r="Q20" s="1049" t="s">
        <v>1254</v>
      </c>
      <c r="R20" s="1049" t="s">
        <v>1255</v>
      </c>
      <c r="S20" s="1049" t="s">
        <v>1256</v>
      </c>
    </row>
    <row r="21" spans="1:19" ht="14.25" customHeight="1" thickBot="1">
      <c r="A21" s="1055" t="s">
        <v>1145</v>
      </c>
      <c r="B21" s="1063" t="s">
        <v>1177</v>
      </c>
      <c r="C21" s="1049">
        <v>24720</v>
      </c>
      <c r="D21" s="1049">
        <v>21670</v>
      </c>
      <c r="E21" s="1049">
        <v>21510</v>
      </c>
      <c r="F21" s="1070"/>
      <c r="K21" s="1049" t="s">
        <v>1257</v>
      </c>
      <c r="L21" s="1049" t="s">
        <v>1258</v>
      </c>
      <c r="M21" s="1049" t="s">
        <v>1259</v>
      </c>
      <c r="N21" s="1049" t="s">
        <v>1260</v>
      </c>
      <c r="O21" s="1049" t="s">
        <v>1261</v>
      </c>
      <c r="P21" s="1049" t="s">
        <v>1262</v>
      </c>
      <c r="Q21" s="1049" t="s">
        <v>1263</v>
      </c>
      <c r="R21" s="1049" t="s">
        <v>1264</v>
      </c>
      <c r="S21" s="1049" t="s">
        <v>1265</v>
      </c>
    </row>
    <row r="22" spans="1:19" ht="14.25" customHeight="1" thickBot="1">
      <c r="A22" s="1055" t="s">
        <v>1145</v>
      </c>
      <c r="B22" s="1063" t="s">
        <v>1266</v>
      </c>
      <c r="C22" s="1049">
        <v>26530</v>
      </c>
      <c r="D22" s="1049">
        <v>22980</v>
      </c>
      <c r="E22" s="1049">
        <v>22650</v>
      </c>
      <c r="F22" s="1070"/>
      <c r="L22" s="1049" t="s">
        <v>1267</v>
      </c>
      <c r="M22" s="1049" t="s">
        <v>1268</v>
      </c>
      <c r="N22" s="1049" t="s">
        <v>1269</v>
      </c>
      <c r="O22" s="1049" t="s">
        <v>1270</v>
      </c>
      <c r="P22" s="1049" t="s">
        <v>1271</v>
      </c>
      <c r="Q22" s="1049" t="s">
        <v>1272</v>
      </c>
      <c r="R22" s="1049" t="s">
        <v>1273</v>
      </c>
      <c r="S22" s="1063" t="s">
        <v>1274</v>
      </c>
    </row>
    <row r="23" spans="1:19" ht="14.25" customHeight="1" thickBot="1">
      <c r="A23" s="1055" t="s">
        <v>1145</v>
      </c>
      <c r="B23" s="1063" t="s">
        <v>1197</v>
      </c>
      <c r="C23" s="1049">
        <v>24700</v>
      </c>
      <c r="D23" s="1049">
        <v>27290</v>
      </c>
      <c r="E23" s="1049">
        <v>26710</v>
      </c>
      <c r="F23" s="1070"/>
      <c r="L23" s="1049" t="s">
        <v>1275</v>
      </c>
      <c r="M23" s="1049" t="s">
        <v>1276</v>
      </c>
      <c r="N23" s="1049" t="s">
        <v>1277</v>
      </c>
      <c r="O23" s="1049" t="s">
        <v>1278</v>
      </c>
      <c r="P23" s="1049" t="s">
        <v>1279</v>
      </c>
      <c r="Q23" s="1049" t="s">
        <v>1280</v>
      </c>
      <c r="R23" s="1049" t="s">
        <v>1281</v>
      </c>
    </row>
    <row r="24" spans="1:19" ht="14.25" customHeight="1" thickBot="1">
      <c r="A24" s="1055" t="s">
        <v>1145</v>
      </c>
      <c r="B24" s="1063" t="s">
        <v>1207</v>
      </c>
      <c r="C24" s="1049">
        <v>23070</v>
      </c>
      <c r="D24" s="1049">
        <v>24130</v>
      </c>
      <c r="E24" s="1049">
        <v>23860</v>
      </c>
      <c r="F24" s="1070"/>
      <c r="L24" s="1049" t="s">
        <v>1282</v>
      </c>
      <c r="M24" s="1049" t="s">
        <v>1283</v>
      </c>
      <c r="N24" s="1049" t="s">
        <v>1284</v>
      </c>
      <c r="O24" s="1049" t="s">
        <v>1285</v>
      </c>
      <c r="P24" s="1049" t="s">
        <v>1286</v>
      </c>
      <c r="Q24" s="1049" t="s">
        <v>1287</v>
      </c>
      <c r="R24" s="1049" t="s">
        <v>1288</v>
      </c>
    </row>
    <row r="25" spans="1:19" ht="14.25" customHeight="1" thickBot="1">
      <c r="A25" s="1055" t="s">
        <v>1145</v>
      </c>
      <c r="B25" s="1063" t="s">
        <v>1217</v>
      </c>
      <c r="C25" s="1049">
        <v>27550</v>
      </c>
      <c r="D25" s="1049">
        <v>25850</v>
      </c>
      <c r="E25" s="1049">
        <v>25340</v>
      </c>
      <c r="F25" s="1070"/>
      <c r="L25" s="1049" t="s">
        <v>1289</v>
      </c>
      <c r="M25" s="1049" t="s">
        <v>1290</v>
      </c>
      <c r="N25" s="1049" t="s">
        <v>1291</v>
      </c>
      <c r="O25" s="1049" t="s">
        <v>1292</v>
      </c>
      <c r="P25" s="1049" t="s">
        <v>1293</v>
      </c>
      <c r="Q25" s="1049" t="s">
        <v>1294</v>
      </c>
      <c r="R25" s="1049" t="s">
        <v>1295</v>
      </c>
    </row>
    <row r="26" spans="1:19" ht="14.25" customHeight="1" thickBot="1">
      <c r="A26" s="1055" t="s">
        <v>1145</v>
      </c>
      <c r="B26" s="1063" t="s">
        <v>1227</v>
      </c>
      <c r="C26" s="1049"/>
      <c r="D26" s="1049">
        <v>23900</v>
      </c>
      <c r="E26" s="1049">
        <v>23590</v>
      </c>
      <c r="F26" s="1070"/>
      <c r="L26" s="1049" t="s">
        <v>1296</v>
      </c>
      <c r="M26" s="1049" t="s">
        <v>1297</v>
      </c>
      <c r="N26" s="1049" t="s">
        <v>1298</v>
      </c>
      <c r="O26" s="1049" t="s">
        <v>1299</v>
      </c>
      <c r="P26" s="1049" t="s">
        <v>1300</v>
      </c>
      <c r="Q26" s="1049" t="s">
        <v>1301</v>
      </c>
      <c r="R26" s="1049" t="s">
        <v>1302</v>
      </c>
    </row>
    <row r="27" spans="1:19" ht="14.25" customHeight="1" thickBot="1">
      <c r="A27" s="1055" t="s">
        <v>1145</v>
      </c>
      <c r="B27" s="1063" t="s">
        <v>1237</v>
      </c>
      <c r="C27" s="1049"/>
      <c r="D27" s="1049">
        <v>22850</v>
      </c>
      <c r="E27" s="1049">
        <v>21920</v>
      </c>
      <c r="F27" s="1070"/>
      <c r="L27" s="1049" t="s">
        <v>1303</v>
      </c>
      <c r="M27" s="1049" t="s">
        <v>1304</v>
      </c>
      <c r="N27" s="1049" t="s">
        <v>1305</v>
      </c>
      <c r="O27" s="1049" t="s">
        <v>1306</v>
      </c>
      <c r="P27" s="1049" t="s">
        <v>1307</v>
      </c>
      <c r="Q27" s="1049" t="s">
        <v>1308</v>
      </c>
      <c r="R27" s="1049" t="s">
        <v>1309</v>
      </c>
    </row>
    <row r="28" spans="1:19" ht="14.25" customHeight="1" thickBot="1">
      <c r="A28" s="1072" t="s">
        <v>1145</v>
      </c>
      <c r="B28" s="1064" t="s">
        <v>1247</v>
      </c>
      <c r="C28" s="1065"/>
      <c r="D28" s="1065">
        <v>26610</v>
      </c>
      <c r="E28" s="1065">
        <v>26370</v>
      </c>
      <c r="F28" s="1066"/>
      <c r="L28" s="1049" t="s">
        <v>1310</v>
      </c>
      <c r="M28" s="1049" t="s">
        <v>1311</v>
      </c>
      <c r="N28" s="1049" t="s">
        <v>1312</v>
      </c>
      <c r="O28" s="1049" t="s">
        <v>1313</v>
      </c>
      <c r="P28" s="1049" t="s">
        <v>1314</v>
      </c>
      <c r="Q28" s="1049" t="s">
        <v>1315</v>
      </c>
    </row>
    <row r="29" spans="1:19" ht="14.25" customHeight="1" thickBot="1">
      <c r="A29" s="1055" t="s">
        <v>1316</v>
      </c>
      <c r="B29" s="1056" t="s">
        <v>1317</v>
      </c>
      <c r="C29" s="1056">
        <v>22090</v>
      </c>
      <c r="D29" s="1056">
        <v>21860</v>
      </c>
      <c r="E29" s="1056">
        <v>19380</v>
      </c>
      <c r="F29" s="1057">
        <v>6610</v>
      </c>
      <c r="M29" s="1049" t="s">
        <v>1318</v>
      </c>
      <c r="N29" s="1049" t="s">
        <v>1319</v>
      </c>
      <c r="O29" s="1049" t="s">
        <v>1320</v>
      </c>
      <c r="P29" s="1049" t="s">
        <v>1321</v>
      </c>
      <c r="Q29" s="1049" t="s">
        <v>1322</v>
      </c>
    </row>
    <row r="30" spans="1:19" ht="14.25" customHeight="1" thickBot="1">
      <c r="A30" s="1055" t="s">
        <v>1316</v>
      </c>
      <c r="B30" s="1063" t="s">
        <v>1062</v>
      </c>
      <c r="C30" s="1049">
        <v>21380</v>
      </c>
      <c r="D30" s="1049">
        <v>19930</v>
      </c>
      <c r="E30" s="1049">
        <v>19860</v>
      </c>
      <c r="F30" s="1067">
        <v>6010</v>
      </c>
      <c r="H30" s="1071"/>
      <c r="M30" s="1049" t="s">
        <v>1323</v>
      </c>
      <c r="N30" s="1049" t="s">
        <v>1324</v>
      </c>
      <c r="O30" s="1049" t="s">
        <v>1325</v>
      </c>
      <c r="P30" s="1049" t="s">
        <v>2401</v>
      </c>
      <c r="Q30" s="1049" t="s">
        <v>1326</v>
      </c>
    </row>
    <row r="31" spans="1:19" ht="14.25" customHeight="1" thickBot="1">
      <c r="A31" s="1055" t="s">
        <v>1316</v>
      </c>
      <c r="B31" s="1063" t="s">
        <v>1076</v>
      </c>
      <c r="C31" s="1049">
        <v>21670</v>
      </c>
      <c r="D31" s="1049">
        <v>20660</v>
      </c>
      <c r="E31" s="1049">
        <v>20290</v>
      </c>
      <c r="F31" s="1067">
        <v>5840</v>
      </c>
      <c r="H31" s="1071"/>
      <c r="M31" s="1049" t="s">
        <v>1327</v>
      </c>
      <c r="N31" s="1049" t="s">
        <v>1328</v>
      </c>
      <c r="O31" s="1049" t="s">
        <v>1329</v>
      </c>
      <c r="P31" s="1049" t="s">
        <v>1330</v>
      </c>
      <c r="Q31" s="1049" t="s">
        <v>1331</v>
      </c>
    </row>
    <row r="32" spans="1:19" ht="14.25" customHeight="1" thickBot="1">
      <c r="A32" s="1055" t="s">
        <v>1316</v>
      </c>
      <c r="B32" s="1063" t="s">
        <v>1089</v>
      </c>
      <c r="C32" s="1049">
        <v>22280</v>
      </c>
      <c r="D32" s="1049">
        <v>21800</v>
      </c>
      <c r="E32" s="1049">
        <v>17650</v>
      </c>
      <c r="F32" s="1067">
        <v>4690</v>
      </c>
      <c r="H32" s="1071"/>
      <c r="M32" s="1049" t="s">
        <v>1332</v>
      </c>
      <c r="N32" s="1049" t="s">
        <v>1333</v>
      </c>
      <c r="O32" s="1049" t="s">
        <v>1334</v>
      </c>
      <c r="P32" s="1049" t="s">
        <v>1335</v>
      </c>
      <c r="Q32" s="1049" t="s">
        <v>1336</v>
      </c>
    </row>
    <row r="33" spans="1:17" ht="14.25" customHeight="1" thickBot="1">
      <c r="A33" s="1055" t="s">
        <v>1316</v>
      </c>
      <c r="B33" s="1063" t="s">
        <v>1103</v>
      </c>
      <c r="C33" s="1049">
        <v>22130</v>
      </c>
      <c r="D33" s="1049">
        <v>20460</v>
      </c>
      <c r="E33" s="1049">
        <v>18500</v>
      </c>
      <c r="F33" s="1067">
        <v>5340</v>
      </c>
      <c r="H33" s="1071"/>
      <c r="M33" s="1049" t="s">
        <v>1337</v>
      </c>
      <c r="N33" s="1049" t="s">
        <v>1338</v>
      </c>
      <c r="O33" s="1049" t="s">
        <v>1339</v>
      </c>
      <c r="P33" s="1049" t="s">
        <v>1340</v>
      </c>
      <c r="Q33" s="1049" t="s">
        <v>1341</v>
      </c>
    </row>
    <row r="34" spans="1:17" ht="14.25" customHeight="1" thickBot="1">
      <c r="A34" s="1055" t="s">
        <v>1316</v>
      </c>
      <c r="B34" s="1063" t="s">
        <v>1114</v>
      </c>
      <c r="C34" s="1049">
        <v>22070</v>
      </c>
      <c r="D34" s="1049">
        <v>20110</v>
      </c>
      <c r="E34" s="1049">
        <v>18830</v>
      </c>
      <c r="F34" s="1067">
        <v>5190</v>
      </c>
      <c r="H34" s="1071"/>
      <c r="M34" s="1049" t="s">
        <v>1342</v>
      </c>
      <c r="N34" s="1049" t="s">
        <v>1343</v>
      </c>
      <c r="O34" s="1049" t="s">
        <v>1344</v>
      </c>
      <c r="P34" s="1049" t="s">
        <v>1345</v>
      </c>
      <c r="Q34" s="1049" t="s">
        <v>1346</v>
      </c>
    </row>
    <row r="35" spans="1:17" ht="14.25" customHeight="1" thickBot="1">
      <c r="A35" s="1055" t="s">
        <v>1316</v>
      </c>
      <c r="B35" s="1063" t="s">
        <v>1125</v>
      </c>
      <c r="C35" s="1049">
        <v>22240</v>
      </c>
      <c r="D35" s="1049">
        <v>19550</v>
      </c>
      <c r="E35" s="1049">
        <v>19220</v>
      </c>
      <c r="F35" s="1067">
        <v>5800</v>
      </c>
      <c r="H35" s="1071"/>
      <c r="M35" s="1049" t="s">
        <v>1347</v>
      </c>
      <c r="N35" s="1049" t="s">
        <v>1348</v>
      </c>
      <c r="O35" s="1049" t="s">
        <v>1349</v>
      </c>
      <c r="P35" s="1049" t="s">
        <v>1350</v>
      </c>
      <c r="Q35" s="1049" t="s">
        <v>1351</v>
      </c>
    </row>
    <row r="36" spans="1:17" ht="14.25" customHeight="1" thickBot="1">
      <c r="A36" s="1055" t="s">
        <v>1316</v>
      </c>
      <c r="B36" s="1063" t="s">
        <v>1136</v>
      </c>
      <c r="C36" s="1049">
        <v>19750</v>
      </c>
      <c r="D36" s="1049">
        <v>19790</v>
      </c>
      <c r="E36" s="1049">
        <v>18510</v>
      </c>
      <c r="F36" s="1067">
        <v>6520</v>
      </c>
      <c r="H36" s="1071"/>
      <c r="N36" s="1049" t="s">
        <v>1352</v>
      </c>
      <c r="O36" s="1049" t="s">
        <v>1353</v>
      </c>
      <c r="P36" s="1049" t="s">
        <v>1354</v>
      </c>
      <c r="Q36" s="1049" t="s">
        <v>1355</v>
      </c>
    </row>
    <row r="37" spans="1:17" ht="14.25" customHeight="1" thickBot="1">
      <c r="A37" s="1055" t="s">
        <v>1316</v>
      </c>
      <c r="B37" s="1063" t="s">
        <v>1148</v>
      </c>
      <c r="C37" s="1049">
        <v>22380</v>
      </c>
      <c r="D37" s="1049">
        <v>18530</v>
      </c>
      <c r="E37" s="1049">
        <v>17930</v>
      </c>
      <c r="F37" s="1067">
        <v>6270</v>
      </c>
      <c r="H37" s="1073"/>
      <c r="N37" s="1049" t="s">
        <v>1356</v>
      </c>
      <c r="O37" s="1049" t="s">
        <v>1357</v>
      </c>
      <c r="P37" s="1049" t="s">
        <v>1358</v>
      </c>
      <c r="Q37" s="1049" t="s">
        <v>1359</v>
      </c>
    </row>
    <row r="38" spans="1:17" ht="14.25" customHeight="1" thickBot="1">
      <c r="A38" s="1055" t="s">
        <v>1316</v>
      </c>
      <c r="B38" s="1063" t="s">
        <v>1158</v>
      </c>
      <c r="C38" s="1049">
        <v>20200</v>
      </c>
      <c r="D38" s="1049">
        <v>20070</v>
      </c>
      <c r="E38" s="1049">
        <v>19950</v>
      </c>
      <c r="F38" s="1067"/>
      <c r="H38" s="1074"/>
      <c r="N38" s="1049" t="s">
        <v>1360</v>
      </c>
      <c r="O38" s="1049" t="s">
        <v>1361</v>
      </c>
      <c r="P38" s="1049" t="s">
        <v>1362</v>
      </c>
      <c r="Q38" s="1049" t="s">
        <v>1363</v>
      </c>
    </row>
    <row r="39" spans="1:17" ht="14.25" customHeight="1" thickBot="1">
      <c r="A39" s="1055" t="s">
        <v>1316</v>
      </c>
      <c r="B39" s="1063" t="s">
        <v>1168</v>
      </c>
      <c r="C39" s="1049">
        <v>19300</v>
      </c>
      <c r="D39" s="1049">
        <v>20360</v>
      </c>
      <c r="E39" s="1049">
        <v>20230</v>
      </c>
      <c r="F39" s="1067"/>
      <c r="H39" s="1074"/>
      <c r="N39" s="1049" t="s">
        <v>1364</v>
      </c>
      <c r="O39" s="1049" t="s">
        <v>1365</v>
      </c>
      <c r="P39" s="1049" t="s">
        <v>1366</v>
      </c>
      <c r="Q39" s="1049" t="s">
        <v>1367</v>
      </c>
    </row>
    <row r="40" spans="1:17" ht="14.25" customHeight="1" thickBot="1">
      <c r="A40" s="1055" t="s">
        <v>1316</v>
      </c>
      <c r="B40" s="1063" t="s">
        <v>1178</v>
      </c>
      <c r="C40" s="1049">
        <v>20210</v>
      </c>
      <c r="D40" s="1049">
        <v>19060</v>
      </c>
      <c r="E40" s="1049">
        <v>18890</v>
      </c>
      <c r="F40" s="1067"/>
      <c r="H40" s="1074"/>
      <c r="N40" s="1049" t="s">
        <v>1368</v>
      </c>
      <c r="O40" s="1049" t="s">
        <v>1369</v>
      </c>
      <c r="P40" s="1049" t="s">
        <v>1370</v>
      </c>
      <c r="Q40" s="1049" t="s">
        <v>1371</v>
      </c>
    </row>
    <row r="41" spans="1:17" ht="14.25" customHeight="1" thickBot="1">
      <c r="A41" s="1055" t="s">
        <v>1316</v>
      </c>
      <c r="B41" s="1063" t="s">
        <v>1188</v>
      </c>
      <c r="C41" s="1049">
        <v>20560</v>
      </c>
      <c r="D41" s="1049">
        <v>21040</v>
      </c>
      <c r="E41" s="1049">
        <v>20740</v>
      </c>
      <c r="F41" s="1067"/>
      <c r="H41" s="1074"/>
      <c r="N41" s="1063" t="s">
        <v>1372</v>
      </c>
      <c r="O41" s="1063" t="s">
        <v>1373</v>
      </c>
      <c r="Q41" s="1063" t="s">
        <v>1374</v>
      </c>
    </row>
    <row r="42" spans="1:17" ht="14.25" customHeight="1" thickBot="1">
      <c r="A42" s="1055" t="s">
        <v>1316</v>
      </c>
      <c r="B42" s="1063" t="s">
        <v>1198</v>
      </c>
      <c r="C42" s="1049">
        <v>19280</v>
      </c>
      <c r="D42" s="1049">
        <v>22940</v>
      </c>
      <c r="E42" s="1049">
        <v>22500</v>
      </c>
      <c r="F42" s="1067"/>
      <c r="H42" s="1074"/>
      <c r="N42" s="1049" t="s">
        <v>1375</v>
      </c>
      <c r="O42" s="1049" t="s">
        <v>1376</v>
      </c>
      <c r="Q42" s="1049" t="s">
        <v>1377</v>
      </c>
    </row>
    <row r="43" spans="1:17" ht="14.25" customHeight="1" thickBot="1">
      <c r="A43" s="1055" t="s">
        <v>1316</v>
      </c>
      <c r="B43" s="1063" t="s">
        <v>1208</v>
      </c>
      <c r="C43" s="1049">
        <v>21520</v>
      </c>
      <c r="D43" s="1049">
        <v>19230</v>
      </c>
      <c r="E43" s="1049">
        <v>18540</v>
      </c>
      <c r="F43" s="1067"/>
      <c r="H43" s="1074"/>
      <c r="N43" s="1049" t="s">
        <v>1378</v>
      </c>
      <c r="O43" s="1049" t="s">
        <v>1379</v>
      </c>
      <c r="Q43" s="1049" t="s">
        <v>1380</v>
      </c>
    </row>
    <row r="44" spans="1:17" ht="14.25" customHeight="1" thickBot="1">
      <c r="A44" s="1055" t="s">
        <v>1316</v>
      </c>
      <c r="B44" s="1063" t="s">
        <v>1218</v>
      </c>
      <c r="C44" s="1049">
        <v>23260</v>
      </c>
      <c r="D44" s="1049">
        <v>21180</v>
      </c>
      <c r="E44" s="1049">
        <v>20730</v>
      </c>
      <c r="F44" s="1067"/>
      <c r="H44" s="1074"/>
      <c r="N44" s="1049" t="s">
        <v>1381</v>
      </c>
      <c r="O44" s="1049" t="s">
        <v>1382</v>
      </c>
      <c r="Q44" s="1049" t="s">
        <v>1383</v>
      </c>
    </row>
    <row r="45" spans="1:17" ht="14.25" customHeight="1" thickBot="1">
      <c r="A45" s="1055" t="s">
        <v>1316</v>
      </c>
      <c r="B45" s="1063" t="s">
        <v>1228</v>
      </c>
      <c r="C45" s="1049">
        <v>19610</v>
      </c>
      <c r="D45" s="1049">
        <v>18090</v>
      </c>
      <c r="E45" s="1049">
        <v>17970</v>
      </c>
      <c r="F45" s="1067"/>
      <c r="H45" s="1071"/>
      <c r="N45" s="1049" t="s">
        <v>1384</v>
      </c>
      <c r="O45" s="1049" t="s">
        <v>1385</v>
      </c>
      <c r="Q45" s="1049" t="s">
        <v>1386</v>
      </c>
    </row>
    <row r="46" spans="1:17" ht="14.25" customHeight="1" thickBot="1">
      <c r="A46" s="1055" t="s">
        <v>1316</v>
      </c>
      <c r="B46" s="1063" t="s">
        <v>1238</v>
      </c>
      <c r="C46" s="1049">
        <v>21660</v>
      </c>
      <c r="D46" s="1049">
        <v>19190</v>
      </c>
      <c r="E46" s="1049">
        <v>19790</v>
      </c>
      <c r="F46" s="1067"/>
      <c r="H46" s="1074"/>
      <c r="N46" s="1049" t="s">
        <v>1387</v>
      </c>
      <c r="O46" s="1049" t="s">
        <v>1388</v>
      </c>
      <c r="Q46" s="1049" t="s">
        <v>1389</v>
      </c>
    </row>
    <row r="47" spans="1:17" ht="14.25" customHeight="1" thickBot="1">
      <c r="A47" s="1055" t="s">
        <v>1316</v>
      </c>
      <c r="B47" s="1063" t="s">
        <v>1248</v>
      </c>
      <c r="C47" s="1049">
        <v>18220</v>
      </c>
      <c r="D47" s="1049"/>
      <c r="E47" s="1049">
        <v>17220</v>
      </c>
      <c r="F47" s="1067"/>
      <c r="H47" s="1074"/>
      <c r="N47" s="1049" t="s">
        <v>1390</v>
      </c>
      <c r="O47" s="1049" t="s">
        <v>1391</v>
      </c>
    </row>
    <row r="48" spans="1:17" ht="14.25" customHeight="1" thickBot="1">
      <c r="A48" s="1055" t="s">
        <v>1316</v>
      </c>
      <c r="B48" s="1064" t="s">
        <v>1257</v>
      </c>
      <c r="C48" s="1065">
        <v>19430</v>
      </c>
      <c r="D48" s="1065"/>
      <c r="E48" s="1065">
        <v>17830</v>
      </c>
      <c r="F48" s="1075"/>
      <c r="H48" s="1071"/>
      <c r="N48" s="1049" t="s">
        <v>1392</v>
      </c>
      <c r="O48" s="1049" t="s">
        <v>1393</v>
      </c>
    </row>
    <row r="49" spans="1:15" ht="14.25" customHeight="1" thickBot="1">
      <c r="A49" s="1055" t="s">
        <v>915</v>
      </c>
      <c r="B49" s="1056" t="s">
        <v>1394</v>
      </c>
      <c r="C49" s="1056">
        <v>17090</v>
      </c>
      <c r="D49" s="1056">
        <v>16950</v>
      </c>
      <c r="E49" s="1056">
        <v>16310</v>
      </c>
      <c r="F49" s="1057">
        <v>4540</v>
      </c>
      <c r="H49" s="1074"/>
      <c r="N49" s="1049" t="s">
        <v>1395</v>
      </c>
      <c r="O49" s="1049" t="s">
        <v>1396</v>
      </c>
    </row>
    <row r="50" spans="1:15" ht="14.25" customHeight="1" thickBot="1">
      <c r="A50" s="1055" t="s">
        <v>915</v>
      </c>
      <c r="B50" s="1049" t="s">
        <v>1063</v>
      </c>
      <c r="C50" s="1049">
        <v>19040</v>
      </c>
      <c r="D50" s="1049">
        <v>16960</v>
      </c>
      <c r="E50" s="1049">
        <v>14800</v>
      </c>
      <c r="F50" s="1067">
        <v>3940</v>
      </c>
      <c r="H50" s="1074"/>
    </row>
    <row r="51" spans="1:15" ht="14.25" customHeight="1" thickBot="1">
      <c r="A51" s="1055" t="s">
        <v>915</v>
      </c>
      <c r="B51" s="1049" t="s">
        <v>1077</v>
      </c>
      <c r="C51" s="1049">
        <v>17040</v>
      </c>
      <c r="D51" s="1049">
        <v>16930</v>
      </c>
      <c r="E51" s="1049">
        <v>15030</v>
      </c>
      <c r="F51" s="1067">
        <v>4120</v>
      </c>
      <c r="H51" s="1074"/>
    </row>
    <row r="52" spans="1:15" ht="14.25" customHeight="1" thickBot="1">
      <c r="A52" s="1055" t="s">
        <v>915</v>
      </c>
      <c r="B52" s="1049" t="s">
        <v>1090</v>
      </c>
      <c r="C52" s="1049">
        <v>17110</v>
      </c>
      <c r="D52" s="1049">
        <v>17750</v>
      </c>
      <c r="E52" s="1049">
        <v>17310</v>
      </c>
      <c r="F52" s="1067">
        <v>3220</v>
      </c>
      <c r="H52" s="1074"/>
    </row>
    <row r="53" spans="1:15" ht="14.25" customHeight="1" thickBot="1">
      <c r="A53" s="1055" t="s">
        <v>915</v>
      </c>
      <c r="B53" s="1049" t="s">
        <v>1104</v>
      </c>
      <c r="C53" s="1049">
        <v>17810</v>
      </c>
      <c r="D53" s="1049">
        <v>17260</v>
      </c>
      <c r="E53" s="1049">
        <v>17090</v>
      </c>
      <c r="F53" s="1067">
        <v>3520</v>
      </c>
      <c r="H53" s="1074"/>
    </row>
    <row r="54" spans="1:15" ht="14.25" customHeight="1" thickBot="1">
      <c r="A54" s="1055" t="s">
        <v>915</v>
      </c>
      <c r="B54" s="1049" t="s">
        <v>1115</v>
      </c>
      <c r="C54" s="1049">
        <v>17410</v>
      </c>
      <c r="D54" s="1049">
        <v>16780</v>
      </c>
      <c r="E54" s="1049">
        <v>16370</v>
      </c>
      <c r="F54" s="1067">
        <v>3410</v>
      </c>
      <c r="H54" s="1074"/>
    </row>
    <row r="55" spans="1:15" ht="14.25" customHeight="1" thickBot="1">
      <c r="A55" s="1055" t="s">
        <v>915</v>
      </c>
      <c r="B55" s="1049" t="s">
        <v>1126</v>
      </c>
      <c r="C55" s="1049">
        <v>16930</v>
      </c>
      <c r="D55" s="1049">
        <v>14720</v>
      </c>
      <c r="E55" s="1049">
        <v>15000</v>
      </c>
      <c r="F55" s="1067">
        <v>3710</v>
      </c>
      <c r="H55" s="1074"/>
    </row>
    <row r="56" spans="1:15" ht="14.25" customHeight="1" thickBot="1">
      <c r="A56" s="1055" t="s">
        <v>915</v>
      </c>
      <c r="B56" s="1049" t="s">
        <v>1137</v>
      </c>
      <c r="C56" s="1049">
        <v>14930</v>
      </c>
      <c r="D56" s="1049">
        <v>15850</v>
      </c>
      <c r="E56" s="1049">
        <v>14320</v>
      </c>
      <c r="F56" s="1067">
        <v>3960</v>
      </c>
      <c r="H56" s="1074"/>
    </row>
    <row r="57" spans="1:15" ht="14.25" customHeight="1" thickBot="1">
      <c r="A57" s="1055" t="s">
        <v>915</v>
      </c>
      <c r="B57" s="1049" t="s">
        <v>1149</v>
      </c>
      <c r="C57" s="1049">
        <v>16160</v>
      </c>
      <c r="D57" s="1049">
        <v>16190</v>
      </c>
      <c r="E57" s="1049">
        <v>15650</v>
      </c>
      <c r="F57" s="1067">
        <v>4200</v>
      </c>
      <c r="H57" s="1074"/>
    </row>
    <row r="58" spans="1:15" ht="14.25" customHeight="1" thickBot="1">
      <c r="A58" s="1055" t="s">
        <v>915</v>
      </c>
      <c r="B58" s="1049" t="s">
        <v>1159</v>
      </c>
      <c r="C58" s="1049">
        <v>16360</v>
      </c>
      <c r="D58" s="1049">
        <v>14050</v>
      </c>
      <c r="E58" s="1049">
        <v>16070</v>
      </c>
      <c r="F58" s="1067">
        <v>3990</v>
      </c>
      <c r="H58" s="1074"/>
    </row>
    <row r="59" spans="1:15" ht="14.25" customHeight="1" thickBot="1">
      <c r="A59" s="1055" t="s">
        <v>915</v>
      </c>
      <c r="B59" s="1049" t="s">
        <v>1169</v>
      </c>
      <c r="C59" s="1049">
        <v>14160</v>
      </c>
      <c r="D59" s="1049">
        <v>16620</v>
      </c>
      <c r="E59" s="1049">
        <v>13940</v>
      </c>
      <c r="F59" s="1067">
        <v>4260</v>
      </c>
      <c r="H59" s="1074"/>
    </row>
    <row r="60" spans="1:15" ht="14.25" customHeight="1" thickBot="1">
      <c r="A60" s="1055" t="s">
        <v>915</v>
      </c>
      <c r="B60" s="1049" t="s">
        <v>1179</v>
      </c>
      <c r="C60" s="1049">
        <v>16750</v>
      </c>
      <c r="D60" s="1049">
        <v>13910</v>
      </c>
      <c r="E60" s="1049">
        <v>16550</v>
      </c>
      <c r="F60" s="1067">
        <v>4550</v>
      </c>
      <c r="H60" s="1074"/>
    </row>
    <row r="61" spans="1:15" ht="14.25" customHeight="1" thickBot="1">
      <c r="A61" s="1055" t="s">
        <v>915</v>
      </c>
      <c r="B61" s="1049" t="s">
        <v>1189</v>
      </c>
      <c r="C61" s="1049">
        <v>14000</v>
      </c>
      <c r="D61" s="1049">
        <v>14550</v>
      </c>
      <c r="E61" s="1049">
        <v>13860</v>
      </c>
      <c r="F61" s="1076"/>
      <c r="H61" s="1074"/>
    </row>
    <row r="62" spans="1:15" ht="14.25" customHeight="1" thickBot="1">
      <c r="A62" s="1055" t="s">
        <v>915</v>
      </c>
      <c r="B62" s="1049" t="s">
        <v>1199</v>
      </c>
      <c r="C62" s="1049">
        <v>14660</v>
      </c>
      <c r="D62" s="1049">
        <v>17450</v>
      </c>
      <c r="E62" s="1049">
        <v>14470</v>
      </c>
      <c r="F62" s="1076"/>
      <c r="H62" s="1074"/>
    </row>
    <row r="63" spans="1:15" ht="14.25" customHeight="1" thickBot="1">
      <c r="A63" s="1055" t="s">
        <v>915</v>
      </c>
      <c r="B63" s="1049" t="s">
        <v>1209</v>
      </c>
      <c r="C63" s="1049">
        <v>17610</v>
      </c>
      <c r="D63" s="1049">
        <v>16500</v>
      </c>
      <c r="E63" s="1049">
        <v>17330</v>
      </c>
      <c r="F63" s="1076"/>
      <c r="H63" s="1074"/>
    </row>
    <row r="64" spans="1:15" ht="14.25" customHeight="1" thickBot="1">
      <c r="A64" s="1055" t="s">
        <v>915</v>
      </c>
      <c r="B64" s="1049" t="s">
        <v>1219</v>
      </c>
      <c r="C64" s="1049">
        <v>16590</v>
      </c>
      <c r="D64" s="1049">
        <v>15130</v>
      </c>
      <c r="E64" s="1049">
        <v>16420</v>
      </c>
      <c r="F64" s="1076"/>
      <c r="H64" s="1074"/>
    </row>
    <row r="65" spans="1:8" s="1043" customFormat="1" ht="14.25" customHeight="1" thickBot="1">
      <c r="A65" s="1055" t="s">
        <v>915</v>
      </c>
      <c r="B65" s="1049" t="s">
        <v>1229</v>
      </c>
      <c r="C65" s="1049">
        <v>15220</v>
      </c>
      <c r="D65" s="1049">
        <v>14660</v>
      </c>
      <c r="E65" s="1049">
        <v>15060</v>
      </c>
      <c r="F65" s="1067"/>
      <c r="H65" s="1074"/>
    </row>
    <row r="66" spans="1:8" s="1043" customFormat="1" ht="14.25" customHeight="1" thickBot="1">
      <c r="A66" s="1055" t="s">
        <v>915</v>
      </c>
      <c r="B66" s="1049" t="s">
        <v>1239</v>
      </c>
      <c r="C66" s="1049">
        <v>14720</v>
      </c>
      <c r="D66" s="1049">
        <v>15970</v>
      </c>
      <c r="E66" s="1049">
        <v>14610</v>
      </c>
      <c r="F66" s="1067"/>
      <c r="H66" s="1074"/>
    </row>
    <row r="67" spans="1:8" s="1043" customFormat="1" ht="14.25" customHeight="1" thickBot="1">
      <c r="A67" s="1055" t="s">
        <v>915</v>
      </c>
      <c r="B67" s="1049" t="s">
        <v>1249</v>
      </c>
      <c r="C67" s="1049">
        <v>16080</v>
      </c>
      <c r="D67" s="1049">
        <v>14840</v>
      </c>
      <c r="E67" s="1049">
        <v>15630</v>
      </c>
      <c r="F67" s="1067"/>
      <c r="H67" s="1074"/>
    </row>
    <row r="68" spans="1:8" s="1043" customFormat="1" ht="14.25" customHeight="1" thickBot="1">
      <c r="A68" s="1055" t="s">
        <v>915</v>
      </c>
      <c r="B68" s="1049" t="s">
        <v>1258</v>
      </c>
      <c r="C68" s="1049">
        <v>14940</v>
      </c>
      <c r="D68" s="1049">
        <v>18000</v>
      </c>
      <c r="E68" s="1049">
        <v>14040</v>
      </c>
      <c r="F68" s="1067"/>
      <c r="H68" s="1074"/>
    </row>
    <row r="69" spans="1:8" s="1043" customFormat="1" ht="14.25" customHeight="1" thickBot="1">
      <c r="A69" s="1055" t="s">
        <v>915</v>
      </c>
      <c r="B69" s="1049" t="s">
        <v>1267</v>
      </c>
      <c r="C69" s="1049">
        <v>18810</v>
      </c>
      <c r="D69" s="1049">
        <v>15100</v>
      </c>
      <c r="E69" s="1049">
        <v>14710</v>
      </c>
      <c r="F69" s="1067"/>
      <c r="H69" s="1074"/>
    </row>
    <row r="70" spans="1:8" s="1043" customFormat="1" ht="14.25" customHeight="1" thickBot="1">
      <c r="A70" s="1055" t="s">
        <v>915</v>
      </c>
      <c r="B70" s="1049" t="s">
        <v>1275</v>
      </c>
      <c r="C70" s="1049">
        <v>18270</v>
      </c>
      <c r="D70" s="1049"/>
      <c r="E70" s="1049"/>
      <c r="F70" s="1067"/>
      <c r="H70" s="1074"/>
    </row>
    <row r="71" spans="1:8" s="1043" customFormat="1" ht="14.25" customHeight="1" thickBot="1">
      <c r="A71" s="1055" t="s">
        <v>915</v>
      </c>
      <c r="B71" s="1049" t="s">
        <v>1282</v>
      </c>
      <c r="C71" s="1049">
        <v>15230</v>
      </c>
      <c r="D71" s="1049"/>
      <c r="E71" s="1049"/>
      <c r="F71" s="1067"/>
      <c r="H71" s="1074"/>
    </row>
    <row r="72" spans="1:8" s="1043" customFormat="1" ht="14.25" customHeight="1" thickBot="1">
      <c r="A72" s="1055" t="s">
        <v>915</v>
      </c>
      <c r="B72" s="1049" t="s">
        <v>1289</v>
      </c>
      <c r="C72" s="1049"/>
      <c r="D72" s="1049"/>
      <c r="E72" s="1049"/>
      <c r="F72" s="1067">
        <v>4120</v>
      </c>
      <c r="H72" s="1074"/>
    </row>
    <row r="73" spans="1:8" s="1043" customFormat="1" ht="14.25" customHeight="1" thickBot="1">
      <c r="A73" s="1055" t="s">
        <v>915</v>
      </c>
      <c r="B73" s="1049" t="s">
        <v>1296</v>
      </c>
      <c r="C73" s="1049"/>
      <c r="D73" s="1049"/>
      <c r="E73" s="1049"/>
      <c r="F73" s="1067">
        <v>3930</v>
      </c>
      <c r="H73" s="1074"/>
    </row>
    <row r="74" spans="1:8" s="1043" customFormat="1" ht="14.25" customHeight="1" thickBot="1">
      <c r="A74" s="1055" t="s">
        <v>915</v>
      </c>
      <c r="B74" s="1049" t="s">
        <v>1303</v>
      </c>
      <c r="C74" s="1049"/>
      <c r="D74" s="1049"/>
      <c r="E74" s="1049"/>
      <c r="F74" s="1067">
        <v>4060</v>
      </c>
      <c r="H74" s="1074"/>
    </row>
    <row r="75" spans="1:8" s="1043" customFormat="1" ht="14.25" customHeight="1" thickBot="1">
      <c r="A75" s="1055" t="s">
        <v>915</v>
      </c>
      <c r="B75" s="1065" t="s">
        <v>1310</v>
      </c>
      <c r="C75" s="1065"/>
      <c r="D75" s="1065"/>
      <c r="E75" s="1065"/>
      <c r="F75" s="1075">
        <v>3750</v>
      </c>
      <c r="H75" s="1074"/>
    </row>
    <row r="76" spans="1:8" s="1043" customFormat="1" ht="14.25" customHeight="1" thickBot="1">
      <c r="A76" s="1055" t="s">
        <v>1397</v>
      </c>
      <c r="B76" s="1056" t="s">
        <v>1398</v>
      </c>
      <c r="C76" s="1056">
        <v>14690</v>
      </c>
      <c r="D76" s="1056">
        <v>14640</v>
      </c>
      <c r="E76" s="1056">
        <v>14590</v>
      </c>
      <c r="F76" s="1057">
        <v>3060</v>
      </c>
      <c r="H76" s="1074"/>
    </row>
    <row r="77" spans="1:8" s="1043" customFormat="1" ht="14.25" customHeight="1" thickBot="1">
      <c r="A77" s="1055" t="s">
        <v>1397</v>
      </c>
      <c r="B77" s="1049" t="s">
        <v>1064</v>
      </c>
      <c r="C77" s="1049">
        <v>12550</v>
      </c>
      <c r="D77" s="1049">
        <v>12480</v>
      </c>
      <c r="E77" s="1049">
        <v>12450</v>
      </c>
      <c r="F77" s="1067">
        <v>2590</v>
      </c>
      <c r="H77" s="1074"/>
    </row>
    <row r="78" spans="1:8" s="1043" customFormat="1" ht="14.25" customHeight="1" thickBot="1">
      <c r="A78" s="1055" t="s">
        <v>1397</v>
      </c>
      <c r="B78" s="1049" t="s">
        <v>1078</v>
      </c>
      <c r="C78" s="1049">
        <v>14360</v>
      </c>
      <c r="D78" s="1049">
        <v>14320</v>
      </c>
      <c r="E78" s="1049">
        <v>12510</v>
      </c>
      <c r="F78" s="1067">
        <v>2700</v>
      </c>
      <c r="H78" s="1074"/>
    </row>
    <row r="79" spans="1:8" s="1043" customFormat="1" ht="14.25" customHeight="1" thickBot="1">
      <c r="A79" s="1055" t="s">
        <v>1397</v>
      </c>
      <c r="B79" s="1049" t="s">
        <v>1091</v>
      </c>
      <c r="C79" s="1049">
        <v>12590</v>
      </c>
      <c r="D79" s="1049">
        <v>12540</v>
      </c>
      <c r="E79" s="1049">
        <v>12350</v>
      </c>
      <c r="F79" s="1067">
        <v>2740</v>
      </c>
      <c r="H79" s="1074"/>
    </row>
    <row r="80" spans="1:8" s="1043" customFormat="1" ht="14.25" customHeight="1" thickBot="1">
      <c r="A80" s="1055" t="s">
        <v>1397</v>
      </c>
      <c r="B80" s="1049" t="s">
        <v>1105</v>
      </c>
      <c r="C80" s="1049">
        <v>12450</v>
      </c>
      <c r="D80" s="1049">
        <v>12370</v>
      </c>
      <c r="E80" s="1049">
        <v>10790</v>
      </c>
      <c r="F80" s="1067">
        <v>2290</v>
      </c>
      <c r="H80" s="1074"/>
    </row>
    <row r="81" spans="1:8" s="1043" customFormat="1" ht="14.25" customHeight="1" thickBot="1">
      <c r="A81" s="1055" t="s">
        <v>1397</v>
      </c>
      <c r="B81" s="1049" t="s">
        <v>1116</v>
      </c>
      <c r="C81" s="1049">
        <v>14210</v>
      </c>
      <c r="D81" s="1049">
        <v>14150</v>
      </c>
      <c r="E81" s="1049">
        <v>12730</v>
      </c>
      <c r="F81" s="1067">
        <v>2240</v>
      </c>
      <c r="H81" s="1074"/>
    </row>
    <row r="82" spans="1:8" s="1043" customFormat="1" ht="14.25" customHeight="1" thickBot="1">
      <c r="A82" s="1055" t="s">
        <v>1397</v>
      </c>
      <c r="B82" s="1049" t="s">
        <v>1127</v>
      </c>
      <c r="C82" s="1049">
        <v>10860</v>
      </c>
      <c r="D82" s="1049">
        <v>10820</v>
      </c>
      <c r="E82" s="1049">
        <v>14720</v>
      </c>
      <c r="F82" s="1067">
        <v>2490</v>
      </c>
      <c r="H82" s="1074"/>
    </row>
    <row r="83" spans="1:8" s="1043" customFormat="1" ht="14.25" customHeight="1" thickBot="1">
      <c r="A83" s="1055" t="s">
        <v>1397</v>
      </c>
      <c r="B83" s="1049" t="s">
        <v>1138</v>
      </c>
      <c r="C83" s="1049">
        <v>12810</v>
      </c>
      <c r="D83" s="1049">
        <v>12760</v>
      </c>
      <c r="E83" s="1049">
        <v>14830</v>
      </c>
      <c r="F83" s="1067">
        <v>2450</v>
      </c>
      <c r="H83" s="1074"/>
    </row>
    <row r="84" spans="1:8" s="1043" customFormat="1" ht="14.25" customHeight="1" thickBot="1">
      <c r="A84" s="1055" t="s">
        <v>1397</v>
      </c>
      <c r="B84" s="1049" t="s">
        <v>1150</v>
      </c>
      <c r="C84" s="1049">
        <v>14950</v>
      </c>
      <c r="D84" s="1049">
        <v>14810</v>
      </c>
      <c r="E84" s="1049">
        <v>12590</v>
      </c>
      <c r="F84" s="1067">
        <v>2540</v>
      </c>
      <c r="H84" s="1074"/>
    </row>
    <row r="85" spans="1:8" s="1043" customFormat="1" ht="14.25" customHeight="1" thickBot="1">
      <c r="A85" s="1055" t="s">
        <v>1397</v>
      </c>
      <c r="B85" s="1049" t="s">
        <v>1160</v>
      </c>
      <c r="C85" s="1049">
        <v>14960</v>
      </c>
      <c r="D85" s="1049">
        <v>14890</v>
      </c>
      <c r="E85" s="1049">
        <v>12840</v>
      </c>
      <c r="F85" s="1067">
        <v>2840</v>
      </c>
      <c r="H85" s="1074"/>
    </row>
    <row r="86" spans="1:8" s="1043" customFormat="1" ht="14.25" customHeight="1" thickBot="1">
      <c r="A86" s="1055" t="s">
        <v>1397</v>
      </c>
      <c r="B86" s="1049" t="s">
        <v>1170</v>
      </c>
      <c r="C86" s="1049">
        <v>12730</v>
      </c>
      <c r="D86" s="1049">
        <v>12660</v>
      </c>
      <c r="E86" s="1049">
        <v>13310</v>
      </c>
      <c r="F86" s="1067">
        <v>3140</v>
      </c>
      <c r="H86" s="1074"/>
    </row>
    <row r="87" spans="1:8" s="1043" customFormat="1" ht="14.25" customHeight="1" thickBot="1">
      <c r="A87" s="1055" t="s">
        <v>1397</v>
      </c>
      <c r="B87" s="1049" t="s">
        <v>1180</v>
      </c>
      <c r="C87" s="1049">
        <v>12940</v>
      </c>
      <c r="D87" s="1049">
        <v>12890</v>
      </c>
      <c r="E87" s="1049">
        <v>11580</v>
      </c>
      <c r="F87" s="1076"/>
      <c r="H87" s="1074"/>
    </row>
    <row r="88" spans="1:8" s="1043" customFormat="1" ht="14.25" customHeight="1" thickBot="1">
      <c r="A88" s="1055" t="s">
        <v>1397</v>
      </c>
      <c r="B88" s="1049" t="s">
        <v>1190</v>
      </c>
      <c r="C88" s="1049">
        <v>13430</v>
      </c>
      <c r="D88" s="1049">
        <v>13360</v>
      </c>
      <c r="E88" s="1049">
        <v>12790</v>
      </c>
      <c r="F88" s="1076"/>
      <c r="H88" s="1074"/>
    </row>
    <row r="89" spans="1:8" s="1043" customFormat="1" ht="14.25" customHeight="1" thickBot="1">
      <c r="A89" s="1055" t="s">
        <v>1397</v>
      </c>
      <c r="B89" s="1049" t="s">
        <v>1200</v>
      </c>
      <c r="C89" s="1049">
        <v>11680</v>
      </c>
      <c r="D89" s="1049">
        <v>11630</v>
      </c>
      <c r="E89" s="1049">
        <v>11320</v>
      </c>
      <c r="F89" s="1076"/>
      <c r="H89" s="1074"/>
    </row>
    <row r="90" spans="1:8" s="1043" customFormat="1" ht="14.25" customHeight="1" thickBot="1">
      <c r="A90" s="1055" t="s">
        <v>1397</v>
      </c>
      <c r="B90" s="1049" t="s">
        <v>1210</v>
      </c>
      <c r="C90" s="1049">
        <v>12890</v>
      </c>
      <c r="D90" s="1049">
        <v>12820</v>
      </c>
      <c r="E90" s="1049">
        <v>12710</v>
      </c>
      <c r="F90" s="1076"/>
      <c r="H90" s="1074"/>
    </row>
    <row r="91" spans="1:8" s="1043" customFormat="1" ht="14.25" customHeight="1" thickBot="1">
      <c r="A91" s="1055" t="s">
        <v>1397</v>
      </c>
      <c r="B91" s="1049" t="s">
        <v>1220</v>
      </c>
      <c r="C91" s="1049">
        <v>11410</v>
      </c>
      <c r="D91" s="1049">
        <v>11360</v>
      </c>
      <c r="E91" s="1049">
        <v>12670</v>
      </c>
      <c r="F91" s="1076"/>
      <c r="H91" s="1074"/>
    </row>
    <row r="92" spans="1:8" s="1043" customFormat="1" ht="14.25" customHeight="1" thickBot="1">
      <c r="A92" s="1055" t="s">
        <v>1397</v>
      </c>
      <c r="B92" s="1049" t="s">
        <v>1230</v>
      </c>
      <c r="C92" s="1049">
        <v>12770</v>
      </c>
      <c r="D92" s="1049">
        <v>12740</v>
      </c>
      <c r="E92" s="1049">
        <v>11970</v>
      </c>
      <c r="F92" s="1076"/>
      <c r="H92" s="1074"/>
    </row>
    <row r="93" spans="1:8" s="1043" customFormat="1" ht="14.25" customHeight="1" thickBot="1">
      <c r="A93" s="1055" t="s">
        <v>1397</v>
      </c>
      <c r="B93" s="1049" t="s">
        <v>1240</v>
      </c>
      <c r="C93" s="1049">
        <v>12740</v>
      </c>
      <c r="D93" s="1049">
        <v>12700</v>
      </c>
      <c r="E93" s="1049">
        <v>12540</v>
      </c>
      <c r="F93" s="1076"/>
      <c r="H93" s="1074"/>
    </row>
    <row r="94" spans="1:8" s="1043" customFormat="1" ht="14.25" customHeight="1" thickBot="1">
      <c r="A94" s="1055" t="s">
        <v>1397</v>
      </c>
      <c r="B94" s="1049" t="s">
        <v>1250</v>
      </c>
      <c r="C94" s="1049">
        <v>12020</v>
      </c>
      <c r="D94" s="1049">
        <v>11990</v>
      </c>
      <c r="E94" s="1049">
        <v>13110</v>
      </c>
      <c r="F94" s="1076"/>
      <c r="H94" s="1074"/>
    </row>
    <row r="95" spans="1:8" s="1043" customFormat="1" ht="14.25" customHeight="1" thickBot="1">
      <c r="A95" s="1055" t="s">
        <v>1397</v>
      </c>
      <c r="B95" s="1049" t="s">
        <v>1259</v>
      </c>
      <c r="C95" s="1049">
        <v>12620</v>
      </c>
      <c r="D95" s="1049">
        <v>12580</v>
      </c>
      <c r="E95" s="1049">
        <v>13160</v>
      </c>
      <c r="F95" s="1067"/>
      <c r="H95" s="1074"/>
    </row>
    <row r="96" spans="1:8" s="1043" customFormat="1" ht="14.25" customHeight="1" thickBot="1">
      <c r="A96" s="1055" t="s">
        <v>1397</v>
      </c>
      <c r="B96" s="1049" t="s">
        <v>1268</v>
      </c>
      <c r="C96" s="1049">
        <v>13200</v>
      </c>
      <c r="D96" s="1049">
        <v>13150</v>
      </c>
      <c r="E96" s="1049">
        <v>12900</v>
      </c>
      <c r="F96" s="1067"/>
      <c r="H96" s="1074"/>
    </row>
    <row r="97" spans="1:8" s="1043" customFormat="1" ht="14.25" customHeight="1" thickBot="1">
      <c r="A97" s="1055" t="s">
        <v>1397</v>
      </c>
      <c r="B97" s="1049" t="s">
        <v>1276</v>
      </c>
      <c r="C97" s="1049">
        <v>13270</v>
      </c>
      <c r="D97" s="1049">
        <v>13210</v>
      </c>
      <c r="E97" s="1049">
        <v>11080</v>
      </c>
      <c r="F97" s="1067"/>
      <c r="H97" s="1074"/>
    </row>
    <row r="98" spans="1:8" s="1043" customFormat="1" ht="14.25" customHeight="1" thickBot="1">
      <c r="A98" s="1055" t="s">
        <v>1397</v>
      </c>
      <c r="B98" s="1049" t="s">
        <v>1283</v>
      </c>
      <c r="C98" s="1049">
        <v>13010</v>
      </c>
      <c r="D98" s="1049">
        <v>12930</v>
      </c>
      <c r="E98" s="1049">
        <v>12840</v>
      </c>
      <c r="F98" s="1067"/>
      <c r="H98" s="1074"/>
    </row>
    <row r="99" spans="1:8" s="1043" customFormat="1" ht="14.25" customHeight="1" thickBot="1">
      <c r="A99" s="1055" t="s">
        <v>1397</v>
      </c>
      <c r="B99" s="1049" t="s">
        <v>1290</v>
      </c>
      <c r="C99" s="1049">
        <v>11190</v>
      </c>
      <c r="D99" s="1049">
        <v>11130</v>
      </c>
      <c r="E99" s="1049"/>
      <c r="F99" s="1067"/>
      <c r="H99" s="1074"/>
    </row>
    <row r="100" spans="1:8" s="1043" customFormat="1" ht="14.25" customHeight="1" thickBot="1">
      <c r="A100" s="1055" t="s">
        <v>1397</v>
      </c>
      <c r="B100" s="1049" t="s">
        <v>1297</v>
      </c>
      <c r="C100" s="1049">
        <v>14280</v>
      </c>
      <c r="D100" s="1049">
        <v>14180</v>
      </c>
      <c r="E100" s="1049"/>
      <c r="F100" s="1067"/>
      <c r="H100" s="1074"/>
    </row>
    <row r="101" spans="1:8" s="1043" customFormat="1" ht="14.25" customHeight="1" thickBot="1">
      <c r="A101" s="1055" t="s">
        <v>1397</v>
      </c>
      <c r="B101" s="1049" t="s">
        <v>1304</v>
      </c>
      <c r="C101" s="1049">
        <v>12960</v>
      </c>
      <c r="D101" s="1049">
        <v>12890</v>
      </c>
      <c r="E101" s="1049"/>
      <c r="F101" s="1067"/>
      <c r="H101" s="1074"/>
    </row>
    <row r="102" spans="1:8" s="1043" customFormat="1" ht="14.25" customHeight="1" thickBot="1">
      <c r="A102" s="1055" t="s">
        <v>1397</v>
      </c>
      <c r="B102" s="1049" t="s">
        <v>1311</v>
      </c>
      <c r="C102" s="1049"/>
      <c r="D102" s="1049"/>
      <c r="E102" s="1049"/>
      <c r="F102" s="1067">
        <v>3100</v>
      </c>
      <c r="H102" s="1074"/>
    </row>
    <row r="103" spans="1:8" s="1043" customFormat="1" ht="14.25" customHeight="1" thickBot="1">
      <c r="A103" s="1055" t="s">
        <v>1397</v>
      </c>
      <c r="B103" s="1049" t="s">
        <v>1318</v>
      </c>
      <c r="C103" s="1049"/>
      <c r="D103" s="1049"/>
      <c r="E103" s="1049"/>
      <c r="F103" s="1067">
        <v>2320</v>
      </c>
      <c r="H103" s="1074"/>
    </row>
    <row r="104" spans="1:8" s="1043" customFormat="1" ht="14.25" customHeight="1" thickBot="1">
      <c r="A104" s="1055" t="s">
        <v>1397</v>
      </c>
      <c r="B104" s="1049" t="s">
        <v>1323</v>
      </c>
      <c r="C104" s="1049"/>
      <c r="D104" s="1049"/>
      <c r="E104" s="1049"/>
      <c r="F104" s="1067">
        <v>2320</v>
      </c>
      <c r="H104" s="1074"/>
    </row>
    <row r="105" spans="1:8" s="1043" customFormat="1" ht="14.25" customHeight="1" thickBot="1">
      <c r="A105" s="1055" t="s">
        <v>1397</v>
      </c>
      <c r="B105" s="1049" t="s">
        <v>1327</v>
      </c>
      <c r="C105" s="1049"/>
      <c r="D105" s="1049"/>
      <c r="E105" s="1049"/>
      <c r="F105" s="1067">
        <v>2320</v>
      </c>
      <c r="H105" s="1074"/>
    </row>
    <row r="106" spans="1:8" s="1043" customFormat="1" ht="14.25" customHeight="1" thickBot="1">
      <c r="A106" s="1055" t="s">
        <v>1397</v>
      </c>
      <c r="B106" s="1049" t="s">
        <v>1332</v>
      </c>
      <c r="C106" s="1049"/>
      <c r="D106" s="1049"/>
      <c r="E106" s="1049"/>
      <c r="F106" s="1067">
        <v>2320</v>
      </c>
      <c r="H106" s="1074"/>
    </row>
    <row r="107" spans="1:8" s="1043" customFormat="1" ht="14.25" customHeight="1" thickBot="1">
      <c r="A107" s="1055" t="s">
        <v>1397</v>
      </c>
      <c r="B107" s="1049" t="s">
        <v>1337</v>
      </c>
      <c r="C107" s="1049"/>
      <c r="D107" s="1049"/>
      <c r="E107" s="1049"/>
      <c r="F107" s="1067">
        <v>2280</v>
      </c>
      <c r="H107" s="1074"/>
    </row>
    <row r="108" spans="1:8" s="1043" customFormat="1" ht="14.25" customHeight="1" thickBot="1">
      <c r="A108" s="1055" t="s">
        <v>1397</v>
      </c>
      <c r="B108" s="1049" t="s">
        <v>1342</v>
      </c>
      <c r="C108" s="1049"/>
      <c r="D108" s="1049"/>
      <c r="E108" s="1049"/>
      <c r="F108" s="1067">
        <v>2280</v>
      </c>
      <c r="H108" s="1074"/>
    </row>
    <row r="109" spans="1:8" s="1043" customFormat="1" ht="14.25" customHeight="1" thickBot="1">
      <c r="A109" s="1055" t="s">
        <v>1397</v>
      </c>
      <c r="B109" s="1065" t="s">
        <v>1347</v>
      </c>
      <c r="C109" s="1065"/>
      <c r="D109" s="1065"/>
      <c r="E109" s="1065"/>
      <c r="F109" s="1075">
        <v>2280</v>
      </c>
      <c r="H109" s="1074"/>
    </row>
    <row r="110" spans="1:8" s="1043" customFormat="1" ht="14.25" customHeight="1" thickBot="1">
      <c r="A110" s="1055" t="s">
        <v>1399</v>
      </c>
      <c r="B110" s="1056" t="s">
        <v>1400</v>
      </c>
      <c r="C110" s="1056">
        <v>10520</v>
      </c>
      <c r="D110" s="1056">
        <v>10490</v>
      </c>
      <c r="E110" s="1056">
        <v>10760</v>
      </c>
      <c r="F110" s="1057">
        <v>2160</v>
      </c>
      <c r="H110" s="1074"/>
    </row>
    <row r="111" spans="1:8" s="1043" customFormat="1" ht="14.25" customHeight="1" thickBot="1">
      <c r="A111" s="1055" t="s">
        <v>1399</v>
      </c>
      <c r="B111" s="1049" t="s">
        <v>1065</v>
      </c>
      <c r="C111" s="1049">
        <v>10090</v>
      </c>
      <c r="D111" s="1049">
        <v>10060</v>
      </c>
      <c r="E111" s="1049">
        <v>10300</v>
      </c>
      <c r="F111" s="1067">
        <v>2010</v>
      </c>
      <c r="H111" s="1074"/>
    </row>
    <row r="112" spans="1:8" s="1043" customFormat="1" ht="14.25" customHeight="1" thickBot="1">
      <c r="A112" s="1055" t="s">
        <v>1399</v>
      </c>
      <c r="B112" s="1049" t="s">
        <v>1079</v>
      </c>
      <c r="C112" s="1049">
        <v>9910</v>
      </c>
      <c r="D112" s="1049">
        <v>9850</v>
      </c>
      <c r="E112" s="1049">
        <v>9960</v>
      </c>
      <c r="F112" s="1067">
        <v>2090</v>
      </c>
      <c r="H112" s="1074"/>
    </row>
    <row r="113" spans="1:8" s="1043" customFormat="1" ht="14.25" customHeight="1" thickBot="1">
      <c r="A113" s="1055" t="s">
        <v>1399</v>
      </c>
      <c r="B113" s="1049" t="s">
        <v>1092</v>
      </c>
      <c r="C113" s="1049">
        <v>11430</v>
      </c>
      <c r="D113" s="1049">
        <v>11400</v>
      </c>
      <c r="E113" s="1049">
        <v>11710</v>
      </c>
      <c r="F113" s="1067">
        <v>2050</v>
      </c>
      <c r="H113" s="1074"/>
    </row>
    <row r="114" spans="1:8" s="1043" customFormat="1" ht="14.25" customHeight="1" thickBot="1">
      <c r="A114" s="1055" t="s">
        <v>1399</v>
      </c>
      <c r="B114" s="1049" t="s">
        <v>1106</v>
      </c>
      <c r="C114" s="1049">
        <v>11390</v>
      </c>
      <c r="D114" s="1049">
        <v>11350</v>
      </c>
      <c r="E114" s="1049">
        <v>11640</v>
      </c>
      <c r="F114" s="1067">
        <v>1620</v>
      </c>
      <c r="H114" s="1074"/>
    </row>
    <row r="115" spans="1:8" s="1043" customFormat="1" ht="14.25" customHeight="1" thickBot="1">
      <c r="A115" s="1055" t="s">
        <v>1399</v>
      </c>
      <c r="B115" s="1049" t="s">
        <v>1117</v>
      </c>
      <c r="C115" s="1049">
        <v>9930</v>
      </c>
      <c r="D115" s="1049">
        <v>9900</v>
      </c>
      <c r="E115" s="1049">
        <v>10160</v>
      </c>
      <c r="F115" s="1067">
        <v>1580</v>
      </c>
      <c r="H115" s="1074"/>
    </row>
    <row r="116" spans="1:8" s="1043" customFormat="1" ht="14.25" customHeight="1" thickBot="1">
      <c r="A116" s="1055" t="s">
        <v>1399</v>
      </c>
      <c r="B116" s="1049" t="s">
        <v>1128</v>
      </c>
      <c r="C116" s="1049">
        <v>9150</v>
      </c>
      <c r="D116" s="1049">
        <v>9120</v>
      </c>
      <c r="E116" s="1049">
        <v>9380</v>
      </c>
      <c r="F116" s="1067">
        <v>1750</v>
      </c>
      <c r="H116" s="1074"/>
    </row>
    <row r="117" spans="1:8" s="1043" customFormat="1" ht="14.25" customHeight="1" thickBot="1">
      <c r="A117" s="1055" t="s">
        <v>1399</v>
      </c>
      <c r="B117" s="1049" t="s">
        <v>1139</v>
      </c>
      <c r="C117" s="1049">
        <v>10680</v>
      </c>
      <c r="D117" s="1049">
        <v>10650</v>
      </c>
      <c r="E117" s="1049">
        <v>10970</v>
      </c>
      <c r="F117" s="1067">
        <v>1730</v>
      </c>
      <c r="H117" s="1074"/>
    </row>
    <row r="118" spans="1:8" s="1043" customFormat="1" ht="14.25" customHeight="1" thickBot="1">
      <c r="A118" s="1055" t="s">
        <v>1399</v>
      </c>
      <c r="B118" s="1049" t="s">
        <v>1151</v>
      </c>
      <c r="C118" s="1049">
        <v>10080</v>
      </c>
      <c r="D118" s="1049">
        <v>10050</v>
      </c>
      <c r="E118" s="1049">
        <v>10350</v>
      </c>
      <c r="F118" s="1067">
        <v>1920</v>
      </c>
      <c r="H118" s="1074"/>
    </row>
    <row r="119" spans="1:8" s="1043" customFormat="1" ht="14.25" customHeight="1" thickBot="1">
      <c r="A119" s="1055" t="s">
        <v>1399</v>
      </c>
      <c r="B119" s="1049" t="s">
        <v>1161</v>
      </c>
      <c r="C119" s="1049">
        <v>9450</v>
      </c>
      <c r="D119" s="1049">
        <v>9410</v>
      </c>
      <c r="E119" s="1049">
        <v>9680</v>
      </c>
      <c r="F119" s="1067">
        <v>1880</v>
      </c>
      <c r="H119" s="1074"/>
    </row>
    <row r="120" spans="1:8" s="1043" customFormat="1" ht="14.25" customHeight="1" thickBot="1">
      <c r="A120" s="1055" t="s">
        <v>1399</v>
      </c>
      <c r="B120" s="1049" t="s">
        <v>1171</v>
      </c>
      <c r="C120" s="1049">
        <v>8730</v>
      </c>
      <c r="D120" s="1049">
        <v>8700</v>
      </c>
      <c r="E120" s="1049">
        <v>8950</v>
      </c>
      <c r="F120" s="1067">
        <v>1830</v>
      </c>
      <c r="H120" s="1074"/>
    </row>
    <row r="121" spans="1:8" s="1043" customFormat="1" ht="14.25" customHeight="1" thickBot="1">
      <c r="A121" s="1055" t="s">
        <v>1399</v>
      </c>
      <c r="B121" s="1049" t="s">
        <v>1181</v>
      </c>
      <c r="C121" s="1049">
        <v>10070</v>
      </c>
      <c r="D121" s="1049">
        <v>10040</v>
      </c>
      <c r="E121" s="1049">
        <v>10270</v>
      </c>
      <c r="F121" s="1067">
        <v>1960</v>
      </c>
      <c r="H121" s="1074"/>
    </row>
    <row r="122" spans="1:8" s="1043" customFormat="1" ht="14.25" customHeight="1" thickBot="1">
      <c r="A122" s="1055" t="s">
        <v>1399</v>
      </c>
      <c r="B122" s="1049" t="s">
        <v>1191</v>
      </c>
      <c r="C122" s="1049">
        <v>10500</v>
      </c>
      <c r="D122" s="1049">
        <v>10470</v>
      </c>
      <c r="E122" s="1049">
        <v>10780</v>
      </c>
      <c r="F122" s="1067">
        <v>2180</v>
      </c>
      <c r="H122" s="1074"/>
    </row>
    <row r="123" spans="1:8" s="1043" customFormat="1" ht="14.25" customHeight="1" thickBot="1">
      <c r="A123" s="1055" t="s">
        <v>1399</v>
      </c>
      <c r="B123" s="1049" t="s">
        <v>1201</v>
      </c>
      <c r="C123" s="1049">
        <v>10390</v>
      </c>
      <c r="D123" s="1049">
        <v>10360</v>
      </c>
      <c r="E123" s="1049">
        <v>10660</v>
      </c>
      <c r="F123" s="1067">
        <v>2040</v>
      </c>
      <c r="H123" s="1074"/>
    </row>
    <row r="124" spans="1:8" s="1043" customFormat="1" ht="14.25" customHeight="1" thickBot="1">
      <c r="A124" s="1055" t="s">
        <v>1399</v>
      </c>
      <c r="B124" s="1049" t="s">
        <v>1211</v>
      </c>
      <c r="C124" s="1049">
        <v>10390</v>
      </c>
      <c r="D124" s="1049">
        <v>10360</v>
      </c>
      <c r="E124" s="1049">
        <v>10680</v>
      </c>
      <c r="F124" s="1076"/>
      <c r="H124" s="1074"/>
    </row>
    <row r="125" spans="1:8" s="1043" customFormat="1" ht="14.25" customHeight="1" thickBot="1">
      <c r="A125" s="1055" t="s">
        <v>1399</v>
      </c>
      <c r="B125" s="1049" t="s">
        <v>1221</v>
      </c>
      <c r="C125" s="1049">
        <v>10440</v>
      </c>
      <c r="D125" s="1049">
        <v>10410</v>
      </c>
      <c r="E125" s="1049">
        <v>10710</v>
      </c>
      <c r="F125" s="1076"/>
      <c r="H125" s="1074"/>
    </row>
    <row r="126" spans="1:8" s="1043" customFormat="1" ht="14.25" customHeight="1" thickBot="1">
      <c r="A126" s="1055" t="s">
        <v>1399</v>
      </c>
      <c r="B126" s="1049" t="s">
        <v>1231</v>
      </c>
      <c r="C126" s="1049">
        <v>10780</v>
      </c>
      <c r="D126" s="1049">
        <v>10750</v>
      </c>
      <c r="E126" s="1049">
        <v>11080</v>
      </c>
      <c r="F126" s="1076"/>
      <c r="H126" s="1074"/>
    </row>
    <row r="127" spans="1:8" s="1043" customFormat="1" ht="14.25" customHeight="1" thickBot="1">
      <c r="A127" s="1055" t="s">
        <v>1399</v>
      </c>
      <c r="B127" s="1049" t="s">
        <v>1241</v>
      </c>
      <c r="C127" s="1049">
        <v>10100</v>
      </c>
      <c r="D127" s="1049">
        <v>10070</v>
      </c>
      <c r="E127" s="1049">
        <v>10350</v>
      </c>
      <c r="F127" s="1076"/>
      <c r="H127" s="1074"/>
    </row>
    <row r="128" spans="1:8" s="1043" customFormat="1" ht="14.25" customHeight="1" thickBot="1">
      <c r="A128" s="1055" t="s">
        <v>1399</v>
      </c>
      <c r="B128" s="1049" t="s">
        <v>1251</v>
      </c>
      <c r="C128" s="1049">
        <v>9200</v>
      </c>
      <c r="D128" s="1049">
        <v>9160</v>
      </c>
      <c r="E128" s="1049">
        <v>9660</v>
      </c>
      <c r="F128" s="1076"/>
      <c r="H128" s="1074"/>
    </row>
    <row r="129" spans="1:8" s="1043" customFormat="1" ht="14.25" customHeight="1" thickBot="1">
      <c r="A129" s="1055" t="s">
        <v>1399</v>
      </c>
      <c r="B129" s="1049" t="s">
        <v>1260</v>
      </c>
      <c r="C129" s="1049">
        <v>10340</v>
      </c>
      <c r="D129" s="1049">
        <v>10310</v>
      </c>
      <c r="E129" s="1049">
        <v>10580</v>
      </c>
      <c r="F129" s="1076"/>
      <c r="H129" s="1074"/>
    </row>
    <row r="130" spans="1:8" s="1043" customFormat="1" ht="14.25" customHeight="1" thickBot="1">
      <c r="A130" s="1055" t="s">
        <v>1399</v>
      </c>
      <c r="B130" s="1049" t="s">
        <v>1269</v>
      </c>
      <c r="C130" s="1049">
        <v>9680</v>
      </c>
      <c r="D130" s="1049">
        <v>9660</v>
      </c>
      <c r="E130" s="1049">
        <v>9950</v>
      </c>
      <c r="F130" s="1076"/>
      <c r="H130" s="1074"/>
    </row>
    <row r="131" spans="1:8" s="1043" customFormat="1" ht="14.25" customHeight="1" thickBot="1">
      <c r="A131" s="1055" t="s">
        <v>1399</v>
      </c>
      <c r="B131" s="1049" t="s">
        <v>1277</v>
      </c>
      <c r="C131" s="1049">
        <v>9540</v>
      </c>
      <c r="D131" s="1049">
        <v>9510</v>
      </c>
      <c r="E131" s="1049">
        <v>9790</v>
      </c>
      <c r="F131" s="1076"/>
      <c r="H131" s="1074"/>
    </row>
    <row r="132" spans="1:8" s="1043" customFormat="1" ht="14.25" customHeight="1" thickBot="1">
      <c r="A132" s="1055" t="s">
        <v>1399</v>
      </c>
      <c r="B132" s="1049" t="s">
        <v>1284</v>
      </c>
      <c r="C132" s="1049">
        <v>9320</v>
      </c>
      <c r="D132" s="1049">
        <v>9290</v>
      </c>
      <c r="E132" s="1049">
        <v>9570</v>
      </c>
      <c r="F132" s="1076"/>
      <c r="H132" s="1074"/>
    </row>
    <row r="133" spans="1:8" s="1043" customFormat="1" ht="14.25" customHeight="1" thickBot="1">
      <c r="A133" s="1055" t="s">
        <v>1399</v>
      </c>
      <c r="B133" s="1049" t="s">
        <v>1291</v>
      </c>
      <c r="C133" s="1049">
        <v>10310</v>
      </c>
      <c r="D133" s="1049">
        <v>10280</v>
      </c>
      <c r="E133" s="1049">
        <v>10530</v>
      </c>
      <c r="F133" s="1076"/>
      <c r="H133" s="1074"/>
    </row>
    <row r="134" spans="1:8" s="1043" customFormat="1" ht="14.25" customHeight="1" thickBot="1">
      <c r="A134" s="1055" t="s">
        <v>1399</v>
      </c>
      <c r="B134" s="1049" t="s">
        <v>1298</v>
      </c>
      <c r="C134" s="1049">
        <v>10370</v>
      </c>
      <c r="D134" s="1049">
        <v>10310</v>
      </c>
      <c r="E134" s="1049">
        <v>10240</v>
      </c>
      <c r="F134" s="1067">
        <v>2060</v>
      </c>
      <c r="H134" s="1074"/>
    </row>
    <row r="135" spans="1:8" s="1043" customFormat="1" ht="14.25" customHeight="1" thickBot="1">
      <c r="A135" s="1055" t="s">
        <v>1399</v>
      </c>
      <c r="B135" s="1049" t="s">
        <v>1305</v>
      </c>
      <c r="C135" s="1049">
        <v>9300</v>
      </c>
      <c r="D135" s="1049">
        <v>9270</v>
      </c>
      <c r="E135" s="1049">
        <v>9350</v>
      </c>
      <c r="F135" s="1076"/>
      <c r="H135" s="1074"/>
    </row>
    <row r="136" spans="1:8" s="1043" customFormat="1" ht="14.25" customHeight="1" thickBot="1">
      <c r="A136" s="1055" t="s">
        <v>1399</v>
      </c>
      <c r="B136" s="1049" t="s">
        <v>1312</v>
      </c>
      <c r="C136" s="1049">
        <v>10160</v>
      </c>
      <c r="D136" s="1049">
        <v>10110</v>
      </c>
      <c r="E136" s="1049">
        <v>10080</v>
      </c>
      <c r="F136" s="1076"/>
      <c r="H136" s="1074"/>
    </row>
    <row r="137" spans="1:8" s="1043" customFormat="1" ht="14.25" customHeight="1" thickBot="1">
      <c r="A137" s="1055" t="s">
        <v>1399</v>
      </c>
      <c r="B137" s="1049" t="s">
        <v>1319</v>
      </c>
      <c r="C137" s="1049">
        <v>9200</v>
      </c>
      <c r="D137" s="1049">
        <v>9170</v>
      </c>
      <c r="E137" s="1049">
        <v>9450</v>
      </c>
      <c r="F137" s="1076"/>
      <c r="H137" s="1074"/>
    </row>
    <row r="138" spans="1:8" s="1043" customFormat="1" ht="14.25" customHeight="1" thickBot="1">
      <c r="A138" s="1055" t="s">
        <v>1399</v>
      </c>
      <c r="B138" s="1049" t="s">
        <v>1324</v>
      </c>
      <c r="C138" s="1049">
        <v>9690</v>
      </c>
      <c r="D138" s="1049">
        <v>9660</v>
      </c>
      <c r="E138" s="1049">
        <v>9840</v>
      </c>
      <c r="F138" s="1076"/>
      <c r="H138" s="1074"/>
    </row>
    <row r="139" spans="1:8" s="1043" customFormat="1" ht="14.25" customHeight="1" thickBot="1">
      <c r="A139" s="1055" t="s">
        <v>1399</v>
      </c>
      <c r="B139" s="1049" t="s">
        <v>1328</v>
      </c>
      <c r="C139" s="1049">
        <v>10290</v>
      </c>
      <c r="D139" s="1049">
        <v>10260</v>
      </c>
      <c r="E139" s="1049">
        <v>10550</v>
      </c>
      <c r="F139" s="1067">
        <v>1700</v>
      </c>
      <c r="H139" s="1074"/>
    </row>
    <row r="140" spans="1:8" s="1043" customFormat="1" ht="14.25" customHeight="1" thickBot="1">
      <c r="A140" s="1055" t="s">
        <v>1399</v>
      </c>
      <c r="B140" s="1049" t="s">
        <v>1333</v>
      </c>
      <c r="C140" s="1049">
        <v>9740</v>
      </c>
      <c r="D140" s="1049">
        <v>9710</v>
      </c>
      <c r="E140" s="1049">
        <v>10000</v>
      </c>
      <c r="F140" s="1067">
        <v>2000</v>
      </c>
      <c r="H140" s="1074"/>
    </row>
    <row r="141" spans="1:8" s="1043" customFormat="1" ht="14.25" customHeight="1" thickBot="1">
      <c r="A141" s="1055" t="s">
        <v>1399</v>
      </c>
      <c r="B141" s="1049" t="s">
        <v>1338</v>
      </c>
      <c r="C141" s="1049">
        <v>9810</v>
      </c>
      <c r="D141" s="1049">
        <v>9770</v>
      </c>
      <c r="E141" s="1049">
        <v>10060</v>
      </c>
      <c r="F141" s="1076"/>
      <c r="H141" s="1074"/>
    </row>
    <row r="142" spans="1:8" s="1043" customFormat="1" ht="14.25" customHeight="1" thickBot="1">
      <c r="A142" s="1055" t="s">
        <v>1399</v>
      </c>
      <c r="B142" s="1049" t="s">
        <v>1343</v>
      </c>
      <c r="C142" s="1049">
        <v>9300</v>
      </c>
      <c r="D142" s="1049">
        <v>9270</v>
      </c>
      <c r="E142" s="1049">
        <v>9530</v>
      </c>
      <c r="F142" s="1076"/>
      <c r="H142" s="1074"/>
    </row>
    <row r="143" spans="1:8" s="1043" customFormat="1" ht="14.25" customHeight="1" thickBot="1">
      <c r="A143" s="1055" t="s">
        <v>1399</v>
      </c>
      <c r="B143" s="1049" t="s">
        <v>1348</v>
      </c>
      <c r="C143" s="1049">
        <v>10080</v>
      </c>
      <c r="D143" s="1049">
        <v>10050</v>
      </c>
      <c r="E143" s="1049">
        <v>10340</v>
      </c>
      <c r="F143" s="1076"/>
      <c r="H143" s="1074"/>
    </row>
    <row r="144" spans="1:8" s="1043" customFormat="1" ht="14.25" customHeight="1" thickBot="1">
      <c r="A144" s="1055" t="s">
        <v>1399</v>
      </c>
      <c r="B144" s="1049" t="s">
        <v>1352</v>
      </c>
      <c r="C144" s="1049">
        <v>9820</v>
      </c>
      <c r="D144" s="1049">
        <v>9750</v>
      </c>
      <c r="E144" s="1049">
        <v>9900</v>
      </c>
      <c r="F144" s="1076"/>
      <c r="H144" s="1074"/>
    </row>
    <row r="145" spans="1:8" s="1043" customFormat="1" ht="14.25" customHeight="1" thickBot="1">
      <c r="A145" s="1055" t="s">
        <v>1399</v>
      </c>
      <c r="B145" s="1049" t="s">
        <v>1356</v>
      </c>
      <c r="C145" s="1049"/>
      <c r="D145" s="1049"/>
      <c r="E145" s="1049"/>
      <c r="F145" s="1067">
        <v>1740</v>
      </c>
      <c r="H145" s="1074"/>
    </row>
    <row r="146" spans="1:8" s="1043" customFormat="1" ht="14.25" customHeight="1" thickBot="1">
      <c r="A146" s="1055" t="s">
        <v>1399</v>
      </c>
      <c r="B146" s="1049" t="s">
        <v>1360</v>
      </c>
      <c r="C146" s="1049"/>
      <c r="D146" s="1049"/>
      <c r="E146" s="1049"/>
      <c r="F146" s="1067">
        <v>1740</v>
      </c>
      <c r="H146" s="1074"/>
    </row>
    <row r="147" spans="1:8" s="1043" customFormat="1" ht="14.25" customHeight="1" thickBot="1">
      <c r="A147" s="1055" t="s">
        <v>1399</v>
      </c>
      <c r="B147" s="1049" t="s">
        <v>1364</v>
      </c>
      <c r="C147" s="1049"/>
      <c r="D147" s="1049"/>
      <c r="E147" s="1049"/>
      <c r="F147" s="1067">
        <v>1740</v>
      </c>
      <c r="H147" s="1074"/>
    </row>
    <row r="148" spans="1:8" s="1043" customFormat="1" ht="14.25" customHeight="1" thickBot="1">
      <c r="A148" s="1055" t="s">
        <v>1399</v>
      </c>
      <c r="B148" s="1049" t="s">
        <v>1368</v>
      </c>
      <c r="C148" s="1049"/>
      <c r="D148" s="1049"/>
      <c r="E148" s="1049"/>
      <c r="F148" s="1067">
        <v>1740</v>
      </c>
      <c r="H148" s="1074"/>
    </row>
    <row r="149" spans="1:8" s="1043" customFormat="1" ht="14.25" customHeight="1" thickBot="1">
      <c r="A149" s="1055" t="s">
        <v>1399</v>
      </c>
      <c r="B149" s="1049" t="s">
        <v>1372</v>
      </c>
      <c r="C149" s="1049"/>
      <c r="D149" s="1049"/>
      <c r="E149" s="1049"/>
      <c r="F149" s="1067">
        <v>1740</v>
      </c>
      <c r="H149" s="1074"/>
    </row>
    <row r="150" spans="1:8" s="1043" customFormat="1" ht="14.25" customHeight="1" thickBot="1">
      <c r="A150" s="1055" t="s">
        <v>1399</v>
      </c>
      <c r="B150" s="1049" t="s">
        <v>1375</v>
      </c>
      <c r="C150" s="1049"/>
      <c r="D150" s="1049"/>
      <c r="E150" s="1049"/>
      <c r="F150" s="1067">
        <v>1610</v>
      </c>
      <c r="H150" s="1074"/>
    </row>
    <row r="151" spans="1:8" s="1043" customFormat="1" ht="14.25" customHeight="1" thickBot="1">
      <c r="A151" s="1055" t="s">
        <v>1399</v>
      </c>
      <c r="B151" s="1049" t="s">
        <v>1378</v>
      </c>
      <c r="C151" s="1049"/>
      <c r="D151" s="1049"/>
      <c r="E151" s="1049"/>
      <c r="F151" s="1067">
        <v>1610</v>
      </c>
      <c r="H151" s="1074"/>
    </row>
    <row r="152" spans="1:8" s="1043" customFormat="1" ht="14.25" customHeight="1" thickBot="1">
      <c r="A152" s="1055" t="s">
        <v>1399</v>
      </c>
      <c r="B152" s="1049" t="s">
        <v>1381</v>
      </c>
      <c r="C152" s="1049"/>
      <c r="D152" s="1049"/>
      <c r="E152" s="1049"/>
      <c r="F152" s="1067">
        <v>1610</v>
      </c>
      <c r="H152" s="1074"/>
    </row>
    <row r="153" spans="1:8" s="1043" customFormat="1" ht="14.25" customHeight="1" thickBot="1">
      <c r="A153" s="1055" t="s">
        <v>1399</v>
      </c>
      <c r="B153" s="1049" t="s">
        <v>1384</v>
      </c>
      <c r="C153" s="1049"/>
      <c r="D153" s="1049"/>
      <c r="E153" s="1049"/>
      <c r="F153" s="1067">
        <v>1610</v>
      </c>
      <c r="H153" s="1074"/>
    </row>
    <row r="154" spans="1:8" s="1043" customFormat="1" ht="14.25" customHeight="1" thickBot="1">
      <c r="A154" s="1055" t="s">
        <v>1399</v>
      </c>
      <c r="B154" s="1049" t="s">
        <v>1387</v>
      </c>
      <c r="C154" s="1049"/>
      <c r="D154" s="1049"/>
      <c r="E154" s="1049"/>
      <c r="F154" s="1067">
        <v>1610</v>
      </c>
      <c r="H154" s="1074"/>
    </row>
    <row r="155" spans="1:8" s="1043" customFormat="1" ht="14.25" customHeight="1" thickBot="1">
      <c r="A155" s="1055" t="s">
        <v>1399</v>
      </c>
      <c r="B155" s="1049" t="s">
        <v>1390</v>
      </c>
      <c r="C155" s="1049"/>
      <c r="D155" s="1049"/>
      <c r="E155" s="1049"/>
      <c r="F155" s="1067">
        <v>1800</v>
      </c>
      <c r="H155" s="1074"/>
    </row>
    <row r="156" spans="1:8" s="1043" customFormat="1" ht="14.25" customHeight="1" thickBot="1">
      <c r="A156" s="1055" t="s">
        <v>1399</v>
      </c>
      <c r="B156" s="1049" t="s">
        <v>1392</v>
      </c>
      <c r="C156" s="1049"/>
      <c r="D156" s="1049"/>
      <c r="E156" s="1049"/>
      <c r="F156" s="1067">
        <v>1910</v>
      </c>
      <c r="H156" s="1074"/>
    </row>
    <row r="157" spans="1:8" s="1043" customFormat="1" ht="14.25" customHeight="1" thickBot="1">
      <c r="A157" s="1055" t="s">
        <v>1399</v>
      </c>
      <c r="B157" s="1065" t="s">
        <v>1395</v>
      </c>
      <c r="C157" s="1065"/>
      <c r="D157" s="1065"/>
      <c r="E157" s="1065"/>
      <c r="F157" s="1075">
        <v>1500</v>
      </c>
      <c r="H157" s="1074"/>
    </row>
    <row r="158" spans="1:8" s="1043" customFormat="1" ht="14.25" customHeight="1" thickBot="1">
      <c r="A158" s="1055" t="s">
        <v>1401</v>
      </c>
      <c r="B158" s="1056" t="s">
        <v>1402</v>
      </c>
      <c r="C158" s="1056">
        <v>8170</v>
      </c>
      <c r="D158" s="1056">
        <v>8140</v>
      </c>
      <c r="E158" s="1056">
        <v>8590</v>
      </c>
      <c r="F158" s="1057">
        <v>1450</v>
      </c>
      <c r="H158" s="1074"/>
    </row>
    <row r="159" spans="1:8" s="1043" customFormat="1" ht="14.25" customHeight="1" thickBot="1">
      <c r="A159" s="1055" t="s">
        <v>1401</v>
      </c>
      <c r="B159" s="1049" t="s">
        <v>1066</v>
      </c>
      <c r="C159" s="1049">
        <v>7410</v>
      </c>
      <c r="D159" s="1049">
        <v>7370</v>
      </c>
      <c r="E159" s="1049">
        <v>8030</v>
      </c>
      <c r="F159" s="1067">
        <v>1510</v>
      </c>
      <c r="H159" s="1074"/>
    </row>
    <row r="160" spans="1:8" s="1043" customFormat="1" ht="14.25" customHeight="1" thickBot="1">
      <c r="A160" s="1055" t="s">
        <v>1401</v>
      </c>
      <c r="B160" s="1049" t="s">
        <v>1080</v>
      </c>
      <c r="C160" s="1049">
        <v>7240</v>
      </c>
      <c r="D160" s="1049">
        <v>7210</v>
      </c>
      <c r="E160" s="1049">
        <v>7860</v>
      </c>
      <c r="F160" s="1067">
        <v>1370</v>
      </c>
      <c r="H160" s="1074"/>
    </row>
    <row r="161" spans="1:8" s="1043" customFormat="1" ht="14.25" customHeight="1" thickBot="1">
      <c r="A161" s="1055" t="s">
        <v>1401</v>
      </c>
      <c r="B161" s="1049" t="s">
        <v>1093</v>
      </c>
      <c r="C161" s="1049">
        <v>7720</v>
      </c>
      <c r="D161" s="1049">
        <v>7690</v>
      </c>
      <c r="E161" s="1049">
        <v>8200</v>
      </c>
      <c r="F161" s="1067">
        <v>1190</v>
      </c>
      <c r="H161" s="1074"/>
    </row>
    <row r="162" spans="1:8" s="1043" customFormat="1" ht="14.25" customHeight="1" thickBot="1">
      <c r="A162" s="1055" t="s">
        <v>1401</v>
      </c>
      <c r="B162" s="1049" t="s">
        <v>1107</v>
      </c>
      <c r="C162" s="1049">
        <v>6900</v>
      </c>
      <c r="D162" s="1049">
        <v>6870</v>
      </c>
      <c r="E162" s="1049">
        <v>7500</v>
      </c>
      <c r="F162" s="1067">
        <v>1390</v>
      </c>
      <c r="H162" s="1074"/>
    </row>
    <row r="163" spans="1:8" s="1043" customFormat="1" ht="14.25" customHeight="1" thickBot="1">
      <c r="A163" s="1055" t="s">
        <v>1401</v>
      </c>
      <c r="B163" s="1049" t="s">
        <v>1118</v>
      </c>
      <c r="C163" s="1049">
        <v>7120</v>
      </c>
      <c r="D163" s="1049">
        <v>7090</v>
      </c>
      <c r="E163" s="1049">
        <v>7690</v>
      </c>
      <c r="F163" s="1067">
        <v>1230</v>
      </c>
      <c r="H163" s="1074"/>
    </row>
    <row r="164" spans="1:8" s="1043" customFormat="1" ht="14.25" customHeight="1" thickBot="1">
      <c r="A164" s="1055" t="s">
        <v>1401</v>
      </c>
      <c r="B164" s="1049" t="s">
        <v>1129</v>
      </c>
      <c r="C164" s="1049">
        <v>6560</v>
      </c>
      <c r="D164" s="1049">
        <v>6530</v>
      </c>
      <c r="E164" s="1049">
        <v>7110</v>
      </c>
      <c r="F164" s="1067">
        <v>1340</v>
      </c>
      <c r="H164" s="1074"/>
    </row>
    <row r="165" spans="1:8" s="1043" customFormat="1" ht="14.25" customHeight="1" thickBot="1">
      <c r="A165" s="1055" t="s">
        <v>1401</v>
      </c>
      <c r="B165" s="1049" t="s">
        <v>1140</v>
      </c>
      <c r="C165" s="1049">
        <v>7450</v>
      </c>
      <c r="D165" s="1049">
        <v>7430</v>
      </c>
      <c r="E165" s="1049">
        <v>8110</v>
      </c>
      <c r="F165" s="1067">
        <v>1290</v>
      </c>
      <c r="H165" s="1074"/>
    </row>
    <row r="166" spans="1:8" s="1043" customFormat="1" ht="14.25" customHeight="1" thickBot="1">
      <c r="A166" s="1055" t="s">
        <v>1401</v>
      </c>
      <c r="B166" s="1049" t="s">
        <v>1152</v>
      </c>
      <c r="C166" s="1049">
        <v>7490</v>
      </c>
      <c r="D166" s="1049">
        <v>7460</v>
      </c>
      <c r="E166" s="1049">
        <v>8150</v>
      </c>
      <c r="F166" s="1067">
        <v>1350</v>
      </c>
      <c r="H166" s="1074"/>
    </row>
    <row r="167" spans="1:8" s="1043" customFormat="1" ht="14.25" customHeight="1" thickBot="1">
      <c r="A167" s="1055" t="s">
        <v>1401</v>
      </c>
      <c r="B167" s="1049" t="s">
        <v>1162</v>
      </c>
      <c r="C167" s="1049">
        <v>7540</v>
      </c>
      <c r="D167" s="1049">
        <v>7510</v>
      </c>
      <c r="E167" s="1049">
        <v>8030</v>
      </c>
      <c r="F167" s="1076"/>
      <c r="H167" s="1074"/>
    </row>
    <row r="168" spans="1:8" s="1043" customFormat="1" ht="14.25" customHeight="1" thickBot="1">
      <c r="A168" s="1055" t="s">
        <v>1401</v>
      </c>
      <c r="B168" s="1049" t="s">
        <v>1172</v>
      </c>
      <c r="C168" s="1049">
        <v>7210</v>
      </c>
      <c r="D168" s="1049">
        <v>7180</v>
      </c>
      <c r="E168" s="1049">
        <v>7830</v>
      </c>
      <c r="F168" s="1076"/>
      <c r="H168" s="1074"/>
    </row>
    <row r="169" spans="1:8" s="1043" customFormat="1" ht="14.25" customHeight="1" thickBot="1">
      <c r="A169" s="1055" t="s">
        <v>1401</v>
      </c>
      <c r="B169" s="1049" t="s">
        <v>1182</v>
      </c>
      <c r="C169" s="1049">
        <v>7040</v>
      </c>
      <c r="D169" s="1049">
        <v>7020</v>
      </c>
      <c r="E169" s="1049">
        <v>7670</v>
      </c>
      <c r="F169" s="1076"/>
      <c r="H169" s="1074"/>
    </row>
    <row r="170" spans="1:8" s="1043" customFormat="1" ht="14.25" customHeight="1" thickBot="1">
      <c r="A170" s="1055" t="s">
        <v>1401</v>
      </c>
      <c r="B170" s="1049" t="s">
        <v>1192</v>
      </c>
      <c r="C170" s="1049">
        <v>8040</v>
      </c>
      <c r="D170" s="1049">
        <v>7190</v>
      </c>
      <c r="E170" s="1049">
        <v>7850</v>
      </c>
      <c r="F170" s="1076"/>
      <c r="H170" s="1074"/>
    </row>
    <row r="171" spans="1:8" s="1043" customFormat="1" ht="14.25" customHeight="1" thickBot="1">
      <c r="A171" s="1055" t="s">
        <v>1401</v>
      </c>
      <c r="B171" s="1049" t="s">
        <v>1202</v>
      </c>
      <c r="C171" s="1049">
        <v>7860</v>
      </c>
      <c r="D171" s="1049">
        <v>7720</v>
      </c>
      <c r="E171" s="1049">
        <v>8150</v>
      </c>
      <c r="F171" s="1067">
        <v>1110</v>
      </c>
      <c r="H171" s="1074"/>
    </row>
    <row r="172" spans="1:8" s="1043" customFormat="1" ht="14.25" customHeight="1" thickBot="1">
      <c r="A172" s="1055" t="s">
        <v>1401</v>
      </c>
      <c r="B172" s="1049" t="s">
        <v>1212</v>
      </c>
      <c r="C172" s="1049">
        <v>7210</v>
      </c>
      <c r="D172" s="1049">
        <v>7170</v>
      </c>
      <c r="E172" s="1049">
        <v>7320</v>
      </c>
      <c r="F172" s="1076"/>
      <c r="H172" s="1074"/>
    </row>
    <row r="173" spans="1:8" s="1043" customFormat="1" ht="14.25" customHeight="1" thickBot="1">
      <c r="A173" s="1055" t="s">
        <v>1401</v>
      </c>
      <c r="B173" s="1049" t="s">
        <v>1222</v>
      </c>
      <c r="C173" s="1049">
        <v>6860</v>
      </c>
      <c r="D173" s="1049">
        <v>6810</v>
      </c>
      <c r="E173" s="1049">
        <v>7440</v>
      </c>
      <c r="F173" s="1076"/>
      <c r="H173" s="1074"/>
    </row>
    <row r="174" spans="1:8" s="1043" customFormat="1" ht="14.25" customHeight="1" thickBot="1">
      <c r="A174" s="1055" t="s">
        <v>1401</v>
      </c>
      <c r="B174" s="1049" t="s">
        <v>1232</v>
      </c>
      <c r="C174" s="1049">
        <v>7120</v>
      </c>
      <c r="D174" s="1049">
        <v>7090</v>
      </c>
      <c r="E174" s="1049">
        <v>7500</v>
      </c>
      <c r="F174" s="1067">
        <v>1490</v>
      </c>
      <c r="H174" s="1074"/>
    </row>
    <row r="175" spans="1:8" s="1043" customFormat="1" ht="14.25" customHeight="1" thickBot="1">
      <c r="A175" s="1055" t="s">
        <v>1401</v>
      </c>
      <c r="B175" s="1049" t="s">
        <v>1242</v>
      </c>
      <c r="C175" s="1049">
        <v>7850</v>
      </c>
      <c r="D175" s="1049">
        <v>7820</v>
      </c>
      <c r="E175" s="1049">
        <v>8120</v>
      </c>
      <c r="F175" s="1067">
        <v>1530</v>
      </c>
      <c r="H175" s="1074"/>
    </row>
    <row r="176" spans="1:8" s="1043" customFormat="1" ht="14.25" customHeight="1" thickBot="1">
      <c r="A176" s="1055" t="s">
        <v>1401</v>
      </c>
      <c r="B176" s="1049" t="s">
        <v>1252</v>
      </c>
      <c r="C176" s="1049">
        <v>7620</v>
      </c>
      <c r="D176" s="1049">
        <v>7570</v>
      </c>
      <c r="E176" s="1049">
        <v>7990</v>
      </c>
      <c r="F176" s="1067">
        <v>1480</v>
      </c>
      <c r="H176" s="1074"/>
    </row>
    <row r="177" spans="1:8" s="1043" customFormat="1" ht="14.25" customHeight="1" thickBot="1">
      <c r="A177" s="1055" t="s">
        <v>1401</v>
      </c>
      <c r="B177" s="1049" t="s">
        <v>1261</v>
      </c>
      <c r="C177" s="1049">
        <v>8590</v>
      </c>
      <c r="D177" s="1049">
        <v>8570</v>
      </c>
      <c r="E177" s="1049">
        <v>8740</v>
      </c>
      <c r="F177" s="1067">
        <v>1540</v>
      </c>
      <c r="H177" s="1074"/>
    </row>
    <row r="178" spans="1:8" s="1043" customFormat="1" ht="14.25" customHeight="1" thickBot="1">
      <c r="A178" s="1055" t="s">
        <v>1401</v>
      </c>
      <c r="B178" s="1049" t="s">
        <v>1270</v>
      </c>
      <c r="C178" s="1049">
        <v>7510</v>
      </c>
      <c r="D178" s="1049">
        <v>7470</v>
      </c>
      <c r="E178" s="1049">
        <v>8090</v>
      </c>
      <c r="F178" s="1067">
        <v>1320</v>
      </c>
      <c r="H178" s="1074"/>
    </row>
    <row r="179" spans="1:8" s="1043" customFormat="1" ht="14.25" customHeight="1" thickBot="1">
      <c r="A179" s="1055" t="s">
        <v>1401</v>
      </c>
      <c r="B179" s="1049" t="s">
        <v>1278</v>
      </c>
      <c r="C179" s="1049">
        <v>6380</v>
      </c>
      <c r="D179" s="1049">
        <v>6340</v>
      </c>
      <c r="E179" s="1049">
        <v>6810</v>
      </c>
      <c r="F179" s="1076"/>
      <c r="H179" s="1074"/>
    </row>
    <row r="180" spans="1:8" s="1043" customFormat="1" ht="14.25" customHeight="1" thickBot="1">
      <c r="A180" s="1055" t="s">
        <v>1401</v>
      </c>
      <c r="B180" s="1049" t="s">
        <v>1285</v>
      </c>
      <c r="C180" s="1049">
        <v>7830</v>
      </c>
      <c r="D180" s="1049">
        <v>7800</v>
      </c>
      <c r="E180" s="1049">
        <v>7780</v>
      </c>
      <c r="F180" s="1067">
        <v>1440</v>
      </c>
      <c r="H180" s="1074"/>
    </row>
    <row r="181" spans="1:8" s="1043" customFormat="1" ht="14.25" customHeight="1" thickBot="1">
      <c r="A181" s="1055" t="s">
        <v>1401</v>
      </c>
      <c r="B181" s="1049" t="s">
        <v>1292</v>
      </c>
      <c r="C181" s="1049">
        <v>7110</v>
      </c>
      <c r="D181" s="1049">
        <v>7080</v>
      </c>
      <c r="E181" s="1049">
        <v>7730</v>
      </c>
      <c r="F181" s="1067">
        <v>1350</v>
      </c>
      <c r="H181" s="1074"/>
    </row>
    <row r="182" spans="1:8" s="1043" customFormat="1" ht="14.25" customHeight="1" thickBot="1">
      <c r="A182" s="1055" t="s">
        <v>1401</v>
      </c>
      <c r="B182" s="1049" t="s">
        <v>1299</v>
      </c>
      <c r="C182" s="1049">
        <v>7310</v>
      </c>
      <c r="D182" s="1049">
        <v>7280</v>
      </c>
      <c r="E182" s="1049">
        <v>7950</v>
      </c>
      <c r="F182" s="1067">
        <v>1220</v>
      </c>
      <c r="H182" s="1074"/>
    </row>
    <row r="183" spans="1:8" s="1043" customFormat="1" ht="14.25" customHeight="1" thickBot="1">
      <c r="A183" s="1055" t="s">
        <v>1401</v>
      </c>
      <c r="B183" s="1049" t="s">
        <v>1306</v>
      </c>
      <c r="C183" s="1049">
        <v>7470</v>
      </c>
      <c r="D183" s="1049">
        <v>7440</v>
      </c>
      <c r="E183" s="1049">
        <v>7880</v>
      </c>
      <c r="F183" s="1076"/>
      <c r="H183" s="1074"/>
    </row>
    <row r="184" spans="1:8" s="1043" customFormat="1" ht="14.25" customHeight="1" thickBot="1">
      <c r="A184" s="1055" t="s">
        <v>1401</v>
      </c>
      <c r="B184" s="1049" t="s">
        <v>1313</v>
      </c>
      <c r="C184" s="1049">
        <v>6960</v>
      </c>
      <c r="D184" s="1049">
        <v>6930</v>
      </c>
      <c r="E184" s="1049">
        <v>7570</v>
      </c>
      <c r="F184" s="1076"/>
      <c r="H184" s="1074"/>
    </row>
    <row r="185" spans="1:8" s="1043" customFormat="1" ht="14.25" customHeight="1" thickBot="1">
      <c r="A185" s="1055" t="s">
        <v>1401</v>
      </c>
      <c r="B185" s="1049" t="s">
        <v>1320</v>
      </c>
      <c r="C185" s="1049">
        <v>7260</v>
      </c>
      <c r="D185" s="1049">
        <v>7230</v>
      </c>
      <c r="E185" s="1049">
        <v>7710</v>
      </c>
      <c r="F185" s="1067">
        <v>1360</v>
      </c>
      <c r="H185" s="1074"/>
    </row>
    <row r="186" spans="1:8" s="1043" customFormat="1" ht="14.25" customHeight="1" thickBot="1">
      <c r="A186" s="1055" t="s">
        <v>1401</v>
      </c>
      <c r="B186" s="1049" t="s">
        <v>1325</v>
      </c>
      <c r="C186" s="1049"/>
      <c r="D186" s="1049"/>
      <c r="E186" s="1049"/>
      <c r="F186" s="1067">
        <v>1560</v>
      </c>
      <c r="H186" s="1074"/>
    </row>
    <row r="187" spans="1:8" s="1043" customFormat="1" ht="14.25" customHeight="1" thickBot="1">
      <c r="A187" s="1055" t="s">
        <v>1401</v>
      </c>
      <c r="B187" s="1049" t="s">
        <v>1329</v>
      </c>
      <c r="C187" s="1049"/>
      <c r="D187" s="1049"/>
      <c r="E187" s="1049"/>
      <c r="F187" s="1067">
        <v>1560</v>
      </c>
      <c r="H187" s="1074"/>
    </row>
    <row r="188" spans="1:8" s="1043" customFormat="1" ht="14.25" customHeight="1" thickBot="1">
      <c r="A188" s="1055" t="s">
        <v>1401</v>
      </c>
      <c r="B188" s="1049" t="s">
        <v>1334</v>
      </c>
      <c r="C188" s="1049"/>
      <c r="D188" s="1049"/>
      <c r="E188" s="1049"/>
      <c r="F188" s="1067">
        <v>1560</v>
      </c>
      <c r="H188" s="1074"/>
    </row>
    <row r="189" spans="1:8" s="1043" customFormat="1" ht="14.25" customHeight="1" thickBot="1">
      <c r="A189" s="1055" t="s">
        <v>1401</v>
      </c>
      <c r="B189" s="1049" t="s">
        <v>1339</v>
      </c>
      <c r="C189" s="1049"/>
      <c r="D189" s="1049"/>
      <c r="E189" s="1049"/>
      <c r="F189" s="1067">
        <v>1320</v>
      </c>
      <c r="H189" s="1074"/>
    </row>
    <row r="190" spans="1:8" s="1043" customFormat="1" ht="14.25" customHeight="1" thickBot="1">
      <c r="A190" s="1055" t="s">
        <v>1401</v>
      </c>
      <c r="B190" s="1049" t="s">
        <v>1344</v>
      </c>
      <c r="C190" s="1049"/>
      <c r="D190" s="1049"/>
      <c r="E190" s="1049"/>
      <c r="F190" s="1067">
        <v>1320</v>
      </c>
      <c r="H190" s="1074"/>
    </row>
    <row r="191" spans="1:8" s="1043" customFormat="1" ht="14.25" customHeight="1" thickBot="1">
      <c r="A191" s="1055" t="s">
        <v>1401</v>
      </c>
      <c r="B191" s="1049" t="s">
        <v>1349</v>
      </c>
      <c r="C191" s="1049"/>
      <c r="D191" s="1049"/>
      <c r="E191" s="1049"/>
      <c r="F191" s="1067">
        <v>1320</v>
      </c>
      <c r="H191" s="1074"/>
    </row>
    <row r="192" spans="1:8" s="1043" customFormat="1" ht="14.25" customHeight="1" thickBot="1">
      <c r="A192" s="1055" t="s">
        <v>1401</v>
      </c>
      <c r="B192" s="1049" t="s">
        <v>1353</v>
      </c>
      <c r="C192" s="1049"/>
      <c r="D192" s="1049"/>
      <c r="E192" s="1049"/>
      <c r="F192" s="1067">
        <v>1100</v>
      </c>
      <c r="H192" s="1074"/>
    </row>
    <row r="193" spans="1:8" s="1043" customFormat="1" ht="14.25" customHeight="1" thickBot="1">
      <c r="A193" s="1055" t="s">
        <v>1401</v>
      </c>
      <c r="B193" s="1049" t="s">
        <v>1357</v>
      </c>
      <c r="C193" s="1049"/>
      <c r="D193" s="1049"/>
      <c r="E193" s="1049"/>
      <c r="F193" s="1067">
        <v>1100</v>
      </c>
      <c r="H193" s="1074"/>
    </row>
    <row r="194" spans="1:8" s="1043" customFormat="1" ht="14.25" customHeight="1" thickBot="1">
      <c r="A194" s="1055" t="s">
        <v>1401</v>
      </c>
      <c r="B194" s="1049" t="s">
        <v>1361</v>
      </c>
      <c r="C194" s="1049"/>
      <c r="D194" s="1049"/>
      <c r="E194" s="1049"/>
      <c r="F194" s="1067">
        <v>1080</v>
      </c>
      <c r="H194" s="1074"/>
    </row>
    <row r="195" spans="1:8" s="1043" customFormat="1" ht="14.25" customHeight="1" thickBot="1">
      <c r="A195" s="1055" t="s">
        <v>1401</v>
      </c>
      <c r="B195" s="1049" t="s">
        <v>1365</v>
      </c>
      <c r="C195" s="1049"/>
      <c r="D195" s="1049"/>
      <c r="E195" s="1049"/>
      <c r="F195" s="1067">
        <v>1270</v>
      </c>
      <c r="H195" s="1074"/>
    </row>
    <row r="196" spans="1:8" s="1043" customFormat="1" ht="14.25" customHeight="1" thickBot="1">
      <c r="A196" s="1055" t="s">
        <v>1401</v>
      </c>
      <c r="B196" s="1049" t="s">
        <v>1369</v>
      </c>
      <c r="C196" s="1049"/>
      <c r="D196" s="1049"/>
      <c r="E196" s="1049"/>
      <c r="F196" s="1067">
        <v>1150</v>
      </c>
      <c r="H196" s="1074"/>
    </row>
    <row r="197" spans="1:8" s="1043" customFormat="1" ht="14.25" customHeight="1" thickBot="1">
      <c r="A197" s="1055" t="s">
        <v>1401</v>
      </c>
      <c r="B197" s="1049" t="s">
        <v>1373</v>
      </c>
      <c r="C197" s="1049"/>
      <c r="D197" s="1049"/>
      <c r="E197" s="1049"/>
      <c r="F197" s="1067">
        <v>1330</v>
      </c>
      <c r="H197" s="1074"/>
    </row>
    <row r="198" spans="1:8" s="1043" customFormat="1" ht="14.25" customHeight="1" thickBot="1">
      <c r="A198" s="1055" t="s">
        <v>1401</v>
      </c>
      <c r="B198" s="1049" t="s">
        <v>1376</v>
      </c>
      <c r="C198" s="1049"/>
      <c r="D198" s="1049"/>
      <c r="E198" s="1049"/>
      <c r="F198" s="1067">
        <v>1170</v>
      </c>
      <c r="H198" s="1074"/>
    </row>
    <row r="199" spans="1:8" s="1043" customFormat="1" ht="14.25" customHeight="1" thickBot="1">
      <c r="A199" s="1055" t="s">
        <v>1401</v>
      </c>
      <c r="B199" s="1049" t="s">
        <v>1379</v>
      </c>
      <c r="C199" s="1049"/>
      <c r="D199" s="1049"/>
      <c r="E199" s="1049"/>
      <c r="F199" s="1067">
        <v>1120</v>
      </c>
      <c r="H199" s="1074"/>
    </row>
    <row r="200" spans="1:8" s="1043" customFormat="1" ht="14.25" customHeight="1" thickBot="1">
      <c r="A200" s="1055" t="s">
        <v>1401</v>
      </c>
      <c r="B200" s="1049" t="s">
        <v>1382</v>
      </c>
      <c r="C200" s="1049"/>
      <c r="D200" s="1049"/>
      <c r="E200" s="1049"/>
      <c r="F200" s="1067">
        <v>1120</v>
      </c>
      <c r="H200" s="1074"/>
    </row>
    <row r="201" spans="1:8" s="1043" customFormat="1" ht="14.25" customHeight="1" thickBot="1">
      <c r="A201" s="1055" t="s">
        <v>1401</v>
      </c>
      <c r="B201" s="1049" t="s">
        <v>1385</v>
      </c>
      <c r="C201" s="1049"/>
      <c r="D201" s="1049"/>
      <c r="E201" s="1049"/>
      <c r="F201" s="1067">
        <v>1540</v>
      </c>
      <c r="H201" s="1074"/>
    </row>
    <row r="202" spans="1:8" s="1043" customFormat="1" ht="14.25" customHeight="1" thickBot="1">
      <c r="A202" s="1055" t="s">
        <v>1401</v>
      </c>
      <c r="B202" s="1049" t="s">
        <v>1388</v>
      </c>
      <c r="C202" s="1049"/>
      <c r="D202" s="1049"/>
      <c r="E202" s="1049"/>
      <c r="F202" s="1067">
        <v>1310</v>
      </c>
      <c r="H202" s="1074"/>
    </row>
    <row r="203" spans="1:8" s="1043" customFormat="1" ht="14.25" customHeight="1" thickBot="1">
      <c r="A203" s="1055" t="s">
        <v>1401</v>
      </c>
      <c r="B203" s="1049" t="s">
        <v>1391</v>
      </c>
      <c r="C203" s="1049"/>
      <c r="D203" s="1049"/>
      <c r="E203" s="1049"/>
      <c r="F203" s="1067">
        <v>1310</v>
      </c>
      <c r="H203" s="1074"/>
    </row>
    <row r="204" spans="1:8" s="1043" customFormat="1" ht="14.25" customHeight="1" thickBot="1">
      <c r="A204" s="1055" t="s">
        <v>1401</v>
      </c>
      <c r="B204" s="1049" t="s">
        <v>1393</v>
      </c>
      <c r="C204" s="1049"/>
      <c r="D204" s="1049"/>
      <c r="E204" s="1049"/>
      <c r="F204" s="1067">
        <v>1080</v>
      </c>
      <c r="H204" s="1074"/>
    </row>
    <row r="205" spans="1:8" s="1043" customFormat="1" ht="14.25" customHeight="1" thickBot="1">
      <c r="A205" s="1055" t="s">
        <v>1401</v>
      </c>
      <c r="B205" s="1049" t="s">
        <v>1396</v>
      </c>
      <c r="C205" s="1049"/>
      <c r="D205" s="1049"/>
      <c r="E205" s="1049"/>
      <c r="F205" s="1067">
        <v>1080</v>
      </c>
      <c r="H205" s="1074"/>
    </row>
    <row r="206" spans="1:8" s="1043" customFormat="1" ht="14.25" customHeight="1" thickBot="1">
      <c r="A206" s="1055" t="s">
        <v>1403</v>
      </c>
      <c r="B206" s="1056" t="s">
        <v>1404</v>
      </c>
      <c r="C206" s="1056">
        <v>5450</v>
      </c>
      <c r="D206" s="1056">
        <v>5430</v>
      </c>
      <c r="E206" s="1056">
        <v>5700</v>
      </c>
      <c r="F206" s="1057">
        <v>1020</v>
      </c>
      <c r="H206" s="1074"/>
    </row>
    <row r="207" spans="1:8" s="1043" customFormat="1" ht="14.25" customHeight="1" thickBot="1">
      <c r="A207" s="1055" t="s">
        <v>1403</v>
      </c>
      <c r="B207" s="1049" t="s">
        <v>1067</v>
      </c>
      <c r="C207" s="1049">
        <v>5860</v>
      </c>
      <c r="D207" s="1049">
        <v>5820</v>
      </c>
      <c r="E207" s="1049">
        <v>6050</v>
      </c>
      <c r="F207" s="1067">
        <v>1080</v>
      </c>
      <c r="H207" s="1074"/>
    </row>
    <row r="208" spans="1:8" s="1043" customFormat="1" ht="14.25" customHeight="1" thickBot="1">
      <c r="A208" s="1055" t="s">
        <v>1403</v>
      </c>
      <c r="B208" s="1049" t="s">
        <v>1081</v>
      </c>
      <c r="C208" s="1049">
        <v>4630</v>
      </c>
      <c r="D208" s="1049">
        <v>4600</v>
      </c>
      <c r="E208" s="1049">
        <v>4840</v>
      </c>
      <c r="F208" s="1067">
        <v>900</v>
      </c>
      <c r="H208" s="1074"/>
    </row>
    <row r="209" spans="1:8" s="1043" customFormat="1" ht="14.25" customHeight="1" thickBot="1">
      <c r="A209" s="1055" t="s">
        <v>1403</v>
      </c>
      <c r="B209" s="1049" t="s">
        <v>1094</v>
      </c>
      <c r="C209" s="1049">
        <v>5320</v>
      </c>
      <c r="D209" s="1049">
        <v>5270</v>
      </c>
      <c r="E209" s="1049">
        <v>5540</v>
      </c>
      <c r="F209" s="1067">
        <v>980</v>
      </c>
      <c r="H209" s="1074"/>
    </row>
    <row r="210" spans="1:8" s="1043" customFormat="1" ht="14.25" customHeight="1" thickBot="1">
      <c r="A210" s="1055" t="s">
        <v>1403</v>
      </c>
      <c r="B210" s="1049" t="s">
        <v>1108</v>
      </c>
      <c r="C210" s="1049">
        <v>5760</v>
      </c>
      <c r="D210" s="1049">
        <v>5710</v>
      </c>
      <c r="E210" s="1049">
        <v>6010</v>
      </c>
      <c r="F210" s="1067">
        <v>870</v>
      </c>
      <c r="H210" s="1074"/>
    </row>
    <row r="211" spans="1:8" s="1043" customFormat="1" ht="14.25" customHeight="1" thickBot="1">
      <c r="A211" s="1055" t="s">
        <v>1403</v>
      </c>
      <c r="B211" s="1049" t="s">
        <v>1119</v>
      </c>
      <c r="C211" s="1049">
        <v>4160</v>
      </c>
      <c r="D211" s="1049">
        <v>4100</v>
      </c>
      <c r="E211" s="1049">
        <v>4270</v>
      </c>
      <c r="F211" s="1067">
        <v>790</v>
      </c>
      <c r="H211" s="1074"/>
    </row>
    <row r="212" spans="1:8" s="1043" customFormat="1" ht="14.25" customHeight="1" thickBot="1">
      <c r="A212" s="1055" t="s">
        <v>1403</v>
      </c>
      <c r="B212" s="1049" t="s">
        <v>1130</v>
      </c>
      <c r="C212" s="1049">
        <v>4880</v>
      </c>
      <c r="D212" s="1049">
        <v>4850</v>
      </c>
      <c r="E212" s="1049">
        <v>5110</v>
      </c>
      <c r="F212" s="1067">
        <v>940</v>
      </c>
      <c r="H212" s="1074"/>
    </row>
    <row r="213" spans="1:8" s="1043" customFormat="1" ht="14.25" customHeight="1" thickBot="1">
      <c r="A213" s="1055" t="s">
        <v>1403</v>
      </c>
      <c r="B213" s="1049" t="s">
        <v>1141</v>
      </c>
      <c r="C213" s="1049">
        <v>4640</v>
      </c>
      <c r="D213" s="1049">
        <v>4590</v>
      </c>
      <c r="E213" s="1049">
        <v>4700</v>
      </c>
      <c r="F213" s="1067">
        <v>1030</v>
      </c>
      <c r="H213" s="1074"/>
    </row>
    <row r="214" spans="1:8" s="1043" customFormat="1" ht="14.25" customHeight="1" thickBot="1">
      <c r="A214" s="1055" t="s">
        <v>1403</v>
      </c>
      <c r="B214" s="1049" t="s">
        <v>1153</v>
      </c>
      <c r="C214" s="1049">
        <v>4540</v>
      </c>
      <c r="D214" s="1049">
        <v>4490</v>
      </c>
      <c r="E214" s="1049">
        <v>4610</v>
      </c>
      <c r="F214" s="1076"/>
      <c r="H214" s="1074"/>
    </row>
    <row r="215" spans="1:8" s="1043" customFormat="1" ht="14.25" customHeight="1" thickBot="1">
      <c r="A215" s="1055" t="s">
        <v>1403</v>
      </c>
      <c r="B215" s="1049" t="s">
        <v>1163</v>
      </c>
      <c r="C215" s="1049">
        <v>5280</v>
      </c>
      <c r="D215" s="1049">
        <v>5250</v>
      </c>
      <c r="E215" s="1049">
        <v>5520</v>
      </c>
      <c r="F215" s="1067">
        <v>1000</v>
      </c>
      <c r="H215" s="1074"/>
    </row>
    <row r="216" spans="1:8" s="1043" customFormat="1" ht="14.25" customHeight="1" thickBot="1">
      <c r="A216" s="1055" t="s">
        <v>1403</v>
      </c>
      <c r="B216" s="1049" t="s">
        <v>1173</v>
      </c>
      <c r="C216" s="1049">
        <v>5100</v>
      </c>
      <c r="D216" s="1049">
        <v>5050</v>
      </c>
      <c r="E216" s="1049">
        <v>5300</v>
      </c>
      <c r="F216" s="1067">
        <v>950</v>
      </c>
      <c r="H216" s="1074"/>
    </row>
    <row r="217" spans="1:8" s="1043" customFormat="1" ht="14.25" customHeight="1" thickBot="1">
      <c r="A217" s="1055" t="s">
        <v>1403</v>
      </c>
      <c r="B217" s="1049" t="s">
        <v>1183</v>
      </c>
      <c r="C217" s="1049">
        <v>5370</v>
      </c>
      <c r="D217" s="1049">
        <v>5320</v>
      </c>
      <c r="E217" s="1049">
        <v>5410</v>
      </c>
      <c r="F217" s="1067">
        <v>950</v>
      </c>
      <c r="H217" s="1074"/>
    </row>
    <row r="218" spans="1:8" s="1043" customFormat="1" ht="14.25" customHeight="1" thickBot="1">
      <c r="A218" s="1055" t="s">
        <v>1403</v>
      </c>
      <c r="B218" s="1049" t="s">
        <v>1193</v>
      </c>
      <c r="C218" s="1049">
        <v>5540</v>
      </c>
      <c r="D218" s="1049">
        <v>5480</v>
      </c>
      <c r="E218" s="1049">
        <v>5740</v>
      </c>
      <c r="F218" s="1067">
        <v>1020</v>
      </c>
      <c r="H218" s="1074"/>
    </row>
    <row r="219" spans="1:8" s="1043" customFormat="1" ht="14.25" customHeight="1" thickBot="1">
      <c r="A219" s="1055" t="s">
        <v>1403</v>
      </c>
      <c r="B219" s="1049" t="s">
        <v>1203</v>
      </c>
      <c r="C219" s="1049">
        <v>5140</v>
      </c>
      <c r="D219" s="1049">
        <v>5100</v>
      </c>
      <c r="E219" s="1049">
        <v>5350</v>
      </c>
      <c r="F219" s="1067">
        <v>1120</v>
      </c>
      <c r="H219" s="1074"/>
    </row>
    <row r="220" spans="1:8" s="1043" customFormat="1" ht="14.25" customHeight="1" thickBot="1">
      <c r="A220" s="1055" t="s">
        <v>1403</v>
      </c>
      <c r="B220" s="1049" t="s">
        <v>1213</v>
      </c>
      <c r="C220" s="1049">
        <v>5040</v>
      </c>
      <c r="D220" s="1049">
        <v>5000</v>
      </c>
      <c r="E220" s="1049">
        <v>5240</v>
      </c>
      <c r="F220" s="1067">
        <v>980</v>
      </c>
      <c r="H220" s="1074"/>
    </row>
    <row r="221" spans="1:8" s="1043" customFormat="1" ht="14.25" customHeight="1" thickBot="1">
      <c r="A221" s="1055" t="s">
        <v>1403</v>
      </c>
      <c r="B221" s="1049" t="s">
        <v>1223</v>
      </c>
      <c r="C221" s="1077"/>
      <c r="D221" s="1077"/>
      <c r="E221" s="1077"/>
      <c r="F221" s="1067">
        <v>1070</v>
      </c>
      <c r="H221" s="1074"/>
    </row>
    <row r="222" spans="1:8" s="1043" customFormat="1" ht="14.25" customHeight="1" thickBot="1">
      <c r="A222" s="1055" t="s">
        <v>1403</v>
      </c>
      <c r="B222" s="1049" t="s">
        <v>1233</v>
      </c>
      <c r="C222" s="1077"/>
      <c r="D222" s="1077"/>
      <c r="E222" s="1077"/>
      <c r="F222" s="1067">
        <v>870</v>
      </c>
      <c r="H222" s="1074"/>
    </row>
    <row r="223" spans="1:8" s="1043" customFormat="1" ht="14.25" customHeight="1" thickBot="1">
      <c r="A223" s="1055" t="s">
        <v>1403</v>
      </c>
      <c r="B223" s="1049" t="s">
        <v>1243</v>
      </c>
      <c r="C223" s="1077"/>
      <c r="D223" s="1077"/>
      <c r="E223" s="1077"/>
      <c r="F223" s="1067">
        <v>940</v>
      </c>
      <c r="H223" s="1074"/>
    </row>
    <row r="224" spans="1:8" s="1043" customFormat="1" ht="14.25" customHeight="1" thickBot="1">
      <c r="A224" s="1055" t="s">
        <v>1403</v>
      </c>
      <c r="B224" s="1049" t="s">
        <v>1253</v>
      </c>
      <c r="C224" s="1077"/>
      <c r="D224" s="1077"/>
      <c r="E224" s="1077"/>
      <c r="F224" s="1067">
        <v>990</v>
      </c>
      <c r="H224" s="1074"/>
    </row>
    <row r="225" spans="1:8" s="1043" customFormat="1" ht="14.25" customHeight="1" thickBot="1">
      <c r="A225" s="1055" t="s">
        <v>1403</v>
      </c>
      <c r="B225" s="1049" t="s">
        <v>1262</v>
      </c>
      <c r="C225" s="1049">
        <v>5730</v>
      </c>
      <c r="D225" s="1049">
        <v>5680</v>
      </c>
      <c r="E225" s="1049">
        <v>6020</v>
      </c>
      <c r="F225" s="1067">
        <v>1000</v>
      </c>
      <c r="H225" s="1074"/>
    </row>
    <row r="226" spans="1:8" s="1043" customFormat="1" ht="14.25" customHeight="1" thickBot="1">
      <c r="A226" s="1055" t="s">
        <v>1403</v>
      </c>
      <c r="B226" s="1049" t="s">
        <v>1271</v>
      </c>
      <c r="C226" s="1049">
        <v>4970</v>
      </c>
      <c r="D226" s="1049">
        <v>4940</v>
      </c>
      <c r="E226" s="1049">
        <v>5180</v>
      </c>
      <c r="F226" s="1067">
        <v>960</v>
      </c>
      <c r="H226" s="1074"/>
    </row>
    <row r="227" spans="1:8" s="1043" customFormat="1" ht="14.25" customHeight="1" thickBot="1">
      <c r="A227" s="1055" t="s">
        <v>1403</v>
      </c>
      <c r="B227" s="1049" t="s">
        <v>1279</v>
      </c>
      <c r="C227" s="1049">
        <v>5550</v>
      </c>
      <c r="D227" s="1049">
        <v>5500</v>
      </c>
      <c r="E227" s="1049">
        <v>5780</v>
      </c>
      <c r="F227" s="1067">
        <v>940</v>
      </c>
      <c r="H227" s="1074"/>
    </row>
    <row r="228" spans="1:8" s="1043" customFormat="1" ht="14.25" customHeight="1" thickBot="1">
      <c r="A228" s="1055" t="s">
        <v>1403</v>
      </c>
      <c r="B228" s="1049" t="s">
        <v>1286</v>
      </c>
      <c r="C228" s="1049">
        <v>5460</v>
      </c>
      <c r="D228" s="1049">
        <v>5420</v>
      </c>
      <c r="E228" s="1049">
        <v>5690</v>
      </c>
      <c r="F228" s="1067">
        <v>910</v>
      </c>
      <c r="H228" s="1074"/>
    </row>
    <row r="229" spans="1:8" s="1043" customFormat="1" ht="14.25" customHeight="1" thickBot="1">
      <c r="A229" s="1055" t="s">
        <v>1403</v>
      </c>
      <c r="B229" s="1049" t="s">
        <v>1293</v>
      </c>
      <c r="C229" s="1049">
        <v>5310</v>
      </c>
      <c r="D229" s="1049">
        <v>5270</v>
      </c>
      <c r="E229" s="1049">
        <v>5510</v>
      </c>
      <c r="F229" s="1076"/>
      <c r="H229" s="1074"/>
    </row>
    <row r="230" spans="1:8" s="1043" customFormat="1" ht="14.25" customHeight="1" thickBot="1">
      <c r="A230" s="1055" t="s">
        <v>1403</v>
      </c>
      <c r="B230" s="1049" t="s">
        <v>1300</v>
      </c>
      <c r="C230" s="1049">
        <v>4540</v>
      </c>
      <c r="D230" s="1049">
        <v>4500</v>
      </c>
      <c r="E230" s="1049">
        <v>4730</v>
      </c>
      <c r="F230" s="1076"/>
      <c r="H230" s="1074"/>
    </row>
    <row r="231" spans="1:8" s="1043" customFormat="1" ht="14.25" customHeight="1" thickBot="1">
      <c r="A231" s="1055" t="s">
        <v>1403</v>
      </c>
      <c r="B231" s="1049" t="s">
        <v>1307</v>
      </c>
      <c r="C231" s="1049">
        <v>4480</v>
      </c>
      <c r="D231" s="1049">
        <v>4410</v>
      </c>
      <c r="E231" s="1049">
        <v>4640</v>
      </c>
      <c r="F231" s="1076"/>
      <c r="H231" s="1074"/>
    </row>
    <row r="232" spans="1:8" s="1043" customFormat="1" ht="14.25" customHeight="1" thickBot="1">
      <c r="A232" s="1055" t="s">
        <v>1403</v>
      </c>
      <c r="B232" s="1049" t="s">
        <v>1314</v>
      </c>
      <c r="C232" s="1049">
        <v>5670</v>
      </c>
      <c r="D232" s="1049">
        <v>5600</v>
      </c>
      <c r="E232" s="1049">
        <v>5890</v>
      </c>
      <c r="F232" s="1067">
        <v>1150</v>
      </c>
      <c r="H232" s="1074"/>
    </row>
    <row r="233" spans="1:8" s="1043" customFormat="1" ht="14.25" customHeight="1" thickBot="1">
      <c r="A233" s="1055" t="s">
        <v>1403</v>
      </c>
      <c r="B233" s="1049" t="s">
        <v>1321</v>
      </c>
      <c r="C233" s="1049">
        <v>4590</v>
      </c>
      <c r="D233" s="1049">
        <v>4500</v>
      </c>
      <c r="E233" s="1049">
        <v>4600</v>
      </c>
      <c r="F233" s="1076"/>
      <c r="H233" s="1074"/>
    </row>
    <row r="234" spans="1:8" s="1043" customFormat="1" ht="14.25" customHeight="1" thickBot="1">
      <c r="A234" s="1055" t="s">
        <v>1403</v>
      </c>
      <c r="B234" s="1049" t="s">
        <v>2402</v>
      </c>
      <c r="C234" s="1049">
        <v>3990</v>
      </c>
      <c r="D234" s="1049">
        <v>3950</v>
      </c>
      <c r="E234" s="1049">
        <v>4180</v>
      </c>
      <c r="F234" s="1076"/>
      <c r="H234" s="1074"/>
    </row>
    <row r="235" spans="1:8" s="1043" customFormat="1" ht="14.25" customHeight="1" thickBot="1">
      <c r="A235" s="1055" t="s">
        <v>1403</v>
      </c>
      <c r="B235" s="1049" t="s">
        <v>1330</v>
      </c>
      <c r="C235" s="1049">
        <v>5590</v>
      </c>
      <c r="D235" s="1049">
        <v>5540</v>
      </c>
      <c r="E235" s="1049">
        <v>5810</v>
      </c>
      <c r="F235" s="1067">
        <v>970</v>
      </c>
      <c r="H235" s="1074"/>
    </row>
    <row r="236" spans="1:8" s="1043" customFormat="1" ht="14.25" customHeight="1" thickBot="1">
      <c r="A236" s="1055" t="s">
        <v>1403</v>
      </c>
      <c r="B236" s="1049" t="s">
        <v>1335</v>
      </c>
      <c r="C236" s="1049"/>
      <c r="D236" s="1049"/>
      <c r="E236" s="1049"/>
      <c r="F236" s="1067">
        <v>1020</v>
      </c>
      <c r="H236" s="1074"/>
    </row>
    <row r="237" spans="1:8" s="1043" customFormat="1" ht="14.25" customHeight="1" thickBot="1">
      <c r="A237" s="1055" t="s">
        <v>1403</v>
      </c>
      <c r="B237" s="1049" t="s">
        <v>1340</v>
      </c>
      <c r="C237" s="1049"/>
      <c r="D237" s="1049"/>
      <c r="E237" s="1049"/>
      <c r="F237" s="1067">
        <v>960</v>
      </c>
      <c r="H237" s="1074"/>
    </row>
    <row r="238" spans="1:8" s="1043" customFormat="1" ht="14.25" customHeight="1" thickBot="1">
      <c r="A238" s="1055" t="s">
        <v>1403</v>
      </c>
      <c r="B238" s="1049" t="s">
        <v>1345</v>
      </c>
      <c r="C238" s="1049"/>
      <c r="D238" s="1049"/>
      <c r="E238" s="1049"/>
      <c r="F238" s="1067">
        <v>960</v>
      </c>
      <c r="H238" s="1074"/>
    </row>
    <row r="239" spans="1:8" s="1043" customFormat="1" ht="14.25" customHeight="1" thickBot="1">
      <c r="A239" s="1055" t="s">
        <v>1403</v>
      </c>
      <c r="B239" s="1049" t="s">
        <v>1350</v>
      </c>
      <c r="C239" s="1049"/>
      <c r="D239" s="1049"/>
      <c r="E239" s="1049"/>
      <c r="F239" s="1067">
        <v>960</v>
      </c>
      <c r="H239" s="1074"/>
    </row>
    <row r="240" spans="1:8" s="1043" customFormat="1" ht="14.25" customHeight="1" thickBot="1">
      <c r="A240" s="1055" t="s">
        <v>1403</v>
      </c>
      <c r="B240" s="1049" t="s">
        <v>1354</v>
      </c>
      <c r="C240" s="1049"/>
      <c r="D240" s="1049"/>
      <c r="E240" s="1049"/>
      <c r="F240" s="1067">
        <v>990</v>
      </c>
      <c r="H240" s="1074"/>
    </row>
    <row r="241" spans="1:8" s="1043" customFormat="1" ht="14.25" customHeight="1" thickBot="1">
      <c r="A241" s="1055" t="s">
        <v>1403</v>
      </c>
      <c r="B241" s="1049" t="s">
        <v>1358</v>
      </c>
      <c r="C241" s="1049"/>
      <c r="D241" s="1049"/>
      <c r="E241" s="1049"/>
      <c r="F241" s="1067">
        <v>1000</v>
      </c>
      <c r="H241" s="1074"/>
    </row>
    <row r="242" spans="1:8" s="1043" customFormat="1" ht="14.25" customHeight="1" thickBot="1">
      <c r="A242" s="1055" t="s">
        <v>1403</v>
      </c>
      <c r="B242" s="1049" t="s">
        <v>1362</v>
      </c>
      <c r="C242" s="1049"/>
      <c r="D242" s="1049"/>
      <c r="E242" s="1049"/>
      <c r="F242" s="1067">
        <v>980</v>
      </c>
      <c r="H242" s="1074"/>
    </row>
    <row r="243" spans="1:8" s="1043" customFormat="1" ht="14.25" customHeight="1" thickBot="1">
      <c r="A243" s="1055" t="s">
        <v>1403</v>
      </c>
      <c r="B243" s="1049" t="s">
        <v>1366</v>
      </c>
      <c r="C243" s="1049"/>
      <c r="D243" s="1049"/>
      <c r="E243" s="1049"/>
      <c r="F243" s="1067">
        <v>970</v>
      </c>
      <c r="H243" s="1074"/>
    </row>
    <row r="244" spans="1:8" s="1043" customFormat="1" ht="14.25" customHeight="1" thickBot="1">
      <c r="A244" s="1055" t="s">
        <v>1403</v>
      </c>
      <c r="B244" s="1065" t="s">
        <v>1370</v>
      </c>
      <c r="C244" s="1065"/>
      <c r="D244" s="1065"/>
      <c r="E244" s="1065"/>
      <c r="F244" s="1075">
        <v>970</v>
      </c>
      <c r="H244" s="1074"/>
    </row>
    <row r="245" spans="1:8" s="1043" customFormat="1" ht="14.25" customHeight="1" thickBot="1">
      <c r="A245" s="1055" t="s">
        <v>1405</v>
      </c>
      <c r="B245" s="1056" t="s">
        <v>1406</v>
      </c>
      <c r="C245" s="1056">
        <v>4050</v>
      </c>
      <c r="D245" s="1056">
        <v>4020</v>
      </c>
      <c r="E245" s="1056">
        <v>4160</v>
      </c>
      <c r="F245" s="1057">
        <v>840</v>
      </c>
      <c r="H245" s="1074"/>
    </row>
    <row r="246" spans="1:8" s="1043" customFormat="1" ht="14.25" customHeight="1" thickBot="1">
      <c r="A246" s="1055" t="s">
        <v>1405</v>
      </c>
      <c r="B246" s="1049" t="s">
        <v>1068</v>
      </c>
      <c r="C246" s="1049">
        <v>4010</v>
      </c>
      <c r="D246" s="1049">
        <v>3960</v>
      </c>
      <c r="E246" s="1049">
        <v>4130</v>
      </c>
      <c r="F246" s="1067">
        <v>840</v>
      </c>
      <c r="H246" s="1074"/>
    </row>
    <row r="247" spans="1:8" s="1043" customFormat="1" ht="14.25" customHeight="1" thickBot="1">
      <c r="A247" s="1055" t="s">
        <v>1405</v>
      </c>
      <c r="B247" s="1049" t="s">
        <v>1407</v>
      </c>
      <c r="C247" s="1049">
        <v>3170</v>
      </c>
      <c r="D247" s="1049">
        <v>3140</v>
      </c>
      <c r="E247" s="1049">
        <v>3270</v>
      </c>
      <c r="F247" s="1067">
        <v>640</v>
      </c>
      <c r="H247" s="1074"/>
    </row>
    <row r="248" spans="1:8" s="1043" customFormat="1" ht="14.25" customHeight="1" thickBot="1">
      <c r="A248" s="1055" t="s">
        <v>1405</v>
      </c>
      <c r="B248" s="1049" t="s">
        <v>1408</v>
      </c>
      <c r="C248" s="1049">
        <v>3140</v>
      </c>
      <c r="D248" s="1049">
        <v>3120</v>
      </c>
      <c r="E248" s="1049">
        <v>3240</v>
      </c>
      <c r="F248" s="1067">
        <v>620</v>
      </c>
      <c r="H248" s="1074"/>
    </row>
    <row r="249" spans="1:8" s="1043" customFormat="1" ht="14.25" customHeight="1" thickBot="1">
      <c r="A249" s="1055" t="s">
        <v>1405</v>
      </c>
      <c r="B249" s="1049" t="s">
        <v>1109</v>
      </c>
      <c r="C249" s="1049">
        <v>3200</v>
      </c>
      <c r="D249" s="1049">
        <v>3100</v>
      </c>
      <c r="E249" s="1049">
        <v>3230</v>
      </c>
      <c r="F249" s="1067">
        <v>750</v>
      </c>
      <c r="H249" s="1074"/>
    </row>
    <row r="250" spans="1:8" s="1043" customFormat="1" ht="14.25" customHeight="1" thickBot="1">
      <c r="A250" s="1055" t="s">
        <v>1405</v>
      </c>
      <c r="B250" s="1049" t="s">
        <v>1120</v>
      </c>
      <c r="C250" s="1049">
        <v>4060</v>
      </c>
      <c r="D250" s="1049">
        <v>4000</v>
      </c>
      <c r="E250" s="1049">
        <v>4140</v>
      </c>
      <c r="F250" s="1067">
        <v>790</v>
      </c>
      <c r="H250" s="1074"/>
    </row>
    <row r="251" spans="1:8" s="1043" customFormat="1" ht="14.25" customHeight="1" thickBot="1">
      <c r="A251" s="1055" t="s">
        <v>1405</v>
      </c>
      <c r="B251" s="1049" t="s">
        <v>1131</v>
      </c>
      <c r="C251" s="1049">
        <v>3990</v>
      </c>
      <c r="D251" s="1049">
        <v>3970</v>
      </c>
      <c r="E251" s="1049">
        <v>4110</v>
      </c>
      <c r="F251" s="1067">
        <v>730</v>
      </c>
      <c r="H251" s="1074"/>
    </row>
    <row r="252" spans="1:8" s="1043" customFormat="1" ht="14.25" customHeight="1" thickBot="1">
      <c r="A252" s="1055" t="s">
        <v>1405</v>
      </c>
      <c r="B252" s="1049" t="s">
        <v>1142</v>
      </c>
      <c r="C252" s="1049">
        <v>3560</v>
      </c>
      <c r="D252" s="1049">
        <v>3530</v>
      </c>
      <c r="E252" s="1049">
        <v>3650</v>
      </c>
      <c r="F252" s="1067">
        <v>750</v>
      </c>
      <c r="H252" s="1074"/>
    </row>
    <row r="253" spans="1:8" s="1043" customFormat="1" ht="14.25" customHeight="1" thickBot="1">
      <c r="A253" s="1055" t="s">
        <v>1405</v>
      </c>
      <c r="B253" s="1049" t="s">
        <v>1154</v>
      </c>
      <c r="C253" s="1049">
        <v>3780</v>
      </c>
      <c r="D253" s="1049">
        <v>3750</v>
      </c>
      <c r="E253" s="1049">
        <v>3870</v>
      </c>
      <c r="F253" s="1067">
        <v>770</v>
      </c>
      <c r="H253" s="1074"/>
    </row>
    <row r="254" spans="1:8" s="1043" customFormat="1" ht="14.25" customHeight="1" thickBot="1">
      <c r="A254" s="1055" t="s">
        <v>1405</v>
      </c>
      <c r="B254" s="1049" t="s">
        <v>1164</v>
      </c>
      <c r="C254" s="1077"/>
      <c r="D254" s="1077"/>
      <c r="E254" s="1077"/>
      <c r="F254" s="1067">
        <v>740</v>
      </c>
      <c r="H254" s="1074"/>
    </row>
    <row r="255" spans="1:8" s="1043" customFormat="1" ht="14.25" customHeight="1" thickBot="1">
      <c r="A255" s="1055" t="s">
        <v>1405</v>
      </c>
      <c r="B255" s="1049" t="s">
        <v>1174</v>
      </c>
      <c r="C255" s="1077"/>
      <c r="D255" s="1077"/>
      <c r="E255" s="1077"/>
      <c r="F255" s="1067">
        <v>760</v>
      </c>
      <c r="H255" s="1074"/>
    </row>
    <row r="256" spans="1:8" s="1043" customFormat="1" ht="14.25" customHeight="1" thickBot="1">
      <c r="A256" s="1055" t="s">
        <v>1405</v>
      </c>
      <c r="B256" s="1049" t="s">
        <v>1184</v>
      </c>
      <c r="C256" s="1049">
        <v>3760</v>
      </c>
      <c r="D256" s="1049">
        <v>3730</v>
      </c>
      <c r="E256" s="1049">
        <v>3870</v>
      </c>
      <c r="F256" s="1067">
        <v>830</v>
      </c>
      <c r="H256" s="1074"/>
    </row>
    <row r="257" spans="1:8" s="1043" customFormat="1" ht="14.25" customHeight="1" thickBot="1">
      <c r="A257" s="1055" t="s">
        <v>1405</v>
      </c>
      <c r="B257" s="1049" t="s">
        <v>1194</v>
      </c>
      <c r="C257" s="1049">
        <v>3570</v>
      </c>
      <c r="D257" s="1049">
        <v>3540</v>
      </c>
      <c r="E257" s="1049">
        <v>3650</v>
      </c>
      <c r="F257" s="1067">
        <v>790</v>
      </c>
      <c r="H257" s="1074"/>
    </row>
    <row r="258" spans="1:8" s="1043" customFormat="1" ht="14.25" customHeight="1" thickBot="1">
      <c r="A258" s="1055" t="s">
        <v>1405</v>
      </c>
      <c r="B258" s="1049" t="s">
        <v>1204</v>
      </c>
      <c r="C258" s="1049">
        <v>3410</v>
      </c>
      <c r="D258" s="1049">
        <v>3380</v>
      </c>
      <c r="E258" s="1049">
        <v>3500</v>
      </c>
      <c r="F258" s="1067">
        <v>830</v>
      </c>
      <c r="H258" s="1074"/>
    </row>
    <row r="259" spans="1:8" s="1043" customFormat="1" ht="14.25" customHeight="1" thickBot="1">
      <c r="A259" s="1055" t="s">
        <v>1405</v>
      </c>
      <c r="B259" s="1049" t="s">
        <v>1214</v>
      </c>
      <c r="C259" s="1049">
        <v>3870</v>
      </c>
      <c r="D259" s="1049">
        <v>3840</v>
      </c>
      <c r="E259" s="1049">
        <v>3970</v>
      </c>
      <c r="F259" s="1067">
        <v>830</v>
      </c>
      <c r="H259" s="1074"/>
    </row>
    <row r="260" spans="1:8" s="1043" customFormat="1" ht="14.25" customHeight="1" thickBot="1">
      <c r="A260" s="1055" t="s">
        <v>1405</v>
      </c>
      <c r="B260" s="1049" t="s">
        <v>1224</v>
      </c>
      <c r="C260" s="1049">
        <v>3700</v>
      </c>
      <c r="D260" s="1049">
        <v>3660</v>
      </c>
      <c r="E260" s="1049">
        <v>3810</v>
      </c>
      <c r="F260" s="1067">
        <v>790</v>
      </c>
      <c r="H260" s="1074"/>
    </row>
    <row r="261" spans="1:8" s="1043" customFormat="1" ht="14.25" customHeight="1" thickBot="1">
      <c r="A261" s="1055" t="s">
        <v>1405</v>
      </c>
      <c r="B261" s="1049" t="s">
        <v>1234</v>
      </c>
      <c r="C261" s="1049">
        <v>3470</v>
      </c>
      <c r="D261" s="1049">
        <v>3430</v>
      </c>
      <c r="E261" s="1049">
        <v>3640</v>
      </c>
      <c r="F261" s="1067">
        <v>760</v>
      </c>
      <c r="H261" s="1074"/>
    </row>
    <row r="262" spans="1:8" s="1043" customFormat="1" ht="14.25" customHeight="1" thickBot="1">
      <c r="A262" s="1055" t="s">
        <v>1405</v>
      </c>
      <c r="B262" s="1049" t="s">
        <v>1244</v>
      </c>
      <c r="C262" s="1049">
        <v>3510</v>
      </c>
      <c r="D262" s="1049">
        <v>3470</v>
      </c>
      <c r="E262" s="1049">
        <v>3680</v>
      </c>
      <c r="F262" s="1076"/>
      <c r="H262" s="1074"/>
    </row>
    <row r="263" spans="1:8" s="1043" customFormat="1" ht="14.25" customHeight="1" thickBot="1">
      <c r="A263" s="1055" t="s">
        <v>1405</v>
      </c>
      <c r="B263" s="1049" t="s">
        <v>1254</v>
      </c>
      <c r="C263" s="1049">
        <v>3960</v>
      </c>
      <c r="D263" s="1049">
        <v>3930</v>
      </c>
      <c r="E263" s="1049">
        <v>4070</v>
      </c>
      <c r="F263" s="1067">
        <v>830</v>
      </c>
      <c r="H263" s="1074"/>
    </row>
    <row r="264" spans="1:8" s="1043" customFormat="1" ht="14.25" customHeight="1" thickBot="1">
      <c r="A264" s="1055" t="s">
        <v>1405</v>
      </c>
      <c r="B264" s="1049" t="s">
        <v>1263</v>
      </c>
      <c r="C264" s="1049">
        <v>4010</v>
      </c>
      <c r="D264" s="1049">
        <v>3980</v>
      </c>
      <c r="E264" s="1049">
        <v>4150</v>
      </c>
      <c r="F264" s="1067">
        <v>760</v>
      </c>
      <c r="H264" s="1074"/>
    </row>
    <row r="265" spans="1:8" s="1043" customFormat="1" ht="14.25" customHeight="1" thickBot="1">
      <c r="A265" s="1055" t="s">
        <v>1405</v>
      </c>
      <c r="B265" s="1049" t="s">
        <v>1272</v>
      </c>
      <c r="C265" s="1049">
        <v>3910</v>
      </c>
      <c r="D265" s="1049">
        <v>3890</v>
      </c>
      <c r="E265" s="1049">
        <v>4040</v>
      </c>
      <c r="F265" s="1067">
        <v>780</v>
      </c>
      <c r="H265" s="1074"/>
    </row>
    <row r="266" spans="1:8" s="1043" customFormat="1" ht="14.25" customHeight="1" thickBot="1">
      <c r="A266" s="1055" t="s">
        <v>1405</v>
      </c>
      <c r="B266" s="1049" t="s">
        <v>1280</v>
      </c>
      <c r="C266" s="1049">
        <v>3930</v>
      </c>
      <c r="D266" s="1049">
        <v>3900</v>
      </c>
      <c r="E266" s="1049">
        <v>4080</v>
      </c>
      <c r="F266" s="1067">
        <v>770</v>
      </c>
      <c r="H266" s="1074"/>
    </row>
    <row r="267" spans="1:8" s="1043" customFormat="1" ht="14.25" customHeight="1" thickBot="1">
      <c r="A267" s="1055" t="s">
        <v>1405</v>
      </c>
      <c r="B267" s="1049" t="s">
        <v>1287</v>
      </c>
      <c r="C267" s="1049">
        <v>3800</v>
      </c>
      <c r="D267" s="1049">
        <v>3780</v>
      </c>
      <c r="E267" s="1049">
        <v>3930</v>
      </c>
      <c r="F267" s="1076"/>
      <c r="H267" s="1074"/>
    </row>
    <row r="268" spans="1:8" s="1043" customFormat="1" ht="14.25" customHeight="1" thickBot="1">
      <c r="A268" s="1055" t="s">
        <v>1405</v>
      </c>
      <c r="B268" s="1049" t="s">
        <v>1294</v>
      </c>
      <c r="C268" s="1049">
        <v>3460</v>
      </c>
      <c r="D268" s="1049">
        <v>3430</v>
      </c>
      <c r="E268" s="1049">
        <v>3560</v>
      </c>
      <c r="F268" s="1067">
        <v>840</v>
      </c>
      <c r="H268" s="1074"/>
    </row>
    <row r="269" spans="1:8" s="1043" customFormat="1" ht="14.25" customHeight="1" thickBot="1">
      <c r="A269" s="1055" t="s">
        <v>1405</v>
      </c>
      <c r="B269" s="1049" t="s">
        <v>1301</v>
      </c>
      <c r="C269" s="1049">
        <v>3210</v>
      </c>
      <c r="D269" s="1049">
        <v>3190</v>
      </c>
      <c r="E269" s="1049">
        <v>3310</v>
      </c>
      <c r="F269" s="1067">
        <v>730</v>
      </c>
      <c r="H269" s="1074"/>
    </row>
    <row r="270" spans="1:8" s="1043" customFormat="1" ht="14.25" customHeight="1" thickBot="1">
      <c r="A270" s="1055" t="s">
        <v>1405</v>
      </c>
      <c r="B270" s="1049" t="s">
        <v>1308</v>
      </c>
      <c r="C270" s="1049">
        <v>3240</v>
      </c>
      <c r="D270" s="1049">
        <v>3210</v>
      </c>
      <c r="E270" s="1049">
        <v>3390</v>
      </c>
      <c r="F270" s="1067">
        <v>820</v>
      </c>
      <c r="H270" s="1074"/>
    </row>
    <row r="271" spans="1:8" s="1043" customFormat="1" ht="14.25" customHeight="1" thickBot="1">
      <c r="A271" s="1055" t="s">
        <v>1405</v>
      </c>
      <c r="B271" s="1049" t="s">
        <v>1315</v>
      </c>
      <c r="C271" s="1049">
        <v>3300</v>
      </c>
      <c r="D271" s="1049">
        <v>3270</v>
      </c>
      <c r="E271" s="1049">
        <v>3380</v>
      </c>
      <c r="F271" s="1067">
        <v>750</v>
      </c>
      <c r="H271" s="1074"/>
    </row>
    <row r="272" spans="1:8" s="1043" customFormat="1" ht="14.25" customHeight="1" thickBot="1">
      <c r="A272" s="1055" t="s">
        <v>1405</v>
      </c>
      <c r="B272" s="1049" t="s">
        <v>1322</v>
      </c>
      <c r="C272" s="1077"/>
      <c r="D272" s="1077"/>
      <c r="E272" s="1077"/>
      <c r="F272" s="1067">
        <v>740</v>
      </c>
      <c r="H272" s="1074"/>
    </row>
    <row r="273" spans="1:8" s="1043" customFormat="1" ht="14.25" customHeight="1" thickBot="1">
      <c r="A273" s="1055" t="s">
        <v>1405</v>
      </c>
      <c r="B273" s="1049" t="s">
        <v>1326</v>
      </c>
      <c r="C273" s="1049">
        <v>3130</v>
      </c>
      <c r="D273" s="1049">
        <v>3100</v>
      </c>
      <c r="E273" s="1049">
        <v>3230</v>
      </c>
      <c r="F273" s="1067">
        <v>700</v>
      </c>
      <c r="H273" s="1074"/>
    </row>
    <row r="274" spans="1:8" s="1043" customFormat="1" ht="14.25" customHeight="1" thickBot="1">
      <c r="A274" s="1055" t="s">
        <v>1405</v>
      </c>
      <c r="B274" s="1049" t="s">
        <v>1331</v>
      </c>
      <c r="C274" s="1049">
        <v>3460</v>
      </c>
      <c r="D274" s="1049">
        <v>3430</v>
      </c>
      <c r="E274" s="1049">
        <v>3560</v>
      </c>
      <c r="F274" s="1067">
        <v>690</v>
      </c>
      <c r="H274" s="1074"/>
    </row>
    <row r="275" spans="1:8" s="1043" customFormat="1" ht="14.25" customHeight="1" thickBot="1">
      <c r="A275" s="1055" t="s">
        <v>1405</v>
      </c>
      <c r="B275" s="1049" t="s">
        <v>1336</v>
      </c>
      <c r="C275" s="1049">
        <v>4040</v>
      </c>
      <c r="D275" s="1049">
        <v>4020</v>
      </c>
      <c r="E275" s="1049">
        <v>4160</v>
      </c>
      <c r="F275" s="1067">
        <v>820</v>
      </c>
      <c r="H275" s="1074"/>
    </row>
    <row r="276" spans="1:8" s="1043" customFormat="1" ht="14.25" customHeight="1" thickBot="1">
      <c r="A276" s="1055" t="s">
        <v>1405</v>
      </c>
      <c r="B276" s="1049" t="s">
        <v>1341</v>
      </c>
      <c r="C276" s="1049">
        <v>3270</v>
      </c>
      <c r="D276" s="1049">
        <v>3240</v>
      </c>
      <c r="E276" s="1049">
        <v>3350</v>
      </c>
      <c r="F276" s="1067">
        <v>680</v>
      </c>
      <c r="H276" s="1074"/>
    </row>
    <row r="277" spans="1:8" s="1043" customFormat="1" ht="14.25" customHeight="1" thickBot="1">
      <c r="A277" s="1055" t="s">
        <v>1405</v>
      </c>
      <c r="B277" s="1049" t="s">
        <v>1346</v>
      </c>
      <c r="C277" s="1049">
        <v>2930</v>
      </c>
      <c r="D277" s="1049">
        <v>2900</v>
      </c>
      <c r="E277" s="1049">
        <v>3000</v>
      </c>
      <c r="F277" s="1067">
        <v>640</v>
      </c>
      <c r="H277" s="1074"/>
    </row>
    <row r="278" spans="1:8" s="1043" customFormat="1" ht="14.25" customHeight="1" thickBot="1">
      <c r="A278" s="1055" t="s">
        <v>1405</v>
      </c>
      <c r="B278" s="1049" t="s">
        <v>1351</v>
      </c>
      <c r="C278" s="1049">
        <v>4080</v>
      </c>
      <c r="D278" s="1049">
        <v>4030</v>
      </c>
      <c r="E278" s="1049">
        <v>4140</v>
      </c>
      <c r="F278" s="1067">
        <v>850</v>
      </c>
      <c r="H278" s="1074"/>
    </row>
    <row r="279" spans="1:8" s="1043" customFormat="1" ht="14.25" customHeight="1" thickBot="1">
      <c r="A279" s="1055" t="s">
        <v>1405</v>
      </c>
      <c r="B279" s="1049" t="s">
        <v>1355</v>
      </c>
      <c r="C279" s="1049"/>
      <c r="D279" s="1049"/>
      <c r="E279" s="1049"/>
      <c r="F279" s="1067">
        <v>760</v>
      </c>
      <c r="H279" s="1074"/>
    </row>
    <row r="280" spans="1:8" s="1043" customFormat="1" ht="14.25" customHeight="1" thickBot="1">
      <c r="A280" s="1055" t="s">
        <v>1405</v>
      </c>
      <c r="B280" s="1049" t="s">
        <v>1359</v>
      </c>
      <c r="C280" s="1049"/>
      <c r="D280" s="1049"/>
      <c r="E280" s="1049"/>
      <c r="F280" s="1067">
        <v>760</v>
      </c>
      <c r="H280" s="1074"/>
    </row>
    <row r="281" spans="1:8" s="1043" customFormat="1" ht="14.25" customHeight="1" thickBot="1">
      <c r="A281" s="1055" t="s">
        <v>1405</v>
      </c>
      <c r="B281" s="1049" t="s">
        <v>1363</v>
      </c>
      <c r="C281" s="1049"/>
      <c r="D281" s="1049"/>
      <c r="E281" s="1049"/>
      <c r="F281" s="1067">
        <v>780</v>
      </c>
      <c r="H281" s="1074"/>
    </row>
    <row r="282" spans="1:8" s="1043" customFormat="1" ht="14.25" customHeight="1" thickBot="1">
      <c r="A282" s="1055" t="s">
        <v>1405</v>
      </c>
      <c r="B282" s="1049" t="s">
        <v>1367</v>
      </c>
      <c r="C282" s="1049"/>
      <c r="D282" s="1049"/>
      <c r="E282" s="1049"/>
      <c r="F282" s="1067">
        <v>730</v>
      </c>
      <c r="H282" s="1074"/>
    </row>
    <row r="283" spans="1:8" s="1043" customFormat="1" ht="14.25" customHeight="1" thickBot="1">
      <c r="A283" s="1055" t="s">
        <v>1405</v>
      </c>
      <c r="B283" s="1049" t="s">
        <v>1371</v>
      </c>
      <c r="C283" s="1049"/>
      <c r="D283" s="1049"/>
      <c r="E283" s="1049"/>
      <c r="F283" s="1067">
        <v>770</v>
      </c>
      <c r="H283" s="1074"/>
    </row>
    <row r="284" spans="1:8" s="1043" customFormat="1" ht="14.25" customHeight="1" thickBot="1">
      <c r="A284" s="1055" t="s">
        <v>1405</v>
      </c>
      <c r="B284" s="1049" t="s">
        <v>1374</v>
      </c>
      <c r="C284" s="1049"/>
      <c r="D284" s="1049"/>
      <c r="E284" s="1049"/>
      <c r="F284" s="1067">
        <v>640</v>
      </c>
      <c r="H284" s="1074"/>
    </row>
    <row r="285" spans="1:8" s="1043" customFormat="1" ht="14.25" customHeight="1" thickBot="1">
      <c r="A285" s="1055" t="s">
        <v>1405</v>
      </c>
      <c r="B285" s="1049" t="s">
        <v>1377</v>
      </c>
      <c r="C285" s="1049"/>
      <c r="D285" s="1049"/>
      <c r="E285" s="1049"/>
      <c r="F285" s="1067">
        <v>640</v>
      </c>
      <c r="H285" s="1074"/>
    </row>
    <row r="286" spans="1:8" s="1043" customFormat="1" ht="14.25" customHeight="1" thickBot="1">
      <c r="A286" s="1055" t="s">
        <v>1405</v>
      </c>
      <c r="B286" s="1049" t="s">
        <v>1380</v>
      </c>
      <c r="C286" s="1049"/>
      <c r="D286" s="1049"/>
      <c r="E286" s="1049"/>
      <c r="F286" s="1067">
        <v>850</v>
      </c>
      <c r="H286" s="1074"/>
    </row>
    <row r="287" spans="1:8" s="1043" customFormat="1" ht="14.25" customHeight="1" thickBot="1">
      <c r="A287" s="1055" t="s">
        <v>1405</v>
      </c>
      <c r="B287" s="1049" t="s">
        <v>1383</v>
      </c>
      <c r="C287" s="1049"/>
      <c r="D287" s="1049"/>
      <c r="E287" s="1049"/>
      <c r="F287" s="1067">
        <v>760</v>
      </c>
      <c r="H287" s="1074"/>
    </row>
    <row r="288" spans="1:8" s="1043" customFormat="1" ht="14.25" customHeight="1" thickBot="1">
      <c r="A288" s="1055" t="s">
        <v>1405</v>
      </c>
      <c r="B288" s="1049" t="s">
        <v>1386</v>
      </c>
      <c r="C288" s="1049"/>
      <c r="D288" s="1049"/>
      <c r="E288" s="1049"/>
      <c r="F288" s="1067">
        <v>830</v>
      </c>
      <c r="H288" s="1074"/>
    </row>
    <row r="289" spans="1:8" s="1043" customFormat="1" ht="14.25" customHeight="1" thickBot="1">
      <c r="A289" s="1055" t="s">
        <v>1405</v>
      </c>
      <c r="B289" s="1065" t="s">
        <v>1389</v>
      </c>
      <c r="C289" s="1065"/>
      <c r="D289" s="1065"/>
      <c r="E289" s="1065"/>
      <c r="F289" s="1075">
        <v>680</v>
      </c>
      <c r="H289" s="1074"/>
    </row>
    <row r="290" spans="1:8" s="1043" customFormat="1" ht="14.25" customHeight="1" thickBot="1">
      <c r="A290" s="1055" t="s">
        <v>1409</v>
      </c>
      <c r="B290" s="1056" t="s">
        <v>1410</v>
      </c>
      <c r="C290" s="1056">
        <v>2770</v>
      </c>
      <c r="D290" s="1056">
        <v>2740</v>
      </c>
      <c r="E290" s="1056">
        <v>2720</v>
      </c>
      <c r="F290" s="1078"/>
      <c r="H290" s="1074"/>
    </row>
    <row r="291" spans="1:8" s="1043" customFormat="1" ht="14.25" customHeight="1" thickBot="1">
      <c r="A291" s="1055" t="s">
        <v>1409</v>
      </c>
      <c r="B291" s="1049" t="s">
        <v>1069</v>
      </c>
      <c r="C291" s="1049">
        <v>2670</v>
      </c>
      <c r="D291" s="1049">
        <v>2640</v>
      </c>
      <c r="E291" s="1049">
        <v>2620</v>
      </c>
      <c r="F291" s="1076"/>
      <c r="H291" s="1074"/>
    </row>
    <row r="292" spans="1:8" s="1043" customFormat="1" ht="14.25" customHeight="1" thickBot="1">
      <c r="A292" s="1055" t="s">
        <v>1409</v>
      </c>
      <c r="B292" s="1049" t="s">
        <v>1411</v>
      </c>
      <c r="C292" s="1049">
        <v>2180</v>
      </c>
      <c r="D292" s="1049">
        <v>2140</v>
      </c>
      <c r="E292" s="1049">
        <v>2120</v>
      </c>
      <c r="F292" s="1067">
        <v>490</v>
      </c>
      <c r="H292" s="1074"/>
    </row>
    <row r="293" spans="1:8" s="1043" customFormat="1" ht="14.25" customHeight="1" thickBot="1">
      <c r="A293" s="1055" t="s">
        <v>1409</v>
      </c>
      <c r="B293" s="1049" t="s">
        <v>1412</v>
      </c>
      <c r="C293" s="1049"/>
      <c r="D293" s="1049"/>
      <c r="E293" s="1049"/>
      <c r="F293" s="1067">
        <v>470</v>
      </c>
      <c r="H293" s="1074"/>
    </row>
    <row r="294" spans="1:8" s="1043" customFormat="1" ht="14.25" customHeight="1" thickBot="1">
      <c r="A294" s="1055" t="s">
        <v>1409</v>
      </c>
      <c r="B294" s="1049" t="s">
        <v>1413</v>
      </c>
      <c r="C294" s="1049">
        <v>2730</v>
      </c>
      <c r="D294" s="1049">
        <v>2700</v>
      </c>
      <c r="E294" s="1049">
        <v>2680</v>
      </c>
      <c r="F294" s="1067">
        <v>490</v>
      </c>
      <c r="H294" s="1074"/>
    </row>
    <row r="295" spans="1:8" s="1043" customFormat="1" ht="14.25" customHeight="1" thickBot="1">
      <c r="A295" s="1055" t="s">
        <v>1409</v>
      </c>
      <c r="B295" s="1049" t="s">
        <v>1110</v>
      </c>
      <c r="C295" s="1049">
        <v>2380</v>
      </c>
      <c r="D295" s="1049">
        <v>2350</v>
      </c>
      <c r="E295" s="1049">
        <v>2330</v>
      </c>
      <c r="F295" s="1067">
        <v>530</v>
      </c>
      <c r="H295" s="1074"/>
    </row>
    <row r="296" spans="1:8" s="1043" customFormat="1" ht="14.25" customHeight="1" thickBot="1">
      <c r="A296" s="1055" t="s">
        <v>1409</v>
      </c>
      <c r="B296" s="1049" t="s">
        <v>1121</v>
      </c>
      <c r="C296" s="1049">
        <v>2650</v>
      </c>
      <c r="D296" s="1049">
        <v>2620</v>
      </c>
      <c r="E296" s="1049">
        <v>2590</v>
      </c>
      <c r="F296" s="1067">
        <v>590</v>
      </c>
      <c r="H296" s="1074"/>
    </row>
    <row r="297" spans="1:8" s="1043" customFormat="1" ht="14.25" customHeight="1" thickBot="1">
      <c r="A297" s="1055" t="s">
        <v>1409</v>
      </c>
      <c r="B297" s="1049" t="s">
        <v>1132</v>
      </c>
      <c r="C297" s="1049">
        <v>2700</v>
      </c>
      <c r="D297" s="1049">
        <v>2670</v>
      </c>
      <c r="E297" s="1049">
        <v>2650</v>
      </c>
      <c r="F297" s="1067">
        <v>630</v>
      </c>
      <c r="H297" s="1074"/>
    </row>
    <row r="298" spans="1:8" s="1043" customFormat="1" ht="14.25" customHeight="1" thickBot="1">
      <c r="A298" s="1055" t="s">
        <v>1409</v>
      </c>
      <c r="B298" s="1049" t="s">
        <v>1143</v>
      </c>
      <c r="C298" s="1049">
        <v>2650</v>
      </c>
      <c r="D298" s="1049">
        <v>2620</v>
      </c>
      <c r="E298" s="1049">
        <v>2590</v>
      </c>
      <c r="F298" s="1067">
        <v>640</v>
      </c>
      <c r="H298" s="1074"/>
    </row>
    <row r="299" spans="1:8" s="1043" customFormat="1" ht="14.25" customHeight="1" thickBot="1">
      <c r="A299" s="1055" t="s">
        <v>1409</v>
      </c>
      <c r="B299" s="1049" t="s">
        <v>1155</v>
      </c>
      <c r="C299" s="1049">
        <v>2500</v>
      </c>
      <c r="D299" s="1049">
        <v>2480</v>
      </c>
      <c r="E299" s="1049">
        <v>2460</v>
      </c>
      <c r="F299" s="1076"/>
      <c r="H299" s="1074"/>
    </row>
    <row r="300" spans="1:8" s="1043" customFormat="1" ht="14.25" customHeight="1" thickBot="1">
      <c r="A300" s="1055" t="s">
        <v>1409</v>
      </c>
      <c r="B300" s="1049" t="s">
        <v>1165</v>
      </c>
      <c r="C300" s="1049">
        <v>2760</v>
      </c>
      <c r="D300" s="1049">
        <v>2730</v>
      </c>
      <c r="E300" s="1049">
        <v>2700</v>
      </c>
      <c r="F300" s="1067">
        <v>630</v>
      </c>
      <c r="H300" s="1074"/>
    </row>
    <row r="301" spans="1:8" s="1043" customFormat="1" ht="14.25" customHeight="1" thickBot="1">
      <c r="A301" s="1055" t="s">
        <v>1409</v>
      </c>
      <c r="B301" s="1049" t="s">
        <v>1175</v>
      </c>
      <c r="C301" s="1049">
        <v>2510</v>
      </c>
      <c r="D301" s="1049">
        <v>2480</v>
      </c>
      <c r="E301" s="1049">
        <v>2460</v>
      </c>
      <c r="F301" s="1076"/>
      <c r="H301" s="1074"/>
    </row>
    <row r="302" spans="1:8" s="1043" customFormat="1" ht="14.25" customHeight="1" thickBot="1">
      <c r="A302" s="1055" t="s">
        <v>1409</v>
      </c>
      <c r="B302" s="1049" t="s">
        <v>1185</v>
      </c>
      <c r="C302" s="1049">
        <v>2480</v>
      </c>
      <c r="D302" s="1049">
        <v>2450</v>
      </c>
      <c r="E302" s="1049">
        <v>2420</v>
      </c>
      <c r="F302" s="1067">
        <v>600</v>
      </c>
      <c r="H302" s="1074"/>
    </row>
    <row r="303" spans="1:8" s="1043" customFormat="1" ht="14.25" customHeight="1" thickBot="1">
      <c r="A303" s="1055" t="s">
        <v>1409</v>
      </c>
      <c r="B303" s="1049" t="s">
        <v>1195</v>
      </c>
      <c r="C303" s="1049">
        <v>2270</v>
      </c>
      <c r="D303" s="1049">
        <v>2240</v>
      </c>
      <c r="E303" s="1049">
        <v>2210</v>
      </c>
      <c r="F303" s="1067">
        <v>540</v>
      </c>
      <c r="H303" s="1074"/>
    </row>
    <row r="304" spans="1:8" s="1043" customFormat="1" ht="14.25" customHeight="1" thickBot="1">
      <c r="A304" s="1055" t="s">
        <v>1409</v>
      </c>
      <c r="B304" s="1049" t="s">
        <v>1205</v>
      </c>
      <c r="C304" s="1049">
        <v>2310</v>
      </c>
      <c r="D304" s="1049">
        <v>2290</v>
      </c>
      <c r="E304" s="1049">
        <v>2270</v>
      </c>
      <c r="F304" s="1076"/>
      <c r="H304" s="1074"/>
    </row>
    <row r="305" spans="1:8" s="1043" customFormat="1" ht="14.25" customHeight="1" thickBot="1">
      <c r="A305" s="1055" t="s">
        <v>1409</v>
      </c>
      <c r="B305" s="1049" t="s">
        <v>1215</v>
      </c>
      <c r="C305" s="1049">
        <v>2490</v>
      </c>
      <c r="D305" s="1049">
        <v>2470</v>
      </c>
      <c r="E305" s="1049">
        <v>2440</v>
      </c>
      <c r="F305" s="1067">
        <v>560</v>
      </c>
      <c r="H305" s="1074"/>
    </row>
    <row r="306" spans="1:8" s="1043" customFormat="1" ht="14.25" customHeight="1" thickBot="1">
      <c r="A306" s="1055" t="s">
        <v>1409</v>
      </c>
      <c r="B306" s="1049" t="s">
        <v>1225</v>
      </c>
      <c r="C306" s="1049">
        <v>2420</v>
      </c>
      <c r="D306" s="1049">
        <v>2400</v>
      </c>
      <c r="E306" s="1049">
        <v>2380</v>
      </c>
      <c r="F306" s="1076"/>
      <c r="H306" s="1074"/>
    </row>
    <row r="307" spans="1:8" s="1043" customFormat="1" ht="14.25" customHeight="1" thickBot="1">
      <c r="A307" s="1055" t="s">
        <v>1409</v>
      </c>
      <c r="B307" s="1049" t="s">
        <v>1235</v>
      </c>
      <c r="C307" s="1049">
        <v>2770</v>
      </c>
      <c r="D307" s="1049">
        <v>2740</v>
      </c>
      <c r="E307" s="1049">
        <v>2710</v>
      </c>
      <c r="F307" s="1067">
        <v>650</v>
      </c>
      <c r="H307" s="1074"/>
    </row>
    <row r="308" spans="1:8" s="1043" customFormat="1" ht="14.25" customHeight="1" thickBot="1">
      <c r="A308" s="1055" t="s">
        <v>1409</v>
      </c>
      <c r="B308" s="1049" t="s">
        <v>1245</v>
      </c>
      <c r="C308" s="1049">
        <v>2610</v>
      </c>
      <c r="D308" s="1049">
        <v>2580</v>
      </c>
      <c r="E308" s="1049">
        <v>2550</v>
      </c>
      <c r="F308" s="1067">
        <v>580</v>
      </c>
      <c r="H308" s="1074"/>
    </row>
    <row r="309" spans="1:8" s="1043" customFormat="1" ht="14.25" customHeight="1" thickBot="1">
      <c r="A309" s="1055" t="s">
        <v>1409</v>
      </c>
      <c r="B309" s="1049" t="s">
        <v>1255</v>
      </c>
      <c r="C309" s="1049">
        <v>2690</v>
      </c>
      <c r="D309" s="1049">
        <v>2670</v>
      </c>
      <c r="E309" s="1049">
        <v>2650</v>
      </c>
      <c r="F309" s="1076"/>
      <c r="H309" s="1074"/>
    </row>
    <row r="310" spans="1:8" s="1043" customFormat="1" ht="14.25" customHeight="1" thickBot="1">
      <c r="A310" s="1055" t="s">
        <v>1409</v>
      </c>
      <c r="B310" s="1049" t="s">
        <v>1264</v>
      </c>
      <c r="C310" s="1049">
        <v>2360</v>
      </c>
      <c r="D310" s="1049">
        <v>2330</v>
      </c>
      <c r="E310" s="1049">
        <v>2310</v>
      </c>
      <c r="F310" s="1067">
        <v>560</v>
      </c>
      <c r="H310" s="1074"/>
    </row>
    <row r="311" spans="1:8" s="1043" customFormat="1" ht="14.25" customHeight="1" thickBot="1">
      <c r="A311" s="1055" t="s">
        <v>1409</v>
      </c>
      <c r="B311" s="1049" t="s">
        <v>1273</v>
      </c>
      <c r="C311" s="1049">
        <v>1970</v>
      </c>
      <c r="D311" s="1049">
        <v>1950</v>
      </c>
      <c r="E311" s="1049">
        <v>1920</v>
      </c>
      <c r="F311" s="1067">
        <v>470</v>
      </c>
      <c r="H311" s="1074"/>
    </row>
    <row r="312" spans="1:8" s="1043" customFormat="1" ht="14.25" customHeight="1" thickBot="1">
      <c r="A312" s="1055" t="s">
        <v>1409</v>
      </c>
      <c r="B312" s="1049" t="s">
        <v>1281</v>
      </c>
      <c r="C312" s="1049">
        <v>2230</v>
      </c>
      <c r="D312" s="1049">
        <v>2200</v>
      </c>
      <c r="E312" s="1049">
        <v>2170</v>
      </c>
      <c r="F312" s="1067">
        <v>460</v>
      </c>
      <c r="H312" s="1074"/>
    </row>
    <row r="313" spans="1:8" s="1043" customFormat="1" ht="14.25" customHeight="1" thickBot="1">
      <c r="A313" s="1055" t="s">
        <v>1409</v>
      </c>
      <c r="B313" s="1049" t="s">
        <v>1288</v>
      </c>
      <c r="C313" s="1049">
        <v>2770</v>
      </c>
      <c r="D313" s="1049">
        <v>2740</v>
      </c>
      <c r="E313" s="1049">
        <v>2710</v>
      </c>
      <c r="F313" s="1067">
        <v>610</v>
      </c>
      <c r="H313" s="1074"/>
    </row>
    <row r="314" spans="1:8" s="1043" customFormat="1" ht="14.25" customHeight="1" thickBot="1">
      <c r="A314" s="1055" t="s">
        <v>1409</v>
      </c>
      <c r="B314" s="1049" t="s">
        <v>1295</v>
      </c>
      <c r="C314" s="1049"/>
      <c r="D314" s="1049"/>
      <c r="E314" s="1049"/>
      <c r="F314" s="1067">
        <v>490</v>
      </c>
      <c r="H314" s="1074"/>
    </row>
    <row r="315" spans="1:8" s="1043" customFormat="1" ht="14.25" customHeight="1" thickBot="1">
      <c r="A315" s="1055" t="s">
        <v>1409</v>
      </c>
      <c r="B315" s="1049" t="s">
        <v>1302</v>
      </c>
      <c r="C315" s="1049"/>
      <c r="D315" s="1049"/>
      <c r="E315" s="1049"/>
      <c r="F315" s="1067">
        <v>520</v>
      </c>
      <c r="H315" s="1074"/>
    </row>
    <row r="316" spans="1:8" s="1043" customFormat="1" ht="14.25" customHeight="1" thickBot="1">
      <c r="A316" s="1055" t="s">
        <v>1409</v>
      </c>
      <c r="B316" s="1065" t="s">
        <v>1309</v>
      </c>
      <c r="C316" s="1065"/>
      <c r="D316" s="1065"/>
      <c r="E316" s="1065"/>
      <c r="F316" s="1075">
        <v>460</v>
      </c>
      <c r="H316" s="1074"/>
    </row>
    <row r="317" spans="1:8" s="1043" customFormat="1" ht="14.25" customHeight="1" thickBot="1">
      <c r="A317" s="1055" t="s">
        <v>907</v>
      </c>
      <c r="B317" s="1056" t="s">
        <v>1414</v>
      </c>
      <c r="C317" s="1056">
        <v>1200</v>
      </c>
      <c r="D317" s="1056">
        <v>1180</v>
      </c>
      <c r="E317" s="1056">
        <v>1160</v>
      </c>
      <c r="F317" s="1057">
        <v>370</v>
      </c>
      <c r="H317" s="1040"/>
    </row>
    <row r="318" spans="1:8" s="1043" customFormat="1" ht="14.25" customHeight="1" thickBot="1">
      <c r="A318" s="1055" t="s">
        <v>907</v>
      </c>
      <c r="B318" s="1049" t="s">
        <v>1415</v>
      </c>
      <c r="C318" s="1049">
        <v>1090</v>
      </c>
      <c r="D318" s="1049">
        <v>1060</v>
      </c>
      <c r="E318" s="1049">
        <v>1040</v>
      </c>
      <c r="F318" s="1076"/>
      <c r="H318" s="1040"/>
    </row>
    <row r="319" spans="1:8" s="1043" customFormat="1" ht="14.25" customHeight="1" thickBot="1">
      <c r="A319" s="1055" t="s">
        <v>907</v>
      </c>
      <c r="B319" s="1049" t="s">
        <v>1416</v>
      </c>
      <c r="C319" s="1049">
        <v>1520</v>
      </c>
      <c r="D319" s="1049">
        <v>1470</v>
      </c>
      <c r="E319" s="1049">
        <v>1440</v>
      </c>
      <c r="F319" s="1067">
        <v>370</v>
      </c>
      <c r="H319" s="1040"/>
    </row>
    <row r="320" spans="1:8" s="1043" customFormat="1" ht="14.25" customHeight="1" thickBot="1">
      <c r="A320" s="1055" t="s">
        <v>907</v>
      </c>
      <c r="B320" s="1049" t="s">
        <v>1097</v>
      </c>
      <c r="C320" s="1049">
        <v>1360</v>
      </c>
      <c r="D320" s="1049">
        <v>1300</v>
      </c>
      <c r="E320" s="1049">
        <v>1270</v>
      </c>
      <c r="F320" s="1076"/>
      <c r="H320" s="1040"/>
    </row>
    <row r="321" spans="1:8" s="1043" customFormat="1" ht="14.25" customHeight="1" thickBot="1">
      <c r="A321" s="1055" t="s">
        <v>907</v>
      </c>
      <c r="B321" s="1049" t="s">
        <v>1111</v>
      </c>
      <c r="C321" s="1049">
        <v>1750</v>
      </c>
      <c r="D321" s="1049">
        <v>1690</v>
      </c>
      <c r="E321" s="1049">
        <v>1660</v>
      </c>
      <c r="F321" s="1076"/>
      <c r="H321" s="1040"/>
    </row>
    <row r="322" spans="1:8" s="1043" customFormat="1" ht="14.25" customHeight="1" thickBot="1">
      <c r="A322" s="1055" t="s">
        <v>907</v>
      </c>
      <c r="B322" s="1049" t="s">
        <v>1122</v>
      </c>
      <c r="C322" s="1049">
        <v>1650</v>
      </c>
      <c r="D322" s="1049">
        <v>1610</v>
      </c>
      <c r="E322" s="1049">
        <v>1580</v>
      </c>
      <c r="F322" s="1067">
        <v>500</v>
      </c>
      <c r="H322" s="1040"/>
    </row>
    <row r="323" spans="1:8" s="1043" customFormat="1" ht="14.25" customHeight="1" thickBot="1">
      <c r="A323" s="1055" t="s">
        <v>907</v>
      </c>
      <c r="B323" s="1049" t="s">
        <v>1133</v>
      </c>
      <c r="C323" s="1049">
        <v>1780</v>
      </c>
      <c r="D323" s="1049">
        <v>1740</v>
      </c>
      <c r="E323" s="1049">
        <v>1720</v>
      </c>
      <c r="F323" s="1076"/>
      <c r="H323" s="1040"/>
    </row>
    <row r="324" spans="1:8" s="1043" customFormat="1" ht="14.25" customHeight="1" thickBot="1">
      <c r="A324" s="1055" t="s">
        <v>907</v>
      </c>
      <c r="B324" s="1049" t="s">
        <v>1144</v>
      </c>
      <c r="C324" s="1049">
        <v>1650</v>
      </c>
      <c r="D324" s="1049">
        <v>1610</v>
      </c>
      <c r="E324" s="1049">
        <v>1580</v>
      </c>
      <c r="F324" s="1076"/>
      <c r="H324" s="1040"/>
    </row>
    <row r="325" spans="1:8" s="1043" customFormat="1" ht="14.25" customHeight="1" thickBot="1">
      <c r="A325" s="1055" t="s">
        <v>907</v>
      </c>
      <c r="B325" s="1049" t="s">
        <v>1156</v>
      </c>
      <c r="C325" s="1049">
        <v>1330</v>
      </c>
      <c r="D325" s="1049">
        <v>1270</v>
      </c>
      <c r="E325" s="1049">
        <v>1240</v>
      </c>
      <c r="F325" s="1067">
        <v>430</v>
      </c>
      <c r="H325" s="1040"/>
    </row>
    <row r="326" spans="1:8" s="1043" customFormat="1" ht="14.25" customHeight="1" thickBot="1">
      <c r="A326" s="1055" t="s">
        <v>907</v>
      </c>
      <c r="B326" s="1049" t="s">
        <v>1166</v>
      </c>
      <c r="C326" s="1049">
        <v>1470</v>
      </c>
      <c r="D326" s="1049">
        <v>1430</v>
      </c>
      <c r="E326" s="1049">
        <v>1400</v>
      </c>
      <c r="F326" s="1076"/>
      <c r="H326" s="1040"/>
    </row>
    <row r="327" spans="1:8" s="1043" customFormat="1" ht="14.25" customHeight="1" thickBot="1">
      <c r="A327" s="1055" t="s">
        <v>907</v>
      </c>
      <c r="B327" s="1049" t="s">
        <v>1176</v>
      </c>
      <c r="C327" s="1049">
        <v>1420</v>
      </c>
      <c r="D327" s="1049">
        <v>1380</v>
      </c>
      <c r="E327" s="1049">
        <v>1360</v>
      </c>
      <c r="F327" s="1067">
        <v>420</v>
      </c>
      <c r="H327" s="1040"/>
    </row>
    <row r="328" spans="1:8" s="1043" customFormat="1" ht="14.25" customHeight="1" thickBot="1">
      <c r="A328" s="1055" t="s">
        <v>907</v>
      </c>
      <c r="B328" s="1049" t="s">
        <v>1186</v>
      </c>
      <c r="C328" s="1049">
        <v>1400</v>
      </c>
      <c r="D328" s="1049">
        <v>1360</v>
      </c>
      <c r="E328" s="1049">
        <v>1330</v>
      </c>
      <c r="F328" s="1067">
        <v>460</v>
      </c>
      <c r="H328" s="1040"/>
    </row>
    <row r="329" spans="1:8" s="1043" customFormat="1" ht="14.25" customHeight="1" thickBot="1">
      <c r="A329" s="1055" t="s">
        <v>907</v>
      </c>
      <c r="B329" s="1049" t="s">
        <v>1196</v>
      </c>
      <c r="C329" s="1049">
        <v>1640</v>
      </c>
      <c r="D329" s="1049">
        <v>1610</v>
      </c>
      <c r="E329" s="1049">
        <v>1580</v>
      </c>
      <c r="F329" s="1067">
        <v>410</v>
      </c>
      <c r="H329" s="1040"/>
    </row>
    <row r="330" spans="1:8" s="1043" customFormat="1" ht="14.25" customHeight="1" thickBot="1">
      <c r="A330" s="1055" t="s">
        <v>907</v>
      </c>
      <c r="B330" s="1049" t="s">
        <v>1206</v>
      </c>
      <c r="C330" s="1049">
        <v>1260</v>
      </c>
      <c r="D330" s="1049">
        <v>1220</v>
      </c>
      <c r="E330" s="1049">
        <v>1200</v>
      </c>
      <c r="F330" s="1076"/>
      <c r="H330" s="1040"/>
    </row>
    <row r="331" spans="1:8" s="1043" customFormat="1" ht="14.25" customHeight="1" thickBot="1">
      <c r="A331" s="1055" t="s">
        <v>907</v>
      </c>
      <c r="B331" s="1049" t="s">
        <v>1216</v>
      </c>
      <c r="C331" s="1049">
        <v>1620</v>
      </c>
      <c r="D331" s="1049">
        <v>1560</v>
      </c>
      <c r="E331" s="1049">
        <v>1530</v>
      </c>
      <c r="F331" s="1067">
        <v>490</v>
      </c>
      <c r="H331" s="1040"/>
    </row>
    <row r="332" spans="1:8" s="1043" customFormat="1" ht="14.25" customHeight="1" thickBot="1">
      <c r="A332" s="1055" t="s">
        <v>907</v>
      </c>
      <c r="B332" s="1049" t="s">
        <v>1226</v>
      </c>
      <c r="C332" s="1049">
        <v>1520</v>
      </c>
      <c r="D332" s="1049">
        <v>1470</v>
      </c>
      <c r="E332" s="1049">
        <v>1440</v>
      </c>
      <c r="F332" s="1067">
        <v>440</v>
      </c>
      <c r="H332" s="1040"/>
    </row>
    <row r="333" spans="1:8" s="1043" customFormat="1" ht="14.25" customHeight="1" thickBot="1">
      <c r="A333" s="1055" t="s">
        <v>907</v>
      </c>
      <c r="B333" s="1049" t="s">
        <v>1236</v>
      </c>
      <c r="C333" s="1049">
        <v>1370</v>
      </c>
      <c r="D333" s="1049">
        <v>1320</v>
      </c>
      <c r="E333" s="1049">
        <v>1300</v>
      </c>
      <c r="F333" s="1067">
        <v>460</v>
      </c>
      <c r="H333" s="1040"/>
    </row>
    <row r="334" spans="1:8" s="1043" customFormat="1" ht="14.25" customHeight="1" thickBot="1">
      <c r="A334" s="1055" t="s">
        <v>907</v>
      </c>
      <c r="B334" s="1049" t="s">
        <v>1246</v>
      </c>
      <c r="C334" s="1049">
        <v>1410</v>
      </c>
      <c r="D334" s="1049">
        <v>1340</v>
      </c>
      <c r="E334" s="1049">
        <v>1310</v>
      </c>
      <c r="F334" s="1067">
        <v>410</v>
      </c>
      <c r="H334" s="1040"/>
    </row>
    <row r="335" spans="1:8" s="1043" customFormat="1" ht="14.25" customHeight="1" thickBot="1">
      <c r="A335" s="1055" t="s">
        <v>907</v>
      </c>
      <c r="B335" s="1049" t="s">
        <v>1256</v>
      </c>
      <c r="C335" s="1049">
        <v>1260</v>
      </c>
      <c r="D335" s="1049">
        <v>1220</v>
      </c>
      <c r="E335" s="1049">
        <v>1200</v>
      </c>
      <c r="F335" s="1076"/>
      <c r="H335" s="1040"/>
    </row>
    <row r="336" spans="1:8" s="1043" customFormat="1" ht="14.25" customHeight="1" thickBot="1">
      <c r="A336" s="1055" t="s">
        <v>907</v>
      </c>
      <c r="B336" s="1049" t="s">
        <v>1265</v>
      </c>
      <c r="C336" s="1049">
        <v>1160</v>
      </c>
      <c r="D336" s="1049">
        <v>1140</v>
      </c>
      <c r="E336" s="1049">
        <v>1120</v>
      </c>
      <c r="F336" s="1067">
        <v>430</v>
      </c>
      <c r="H336" s="1040"/>
    </row>
    <row r="337" spans="1:8" s="1043" customFormat="1" ht="14.25" customHeight="1" thickBot="1">
      <c r="A337" s="1055" t="s">
        <v>907</v>
      </c>
      <c r="B337" s="1065" t="s">
        <v>1274</v>
      </c>
      <c r="C337" s="1065"/>
      <c r="D337" s="1065"/>
      <c r="E337" s="1065"/>
      <c r="F337" s="1075">
        <v>380</v>
      </c>
      <c r="H337" s="1040"/>
    </row>
    <row r="338" spans="1:8" s="1043" customFormat="1" ht="14.25" customHeight="1" thickBot="1">
      <c r="A338" s="1055" t="s">
        <v>908</v>
      </c>
      <c r="B338" s="1056" t="s">
        <v>1417</v>
      </c>
      <c r="C338" s="1056">
        <v>880</v>
      </c>
      <c r="D338" s="1056">
        <v>850</v>
      </c>
      <c r="E338" s="1056">
        <v>830</v>
      </c>
      <c r="F338" s="1078"/>
      <c r="H338" s="1040"/>
    </row>
    <row r="339" spans="1:8" s="1043" customFormat="1" ht="14.25" customHeight="1" thickBot="1">
      <c r="A339" s="1055" t="s">
        <v>908</v>
      </c>
      <c r="B339" s="1049" t="s">
        <v>1418</v>
      </c>
      <c r="C339" s="1049">
        <v>830</v>
      </c>
      <c r="D339" s="1049">
        <v>800</v>
      </c>
      <c r="E339" s="1049">
        <v>780</v>
      </c>
      <c r="F339" s="1076"/>
      <c r="H339" s="1040"/>
    </row>
    <row r="340" spans="1:8" s="1043" customFormat="1" ht="14.25" customHeight="1" thickBot="1">
      <c r="A340" s="1055" t="s">
        <v>908</v>
      </c>
      <c r="B340" s="1049" t="s">
        <v>1419</v>
      </c>
      <c r="C340" s="1049">
        <v>980</v>
      </c>
      <c r="D340" s="1049">
        <v>950</v>
      </c>
      <c r="E340" s="1049">
        <v>920</v>
      </c>
      <c r="F340" s="1076"/>
      <c r="H340" s="1040"/>
    </row>
    <row r="341" spans="1:8" s="1043" customFormat="1" ht="14.25" customHeight="1" thickBot="1">
      <c r="A341" s="1055" t="s">
        <v>908</v>
      </c>
      <c r="B341" s="1049" t="s">
        <v>1420</v>
      </c>
      <c r="C341" s="1049">
        <v>760</v>
      </c>
      <c r="D341" s="1049">
        <v>720</v>
      </c>
      <c r="E341" s="1049">
        <v>690</v>
      </c>
      <c r="F341" s="1067">
        <v>350</v>
      </c>
      <c r="H341" s="1040"/>
    </row>
    <row r="342" spans="1:8" s="1043" customFormat="1" ht="14.25" customHeight="1" thickBot="1">
      <c r="A342" s="1055" t="s">
        <v>908</v>
      </c>
      <c r="B342" s="1049" t="s">
        <v>1112</v>
      </c>
      <c r="C342" s="1049">
        <v>910</v>
      </c>
      <c r="D342" s="1049">
        <v>870</v>
      </c>
      <c r="E342" s="1049">
        <v>850</v>
      </c>
      <c r="F342" s="1067">
        <v>370</v>
      </c>
      <c r="H342" s="1040"/>
    </row>
    <row r="343" spans="1:8" s="1043" customFormat="1" ht="14.25" customHeight="1" thickBot="1">
      <c r="A343" s="1055" t="s">
        <v>908</v>
      </c>
      <c r="B343" s="1049" t="s">
        <v>1123</v>
      </c>
      <c r="C343" s="1049">
        <v>800</v>
      </c>
      <c r="D343" s="1049">
        <v>760</v>
      </c>
      <c r="E343" s="1049">
        <v>730</v>
      </c>
      <c r="F343" s="1067">
        <v>340</v>
      </c>
      <c r="H343" s="1040"/>
    </row>
    <row r="344" spans="1:8" s="1043" customFormat="1" ht="14.25" customHeight="1" thickBot="1">
      <c r="A344" s="1055" t="s">
        <v>908</v>
      </c>
      <c r="B344" s="1065" t="s">
        <v>1134</v>
      </c>
      <c r="C344" s="1065">
        <v>720</v>
      </c>
      <c r="D344" s="1065">
        <v>690</v>
      </c>
      <c r="E344" s="1065">
        <v>660</v>
      </c>
      <c r="F344" s="1075">
        <v>300</v>
      </c>
      <c r="H344" s="1040"/>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15"/>
    <col min="2" max="16384" width="9" style="989"/>
  </cols>
  <sheetData>
    <row r="1" spans="1:14" ht="14.25">
      <c r="A1" s="987" t="s">
        <v>872</v>
      </c>
      <c r="B1" s="988"/>
      <c r="C1" s="988"/>
      <c r="D1" s="988"/>
      <c r="E1" s="988"/>
      <c r="F1" s="988"/>
      <c r="G1" s="988"/>
      <c r="H1" s="988"/>
      <c r="I1" s="988"/>
      <c r="J1" s="988"/>
      <c r="K1" s="988"/>
      <c r="L1" s="988"/>
      <c r="M1" s="988"/>
      <c r="N1" s="988"/>
    </row>
    <row r="2" spans="1:14">
      <c r="A2" s="990" t="s">
        <v>873</v>
      </c>
      <c r="B2" s="991" t="s">
        <v>874</v>
      </c>
      <c r="C2" s="991" t="s">
        <v>875</v>
      </c>
      <c r="D2" s="991" t="s">
        <v>876</v>
      </c>
      <c r="E2" s="991" t="s">
        <v>877</v>
      </c>
      <c r="F2" s="991" t="s">
        <v>878</v>
      </c>
      <c r="G2" s="991" t="s">
        <v>879</v>
      </c>
      <c r="H2" s="992" t="s">
        <v>880</v>
      </c>
      <c r="I2" s="992" t="s">
        <v>881</v>
      </c>
      <c r="J2" s="993" t="s">
        <v>882</v>
      </c>
      <c r="K2" s="993" t="s">
        <v>883</v>
      </c>
      <c r="L2" s="993" t="s">
        <v>884</v>
      </c>
      <c r="M2" s="993" t="s">
        <v>885</v>
      </c>
    </row>
    <row r="3" spans="1:14">
      <c r="A3" s="990">
        <v>0.1</v>
      </c>
      <c r="B3" s="999">
        <v>15.052</v>
      </c>
      <c r="C3" s="999">
        <v>15.052</v>
      </c>
      <c r="D3" s="999">
        <v>14.263</v>
      </c>
      <c r="E3" s="999">
        <v>14.263</v>
      </c>
      <c r="F3" s="999">
        <v>14.263</v>
      </c>
      <c r="G3" s="999">
        <v>14.263</v>
      </c>
      <c r="H3" s="999">
        <v>14.263</v>
      </c>
      <c r="I3" s="999">
        <v>14.097</v>
      </c>
      <c r="J3" s="999">
        <v>14.097</v>
      </c>
      <c r="K3" s="999">
        <v>14.097</v>
      </c>
      <c r="L3" s="999">
        <v>14.097</v>
      </c>
      <c r="M3" s="999">
        <v>14.097</v>
      </c>
      <c r="N3" s="1000"/>
    </row>
    <row r="4" spans="1:14">
      <c r="A4" s="990">
        <v>0.2</v>
      </c>
      <c r="B4" s="999">
        <v>7.5259999999999998</v>
      </c>
      <c r="C4" s="999">
        <v>7.5259999999999998</v>
      </c>
      <c r="D4" s="999">
        <v>7.1315</v>
      </c>
      <c r="E4" s="999">
        <v>7.1315</v>
      </c>
      <c r="F4" s="999">
        <v>7.1315</v>
      </c>
      <c r="G4" s="999">
        <v>7.1315</v>
      </c>
      <c r="H4" s="999">
        <v>7.1315</v>
      </c>
      <c r="I4" s="999">
        <v>7.0484999999999998</v>
      </c>
      <c r="J4" s="999">
        <v>7.0484999999999998</v>
      </c>
      <c r="K4" s="999">
        <v>7.0484999999999998</v>
      </c>
      <c r="L4" s="999">
        <v>7.0484999999999998</v>
      </c>
      <c r="M4" s="999">
        <v>7.0484999999999998</v>
      </c>
    </row>
    <row r="5" spans="1:14">
      <c r="A5" s="990">
        <v>0.3</v>
      </c>
      <c r="B5" s="999">
        <v>5.0172999999999996</v>
      </c>
      <c r="C5" s="999">
        <v>5.0172999999999996</v>
      </c>
      <c r="D5" s="999">
        <v>4.7542999999999997</v>
      </c>
      <c r="E5" s="999">
        <v>4.7542999999999997</v>
      </c>
      <c r="F5" s="999">
        <v>4.7542999999999997</v>
      </c>
      <c r="G5" s="999">
        <v>4.7542999999999997</v>
      </c>
      <c r="H5" s="999">
        <v>4.7542999999999997</v>
      </c>
      <c r="I5" s="999">
        <v>4.6989999999999998</v>
      </c>
      <c r="J5" s="999">
        <v>4.6989999999999998</v>
      </c>
      <c r="K5" s="999">
        <v>4.6989999999999998</v>
      </c>
      <c r="L5" s="999">
        <v>4.6989999999999998</v>
      </c>
      <c r="M5" s="999">
        <v>4.6989999999999998</v>
      </c>
    </row>
    <row r="6" spans="1:14">
      <c r="A6" s="990">
        <v>0.4</v>
      </c>
      <c r="B6" s="999">
        <v>3.7629999999999999</v>
      </c>
      <c r="C6" s="999">
        <v>3.7629999999999999</v>
      </c>
      <c r="D6" s="999">
        <v>3.5657999999999999</v>
      </c>
      <c r="E6" s="999">
        <v>3.5657999999999999</v>
      </c>
      <c r="F6" s="999">
        <v>3.5657999999999999</v>
      </c>
      <c r="G6" s="999">
        <v>3.5657999999999999</v>
      </c>
      <c r="H6" s="999">
        <v>3.5657999999999999</v>
      </c>
      <c r="I6" s="999">
        <v>3.5243000000000002</v>
      </c>
      <c r="J6" s="999">
        <v>3.5243000000000002</v>
      </c>
      <c r="K6" s="999">
        <v>3.5243000000000002</v>
      </c>
      <c r="L6" s="999">
        <v>3.5243000000000002</v>
      </c>
      <c r="M6" s="999">
        <v>3.5243000000000002</v>
      </c>
    </row>
    <row r="7" spans="1:14">
      <c r="A7" s="990">
        <v>0.5</v>
      </c>
      <c r="B7" s="999">
        <v>3.0104000000000002</v>
      </c>
      <c r="C7" s="999">
        <v>3.0104000000000002</v>
      </c>
      <c r="D7" s="999">
        <v>2.8525999999999998</v>
      </c>
      <c r="E7" s="999">
        <v>2.8525999999999998</v>
      </c>
      <c r="F7" s="999">
        <v>2.8525999999999998</v>
      </c>
      <c r="G7" s="999">
        <v>2.8525999999999998</v>
      </c>
      <c r="H7" s="999">
        <v>2.8525999999999998</v>
      </c>
      <c r="I7" s="999">
        <v>2.8193999999999999</v>
      </c>
      <c r="J7" s="999">
        <v>2.8193999999999999</v>
      </c>
      <c r="K7" s="999">
        <v>2.8193999999999999</v>
      </c>
      <c r="L7" s="999">
        <v>2.8193999999999999</v>
      </c>
      <c r="M7" s="999">
        <v>2.8193999999999999</v>
      </c>
    </row>
    <row r="8" spans="1:14">
      <c r="A8" s="990">
        <v>0.6</v>
      </c>
      <c r="B8" s="999">
        <v>2.5087000000000002</v>
      </c>
      <c r="C8" s="999">
        <v>2.5087000000000002</v>
      </c>
      <c r="D8" s="999">
        <v>2.3772000000000002</v>
      </c>
      <c r="E8" s="999">
        <v>2.3772000000000002</v>
      </c>
      <c r="F8" s="999">
        <v>2.3772000000000002</v>
      </c>
      <c r="G8" s="999">
        <v>2.3772000000000002</v>
      </c>
      <c r="H8" s="999">
        <v>2.3772000000000002</v>
      </c>
      <c r="I8" s="999">
        <v>2.3494999999999999</v>
      </c>
      <c r="J8" s="999">
        <v>2.3494999999999999</v>
      </c>
      <c r="K8" s="999">
        <v>2.3494999999999999</v>
      </c>
      <c r="L8" s="999">
        <v>2.3494999999999999</v>
      </c>
      <c r="M8" s="999">
        <v>2.3494999999999999</v>
      </c>
    </row>
    <row r="9" spans="1:14">
      <c r="A9" s="990">
        <v>0.7</v>
      </c>
      <c r="B9" s="999">
        <v>2.1503000000000001</v>
      </c>
      <c r="C9" s="999">
        <v>2.1503000000000001</v>
      </c>
      <c r="D9" s="999">
        <v>2.0375999999999999</v>
      </c>
      <c r="E9" s="999">
        <v>2.0375999999999999</v>
      </c>
      <c r="F9" s="999">
        <v>2.0375999999999999</v>
      </c>
      <c r="G9" s="999">
        <v>2.0375999999999999</v>
      </c>
      <c r="H9" s="999">
        <v>2.0375999999999999</v>
      </c>
      <c r="I9" s="999">
        <v>2.0139</v>
      </c>
      <c r="J9" s="999">
        <v>2.0139</v>
      </c>
      <c r="K9" s="999">
        <v>2.0139</v>
      </c>
      <c r="L9" s="999">
        <v>2.0139</v>
      </c>
      <c r="M9" s="999">
        <v>2.0139</v>
      </c>
    </row>
    <row r="10" spans="1:14">
      <c r="A10" s="990">
        <v>0.8</v>
      </c>
      <c r="B10" s="999">
        <v>1.8815</v>
      </c>
      <c r="C10" s="999">
        <v>1.8815</v>
      </c>
      <c r="D10" s="999">
        <v>1.7828999999999999</v>
      </c>
      <c r="E10" s="999">
        <v>1.7828999999999999</v>
      </c>
      <c r="F10" s="999">
        <v>1.7828999999999999</v>
      </c>
      <c r="G10" s="999">
        <v>1.7828999999999999</v>
      </c>
      <c r="H10" s="999">
        <v>1.7828999999999999</v>
      </c>
      <c r="I10" s="999">
        <v>1.7621</v>
      </c>
      <c r="J10" s="999">
        <v>1.7621</v>
      </c>
      <c r="K10" s="999">
        <v>1.7621</v>
      </c>
      <c r="L10" s="999">
        <v>1.7621</v>
      </c>
      <c r="M10" s="999">
        <v>1.7621</v>
      </c>
    </row>
    <row r="11" spans="1:14">
      <c r="A11" s="990">
        <v>0.9</v>
      </c>
      <c r="B11" s="999">
        <v>1.6724000000000001</v>
      </c>
      <c r="C11" s="999">
        <v>1.6724000000000001</v>
      </c>
      <c r="D11" s="999">
        <v>1.5848</v>
      </c>
      <c r="E11" s="999">
        <v>1.5848</v>
      </c>
      <c r="F11" s="999">
        <v>1.5848</v>
      </c>
      <c r="G11" s="999">
        <v>1.5848</v>
      </c>
      <c r="H11" s="999">
        <v>1.5848</v>
      </c>
      <c r="I11" s="999">
        <v>1.5663</v>
      </c>
      <c r="J11" s="999">
        <v>1.5663</v>
      </c>
      <c r="K11" s="999">
        <v>1.5663</v>
      </c>
      <c r="L11" s="999">
        <v>1.5663</v>
      </c>
      <c r="M11" s="999">
        <v>1.5663</v>
      </c>
    </row>
    <row r="12" spans="1:14">
      <c r="A12" s="990">
        <v>1</v>
      </c>
      <c r="B12" s="999">
        <v>1.5052000000000001</v>
      </c>
      <c r="C12" s="999">
        <v>1.5052000000000001</v>
      </c>
      <c r="D12" s="999">
        <v>1.4262999999999999</v>
      </c>
      <c r="E12" s="999">
        <v>1.4262999999999999</v>
      </c>
      <c r="F12" s="999">
        <v>1.4262999999999999</v>
      </c>
      <c r="G12" s="999">
        <v>1.4262999999999999</v>
      </c>
      <c r="H12" s="999">
        <v>1.4262999999999999</v>
      </c>
      <c r="I12" s="999">
        <v>1.4097</v>
      </c>
      <c r="J12" s="999">
        <v>1.4097</v>
      </c>
      <c r="K12" s="999">
        <v>1.4097</v>
      </c>
      <c r="L12" s="999">
        <v>1.4097</v>
      </c>
      <c r="M12" s="999">
        <v>1.4097</v>
      </c>
    </row>
    <row r="13" spans="1:14">
      <c r="A13" s="990">
        <v>1.1000000000000001</v>
      </c>
      <c r="B13" s="999">
        <v>1.4509000000000001</v>
      </c>
      <c r="C13" s="999">
        <v>1.4509000000000001</v>
      </c>
      <c r="D13" s="999">
        <v>1.3697999999999999</v>
      </c>
      <c r="E13" s="999">
        <v>1.3697999999999999</v>
      </c>
      <c r="F13" s="999">
        <v>1.3697999999999999</v>
      </c>
      <c r="G13" s="999">
        <v>1.3697999999999999</v>
      </c>
      <c r="H13" s="999">
        <v>1.3697999999999999</v>
      </c>
      <c r="I13" s="999">
        <v>1.343</v>
      </c>
      <c r="J13" s="999">
        <v>1.343</v>
      </c>
      <c r="K13" s="999">
        <v>1.343</v>
      </c>
      <c r="L13" s="999">
        <v>1.343</v>
      </c>
      <c r="M13" s="999">
        <v>1.343</v>
      </c>
    </row>
    <row r="14" spans="1:14">
      <c r="A14" s="990">
        <v>1.2</v>
      </c>
      <c r="B14" s="999">
        <v>1.4035</v>
      </c>
      <c r="C14" s="999">
        <v>1.4035</v>
      </c>
      <c r="D14" s="999">
        <v>1.3205</v>
      </c>
      <c r="E14" s="999">
        <v>1.3205</v>
      </c>
      <c r="F14" s="999">
        <v>1.3205</v>
      </c>
      <c r="G14" s="999">
        <v>1.3205</v>
      </c>
      <c r="H14" s="999">
        <v>1.3205</v>
      </c>
      <c r="I14" s="999">
        <v>1.2845</v>
      </c>
      <c r="J14" s="999">
        <v>1.2845</v>
      </c>
      <c r="K14" s="999">
        <v>1.2845</v>
      </c>
      <c r="L14" s="999">
        <v>1.2845</v>
      </c>
      <c r="M14" s="999">
        <v>1.2845</v>
      </c>
    </row>
    <row r="15" spans="1:14">
      <c r="A15" s="990">
        <v>1.3</v>
      </c>
      <c r="B15" s="999">
        <v>1.3622000000000001</v>
      </c>
      <c r="C15" s="999">
        <v>1.3622000000000001</v>
      </c>
      <c r="D15" s="999">
        <v>1.2775000000000001</v>
      </c>
      <c r="E15" s="999">
        <v>1.2775000000000001</v>
      </c>
      <c r="F15" s="999">
        <v>1.2775000000000001</v>
      </c>
      <c r="G15" s="999">
        <v>1.2775000000000001</v>
      </c>
      <c r="H15" s="999">
        <v>1.2775000000000001</v>
      </c>
      <c r="I15" s="999">
        <v>1.2332000000000001</v>
      </c>
      <c r="J15" s="999">
        <v>1.2332000000000001</v>
      </c>
      <c r="K15" s="999">
        <v>1.2332000000000001</v>
      </c>
      <c r="L15" s="999">
        <v>1.2332000000000001</v>
      </c>
      <c r="M15" s="999">
        <v>1.2332000000000001</v>
      </c>
    </row>
    <row r="16" spans="1:14">
      <c r="A16" s="990">
        <v>1.4</v>
      </c>
      <c r="B16" s="999">
        <v>1.3262</v>
      </c>
      <c r="C16" s="999">
        <v>1.3262</v>
      </c>
      <c r="D16" s="999">
        <v>1.2402</v>
      </c>
      <c r="E16" s="999">
        <v>1.2402</v>
      </c>
      <c r="F16" s="999">
        <v>1.2402</v>
      </c>
      <c r="G16" s="999">
        <v>1.2402</v>
      </c>
      <c r="H16" s="999">
        <v>1.2402</v>
      </c>
      <c r="I16" s="999">
        <v>1.1881999999999999</v>
      </c>
      <c r="J16" s="999">
        <v>1.1881999999999999</v>
      </c>
      <c r="K16" s="999">
        <v>1.1881999999999999</v>
      </c>
      <c r="L16" s="999">
        <v>1.1881999999999999</v>
      </c>
      <c r="M16" s="999">
        <v>1.1881999999999999</v>
      </c>
      <c r="N16" s="1000"/>
    </row>
    <row r="17" spans="1:14">
      <c r="A17" s="990">
        <v>1.5</v>
      </c>
      <c r="B17" s="999">
        <v>1.2948</v>
      </c>
      <c r="C17" s="999">
        <v>1.2948</v>
      </c>
      <c r="D17" s="999">
        <v>1.2075</v>
      </c>
      <c r="E17" s="999">
        <v>1.2075</v>
      </c>
      <c r="F17" s="999">
        <v>1.2075</v>
      </c>
      <c r="G17" s="999">
        <v>1.2075</v>
      </c>
      <c r="H17" s="999">
        <v>1.2075</v>
      </c>
      <c r="I17" s="999">
        <v>1.1486000000000001</v>
      </c>
      <c r="J17" s="999">
        <v>1.1486000000000001</v>
      </c>
      <c r="K17" s="999">
        <v>1.1486000000000001</v>
      </c>
      <c r="L17" s="999">
        <v>1.1486000000000001</v>
      </c>
      <c r="M17" s="999">
        <v>1.1486000000000001</v>
      </c>
      <c r="N17" s="1000"/>
    </row>
    <row r="18" spans="1:14">
      <c r="A18" s="990">
        <v>1.6</v>
      </c>
      <c r="B18" s="999">
        <v>1.2673000000000001</v>
      </c>
      <c r="C18" s="999">
        <v>1.2673000000000001</v>
      </c>
      <c r="D18" s="999">
        <v>1.1789000000000001</v>
      </c>
      <c r="E18" s="999">
        <v>1.1789000000000001</v>
      </c>
      <c r="F18" s="999">
        <v>1.1789000000000001</v>
      </c>
      <c r="G18" s="999">
        <v>1.1789000000000001</v>
      </c>
      <c r="H18" s="999">
        <v>1.1789000000000001</v>
      </c>
      <c r="I18" s="999">
        <v>1.1134999999999999</v>
      </c>
      <c r="J18" s="999">
        <v>1.1134999999999999</v>
      </c>
      <c r="K18" s="999">
        <v>1.1134999999999999</v>
      </c>
      <c r="L18" s="999">
        <v>1.1134999999999999</v>
      </c>
      <c r="M18" s="999">
        <v>1.1134999999999999</v>
      </c>
    </row>
    <row r="19" spans="1:14">
      <c r="A19" s="990">
        <v>1.7</v>
      </c>
      <c r="B19" s="999">
        <v>1.2428999999999999</v>
      </c>
      <c r="C19" s="999">
        <v>1.2428999999999999</v>
      </c>
      <c r="D19" s="999">
        <v>1.1534</v>
      </c>
      <c r="E19" s="999">
        <v>1.1534</v>
      </c>
      <c r="F19" s="999">
        <v>1.1534</v>
      </c>
      <c r="G19" s="999">
        <v>1.1534</v>
      </c>
      <c r="H19" s="999">
        <v>1.1534</v>
      </c>
      <c r="I19" s="999">
        <v>1.0820000000000001</v>
      </c>
      <c r="J19" s="999">
        <v>1.0820000000000001</v>
      </c>
      <c r="K19" s="999">
        <v>1.0820000000000001</v>
      </c>
      <c r="L19" s="999">
        <v>1.0820000000000001</v>
      </c>
      <c r="M19" s="999">
        <v>1.0820000000000001</v>
      </c>
    </row>
    <row r="20" spans="1:14">
      <c r="A20" s="990">
        <v>1.8</v>
      </c>
      <c r="B20" s="999">
        <v>1.2206999999999999</v>
      </c>
      <c r="C20" s="999">
        <v>1.2206999999999999</v>
      </c>
      <c r="D20" s="999">
        <v>1.1304000000000001</v>
      </c>
      <c r="E20" s="999">
        <v>1.1304000000000001</v>
      </c>
      <c r="F20" s="999">
        <v>1.1304000000000001</v>
      </c>
      <c r="G20" s="999">
        <v>1.1304000000000001</v>
      </c>
      <c r="H20" s="999">
        <v>1.1304000000000001</v>
      </c>
      <c r="I20" s="999">
        <v>1.0531999999999999</v>
      </c>
      <c r="J20" s="999">
        <v>1.0531999999999999</v>
      </c>
      <c r="K20" s="999">
        <v>1.0531999999999999</v>
      </c>
      <c r="L20" s="999">
        <v>1.0531999999999999</v>
      </c>
      <c r="M20" s="999">
        <v>1.0531999999999999</v>
      </c>
    </row>
    <row r="21" spans="1:14">
      <c r="A21" s="990">
        <v>1.9</v>
      </c>
      <c r="B21" s="999">
        <v>1.2</v>
      </c>
      <c r="C21" s="999">
        <v>1.2</v>
      </c>
      <c r="D21" s="999">
        <v>1.1089</v>
      </c>
      <c r="E21" s="999">
        <v>1.1089</v>
      </c>
      <c r="F21" s="999">
        <v>1.1089</v>
      </c>
      <c r="G21" s="999">
        <v>1.1089</v>
      </c>
      <c r="H21" s="999">
        <v>1.1089</v>
      </c>
      <c r="I21" s="999">
        <v>1.0261</v>
      </c>
      <c r="J21" s="999">
        <v>1.0261</v>
      </c>
      <c r="K21" s="999">
        <v>1.0261</v>
      </c>
      <c r="L21" s="999">
        <v>1.0261</v>
      </c>
      <c r="M21" s="999">
        <v>1.0261</v>
      </c>
    </row>
    <row r="22" spans="1:14">
      <c r="A22" s="990">
        <v>2</v>
      </c>
      <c r="B22" s="999">
        <v>1.1800999999999999</v>
      </c>
      <c r="C22" s="999">
        <v>1.1800999999999999</v>
      </c>
      <c r="D22" s="999">
        <v>1.0883</v>
      </c>
      <c r="E22" s="999">
        <v>1.0883</v>
      </c>
      <c r="F22" s="999">
        <v>1.0883</v>
      </c>
      <c r="G22" s="999">
        <v>1.0883</v>
      </c>
      <c r="H22" s="999">
        <v>1.0883</v>
      </c>
      <c r="I22" s="999">
        <v>1</v>
      </c>
      <c r="J22" s="999">
        <v>1</v>
      </c>
      <c r="K22" s="999">
        <v>1</v>
      </c>
      <c r="L22" s="999">
        <v>1</v>
      </c>
      <c r="M22" s="999">
        <v>1</v>
      </c>
    </row>
    <row r="23" spans="1:14">
      <c r="A23" s="1014">
        <v>2.1</v>
      </c>
      <c r="B23" s="999">
        <v>1.1616</v>
      </c>
      <c r="C23" s="999">
        <v>1.1616</v>
      </c>
      <c r="D23" s="999">
        <v>1.0685</v>
      </c>
      <c r="E23" s="999">
        <v>1.0685</v>
      </c>
      <c r="F23" s="999">
        <v>1.0685</v>
      </c>
      <c r="G23" s="999">
        <v>1.0685</v>
      </c>
      <c r="H23" s="999">
        <v>1.0685</v>
      </c>
      <c r="I23" s="999">
        <v>0.97550000000000003</v>
      </c>
      <c r="J23" s="999">
        <v>0.97550000000000003</v>
      </c>
      <c r="K23" s="999">
        <v>0.97550000000000003</v>
      </c>
      <c r="L23" s="999">
        <v>0.97550000000000003</v>
      </c>
      <c r="M23" s="999">
        <v>0.97550000000000003</v>
      </c>
    </row>
    <row r="24" spans="1:14">
      <c r="A24" s="1014">
        <v>2.2000000000000002</v>
      </c>
      <c r="B24" s="999">
        <v>1.1440999999999999</v>
      </c>
      <c r="C24" s="999">
        <v>1.1440999999999999</v>
      </c>
      <c r="D24" s="999">
        <v>1.0497000000000001</v>
      </c>
      <c r="E24" s="999">
        <v>1.0497000000000001</v>
      </c>
      <c r="F24" s="999">
        <v>1.0497000000000001</v>
      </c>
      <c r="G24" s="999">
        <v>1.0497000000000001</v>
      </c>
      <c r="H24" s="999">
        <v>1.0497000000000001</v>
      </c>
      <c r="I24" s="999">
        <v>0.95230000000000004</v>
      </c>
      <c r="J24" s="999">
        <v>0.95230000000000004</v>
      </c>
      <c r="K24" s="999">
        <v>0.95230000000000004</v>
      </c>
      <c r="L24" s="999">
        <v>0.95230000000000004</v>
      </c>
      <c r="M24" s="999">
        <v>0.95230000000000004</v>
      </c>
    </row>
    <row r="25" spans="1:14">
      <c r="A25" s="1014">
        <v>2.2999999999999998</v>
      </c>
      <c r="B25" s="999">
        <v>1.1275999999999999</v>
      </c>
      <c r="C25" s="999">
        <v>1.1275999999999999</v>
      </c>
      <c r="D25" s="999">
        <v>1.032</v>
      </c>
      <c r="E25" s="999">
        <v>1.032</v>
      </c>
      <c r="F25" s="999">
        <v>1.032</v>
      </c>
      <c r="G25" s="999">
        <v>1.032</v>
      </c>
      <c r="H25" s="999">
        <v>1.032</v>
      </c>
      <c r="I25" s="999">
        <v>0.9304</v>
      </c>
      <c r="J25" s="999">
        <v>0.9304</v>
      </c>
      <c r="K25" s="999">
        <v>0.9304</v>
      </c>
      <c r="L25" s="999">
        <v>0.9304</v>
      </c>
      <c r="M25" s="999">
        <v>0.9304</v>
      </c>
    </row>
    <row r="26" spans="1:14">
      <c r="A26" s="1014">
        <v>2.4</v>
      </c>
      <c r="B26" s="999">
        <v>1.1121000000000001</v>
      </c>
      <c r="C26" s="999">
        <v>1.1121000000000001</v>
      </c>
      <c r="D26" s="999">
        <v>1.0155000000000001</v>
      </c>
      <c r="E26" s="999">
        <v>1.0155000000000001</v>
      </c>
      <c r="F26" s="999">
        <v>1.0155000000000001</v>
      </c>
      <c r="G26" s="999">
        <v>1.0155000000000001</v>
      </c>
      <c r="H26" s="999">
        <v>1.0155000000000001</v>
      </c>
      <c r="I26" s="999">
        <v>0.91</v>
      </c>
      <c r="J26" s="999">
        <v>0.91</v>
      </c>
      <c r="K26" s="999">
        <v>0.91</v>
      </c>
      <c r="L26" s="999">
        <v>0.91</v>
      </c>
      <c r="M26" s="999">
        <v>0.91</v>
      </c>
    </row>
    <row r="27" spans="1:14">
      <c r="A27" s="1014">
        <v>2.5</v>
      </c>
      <c r="B27" s="999">
        <v>1.0975999999999999</v>
      </c>
      <c r="C27" s="999">
        <v>1.0975999999999999</v>
      </c>
      <c r="D27" s="999">
        <v>1</v>
      </c>
      <c r="E27" s="999">
        <v>1</v>
      </c>
      <c r="F27" s="999">
        <v>1</v>
      </c>
      <c r="G27" s="999">
        <v>1</v>
      </c>
      <c r="H27" s="999">
        <v>1</v>
      </c>
      <c r="I27" s="999">
        <v>0.89080000000000004</v>
      </c>
      <c r="J27" s="999">
        <v>0.89080000000000004</v>
      </c>
      <c r="K27" s="999">
        <v>0.89080000000000004</v>
      </c>
      <c r="L27" s="999">
        <v>0.89080000000000004</v>
      </c>
      <c r="M27" s="999">
        <v>0.89080000000000004</v>
      </c>
    </row>
    <row r="28" spans="1:14">
      <c r="A28" s="1014">
        <v>2.6</v>
      </c>
      <c r="B28" s="999">
        <v>1.0841000000000001</v>
      </c>
      <c r="C28" s="999">
        <v>1.0841000000000001</v>
      </c>
      <c r="D28" s="999">
        <v>0.98619999999999997</v>
      </c>
      <c r="E28" s="999">
        <v>0.98619999999999997</v>
      </c>
      <c r="F28" s="999">
        <v>0.98619999999999997</v>
      </c>
      <c r="G28" s="999">
        <v>0.98619999999999997</v>
      </c>
      <c r="H28" s="999">
        <v>0.98619999999999997</v>
      </c>
      <c r="I28" s="999">
        <v>0.873</v>
      </c>
      <c r="J28" s="999">
        <v>0.873</v>
      </c>
      <c r="K28" s="999">
        <v>0.873</v>
      </c>
      <c r="L28" s="999">
        <v>0.873</v>
      </c>
      <c r="M28" s="999">
        <v>0.873</v>
      </c>
    </row>
    <row r="29" spans="1:14">
      <c r="A29" s="1014">
        <v>2.7</v>
      </c>
      <c r="B29" s="999">
        <v>1.0716000000000001</v>
      </c>
      <c r="C29" s="999">
        <v>1.0716000000000001</v>
      </c>
      <c r="D29" s="999">
        <v>0.97330000000000005</v>
      </c>
      <c r="E29" s="999">
        <v>0.97330000000000005</v>
      </c>
      <c r="F29" s="999">
        <v>0.97330000000000005</v>
      </c>
      <c r="G29" s="999">
        <v>0.97330000000000005</v>
      </c>
      <c r="H29" s="999">
        <v>0.97330000000000005</v>
      </c>
      <c r="I29" s="999">
        <v>0.85670000000000002</v>
      </c>
      <c r="J29" s="999">
        <v>0.85670000000000002</v>
      </c>
      <c r="K29" s="999">
        <v>0.85670000000000002</v>
      </c>
      <c r="L29" s="999">
        <v>0.85670000000000002</v>
      </c>
      <c r="M29" s="999">
        <v>0.85670000000000002</v>
      </c>
    </row>
    <row r="30" spans="1:14">
      <c r="A30" s="1014">
        <v>2.8</v>
      </c>
      <c r="B30" s="999">
        <v>1.0602</v>
      </c>
      <c r="C30" s="999">
        <v>1.0602</v>
      </c>
      <c r="D30" s="999">
        <v>0.96160000000000001</v>
      </c>
      <c r="E30" s="999">
        <v>0.96160000000000001</v>
      </c>
      <c r="F30" s="999">
        <v>0.96160000000000001</v>
      </c>
      <c r="G30" s="999">
        <v>0.96160000000000001</v>
      </c>
      <c r="H30" s="999">
        <v>0.96160000000000001</v>
      </c>
      <c r="I30" s="999">
        <v>0.8417</v>
      </c>
      <c r="J30" s="999">
        <v>0.8417</v>
      </c>
      <c r="K30" s="999">
        <v>0.8417</v>
      </c>
      <c r="L30" s="999">
        <v>0.8417</v>
      </c>
      <c r="M30" s="999">
        <v>0.8417</v>
      </c>
    </row>
    <row r="31" spans="1:14">
      <c r="A31" s="1014">
        <v>2.9</v>
      </c>
      <c r="B31" s="999">
        <v>1.0497000000000001</v>
      </c>
      <c r="C31" s="999">
        <v>1.0497000000000001</v>
      </c>
      <c r="D31" s="999">
        <v>0.95089999999999997</v>
      </c>
      <c r="E31" s="999">
        <v>0.95089999999999997</v>
      </c>
      <c r="F31" s="999">
        <v>0.95089999999999997</v>
      </c>
      <c r="G31" s="999">
        <v>0.95089999999999997</v>
      </c>
      <c r="H31" s="999">
        <v>0.95089999999999997</v>
      </c>
      <c r="I31" s="999">
        <v>0.82809999999999995</v>
      </c>
      <c r="J31" s="999">
        <v>0.82809999999999995</v>
      </c>
      <c r="K31" s="999">
        <v>0.82809999999999995</v>
      </c>
      <c r="L31" s="999">
        <v>0.82809999999999995</v>
      </c>
      <c r="M31" s="999">
        <v>0.82809999999999995</v>
      </c>
    </row>
    <row r="32" spans="1:14">
      <c r="A32" s="1014">
        <v>3</v>
      </c>
      <c r="B32" s="999">
        <v>1.0401</v>
      </c>
      <c r="C32" s="999">
        <v>1.0401</v>
      </c>
      <c r="D32" s="999">
        <v>0.94089999999999996</v>
      </c>
      <c r="E32" s="999">
        <v>0.94089999999999996</v>
      </c>
      <c r="F32" s="999">
        <v>0.94089999999999996</v>
      </c>
      <c r="G32" s="999">
        <v>0.94089999999999996</v>
      </c>
      <c r="H32" s="999">
        <v>0.94089999999999996</v>
      </c>
      <c r="I32" s="999">
        <v>0.81579999999999997</v>
      </c>
      <c r="J32" s="999">
        <v>0.81579999999999997</v>
      </c>
      <c r="K32" s="999">
        <v>0.81579999999999997</v>
      </c>
      <c r="L32" s="999">
        <v>0.81579999999999997</v>
      </c>
      <c r="M32" s="999">
        <v>0.81579999999999997</v>
      </c>
    </row>
    <row r="33" spans="1:13">
      <c r="A33" s="1014">
        <v>3.1</v>
      </c>
      <c r="B33" s="999">
        <v>1.0314000000000001</v>
      </c>
      <c r="C33" s="999">
        <v>1.0314000000000001</v>
      </c>
      <c r="D33" s="999">
        <v>0.93169999999999997</v>
      </c>
      <c r="E33" s="999">
        <v>0.93169999999999997</v>
      </c>
      <c r="F33" s="999">
        <v>0.93169999999999997</v>
      </c>
      <c r="G33" s="999">
        <v>0.93169999999999997</v>
      </c>
      <c r="H33" s="999">
        <v>0.93169999999999997</v>
      </c>
      <c r="I33" s="999">
        <v>0.80410000000000004</v>
      </c>
      <c r="J33" s="999">
        <v>0.80410000000000004</v>
      </c>
      <c r="K33" s="999">
        <v>0.80410000000000004</v>
      </c>
      <c r="L33" s="999">
        <v>0.80410000000000004</v>
      </c>
      <c r="M33" s="999">
        <v>0.80410000000000004</v>
      </c>
    </row>
    <row r="34" spans="1:13">
      <c r="A34" s="1014">
        <v>3.2</v>
      </c>
      <c r="B34" s="999">
        <v>1.0229999999999999</v>
      </c>
      <c r="C34" s="999">
        <v>1.0229999999999999</v>
      </c>
      <c r="D34" s="999">
        <v>0.92279999999999995</v>
      </c>
      <c r="E34" s="999">
        <v>0.92279999999999995</v>
      </c>
      <c r="F34" s="999">
        <v>0.92279999999999995</v>
      </c>
      <c r="G34" s="999">
        <v>0.92279999999999995</v>
      </c>
      <c r="H34" s="999">
        <v>0.92279999999999995</v>
      </c>
      <c r="I34" s="999">
        <v>0.79300000000000004</v>
      </c>
      <c r="J34" s="999">
        <v>0.79300000000000004</v>
      </c>
      <c r="K34" s="999">
        <v>0.79300000000000004</v>
      </c>
      <c r="L34" s="999">
        <v>0.79300000000000004</v>
      </c>
      <c r="M34" s="999">
        <v>0.79300000000000004</v>
      </c>
    </row>
    <row r="35" spans="1:13">
      <c r="A35" s="1014">
        <v>3.3</v>
      </c>
      <c r="B35" s="999">
        <v>1.0149999999999999</v>
      </c>
      <c r="C35" s="999">
        <v>1.0149999999999999</v>
      </c>
      <c r="D35" s="999">
        <v>0.91439999999999999</v>
      </c>
      <c r="E35" s="999">
        <v>0.91439999999999999</v>
      </c>
      <c r="F35" s="999">
        <v>0.91439999999999999</v>
      </c>
      <c r="G35" s="999">
        <v>0.91439999999999999</v>
      </c>
      <c r="H35" s="999">
        <v>0.91439999999999999</v>
      </c>
      <c r="I35" s="999">
        <v>0.78220000000000001</v>
      </c>
      <c r="J35" s="999">
        <v>0.78220000000000001</v>
      </c>
      <c r="K35" s="999">
        <v>0.78220000000000001</v>
      </c>
      <c r="L35" s="999">
        <v>0.78220000000000001</v>
      </c>
      <c r="M35" s="999">
        <v>0.78220000000000001</v>
      </c>
    </row>
    <row r="36" spans="1:13">
      <c r="A36" s="1014">
        <v>3.4</v>
      </c>
      <c r="B36" s="999">
        <v>1.0073000000000001</v>
      </c>
      <c r="C36" s="999">
        <v>1.0073000000000001</v>
      </c>
      <c r="D36" s="999">
        <v>0.90629999999999999</v>
      </c>
      <c r="E36" s="999">
        <v>0.90629999999999999</v>
      </c>
      <c r="F36" s="999">
        <v>0.90629999999999999</v>
      </c>
      <c r="G36" s="999">
        <v>0.90629999999999999</v>
      </c>
      <c r="H36" s="999">
        <v>0.90629999999999999</v>
      </c>
      <c r="I36" s="999">
        <v>0.77210000000000001</v>
      </c>
      <c r="J36" s="999">
        <v>0.77210000000000001</v>
      </c>
      <c r="K36" s="999">
        <v>0.77210000000000001</v>
      </c>
      <c r="L36" s="999">
        <v>0.77210000000000001</v>
      </c>
      <c r="M36" s="999">
        <v>0.77210000000000001</v>
      </c>
    </row>
    <row r="37" spans="1:13">
      <c r="A37" s="1014">
        <v>3.5</v>
      </c>
      <c r="B37" s="999">
        <v>1</v>
      </c>
      <c r="C37" s="999">
        <v>1</v>
      </c>
      <c r="D37" s="999">
        <v>0.89870000000000005</v>
      </c>
      <c r="E37" s="999">
        <v>0.89870000000000005</v>
      </c>
      <c r="F37" s="999">
        <v>0.89870000000000005</v>
      </c>
      <c r="G37" s="999">
        <v>0.89870000000000005</v>
      </c>
      <c r="H37" s="999">
        <v>0.89870000000000005</v>
      </c>
      <c r="I37" s="999">
        <v>0.76239999999999997</v>
      </c>
      <c r="J37" s="999">
        <v>0.76239999999999997</v>
      </c>
      <c r="K37" s="999">
        <v>0.76239999999999997</v>
      </c>
      <c r="L37" s="999">
        <v>0.76239999999999997</v>
      </c>
      <c r="M37" s="999">
        <v>0.76239999999999997</v>
      </c>
    </row>
    <row r="38" spans="1:13">
      <c r="A38" s="1014">
        <v>3.6</v>
      </c>
      <c r="B38" s="999">
        <v>0.99329999999999996</v>
      </c>
      <c r="C38" s="999">
        <v>0.99329999999999996</v>
      </c>
      <c r="D38" s="999">
        <v>0.89139999999999997</v>
      </c>
      <c r="E38" s="999">
        <v>0.89139999999999997</v>
      </c>
      <c r="F38" s="999">
        <v>0.89139999999999997</v>
      </c>
      <c r="G38" s="999">
        <v>0.89139999999999997</v>
      </c>
      <c r="H38" s="999">
        <v>0.89139999999999997</v>
      </c>
      <c r="I38" s="999">
        <v>0.75319999999999998</v>
      </c>
      <c r="J38" s="999">
        <v>0.75319999999999998</v>
      </c>
      <c r="K38" s="999">
        <v>0.75319999999999998</v>
      </c>
      <c r="L38" s="999">
        <v>0.75319999999999998</v>
      </c>
      <c r="M38" s="999">
        <v>0.75319999999999998</v>
      </c>
    </row>
    <row r="39" spans="1:13">
      <c r="A39" s="1014">
        <v>3.7</v>
      </c>
      <c r="B39" s="999">
        <v>0.9869</v>
      </c>
      <c r="C39" s="999">
        <v>0.9869</v>
      </c>
      <c r="D39" s="999">
        <v>0.88449999999999995</v>
      </c>
      <c r="E39" s="999">
        <v>0.88449999999999995</v>
      </c>
      <c r="F39" s="999">
        <v>0.88449999999999995</v>
      </c>
      <c r="G39" s="999">
        <v>0.88449999999999995</v>
      </c>
      <c r="H39" s="999">
        <v>0.88449999999999995</v>
      </c>
      <c r="I39" s="999">
        <v>0.74460000000000004</v>
      </c>
      <c r="J39" s="999">
        <v>0.74460000000000004</v>
      </c>
      <c r="K39" s="999">
        <v>0.74460000000000004</v>
      </c>
      <c r="L39" s="999">
        <v>0.74460000000000004</v>
      </c>
      <c r="M39" s="999">
        <v>0.74460000000000004</v>
      </c>
    </row>
    <row r="40" spans="1:13">
      <c r="A40" s="1014">
        <v>3.8</v>
      </c>
      <c r="B40" s="999">
        <v>0.98080000000000001</v>
      </c>
      <c r="C40" s="999">
        <v>0.98080000000000001</v>
      </c>
      <c r="D40" s="999">
        <v>0.87809999999999999</v>
      </c>
      <c r="E40" s="999">
        <v>0.87809999999999999</v>
      </c>
      <c r="F40" s="999">
        <v>0.87809999999999999</v>
      </c>
      <c r="G40" s="999">
        <v>0.87809999999999999</v>
      </c>
      <c r="H40" s="999">
        <v>0.87809999999999999</v>
      </c>
      <c r="I40" s="999">
        <v>0.73640000000000005</v>
      </c>
      <c r="J40" s="999">
        <v>0.73640000000000005</v>
      </c>
      <c r="K40" s="999">
        <v>0.73640000000000005</v>
      </c>
      <c r="L40" s="999">
        <v>0.73640000000000005</v>
      </c>
      <c r="M40" s="999">
        <v>0.73640000000000005</v>
      </c>
    </row>
    <row r="41" spans="1:13">
      <c r="A41" s="1014">
        <v>3.9</v>
      </c>
      <c r="B41" s="999">
        <v>0.97509999999999997</v>
      </c>
      <c r="C41" s="999">
        <v>0.97509999999999997</v>
      </c>
      <c r="D41" s="999">
        <v>0.87209999999999999</v>
      </c>
      <c r="E41" s="999">
        <v>0.87209999999999999</v>
      </c>
      <c r="F41" s="999">
        <v>0.87209999999999999</v>
      </c>
      <c r="G41" s="999">
        <v>0.87209999999999999</v>
      </c>
      <c r="H41" s="999">
        <v>0.87209999999999999</v>
      </c>
      <c r="I41" s="999">
        <v>0.7288</v>
      </c>
      <c r="J41" s="999">
        <v>0.7288</v>
      </c>
      <c r="K41" s="999">
        <v>0.7288</v>
      </c>
      <c r="L41" s="999">
        <v>0.7288</v>
      </c>
      <c r="M41" s="999">
        <v>0.7288</v>
      </c>
    </row>
    <row r="42" spans="1:13">
      <c r="A42" s="1014">
        <v>4</v>
      </c>
      <c r="B42" s="999">
        <v>0.96989999999999998</v>
      </c>
      <c r="C42" s="999">
        <v>0.96989999999999998</v>
      </c>
      <c r="D42" s="999">
        <v>0.86650000000000005</v>
      </c>
      <c r="E42" s="999">
        <v>0.86650000000000005</v>
      </c>
      <c r="F42" s="999">
        <v>0.86650000000000005</v>
      </c>
      <c r="G42" s="999">
        <v>0.86650000000000005</v>
      </c>
      <c r="H42" s="999">
        <v>0.86650000000000005</v>
      </c>
      <c r="I42" s="999">
        <v>0.7218</v>
      </c>
      <c r="J42" s="999">
        <v>0.7218</v>
      </c>
      <c r="K42" s="999">
        <v>0.7218</v>
      </c>
      <c r="L42" s="999">
        <v>0.7218</v>
      </c>
      <c r="M42" s="999">
        <v>0.7218</v>
      </c>
    </row>
    <row r="43" spans="1:13">
      <c r="A43" s="1014">
        <v>4.0999999999999996</v>
      </c>
      <c r="B43" s="999">
        <v>0.96479999999999999</v>
      </c>
      <c r="C43" s="999">
        <v>0.96479999999999999</v>
      </c>
      <c r="D43" s="999">
        <v>0.86109999999999998</v>
      </c>
      <c r="E43" s="999">
        <v>0.86109999999999998</v>
      </c>
      <c r="F43" s="999">
        <v>0.86109999999999998</v>
      </c>
      <c r="G43" s="999">
        <v>0.86109999999999998</v>
      </c>
      <c r="H43" s="999">
        <v>0.86109999999999998</v>
      </c>
      <c r="I43" s="999">
        <v>0.71499999999999997</v>
      </c>
      <c r="J43" s="999">
        <v>0.71499999999999997</v>
      </c>
      <c r="K43" s="999">
        <v>0.71499999999999997</v>
      </c>
      <c r="L43" s="999">
        <v>0.71499999999999997</v>
      </c>
      <c r="M43" s="999">
        <v>0.71499999999999997</v>
      </c>
    </row>
    <row r="44" spans="1:13">
      <c r="A44" s="1014">
        <v>4.2</v>
      </c>
      <c r="B44" s="999">
        <v>0.96</v>
      </c>
      <c r="C44" s="999">
        <v>0.96</v>
      </c>
      <c r="D44" s="999">
        <v>0.85599999999999998</v>
      </c>
      <c r="E44" s="999">
        <v>0.85599999999999998</v>
      </c>
      <c r="F44" s="999">
        <v>0.85599999999999998</v>
      </c>
      <c r="G44" s="999">
        <v>0.85599999999999998</v>
      </c>
      <c r="H44" s="999">
        <v>0.85599999999999998</v>
      </c>
      <c r="I44" s="999">
        <v>0.70840000000000003</v>
      </c>
      <c r="J44" s="999">
        <v>0.70840000000000003</v>
      </c>
      <c r="K44" s="999">
        <v>0.70840000000000003</v>
      </c>
      <c r="L44" s="999">
        <v>0.70840000000000003</v>
      </c>
      <c r="M44" s="999">
        <v>0.70840000000000003</v>
      </c>
    </row>
    <row r="45" spans="1:13">
      <c r="A45" s="1014">
        <v>4.3</v>
      </c>
      <c r="B45" s="999">
        <v>0.95530000000000004</v>
      </c>
      <c r="C45" s="999">
        <v>0.95530000000000004</v>
      </c>
      <c r="D45" s="999">
        <v>0.85099999999999998</v>
      </c>
      <c r="E45" s="999">
        <v>0.85099999999999998</v>
      </c>
      <c r="F45" s="999">
        <v>0.85099999999999998</v>
      </c>
      <c r="G45" s="999">
        <v>0.85099999999999998</v>
      </c>
      <c r="H45" s="999">
        <v>0.85099999999999998</v>
      </c>
      <c r="I45" s="999">
        <v>0.70199999999999996</v>
      </c>
      <c r="J45" s="999">
        <v>0.70199999999999996</v>
      </c>
      <c r="K45" s="999">
        <v>0.70199999999999996</v>
      </c>
      <c r="L45" s="999">
        <v>0.70199999999999996</v>
      </c>
      <c r="M45" s="999">
        <v>0.70199999999999996</v>
      </c>
    </row>
    <row r="46" spans="1:13">
      <c r="A46" s="1014">
        <v>4.4000000000000004</v>
      </c>
      <c r="B46" s="999">
        <v>0.95079999999999998</v>
      </c>
      <c r="C46" s="999">
        <v>0.95079999999999998</v>
      </c>
      <c r="D46" s="999">
        <v>0.84619999999999995</v>
      </c>
      <c r="E46" s="999">
        <v>0.84619999999999995</v>
      </c>
      <c r="F46" s="999">
        <v>0.84619999999999995</v>
      </c>
      <c r="G46" s="999">
        <v>0.84619999999999995</v>
      </c>
      <c r="H46" s="999">
        <v>0.84619999999999995</v>
      </c>
      <c r="I46" s="999">
        <v>0.69579999999999997</v>
      </c>
      <c r="J46" s="999">
        <v>0.69579999999999997</v>
      </c>
      <c r="K46" s="999">
        <v>0.69579999999999997</v>
      </c>
      <c r="L46" s="999">
        <v>0.69579999999999997</v>
      </c>
      <c r="M46" s="999">
        <v>0.69579999999999997</v>
      </c>
    </row>
    <row r="47" spans="1:13">
      <c r="A47" s="1014">
        <v>4.5</v>
      </c>
      <c r="B47" s="999">
        <v>0.94640000000000002</v>
      </c>
      <c r="C47" s="999">
        <v>0.94640000000000002</v>
      </c>
      <c r="D47" s="999">
        <v>0.84150000000000003</v>
      </c>
      <c r="E47" s="999">
        <v>0.84150000000000003</v>
      </c>
      <c r="F47" s="999">
        <v>0.84150000000000003</v>
      </c>
      <c r="G47" s="999">
        <v>0.84150000000000003</v>
      </c>
      <c r="H47" s="999">
        <v>0.84150000000000003</v>
      </c>
      <c r="I47" s="999">
        <v>0.68989999999999996</v>
      </c>
      <c r="J47" s="999">
        <v>0.68989999999999996</v>
      </c>
      <c r="K47" s="999">
        <v>0.68989999999999996</v>
      </c>
      <c r="L47" s="999">
        <v>0.68989999999999996</v>
      </c>
      <c r="M47" s="999">
        <v>0.68989999999999996</v>
      </c>
    </row>
    <row r="48" spans="1:13">
      <c r="A48" s="1014">
        <v>4.5999999999999996</v>
      </c>
      <c r="B48" s="999">
        <v>0.94230000000000003</v>
      </c>
      <c r="C48" s="999">
        <v>0.94230000000000003</v>
      </c>
      <c r="D48" s="999">
        <v>0.83709999999999996</v>
      </c>
      <c r="E48" s="999">
        <v>0.83709999999999996</v>
      </c>
      <c r="F48" s="999">
        <v>0.83709999999999996</v>
      </c>
      <c r="G48" s="999">
        <v>0.83709999999999996</v>
      </c>
      <c r="H48" s="999">
        <v>0.83709999999999996</v>
      </c>
      <c r="I48" s="999">
        <v>0.68430000000000002</v>
      </c>
      <c r="J48" s="999">
        <v>0.68430000000000002</v>
      </c>
      <c r="K48" s="999">
        <v>0.68430000000000002</v>
      </c>
      <c r="L48" s="999">
        <v>0.68430000000000002</v>
      </c>
      <c r="M48" s="999">
        <v>0.68430000000000002</v>
      </c>
    </row>
    <row r="49" spans="1:13">
      <c r="A49" s="1014">
        <v>4.7</v>
      </c>
      <c r="B49" s="999">
        <v>0.93830000000000002</v>
      </c>
      <c r="C49" s="999">
        <v>0.93830000000000002</v>
      </c>
      <c r="D49" s="999">
        <v>0.83279999999999998</v>
      </c>
      <c r="E49" s="999">
        <v>0.83279999999999998</v>
      </c>
      <c r="F49" s="999">
        <v>0.83279999999999998</v>
      </c>
      <c r="G49" s="999">
        <v>0.83279999999999998</v>
      </c>
      <c r="H49" s="999">
        <v>0.83279999999999998</v>
      </c>
      <c r="I49" s="999">
        <v>0.67879999999999996</v>
      </c>
      <c r="J49" s="999">
        <v>0.67879999999999996</v>
      </c>
      <c r="K49" s="999">
        <v>0.67879999999999996</v>
      </c>
      <c r="L49" s="999">
        <v>0.67879999999999996</v>
      </c>
      <c r="M49" s="999">
        <v>0.67879999999999996</v>
      </c>
    </row>
    <row r="50" spans="1:13">
      <c r="A50" s="1014">
        <v>4.8</v>
      </c>
      <c r="B50" s="999">
        <v>0.9345</v>
      </c>
      <c r="C50" s="999">
        <v>0.9345</v>
      </c>
      <c r="D50" s="999">
        <v>0.82869999999999999</v>
      </c>
      <c r="E50" s="999">
        <v>0.82869999999999999</v>
      </c>
      <c r="F50" s="999">
        <v>0.82869999999999999</v>
      </c>
      <c r="G50" s="999">
        <v>0.82869999999999999</v>
      </c>
      <c r="H50" s="999">
        <v>0.82869999999999999</v>
      </c>
      <c r="I50" s="999">
        <v>0.67359999999999998</v>
      </c>
      <c r="J50" s="999">
        <v>0.67359999999999998</v>
      </c>
      <c r="K50" s="999">
        <v>0.67359999999999998</v>
      </c>
      <c r="L50" s="999">
        <v>0.67359999999999998</v>
      </c>
      <c r="M50" s="999">
        <v>0.67359999999999998</v>
      </c>
    </row>
    <row r="51" spans="1:13">
      <c r="A51" s="1014">
        <v>4.9000000000000004</v>
      </c>
      <c r="B51" s="999">
        <v>0.93079999999999996</v>
      </c>
      <c r="C51" s="999">
        <v>0.93079999999999996</v>
      </c>
      <c r="D51" s="999">
        <v>0.82479999999999998</v>
      </c>
      <c r="E51" s="999">
        <v>0.82479999999999998</v>
      </c>
      <c r="F51" s="999">
        <v>0.82479999999999998</v>
      </c>
      <c r="G51" s="999">
        <v>0.82479999999999998</v>
      </c>
      <c r="H51" s="999">
        <v>0.82479999999999998</v>
      </c>
      <c r="I51" s="999">
        <v>0.66849999999999998</v>
      </c>
      <c r="J51" s="999">
        <v>0.66849999999999998</v>
      </c>
      <c r="K51" s="999">
        <v>0.66849999999999998</v>
      </c>
      <c r="L51" s="999">
        <v>0.66849999999999998</v>
      </c>
      <c r="M51" s="999">
        <v>0.66849999999999998</v>
      </c>
    </row>
    <row r="52" spans="1:13">
      <c r="A52" s="1014">
        <v>5</v>
      </c>
      <c r="B52" s="999">
        <v>0.9274</v>
      </c>
      <c r="C52" s="999">
        <v>0.9274</v>
      </c>
      <c r="D52" s="999">
        <v>0.82110000000000005</v>
      </c>
      <c r="E52" s="999">
        <v>0.82110000000000005</v>
      </c>
      <c r="F52" s="999">
        <v>0.82110000000000005</v>
      </c>
      <c r="G52" s="999">
        <v>0.82110000000000005</v>
      </c>
      <c r="H52" s="999">
        <v>0.82110000000000005</v>
      </c>
      <c r="I52" s="999">
        <v>0.66369999999999996</v>
      </c>
      <c r="J52" s="999">
        <v>0.66369999999999996</v>
      </c>
      <c r="K52" s="999">
        <v>0.66369999999999996</v>
      </c>
      <c r="L52" s="999">
        <v>0.66369999999999996</v>
      </c>
      <c r="M52" s="999">
        <v>0.66369999999999996</v>
      </c>
    </row>
    <row r="53" spans="1:13">
      <c r="A53" s="990">
        <v>5.0999999999999996</v>
      </c>
      <c r="B53" s="999">
        <v>0.92410000000000003</v>
      </c>
      <c r="C53" s="999">
        <v>0.92410000000000003</v>
      </c>
      <c r="D53" s="999">
        <v>0.8175</v>
      </c>
      <c r="E53" s="999">
        <v>0.8175</v>
      </c>
      <c r="F53" s="999">
        <v>0.8175</v>
      </c>
      <c r="G53" s="999">
        <v>0.8175</v>
      </c>
      <c r="H53" s="999">
        <v>0.8175</v>
      </c>
      <c r="I53" s="999">
        <v>0.65900000000000003</v>
      </c>
      <c r="J53" s="999">
        <v>0.65900000000000003</v>
      </c>
      <c r="K53" s="999">
        <v>0.65900000000000003</v>
      </c>
      <c r="L53" s="999">
        <v>0.65900000000000003</v>
      </c>
      <c r="M53" s="999">
        <v>0.65900000000000003</v>
      </c>
    </row>
    <row r="54" spans="1:13">
      <c r="A54" s="990">
        <v>5.2</v>
      </c>
      <c r="B54" s="999">
        <v>0.92090000000000005</v>
      </c>
      <c r="C54" s="999">
        <v>0.92090000000000005</v>
      </c>
      <c r="D54" s="999">
        <v>0.81399999999999995</v>
      </c>
      <c r="E54" s="999">
        <v>0.81399999999999995</v>
      </c>
      <c r="F54" s="999">
        <v>0.81399999999999995</v>
      </c>
      <c r="G54" s="999">
        <v>0.81399999999999995</v>
      </c>
      <c r="H54" s="999">
        <v>0.81399999999999995</v>
      </c>
      <c r="I54" s="999">
        <v>0.65449999999999997</v>
      </c>
      <c r="J54" s="999">
        <v>0.65449999999999997</v>
      </c>
      <c r="K54" s="999">
        <v>0.65449999999999997</v>
      </c>
      <c r="L54" s="999">
        <v>0.65449999999999997</v>
      </c>
      <c r="M54" s="999">
        <v>0.65449999999999997</v>
      </c>
    </row>
    <row r="55" spans="1:13">
      <c r="A55" s="990">
        <v>5.3</v>
      </c>
      <c r="B55" s="999">
        <v>0.91790000000000005</v>
      </c>
      <c r="C55" s="999">
        <v>0.91790000000000005</v>
      </c>
      <c r="D55" s="999">
        <v>0.81059999999999999</v>
      </c>
      <c r="E55" s="999">
        <v>0.81059999999999999</v>
      </c>
      <c r="F55" s="999">
        <v>0.81059999999999999</v>
      </c>
      <c r="G55" s="999">
        <v>0.81059999999999999</v>
      </c>
      <c r="H55" s="999">
        <v>0.81059999999999999</v>
      </c>
      <c r="I55" s="999">
        <v>0.6502</v>
      </c>
      <c r="J55" s="999">
        <v>0.6502</v>
      </c>
      <c r="K55" s="999">
        <v>0.6502</v>
      </c>
      <c r="L55" s="999">
        <v>0.6502</v>
      </c>
      <c r="M55" s="999">
        <v>0.6502</v>
      </c>
    </row>
    <row r="56" spans="1:13">
      <c r="A56" s="990">
        <v>5.4</v>
      </c>
      <c r="B56" s="999">
        <v>0.91490000000000005</v>
      </c>
      <c r="C56" s="999">
        <v>0.91490000000000005</v>
      </c>
      <c r="D56" s="999">
        <v>0.80740000000000001</v>
      </c>
      <c r="E56" s="999">
        <v>0.80740000000000001</v>
      </c>
      <c r="F56" s="999">
        <v>0.80740000000000001</v>
      </c>
      <c r="G56" s="999">
        <v>0.80740000000000001</v>
      </c>
      <c r="H56" s="999">
        <v>0.80740000000000001</v>
      </c>
      <c r="I56" s="999">
        <v>0.64590000000000003</v>
      </c>
      <c r="J56" s="999">
        <v>0.64590000000000003</v>
      </c>
      <c r="K56" s="999">
        <v>0.64590000000000003</v>
      </c>
      <c r="L56" s="999">
        <v>0.64590000000000003</v>
      </c>
      <c r="M56" s="999">
        <v>0.64590000000000003</v>
      </c>
    </row>
    <row r="57" spans="1:13">
      <c r="A57" s="990">
        <v>5.5</v>
      </c>
      <c r="B57" s="999">
        <v>0.91200000000000003</v>
      </c>
      <c r="C57" s="999">
        <v>0.91200000000000003</v>
      </c>
      <c r="D57" s="999">
        <v>0.80420000000000003</v>
      </c>
      <c r="E57" s="999">
        <v>0.80420000000000003</v>
      </c>
      <c r="F57" s="999">
        <v>0.80420000000000003</v>
      </c>
      <c r="G57" s="999">
        <v>0.80420000000000003</v>
      </c>
      <c r="H57" s="999">
        <v>0.80420000000000003</v>
      </c>
      <c r="I57" s="999">
        <v>0.64180000000000004</v>
      </c>
      <c r="J57" s="999">
        <v>0.64180000000000004</v>
      </c>
      <c r="K57" s="999">
        <v>0.64180000000000004</v>
      </c>
      <c r="L57" s="999">
        <v>0.64180000000000004</v>
      </c>
      <c r="M57" s="999">
        <v>0.64180000000000004</v>
      </c>
    </row>
    <row r="58" spans="1:13">
      <c r="A58" s="990">
        <v>5.6</v>
      </c>
      <c r="B58" s="999">
        <v>0.90910000000000002</v>
      </c>
      <c r="C58" s="999">
        <v>0.90910000000000002</v>
      </c>
      <c r="D58" s="999">
        <v>0.80120000000000002</v>
      </c>
      <c r="E58" s="999">
        <v>0.80120000000000002</v>
      </c>
      <c r="F58" s="999">
        <v>0.80120000000000002</v>
      </c>
      <c r="G58" s="999">
        <v>0.80120000000000002</v>
      </c>
      <c r="H58" s="999">
        <v>0.80120000000000002</v>
      </c>
      <c r="I58" s="999">
        <v>0.63790000000000002</v>
      </c>
      <c r="J58" s="999">
        <v>0.63790000000000002</v>
      </c>
      <c r="K58" s="999">
        <v>0.63790000000000002</v>
      </c>
      <c r="L58" s="999">
        <v>0.63790000000000002</v>
      </c>
      <c r="M58" s="999">
        <v>0.63790000000000002</v>
      </c>
    </row>
    <row r="59" spans="1:13">
      <c r="A59" s="1014">
        <v>5.7</v>
      </c>
      <c r="B59" s="999">
        <v>0.90639999999999998</v>
      </c>
      <c r="C59" s="999">
        <v>0.90639999999999998</v>
      </c>
      <c r="D59" s="999">
        <v>0.79820000000000002</v>
      </c>
      <c r="E59" s="999">
        <v>0.79820000000000002</v>
      </c>
      <c r="F59" s="999">
        <v>0.79820000000000002</v>
      </c>
      <c r="G59" s="999">
        <v>0.79820000000000002</v>
      </c>
      <c r="H59" s="999">
        <v>0.79820000000000002</v>
      </c>
      <c r="I59" s="999">
        <v>0.6341</v>
      </c>
      <c r="J59" s="999">
        <v>0.6341</v>
      </c>
      <c r="K59" s="999">
        <v>0.6341</v>
      </c>
      <c r="L59" s="999">
        <v>0.6341</v>
      </c>
      <c r="M59" s="999">
        <v>0.6341</v>
      </c>
    </row>
    <row r="60" spans="1:13">
      <c r="A60" s="990">
        <v>5.8</v>
      </c>
      <c r="B60" s="999">
        <v>0.90380000000000005</v>
      </c>
      <c r="C60" s="999">
        <v>0.90380000000000005</v>
      </c>
      <c r="D60" s="999">
        <v>0.7954</v>
      </c>
      <c r="E60" s="999">
        <v>0.7954</v>
      </c>
      <c r="F60" s="999">
        <v>0.7954</v>
      </c>
      <c r="G60" s="999">
        <v>0.7954</v>
      </c>
      <c r="H60" s="999">
        <v>0.7954</v>
      </c>
      <c r="I60" s="999">
        <v>0.63039999999999996</v>
      </c>
      <c r="J60" s="999">
        <v>0.63039999999999996</v>
      </c>
      <c r="K60" s="999">
        <v>0.63039999999999996</v>
      </c>
      <c r="L60" s="999">
        <v>0.63039999999999996</v>
      </c>
      <c r="M60" s="999">
        <v>0.63039999999999996</v>
      </c>
    </row>
    <row r="61" spans="1:13">
      <c r="A61" s="990">
        <v>5.9</v>
      </c>
      <c r="B61" s="999">
        <v>0.90129999999999999</v>
      </c>
      <c r="C61" s="999">
        <v>0.90129999999999999</v>
      </c>
      <c r="D61" s="999">
        <v>0.79269999999999996</v>
      </c>
      <c r="E61" s="999">
        <v>0.79269999999999996</v>
      </c>
      <c r="F61" s="999">
        <v>0.79269999999999996</v>
      </c>
      <c r="G61" s="999">
        <v>0.79269999999999996</v>
      </c>
      <c r="H61" s="999">
        <v>0.79269999999999996</v>
      </c>
      <c r="I61" s="999">
        <v>0.62690000000000001</v>
      </c>
      <c r="J61" s="999">
        <v>0.62690000000000001</v>
      </c>
      <c r="K61" s="999">
        <v>0.62690000000000001</v>
      </c>
      <c r="L61" s="999">
        <v>0.62690000000000001</v>
      </c>
      <c r="M61" s="999">
        <v>0.62690000000000001</v>
      </c>
    </row>
    <row r="62" spans="1:13">
      <c r="A62" s="990">
        <v>6</v>
      </c>
      <c r="B62" s="999">
        <v>0.89890000000000003</v>
      </c>
      <c r="C62" s="999">
        <v>0.89890000000000003</v>
      </c>
      <c r="D62" s="999">
        <v>0.79020000000000001</v>
      </c>
      <c r="E62" s="999">
        <v>0.79020000000000001</v>
      </c>
      <c r="F62" s="999">
        <v>0.79020000000000001</v>
      </c>
      <c r="G62" s="999">
        <v>0.79020000000000001</v>
      </c>
      <c r="H62" s="999">
        <v>0.79020000000000001</v>
      </c>
      <c r="I62" s="999">
        <v>0.62350000000000005</v>
      </c>
      <c r="J62" s="999">
        <v>0.62350000000000005</v>
      </c>
      <c r="K62" s="999">
        <v>0.62350000000000005</v>
      </c>
      <c r="L62" s="999">
        <v>0.62350000000000005</v>
      </c>
      <c r="M62" s="999">
        <v>0.62350000000000005</v>
      </c>
    </row>
    <row r="63" spans="1:13">
      <c r="A63" s="990">
        <v>6.1</v>
      </c>
      <c r="B63" s="999">
        <v>0.89649999999999996</v>
      </c>
      <c r="C63" s="999">
        <v>0.89649999999999996</v>
      </c>
      <c r="D63" s="999">
        <v>0.78769999999999996</v>
      </c>
      <c r="E63" s="999">
        <v>0.78769999999999996</v>
      </c>
      <c r="F63" s="999">
        <v>0.78769999999999996</v>
      </c>
      <c r="G63" s="999">
        <v>0.78769999999999996</v>
      </c>
      <c r="H63" s="999">
        <v>0.78769999999999996</v>
      </c>
      <c r="I63" s="999">
        <v>0.62029999999999996</v>
      </c>
      <c r="J63" s="999">
        <v>0.62029999999999996</v>
      </c>
      <c r="K63" s="999">
        <v>0.62029999999999996</v>
      </c>
      <c r="L63" s="999">
        <v>0.62029999999999996</v>
      </c>
      <c r="M63" s="999">
        <v>0.62029999999999996</v>
      </c>
    </row>
    <row r="64" spans="1:13">
      <c r="A64" s="990">
        <v>6.2</v>
      </c>
      <c r="B64" s="999">
        <v>0.89429999999999998</v>
      </c>
      <c r="C64" s="999">
        <v>0.89429999999999998</v>
      </c>
      <c r="D64" s="999">
        <v>0.78520000000000001</v>
      </c>
      <c r="E64" s="999">
        <v>0.78520000000000001</v>
      </c>
      <c r="F64" s="999">
        <v>0.78520000000000001</v>
      </c>
      <c r="G64" s="999">
        <v>0.78520000000000001</v>
      </c>
      <c r="H64" s="999">
        <v>0.78520000000000001</v>
      </c>
      <c r="I64" s="999">
        <v>0.61719999999999997</v>
      </c>
      <c r="J64" s="999">
        <v>0.61719999999999997</v>
      </c>
      <c r="K64" s="999">
        <v>0.61719999999999997</v>
      </c>
      <c r="L64" s="999">
        <v>0.61719999999999997</v>
      </c>
      <c r="M64" s="999">
        <v>0.61719999999999997</v>
      </c>
    </row>
    <row r="65" spans="1:13">
      <c r="A65" s="990">
        <v>6.3</v>
      </c>
      <c r="B65" s="999">
        <v>0.89200000000000002</v>
      </c>
      <c r="C65" s="999">
        <v>0.89200000000000002</v>
      </c>
      <c r="D65" s="999">
        <v>0.78280000000000005</v>
      </c>
      <c r="E65" s="999">
        <v>0.78280000000000005</v>
      </c>
      <c r="F65" s="999">
        <v>0.78280000000000005</v>
      </c>
      <c r="G65" s="999">
        <v>0.78280000000000005</v>
      </c>
      <c r="H65" s="999">
        <v>0.78280000000000005</v>
      </c>
      <c r="I65" s="999">
        <v>0.61409999999999998</v>
      </c>
      <c r="J65" s="999">
        <v>0.61409999999999998</v>
      </c>
      <c r="K65" s="999">
        <v>0.61409999999999998</v>
      </c>
      <c r="L65" s="999">
        <v>0.61409999999999998</v>
      </c>
      <c r="M65" s="999">
        <v>0.61409999999999998</v>
      </c>
    </row>
    <row r="66" spans="1:13">
      <c r="A66" s="990">
        <v>6.4</v>
      </c>
      <c r="B66" s="999">
        <v>0.88990000000000002</v>
      </c>
      <c r="C66" s="999">
        <v>0.88990000000000002</v>
      </c>
      <c r="D66" s="999">
        <v>0.78039999999999998</v>
      </c>
      <c r="E66" s="999">
        <v>0.78039999999999998</v>
      </c>
      <c r="F66" s="999">
        <v>0.78039999999999998</v>
      </c>
      <c r="G66" s="999">
        <v>0.78039999999999998</v>
      </c>
      <c r="H66" s="999">
        <v>0.78039999999999998</v>
      </c>
      <c r="I66" s="999">
        <v>0.61099999999999999</v>
      </c>
      <c r="J66" s="999">
        <v>0.61099999999999999</v>
      </c>
      <c r="K66" s="999">
        <v>0.61099999999999999</v>
      </c>
      <c r="L66" s="999">
        <v>0.61099999999999999</v>
      </c>
      <c r="M66" s="999">
        <v>0.61099999999999999</v>
      </c>
    </row>
    <row r="67" spans="1:13">
      <c r="A67" s="990">
        <v>6.5</v>
      </c>
      <c r="B67" s="999">
        <v>0.88780000000000003</v>
      </c>
      <c r="C67" s="999">
        <v>0.88780000000000003</v>
      </c>
      <c r="D67" s="999">
        <v>0.77810000000000001</v>
      </c>
      <c r="E67" s="999">
        <v>0.77810000000000001</v>
      </c>
      <c r="F67" s="999">
        <v>0.77810000000000001</v>
      </c>
      <c r="G67" s="999">
        <v>0.77810000000000001</v>
      </c>
      <c r="H67" s="999">
        <v>0.77810000000000001</v>
      </c>
      <c r="I67" s="999">
        <v>0.60799999999999998</v>
      </c>
      <c r="J67" s="999">
        <v>0.60799999999999998</v>
      </c>
      <c r="K67" s="999">
        <v>0.60799999999999998</v>
      </c>
      <c r="L67" s="999">
        <v>0.60799999999999998</v>
      </c>
      <c r="M67" s="999">
        <v>0.60799999999999998</v>
      </c>
    </row>
    <row r="68" spans="1:13">
      <c r="A68" s="990">
        <v>6.6</v>
      </c>
      <c r="B68" s="999">
        <v>0.88580000000000003</v>
      </c>
      <c r="C68" s="999">
        <v>0.88580000000000003</v>
      </c>
      <c r="D68" s="999">
        <v>0.77580000000000005</v>
      </c>
      <c r="E68" s="999">
        <v>0.77580000000000005</v>
      </c>
      <c r="F68" s="999">
        <v>0.77580000000000005</v>
      </c>
      <c r="G68" s="999">
        <v>0.77580000000000005</v>
      </c>
      <c r="H68" s="999">
        <v>0.77580000000000005</v>
      </c>
      <c r="I68" s="999">
        <v>0.60499999999999998</v>
      </c>
      <c r="J68" s="999">
        <v>0.60499999999999998</v>
      </c>
      <c r="K68" s="999">
        <v>0.60499999999999998</v>
      </c>
      <c r="L68" s="999">
        <v>0.60499999999999998</v>
      </c>
      <c r="M68" s="999">
        <v>0.60499999999999998</v>
      </c>
    </row>
    <row r="69" spans="1:13">
      <c r="A69" s="990">
        <v>6.7</v>
      </c>
      <c r="B69" s="999">
        <v>0.88380000000000003</v>
      </c>
      <c r="C69" s="999">
        <v>0.88380000000000003</v>
      </c>
      <c r="D69" s="999">
        <v>0.77359999999999995</v>
      </c>
      <c r="E69" s="999">
        <v>0.77359999999999995</v>
      </c>
      <c r="F69" s="999">
        <v>0.77359999999999995</v>
      </c>
      <c r="G69" s="999">
        <v>0.77359999999999995</v>
      </c>
      <c r="H69" s="999">
        <v>0.77359999999999995</v>
      </c>
      <c r="I69" s="999">
        <v>0.60209999999999997</v>
      </c>
      <c r="J69" s="999">
        <v>0.60209999999999997</v>
      </c>
      <c r="K69" s="999">
        <v>0.60209999999999997</v>
      </c>
      <c r="L69" s="999">
        <v>0.60209999999999997</v>
      </c>
      <c r="M69" s="999">
        <v>0.60209999999999997</v>
      </c>
    </row>
    <row r="70" spans="1:13">
      <c r="A70" s="990">
        <v>6.8</v>
      </c>
      <c r="B70" s="999">
        <v>0.88190000000000002</v>
      </c>
      <c r="C70" s="999">
        <v>0.88190000000000002</v>
      </c>
      <c r="D70" s="999">
        <v>0.77159999999999995</v>
      </c>
      <c r="E70" s="999">
        <v>0.77159999999999995</v>
      </c>
      <c r="F70" s="999">
        <v>0.77159999999999995</v>
      </c>
      <c r="G70" s="999">
        <v>0.77159999999999995</v>
      </c>
      <c r="H70" s="999">
        <v>0.77159999999999995</v>
      </c>
      <c r="I70" s="999">
        <v>0.59930000000000005</v>
      </c>
      <c r="J70" s="999">
        <v>0.59930000000000005</v>
      </c>
      <c r="K70" s="999">
        <v>0.59930000000000005</v>
      </c>
      <c r="L70" s="999">
        <v>0.59930000000000005</v>
      </c>
      <c r="M70" s="999">
        <v>0.59930000000000005</v>
      </c>
    </row>
    <row r="71" spans="1:13">
      <c r="A71" s="990">
        <v>6.9</v>
      </c>
      <c r="B71" s="999">
        <v>0.88</v>
      </c>
      <c r="C71" s="999">
        <v>0.88</v>
      </c>
      <c r="D71" s="999">
        <v>0.76949999999999996</v>
      </c>
      <c r="E71" s="999">
        <v>0.76949999999999996</v>
      </c>
      <c r="F71" s="999">
        <v>0.76949999999999996</v>
      </c>
      <c r="G71" s="999">
        <v>0.76949999999999996</v>
      </c>
      <c r="H71" s="999">
        <v>0.76949999999999996</v>
      </c>
      <c r="I71" s="999">
        <v>0.59640000000000004</v>
      </c>
      <c r="J71" s="999">
        <v>0.59640000000000004</v>
      </c>
      <c r="K71" s="999">
        <v>0.59640000000000004</v>
      </c>
      <c r="L71" s="999">
        <v>0.59640000000000004</v>
      </c>
      <c r="M71" s="999">
        <v>0.59640000000000004</v>
      </c>
    </row>
    <row r="72" spans="1:13">
      <c r="A72" s="990">
        <v>7</v>
      </c>
      <c r="B72" s="999">
        <v>0.87819999999999998</v>
      </c>
      <c r="C72" s="999">
        <v>0.87819999999999998</v>
      </c>
      <c r="D72" s="999">
        <v>0.76749999999999996</v>
      </c>
      <c r="E72" s="999">
        <v>0.76749999999999996</v>
      </c>
      <c r="F72" s="999">
        <v>0.76749999999999996</v>
      </c>
      <c r="G72" s="999">
        <v>0.76749999999999996</v>
      </c>
      <c r="H72" s="999">
        <v>0.76749999999999996</v>
      </c>
      <c r="I72" s="999">
        <v>0.59360000000000002</v>
      </c>
      <c r="J72" s="999">
        <v>0.59360000000000002</v>
      </c>
      <c r="K72" s="999">
        <v>0.59360000000000002</v>
      </c>
      <c r="L72" s="999">
        <v>0.59360000000000002</v>
      </c>
      <c r="M72" s="999">
        <v>0.59360000000000002</v>
      </c>
    </row>
    <row r="73" spans="1:13">
      <c r="A73" s="990">
        <v>7.1</v>
      </c>
      <c r="B73" s="999">
        <v>0.87660000000000005</v>
      </c>
      <c r="C73" s="999">
        <v>0.87660000000000005</v>
      </c>
      <c r="D73" s="999">
        <v>0.76570000000000005</v>
      </c>
      <c r="E73" s="999">
        <v>0.76570000000000005</v>
      </c>
      <c r="F73" s="999">
        <v>0.76570000000000005</v>
      </c>
      <c r="G73" s="999">
        <v>0.76570000000000005</v>
      </c>
      <c r="H73" s="999">
        <v>0.76570000000000005</v>
      </c>
      <c r="I73" s="999">
        <v>0.59109999999999996</v>
      </c>
      <c r="J73" s="999">
        <v>0.59109999999999996</v>
      </c>
      <c r="K73" s="999">
        <v>0.59109999999999996</v>
      </c>
      <c r="L73" s="999">
        <v>0.59109999999999996</v>
      </c>
      <c r="M73" s="999">
        <v>0.59109999999999996</v>
      </c>
    </row>
    <row r="74" spans="1:13">
      <c r="A74" s="990">
        <v>7.2</v>
      </c>
      <c r="B74" s="999">
        <v>0.87490000000000001</v>
      </c>
      <c r="C74" s="999">
        <v>0.87490000000000001</v>
      </c>
      <c r="D74" s="999">
        <v>0.76380000000000003</v>
      </c>
      <c r="E74" s="999">
        <v>0.76380000000000003</v>
      </c>
      <c r="F74" s="999">
        <v>0.76380000000000003</v>
      </c>
      <c r="G74" s="999">
        <v>0.76380000000000003</v>
      </c>
      <c r="H74" s="999">
        <v>0.76380000000000003</v>
      </c>
      <c r="I74" s="999">
        <v>0.58860000000000001</v>
      </c>
      <c r="J74" s="999">
        <v>0.58860000000000001</v>
      </c>
      <c r="K74" s="999">
        <v>0.58860000000000001</v>
      </c>
      <c r="L74" s="999">
        <v>0.58860000000000001</v>
      </c>
      <c r="M74" s="999">
        <v>0.58860000000000001</v>
      </c>
    </row>
    <row r="75" spans="1:13">
      <c r="A75" s="990">
        <v>7.3</v>
      </c>
      <c r="B75" s="999">
        <v>0.87329999999999997</v>
      </c>
      <c r="C75" s="999">
        <v>0.87329999999999997</v>
      </c>
      <c r="D75" s="999">
        <v>0.76200000000000001</v>
      </c>
      <c r="E75" s="999">
        <v>0.76200000000000001</v>
      </c>
      <c r="F75" s="999">
        <v>0.76200000000000001</v>
      </c>
      <c r="G75" s="999">
        <v>0.76200000000000001</v>
      </c>
      <c r="H75" s="999">
        <v>0.76200000000000001</v>
      </c>
      <c r="I75" s="999">
        <v>0.58620000000000005</v>
      </c>
      <c r="J75" s="999">
        <v>0.58620000000000005</v>
      </c>
      <c r="K75" s="999">
        <v>0.58620000000000005</v>
      </c>
      <c r="L75" s="999">
        <v>0.58620000000000005</v>
      </c>
      <c r="M75" s="999">
        <v>0.58620000000000005</v>
      </c>
    </row>
    <row r="76" spans="1:13">
      <c r="A76" s="990">
        <v>7.4</v>
      </c>
      <c r="B76" s="999">
        <v>0.87160000000000004</v>
      </c>
      <c r="C76" s="999">
        <v>0.87160000000000004</v>
      </c>
      <c r="D76" s="999">
        <v>0.76029999999999998</v>
      </c>
      <c r="E76" s="999">
        <v>0.76029999999999998</v>
      </c>
      <c r="F76" s="999">
        <v>0.76029999999999998</v>
      </c>
      <c r="G76" s="999">
        <v>0.76029999999999998</v>
      </c>
      <c r="H76" s="999">
        <v>0.76029999999999998</v>
      </c>
      <c r="I76" s="999">
        <v>0.58379999999999999</v>
      </c>
      <c r="J76" s="999">
        <v>0.58379999999999999</v>
      </c>
      <c r="K76" s="999">
        <v>0.58379999999999999</v>
      </c>
      <c r="L76" s="999">
        <v>0.58379999999999999</v>
      </c>
      <c r="M76" s="999">
        <v>0.58379999999999999</v>
      </c>
    </row>
    <row r="77" spans="1:13">
      <c r="A77" s="990">
        <v>7.5</v>
      </c>
      <c r="B77" s="999">
        <v>0.87</v>
      </c>
      <c r="C77" s="999">
        <v>0.87</v>
      </c>
      <c r="D77" s="999">
        <v>0.75849999999999995</v>
      </c>
      <c r="E77" s="999">
        <v>0.75849999999999995</v>
      </c>
      <c r="F77" s="999">
        <v>0.75849999999999995</v>
      </c>
      <c r="G77" s="999">
        <v>0.75849999999999995</v>
      </c>
      <c r="H77" s="999">
        <v>0.75849999999999995</v>
      </c>
      <c r="I77" s="999">
        <v>0.58140000000000003</v>
      </c>
      <c r="J77" s="999">
        <v>0.58140000000000003</v>
      </c>
      <c r="K77" s="999">
        <v>0.58140000000000003</v>
      </c>
      <c r="L77" s="999">
        <v>0.58140000000000003</v>
      </c>
      <c r="M77" s="999">
        <v>0.58140000000000003</v>
      </c>
    </row>
    <row r="78" spans="1:13">
      <c r="A78" s="990">
        <v>7.6</v>
      </c>
      <c r="B78" s="999">
        <v>0.86839999999999995</v>
      </c>
      <c r="C78" s="999">
        <v>0.86839999999999995</v>
      </c>
      <c r="D78" s="999">
        <v>0.75680000000000003</v>
      </c>
      <c r="E78" s="999">
        <v>0.75680000000000003</v>
      </c>
      <c r="F78" s="999">
        <v>0.75680000000000003</v>
      </c>
      <c r="G78" s="999">
        <v>0.75680000000000003</v>
      </c>
      <c r="H78" s="999">
        <v>0.75680000000000003</v>
      </c>
      <c r="I78" s="999">
        <v>0.57899999999999996</v>
      </c>
      <c r="J78" s="999">
        <v>0.57899999999999996</v>
      </c>
      <c r="K78" s="999">
        <v>0.57899999999999996</v>
      </c>
      <c r="L78" s="999">
        <v>0.57899999999999996</v>
      </c>
      <c r="M78" s="999">
        <v>0.57899999999999996</v>
      </c>
    </row>
    <row r="79" spans="1:13">
      <c r="A79" s="990">
        <v>7.7</v>
      </c>
      <c r="B79" s="999">
        <v>0.8669</v>
      </c>
      <c r="C79" s="999">
        <v>0.8669</v>
      </c>
      <c r="D79" s="999">
        <v>0.755</v>
      </c>
      <c r="E79" s="999">
        <v>0.755</v>
      </c>
      <c r="F79" s="999">
        <v>0.755</v>
      </c>
      <c r="G79" s="999">
        <v>0.755</v>
      </c>
      <c r="H79" s="999">
        <v>0.755</v>
      </c>
      <c r="I79" s="999">
        <v>0.57669999999999999</v>
      </c>
      <c r="J79" s="999">
        <v>0.57669999999999999</v>
      </c>
      <c r="K79" s="999">
        <v>0.57669999999999999</v>
      </c>
      <c r="L79" s="999">
        <v>0.57669999999999999</v>
      </c>
      <c r="M79" s="999">
        <v>0.57669999999999999</v>
      </c>
    </row>
    <row r="80" spans="1:13">
      <c r="A80" s="990">
        <v>7.8</v>
      </c>
      <c r="B80" s="999">
        <v>0.86539999999999995</v>
      </c>
      <c r="C80" s="999">
        <v>0.86539999999999995</v>
      </c>
      <c r="D80" s="999">
        <v>0.75329999999999997</v>
      </c>
      <c r="E80" s="999">
        <v>0.75329999999999997</v>
      </c>
      <c r="F80" s="999">
        <v>0.75329999999999997</v>
      </c>
      <c r="G80" s="999">
        <v>0.75329999999999997</v>
      </c>
      <c r="H80" s="999">
        <v>0.75329999999999997</v>
      </c>
      <c r="I80" s="999">
        <v>0.57450000000000001</v>
      </c>
      <c r="J80" s="999">
        <v>0.57450000000000001</v>
      </c>
      <c r="K80" s="999">
        <v>0.57450000000000001</v>
      </c>
      <c r="L80" s="999">
        <v>0.57450000000000001</v>
      </c>
      <c r="M80" s="999">
        <v>0.57450000000000001</v>
      </c>
    </row>
    <row r="81" spans="1:13">
      <c r="A81" s="990">
        <v>7.9</v>
      </c>
      <c r="B81" s="999">
        <v>0.86380000000000001</v>
      </c>
      <c r="C81" s="999">
        <v>0.86380000000000001</v>
      </c>
      <c r="D81" s="999">
        <v>0.75170000000000003</v>
      </c>
      <c r="E81" s="999">
        <v>0.75170000000000003</v>
      </c>
      <c r="F81" s="999">
        <v>0.75170000000000003</v>
      </c>
      <c r="G81" s="999">
        <v>0.75170000000000003</v>
      </c>
      <c r="H81" s="999">
        <v>0.75170000000000003</v>
      </c>
      <c r="I81" s="999">
        <v>0.57220000000000004</v>
      </c>
      <c r="J81" s="999">
        <v>0.57220000000000004</v>
      </c>
      <c r="K81" s="999">
        <v>0.57220000000000004</v>
      </c>
      <c r="L81" s="999">
        <v>0.57220000000000004</v>
      </c>
      <c r="M81" s="999">
        <v>0.57220000000000004</v>
      </c>
    </row>
    <row r="82" spans="1:13">
      <c r="A82" s="990">
        <v>8</v>
      </c>
      <c r="B82" s="999">
        <v>0.86240000000000006</v>
      </c>
      <c r="C82" s="999">
        <v>0.86240000000000006</v>
      </c>
      <c r="D82" s="999">
        <v>0.75</v>
      </c>
      <c r="E82" s="999">
        <v>0.75</v>
      </c>
      <c r="F82" s="999">
        <v>0.75</v>
      </c>
      <c r="G82" s="999">
        <v>0.75</v>
      </c>
      <c r="H82" s="999">
        <v>0.75</v>
      </c>
      <c r="I82" s="999">
        <v>0.56989999999999996</v>
      </c>
      <c r="J82" s="999">
        <v>0.56989999999999996</v>
      </c>
      <c r="K82" s="999">
        <v>0.56989999999999996</v>
      </c>
      <c r="L82" s="999">
        <v>0.56989999999999996</v>
      </c>
      <c r="M82" s="999">
        <v>0.56989999999999996</v>
      </c>
    </row>
    <row r="83" spans="1:13">
      <c r="A83" s="990">
        <v>8.1</v>
      </c>
      <c r="B83" s="999">
        <v>0.86099999999999999</v>
      </c>
      <c r="C83" s="999">
        <v>0.86099999999999999</v>
      </c>
      <c r="D83" s="999">
        <v>0.74850000000000005</v>
      </c>
      <c r="E83" s="999">
        <v>0.74850000000000005</v>
      </c>
      <c r="F83" s="999">
        <v>0.74850000000000005</v>
      </c>
      <c r="G83" s="999">
        <v>0.74850000000000005</v>
      </c>
      <c r="H83" s="999">
        <v>0.74850000000000005</v>
      </c>
      <c r="I83" s="999">
        <v>0.56779999999999997</v>
      </c>
      <c r="J83" s="999">
        <v>0.56779999999999997</v>
      </c>
      <c r="K83" s="999">
        <v>0.56779999999999997</v>
      </c>
      <c r="L83" s="999">
        <v>0.56779999999999997</v>
      </c>
      <c r="M83" s="999">
        <v>0.56779999999999997</v>
      </c>
    </row>
    <row r="84" spans="1:13">
      <c r="A84" s="990">
        <v>8.1999999999999993</v>
      </c>
      <c r="B84" s="999">
        <v>0.85970000000000002</v>
      </c>
      <c r="C84" s="999">
        <v>0.85970000000000002</v>
      </c>
      <c r="D84" s="999">
        <v>0.747</v>
      </c>
      <c r="E84" s="999">
        <v>0.747</v>
      </c>
      <c r="F84" s="999">
        <v>0.747</v>
      </c>
      <c r="G84" s="999">
        <v>0.747</v>
      </c>
      <c r="H84" s="999">
        <v>0.747</v>
      </c>
      <c r="I84" s="999">
        <v>0.56589999999999996</v>
      </c>
      <c r="J84" s="999">
        <v>0.56589999999999996</v>
      </c>
      <c r="K84" s="999">
        <v>0.56589999999999996</v>
      </c>
      <c r="L84" s="999">
        <v>0.56589999999999996</v>
      </c>
      <c r="M84" s="999">
        <v>0.56589999999999996</v>
      </c>
    </row>
    <row r="85" spans="1:13">
      <c r="A85" s="990">
        <v>8.3000000000000007</v>
      </c>
      <c r="B85" s="999">
        <v>0.85840000000000005</v>
      </c>
      <c r="C85" s="999">
        <v>0.85840000000000005</v>
      </c>
      <c r="D85" s="999">
        <v>0.74560000000000004</v>
      </c>
      <c r="E85" s="999">
        <v>0.74560000000000004</v>
      </c>
      <c r="F85" s="999">
        <v>0.74560000000000004</v>
      </c>
      <c r="G85" s="999">
        <v>0.74560000000000004</v>
      </c>
      <c r="H85" s="999">
        <v>0.74560000000000004</v>
      </c>
      <c r="I85" s="999">
        <v>0.56389999999999996</v>
      </c>
      <c r="J85" s="999">
        <v>0.56389999999999996</v>
      </c>
      <c r="K85" s="999">
        <v>0.56389999999999996</v>
      </c>
      <c r="L85" s="999">
        <v>0.56389999999999996</v>
      </c>
      <c r="M85" s="999">
        <v>0.56389999999999996</v>
      </c>
    </row>
    <row r="86" spans="1:13">
      <c r="A86" s="990">
        <v>8.4</v>
      </c>
      <c r="B86" s="999">
        <v>0.85709999999999997</v>
      </c>
      <c r="C86" s="999">
        <v>0.85709999999999997</v>
      </c>
      <c r="D86" s="999">
        <v>0.74419999999999997</v>
      </c>
      <c r="E86" s="999">
        <v>0.74419999999999997</v>
      </c>
      <c r="F86" s="999">
        <v>0.74419999999999997</v>
      </c>
      <c r="G86" s="999">
        <v>0.74419999999999997</v>
      </c>
      <c r="H86" s="999">
        <v>0.74419999999999997</v>
      </c>
      <c r="I86" s="999">
        <v>0.56189999999999996</v>
      </c>
      <c r="J86" s="999">
        <v>0.56189999999999996</v>
      </c>
      <c r="K86" s="999">
        <v>0.56189999999999996</v>
      </c>
      <c r="L86" s="999">
        <v>0.56189999999999996</v>
      </c>
      <c r="M86" s="999">
        <v>0.56189999999999996</v>
      </c>
    </row>
    <row r="87" spans="1:13">
      <c r="A87" s="990">
        <v>8.5</v>
      </c>
      <c r="B87" s="999">
        <v>0.85580000000000001</v>
      </c>
      <c r="C87" s="999">
        <v>0.85580000000000001</v>
      </c>
      <c r="D87" s="999">
        <v>0.74270000000000003</v>
      </c>
      <c r="E87" s="999">
        <v>0.74270000000000003</v>
      </c>
      <c r="F87" s="999">
        <v>0.74270000000000003</v>
      </c>
      <c r="G87" s="999">
        <v>0.74270000000000003</v>
      </c>
      <c r="H87" s="999">
        <v>0.74270000000000003</v>
      </c>
      <c r="I87" s="999">
        <v>0.55989999999999995</v>
      </c>
      <c r="J87" s="999">
        <v>0.55989999999999995</v>
      </c>
      <c r="K87" s="999">
        <v>0.55989999999999995</v>
      </c>
      <c r="L87" s="999">
        <v>0.55989999999999995</v>
      </c>
      <c r="M87" s="999">
        <v>0.55989999999999995</v>
      </c>
    </row>
    <row r="88" spans="1:13">
      <c r="A88" s="990">
        <v>8.6</v>
      </c>
      <c r="B88" s="999">
        <v>0.85450000000000004</v>
      </c>
      <c r="C88" s="999">
        <v>0.85450000000000004</v>
      </c>
      <c r="D88" s="999">
        <v>0.74129999999999996</v>
      </c>
      <c r="E88" s="999">
        <v>0.74129999999999996</v>
      </c>
      <c r="F88" s="999">
        <v>0.74129999999999996</v>
      </c>
      <c r="G88" s="999">
        <v>0.74129999999999996</v>
      </c>
      <c r="H88" s="999">
        <v>0.74129999999999996</v>
      </c>
      <c r="I88" s="999">
        <v>0.55800000000000005</v>
      </c>
      <c r="J88" s="999">
        <v>0.55800000000000005</v>
      </c>
      <c r="K88" s="999">
        <v>0.55800000000000005</v>
      </c>
      <c r="L88" s="999">
        <v>0.55800000000000005</v>
      </c>
      <c r="M88" s="999">
        <v>0.55800000000000005</v>
      </c>
    </row>
    <row r="89" spans="1:13">
      <c r="A89" s="990">
        <v>8.6999999999999993</v>
      </c>
      <c r="B89" s="999">
        <v>0.85329999999999995</v>
      </c>
      <c r="C89" s="999">
        <v>0.85329999999999995</v>
      </c>
      <c r="D89" s="999">
        <v>0.7399</v>
      </c>
      <c r="E89" s="999">
        <v>0.7399</v>
      </c>
      <c r="F89" s="999">
        <v>0.7399</v>
      </c>
      <c r="G89" s="999">
        <v>0.7399</v>
      </c>
      <c r="H89" s="999">
        <v>0.7399</v>
      </c>
      <c r="I89" s="999">
        <v>0.55600000000000005</v>
      </c>
      <c r="J89" s="999">
        <v>0.55600000000000005</v>
      </c>
      <c r="K89" s="999">
        <v>0.55600000000000005</v>
      </c>
      <c r="L89" s="999">
        <v>0.55600000000000005</v>
      </c>
      <c r="M89" s="999">
        <v>0.55600000000000005</v>
      </c>
    </row>
    <row r="90" spans="1:13">
      <c r="A90" s="990">
        <v>8.8000000000000007</v>
      </c>
      <c r="B90" s="999">
        <v>0.85209999999999997</v>
      </c>
      <c r="C90" s="999">
        <v>0.85209999999999997</v>
      </c>
      <c r="D90" s="999">
        <v>0.73850000000000005</v>
      </c>
      <c r="E90" s="999">
        <v>0.73850000000000005</v>
      </c>
      <c r="F90" s="999">
        <v>0.73850000000000005</v>
      </c>
      <c r="G90" s="999">
        <v>0.73850000000000005</v>
      </c>
      <c r="H90" s="999">
        <v>0.73850000000000005</v>
      </c>
      <c r="I90" s="999">
        <v>0.55420000000000003</v>
      </c>
      <c r="J90" s="999">
        <v>0.55420000000000003</v>
      </c>
      <c r="K90" s="999">
        <v>0.55420000000000003</v>
      </c>
      <c r="L90" s="999">
        <v>0.55420000000000003</v>
      </c>
      <c r="M90" s="999">
        <v>0.55420000000000003</v>
      </c>
    </row>
    <row r="91" spans="1:13">
      <c r="A91" s="990">
        <v>8.9</v>
      </c>
      <c r="B91" s="999">
        <v>0.85099999999999998</v>
      </c>
      <c r="C91" s="999">
        <v>0.85099999999999998</v>
      </c>
      <c r="D91" s="999">
        <v>0.73719999999999997</v>
      </c>
      <c r="E91" s="999">
        <v>0.73719999999999997</v>
      </c>
      <c r="F91" s="999">
        <v>0.73719999999999997</v>
      </c>
      <c r="G91" s="999">
        <v>0.73719999999999997</v>
      </c>
      <c r="H91" s="999">
        <v>0.73719999999999997</v>
      </c>
      <c r="I91" s="999">
        <v>0.55230000000000001</v>
      </c>
      <c r="J91" s="999">
        <v>0.55230000000000001</v>
      </c>
      <c r="K91" s="999">
        <v>0.55230000000000001</v>
      </c>
      <c r="L91" s="999">
        <v>0.55230000000000001</v>
      </c>
      <c r="M91" s="999">
        <v>0.55230000000000001</v>
      </c>
    </row>
    <row r="92" spans="1:13">
      <c r="A92" s="1014">
        <v>9</v>
      </c>
      <c r="B92" s="999">
        <v>0.8498</v>
      </c>
      <c r="C92" s="999">
        <v>0.8498</v>
      </c>
      <c r="D92" s="999">
        <v>0.7359</v>
      </c>
      <c r="E92" s="999">
        <v>0.7359</v>
      </c>
      <c r="F92" s="999">
        <v>0.7359</v>
      </c>
      <c r="G92" s="999">
        <v>0.7359</v>
      </c>
      <c r="H92" s="999">
        <v>0.7359</v>
      </c>
      <c r="I92" s="999">
        <v>0.55049999999999999</v>
      </c>
      <c r="J92" s="999">
        <v>0.55049999999999999</v>
      </c>
      <c r="K92" s="999">
        <v>0.55049999999999999</v>
      </c>
      <c r="L92" s="999">
        <v>0.55049999999999999</v>
      </c>
      <c r="M92" s="999">
        <v>0.55049999999999999</v>
      </c>
    </row>
    <row r="93" spans="1:13">
      <c r="A93" s="1014">
        <v>9.1</v>
      </c>
      <c r="B93" s="999">
        <v>0.84870000000000001</v>
      </c>
      <c r="C93" s="999">
        <v>0.84870000000000001</v>
      </c>
      <c r="D93" s="999">
        <v>0.73470000000000002</v>
      </c>
      <c r="E93" s="999">
        <v>0.73470000000000002</v>
      </c>
      <c r="F93" s="999">
        <v>0.73470000000000002</v>
      </c>
      <c r="G93" s="999">
        <v>0.73470000000000002</v>
      </c>
      <c r="H93" s="999">
        <v>0.73470000000000002</v>
      </c>
      <c r="I93" s="999">
        <v>0.54879999999999995</v>
      </c>
      <c r="J93" s="999">
        <v>0.54879999999999995</v>
      </c>
      <c r="K93" s="999">
        <v>0.54879999999999995</v>
      </c>
      <c r="L93" s="999">
        <v>0.54879999999999995</v>
      </c>
      <c r="M93" s="999">
        <v>0.54879999999999995</v>
      </c>
    </row>
    <row r="94" spans="1:13">
      <c r="A94" s="1014">
        <v>9.1999999999999993</v>
      </c>
      <c r="B94" s="999">
        <v>0.84770000000000001</v>
      </c>
      <c r="C94" s="999">
        <v>0.84770000000000001</v>
      </c>
      <c r="D94" s="999">
        <v>0.73350000000000004</v>
      </c>
      <c r="E94" s="999">
        <v>0.73350000000000004</v>
      </c>
      <c r="F94" s="999">
        <v>0.73350000000000004</v>
      </c>
      <c r="G94" s="999">
        <v>0.73350000000000004</v>
      </c>
      <c r="H94" s="999">
        <v>0.73350000000000004</v>
      </c>
      <c r="I94" s="999">
        <v>0.54710000000000003</v>
      </c>
      <c r="J94" s="999">
        <v>0.54710000000000003</v>
      </c>
      <c r="K94" s="999">
        <v>0.54710000000000003</v>
      </c>
      <c r="L94" s="999">
        <v>0.54710000000000003</v>
      </c>
      <c r="M94" s="999">
        <v>0.54710000000000003</v>
      </c>
    </row>
    <row r="95" spans="1:13">
      <c r="A95" s="1014">
        <v>9.3000000000000007</v>
      </c>
      <c r="B95" s="999">
        <v>0.84660000000000002</v>
      </c>
      <c r="C95" s="999">
        <v>0.84660000000000002</v>
      </c>
      <c r="D95" s="999">
        <v>0.73229999999999995</v>
      </c>
      <c r="E95" s="999">
        <v>0.73229999999999995</v>
      </c>
      <c r="F95" s="999">
        <v>0.73229999999999995</v>
      </c>
      <c r="G95" s="999">
        <v>0.73229999999999995</v>
      </c>
      <c r="H95" s="999">
        <v>0.73229999999999995</v>
      </c>
      <c r="I95" s="999">
        <v>0.5454</v>
      </c>
      <c r="J95" s="999">
        <v>0.5454</v>
      </c>
      <c r="K95" s="999">
        <v>0.5454</v>
      </c>
      <c r="L95" s="999">
        <v>0.5454</v>
      </c>
      <c r="M95" s="999">
        <v>0.5454</v>
      </c>
    </row>
    <row r="96" spans="1:13">
      <c r="A96" s="1014">
        <v>9.4</v>
      </c>
      <c r="B96" s="999">
        <v>0.84550000000000003</v>
      </c>
      <c r="C96" s="999">
        <v>0.84550000000000003</v>
      </c>
      <c r="D96" s="999">
        <v>0.73109999999999997</v>
      </c>
      <c r="E96" s="999">
        <v>0.73109999999999997</v>
      </c>
      <c r="F96" s="999">
        <v>0.73109999999999997</v>
      </c>
      <c r="G96" s="999">
        <v>0.73109999999999997</v>
      </c>
      <c r="H96" s="999">
        <v>0.73109999999999997</v>
      </c>
      <c r="I96" s="999">
        <v>0.54369999999999996</v>
      </c>
      <c r="J96" s="999">
        <v>0.54369999999999996</v>
      </c>
      <c r="K96" s="999">
        <v>0.54369999999999996</v>
      </c>
      <c r="L96" s="999">
        <v>0.54369999999999996</v>
      </c>
      <c r="M96" s="999">
        <v>0.54369999999999996</v>
      </c>
    </row>
    <row r="97" spans="1:14">
      <c r="A97" s="1014">
        <v>9.5</v>
      </c>
      <c r="B97" s="999">
        <v>0.84450000000000003</v>
      </c>
      <c r="C97" s="999">
        <v>0.84450000000000003</v>
      </c>
      <c r="D97" s="999">
        <v>0.72989999999999999</v>
      </c>
      <c r="E97" s="999">
        <v>0.72989999999999999</v>
      </c>
      <c r="F97" s="999">
        <v>0.72989999999999999</v>
      </c>
      <c r="G97" s="999">
        <v>0.72989999999999999</v>
      </c>
      <c r="H97" s="999">
        <v>0.72989999999999999</v>
      </c>
      <c r="I97" s="999">
        <v>0.54200000000000004</v>
      </c>
      <c r="J97" s="999">
        <v>0.54200000000000004</v>
      </c>
      <c r="K97" s="999">
        <v>0.54200000000000004</v>
      </c>
      <c r="L97" s="999">
        <v>0.54200000000000004</v>
      </c>
      <c r="M97" s="999">
        <v>0.54200000000000004</v>
      </c>
    </row>
    <row r="98" spans="1:14">
      <c r="A98" s="1014">
        <v>9.6</v>
      </c>
      <c r="B98" s="999">
        <v>0.84340000000000004</v>
      </c>
      <c r="C98" s="999">
        <v>0.84340000000000004</v>
      </c>
      <c r="D98" s="999">
        <v>0.72870000000000001</v>
      </c>
      <c r="E98" s="999">
        <v>0.72870000000000001</v>
      </c>
      <c r="F98" s="999">
        <v>0.72870000000000001</v>
      </c>
      <c r="G98" s="999">
        <v>0.72870000000000001</v>
      </c>
      <c r="H98" s="999">
        <v>0.72870000000000001</v>
      </c>
      <c r="I98" s="999">
        <v>0.5403</v>
      </c>
      <c r="J98" s="999">
        <v>0.5403</v>
      </c>
      <c r="K98" s="999">
        <v>0.5403</v>
      </c>
      <c r="L98" s="999">
        <v>0.5403</v>
      </c>
      <c r="M98" s="999">
        <v>0.5403</v>
      </c>
    </row>
    <row r="99" spans="1:14">
      <c r="A99" s="1014">
        <v>9.6999999999999993</v>
      </c>
      <c r="B99" s="999">
        <v>0.84230000000000005</v>
      </c>
      <c r="C99" s="999">
        <v>0.84230000000000005</v>
      </c>
      <c r="D99" s="999">
        <v>0.72750000000000004</v>
      </c>
      <c r="E99" s="999">
        <v>0.72750000000000004</v>
      </c>
      <c r="F99" s="999">
        <v>0.72750000000000004</v>
      </c>
      <c r="G99" s="999">
        <v>0.72750000000000004</v>
      </c>
      <c r="H99" s="999">
        <v>0.72750000000000004</v>
      </c>
      <c r="I99" s="999">
        <v>0.53859999999999997</v>
      </c>
      <c r="J99" s="999">
        <v>0.53859999999999997</v>
      </c>
      <c r="K99" s="999">
        <v>0.53859999999999997</v>
      </c>
      <c r="L99" s="999">
        <v>0.53859999999999997</v>
      </c>
      <c r="M99" s="999">
        <v>0.53859999999999997</v>
      </c>
    </row>
    <row r="100" spans="1:14">
      <c r="A100" s="1014">
        <v>9.8000000000000007</v>
      </c>
      <c r="B100" s="999">
        <v>0.84140000000000004</v>
      </c>
      <c r="C100" s="999">
        <v>0.84140000000000004</v>
      </c>
      <c r="D100" s="999">
        <v>0.72629999999999995</v>
      </c>
      <c r="E100" s="999">
        <v>0.72629999999999995</v>
      </c>
      <c r="F100" s="999">
        <v>0.72629999999999995</v>
      </c>
      <c r="G100" s="999">
        <v>0.72629999999999995</v>
      </c>
      <c r="H100" s="999">
        <v>0.72629999999999995</v>
      </c>
      <c r="I100" s="999">
        <v>0.53710000000000002</v>
      </c>
      <c r="J100" s="999">
        <v>0.53710000000000002</v>
      </c>
      <c r="K100" s="999">
        <v>0.53710000000000002</v>
      </c>
      <c r="L100" s="999">
        <v>0.53710000000000002</v>
      </c>
      <c r="M100" s="999">
        <v>0.53710000000000002</v>
      </c>
    </row>
    <row r="101" spans="1:14">
      <c r="A101" s="1014">
        <v>9.9</v>
      </c>
      <c r="B101" s="999">
        <v>0.84050000000000002</v>
      </c>
      <c r="C101" s="999">
        <v>0.84050000000000002</v>
      </c>
      <c r="D101" s="999">
        <v>0.72519999999999996</v>
      </c>
      <c r="E101" s="999">
        <v>0.72519999999999996</v>
      </c>
      <c r="F101" s="999">
        <v>0.72519999999999996</v>
      </c>
      <c r="G101" s="999">
        <v>0.72519999999999996</v>
      </c>
      <c r="H101" s="999">
        <v>0.72519999999999996</v>
      </c>
      <c r="I101" s="999">
        <v>0.53549999999999998</v>
      </c>
      <c r="J101" s="999">
        <v>0.53549999999999998</v>
      </c>
      <c r="K101" s="999">
        <v>0.53549999999999998</v>
      </c>
      <c r="L101" s="999">
        <v>0.53549999999999998</v>
      </c>
      <c r="M101" s="999">
        <v>0.53549999999999998</v>
      </c>
    </row>
    <row r="102" spans="1:14">
      <c r="A102" s="1014">
        <v>10</v>
      </c>
      <c r="B102" s="999">
        <v>0.83950000000000002</v>
      </c>
      <c r="C102" s="999">
        <v>0.83950000000000002</v>
      </c>
      <c r="D102" s="999">
        <v>0.72409999999999997</v>
      </c>
      <c r="E102" s="999">
        <v>0.72409999999999997</v>
      </c>
      <c r="F102" s="999">
        <v>0.72409999999999997</v>
      </c>
      <c r="G102" s="999">
        <v>0.72409999999999997</v>
      </c>
      <c r="H102" s="999">
        <v>0.72409999999999997</v>
      </c>
      <c r="I102" s="999">
        <v>0.53400000000000003</v>
      </c>
      <c r="J102" s="999">
        <v>0.53400000000000003</v>
      </c>
      <c r="K102" s="999">
        <v>0.53400000000000003</v>
      </c>
      <c r="L102" s="999">
        <v>0.53400000000000003</v>
      </c>
      <c r="M102" s="999">
        <v>0.53400000000000003</v>
      </c>
    </row>
    <row r="103" spans="1:14" ht="14.25">
      <c r="A103" s="987" t="s">
        <v>894</v>
      </c>
      <c r="B103" s="988"/>
      <c r="C103" s="988"/>
      <c r="D103" s="988"/>
      <c r="E103" s="988"/>
      <c r="F103" s="988"/>
      <c r="G103" s="988"/>
      <c r="H103" s="988"/>
      <c r="I103" s="988"/>
      <c r="J103" s="988"/>
      <c r="K103" s="988"/>
      <c r="L103" s="988"/>
      <c r="M103" s="988"/>
      <c r="N103" s="988"/>
    </row>
    <row r="104" spans="1:14" ht="14.25">
      <c r="A104" s="990" t="s">
        <v>873</v>
      </c>
      <c r="B104" s="991" t="s">
        <v>874</v>
      </c>
      <c r="C104" s="991" t="s">
        <v>875</v>
      </c>
      <c r="D104" s="991" t="s">
        <v>876</v>
      </c>
      <c r="E104" s="991" t="s">
        <v>877</v>
      </c>
      <c r="F104" s="991" t="s">
        <v>878</v>
      </c>
      <c r="G104" s="991" t="s">
        <v>879</v>
      </c>
      <c r="H104" s="992" t="s">
        <v>880</v>
      </c>
      <c r="I104" s="992" t="s">
        <v>881</v>
      </c>
      <c r="J104" s="993" t="s">
        <v>882</v>
      </c>
      <c r="K104" s="993" t="s">
        <v>883</v>
      </c>
      <c r="L104" s="993" t="s">
        <v>884</v>
      </c>
      <c r="M104" s="993" t="s">
        <v>885</v>
      </c>
      <c r="N104" s="988">
        <f>SUMPRODUCT((A105:A204=ROUNDDOWN(基准地价!G3,1))*(B104:M104=基准地价!G2)*(B105:M204))</f>
        <v>0</v>
      </c>
    </row>
    <row r="105" spans="1:14">
      <c r="A105" s="990">
        <v>0.1</v>
      </c>
      <c r="B105" s="999">
        <v>13.733000000000001</v>
      </c>
      <c r="C105" s="999">
        <v>13.733000000000001</v>
      </c>
      <c r="D105" s="999">
        <v>12.787000000000001</v>
      </c>
      <c r="E105" s="999">
        <v>12.787000000000001</v>
      </c>
      <c r="F105" s="999">
        <v>12.787000000000001</v>
      </c>
      <c r="G105" s="999">
        <v>12.787000000000001</v>
      </c>
      <c r="H105" s="999">
        <v>12.787000000000001</v>
      </c>
      <c r="I105" s="999">
        <v>12.384</v>
      </c>
      <c r="J105" s="999">
        <v>12.384</v>
      </c>
      <c r="K105" s="999">
        <v>12.384</v>
      </c>
      <c r="L105" s="999">
        <v>12.384</v>
      </c>
      <c r="M105" s="999">
        <v>12.384</v>
      </c>
    </row>
    <row r="106" spans="1:14">
      <c r="A106" s="990">
        <v>0.2</v>
      </c>
      <c r="B106" s="999">
        <v>6.8665000000000003</v>
      </c>
      <c r="C106" s="999">
        <v>6.8665000000000003</v>
      </c>
      <c r="D106" s="999">
        <v>6.3935000000000004</v>
      </c>
      <c r="E106" s="999">
        <v>6.3935000000000004</v>
      </c>
      <c r="F106" s="999">
        <v>6.3935000000000004</v>
      </c>
      <c r="G106" s="999">
        <v>6.3935000000000004</v>
      </c>
      <c r="H106" s="999">
        <v>6.3935000000000004</v>
      </c>
      <c r="I106" s="999">
        <v>6.1920000000000002</v>
      </c>
      <c r="J106" s="999">
        <v>6.1920000000000002</v>
      </c>
      <c r="K106" s="999">
        <v>6.1920000000000002</v>
      </c>
      <c r="L106" s="999">
        <v>6.1920000000000002</v>
      </c>
      <c r="M106" s="999">
        <v>6.1920000000000002</v>
      </c>
    </row>
    <row r="107" spans="1:14">
      <c r="A107" s="990">
        <v>0.3</v>
      </c>
      <c r="B107" s="999">
        <v>4.5777000000000001</v>
      </c>
      <c r="C107" s="999">
        <v>4.5777000000000001</v>
      </c>
      <c r="D107" s="999">
        <v>4.2622999999999998</v>
      </c>
      <c r="E107" s="999">
        <v>4.2622999999999998</v>
      </c>
      <c r="F107" s="999">
        <v>4.2622999999999998</v>
      </c>
      <c r="G107" s="999">
        <v>4.2622999999999998</v>
      </c>
      <c r="H107" s="999">
        <v>4.2622999999999998</v>
      </c>
      <c r="I107" s="999">
        <v>4.1280000000000001</v>
      </c>
      <c r="J107" s="999">
        <v>4.1280000000000001</v>
      </c>
      <c r="K107" s="999">
        <v>4.1280000000000001</v>
      </c>
      <c r="L107" s="999">
        <v>4.1280000000000001</v>
      </c>
      <c r="M107" s="999">
        <v>4.1280000000000001</v>
      </c>
    </row>
    <row r="108" spans="1:14">
      <c r="A108" s="990">
        <v>0.4</v>
      </c>
      <c r="B108" s="999">
        <v>3.4333</v>
      </c>
      <c r="C108" s="999">
        <v>3.4333</v>
      </c>
      <c r="D108" s="999">
        <v>3.1968000000000001</v>
      </c>
      <c r="E108" s="999">
        <v>3.1968000000000001</v>
      </c>
      <c r="F108" s="999">
        <v>3.1968000000000001</v>
      </c>
      <c r="G108" s="999">
        <v>3.1968000000000001</v>
      </c>
      <c r="H108" s="999">
        <v>3.1968000000000001</v>
      </c>
      <c r="I108" s="999">
        <v>3.0960000000000001</v>
      </c>
      <c r="J108" s="999">
        <v>3.0960000000000001</v>
      </c>
      <c r="K108" s="999">
        <v>3.0960000000000001</v>
      </c>
      <c r="L108" s="999">
        <v>3.0960000000000001</v>
      </c>
      <c r="M108" s="999">
        <v>3.0960000000000001</v>
      </c>
    </row>
    <row r="109" spans="1:14">
      <c r="A109" s="990">
        <v>0.5</v>
      </c>
      <c r="B109" s="999">
        <v>2.7465999999999999</v>
      </c>
      <c r="C109" s="999">
        <v>2.7465999999999999</v>
      </c>
      <c r="D109" s="999">
        <v>2.5573999999999999</v>
      </c>
      <c r="E109" s="999">
        <v>2.5573999999999999</v>
      </c>
      <c r="F109" s="999">
        <v>2.5573999999999999</v>
      </c>
      <c r="G109" s="999">
        <v>2.5573999999999999</v>
      </c>
      <c r="H109" s="999">
        <v>2.5573999999999999</v>
      </c>
      <c r="I109" s="999">
        <v>2.4767999999999999</v>
      </c>
      <c r="J109" s="999">
        <v>2.4767999999999999</v>
      </c>
      <c r="K109" s="999">
        <v>2.4767999999999999</v>
      </c>
      <c r="L109" s="999">
        <v>2.4767999999999999</v>
      </c>
      <c r="M109" s="999">
        <v>2.4767999999999999</v>
      </c>
    </row>
    <row r="110" spans="1:14">
      <c r="A110" s="990">
        <v>0.6</v>
      </c>
      <c r="B110" s="999">
        <v>2.2888000000000002</v>
      </c>
      <c r="C110" s="999">
        <v>2.2888000000000002</v>
      </c>
      <c r="D110" s="999">
        <v>2.1312000000000002</v>
      </c>
      <c r="E110" s="999">
        <v>2.1312000000000002</v>
      </c>
      <c r="F110" s="999">
        <v>2.1312000000000002</v>
      </c>
      <c r="G110" s="999">
        <v>2.1312000000000002</v>
      </c>
      <c r="H110" s="999">
        <v>2.1312000000000002</v>
      </c>
      <c r="I110" s="999">
        <v>2.0640000000000001</v>
      </c>
      <c r="J110" s="999">
        <v>2.0640000000000001</v>
      </c>
      <c r="K110" s="999">
        <v>2.0640000000000001</v>
      </c>
      <c r="L110" s="999">
        <v>2.0640000000000001</v>
      </c>
      <c r="M110" s="999">
        <v>2.0640000000000001</v>
      </c>
    </row>
    <row r="111" spans="1:14">
      <c r="A111" s="990">
        <v>0.7</v>
      </c>
      <c r="B111" s="999">
        <v>1.9619</v>
      </c>
      <c r="C111" s="999">
        <v>1.9619</v>
      </c>
      <c r="D111" s="999">
        <v>1.8267</v>
      </c>
      <c r="E111" s="999">
        <v>1.8267</v>
      </c>
      <c r="F111" s="999">
        <v>1.8267</v>
      </c>
      <c r="G111" s="999">
        <v>1.8267</v>
      </c>
      <c r="H111" s="999">
        <v>1.8267</v>
      </c>
      <c r="I111" s="999">
        <v>1.7690999999999999</v>
      </c>
      <c r="J111" s="999">
        <v>1.7690999999999999</v>
      </c>
      <c r="K111" s="999">
        <v>1.7690999999999999</v>
      </c>
      <c r="L111" s="999">
        <v>1.7690999999999999</v>
      </c>
      <c r="M111" s="999">
        <v>1.7690999999999999</v>
      </c>
    </row>
    <row r="112" spans="1:14">
      <c r="A112" s="990">
        <v>0.8</v>
      </c>
      <c r="B112" s="999">
        <v>1.7165999999999999</v>
      </c>
      <c r="C112" s="999">
        <v>1.7165999999999999</v>
      </c>
      <c r="D112" s="999">
        <v>1.5984</v>
      </c>
      <c r="E112" s="999">
        <v>1.5984</v>
      </c>
      <c r="F112" s="999">
        <v>1.5984</v>
      </c>
      <c r="G112" s="999">
        <v>1.5984</v>
      </c>
      <c r="H112" s="999">
        <v>1.5984</v>
      </c>
      <c r="I112" s="999">
        <v>1.548</v>
      </c>
      <c r="J112" s="999">
        <v>1.548</v>
      </c>
      <c r="K112" s="999">
        <v>1.548</v>
      </c>
      <c r="L112" s="999">
        <v>1.548</v>
      </c>
      <c r="M112" s="999">
        <v>1.548</v>
      </c>
    </row>
    <row r="113" spans="1:13">
      <c r="A113" s="990">
        <v>0.9</v>
      </c>
      <c r="B113" s="999">
        <v>1.5259</v>
      </c>
      <c r="C113" s="999">
        <v>1.5259</v>
      </c>
      <c r="D113" s="999">
        <v>1.4208000000000001</v>
      </c>
      <c r="E113" s="999">
        <v>1.4208000000000001</v>
      </c>
      <c r="F113" s="999">
        <v>1.4208000000000001</v>
      </c>
      <c r="G113" s="999">
        <v>1.4208000000000001</v>
      </c>
      <c r="H113" s="999">
        <v>1.4208000000000001</v>
      </c>
      <c r="I113" s="999">
        <v>1.3759999999999999</v>
      </c>
      <c r="J113" s="999">
        <v>1.3759999999999999</v>
      </c>
      <c r="K113" s="999">
        <v>1.3759999999999999</v>
      </c>
      <c r="L113" s="999">
        <v>1.3759999999999999</v>
      </c>
      <c r="M113" s="999">
        <v>1.3759999999999999</v>
      </c>
    </row>
    <row r="114" spans="1:13">
      <c r="A114" s="990">
        <v>1</v>
      </c>
      <c r="B114" s="999">
        <v>1.3733</v>
      </c>
      <c r="C114" s="999">
        <v>1.3733</v>
      </c>
      <c r="D114" s="999">
        <v>1.2786999999999999</v>
      </c>
      <c r="E114" s="999">
        <v>1.2786999999999999</v>
      </c>
      <c r="F114" s="999">
        <v>1.2786999999999999</v>
      </c>
      <c r="G114" s="999">
        <v>1.2786999999999999</v>
      </c>
      <c r="H114" s="999">
        <v>1.2786999999999999</v>
      </c>
      <c r="I114" s="999">
        <v>1.2383999999999999</v>
      </c>
      <c r="J114" s="999">
        <v>1.2383999999999999</v>
      </c>
      <c r="K114" s="999">
        <v>1.2383999999999999</v>
      </c>
      <c r="L114" s="999">
        <v>1.2383999999999999</v>
      </c>
      <c r="M114" s="999">
        <v>1.2383999999999999</v>
      </c>
    </row>
    <row r="115" spans="1:13">
      <c r="A115" s="990">
        <v>1.1000000000000001</v>
      </c>
      <c r="B115" s="999">
        <v>1.3489</v>
      </c>
      <c r="C115" s="999">
        <v>1.3489</v>
      </c>
      <c r="D115" s="999">
        <v>1.2542</v>
      </c>
      <c r="E115" s="999">
        <v>1.2542</v>
      </c>
      <c r="F115" s="999">
        <v>1.2542</v>
      </c>
      <c r="G115" s="999">
        <v>1.2542</v>
      </c>
      <c r="H115" s="999">
        <v>1.2542</v>
      </c>
      <c r="I115" s="999">
        <v>1.2050000000000001</v>
      </c>
      <c r="J115" s="999">
        <v>1.2050000000000001</v>
      </c>
      <c r="K115" s="999">
        <v>1.2050000000000001</v>
      </c>
      <c r="L115" s="999">
        <v>1.2050000000000001</v>
      </c>
      <c r="M115" s="999">
        <v>1.2050000000000001</v>
      </c>
    </row>
    <row r="116" spans="1:13">
      <c r="A116" s="990">
        <v>1.2</v>
      </c>
      <c r="B116" s="999">
        <v>1.3255999999999999</v>
      </c>
      <c r="C116" s="999">
        <v>1.3255999999999999</v>
      </c>
      <c r="D116" s="999">
        <v>1.2305999999999999</v>
      </c>
      <c r="E116" s="999">
        <v>1.2305999999999999</v>
      </c>
      <c r="F116" s="999">
        <v>1.2305999999999999</v>
      </c>
      <c r="G116" s="999">
        <v>1.2305999999999999</v>
      </c>
      <c r="H116" s="999">
        <v>1.2305999999999999</v>
      </c>
      <c r="I116" s="999">
        <v>1.1741999999999999</v>
      </c>
      <c r="J116" s="999">
        <v>1.1741999999999999</v>
      </c>
      <c r="K116" s="999">
        <v>1.1741999999999999</v>
      </c>
      <c r="L116" s="999">
        <v>1.1741999999999999</v>
      </c>
      <c r="M116" s="999">
        <v>1.1741999999999999</v>
      </c>
    </row>
    <row r="117" spans="1:13">
      <c r="A117" s="990">
        <v>1.3</v>
      </c>
      <c r="B117" s="999">
        <v>1.3032999999999999</v>
      </c>
      <c r="C117" s="999">
        <v>1.3032999999999999</v>
      </c>
      <c r="D117" s="999">
        <v>1.2079</v>
      </c>
      <c r="E117" s="999">
        <v>1.2079</v>
      </c>
      <c r="F117" s="999">
        <v>1.2079</v>
      </c>
      <c r="G117" s="999">
        <v>1.2079</v>
      </c>
      <c r="H117" s="999">
        <v>1.2079</v>
      </c>
      <c r="I117" s="999">
        <v>1.1459999999999999</v>
      </c>
      <c r="J117" s="999">
        <v>1.1459999999999999</v>
      </c>
      <c r="K117" s="999">
        <v>1.1459999999999999</v>
      </c>
      <c r="L117" s="999">
        <v>1.1459999999999999</v>
      </c>
      <c r="M117" s="999">
        <v>1.1459999999999999</v>
      </c>
    </row>
    <row r="118" spans="1:13">
      <c r="A118" s="990">
        <v>1.4</v>
      </c>
      <c r="B118" s="999">
        <v>1.282</v>
      </c>
      <c r="C118" s="999">
        <v>1.282</v>
      </c>
      <c r="D118" s="999">
        <v>1.1861999999999999</v>
      </c>
      <c r="E118" s="999">
        <v>1.1861999999999999</v>
      </c>
      <c r="F118" s="999">
        <v>1.1861999999999999</v>
      </c>
      <c r="G118" s="999">
        <v>1.1861999999999999</v>
      </c>
      <c r="H118" s="999">
        <v>1.1861999999999999</v>
      </c>
      <c r="I118" s="999">
        <v>1.1200000000000001</v>
      </c>
      <c r="J118" s="999">
        <v>1.1200000000000001</v>
      </c>
      <c r="K118" s="999">
        <v>1.1200000000000001</v>
      </c>
      <c r="L118" s="999">
        <v>1.1200000000000001</v>
      </c>
      <c r="M118" s="999">
        <v>1.1200000000000001</v>
      </c>
    </row>
    <row r="119" spans="1:13">
      <c r="A119" s="990">
        <v>1.5</v>
      </c>
      <c r="B119" s="999">
        <v>1.2617</v>
      </c>
      <c r="C119" s="999">
        <v>1.2617</v>
      </c>
      <c r="D119" s="999">
        <v>1.1653</v>
      </c>
      <c r="E119" s="999">
        <v>1.1653</v>
      </c>
      <c r="F119" s="999">
        <v>1.1653</v>
      </c>
      <c r="G119" s="999">
        <v>1.1653</v>
      </c>
      <c r="H119" s="999">
        <v>1.1653</v>
      </c>
      <c r="I119" s="999">
        <v>1.0961000000000001</v>
      </c>
      <c r="J119" s="999">
        <v>1.0961000000000001</v>
      </c>
      <c r="K119" s="999">
        <v>1.0961000000000001</v>
      </c>
      <c r="L119" s="999">
        <v>1.0961000000000001</v>
      </c>
      <c r="M119" s="999">
        <v>1.0961000000000001</v>
      </c>
    </row>
    <row r="120" spans="1:13">
      <c r="A120" s="990">
        <v>1.6</v>
      </c>
      <c r="B120" s="999">
        <v>1.2423</v>
      </c>
      <c r="C120" s="999">
        <v>1.2423</v>
      </c>
      <c r="D120" s="999">
        <v>1.1453</v>
      </c>
      <c r="E120" s="999">
        <v>1.1453</v>
      </c>
      <c r="F120" s="999">
        <v>1.1453</v>
      </c>
      <c r="G120" s="999">
        <v>1.1453</v>
      </c>
      <c r="H120" s="999">
        <v>1.1453</v>
      </c>
      <c r="I120" s="999">
        <v>1.0740000000000001</v>
      </c>
      <c r="J120" s="999">
        <v>1.0740000000000001</v>
      </c>
      <c r="K120" s="999">
        <v>1.0740000000000001</v>
      </c>
      <c r="L120" s="999">
        <v>1.0740000000000001</v>
      </c>
      <c r="M120" s="999">
        <v>1.0740000000000001</v>
      </c>
    </row>
    <row r="121" spans="1:13">
      <c r="A121" s="990">
        <v>1.7</v>
      </c>
      <c r="B121" s="999">
        <v>1.2237</v>
      </c>
      <c r="C121" s="999">
        <v>1.2237</v>
      </c>
      <c r="D121" s="999">
        <v>1.1261000000000001</v>
      </c>
      <c r="E121" s="999">
        <v>1.1261000000000001</v>
      </c>
      <c r="F121" s="999">
        <v>1.1261000000000001</v>
      </c>
      <c r="G121" s="999">
        <v>1.1261000000000001</v>
      </c>
      <c r="H121" s="999">
        <v>1.1261000000000001</v>
      </c>
      <c r="I121" s="999">
        <v>1.0535000000000001</v>
      </c>
      <c r="J121" s="999">
        <v>1.0535000000000001</v>
      </c>
      <c r="K121" s="999">
        <v>1.0535000000000001</v>
      </c>
      <c r="L121" s="999">
        <v>1.0535000000000001</v>
      </c>
      <c r="M121" s="999">
        <v>1.0535000000000001</v>
      </c>
    </row>
    <row r="122" spans="1:13">
      <c r="A122" s="990">
        <v>1.8</v>
      </c>
      <c r="B122" s="999">
        <v>1.206</v>
      </c>
      <c r="C122" s="999">
        <v>1.206</v>
      </c>
      <c r="D122" s="999">
        <v>1.1076999999999999</v>
      </c>
      <c r="E122" s="999">
        <v>1.1076999999999999</v>
      </c>
      <c r="F122" s="999">
        <v>1.1076999999999999</v>
      </c>
      <c r="G122" s="999">
        <v>1.1076999999999999</v>
      </c>
      <c r="H122" s="999">
        <v>1.1076999999999999</v>
      </c>
      <c r="I122" s="999">
        <v>1.0345</v>
      </c>
      <c r="J122" s="999">
        <v>1.0345</v>
      </c>
      <c r="K122" s="999">
        <v>1.0345</v>
      </c>
      <c r="L122" s="999">
        <v>1.0345</v>
      </c>
      <c r="M122" s="999">
        <v>1.0345</v>
      </c>
    </row>
    <row r="123" spans="1:13">
      <c r="A123" s="990">
        <v>1.9</v>
      </c>
      <c r="B123" s="999">
        <v>1.1891</v>
      </c>
      <c r="C123" s="999">
        <v>1.1891</v>
      </c>
      <c r="D123" s="999">
        <v>1.0901000000000001</v>
      </c>
      <c r="E123" s="999">
        <v>1.0901000000000001</v>
      </c>
      <c r="F123" s="999">
        <v>1.0901000000000001</v>
      </c>
      <c r="G123" s="999">
        <v>1.0901000000000001</v>
      </c>
      <c r="H123" s="999">
        <v>1.0901000000000001</v>
      </c>
      <c r="I123" s="999">
        <v>1.0166999999999999</v>
      </c>
      <c r="J123" s="999">
        <v>1.0166999999999999</v>
      </c>
      <c r="K123" s="999">
        <v>1.0166999999999999</v>
      </c>
      <c r="L123" s="999">
        <v>1.0166999999999999</v>
      </c>
      <c r="M123" s="999">
        <v>1.0166999999999999</v>
      </c>
    </row>
    <row r="124" spans="1:13">
      <c r="A124" s="990">
        <v>2</v>
      </c>
      <c r="B124" s="999">
        <v>1.1729000000000001</v>
      </c>
      <c r="C124" s="999">
        <v>1.1729000000000001</v>
      </c>
      <c r="D124" s="999">
        <v>1.0732999999999999</v>
      </c>
      <c r="E124" s="999">
        <v>1.0732999999999999</v>
      </c>
      <c r="F124" s="999">
        <v>1.0732999999999999</v>
      </c>
      <c r="G124" s="999">
        <v>1.0732999999999999</v>
      </c>
      <c r="H124" s="999">
        <v>1.0732999999999999</v>
      </c>
      <c r="I124" s="999">
        <v>1</v>
      </c>
      <c r="J124" s="999">
        <v>1</v>
      </c>
      <c r="K124" s="999">
        <v>1</v>
      </c>
      <c r="L124" s="999">
        <v>1</v>
      </c>
      <c r="M124" s="999">
        <v>1</v>
      </c>
    </row>
    <row r="125" spans="1:13">
      <c r="A125" s="1014">
        <v>2.1</v>
      </c>
      <c r="B125" s="999">
        <v>1.1574</v>
      </c>
      <c r="C125" s="999">
        <v>1.1574</v>
      </c>
      <c r="D125" s="999">
        <v>1.0571999999999999</v>
      </c>
      <c r="E125" s="999">
        <v>1.0571999999999999</v>
      </c>
      <c r="F125" s="999">
        <v>1.0571999999999999</v>
      </c>
      <c r="G125" s="999">
        <v>1.0571999999999999</v>
      </c>
      <c r="H125" s="999">
        <v>1.0571999999999999</v>
      </c>
      <c r="I125" s="999">
        <v>0.98409999999999997</v>
      </c>
      <c r="J125" s="999">
        <v>0.98409999999999997</v>
      </c>
      <c r="K125" s="999">
        <v>0.98409999999999997</v>
      </c>
      <c r="L125" s="999">
        <v>0.98409999999999997</v>
      </c>
      <c r="M125" s="999">
        <v>0.98409999999999997</v>
      </c>
    </row>
    <row r="126" spans="1:13">
      <c r="A126" s="1014">
        <v>2.2000000000000002</v>
      </c>
      <c r="B126" s="999">
        <v>1.1426000000000001</v>
      </c>
      <c r="C126" s="999">
        <v>1.1426000000000001</v>
      </c>
      <c r="D126" s="999">
        <v>1.0419</v>
      </c>
      <c r="E126" s="999">
        <v>1.0419</v>
      </c>
      <c r="F126" s="999">
        <v>1.0419</v>
      </c>
      <c r="G126" s="999">
        <v>1.0419</v>
      </c>
      <c r="H126" s="999">
        <v>1.0419</v>
      </c>
      <c r="I126" s="999">
        <v>0.96889999999999998</v>
      </c>
      <c r="J126" s="999">
        <v>0.96889999999999998</v>
      </c>
      <c r="K126" s="999">
        <v>0.96889999999999998</v>
      </c>
      <c r="L126" s="999">
        <v>0.96889999999999998</v>
      </c>
      <c r="M126" s="999">
        <v>0.96889999999999998</v>
      </c>
    </row>
    <row r="127" spans="1:13">
      <c r="A127" s="1014">
        <v>2.2999999999999998</v>
      </c>
      <c r="B127" s="999">
        <v>1.1285000000000001</v>
      </c>
      <c r="C127" s="999">
        <v>1.1285000000000001</v>
      </c>
      <c r="D127" s="999">
        <v>1.0271999999999999</v>
      </c>
      <c r="E127" s="999">
        <v>1.0271999999999999</v>
      </c>
      <c r="F127" s="999">
        <v>1.0271999999999999</v>
      </c>
      <c r="G127" s="999">
        <v>1.0271999999999999</v>
      </c>
      <c r="H127" s="999">
        <v>1.0271999999999999</v>
      </c>
      <c r="I127" s="999">
        <v>0.95440000000000003</v>
      </c>
      <c r="J127" s="999">
        <v>0.95440000000000003</v>
      </c>
      <c r="K127" s="999">
        <v>0.95440000000000003</v>
      </c>
      <c r="L127" s="999">
        <v>0.95440000000000003</v>
      </c>
      <c r="M127" s="999">
        <v>0.95440000000000003</v>
      </c>
    </row>
    <row r="128" spans="1:13">
      <c r="A128" s="1014">
        <v>2.4</v>
      </c>
      <c r="B128" s="999">
        <v>1.1149</v>
      </c>
      <c r="C128" s="999">
        <v>1.1149</v>
      </c>
      <c r="D128" s="999">
        <v>1.0133000000000001</v>
      </c>
      <c r="E128" s="999">
        <v>1.0133000000000001</v>
      </c>
      <c r="F128" s="999">
        <v>1.0133000000000001</v>
      </c>
      <c r="G128" s="999">
        <v>1.0133000000000001</v>
      </c>
      <c r="H128" s="999">
        <v>1.0133000000000001</v>
      </c>
      <c r="I128" s="999">
        <v>0.9405</v>
      </c>
      <c r="J128" s="999">
        <v>0.9405</v>
      </c>
      <c r="K128" s="999">
        <v>0.9405</v>
      </c>
      <c r="L128" s="999">
        <v>0.9405</v>
      </c>
      <c r="M128" s="999">
        <v>0.9405</v>
      </c>
    </row>
    <row r="129" spans="1:13">
      <c r="A129" s="1014">
        <v>2.5</v>
      </c>
      <c r="B129" s="999">
        <v>1.1020000000000001</v>
      </c>
      <c r="C129" s="999">
        <v>1.1020000000000001</v>
      </c>
      <c r="D129" s="999">
        <v>1</v>
      </c>
      <c r="E129" s="999">
        <v>1</v>
      </c>
      <c r="F129" s="999">
        <v>1</v>
      </c>
      <c r="G129" s="999">
        <v>1</v>
      </c>
      <c r="H129" s="999">
        <v>1</v>
      </c>
      <c r="I129" s="999">
        <v>0.92730000000000001</v>
      </c>
      <c r="J129" s="999">
        <v>0.92730000000000001</v>
      </c>
      <c r="K129" s="999">
        <v>0.92730000000000001</v>
      </c>
      <c r="L129" s="999">
        <v>0.92730000000000001</v>
      </c>
      <c r="M129" s="999">
        <v>0.92730000000000001</v>
      </c>
    </row>
    <row r="130" spans="1:13">
      <c r="A130" s="1014">
        <v>2.6</v>
      </c>
      <c r="B130" s="999">
        <v>1.0895999999999999</v>
      </c>
      <c r="C130" s="999">
        <v>1.0895999999999999</v>
      </c>
      <c r="D130" s="999">
        <v>0.98740000000000006</v>
      </c>
      <c r="E130" s="999">
        <v>0.98740000000000006</v>
      </c>
      <c r="F130" s="999">
        <v>0.98740000000000006</v>
      </c>
      <c r="G130" s="999">
        <v>0.98740000000000006</v>
      </c>
      <c r="H130" s="999">
        <v>0.98740000000000006</v>
      </c>
      <c r="I130" s="999">
        <v>0.91469999999999996</v>
      </c>
      <c r="J130" s="999">
        <v>0.91469999999999996</v>
      </c>
      <c r="K130" s="999">
        <v>0.91469999999999996</v>
      </c>
      <c r="L130" s="999">
        <v>0.91469999999999996</v>
      </c>
      <c r="M130" s="999">
        <v>0.91469999999999996</v>
      </c>
    </row>
    <row r="131" spans="1:13">
      <c r="A131" s="1014">
        <v>2.7</v>
      </c>
      <c r="B131" s="999">
        <v>1.0778000000000001</v>
      </c>
      <c r="C131" s="999">
        <v>1.0778000000000001</v>
      </c>
      <c r="D131" s="999">
        <v>0.97540000000000004</v>
      </c>
      <c r="E131" s="999">
        <v>0.97540000000000004</v>
      </c>
      <c r="F131" s="999">
        <v>0.97540000000000004</v>
      </c>
      <c r="G131" s="999">
        <v>0.97540000000000004</v>
      </c>
      <c r="H131" s="999">
        <v>0.97540000000000004</v>
      </c>
      <c r="I131" s="999">
        <v>0.90269999999999995</v>
      </c>
      <c r="J131" s="999">
        <v>0.90269999999999995</v>
      </c>
      <c r="K131" s="999">
        <v>0.90269999999999995</v>
      </c>
      <c r="L131" s="999">
        <v>0.90269999999999995</v>
      </c>
      <c r="M131" s="999">
        <v>0.90269999999999995</v>
      </c>
    </row>
    <row r="132" spans="1:13">
      <c r="A132" s="1014">
        <v>2.8</v>
      </c>
      <c r="B132" s="999">
        <v>1.0665</v>
      </c>
      <c r="C132" s="999">
        <v>1.0665</v>
      </c>
      <c r="D132" s="999">
        <v>0.96399999999999997</v>
      </c>
      <c r="E132" s="999">
        <v>0.96399999999999997</v>
      </c>
      <c r="F132" s="999">
        <v>0.96399999999999997</v>
      </c>
      <c r="G132" s="999">
        <v>0.96399999999999997</v>
      </c>
      <c r="H132" s="999">
        <v>0.96399999999999997</v>
      </c>
      <c r="I132" s="999">
        <v>0.89119999999999999</v>
      </c>
      <c r="J132" s="999">
        <v>0.89119999999999999</v>
      </c>
      <c r="K132" s="999">
        <v>0.89119999999999999</v>
      </c>
      <c r="L132" s="999">
        <v>0.89119999999999999</v>
      </c>
      <c r="M132" s="999">
        <v>0.89119999999999999</v>
      </c>
    </row>
    <row r="133" spans="1:13">
      <c r="A133" s="1014">
        <v>2.9</v>
      </c>
      <c r="B133" s="999">
        <v>1.0556000000000001</v>
      </c>
      <c r="C133" s="999">
        <v>1.0556000000000001</v>
      </c>
      <c r="D133" s="999">
        <v>0.95330000000000004</v>
      </c>
      <c r="E133" s="999">
        <v>0.95330000000000004</v>
      </c>
      <c r="F133" s="999">
        <v>0.95330000000000004</v>
      </c>
      <c r="G133" s="999">
        <v>0.95330000000000004</v>
      </c>
      <c r="H133" s="999">
        <v>0.95330000000000004</v>
      </c>
      <c r="I133" s="999">
        <v>0.88019999999999998</v>
      </c>
      <c r="J133" s="999">
        <v>0.88019999999999998</v>
      </c>
      <c r="K133" s="999">
        <v>0.88019999999999998</v>
      </c>
      <c r="L133" s="999">
        <v>0.88019999999999998</v>
      </c>
      <c r="M133" s="999">
        <v>0.88019999999999998</v>
      </c>
    </row>
    <row r="134" spans="1:13">
      <c r="A134" s="1014">
        <v>3</v>
      </c>
      <c r="B134" s="999">
        <v>1.0452999999999999</v>
      </c>
      <c r="C134" s="999">
        <v>1.0452999999999999</v>
      </c>
      <c r="D134" s="999">
        <v>0.94299999999999995</v>
      </c>
      <c r="E134" s="999">
        <v>0.94299999999999995</v>
      </c>
      <c r="F134" s="999">
        <v>0.94299999999999995</v>
      </c>
      <c r="G134" s="999">
        <v>0.94299999999999995</v>
      </c>
      <c r="H134" s="999">
        <v>0.94299999999999995</v>
      </c>
      <c r="I134" s="999">
        <v>0.86970000000000003</v>
      </c>
      <c r="J134" s="999">
        <v>0.86970000000000003</v>
      </c>
      <c r="K134" s="999">
        <v>0.86970000000000003</v>
      </c>
      <c r="L134" s="999">
        <v>0.86970000000000003</v>
      </c>
      <c r="M134" s="999">
        <v>0.86970000000000003</v>
      </c>
    </row>
    <row r="135" spans="1:13">
      <c r="A135" s="1014">
        <v>3.1</v>
      </c>
      <c r="B135" s="999">
        <v>1.0354000000000001</v>
      </c>
      <c r="C135" s="999">
        <v>1.0354000000000001</v>
      </c>
      <c r="D135" s="999">
        <v>0.93330000000000002</v>
      </c>
      <c r="E135" s="999">
        <v>0.93330000000000002</v>
      </c>
      <c r="F135" s="999">
        <v>0.93330000000000002</v>
      </c>
      <c r="G135" s="999">
        <v>0.93330000000000002</v>
      </c>
      <c r="H135" s="999">
        <v>0.93330000000000002</v>
      </c>
      <c r="I135" s="999">
        <v>0.85970000000000002</v>
      </c>
      <c r="J135" s="999">
        <v>0.85970000000000002</v>
      </c>
      <c r="K135" s="999">
        <v>0.85970000000000002</v>
      </c>
      <c r="L135" s="999">
        <v>0.85970000000000002</v>
      </c>
      <c r="M135" s="999">
        <v>0.85970000000000002</v>
      </c>
    </row>
    <row r="136" spans="1:13">
      <c r="A136" s="1014">
        <v>3.2</v>
      </c>
      <c r="B136" s="999">
        <v>1.0259</v>
      </c>
      <c r="C136" s="999">
        <v>1.0259</v>
      </c>
      <c r="D136" s="999">
        <v>0.92410000000000003</v>
      </c>
      <c r="E136" s="999">
        <v>0.92410000000000003</v>
      </c>
      <c r="F136" s="999">
        <v>0.92410000000000003</v>
      </c>
      <c r="G136" s="999">
        <v>0.92410000000000003</v>
      </c>
      <c r="H136" s="999">
        <v>0.92410000000000003</v>
      </c>
      <c r="I136" s="999">
        <v>0.85019999999999996</v>
      </c>
      <c r="J136" s="999">
        <v>0.85019999999999996</v>
      </c>
      <c r="K136" s="999">
        <v>0.85019999999999996</v>
      </c>
      <c r="L136" s="999">
        <v>0.85019999999999996</v>
      </c>
      <c r="M136" s="999">
        <v>0.85019999999999996</v>
      </c>
    </row>
    <row r="137" spans="1:13">
      <c r="A137" s="1014">
        <v>3.3</v>
      </c>
      <c r="B137" s="999">
        <v>1.0168999999999999</v>
      </c>
      <c r="C137" s="999">
        <v>1.0168999999999999</v>
      </c>
      <c r="D137" s="999">
        <v>0.91539999999999999</v>
      </c>
      <c r="E137" s="999">
        <v>0.91539999999999999</v>
      </c>
      <c r="F137" s="999">
        <v>0.91539999999999999</v>
      </c>
      <c r="G137" s="999">
        <v>0.91539999999999999</v>
      </c>
      <c r="H137" s="999">
        <v>0.91539999999999999</v>
      </c>
      <c r="I137" s="999">
        <v>0.84109999999999996</v>
      </c>
      <c r="J137" s="999">
        <v>0.84109999999999996</v>
      </c>
      <c r="K137" s="999">
        <v>0.84109999999999996</v>
      </c>
      <c r="L137" s="999">
        <v>0.84109999999999996</v>
      </c>
      <c r="M137" s="999">
        <v>0.84109999999999996</v>
      </c>
    </row>
    <row r="138" spans="1:13">
      <c r="A138" s="1014">
        <v>3.4</v>
      </c>
      <c r="B138" s="999">
        <v>1.0082</v>
      </c>
      <c r="C138" s="999">
        <v>1.0082</v>
      </c>
      <c r="D138" s="999">
        <v>0.90710000000000002</v>
      </c>
      <c r="E138" s="999">
        <v>0.90710000000000002</v>
      </c>
      <c r="F138" s="999">
        <v>0.90710000000000002</v>
      </c>
      <c r="G138" s="999">
        <v>0.90710000000000002</v>
      </c>
      <c r="H138" s="999">
        <v>0.90710000000000002</v>
      </c>
      <c r="I138" s="999">
        <v>0.83240000000000003</v>
      </c>
      <c r="J138" s="999">
        <v>0.83240000000000003</v>
      </c>
      <c r="K138" s="999">
        <v>0.83240000000000003</v>
      </c>
      <c r="L138" s="999">
        <v>0.83240000000000003</v>
      </c>
      <c r="M138" s="999">
        <v>0.83240000000000003</v>
      </c>
    </row>
    <row r="139" spans="1:13">
      <c r="A139" s="1014">
        <v>3.5</v>
      </c>
      <c r="B139" s="999">
        <v>1</v>
      </c>
      <c r="C139" s="999">
        <v>1</v>
      </c>
      <c r="D139" s="999">
        <v>0.89929999999999999</v>
      </c>
      <c r="E139" s="999">
        <v>0.89929999999999999</v>
      </c>
      <c r="F139" s="999">
        <v>0.89929999999999999</v>
      </c>
      <c r="G139" s="999">
        <v>0.89929999999999999</v>
      </c>
      <c r="H139" s="999">
        <v>0.89929999999999999</v>
      </c>
      <c r="I139" s="999">
        <v>0.82410000000000005</v>
      </c>
      <c r="J139" s="999">
        <v>0.82410000000000005</v>
      </c>
      <c r="K139" s="999">
        <v>0.82410000000000005</v>
      </c>
      <c r="L139" s="999">
        <v>0.82410000000000005</v>
      </c>
      <c r="M139" s="999">
        <v>0.82410000000000005</v>
      </c>
    </row>
    <row r="140" spans="1:13">
      <c r="A140" s="1014">
        <v>3.6</v>
      </c>
      <c r="B140" s="999">
        <v>0.99219999999999997</v>
      </c>
      <c r="C140" s="999">
        <v>0.99219999999999997</v>
      </c>
      <c r="D140" s="999">
        <v>0.89190000000000003</v>
      </c>
      <c r="E140" s="999">
        <v>0.89190000000000003</v>
      </c>
      <c r="F140" s="999">
        <v>0.89190000000000003</v>
      </c>
      <c r="G140" s="999">
        <v>0.89190000000000003</v>
      </c>
      <c r="H140" s="999">
        <v>0.89190000000000003</v>
      </c>
      <c r="I140" s="999">
        <v>0.81620000000000004</v>
      </c>
      <c r="J140" s="999">
        <v>0.81620000000000004</v>
      </c>
      <c r="K140" s="999">
        <v>0.81620000000000004</v>
      </c>
      <c r="L140" s="999">
        <v>0.81620000000000004</v>
      </c>
      <c r="M140" s="999">
        <v>0.81620000000000004</v>
      </c>
    </row>
    <row r="141" spans="1:13">
      <c r="A141" s="1014">
        <v>3.7</v>
      </c>
      <c r="B141" s="999">
        <v>0.98480000000000001</v>
      </c>
      <c r="C141" s="999">
        <v>0.98480000000000001</v>
      </c>
      <c r="D141" s="999">
        <v>0.88480000000000003</v>
      </c>
      <c r="E141" s="999">
        <v>0.88480000000000003</v>
      </c>
      <c r="F141" s="999">
        <v>0.88480000000000003</v>
      </c>
      <c r="G141" s="999">
        <v>0.88480000000000003</v>
      </c>
      <c r="H141" s="999">
        <v>0.88480000000000003</v>
      </c>
      <c r="I141" s="999">
        <v>0.80869999999999997</v>
      </c>
      <c r="J141" s="999">
        <v>0.80869999999999997</v>
      </c>
      <c r="K141" s="999">
        <v>0.80869999999999997</v>
      </c>
      <c r="L141" s="999">
        <v>0.80869999999999997</v>
      </c>
      <c r="M141" s="999">
        <v>0.80869999999999997</v>
      </c>
    </row>
    <row r="142" spans="1:13">
      <c r="A142" s="1014">
        <v>3.8</v>
      </c>
      <c r="B142" s="999">
        <v>0.9778</v>
      </c>
      <c r="C142" s="999">
        <v>0.9778</v>
      </c>
      <c r="D142" s="999">
        <v>0.87809999999999999</v>
      </c>
      <c r="E142" s="999">
        <v>0.87809999999999999</v>
      </c>
      <c r="F142" s="999">
        <v>0.87809999999999999</v>
      </c>
      <c r="G142" s="999">
        <v>0.87809999999999999</v>
      </c>
      <c r="H142" s="999">
        <v>0.87809999999999999</v>
      </c>
      <c r="I142" s="999">
        <v>0.80159999999999998</v>
      </c>
      <c r="J142" s="999">
        <v>0.80159999999999998</v>
      </c>
      <c r="K142" s="999">
        <v>0.80159999999999998</v>
      </c>
      <c r="L142" s="999">
        <v>0.80159999999999998</v>
      </c>
      <c r="M142" s="999">
        <v>0.80159999999999998</v>
      </c>
    </row>
    <row r="143" spans="1:13">
      <c r="A143" s="1014">
        <v>3.9</v>
      </c>
      <c r="B143" s="999">
        <v>0.97119999999999995</v>
      </c>
      <c r="C143" s="999">
        <v>0.97119999999999995</v>
      </c>
      <c r="D143" s="999">
        <v>0.87180000000000002</v>
      </c>
      <c r="E143" s="999">
        <v>0.87180000000000002</v>
      </c>
      <c r="F143" s="999">
        <v>0.87180000000000002</v>
      </c>
      <c r="G143" s="999">
        <v>0.87180000000000002</v>
      </c>
      <c r="H143" s="999">
        <v>0.87180000000000002</v>
      </c>
      <c r="I143" s="999">
        <v>0.79479999999999995</v>
      </c>
      <c r="J143" s="999">
        <v>0.79479999999999995</v>
      </c>
      <c r="K143" s="999">
        <v>0.79479999999999995</v>
      </c>
      <c r="L143" s="999">
        <v>0.79479999999999995</v>
      </c>
      <c r="M143" s="999">
        <v>0.79479999999999995</v>
      </c>
    </row>
    <row r="144" spans="1:13">
      <c r="A144" s="1014">
        <v>4</v>
      </c>
      <c r="B144" s="999">
        <v>0.96499999999999997</v>
      </c>
      <c r="C144" s="999">
        <v>0.96499999999999997</v>
      </c>
      <c r="D144" s="999">
        <v>0.86580000000000001</v>
      </c>
      <c r="E144" s="999">
        <v>0.86580000000000001</v>
      </c>
      <c r="F144" s="999">
        <v>0.86580000000000001</v>
      </c>
      <c r="G144" s="999">
        <v>0.86580000000000001</v>
      </c>
      <c r="H144" s="999">
        <v>0.86580000000000001</v>
      </c>
      <c r="I144" s="999">
        <v>0.7883</v>
      </c>
      <c r="J144" s="999">
        <v>0.7883</v>
      </c>
      <c r="K144" s="999">
        <v>0.7883</v>
      </c>
      <c r="L144" s="999">
        <v>0.7883</v>
      </c>
      <c r="M144" s="999">
        <v>0.7883</v>
      </c>
    </row>
    <row r="145" spans="1:13">
      <c r="A145" s="1014">
        <v>4.0999999999999996</v>
      </c>
      <c r="B145" s="999">
        <v>0.95909999999999995</v>
      </c>
      <c r="C145" s="999">
        <v>0.95909999999999995</v>
      </c>
      <c r="D145" s="999">
        <v>0.86009999999999998</v>
      </c>
      <c r="E145" s="999">
        <v>0.86009999999999998</v>
      </c>
      <c r="F145" s="999">
        <v>0.86009999999999998</v>
      </c>
      <c r="G145" s="999">
        <v>0.86009999999999998</v>
      </c>
      <c r="H145" s="999">
        <v>0.86009999999999998</v>
      </c>
      <c r="I145" s="999">
        <v>0.78200000000000003</v>
      </c>
      <c r="J145" s="999">
        <v>0.78200000000000003</v>
      </c>
      <c r="K145" s="999">
        <v>0.78200000000000003</v>
      </c>
      <c r="L145" s="999">
        <v>0.78200000000000003</v>
      </c>
      <c r="M145" s="999">
        <v>0.78200000000000003</v>
      </c>
    </row>
    <row r="146" spans="1:13">
      <c r="A146" s="1014">
        <v>4.2</v>
      </c>
      <c r="B146" s="999">
        <v>0.95350000000000001</v>
      </c>
      <c r="C146" s="999">
        <v>0.95350000000000001</v>
      </c>
      <c r="D146" s="999">
        <v>0.85470000000000002</v>
      </c>
      <c r="E146" s="999">
        <v>0.85470000000000002</v>
      </c>
      <c r="F146" s="999">
        <v>0.85470000000000002</v>
      </c>
      <c r="G146" s="999">
        <v>0.85470000000000002</v>
      </c>
      <c r="H146" s="999">
        <v>0.85470000000000002</v>
      </c>
      <c r="I146" s="999">
        <v>0.77600000000000002</v>
      </c>
      <c r="J146" s="999">
        <v>0.77600000000000002</v>
      </c>
      <c r="K146" s="999">
        <v>0.77600000000000002</v>
      </c>
      <c r="L146" s="999">
        <v>0.77600000000000002</v>
      </c>
      <c r="M146" s="999">
        <v>0.77600000000000002</v>
      </c>
    </row>
    <row r="147" spans="1:13">
      <c r="A147" s="1014">
        <v>4.3</v>
      </c>
      <c r="B147" s="999">
        <v>0.94820000000000004</v>
      </c>
      <c r="C147" s="999">
        <v>0.94820000000000004</v>
      </c>
      <c r="D147" s="999">
        <v>0.84960000000000002</v>
      </c>
      <c r="E147" s="999">
        <v>0.84960000000000002</v>
      </c>
      <c r="F147" s="999">
        <v>0.84960000000000002</v>
      </c>
      <c r="G147" s="999">
        <v>0.84960000000000002</v>
      </c>
      <c r="H147" s="999">
        <v>0.84960000000000002</v>
      </c>
      <c r="I147" s="999">
        <v>0.77029999999999998</v>
      </c>
      <c r="J147" s="999">
        <v>0.77029999999999998</v>
      </c>
      <c r="K147" s="999">
        <v>0.77029999999999998</v>
      </c>
      <c r="L147" s="999">
        <v>0.77029999999999998</v>
      </c>
      <c r="M147" s="999">
        <v>0.77029999999999998</v>
      </c>
    </row>
    <row r="148" spans="1:13">
      <c r="A148" s="1014">
        <v>4.4000000000000004</v>
      </c>
      <c r="B148" s="999">
        <v>0.94320000000000004</v>
      </c>
      <c r="C148" s="999">
        <v>0.94320000000000004</v>
      </c>
      <c r="D148" s="999">
        <v>0.8448</v>
      </c>
      <c r="E148" s="999">
        <v>0.8448</v>
      </c>
      <c r="F148" s="999">
        <v>0.8448</v>
      </c>
      <c r="G148" s="999">
        <v>0.8448</v>
      </c>
      <c r="H148" s="999">
        <v>0.8448</v>
      </c>
      <c r="I148" s="999">
        <v>0.76490000000000002</v>
      </c>
      <c r="J148" s="999">
        <v>0.76490000000000002</v>
      </c>
      <c r="K148" s="999">
        <v>0.76490000000000002</v>
      </c>
      <c r="L148" s="999">
        <v>0.76490000000000002</v>
      </c>
      <c r="M148" s="999">
        <v>0.76490000000000002</v>
      </c>
    </row>
    <row r="149" spans="1:13">
      <c r="A149" s="1014">
        <v>4.5</v>
      </c>
      <c r="B149" s="999">
        <v>0.9385</v>
      </c>
      <c r="C149" s="999">
        <v>0.9385</v>
      </c>
      <c r="D149" s="999">
        <v>0.84019999999999995</v>
      </c>
      <c r="E149" s="999">
        <v>0.84019999999999995</v>
      </c>
      <c r="F149" s="999">
        <v>0.84019999999999995</v>
      </c>
      <c r="G149" s="999">
        <v>0.84019999999999995</v>
      </c>
      <c r="H149" s="999">
        <v>0.84019999999999995</v>
      </c>
      <c r="I149" s="999">
        <v>0.75970000000000004</v>
      </c>
      <c r="J149" s="999">
        <v>0.75970000000000004</v>
      </c>
      <c r="K149" s="999">
        <v>0.75970000000000004</v>
      </c>
      <c r="L149" s="999">
        <v>0.75970000000000004</v>
      </c>
      <c r="M149" s="999">
        <v>0.75970000000000004</v>
      </c>
    </row>
    <row r="150" spans="1:13">
      <c r="A150" s="1014">
        <v>4.5999999999999996</v>
      </c>
      <c r="B150" s="999">
        <v>0.93410000000000004</v>
      </c>
      <c r="C150" s="999">
        <v>0.93410000000000004</v>
      </c>
      <c r="D150" s="999">
        <v>0.83579999999999999</v>
      </c>
      <c r="E150" s="999">
        <v>0.83579999999999999</v>
      </c>
      <c r="F150" s="999">
        <v>0.83579999999999999</v>
      </c>
      <c r="G150" s="999">
        <v>0.83579999999999999</v>
      </c>
      <c r="H150" s="999">
        <v>0.83579999999999999</v>
      </c>
      <c r="I150" s="999">
        <v>0.75470000000000004</v>
      </c>
      <c r="J150" s="999">
        <v>0.75470000000000004</v>
      </c>
      <c r="K150" s="999">
        <v>0.75470000000000004</v>
      </c>
      <c r="L150" s="999">
        <v>0.75470000000000004</v>
      </c>
      <c r="M150" s="999">
        <v>0.75470000000000004</v>
      </c>
    </row>
    <row r="151" spans="1:13">
      <c r="A151" s="1014">
        <v>4.7</v>
      </c>
      <c r="B151" s="999">
        <v>0.92989999999999995</v>
      </c>
      <c r="C151" s="999">
        <v>0.92989999999999995</v>
      </c>
      <c r="D151" s="999">
        <v>0.83160000000000001</v>
      </c>
      <c r="E151" s="999">
        <v>0.83160000000000001</v>
      </c>
      <c r="F151" s="999">
        <v>0.83160000000000001</v>
      </c>
      <c r="G151" s="999">
        <v>0.83160000000000001</v>
      </c>
      <c r="H151" s="999">
        <v>0.83160000000000001</v>
      </c>
      <c r="I151" s="999">
        <v>0.74990000000000001</v>
      </c>
      <c r="J151" s="999">
        <v>0.74990000000000001</v>
      </c>
      <c r="K151" s="999">
        <v>0.74990000000000001</v>
      </c>
      <c r="L151" s="999">
        <v>0.74990000000000001</v>
      </c>
      <c r="M151" s="999">
        <v>0.74990000000000001</v>
      </c>
    </row>
    <row r="152" spans="1:13">
      <c r="A152" s="1014">
        <v>4.8</v>
      </c>
      <c r="B152" s="999">
        <v>0.92589999999999995</v>
      </c>
      <c r="C152" s="999">
        <v>0.92589999999999995</v>
      </c>
      <c r="D152" s="999">
        <v>0.82769999999999999</v>
      </c>
      <c r="E152" s="999">
        <v>0.82769999999999999</v>
      </c>
      <c r="F152" s="999">
        <v>0.82769999999999999</v>
      </c>
      <c r="G152" s="999">
        <v>0.82769999999999999</v>
      </c>
      <c r="H152" s="999">
        <v>0.82769999999999999</v>
      </c>
      <c r="I152" s="999">
        <v>0.74529999999999996</v>
      </c>
      <c r="J152" s="999">
        <v>0.74529999999999996</v>
      </c>
      <c r="K152" s="999">
        <v>0.74529999999999996</v>
      </c>
      <c r="L152" s="999">
        <v>0.74529999999999996</v>
      </c>
      <c r="M152" s="999">
        <v>0.74529999999999996</v>
      </c>
    </row>
    <row r="153" spans="1:13">
      <c r="A153" s="1014">
        <v>4.9000000000000004</v>
      </c>
      <c r="B153" s="999">
        <v>0.92210000000000003</v>
      </c>
      <c r="C153" s="999">
        <v>0.92210000000000003</v>
      </c>
      <c r="D153" s="999">
        <v>0.82389999999999997</v>
      </c>
      <c r="E153" s="999">
        <v>0.82389999999999997</v>
      </c>
      <c r="F153" s="999">
        <v>0.82389999999999997</v>
      </c>
      <c r="G153" s="999">
        <v>0.82389999999999997</v>
      </c>
      <c r="H153" s="999">
        <v>0.82389999999999997</v>
      </c>
      <c r="I153" s="999">
        <v>0.7409</v>
      </c>
      <c r="J153" s="999">
        <v>0.7409</v>
      </c>
      <c r="K153" s="999">
        <v>0.7409</v>
      </c>
      <c r="L153" s="999">
        <v>0.7409</v>
      </c>
      <c r="M153" s="999">
        <v>0.7409</v>
      </c>
    </row>
    <row r="154" spans="1:13">
      <c r="A154" s="1014">
        <v>5</v>
      </c>
      <c r="B154" s="999">
        <v>0.91849999999999998</v>
      </c>
      <c r="C154" s="999">
        <v>0.91849999999999998</v>
      </c>
      <c r="D154" s="999">
        <v>0.82030000000000003</v>
      </c>
      <c r="E154" s="999">
        <v>0.82030000000000003</v>
      </c>
      <c r="F154" s="999">
        <v>0.82030000000000003</v>
      </c>
      <c r="G154" s="999">
        <v>0.82030000000000003</v>
      </c>
      <c r="H154" s="999">
        <v>0.82030000000000003</v>
      </c>
      <c r="I154" s="999">
        <v>0.73670000000000002</v>
      </c>
      <c r="J154" s="999">
        <v>0.73670000000000002</v>
      </c>
      <c r="K154" s="999">
        <v>0.73670000000000002</v>
      </c>
      <c r="L154" s="999">
        <v>0.73670000000000002</v>
      </c>
      <c r="M154" s="999">
        <v>0.73670000000000002</v>
      </c>
    </row>
    <row r="155" spans="1:13">
      <c r="A155" s="990">
        <v>5.0999999999999996</v>
      </c>
      <c r="B155" s="999">
        <v>0.91510000000000002</v>
      </c>
      <c r="C155" s="999">
        <v>0.91510000000000002</v>
      </c>
      <c r="D155" s="999">
        <v>0.81689999999999996</v>
      </c>
      <c r="E155" s="999">
        <v>0.81689999999999996</v>
      </c>
      <c r="F155" s="999">
        <v>0.81689999999999996</v>
      </c>
      <c r="G155" s="999">
        <v>0.81689999999999996</v>
      </c>
      <c r="H155" s="999">
        <v>0.81689999999999996</v>
      </c>
      <c r="I155" s="999">
        <v>0.73270000000000002</v>
      </c>
      <c r="J155" s="999">
        <v>0.73270000000000002</v>
      </c>
      <c r="K155" s="999">
        <v>0.73270000000000002</v>
      </c>
      <c r="L155" s="999">
        <v>0.73270000000000002</v>
      </c>
      <c r="M155" s="999">
        <v>0.73270000000000002</v>
      </c>
    </row>
    <row r="156" spans="1:13">
      <c r="A156" s="990">
        <v>5.2</v>
      </c>
      <c r="B156" s="999">
        <v>0.91190000000000004</v>
      </c>
      <c r="C156" s="999">
        <v>0.91190000000000004</v>
      </c>
      <c r="D156" s="999">
        <v>0.81359999999999999</v>
      </c>
      <c r="E156" s="999">
        <v>0.81359999999999999</v>
      </c>
      <c r="F156" s="999">
        <v>0.81359999999999999</v>
      </c>
      <c r="G156" s="999">
        <v>0.81359999999999999</v>
      </c>
      <c r="H156" s="999">
        <v>0.81359999999999999</v>
      </c>
      <c r="I156" s="999">
        <v>0.72889999999999999</v>
      </c>
      <c r="J156" s="999">
        <v>0.72889999999999999</v>
      </c>
      <c r="K156" s="999">
        <v>0.72889999999999999</v>
      </c>
      <c r="L156" s="999">
        <v>0.72889999999999999</v>
      </c>
      <c r="M156" s="999">
        <v>0.72889999999999999</v>
      </c>
    </row>
    <row r="157" spans="1:13">
      <c r="A157" s="990">
        <v>5.3</v>
      </c>
      <c r="B157" s="999">
        <v>0.90880000000000005</v>
      </c>
      <c r="C157" s="999">
        <v>0.90880000000000005</v>
      </c>
      <c r="D157" s="999">
        <v>0.8105</v>
      </c>
      <c r="E157" s="999">
        <v>0.8105</v>
      </c>
      <c r="F157" s="999">
        <v>0.8105</v>
      </c>
      <c r="G157" s="999">
        <v>0.8105</v>
      </c>
      <c r="H157" s="999">
        <v>0.8105</v>
      </c>
      <c r="I157" s="999">
        <v>0.72529999999999994</v>
      </c>
      <c r="J157" s="999">
        <v>0.72529999999999994</v>
      </c>
      <c r="K157" s="999">
        <v>0.72529999999999994</v>
      </c>
      <c r="L157" s="999">
        <v>0.72529999999999994</v>
      </c>
      <c r="M157" s="999">
        <v>0.72529999999999994</v>
      </c>
    </row>
    <row r="158" spans="1:13">
      <c r="A158" s="990">
        <v>5.4</v>
      </c>
      <c r="B158" s="999">
        <v>0.90580000000000005</v>
      </c>
      <c r="C158" s="999">
        <v>0.90580000000000005</v>
      </c>
      <c r="D158" s="999">
        <v>0.8075</v>
      </c>
      <c r="E158" s="999">
        <v>0.8075</v>
      </c>
      <c r="F158" s="999">
        <v>0.8075</v>
      </c>
      <c r="G158" s="999">
        <v>0.8075</v>
      </c>
      <c r="H158" s="999">
        <v>0.8075</v>
      </c>
      <c r="I158" s="999">
        <v>0.7218</v>
      </c>
      <c r="J158" s="999">
        <v>0.7218</v>
      </c>
      <c r="K158" s="999">
        <v>0.7218</v>
      </c>
      <c r="L158" s="999">
        <v>0.7218</v>
      </c>
      <c r="M158" s="999">
        <v>0.7218</v>
      </c>
    </row>
    <row r="159" spans="1:13">
      <c r="A159" s="990">
        <v>5.5</v>
      </c>
      <c r="B159" s="999">
        <v>0.90290000000000004</v>
      </c>
      <c r="C159" s="999">
        <v>0.90290000000000004</v>
      </c>
      <c r="D159" s="999">
        <v>0.80469999999999997</v>
      </c>
      <c r="E159" s="999">
        <v>0.80469999999999997</v>
      </c>
      <c r="F159" s="999">
        <v>0.80469999999999997</v>
      </c>
      <c r="G159" s="999">
        <v>0.80469999999999997</v>
      </c>
      <c r="H159" s="999">
        <v>0.80469999999999997</v>
      </c>
      <c r="I159" s="999">
        <v>0.71840000000000004</v>
      </c>
      <c r="J159" s="999">
        <v>0.71840000000000004</v>
      </c>
      <c r="K159" s="999">
        <v>0.71840000000000004</v>
      </c>
      <c r="L159" s="999">
        <v>0.71840000000000004</v>
      </c>
      <c r="M159" s="999">
        <v>0.71840000000000004</v>
      </c>
    </row>
    <row r="160" spans="1:13">
      <c r="A160" s="990">
        <v>5.6</v>
      </c>
      <c r="B160" s="999">
        <v>0.90010000000000001</v>
      </c>
      <c r="C160" s="999">
        <v>0.90010000000000001</v>
      </c>
      <c r="D160" s="999">
        <v>0.80200000000000005</v>
      </c>
      <c r="E160" s="999">
        <v>0.80200000000000005</v>
      </c>
      <c r="F160" s="999">
        <v>0.80200000000000005</v>
      </c>
      <c r="G160" s="999">
        <v>0.80200000000000005</v>
      </c>
      <c r="H160" s="999">
        <v>0.80200000000000005</v>
      </c>
      <c r="I160" s="999">
        <v>0.71509999999999996</v>
      </c>
      <c r="J160" s="999">
        <v>0.71509999999999996</v>
      </c>
      <c r="K160" s="999">
        <v>0.71509999999999996</v>
      </c>
      <c r="L160" s="999">
        <v>0.71509999999999996</v>
      </c>
      <c r="M160" s="999">
        <v>0.71509999999999996</v>
      </c>
    </row>
    <row r="161" spans="1:13">
      <c r="A161" s="1014">
        <v>5.7</v>
      </c>
      <c r="B161" s="999">
        <v>0.89749999999999996</v>
      </c>
      <c r="C161" s="999">
        <v>0.89749999999999996</v>
      </c>
      <c r="D161" s="999">
        <v>0.79930000000000001</v>
      </c>
      <c r="E161" s="999">
        <v>0.79930000000000001</v>
      </c>
      <c r="F161" s="999">
        <v>0.79930000000000001</v>
      </c>
      <c r="G161" s="999">
        <v>0.79930000000000001</v>
      </c>
      <c r="H161" s="999">
        <v>0.79930000000000001</v>
      </c>
      <c r="I161" s="999">
        <v>0.71189999999999998</v>
      </c>
      <c r="J161" s="999">
        <v>0.71189999999999998</v>
      </c>
      <c r="K161" s="999">
        <v>0.71189999999999998</v>
      </c>
      <c r="L161" s="999">
        <v>0.71189999999999998</v>
      </c>
      <c r="M161" s="999">
        <v>0.71189999999999998</v>
      </c>
    </row>
    <row r="162" spans="1:13">
      <c r="A162" s="990">
        <v>5.8</v>
      </c>
      <c r="B162" s="999">
        <v>0.89500000000000002</v>
      </c>
      <c r="C162" s="999">
        <v>0.89500000000000002</v>
      </c>
      <c r="D162" s="999">
        <v>0.79679999999999995</v>
      </c>
      <c r="E162" s="999">
        <v>0.79679999999999995</v>
      </c>
      <c r="F162" s="999">
        <v>0.79679999999999995</v>
      </c>
      <c r="G162" s="999">
        <v>0.79679999999999995</v>
      </c>
      <c r="H162" s="999">
        <v>0.79679999999999995</v>
      </c>
      <c r="I162" s="999">
        <v>0.70879999999999999</v>
      </c>
      <c r="J162" s="999">
        <v>0.70879999999999999</v>
      </c>
      <c r="K162" s="999">
        <v>0.70879999999999999</v>
      </c>
      <c r="L162" s="999">
        <v>0.70879999999999999</v>
      </c>
      <c r="M162" s="999">
        <v>0.70879999999999999</v>
      </c>
    </row>
    <row r="163" spans="1:13">
      <c r="A163" s="990">
        <v>5.9</v>
      </c>
      <c r="B163" s="999">
        <v>0.89259999999999995</v>
      </c>
      <c r="C163" s="999">
        <v>0.89259999999999995</v>
      </c>
      <c r="D163" s="999">
        <v>0.7944</v>
      </c>
      <c r="E163" s="999">
        <v>0.7944</v>
      </c>
      <c r="F163" s="999">
        <v>0.7944</v>
      </c>
      <c r="G163" s="999">
        <v>0.7944</v>
      </c>
      <c r="H163" s="999">
        <v>0.7944</v>
      </c>
      <c r="I163" s="999">
        <v>0.70579999999999998</v>
      </c>
      <c r="J163" s="999">
        <v>0.70579999999999998</v>
      </c>
      <c r="K163" s="999">
        <v>0.70579999999999998</v>
      </c>
      <c r="L163" s="999">
        <v>0.70579999999999998</v>
      </c>
      <c r="M163" s="999">
        <v>0.70579999999999998</v>
      </c>
    </row>
    <row r="164" spans="1:13">
      <c r="A164" s="990">
        <v>6</v>
      </c>
      <c r="B164" s="999">
        <v>0.89029999999999998</v>
      </c>
      <c r="C164" s="999">
        <v>0.89029999999999998</v>
      </c>
      <c r="D164" s="999">
        <v>0.79200000000000004</v>
      </c>
      <c r="E164" s="999">
        <v>0.79200000000000004</v>
      </c>
      <c r="F164" s="999">
        <v>0.79200000000000004</v>
      </c>
      <c r="G164" s="999">
        <v>0.79200000000000004</v>
      </c>
      <c r="H164" s="999">
        <v>0.79200000000000004</v>
      </c>
      <c r="I164" s="999">
        <v>0.70289999999999997</v>
      </c>
      <c r="J164" s="999">
        <v>0.70289999999999997</v>
      </c>
      <c r="K164" s="999">
        <v>0.70289999999999997</v>
      </c>
      <c r="L164" s="999">
        <v>0.70289999999999997</v>
      </c>
      <c r="M164" s="999">
        <v>0.70289999999999997</v>
      </c>
    </row>
    <row r="165" spans="1:13">
      <c r="A165" s="990">
        <v>6.1</v>
      </c>
      <c r="B165" s="999">
        <v>0.8881</v>
      </c>
      <c r="C165" s="999">
        <v>0.8881</v>
      </c>
      <c r="D165" s="999">
        <v>0.78979999999999995</v>
      </c>
      <c r="E165" s="999">
        <v>0.78979999999999995</v>
      </c>
      <c r="F165" s="999">
        <v>0.78979999999999995</v>
      </c>
      <c r="G165" s="999">
        <v>0.78979999999999995</v>
      </c>
      <c r="H165" s="999">
        <v>0.78979999999999995</v>
      </c>
      <c r="I165" s="999">
        <v>0.70009999999999994</v>
      </c>
      <c r="J165" s="999">
        <v>0.70009999999999994</v>
      </c>
      <c r="K165" s="999">
        <v>0.70009999999999994</v>
      </c>
      <c r="L165" s="999">
        <v>0.70009999999999994</v>
      </c>
      <c r="M165" s="999">
        <v>0.70009999999999994</v>
      </c>
    </row>
    <row r="166" spans="1:13">
      <c r="A166" s="990">
        <v>6.2</v>
      </c>
      <c r="B166" s="999">
        <v>0.88600000000000001</v>
      </c>
      <c r="C166" s="999">
        <v>0.88600000000000001</v>
      </c>
      <c r="D166" s="999">
        <v>0.78759999999999997</v>
      </c>
      <c r="E166" s="999">
        <v>0.78759999999999997</v>
      </c>
      <c r="F166" s="999">
        <v>0.78759999999999997</v>
      </c>
      <c r="G166" s="999">
        <v>0.78759999999999997</v>
      </c>
      <c r="H166" s="999">
        <v>0.78759999999999997</v>
      </c>
      <c r="I166" s="999">
        <v>0.69740000000000002</v>
      </c>
      <c r="J166" s="999">
        <v>0.69740000000000002</v>
      </c>
      <c r="K166" s="999">
        <v>0.69740000000000002</v>
      </c>
      <c r="L166" s="999">
        <v>0.69740000000000002</v>
      </c>
      <c r="M166" s="999">
        <v>0.69740000000000002</v>
      </c>
    </row>
    <row r="167" spans="1:13">
      <c r="A167" s="990">
        <v>6.3</v>
      </c>
      <c r="B167" s="999">
        <v>0.88390000000000002</v>
      </c>
      <c r="C167" s="999">
        <v>0.88390000000000002</v>
      </c>
      <c r="D167" s="999">
        <v>0.78549999999999998</v>
      </c>
      <c r="E167" s="999">
        <v>0.78549999999999998</v>
      </c>
      <c r="F167" s="999">
        <v>0.78549999999999998</v>
      </c>
      <c r="G167" s="999">
        <v>0.78549999999999998</v>
      </c>
      <c r="H167" s="999">
        <v>0.78549999999999998</v>
      </c>
      <c r="I167" s="999">
        <v>0.69479999999999997</v>
      </c>
      <c r="J167" s="999">
        <v>0.69479999999999997</v>
      </c>
      <c r="K167" s="999">
        <v>0.69479999999999997</v>
      </c>
      <c r="L167" s="999">
        <v>0.69479999999999997</v>
      </c>
      <c r="M167" s="999">
        <v>0.69479999999999997</v>
      </c>
    </row>
    <row r="168" spans="1:13">
      <c r="A168" s="990">
        <v>6.4</v>
      </c>
      <c r="B168" s="999">
        <v>0.88190000000000002</v>
      </c>
      <c r="C168" s="999">
        <v>0.88190000000000002</v>
      </c>
      <c r="D168" s="999">
        <v>0.78339999999999999</v>
      </c>
      <c r="E168" s="999">
        <v>0.78339999999999999</v>
      </c>
      <c r="F168" s="999">
        <v>0.78339999999999999</v>
      </c>
      <c r="G168" s="999">
        <v>0.78339999999999999</v>
      </c>
      <c r="H168" s="999">
        <v>0.78339999999999999</v>
      </c>
      <c r="I168" s="999">
        <v>0.69230000000000003</v>
      </c>
      <c r="J168" s="999">
        <v>0.69230000000000003</v>
      </c>
      <c r="K168" s="999">
        <v>0.69230000000000003</v>
      </c>
      <c r="L168" s="999">
        <v>0.69230000000000003</v>
      </c>
      <c r="M168" s="999">
        <v>0.69230000000000003</v>
      </c>
    </row>
    <row r="169" spans="1:13">
      <c r="A169" s="990">
        <v>6.5</v>
      </c>
      <c r="B169" s="999">
        <v>0.88</v>
      </c>
      <c r="C169" s="999">
        <v>0.88</v>
      </c>
      <c r="D169" s="999">
        <v>0.78139999999999998</v>
      </c>
      <c r="E169" s="999">
        <v>0.78139999999999998</v>
      </c>
      <c r="F169" s="999">
        <v>0.78139999999999998</v>
      </c>
      <c r="G169" s="999">
        <v>0.78139999999999998</v>
      </c>
      <c r="H169" s="999">
        <v>0.78139999999999998</v>
      </c>
      <c r="I169" s="999">
        <v>0.68989999999999996</v>
      </c>
      <c r="J169" s="999">
        <v>0.68989999999999996</v>
      </c>
      <c r="K169" s="999">
        <v>0.68989999999999996</v>
      </c>
      <c r="L169" s="999">
        <v>0.68989999999999996</v>
      </c>
      <c r="M169" s="999">
        <v>0.68989999999999996</v>
      </c>
    </row>
    <row r="170" spans="1:13">
      <c r="A170" s="990">
        <v>6.6</v>
      </c>
      <c r="B170" s="999">
        <v>0.87809999999999999</v>
      </c>
      <c r="C170" s="999">
        <v>0.87809999999999999</v>
      </c>
      <c r="D170" s="999">
        <v>0.77949999999999997</v>
      </c>
      <c r="E170" s="999">
        <v>0.77949999999999997</v>
      </c>
      <c r="F170" s="999">
        <v>0.77949999999999997</v>
      </c>
      <c r="G170" s="999">
        <v>0.77949999999999997</v>
      </c>
      <c r="H170" s="999">
        <v>0.77949999999999997</v>
      </c>
      <c r="I170" s="999">
        <v>0.68759999999999999</v>
      </c>
      <c r="J170" s="999">
        <v>0.68759999999999999</v>
      </c>
      <c r="K170" s="999">
        <v>0.68759999999999999</v>
      </c>
      <c r="L170" s="999">
        <v>0.68759999999999999</v>
      </c>
      <c r="M170" s="999">
        <v>0.68759999999999999</v>
      </c>
    </row>
    <row r="171" spans="1:13">
      <c r="A171" s="990">
        <v>6.7</v>
      </c>
      <c r="B171" s="999">
        <v>0.87629999999999997</v>
      </c>
      <c r="C171" s="999">
        <v>0.87629999999999997</v>
      </c>
      <c r="D171" s="999">
        <v>0.77759999999999996</v>
      </c>
      <c r="E171" s="999">
        <v>0.77759999999999996</v>
      </c>
      <c r="F171" s="999">
        <v>0.77759999999999996</v>
      </c>
      <c r="G171" s="999">
        <v>0.77759999999999996</v>
      </c>
      <c r="H171" s="999">
        <v>0.77759999999999996</v>
      </c>
      <c r="I171" s="999">
        <v>0.68530000000000002</v>
      </c>
      <c r="J171" s="999">
        <v>0.68530000000000002</v>
      </c>
      <c r="K171" s="999">
        <v>0.68530000000000002</v>
      </c>
      <c r="L171" s="999">
        <v>0.68530000000000002</v>
      </c>
      <c r="M171" s="999">
        <v>0.68530000000000002</v>
      </c>
    </row>
    <row r="172" spans="1:13">
      <c r="A172" s="990">
        <v>6.8</v>
      </c>
      <c r="B172" s="999">
        <v>0.87450000000000006</v>
      </c>
      <c r="C172" s="999">
        <v>0.87450000000000006</v>
      </c>
      <c r="D172" s="999">
        <v>0.77569999999999995</v>
      </c>
      <c r="E172" s="999">
        <v>0.77569999999999995</v>
      </c>
      <c r="F172" s="999">
        <v>0.77569999999999995</v>
      </c>
      <c r="G172" s="999">
        <v>0.77569999999999995</v>
      </c>
      <c r="H172" s="999">
        <v>0.77569999999999995</v>
      </c>
      <c r="I172" s="999">
        <v>0.68310000000000004</v>
      </c>
      <c r="J172" s="999">
        <v>0.68310000000000004</v>
      </c>
      <c r="K172" s="999">
        <v>0.68310000000000004</v>
      </c>
      <c r="L172" s="999">
        <v>0.68310000000000004</v>
      </c>
      <c r="M172" s="999">
        <v>0.68310000000000004</v>
      </c>
    </row>
    <row r="173" spans="1:13">
      <c r="A173" s="990">
        <v>6.9</v>
      </c>
      <c r="B173" s="999">
        <v>0.87280000000000002</v>
      </c>
      <c r="C173" s="999">
        <v>0.87280000000000002</v>
      </c>
      <c r="D173" s="999">
        <v>0.77390000000000003</v>
      </c>
      <c r="E173" s="999">
        <v>0.77390000000000003</v>
      </c>
      <c r="F173" s="999">
        <v>0.77390000000000003</v>
      </c>
      <c r="G173" s="999">
        <v>0.77390000000000003</v>
      </c>
      <c r="H173" s="999">
        <v>0.77390000000000003</v>
      </c>
      <c r="I173" s="999">
        <v>0.68089999999999995</v>
      </c>
      <c r="J173" s="999">
        <v>0.68089999999999995</v>
      </c>
      <c r="K173" s="999">
        <v>0.68089999999999995</v>
      </c>
      <c r="L173" s="999">
        <v>0.68089999999999995</v>
      </c>
      <c r="M173" s="999">
        <v>0.68089999999999995</v>
      </c>
    </row>
    <row r="174" spans="1:13">
      <c r="A174" s="990">
        <v>7</v>
      </c>
      <c r="B174" s="999">
        <v>0.87109999999999999</v>
      </c>
      <c r="C174" s="999">
        <v>0.87109999999999999</v>
      </c>
      <c r="D174" s="999">
        <v>0.77210000000000001</v>
      </c>
      <c r="E174" s="999">
        <v>0.77210000000000001</v>
      </c>
      <c r="F174" s="999">
        <v>0.77210000000000001</v>
      </c>
      <c r="G174" s="999">
        <v>0.77210000000000001</v>
      </c>
      <c r="H174" s="999">
        <v>0.77210000000000001</v>
      </c>
      <c r="I174" s="999">
        <v>0.67879999999999996</v>
      </c>
      <c r="J174" s="999">
        <v>0.67879999999999996</v>
      </c>
      <c r="K174" s="999">
        <v>0.67879999999999996</v>
      </c>
      <c r="L174" s="999">
        <v>0.67879999999999996</v>
      </c>
      <c r="M174" s="999">
        <v>0.67879999999999996</v>
      </c>
    </row>
    <row r="175" spans="1:13">
      <c r="A175" s="990">
        <v>7.1</v>
      </c>
      <c r="B175" s="999">
        <v>0.86939999999999995</v>
      </c>
      <c r="C175" s="999">
        <v>0.86939999999999995</v>
      </c>
      <c r="D175" s="999">
        <v>0.77039999999999997</v>
      </c>
      <c r="E175" s="999">
        <v>0.77039999999999997</v>
      </c>
      <c r="F175" s="999">
        <v>0.77039999999999997</v>
      </c>
      <c r="G175" s="999">
        <v>0.77039999999999997</v>
      </c>
      <c r="H175" s="999">
        <v>0.77039999999999997</v>
      </c>
      <c r="I175" s="999">
        <v>0.67669999999999997</v>
      </c>
      <c r="J175" s="999">
        <v>0.67669999999999997</v>
      </c>
      <c r="K175" s="999">
        <v>0.67669999999999997</v>
      </c>
      <c r="L175" s="999">
        <v>0.67669999999999997</v>
      </c>
      <c r="M175" s="999">
        <v>0.67669999999999997</v>
      </c>
    </row>
    <row r="176" spans="1:13">
      <c r="A176" s="990">
        <v>7.2</v>
      </c>
      <c r="B176" s="999">
        <v>0.86770000000000003</v>
      </c>
      <c r="C176" s="999">
        <v>0.86770000000000003</v>
      </c>
      <c r="D176" s="999">
        <v>0.76870000000000005</v>
      </c>
      <c r="E176" s="999">
        <v>0.76870000000000005</v>
      </c>
      <c r="F176" s="999">
        <v>0.76870000000000005</v>
      </c>
      <c r="G176" s="999">
        <v>0.76870000000000005</v>
      </c>
      <c r="H176" s="999">
        <v>0.76870000000000005</v>
      </c>
      <c r="I176" s="999">
        <v>0.67469999999999997</v>
      </c>
      <c r="J176" s="999">
        <v>0.67469999999999997</v>
      </c>
      <c r="K176" s="999">
        <v>0.67469999999999997</v>
      </c>
      <c r="L176" s="999">
        <v>0.67469999999999997</v>
      </c>
      <c r="M176" s="999">
        <v>0.67469999999999997</v>
      </c>
    </row>
    <row r="177" spans="1:13">
      <c r="A177" s="990">
        <v>7.3</v>
      </c>
      <c r="B177" s="999">
        <v>0.86609999999999998</v>
      </c>
      <c r="C177" s="999">
        <v>0.86609999999999998</v>
      </c>
      <c r="D177" s="999">
        <v>0.76700000000000002</v>
      </c>
      <c r="E177" s="999">
        <v>0.76700000000000002</v>
      </c>
      <c r="F177" s="999">
        <v>0.76700000000000002</v>
      </c>
      <c r="G177" s="999">
        <v>0.76700000000000002</v>
      </c>
      <c r="H177" s="999">
        <v>0.76700000000000002</v>
      </c>
      <c r="I177" s="999">
        <v>0.67269999999999996</v>
      </c>
      <c r="J177" s="999">
        <v>0.67269999999999996</v>
      </c>
      <c r="K177" s="999">
        <v>0.67269999999999996</v>
      </c>
      <c r="L177" s="999">
        <v>0.67269999999999996</v>
      </c>
      <c r="M177" s="999">
        <v>0.67269999999999996</v>
      </c>
    </row>
    <row r="178" spans="1:13">
      <c r="A178" s="990">
        <v>7.4</v>
      </c>
      <c r="B178" s="999">
        <v>0.86450000000000005</v>
      </c>
      <c r="C178" s="999">
        <v>0.86450000000000005</v>
      </c>
      <c r="D178" s="999">
        <v>0.76529999999999998</v>
      </c>
      <c r="E178" s="999">
        <v>0.76529999999999998</v>
      </c>
      <c r="F178" s="999">
        <v>0.76529999999999998</v>
      </c>
      <c r="G178" s="999">
        <v>0.76529999999999998</v>
      </c>
      <c r="H178" s="999">
        <v>0.76529999999999998</v>
      </c>
      <c r="I178" s="999">
        <v>0.67079999999999995</v>
      </c>
      <c r="J178" s="999">
        <v>0.67079999999999995</v>
      </c>
      <c r="K178" s="999">
        <v>0.67079999999999995</v>
      </c>
      <c r="L178" s="999">
        <v>0.67079999999999995</v>
      </c>
      <c r="M178" s="999">
        <v>0.67079999999999995</v>
      </c>
    </row>
    <row r="179" spans="1:13">
      <c r="A179" s="990">
        <v>7.5</v>
      </c>
      <c r="B179" s="999">
        <v>0.86299999999999999</v>
      </c>
      <c r="C179" s="999">
        <v>0.86299999999999999</v>
      </c>
      <c r="D179" s="999">
        <v>0.76359999999999995</v>
      </c>
      <c r="E179" s="999">
        <v>0.76359999999999995</v>
      </c>
      <c r="F179" s="999">
        <v>0.76359999999999995</v>
      </c>
      <c r="G179" s="999">
        <v>0.76359999999999995</v>
      </c>
      <c r="H179" s="999">
        <v>0.76359999999999995</v>
      </c>
      <c r="I179" s="999">
        <v>0.66890000000000005</v>
      </c>
      <c r="J179" s="999">
        <v>0.66890000000000005</v>
      </c>
      <c r="K179" s="999">
        <v>0.66890000000000005</v>
      </c>
      <c r="L179" s="999">
        <v>0.66890000000000005</v>
      </c>
      <c r="M179" s="999">
        <v>0.66890000000000005</v>
      </c>
    </row>
    <row r="180" spans="1:13">
      <c r="A180" s="990">
        <v>7.6</v>
      </c>
      <c r="B180" s="999">
        <v>0.86150000000000004</v>
      </c>
      <c r="C180" s="999">
        <v>0.86150000000000004</v>
      </c>
      <c r="D180" s="999">
        <v>0.76200000000000001</v>
      </c>
      <c r="E180" s="999">
        <v>0.76200000000000001</v>
      </c>
      <c r="F180" s="999">
        <v>0.76200000000000001</v>
      </c>
      <c r="G180" s="999">
        <v>0.76200000000000001</v>
      </c>
      <c r="H180" s="999">
        <v>0.76200000000000001</v>
      </c>
      <c r="I180" s="999">
        <v>0.66700000000000004</v>
      </c>
      <c r="J180" s="999">
        <v>0.66700000000000004</v>
      </c>
      <c r="K180" s="999">
        <v>0.66700000000000004</v>
      </c>
      <c r="L180" s="999">
        <v>0.66700000000000004</v>
      </c>
      <c r="M180" s="999">
        <v>0.66700000000000004</v>
      </c>
    </row>
    <row r="181" spans="1:13">
      <c r="A181" s="990">
        <v>7.7</v>
      </c>
      <c r="B181" s="999">
        <v>0.86</v>
      </c>
      <c r="C181" s="999">
        <v>0.86</v>
      </c>
      <c r="D181" s="999">
        <v>0.76039999999999996</v>
      </c>
      <c r="E181" s="999">
        <v>0.76039999999999996</v>
      </c>
      <c r="F181" s="999">
        <v>0.76039999999999996</v>
      </c>
      <c r="G181" s="999">
        <v>0.76039999999999996</v>
      </c>
      <c r="H181" s="999">
        <v>0.76039999999999996</v>
      </c>
      <c r="I181" s="999">
        <v>0.66510000000000002</v>
      </c>
      <c r="J181" s="999">
        <v>0.66510000000000002</v>
      </c>
      <c r="K181" s="999">
        <v>0.66510000000000002</v>
      </c>
      <c r="L181" s="999">
        <v>0.66510000000000002</v>
      </c>
      <c r="M181" s="999">
        <v>0.66510000000000002</v>
      </c>
    </row>
    <row r="182" spans="1:13">
      <c r="A182" s="990">
        <v>7.8</v>
      </c>
      <c r="B182" s="999">
        <v>0.85850000000000004</v>
      </c>
      <c r="C182" s="999">
        <v>0.85850000000000004</v>
      </c>
      <c r="D182" s="999">
        <v>0.75880000000000003</v>
      </c>
      <c r="E182" s="999">
        <v>0.75880000000000003</v>
      </c>
      <c r="F182" s="999">
        <v>0.75880000000000003</v>
      </c>
      <c r="G182" s="999">
        <v>0.75880000000000003</v>
      </c>
      <c r="H182" s="999">
        <v>0.75880000000000003</v>
      </c>
      <c r="I182" s="999">
        <v>0.6633</v>
      </c>
      <c r="J182" s="999">
        <v>0.6633</v>
      </c>
      <c r="K182" s="999">
        <v>0.6633</v>
      </c>
      <c r="L182" s="999">
        <v>0.6633</v>
      </c>
      <c r="M182" s="999">
        <v>0.6633</v>
      </c>
    </row>
    <row r="183" spans="1:13">
      <c r="A183" s="990">
        <v>7.9</v>
      </c>
      <c r="B183" s="999">
        <v>0.85699999999999998</v>
      </c>
      <c r="C183" s="999">
        <v>0.85699999999999998</v>
      </c>
      <c r="D183" s="999">
        <v>0.75719999999999998</v>
      </c>
      <c r="E183" s="999">
        <v>0.75719999999999998</v>
      </c>
      <c r="F183" s="999">
        <v>0.75719999999999998</v>
      </c>
      <c r="G183" s="999">
        <v>0.75719999999999998</v>
      </c>
      <c r="H183" s="999">
        <v>0.75719999999999998</v>
      </c>
      <c r="I183" s="999">
        <v>0.66149999999999998</v>
      </c>
      <c r="J183" s="999">
        <v>0.66149999999999998</v>
      </c>
      <c r="K183" s="999">
        <v>0.66149999999999998</v>
      </c>
      <c r="L183" s="999">
        <v>0.66149999999999998</v>
      </c>
      <c r="M183" s="999">
        <v>0.66149999999999998</v>
      </c>
    </row>
    <row r="184" spans="1:13">
      <c r="A184" s="990">
        <v>8</v>
      </c>
      <c r="B184" s="999">
        <v>0.85550000000000004</v>
      </c>
      <c r="C184" s="999">
        <v>0.85550000000000004</v>
      </c>
      <c r="D184" s="999">
        <v>0.75570000000000004</v>
      </c>
      <c r="E184" s="999">
        <v>0.75570000000000004</v>
      </c>
      <c r="F184" s="999">
        <v>0.75570000000000004</v>
      </c>
      <c r="G184" s="999">
        <v>0.75570000000000004</v>
      </c>
      <c r="H184" s="999">
        <v>0.75570000000000004</v>
      </c>
      <c r="I184" s="999">
        <v>0.65969999999999995</v>
      </c>
      <c r="J184" s="999">
        <v>0.65969999999999995</v>
      </c>
      <c r="K184" s="999">
        <v>0.65969999999999995</v>
      </c>
      <c r="L184" s="999">
        <v>0.65969999999999995</v>
      </c>
      <c r="M184" s="999">
        <v>0.65969999999999995</v>
      </c>
    </row>
    <row r="185" spans="1:13">
      <c r="A185" s="990">
        <v>8.1</v>
      </c>
      <c r="B185" s="999">
        <v>0.85399999999999998</v>
      </c>
      <c r="C185" s="999">
        <v>0.85399999999999998</v>
      </c>
      <c r="D185" s="999">
        <v>0.75419999999999998</v>
      </c>
      <c r="E185" s="999">
        <v>0.75419999999999998</v>
      </c>
      <c r="F185" s="999">
        <v>0.75419999999999998</v>
      </c>
      <c r="G185" s="999">
        <v>0.75419999999999998</v>
      </c>
      <c r="H185" s="999">
        <v>0.75419999999999998</v>
      </c>
      <c r="I185" s="999">
        <v>0.65800000000000003</v>
      </c>
      <c r="J185" s="999">
        <v>0.65800000000000003</v>
      </c>
      <c r="K185" s="999">
        <v>0.65800000000000003</v>
      </c>
      <c r="L185" s="999">
        <v>0.65800000000000003</v>
      </c>
      <c r="M185" s="999">
        <v>0.65800000000000003</v>
      </c>
    </row>
    <row r="186" spans="1:13">
      <c r="A186" s="990">
        <v>8.1999999999999993</v>
      </c>
      <c r="B186" s="999">
        <v>0.85250000000000004</v>
      </c>
      <c r="C186" s="999">
        <v>0.85250000000000004</v>
      </c>
      <c r="D186" s="999">
        <v>0.75270000000000004</v>
      </c>
      <c r="E186" s="999">
        <v>0.75270000000000004</v>
      </c>
      <c r="F186" s="999">
        <v>0.75270000000000004</v>
      </c>
      <c r="G186" s="999">
        <v>0.75270000000000004</v>
      </c>
      <c r="H186" s="999">
        <v>0.75270000000000004</v>
      </c>
      <c r="I186" s="999">
        <v>0.65629999999999999</v>
      </c>
      <c r="J186" s="999">
        <v>0.65629999999999999</v>
      </c>
      <c r="K186" s="999">
        <v>0.65629999999999999</v>
      </c>
      <c r="L186" s="999">
        <v>0.65629999999999999</v>
      </c>
      <c r="M186" s="999">
        <v>0.65629999999999999</v>
      </c>
    </row>
    <row r="187" spans="1:13">
      <c r="A187" s="990">
        <v>8.3000000000000007</v>
      </c>
      <c r="B187" s="999">
        <v>0.85109999999999997</v>
      </c>
      <c r="C187" s="999">
        <v>0.85109999999999997</v>
      </c>
      <c r="D187" s="999">
        <v>0.75119999999999998</v>
      </c>
      <c r="E187" s="999">
        <v>0.75119999999999998</v>
      </c>
      <c r="F187" s="999">
        <v>0.75119999999999998</v>
      </c>
      <c r="G187" s="999">
        <v>0.75119999999999998</v>
      </c>
      <c r="H187" s="999">
        <v>0.75119999999999998</v>
      </c>
      <c r="I187" s="999">
        <v>0.65459999999999996</v>
      </c>
      <c r="J187" s="999">
        <v>0.65459999999999996</v>
      </c>
      <c r="K187" s="999">
        <v>0.65459999999999996</v>
      </c>
      <c r="L187" s="999">
        <v>0.65459999999999996</v>
      </c>
      <c r="M187" s="999">
        <v>0.65459999999999996</v>
      </c>
    </row>
    <row r="188" spans="1:13">
      <c r="A188" s="990">
        <v>8.4</v>
      </c>
      <c r="B188" s="999">
        <v>0.84970000000000001</v>
      </c>
      <c r="C188" s="999">
        <v>0.84970000000000001</v>
      </c>
      <c r="D188" s="999">
        <v>0.74970000000000003</v>
      </c>
      <c r="E188" s="999">
        <v>0.74970000000000003</v>
      </c>
      <c r="F188" s="999">
        <v>0.74970000000000003</v>
      </c>
      <c r="G188" s="999">
        <v>0.74970000000000003</v>
      </c>
      <c r="H188" s="999">
        <v>0.74970000000000003</v>
      </c>
      <c r="I188" s="999">
        <v>0.65300000000000002</v>
      </c>
      <c r="J188" s="999">
        <v>0.65300000000000002</v>
      </c>
      <c r="K188" s="999">
        <v>0.65300000000000002</v>
      </c>
      <c r="L188" s="999">
        <v>0.65300000000000002</v>
      </c>
      <c r="M188" s="999">
        <v>0.65300000000000002</v>
      </c>
    </row>
    <row r="189" spans="1:13">
      <c r="A189" s="990">
        <v>8.5</v>
      </c>
      <c r="B189" s="999">
        <v>0.84830000000000005</v>
      </c>
      <c r="C189" s="999">
        <v>0.84830000000000005</v>
      </c>
      <c r="D189" s="999">
        <v>0.74819999999999998</v>
      </c>
      <c r="E189" s="999">
        <v>0.74819999999999998</v>
      </c>
      <c r="F189" s="999">
        <v>0.74819999999999998</v>
      </c>
      <c r="G189" s="999">
        <v>0.74819999999999998</v>
      </c>
      <c r="H189" s="999">
        <v>0.74819999999999998</v>
      </c>
      <c r="I189" s="999">
        <v>0.65139999999999998</v>
      </c>
      <c r="J189" s="999">
        <v>0.65139999999999998</v>
      </c>
      <c r="K189" s="999">
        <v>0.65139999999999998</v>
      </c>
      <c r="L189" s="999">
        <v>0.65139999999999998</v>
      </c>
      <c r="M189" s="999">
        <v>0.65139999999999998</v>
      </c>
    </row>
    <row r="190" spans="1:13">
      <c r="A190" s="990">
        <v>8.6</v>
      </c>
      <c r="B190" s="999">
        <v>0.84689999999999999</v>
      </c>
      <c r="C190" s="999">
        <v>0.84689999999999999</v>
      </c>
      <c r="D190" s="999">
        <v>0.74670000000000003</v>
      </c>
      <c r="E190" s="999">
        <v>0.74670000000000003</v>
      </c>
      <c r="F190" s="999">
        <v>0.74670000000000003</v>
      </c>
      <c r="G190" s="999">
        <v>0.74670000000000003</v>
      </c>
      <c r="H190" s="999">
        <v>0.74670000000000003</v>
      </c>
      <c r="I190" s="999">
        <v>0.64980000000000004</v>
      </c>
      <c r="J190" s="999">
        <v>0.64980000000000004</v>
      </c>
      <c r="K190" s="999">
        <v>0.64980000000000004</v>
      </c>
      <c r="L190" s="999">
        <v>0.64980000000000004</v>
      </c>
      <c r="M190" s="999">
        <v>0.64980000000000004</v>
      </c>
    </row>
    <row r="191" spans="1:13">
      <c r="A191" s="990">
        <v>8.6999999999999993</v>
      </c>
      <c r="B191" s="999">
        <v>0.84550000000000003</v>
      </c>
      <c r="C191" s="999">
        <v>0.84550000000000003</v>
      </c>
      <c r="D191" s="999">
        <v>0.74519999999999997</v>
      </c>
      <c r="E191" s="999">
        <v>0.74519999999999997</v>
      </c>
      <c r="F191" s="999">
        <v>0.74519999999999997</v>
      </c>
      <c r="G191" s="999">
        <v>0.74519999999999997</v>
      </c>
      <c r="H191" s="999">
        <v>0.74519999999999997</v>
      </c>
      <c r="I191" s="999">
        <v>0.6482</v>
      </c>
      <c r="J191" s="999">
        <v>0.6482</v>
      </c>
      <c r="K191" s="999">
        <v>0.6482</v>
      </c>
      <c r="L191" s="999">
        <v>0.6482</v>
      </c>
      <c r="M191" s="999">
        <v>0.6482</v>
      </c>
    </row>
    <row r="192" spans="1:13">
      <c r="A192" s="990">
        <v>8.8000000000000007</v>
      </c>
      <c r="B192" s="999">
        <v>0.84409999999999996</v>
      </c>
      <c r="C192" s="999">
        <v>0.84409999999999996</v>
      </c>
      <c r="D192" s="999">
        <v>0.74370000000000003</v>
      </c>
      <c r="E192" s="999">
        <v>0.74370000000000003</v>
      </c>
      <c r="F192" s="999">
        <v>0.74370000000000003</v>
      </c>
      <c r="G192" s="999">
        <v>0.74370000000000003</v>
      </c>
      <c r="H192" s="999">
        <v>0.74370000000000003</v>
      </c>
      <c r="I192" s="999">
        <v>0.64659999999999995</v>
      </c>
      <c r="J192" s="999">
        <v>0.64659999999999995</v>
      </c>
      <c r="K192" s="999">
        <v>0.64659999999999995</v>
      </c>
      <c r="L192" s="999">
        <v>0.64659999999999995</v>
      </c>
      <c r="M192" s="999">
        <v>0.64659999999999995</v>
      </c>
    </row>
    <row r="193" spans="1:13">
      <c r="A193" s="990">
        <v>8.9</v>
      </c>
      <c r="B193" s="999">
        <v>0.84279999999999999</v>
      </c>
      <c r="C193" s="999">
        <v>0.84279999999999999</v>
      </c>
      <c r="D193" s="999">
        <v>0.74219999999999997</v>
      </c>
      <c r="E193" s="999">
        <v>0.74219999999999997</v>
      </c>
      <c r="F193" s="999">
        <v>0.74219999999999997</v>
      </c>
      <c r="G193" s="999">
        <v>0.74219999999999997</v>
      </c>
      <c r="H193" s="999">
        <v>0.74219999999999997</v>
      </c>
      <c r="I193" s="999">
        <v>0.64500000000000002</v>
      </c>
      <c r="J193" s="999">
        <v>0.64500000000000002</v>
      </c>
      <c r="K193" s="999">
        <v>0.64500000000000002</v>
      </c>
      <c r="L193" s="999">
        <v>0.64500000000000002</v>
      </c>
      <c r="M193" s="999">
        <v>0.64500000000000002</v>
      </c>
    </row>
    <row r="194" spans="1:13">
      <c r="A194" s="1014">
        <v>9</v>
      </c>
      <c r="B194" s="999">
        <v>0.84150000000000003</v>
      </c>
      <c r="C194" s="999">
        <v>0.84150000000000003</v>
      </c>
      <c r="D194" s="999">
        <v>0.74070000000000003</v>
      </c>
      <c r="E194" s="999">
        <v>0.74070000000000003</v>
      </c>
      <c r="F194" s="999">
        <v>0.74070000000000003</v>
      </c>
      <c r="G194" s="999">
        <v>0.74070000000000003</v>
      </c>
      <c r="H194" s="999">
        <v>0.74070000000000003</v>
      </c>
      <c r="I194" s="999">
        <v>0.64349999999999996</v>
      </c>
      <c r="J194" s="999">
        <v>0.64349999999999996</v>
      </c>
      <c r="K194" s="999">
        <v>0.64349999999999996</v>
      </c>
      <c r="L194" s="999">
        <v>0.64349999999999996</v>
      </c>
      <c r="M194" s="999">
        <v>0.64349999999999996</v>
      </c>
    </row>
    <row r="195" spans="1:13">
      <c r="A195" s="1014">
        <v>9.1</v>
      </c>
      <c r="B195" s="999">
        <v>0.84019999999999995</v>
      </c>
      <c r="C195" s="999">
        <v>0.84019999999999995</v>
      </c>
      <c r="D195" s="999">
        <v>0.73919999999999997</v>
      </c>
      <c r="E195" s="999">
        <v>0.73919999999999997</v>
      </c>
      <c r="F195" s="999">
        <v>0.73919999999999997</v>
      </c>
      <c r="G195" s="999">
        <v>0.73919999999999997</v>
      </c>
      <c r="H195" s="999">
        <v>0.73919999999999997</v>
      </c>
      <c r="I195" s="999">
        <v>0.64200000000000002</v>
      </c>
      <c r="J195" s="999">
        <v>0.64200000000000002</v>
      </c>
      <c r="K195" s="999">
        <v>0.64200000000000002</v>
      </c>
      <c r="L195" s="999">
        <v>0.64200000000000002</v>
      </c>
      <c r="M195" s="999">
        <v>0.64200000000000002</v>
      </c>
    </row>
    <row r="196" spans="1:13">
      <c r="A196" s="1014">
        <v>9.1999999999999993</v>
      </c>
      <c r="B196" s="999">
        <v>0.83889999999999998</v>
      </c>
      <c r="C196" s="999">
        <v>0.83889999999999998</v>
      </c>
      <c r="D196" s="999">
        <v>0.73770000000000002</v>
      </c>
      <c r="E196" s="999">
        <v>0.73770000000000002</v>
      </c>
      <c r="F196" s="999">
        <v>0.73770000000000002</v>
      </c>
      <c r="G196" s="999">
        <v>0.73770000000000002</v>
      </c>
      <c r="H196" s="999">
        <v>0.73770000000000002</v>
      </c>
      <c r="I196" s="999">
        <v>0.64059999999999995</v>
      </c>
      <c r="J196" s="999">
        <v>0.64059999999999995</v>
      </c>
      <c r="K196" s="999">
        <v>0.64059999999999995</v>
      </c>
      <c r="L196" s="999">
        <v>0.64059999999999995</v>
      </c>
      <c r="M196" s="999">
        <v>0.64059999999999995</v>
      </c>
    </row>
    <row r="197" spans="1:13">
      <c r="A197" s="1014">
        <v>9.3000000000000007</v>
      </c>
      <c r="B197" s="999">
        <v>0.83760000000000001</v>
      </c>
      <c r="C197" s="999">
        <v>0.83760000000000001</v>
      </c>
      <c r="D197" s="999">
        <v>0.73629999999999995</v>
      </c>
      <c r="E197" s="999">
        <v>0.73629999999999995</v>
      </c>
      <c r="F197" s="999">
        <v>0.73629999999999995</v>
      </c>
      <c r="G197" s="999">
        <v>0.73629999999999995</v>
      </c>
      <c r="H197" s="999">
        <v>0.73629999999999995</v>
      </c>
      <c r="I197" s="999">
        <v>0.63919999999999999</v>
      </c>
      <c r="J197" s="999">
        <v>0.63919999999999999</v>
      </c>
      <c r="K197" s="999">
        <v>0.63919999999999999</v>
      </c>
      <c r="L197" s="999">
        <v>0.63919999999999999</v>
      </c>
      <c r="M197" s="999">
        <v>0.63919999999999999</v>
      </c>
    </row>
    <row r="198" spans="1:13">
      <c r="A198" s="1014">
        <v>9.4</v>
      </c>
      <c r="B198" s="999">
        <v>0.83630000000000004</v>
      </c>
      <c r="C198" s="999">
        <v>0.83630000000000004</v>
      </c>
      <c r="D198" s="999">
        <v>0.7349</v>
      </c>
      <c r="E198" s="999">
        <v>0.7349</v>
      </c>
      <c r="F198" s="999">
        <v>0.7349</v>
      </c>
      <c r="G198" s="999">
        <v>0.7349</v>
      </c>
      <c r="H198" s="999">
        <v>0.7349</v>
      </c>
      <c r="I198" s="999">
        <v>0.63780000000000003</v>
      </c>
      <c r="J198" s="999">
        <v>0.63780000000000003</v>
      </c>
      <c r="K198" s="999">
        <v>0.63780000000000003</v>
      </c>
      <c r="L198" s="999">
        <v>0.63780000000000003</v>
      </c>
      <c r="M198" s="999">
        <v>0.63780000000000003</v>
      </c>
    </row>
    <row r="199" spans="1:13">
      <c r="A199" s="1014">
        <v>9.5</v>
      </c>
      <c r="B199" s="999">
        <v>0.83499999999999996</v>
      </c>
      <c r="C199" s="999">
        <v>0.83499999999999996</v>
      </c>
      <c r="D199" s="999">
        <v>0.73350000000000004</v>
      </c>
      <c r="E199" s="999">
        <v>0.73350000000000004</v>
      </c>
      <c r="F199" s="999">
        <v>0.73350000000000004</v>
      </c>
      <c r="G199" s="999">
        <v>0.73350000000000004</v>
      </c>
      <c r="H199" s="999">
        <v>0.73350000000000004</v>
      </c>
      <c r="I199" s="999">
        <v>0.63639999999999997</v>
      </c>
      <c r="J199" s="999">
        <v>0.63639999999999997</v>
      </c>
      <c r="K199" s="999">
        <v>0.63639999999999997</v>
      </c>
      <c r="L199" s="999">
        <v>0.63639999999999997</v>
      </c>
      <c r="M199" s="999">
        <v>0.63639999999999997</v>
      </c>
    </row>
    <row r="200" spans="1:13">
      <c r="A200" s="1014">
        <v>9.6</v>
      </c>
      <c r="B200" s="999">
        <v>0.83379999999999999</v>
      </c>
      <c r="C200" s="999">
        <v>0.83379999999999999</v>
      </c>
      <c r="D200" s="999">
        <v>0.73209999999999997</v>
      </c>
      <c r="E200" s="999">
        <v>0.73209999999999997</v>
      </c>
      <c r="F200" s="999">
        <v>0.73209999999999997</v>
      </c>
      <c r="G200" s="999">
        <v>0.73209999999999997</v>
      </c>
      <c r="H200" s="999">
        <v>0.73209999999999997</v>
      </c>
      <c r="I200" s="999">
        <v>0.63500000000000001</v>
      </c>
      <c r="J200" s="999">
        <v>0.63500000000000001</v>
      </c>
      <c r="K200" s="999">
        <v>0.63500000000000001</v>
      </c>
      <c r="L200" s="999">
        <v>0.63500000000000001</v>
      </c>
      <c r="M200" s="999">
        <v>0.63500000000000001</v>
      </c>
    </row>
    <row r="201" spans="1:13">
      <c r="A201" s="1014">
        <v>9.6999999999999993</v>
      </c>
      <c r="B201" s="999">
        <v>0.83260000000000001</v>
      </c>
      <c r="C201" s="999">
        <v>0.83260000000000001</v>
      </c>
      <c r="D201" s="999">
        <v>0.73070000000000002</v>
      </c>
      <c r="E201" s="999">
        <v>0.73070000000000002</v>
      </c>
      <c r="F201" s="999">
        <v>0.73070000000000002</v>
      </c>
      <c r="G201" s="999">
        <v>0.73070000000000002</v>
      </c>
      <c r="H201" s="999">
        <v>0.73070000000000002</v>
      </c>
      <c r="I201" s="999">
        <v>0.63360000000000005</v>
      </c>
      <c r="J201" s="999">
        <v>0.63360000000000005</v>
      </c>
      <c r="K201" s="999">
        <v>0.63360000000000005</v>
      </c>
      <c r="L201" s="999">
        <v>0.63360000000000005</v>
      </c>
      <c r="M201" s="999">
        <v>0.63360000000000005</v>
      </c>
    </row>
    <row r="202" spans="1:13">
      <c r="A202" s="1014">
        <v>9.8000000000000007</v>
      </c>
      <c r="B202" s="999">
        <v>0.83140000000000003</v>
      </c>
      <c r="C202" s="999">
        <v>0.83140000000000003</v>
      </c>
      <c r="D202" s="999">
        <v>0.72929999999999995</v>
      </c>
      <c r="E202" s="999">
        <v>0.72929999999999995</v>
      </c>
      <c r="F202" s="999">
        <v>0.72929999999999995</v>
      </c>
      <c r="G202" s="999">
        <v>0.72929999999999995</v>
      </c>
      <c r="H202" s="999">
        <v>0.72929999999999995</v>
      </c>
      <c r="I202" s="999">
        <v>0.63219999999999998</v>
      </c>
      <c r="J202" s="999">
        <v>0.63219999999999998</v>
      </c>
      <c r="K202" s="999">
        <v>0.63219999999999998</v>
      </c>
      <c r="L202" s="999">
        <v>0.63219999999999998</v>
      </c>
      <c r="M202" s="999">
        <v>0.63219999999999998</v>
      </c>
    </row>
    <row r="203" spans="1:13">
      <c r="A203" s="1014">
        <v>9.9</v>
      </c>
      <c r="B203" s="999">
        <v>0.83020000000000005</v>
      </c>
      <c r="C203" s="999">
        <v>0.83020000000000005</v>
      </c>
      <c r="D203" s="999">
        <v>0.72799999999999998</v>
      </c>
      <c r="E203" s="999">
        <v>0.72799999999999998</v>
      </c>
      <c r="F203" s="999">
        <v>0.72799999999999998</v>
      </c>
      <c r="G203" s="999">
        <v>0.72799999999999998</v>
      </c>
      <c r="H203" s="999">
        <v>0.72799999999999998</v>
      </c>
      <c r="I203" s="999">
        <v>0.63080000000000003</v>
      </c>
      <c r="J203" s="999">
        <v>0.63080000000000003</v>
      </c>
      <c r="K203" s="999">
        <v>0.63080000000000003</v>
      </c>
      <c r="L203" s="999">
        <v>0.63080000000000003</v>
      </c>
      <c r="M203" s="999">
        <v>0.63080000000000003</v>
      </c>
    </row>
    <row r="204" spans="1:13">
      <c r="A204" s="1014">
        <v>10</v>
      </c>
      <c r="B204" s="999">
        <v>0.82899999999999996</v>
      </c>
      <c r="C204" s="999">
        <v>0.82899999999999996</v>
      </c>
      <c r="D204" s="999">
        <v>0.72670000000000001</v>
      </c>
      <c r="E204" s="999">
        <v>0.72670000000000001</v>
      </c>
      <c r="F204" s="999">
        <v>0.72670000000000001</v>
      </c>
      <c r="G204" s="999">
        <v>0.72670000000000001</v>
      </c>
      <c r="H204" s="999">
        <v>0.72670000000000001</v>
      </c>
      <c r="I204" s="999">
        <v>0.62939999999999996</v>
      </c>
      <c r="J204" s="999">
        <v>0.62939999999999996</v>
      </c>
      <c r="K204" s="999">
        <v>0.62939999999999996</v>
      </c>
      <c r="L204" s="999">
        <v>0.62939999999999996</v>
      </c>
      <c r="M204" s="999">
        <v>0.62939999999999996</v>
      </c>
    </row>
    <row r="205" spans="1:13" ht="14.25">
      <c r="A205" s="987" t="s">
        <v>895</v>
      </c>
      <c r="B205" s="988"/>
      <c r="C205" s="988"/>
      <c r="D205" s="988"/>
      <c r="E205" s="988"/>
      <c r="F205" s="988"/>
      <c r="G205" s="988"/>
      <c r="H205" s="988"/>
      <c r="I205" s="988"/>
      <c r="J205" s="988"/>
      <c r="K205" s="988"/>
      <c r="L205" s="988"/>
      <c r="M205" s="988"/>
    </row>
    <row r="206" spans="1:13">
      <c r="A206" s="990" t="s">
        <v>896</v>
      </c>
      <c r="B206" s="991" t="s">
        <v>897</v>
      </c>
      <c r="C206" s="991" t="s">
        <v>898</v>
      </c>
      <c r="D206" s="991" t="s">
        <v>899</v>
      </c>
      <c r="E206" s="991" t="s">
        <v>900</v>
      </c>
      <c r="F206" s="991" t="s">
        <v>901</v>
      </c>
      <c r="G206" s="991" t="s">
        <v>902</v>
      </c>
      <c r="H206" s="992" t="s">
        <v>903</v>
      </c>
      <c r="I206" s="992" t="s">
        <v>904</v>
      </c>
      <c r="J206" s="993" t="s">
        <v>905</v>
      </c>
      <c r="K206" s="993" t="s">
        <v>906</v>
      </c>
      <c r="L206" s="993" t="s">
        <v>907</v>
      </c>
      <c r="M206" s="993" t="s">
        <v>908</v>
      </c>
    </row>
    <row r="207" spans="1:13">
      <c r="A207" s="990">
        <v>0.1</v>
      </c>
      <c r="B207" s="999">
        <v>12.172000000000001</v>
      </c>
      <c r="C207" s="999">
        <v>12.172000000000001</v>
      </c>
      <c r="D207" s="999">
        <v>12.375999999999999</v>
      </c>
      <c r="E207" s="999">
        <v>12.375999999999999</v>
      </c>
      <c r="F207" s="999">
        <v>12.375999999999999</v>
      </c>
      <c r="G207" s="999">
        <v>12.375999999999999</v>
      </c>
      <c r="H207" s="999">
        <v>12.375999999999999</v>
      </c>
      <c r="I207" s="999">
        <v>11.071999999999999</v>
      </c>
      <c r="J207" s="999">
        <v>11.071999999999999</v>
      </c>
      <c r="K207" s="999">
        <v>11.071999999999999</v>
      </c>
      <c r="L207" s="999">
        <v>11.071999999999999</v>
      </c>
      <c r="M207" s="999">
        <v>11.071999999999999</v>
      </c>
    </row>
    <row r="208" spans="1:13">
      <c r="A208" s="990">
        <v>0.2</v>
      </c>
      <c r="B208" s="999">
        <v>6.0860000000000003</v>
      </c>
      <c r="C208" s="999">
        <v>6.0860000000000003</v>
      </c>
      <c r="D208" s="999">
        <v>6.1879999999999997</v>
      </c>
      <c r="E208" s="999">
        <v>6.1879999999999997</v>
      </c>
      <c r="F208" s="999">
        <v>6.1879999999999997</v>
      </c>
      <c r="G208" s="999">
        <v>6.1879999999999997</v>
      </c>
      <c r="H208" s="999">
        <v>6.1879999999999997</v>
      </c>
      <c r="I208" s="999">
        <v>5.5359999999999996</v>
      </c>
      <c r="J208" s="999">
        <v>5.5359999999999996</v>
      </c>
      <c r="K208" s="999">
        <v>5.5359999999999996</v>
      </c>
      <c r="L208" s="999">
        <v>5.5359999999999996</v>
      </c>
      <c r="M208" s="999">
        <v>5.5359999999999996</v>
      </c>
    </row>
    <row r="209" spans="1:13">
      <c r="A209" s="990">
        <v>0.3</v>
      </c>
      <c r="B209" s="999">
        <v>4.0572999999999997</v>
      </c>
      <c r="C209" s="999">
        <v>4.0572999999999997</v>
      </c>
      <c r="D209" s="999">
        <v>4.1253000000000002</v>
      </c>
      <c r="E209" s="999">
        <v>4.1253000000000002</v>
      </c>
      <c r="F209" s="999">
        <v>4.1253000000000002</v>
      </c>
      <c r="G209" s="999">
        <v>4.1253000000000002</v>
      </c>
      <c r="H209" s="999">
        <v>4.1253000000000002</v>
      </c>
      <c r="I209" s="999">
        <v>3.6907000000000001</v>
      </c>
      <c r="J209" s="999">
        <v>3.6907000000000001</v>
      </c>
      <c r="K209" s="999">
        <v>3.6907000000000001</v>
      </c>
      <c r="L209" s="999">
        <v>3.6907000000000001</v>
      </c>
      <c r="M209" s="999">
        <v>3.6907000000000001</v>
      </c>
    </row>
    <row r="210" spans="1:13">
      <c r="A210" s="990">
        <v>0.4</v>
      </c>
      <c r="B210" s="999">
        <v>3.0430000000000001</v>
      </c>
      <c r="C210" s="999">
        <v>3.0430000000000001</v>
      </c>
      <c r="D210" s="999">
        <v>3.0939999999999999</v>
      </c>
      <c r="E210" s="999">
        <v>3.0939999999999999</v>
      </c>
      <c r="F210" s="999">
        <v>3.0939999999999999</v>
      </c>
      <c r="G210" s="999">
        <v>3.0939999999999999</v>
      </c>
      <c r="H210" s="999">
        <v>3.0939999999999999</v>
      </c>
      <c r="I210" s="999">
        <v>2.7679999999999998</v>
      </c>
      <c r="J210" s="999">
        <v>2.7679999999999998</v>
      </c>
      <c r="K210" s="999">
        <v>2.7679999999999998</v>
      </c>
      <c r="L210" s="999">
        <v>2.7679999999999998</v>
      </c>
      <c r="M210" s="999">
        <v>2.7679999999999998</v>
      </c>
    </row>
    <row r="211" spans="1:13">
      <c r="A211" s="990">
        <v>0.5</v>
      </c>
      <c r="B211" s="999">
        <v>2.4344000000000001</v>
      </c>
      <c r="C211" s="999">
        <v>2.4344000000000001</v>
      </c>
      <c r="D211" s="999">
        <v>2.4752000000000001</v>
      </c>
      <c r="E211" s="999">
        <v>2.4752000000000001</v>
      </c>
      <c r="F211" s="999">
        <v>2.4752000000000001</v>
      </c>
      <c r="G211" s="999">
        <v>2.4752000000000001</v>
      </c>
      <c r="H211" s="999">
        <v>2.4752000000000001</v>
      </c>
      <c r="I211" s="999">
        <v>2.2143999999999999</v>
      </c>
      <c r="J211" s="999">
        <v>2.2143999999999999</v>
      </c>
      <c r="K211" s="999">
        <v>2.2143999999999999</v>
      </c>
      <c r="L211" s="999">
        <v>2.2143999999999999</v>
      </c>
      <c r="M211" s="999">
        <v>2.2143999999999999</v>
      </c>
    </row>
    <row r="212" spans="1:13">
      <c r="A212" s="990">
        <v>0.6</v>
      </c>
      <c r="B212" s="999">
        <v>2.0287000000000002</v>
      </c>
      <c r="C212" s="999">
        <v>2.0287000000000002</v>
      </c>
      <c r="D212" s="999">
        <v>2.0627</v>
      </c>
      <c r="E212" s="999">
        <v>2.0627</v>
      </c>
      <c r="F212" s="999">
        <v>2.0627</v>
      </c>
      <c r="G212" s="999">
        <v>2.0627</v>
      </c>
      <c r="H212" s="999">
        <v>2.0627</v>
      </c>
      <c r="I212" s="999">
        <v>1.8452999999999999</v>
      </c>
      <c r="J212" s="999">
        <v>1.8452999999999999</v>
      </c>
      <c r="K212" s="999">
        <v>1.8452999999999999</v>
      </c>
      <c r="L212" s="999">
        <v>1.8452999999999999</v>
      </c>
      <c r="M212" s="999">
        <v>1.8452999999999999</v>
      </c>
    </row>
    <row r="213" spans="1:13">
      <c r="A213" s="990">
        <v>0.7</v>
      </c>
      <c r="B213" s="999">
        <v>1.7388999999999999</v>
      </c>
      <c r="C213" s="999">
        <v>1.7388999999999999</v>
      </c>
      <c r="D213" s="999">
        <v>1.768</v>
      </c>
      <c r="E213" s="999">
        <v>1.768</v>
      </c>
      <c r="F213" s="999">
        <v>1.768</v>
      </c>
      <c r="G213" s="999">
        <v>1.768</v>
      </c>
      <c r="H213" s="999">
        <v>1.768</v>
      </c>
      <c r="I213" s="999">
        <v>1.5817000000000001</v>
      </c>
      <c r="J213" s="999">
        <v>1.5817000000000001</v>
      </c>
      <c r="K213" s="999">
        <v>1.5817000000000001</v>
      </c>
      <c r="L213" s="999">
        <v>1.5817000000000001</v>
      </c>
      <c r="M213" s="999">
        <v>1.5817000000000001</v>
      </c>
    </row>
    <row r="214" spans="1:13">
      <c r="A214" s="990">
        <v>0.8</v>
      </c>
      <c r="B214" s="999">
        <v>1.5215000000000001</v>
      </c>
      <c r="C214" s="999">
        <v>1.5215000000000001</v>
      </c>
      <c r="D214" s="999">
        <v>1.5469999999999999</v>
      </c>
      <c r="E214" s="999">
        <v>1.5469999999999999</v>
      </c>
      <c r="F214" s="999">
        <v>1.5469999999999999</v>
      </c>
      <c r="G214" s="999">
        <v>1.5469999999999999</v>
      </c>
      <c r="H214" s="999">
        <v>1.5469999999999999</v>
      </c>
      <c r="I214" s="999">
        <v>1.3839999999999999</v>
      </c>
      <c r="J214" s="999">
        <v>1.3839999999999999</v>
      </c>
      <c r="K214" s="999">
        <v>1.3839999999999999</v>
      </c>
      <c r="L214" s="999">
        <v>1.3839999999999999</v>
      </c>
      <c r="M214" s="999">
        <v>1.3839999999999999</v>
      </c>
    </row>
    <row r="215" spans="1:13">
      <c r="A215" s="990">
        <v>0.9</v>
      </c>
      <c r="B215" s="999">
        <v>1.3524</v>
      </c>
      <c r="C215" s="999">
        <v>1.3524</v>
      </c>
      <c r="D215" s="999">
        <v>1.3751</v>
      </c>
      <c r="E215" s="999">
        <v>1.3751</v>
      </c>
      <c r="F215" s="999">
        <v>1.3751</v>
      </c>
      <c r="G215" s="999">
        <v>1.3751</v>
      </c>
      <c r="H215" s="999">
        <v>1.3751</v>
      </c>
      <c r="I215" s="999">
        <v>1.2302</v>
      </c>
      <c r="J215" s="999">
        <v>1.2302</v>
      </c>
      <c r="K215" s="999">
        <v>1.2302</v>
      </c>
      <c r="L215" s="999">
        <v>1.2302</v>
      </c>
      <c r="M215" s="999">
        <v>1.2302</v>
      </c>
    </row>
    <row r="216" spans="1:13">
      <c r="A216" s="990">
        <v>1</v>
      </c>
      <c r="B216" s="999">
        <v>1.2172000000000001</v>
      </c>
      <c r="C216" s="999">
        <v>1.2172000000000001</v>
      </c>
      <c r="D216" s="999">
        <v>1.2376</v>
      </c>
      <c r="E216" s="999">
        <v>1.2376</v>
      </c>
      <c r="F216" s="999">
        <v>1.2376</v>
      </c>
      <c r="G216" s="999">
        <v>1.2376</v>
      </c>
      <c r="H216" s="999">
        <v>1.2376</v>
      </c>
      <c r="I216" s="999">
        <v>1.1072</v>
      </c>
      <c r="J216" s="999">
        <v>1.1072</v>
      </c>
      <c r="K216" s="999">
        <v>1.1072</v>
      </c>
      <c r="L216" s="999">
        <v>1.1072</v>
      </c>
      <c r="M216" s="999">
        <v>1.1072</v>
      </c>
    </row>
    <row r="217" spans="1:13">
      <c r="A217" s="990">
        <v>1.1000000000000001</v>
      </c>
      <c r="B217" s="999">
        <v>1.198</v>
      </c>
      <c r="C217" s="999">
        <v>1.198</v>
      </c>
      <c r="D217" s="999">
        <v>1.2156</v>
      </c>
      <c r="E217" s="999">
        <v>1.2156</v>
      </c>
      <c r="F217" s="999">
        <v>1.2156</v>
      </c>
      <c r="G217" s="999">
        <v>1.2156</v>
      </c>
      <c r="H217" s="999">
        <v>1.2156</v>
      </c>
      <c r="I217" s="999">
        <v>1.0829</v>
      </c>
      <c r="J217" s="999">
        <v>1.0829</v>
      </c>
      <c r="K217" s="999">
        <v>1.0829</v>
      </c>
      <c r="L217" s="999">
        <v>1.0829</v>
      </c>
      <c r="M217" s="999">
        <v>1.0829</v>
      </c>
    </row>
    <row r="218" spans="1:13">
      <c r="A218" s="990">
        <v>1.2</v>
      </c>
      <c r="B218" s="999">
        <v>1.1795</v>
      </c>
      <c r="C218" s="999">
        <v>1.1795</v>
      </c>
      <c r="D218" s="999">
        <v>1.1947000000000001</v>
      </c>
      <c r="E218" s="999">
        <v>1.1947000000000001</v>
      </c>
      <c r="F218" s="999">
        <v>1.1947000000000001</v>
      </c>
      <c r="G218" s="999">
        <v>1.1947000000000001</v>
      </c>
      <c r="H218" s="999">
        <v>1.1947000000000001</v>
      </c>
      <c r="I218" s="999">
        <v>1.0601</v>
      </c>
      <c r="J218" s="999">
        <v>1.0601</v>
      </c>
      <c r="K218" s="999">
        <v>1.0601</v>
      </c>
      <c r="L218" s="999">
        <v>1.0601</v>
      </c>
      <c r="M218" s="999">
        <v>1.0601</v>
      </c>
    </row>
    <row r="219" spans="1:13">
      <c r="A219" s="990">
        <v>1.3</v>
      </c>
      <c r="B219" s="999">
        <v>1.1617999999999999</v>
      </c>
      <c r="C219" s="999">
        <v>1.1617999999999999</v>
      </c>
      <c r="D219" s="999">
        <v>1.1748000000000001</v>
      </c>
      <c r="E219" s="999">
        <v>1.1748000000000001</v>
      </c>
      <c r="F219" s="999">
        <v>1.1748000000000001</v>
      </c>
      <c r="G219" s="999">
        <v>1.1748000000000001</v>
      </c>
      <c r="H219" s="999">
        <v>1.1748000000000001</v>
      </c>
      <c r="I219" s="999">
        <v>1.0387999999999999</v>
      </c>
      <c r="J219" s="999">
        <v>1.0387999999999999</v>
      </c>
      <c r="K219" s="999">
        <v>1.0387999999999999</v>
      </c>
      <c r="L219" s="999">
        <v>1.0387999999999999</v>
      </c>
      <c r="M219" s="999">
        <v>1.0387999999999999</v>
      </c>
    </row>
    <row r="220" spans="1:13">
      <c r="A220" s="990">
        <v>1.4</v>
      </c>
      <c r="B220" s="999">
        <v>1.1448</v>
      </c>
      <c r="C220" s="999">
        <v>1.1448</v>
      </c>
      <c r="D220" s="999">
        <v>1.1557999999999999</v>
      </c>
      <c r="E220" s="999">
        <v>1.1557999999999999</v>
      </c>
      <c r="F220" s="999">
        <v>1.1557999999999999</v>
      </c>
      <c r="G220" s="999">
        <v>1.1557999999999999</v>
      </c>
      <c r="H220" s="999">
        <v>1.1557999999999999</v>
      </c>
      <c r="I220" s="999">
        <v>1.0187999999999999</v>
      </c>
      <c r="J220" s="999">
        <v>1.0187999999999999</v>
      </c>
      <c r="K220" s="999">
        <v>1.0187999999999999</v>
      </c>
      <c r="L220" s="999">
        <v>1.0187999999999999</v>
      </c>
      <c r="M220" s="999">
        <v>1.0187999999999999</v>
      </c>
    </row>
    <row r="221" spans="1:13">
      <c r="A221" s="990">
        <v>1.5</v>
      </c>
      <c r="B221" s="999">
        <v>1.1285000000000001</v>
      </c>
      <c r="C221" s="999">
        <v>1.1285000000000001</v>
      </c>
      <c r="D221" s="999">
        <v>1.1377999999999999</v>
      </c>
      <c r="E221" s="999">
        <v>1.1377999999999999</v>
      </c>
      <c r="F221" s="999">
        <v>1.1377999999999999</v>
      </c>
      <c r="G221" s="999">
        <v>1.1377999999999999</v>
      </c>
      <c r="H221" s="999">
        <v>1.1377999999999999</v>
      </c>
      <c r="I221" s="999">
        <v>1</v>
      </c>
      <c r="J221" s="999">
        <v>1</v>
      </c>
      <c r="K221" s="999">
        <v>1</v>
      </c>
      <c r="L221" s="999">
        <v>1</v>
      </c>
      <c r="M221" s="999">
        <v>1</v>
      </c>
    </row>
    <row r="222" spans="1:13">
      <c r="A222" s="990">
        <v>1.6</v>
      </c>
      <c r="B222" s="999">
        <v>1.1129</v>
      </c>
      <c r="C222" s="999">
        <v>1.1129</v>
      </c>
      <c r="D222" s="999">
        <v>1.1206</v>
      </c>
      <c r="E222" s="999">
        <v>1.1206</v>
      </c>
      <c r="F222" s="999">
        <v>1.1206</v>
      </c>
      <c r="G222" s="999">
        <v>1.1206</v>
      </c>
      <c r="H222" s="999">
        <v>1.1206</v>
      </c>
      <c r="I222" s="999">
        <v>0.98240000000000005</v>
      </c>
      <c r="J222" s="999">
        <v>0.98240000000000005</v>
      </c>
      <c r="K222" s="999">
        <v>0.98240000000000005</v>
      </c>
      <c r="L222" s="999">
        <v>0.98240000000000005</v>
      </c>
      <c r="M222" s="999">
        <v>0.98240000000000005</v>
      </c>
    </row>
    <row r="223" spans="1:13">
      <c r="A223" s="990">
        <v>1.7</v>
      </c>
      <c r="B223" s="999">
        <v>1.0980000000000001</v>
      </c>
      <c r="C223" s="999">
        <v>1.0980000000000001</v>
      </c>
      <c r="D223" s="999">
        <v>1.1043000000000001</v>
      </c>
      <c r="E223" s="999">
        <v>1.1043000000000001</v>
      </c>
      <c r="F223" s="999">
        <v>1.1043000000000001</v>
      </c>
      <c r="G223" s="999">
        <v>1.1043000000000001</v>
      </c>
      <c r="H223" s="999">
        <v>1.1043000000000001</v>
      </c>
      <c r="I223" s="999">
        <v>0.96579999999999999</v>
      </c>
      <c r="J223" s="999">
        <v>0.96579999999999999</v>
      </c>
      <c r="K223" s="999">
        <v>0.96579999999999999</v>
      </c>
      <c r="L223" s="999">
        <v>0.96579999999999999</v>
      </c>
      <c r="M223" s="999">
        <v>0.96579999999999999</v>
      </c>
    </row>
    <row r="224" spans="1:13">
      <c r="A224" s="990">
        <v>1.8</v>
      </c>
      <c r="B224" s="999">
        <v>1.0835999999999999</v>
      </c>
      <c r="C224" s="999">
        <v>1.0835999999999999</v>
      </c>
      <c r="D224" s="999">
        <v>1.0888</v>
      </c>
      <c r="E224" s="999">
        <v>1.0888</v>
      </c>
      <c r="F224" s="999">
        <v>1.0888</v>
      </c>
      <c r="G224" s="999">
        <v>1.0888</v>
      </c>
      <c r="H224" s="999">
        <v>1.0888</v>
      </c>
      <c r="I224" s="999">
        <v>0.95030000000000003</v>
      </c>
      <c r="J224" s="999">
        <v>0.95030000000000003</v>
      </c>
      <c r="K224" s="999">
        <v>0.95030000000000003</v>
      </c>
      <c r="L224" s="999">
        <v>0.95030000000000003</v>
      </c>
      <c r="M224" s="999">
        <v>0.95030000000000003</v>
      </c>
    </row>
    <row r="225" spans="1:13">
      <c r="A225" s="990">
        <v>1.9</v>
      </c>
      <c r="B225" s="999">
        <v>1.0698000000000001</v>
      </c>
      <c r="C225" s="999">
        <v>1.0698000000000001</v>
      </c>
      <c r="D225" s="999">
        <v>1.0741000000000001</v>
      </c>
      <c r="E225" s="999">
        <v>1.0741000000000001</v>
      </c>
      <c r="F225" s="999">
        <v>1.0741000000000001</v>
      </c>
      <c r="G225" s="999">
        <v>1.0741000000000001</v>
      </c>
      <c r="H225" s="999">
        <v>1.0741000000000001</v>
      </c>
      <c r="I225" s="999">
        <v>0.93610000000000004</v>
      </c>
      <c r="J225" s="999">
        <v>0.93610000000000004</v>
      </c>
      <c r="K225" s="999">
        <v>0.93610000000000004</v>
      </c>
      <c r="L225" s="999">
        <v>0.93610000000000004</v>
      </c>
      <c r="M225" s="999">
        <v>0.93610000000000004</v>
      </c>
    </row>
    <row r="226" spans="1:13">
      <c r="A226" s="990">
        <v>2</v>
      </c>
      <c r="B226" s="999">
        <v>1.0568</v>
      </c>
      <c r="C226" s="999">
        <v>1.0568</v>
      </c>
      <c r="D226" s="999">
        <v>1.0601</v>
      </c>
      <c r="E226" s="999">
        <v>1.0601</v>
      </c>
      <c r="F226" s="999">
        <v>1.0601</v>
      </c>
      <c r="G226" s="999">
        <v>1.0601</v>
      </c>
      <c r="H226" s="999">
        <v>1.0601</v>
      </c>
      <c r="I226" s="999">
        <v>0.9224</v>
      </c>
      <c r="J226" s="999">
        <v>0.9224</v>
      </c>
      <c r="K226" s="999">
        <v>0.9224</v>
      </c>
      <c r="L226" s="999">
        <v>0.9224</v>
      </c>
      <c r="M226" s="999">
        <v>0.9224</v>
      </c>
    </row>
    <row r="227" spans="1:13">
      <c r="A227" s="1014">
        <v>2.1</v>
      </c>
      <c r="B227" s="999">
        <v>1.0443</v>
      </c>
      <c r="C227" s="999">
        <v>1.0443</v>
      </c>
      <c r="D227" s="999">
        <v>1.0468</v>
      </c>
      <c r="E227" s="999">
        <v>1.0468</v>
      </c>
      <c r="F227" s="999">
        <v>1.0468</v>
      </c>
      <c r="G227" s="999">
        <v>1.0468</v>
      </c>
      <c r="H227" s="999">
        <v>1.0468</v>
      </c>
      <c r="I227" s="999">
        <v>0.90959999999999996</v>
      </c>
      <c r="J227" s="999">
        <v>0.90959999999999996</v>
      </c>
      <c r="K227" s="999">
        <v>0.90959999999999996</v>
      </c>
      <c r="L227" s="999">
        <v>0.90959999999999996</v>
      </c>
      <c r="M227" s="999">
        <v>0.90959999999999996</v>
      </c>
    </row>
    <row r="228" spans="1:13">
      <c r="A228" s="1014">
        <v>2.2000000000000002</v>
      </c>
      <c r="B228" s="999">
        <v>1.0325</v>
      </c>
      <c r="C228" s="999">
        <v>1.0325</v>
      </c>
      <c r="D228" s="999">
        <v>1.0342</v>
      </c>
      <c r="E228" s="999">
        <v>1.0342</v>
      </c>
      <c r="F228" s="999">
        <v>1.0342</v>
      </c>
      <c r="G228" s="999">
        <v>1.0342</v>
      </c>
      <c r="H228" s="999">
        <v>1.0342</v>
      </c>
      <c r="I228" s="999">
        <v>0.89749999999999996</v>
      </c>
      <c r="J228" s="999">
        <v>0.89749999999999996</v>
      </c>
      <c r="K228" s="999">
        <v>0.89749999999999996</v>
      </c>
      <c r="L228" s="999">
        <v>0.89749999999999996</v>
      </c>
      <c r="M228" s="999">
        <v>0.89749999999999996</v>
      </c>
    </row>
    <row r="229" spans="1:13">
      <c r="A229" s="1014">
        <v>2.2999999999999998</v>
      </c>
      <c r="B229" s="999">
        <v>1.0209999999999999</v>
      </c>
      <c r="C229" s="999">
        <v>1.0209999999999999</v>
      </c>
      <c r="D229" s="999">
        <v>1.0222</v>
      </c>
      <c r="E229" s="999">
        <v>1.0222</v>
      </c>
      <c r="F229" s="999">
        <v>1.0222</v>
      </c>
      <c r="G229" s="999">
        <v>1.0222</v>
      </c>
      <c r="H229" s="999">
        <v>1.0222</v>
      </c>
      <c r="I229" s="999">
        <v>0.88619999999999999</v>
      </c>
      <c r="J229" s="999">
        <v>0.88619999999999999</v>
      </c>
      <c r="K229" s="999">
        <v>0.88619999999999999</v>
      </c>
      <c r="L229" s="999">
        <v>0.88619999999999999</v>
      </c>
      <c r="M229" s="999">
        <v>0.88619999999999999</v>
      </c>
    </row>
    <row r="230" spans="1:13">
      <c r="A230" s="1014">
        <v>2.4</v>
      </c>
      <c r="B230" s="999">
        <v>1.0102</v>
      </c>
      <c r="C230" s="999">
        <v>1.0102</v>
      </c>
      <c r="D230" s="999">
        <v>1.0107999999999999</v>
      </c>
      <c r="E230" s="999">
        <v>1.0107999999999999</v>
      </c>
      <c r="F230" s="999">
        <v>1.0107999999999999</v>
      </c>
      <c r="G230" s="999">
        <v>1.0107999999999999</v>
      </c>
      <c r="H230" s="999">
        <v>1.0107999999999999</v>
      </c>
      <c r="I230" s="999">
        <v>0.87529999999999997</v>
      </c>
      <c r="J230" s="999">
        <v>0.87529999999999997</v>
      </c>
      <c r="K230" s="999">
        <v>0.87529999999999997</v>
      </c>
      <c r="L230" s="999">
        <v>0.87529999999999997</v>
      </c>
      <c r="M230" s="999">
        <v>0.87529999999999997</v>
      </c>
    </row>
    <row r="231" spans="1:13">
      <c r="A231" s="1014">
        <v>2.5</v>
      </c>
      <c r="B231" s="999">
        <v>1</v>
      </c>
      <c r="C231" s="999">
        <v>1</v>
      </c>
      <c r="D231" s="999">
        <v>1</v>
      </c>
      <c r="E231" s="999">
        <v>1</v>
      </c>
      <c r="F231" s="999">
        <v>1</v>
      </c>
      <c r="G231" s="999">
        <v>1</v>
      </c>
      <c r="H231" s="999">
        <v>1</v>
      </c>
      <c r="I231" s="999">
        <v>0.86509999999999998</v>
      </c>
      <c r="J231" s="999">
        <v>0.86509999999999998</v>
      </c>
      <c r="K231" s="999">
        <v>0.86509999999999998</v>
      </c>
      <c r="L231" s="999">
        <v>0.86509999999999998</v>
      </c>
      <c r="M231" s="999">
        <v>0.86509999999999998</v>
      </c>
    </row>
    <row r="232" spans="1:13">
      <c r="A232" s="1014">
        <v>2.6</v>
      </c>
      <c r="B232" s="999">
        <v>0.99029999999999996</v>
      </c>
      <c r="C232" s="999">
        <v>0.99029999999999996</v>
      </c>
      <c r="D232" s="999">
        <v>0.98970000000000002</v>
      </c>
      <c r="E232" s="999">
        <v>0.98970000000000002</v>
      </c>
      <c r="F232" s="999">
        <v>0.98970000000000002</v>
      </c>
      <c r="G232" s="999">
        <v>0.98970000000000002</v>
      </c>
      <c r="H232" s="999">
        <v>0.98970000000000002</v>
      </c>
      <c r="I232" s="999">
        <v>0.85529999999999995</v>
      </c>
      <c r="J232" s="999">
        <v>0.85529999999999995</v>
      </c>
      <c r="K232" s="999">
        <v>0.85529999999999995</v>
      </c>
      <c r="L232" s="999">
        <v>0.85529999999999995</v>
      </c>
      <c r="M232" s="999">
        <v>0.85529999999999995</v>
      </c>
    </row>
    <row r="233" spans="1:13">
      <c r="A233" s="1014">
        <v>2.7</v>
      </c>
      <c r="B233" s="999">
        <v>0.98109999999999997</v>
      </c>
      <c r="C233" s="999">
        <v>0.98109999999999997</v>
      </c>
      <c r="D233" s="999">
        <v>0.97989999999999999</v>
      </c>
      <c r="E233" s="999">
        <v>0.97989999999999999</v>
      </c>
      <c r="F233" s="999">
        <v>0.97989999999999999</v>
      </c>
      <c r="G233" s="999">
        <v>0.97989999999999999</v>
      </c>
      <c r="H233" s="999">
        <v>0.97989999999999999</v>
      </c>
      <c r="I233" s="999">
        <v>0.84599999999999997</v>
      </c>
      <c r="J233" s="999">
        <v>0.84599999999999997</v>
      </c>
      <c r="K233" s="999">
        <v>0.84599999999999997</v>
      </c>
      <c r="L233" s="999">
        <v>0.84599999999999997</v>
      </c>
      <c r="M233" s="999">
        <v>0.84599999999999997</v>
      </c>
    </row>
    <row r="234" spans="1:13">
      <c r="A234" s="1014">
        <v>2.8</v>
      </c>
      <c r="B234" s="999">
        <v>0.97240000000000004</v>
      </c>
      <c r="C234" s="999">
        <v>0.97240000000000004</v>
      </c>
      <c r="D234" s="999">
        <v>0.97060000000000002</v>
      </c>
      <c r="E234" s="999">
        <v>0.97060000000000002</v>
      </c>
      <c r="F234" s="999">
        <v>0.97060000000000002</v>
      </c>
      <c r="G234" s="999">
        <v>0.97060000000000002</v>
      </c>
      <c r="H234" s="999">
        <v>0.97060000000000002</v>
      </c>
      <c r="I234" s="999">
        <v>0.83709999999999996</v>
      </c>
      <c r="J234" s="999">
        <v>0.83709999999999996</v>
      </c>
      <c r="K234" s="999">
        <v>0.83709999999999996</v>
      </c>
      <c r="L234" s="999">
        <v>0.83709999999999996</v>
      </c>
      <c r="M234" s="999">
        <v>0.83709999999999996</v>
      </c>
    </row>
    <row r="235" spans="1:13">
      <c r="A235" s="1014">
        <v>2.9</v>
      </c>
      <c r="B235" s="999">
        <v>0.96419999999999995</v>
      </c>
      <c r="C235" s="999">
        <v>0.96419999999999995</v>
      </c>
      <c r="D235" s="999">
        <v>0.96179999999999999</v>
      </c>
      <c r="E235" s="999">
        <v>0.96179999999999999</v>
      </c>
      <c r="F235" s="999">
        <v>0.96179999999999999</v>
      </c>
      <c r="G235" s="999">
        <v>0.96179999999999999</v>
      </c>
      <c r="H235" s="999">
        <v>0.96179999999999999</v>
      </c>
      <c r="I235" s="999">
        <v>0.82850000000000001</v>
      </c>
      <c r="J235" s="999">
        <v>0.82850000000000001</v>
      </c>
      <c r="K235" s="999">
        <v>0.82850000000000001</v>
      </c>
      <c r="L235" s="999">
        <v>0.82850000000000001</v>
      </c>
      <c r="M235" s="999">
        <v>0.82850000000000001</v>
      </c>
    </row>
    <row r="236" spans="1:13">
      <c r="A236" s="1014">
        <v>3</v>
      </c>
      <c r="B236" s="999">
        <v>0.95640000000000003</v>
      </c>
      <c r="C236" s="999">
        <v>0.95640000000000003</v>
      </c>
      <c r="D236" s="999">
        <v>0.95340000000000003</v>
      </c>
      <c r="E236" s="999">
        <v>0.95340000000000003</v>
      </c>
      <c r="F236" s="999">
        <v>0.95340000000000003</v>
      </c>
      <c r="G236" s="999">
        <v>0.95340000000000003</v>
      </c>
      <c r="H236" s="999">
        <v>0.95340000000000003</v>
      </c>
      <c r="I236" s="999">
        <v>0.82040000000000002</v>
      </c>
      <c r="J236" s="999">
        <v>0.82040000000000002</v>
      </c>
      <c r="K236" s="999">
        <v>0.82040000000000002</v>
      </c>
      <c r="L236" s="999">
        <v>0.82040000000000002</v>
      </c>
      <c r="M236" s="999">
        <v>0.82040000000000002</v>
      </c>
    </row>
    <row r="237" spans="1:13">
      <c r="A237" s="1014">
        <v>3.1</v>
      </c>
      <c r="B237" s="999">
        <v>0.94899999999999995</v>
      </c>
      <c r="C237" s="999">
        <v>0.94899999999999995</v>
      </c>
      <c r="D237" s="999">
        <v>0.94550000000000001</v>
      </c>
      <c r="E237" s="999">
        <v>0.94550000000000001</v>
      </c>
      <c r="F237" s="999">
        <v>0.94550000000000001</v>
      </c>
      <c r="G237" s="999">
        <v>0.94550000000000001</v>
      </c>
      <c r="H237" s="999">
        <v>0.94550000000000001</v>
      </c>
      <c r="I237" s="999">
        <v>0.81259999999999999</v>
      </c>
      <c r="J237" s="999">
        <v>0.81259999999999999</v>
      </c>
      <c r="K237" s="999">
        <v>0.81259999999999999</v>
      </c>
      <c r="L237" s="999">
        <v>0.81259999999999999</v>
      </c>
      <c r="M237" s="999">
        <v>0.81259999999999999</v>
      </c>
    </row>
    <row r="238" spans="1:13">
      <c r="A238" s="1014">
        <v>3.2</v>
      </c>
      <c r="B238" s="999">
        <v>0.94199999999999995</v>
      </c>
      <c r="C238" s="999">
        <v>0.94199999999999995</v>
      </c>
      <c r="D238" s="999">
        <v>0.93789999999999996</v>
      </c>
      <c r="E238" s="999">
        <v>0.93789999999999996</v>
      </c>
      <c r="F238" s="999">
        <v>0.93789999999999996</v>
      </c>
      <c r="G238" s="999">
        <v>0.93789999999999996</v>
      </c>
      <c r="H238" s="999">
        <v>0.93789999999999996</v>
      </c>
      <c r="I238" s="999">
        <v>0.80530000000000002</v>
      </c>
      <c r="J238" s="999">
        <v>0.80530000000000002</v>
      </c>
      <c r="K238" s="999">
        <v>0.80530000000000002</v>
      </c>
      <c r="L238" s="999">
        <v>0.80530000000000002</v>
      </c>
      <c r="M238" s="999">
        <v>0.80530000000000002</v>
      </c>
    </row>
    <row r="239" spans="1:13">
      <c r="A239" s="1014">
        <v>3.3</v>
      </c>
      <c r="B239" s="999">
        <v>0.93540000000000001</v>
      </c>
      <c r="C239" s="999">
        <v>0.93540000000000001</v>
      </c>
      <c r="D239" s="999">
        <v>0.93069999999999997</v>
      </c>
      <c r="E239" s="999">
        <v>0.93069999999999997</v>
      </c>
      <c r="F239" s="999">
        <v>0.93069999999999997</v>
      </c>
      <c r="G239" s="999">
        <v>0.93069999999999997</v>
      </c>
      <c r="H239" s="999">
        <v>0.93069999999999997</v>
      </c>
      <c r="I239" s="999">
        <v>0.79820000000000002</v>
      </c>
      <c r="J239" s="999">
        <v>0.79820000000000002</v>
      </c>
      <c r="K239" s="999">
        <v>0.79820000000000002</v>
      </c>
      <c r="L239" s="999">
        <v>0.79820000000000002</v>
      </c>
      <c r="M239" s="999">
        <v>0.79820000000000002</v>
      </c>
    </row>
    <row r="240" spans="1:13">
      <c r="A240" s="1014">
        <v>3.4</v>
      </c>
      <c r="B240" s="999">
        <v>0.92920000000000003</v>
      </c>
      <c r="C240" s="999">
        <v>0.92920000000000003</v>
      </c>
      <c r="D240" s="999">
        <v>0.92390000000000005</v>
      </c>
      <c r="E240" s="999">
        <v>0.92390000000000005</v>
      </c>
      <c r="F240" s="999">
        <v>0.92390000000000005</v>
      </c>
      <c r="G240" s="999">
        <v>0.92390000000000005</v>
      </c>
      <c r="H240" s="999">
        <v>0.92390000000000005</v>
      </c>
      <c r="I240" s="999">
        <v>0.79139999999999999</v>
      </c>
      <c r="J240" s="999">
        <v>0.79139999999999999</v>
      </c>
      <c r="K240" s="999">
        <v>0.79139999999999999</v>
      </c>
      <c r="L240" s="999">
        <v>0.79139999999999999</v>
      </c>
      <c r="M240" s="999">
        <v>0.79139999999999999</v>
      </c>
    </row>
    <row r="241" spans="1:13">
      <c r="A241" s="1014">
        <v>3.5</v>
      </c>
      <c r="B241" s="999">
        <v>0.9234</v>
      </c>
      <c r="C241" s="999">
        <v>0.9234</v>
      </c>
      <c r="D241" s="999">
        <v>0.91749999999999998</v>
      </c>
      <c r="E241" s="999">
        <v>0.91749999999999998</v>
      </c>
      <c r="F241" s="999">
        <v>0.91749999999999998</v>
      </c>
      <c r="G241" s="999">
        <v>0.91749999999999998</v>
      </c>
      <c r="H241" s="999">
        <v>0.91749999999999998</v>
      </c>
      <c r="I241" s="999">
        <v>0.78490000000000004</v>
      </c>
      <c r="J241" s="999">
        <v>0.78490000000000004</v>
      </c>
      <c r="K241" s="999">
        <v>0.78490000000000004</v>
      </c>
      <c r="L241" s="999">
        <v>0.78490000000000004</v>
      </c>
      <c r="M241" s="999">
        <v>0.78490000000000004</v>
      </c>
    </row>
    <row r="242" spans="1:13">
      <c r="A242" s="1014">
        <v>3.6</v>
      </c>
      <c r="B242" s="999">
        <v>0.91790000000000005</v>
      </c>
      <c r="C242" s="999">
        <v>0.91790000000000005</v>
      </c>
      <c r="D242" s="999">
        <v>0.91139999999999999</v>
      </c>
      <c r="E242" s="999">
        <v>0.91139999999999999</v>
      </c>
      <c r="F242" s="999">
        <v>0.91139999999999999</v>
      </c>
      <c r="G242" s="999">
        <v>0.91139999999999999</v>
      </c>
      <c r="H242" s="999">
        <v>0.91139999999999999</v>
      </c>
      <c r="I242" s="999">
        <v>0.77880000000000005</v>
      </c>
      <c r="J242" s="999">
        <v>0.77880000000000005</v>
      </c>
      <c r="K242" s="999">
        <v>0.77880000000000005</v>
      </c>
      <c r="L242" s="999">
        <v>0.77880000000000005</v>
      </c>
      <c r="M242" s="999">
        <v>0.77880000000000005</v>
      </c>
    </row>
    <row r="243" spans="1:13">
      <c r="A243" s="1014">
        <v>3.7</v>
      </c>
      <c r="B243" s="999">
        <v>0.91269999999999996</v>
      </c>
      <c r="C243" s="999">
        <v>0.91269999999999996</v>
      </c>
      <c r="D243" s="999">
        <v>0.90559999999999996</v>
      </c>
      <c r="E243" s="999">
        <v>0.90559999999999996</v>
      </c>
      <c r="F243" s="999">
        <v>0.90559999999999996</v>
      </c>
      <c r="G243" s="999">
        <v>0.90559999999999996</v>
      </c>
      <c r="H243" s="999">
        <v>0.90559999999999996</v>
      </c>
      <c r="I243" s="999">
        <v>0.77300000000000002</v>
      </c>
      <c r="J243" s="999">
        <v>0.77300000000000002</v>
      </c>
      <c r="K243" s="999">
        <v>0.77300000000000002</v>
      </c>
      <c r="L243" s="999">
        <v>0.77300000000000002</v>
      </c>
      <c r="M243" s="999">
        <v>0.77300000000000002</v>
      </c>
    </row>
    <row r="244" spans="1:13">
      <c r="A244" s="1014">
        <v>3.8</v>
      </c>
      <c r="B244" s="999">
        <v>0.90780000000000005</v>
      </c>
      <c r="C244" s="999">
        <v>0.90780000000000005</v>
      </c>
      <c r="D244" s="999">
        <v>0.90010000000000001</v>
      </c>
      <c r="E244" s="999">
        <v>0.90010000000000001</v>
      </c>
      <c r="F244" s="999">
        <v>0.90010000000000001</v>
      </c>
      <c r="G244" s="999">
        <v>0.90010000000000001</v>
      </c>
      <c r="H244" s="999">
        <v>0.90010000000000001</v>
      </c>
      <c r="I244" s="999">
        <v>0.76739999999999997</v>
      </c>
      <c r="J244" s="999">
        <v>0.76739999999999997</v>
      </c>
      <c r="K244" s="999">
        <v>0.76739999999999997</v>
      </c>
      <c r="L244" s="999">
        <v>0.76739999999999997</v>
      </c>
      <c r="M244" s="999">
        <v>0.76739999999999997</v>
      </c>
    </row>
    <row r="245" spans="1:13">
      <c r="A245" s="1014">
        <v>3.9</v>
      </c>
      <c r="B245" s="999">
        <v>0.9032</v>
      </c>
      <c r="C245" s="999">
        <v>0.9032</v>
      </c>
      <c r="D245" s="999">
        <v>0.89490000000000003</v>
      </c>
      <c r="E245" s="999">
        <v>0.89490000000000003</v>
      </c>
      <c r="F245" s="999">
        <v>0.89490000000000003</v>
      </c>
      <c r="G245" s="999">
        <v>0.89490000000000003</v>
      </c>
      <c r="H245" s="999">
        <v>0.89490000000000003</v>
      </c>
      <c r="I245" s="999">
        <v>0.7621</v>
      </c>
      <c r="J245" s="999">
        <v>0.7621</v>
      </c>
      <c r="K245" s="999">
        <v>0.7621</v>
      </c>
      <c r="L245" s="999">
        <v>0.7621</v>
      </c>
      <c r="M245" s="999">
        <v>0.7621</v>
      </c>
    </row>
    <row r="246" spans="1:13">
      <c r="A246" s="1014">
        <v>4</v>
      </c>
      <c r="B246" s="999">
        <v>0.89890000000000003</v>
      </c>
      <c r="C246" s="999">
        <v>0.89890000000000003</v>
      </c>
      <c r="D246" s="999">
        <v>0.89</v>
      </c>
      <c r="E246" s="999">
        <v>0.89</v>
      </c>
      <c r="F246" s="999">
        <v>0.89</v>
      </c>
      <c r="G246" s="999">
        <v>0.89</v>
      </c>
      <c r="H246" s="999">
        <v>0.89</v>
      </c>
      <c r="I246" s="999">
        <v>0.7571</v>
      </c>
      <c r="J246" s="999">
        <v>0.7571</v>
      </c>
      <c r="K246" s="999">
        <v>0.7571</v>
      </c>
      <c r="L246" s="999">
        <v>0.7571</v>
      </c>
      <c r="M246" s="999">
        <v>0.7571</v>
      </c>
    </row>
    <row r="247" spans="1:13">
      <c r="A247" s="1014">
        <v>4.0999999999999996</v>
      </c>
      <c r="B247" s="999">
        <v>0.89480000000000004</v>
      </c>
      <c r="C247" s="999">
        <v>0.89480000000000004</v>
      </c>
      <c r="D247" s="999">
        <v>0.88539999999999996</v>
      </c>
      <c r="E247" s="999">
        <v>0.88539999999999996</v>
      </c>
      <c r="F247" s="999">
        <v>0.88539999999999996</v>
      </c>
      <c r="G247" s="999">
        <v>0.88539999999999996</v>
      </c>
      <c r="H247" s="999">
        <v>0.88539999999999996</v>
      </c>
      <c r="I247" s="999">
        <v>0.75229999999999997</v>
      </c>
      <c r="J247" s="999">
        <v>0.75229999999999997</v>
      </c>
      <c r="K247" s="999">
        <v>0.75229999999999997</v>
      </c>
      <c r="L247" s="999">
        <v>0.75229999999999997</v>
      </c>
      <c r="M247" s="999">
        <v>0.75229999999999997</v>
      </c>
    </row>
    <row r="248" spans="1:13">
      <c r="A248" s="1014">
        <v>4.2</v>
      </c>
      <c r="B248" s="999">
        <v>0.89100000000000001</v>
      </c>
      <c r="C248" s="999">
        <v>0.89100000000000001</v>
      </c>
      <c r="D248" s="999">
        <v>0.88109999999999999</v>
      </c>
      <c r="E248" s="999">
        <v>0.88109999999999999</v>
      </c>
      <c r="F248" s="999">
        <v>0.88109999999999999</v>
      </c>
      <c r="G248" s="999">
        <v>0.88109999999999999</v>
      </c>
      <c r="H248" s="999">
        <v>0.88109999999999999</v>
      </c>
      <c r="I248" s="999">
        <v>0.74780000000000002</v>
      </c>
      <c r="J248" s="999">
        <v>0.74780000000000002</v>
      </c>
      <c r="K248" s="999">
        <v>0.74780000000000002</v>
      </c>
      <c r="L248" s="999">
        <v>0.74780000000000002</v>
      </c>
      <c r="M248" s="999">
        <v>0.74780000000000002</v>
      </c>
    </row>
    <row r="249" spans="1:13">
      <c r="A249" s="1014">
        <v>4.3</v>
      </c>
      <c r="B249" s="999">
        <v>0.88739999999999997</v>
      </c>
      <c r="C249" s="999">
        <v>0.88739999999999997</v>
      </c>
      <c r="D249" s="999">
        <v>0.877</v>
      </c>
      <c r="E249" s="999">
        <v>0.877</v>
      </c>
      <c r="F249" s="999">
        <v>0.877</v>
      </c>
      <c r="G249" s="999">
        <v>0.877</v>
      </c>
      <c r="H249" s="999">
        <v>0.877</v>
      </c>
      <c r="I249" s="999">
        <v>0.74329999999999996</v>
      </c>
      <c r="J249" s="999">
        <v>0.74329999999999996</v>
      </c>
      <c r="K249" s="999">
        <v>0.74329999999999996</v>
      </c>
      <c r="L249" s="999">
        <v>0.74329999999999996</v>
      </c>
      <c r="M249" s="999">
        <v>0.74329999999999996</v>
      </c>
    </row>
    <row r="250" spans="1:13">
      <c r="A250" s="1014">
        <v>4.4000000000000004</v>
      </c>
      <c r="B250" s="999">
        <v>0.88400000000000001</v>
      </c>
      <c r="C250" s="999">
        <v>0.88400000000000001</v>
      </c>
      <c r="D250" s="999">
        <v>0.87309999999999999</v>
      </c>
      <c r="E250" s="999">
        <v>0.87309999999999999</v>
      </c>
      <c r="F250" s="999">
        <v>0.87309999999999999</v>
      </c>
      <c r="G250" s="999">
        <v>0.87309999999999999</v>
      </c>
      <c r="H250" s="999">
        <v>0.87309999999999999</v>
      </c>
      <c r="I250" s="999">
        <v>0.73909999999999998</v>
      </c>
      <c r="J250" s="999">
        <v>0.73909999999999998</v>
      </c>
      <c r="K250" s="999">
        <v>0.73909999999999998</v>
      </c>
      <c r="L250" s="999">
        <v>0.73909999999999998</v>
      </c>
      <c r="M250" s="999">
        <v>0.73909999999999998</v>
      </c>
    </row>
    <row r="251" spans="1:13">
      <c r="A251" s="1014">
        <v>4.5</v>
      </c>
      <c r="B251" s="999">
        <v>0.88080000000000003</v>
      </c>
      <c r="C251" s="999">
        <v>0.88080000000000003</v>
      </c>
      <c r="D251" s="999">
        <v>0.86939999999999995</v>
      </c>
      <c r="E251" s="999">
        <v>0.86939999999999995</v>
      </c>
      <c r="F251" s="999">
        <v>0.86939999999999995</v>
      </c>
      <c r="G251" s="999">
        <v>0.86939999999999995</v>
      </c>
      <c r="H251" s="999">
        <v>0.86939999999999995</v>
      </c>
      <c r="I251" s="999">
        <v>0.73499999999999999</v>
      </c>
      <c r="J251" s="999">
        <v>0.73499999999999999</v>
      </c>
      <c r="K251" s="999">
        <v>0.73499999999999999</v>
      </c>
      <c r="L251" s="999">
        <v>0.73499999999999999</v>
      </c>
      <c r="M251" s="999">
        <v>0.73499999999999999</v>
      </c>
    </row>
    <row r="252" spans="1:13">
      <c r="A252" s="1014">
        <v>4.5999999999999996</v>
      </c>
      <c r="B252" s="999">
        <v>0.87780000000000002</v>
      </c>
      <c r="C252" s="999">
        <v>0.87780000000000002</v>
      </c>
      <c r="D252" s="999">
        <v>0.8659</v>
      </c>
      <c r="E252" s="999">
        <v>0.8659</v>
      </c>
      <c r="F252" s="999">
        <v>0.8659</v>
      </c>
      <c r="G252" s="999">
        <v>0.8659</v>
      </c>
      <c r="H252" s="999">
        <v>0.8659</v>
      </c>
      <c r="I252" s="999">
        <v>0.73109999999999997</v>
      </c>
      <c r="J252" s="999">
        <v>0.73109999999999997</v>
      </c>
      <c r="K252" s="999">
        <v>0.73109999999999997</v>
      </c>
      <c r="L252" s="999">
        <v>0.73109999999999997</v>
      </c>
      <c r="M252" s="999">
        <v>0.73109999999999997</v>
      </c>
    </row>
    <row r="253" spans="1:13">
      <c r="A253" s="1014">
        <v>4.7</v>
      </c>
      <c r="B253" s="999">
        <v>0.875</v>
      </c>
      <c r="C253" s="999">
        <v>0.875</v>
      </c>
      <c r="D253" s="999">
        <v>0.86260000000000003</v>
      </c>
      <c r="E253" s="999">
        <v>0.86260000000000003</v>
      </c>
      <c r="F253" s="999">
        <v>0.86260000000000003</v>
      </c>
      <c r="G253" s="999">
        <v>0.86260000000000003</v>
      </c>
      <c r="H253" s="999">
        <v>0.86260000000000003</v>
      </c>
      <c r="I253" s="999">
        <v>0.72750000000000004</v>
      </c>
      <c r="J253" s="999">
        <v>0.72750000000000004</v>
      </c>
      <c r="K253" s="999">
        <v>0.72750000000000004</v>
      </c>
      <c r="L253" s="999">
        <v>0.72750000000000004</v>
      </c>
      <c r="M253" s="999">
        <v>0.72750000000000004</v>
      </c>
    </row>
    <row r="254" spans="1:13">
      <c r="A254" s="1014">
        <v>4.8</v>
      </c>
      <c r="B254" s="999">
        <v>0.87229999999999996</v>
      </c>
      <c r="C254" s="999">
        <v>0.87229999999999996</v>
      </c>
      <c r="D254" s="999">
        <v>0.85950000000000004</v>
      </c>
      <c r="E254" s="999">
        <v>0.85950000000000004</v>
      </c>
      <c r="F254" s="999">
        <v>0.85950000000000004</v>
      </c>
      <c r="G254" s="999">
        <v>0.85950000000000004</v>
      </c>
      <c r="H254" s="999">
        <v>0.85950000000000004</v>
      </c>
      <c r="I254" s="999">
        <v>0.72399999999999998</v>
      </c>
      <c r="J254" s="999">
        <v>0.72399999999999998</v>
      </c>
      <c r="K254" s="999">
        <v>0.72399999999999998</v>
      </c>
      <c r="L254" s="999">
        <v>0.72399999999999998</v>
      </c>
      <c r="M254" s="999">
        <v>0.72399999999999998</v>
      </c>
    </row>
    <row r="255" spans="1:13">
      <c r="A255" s="1014">
        <v>4.9000000000000004</v>
      </c>
      <c r="B255" s="999">
        <v>0.86980000000000002</v>
      </c>
      <c r="C255" s="999">
        <v>0.86980000000000002</v>
      </c>
      <c r="D255" s="999">
        <v>0.85660000000000003</v>
      </c>
      <c r="E255" s="999">
        <v>0.85660000000000003</v>
      </c>
      <c r="F255" s="999">
        <v>0.85660000000000003</v>
      </c>
      <c r="G255" s="999">
        <v>0.85660000000000003</v>
      </c>
      <c r="H255" s="999">
        <v>0.85660000000000003</v>
      </c>
      <c r="I255" s="999">
        <v>0.7208</v>
      </c>
      <c r="J255" s="999">
        <v>0.7208</v>
      </c>
      <c r="K255" s="999">
        <v>0.7208</v>
      </c>
      <c r="L255" s="999">
        <v>0.7208</v>
      </c>
      <c r="M255" s="999">
        <v>0.7208</v>
      </c>
    </row>
    <row r="256" spans="1:13">
      <c r="A256" s="1014">
        <v>5</v>
      </c>
      <c r="B256" s="999">
        <v>0.86739999999999995</v>
      </c>
      <c r="C256" s="999">
        <v>0.86739999999999995</v>
      </c>
      <c r="D256" s="999">
        <v>0.8538</v>
      </c>
      <c r="E256" s="999">
        <v>0.8538</v>
      </c>
      <c r="F256" s="999">
        <v>0.8538</v>
      </c>
      <c r="G256" s="999">
        <v>0.8538</v>
      </c>
      <c r="H256" s="999">
        <v>0.8538</v>
      </c>
      <c r="I256" s="999">
        <v>0.71760000000000002</v>
      </c>
      <c r="J256" s="999">
        <v>0.71760000000000002</v>
      </c>
      <c r="K256" s="999">
        <v>0.71760000000000002</v>
      </c>
      <c r="L256" s="999">
        <v>0.71760000000000002</v>
      </c>
      <c r="M256" s="999">
        <v>0.71760000000000002</v>
      </c>
    </row>
    <row r="257" spans="1:13">
      <c r="A257" s="990">
        <v>5.0999999999999996</v>
      </c>
      <c r="B257" s="999">
        <v>0.86519999999999997</v>
      </c>
      <c r="C257" s="999">
        <v>0.86519999999999997</v>
      </c>
      <c r="D257" s="999">
        <v>0.85109999999999997</v>
      </c>
      <c r="E257" s="999">
        <v>0.85109999999999997</v>
      </c>
      <c r="F257" s="999">
        <v>0.85109999999999997</v>
      </c>
      <c r="G257" s="999">
        <v>0.85109999999999997</v>
      </c>
      <c r="H257" s="999">
        <v>0.85109999999999997</v>
      </c>
      <c r="I257" s="999">
        <v>0.7147</v>
      </c>
      <c r="J257" s="999">
        <v>0.7147</v>
      </c>
      <c r="K257" s="999">
        <v>0.7147</v>
      </c>
      <c r="L257" s="999">
        <v>0.7147</v>
      </c>
      <c r="M257" s="999">
        <v>0.7147</v>
      </c>
    </row>
    <row r="258" spans="1:13">
      <c r="A258" s="990">
        <v>5.2</v>
      </c>
      <c r="B258" s="999">
        <v>0.86309999999999998</v>
      </c>
      <c r="C258" s="999">
        <v>0.86309999999999998</v>
      </c>
      <c r="D258" s="999">
        <v>0.84860000000000002</v>
      </c>
      <c r="E258" s="999">
        <v>0.84860000000000002</v>
      </c>
      <c r="F258" s="999">
        <v>0.84860000000000002</v>
      </c>
      <c r="G258" s="999">
        <v>0.84860000000000002</v>
      </c>
      <c r="H258" s="999">
        <v>0.84860000000000002</v>
      </c>
      <c r="I258" s="999">
        <v>0.71189999999999998</v>
      </c>
      <c r="J258" s="999">
        <v>0.71189999999999998</v>
      </c>
      <c r="K258" s="999">
        <v>0.71189999999999998</v>
      </c>
      <c r="L258" s="999">
        <v>0.71189999999999998</v>
      </c>
      <c r="M258" s="999">
        <v>0.71189999999999998</v>
      </c>
    </row>
    <row r="259" spans="1:13">
      <c r="A259" s="990">
        <v>5.3</v>
      </c>
      <c r="B259" s="999">
        <v>0.86119999999999997</v>
      </c>
      <c r="C259" s="999">
        <v>0.86119999999999997</v>
      </c>
      <c r="D259" s="999">
        <v>0.84619999999999995</v>
      </c>
      <c r="E259" s="999">
        <v>0.84619999999999995</v>
      </c>
      <c r="F259" s="999">
        <v>0.84619999999999995</v>
      </c>
      <c r="G259" s="999">
        <v>0.84619999999999995</v>
      </c>
      <c r="H259" s="999">
        <v>0.84619999999999995</v>
      </c>
      <c r="I259" s="999">
        <v>0.70909999999999995</v>
      </c>
      <c r="J259" s="999">
        <v>0.70909999999999995</v>
      </c>
      <c r="K259" s="999">
        <v>0.70909999999999995</v>
      </c>
      <c r="L259" s="999">
        <v>0.70909999999999995</v>
      </c>
      <c r="M259" s="999">
        <v>0.70909999999999995</v>
      </c>
    </row>
    <row r="260" spans="1:13">
      <c r="A260" s="990">
        <v>5.4</v>
      </c>
      <c r="B260" s="999">
        <v>0.85940000000000005</v>
      </c>
      <c r="C260" s="999">
        <v>0.85940000000000005</v>
      </c>
      <c r="D260" s="999">
        <v>0.84389999999999998</v>
      </c>
      <c r="E260" s="999">
        <v>0.84389999999999998</v>
      </c>
      <c r="F260" s="999">
        <v>0.84389999999999998</v>
      </c>
      <c r="G260" s="999">
        <v>0.84389999999999998</v>
      </c>
      <c r="H260" s="999">
        <v>0.84389999999999998</v>
      </c>
      <c r="I260" s="999">
        <v>0.70650000000000002</v>
      </c>
      <c r="J260" s="999">
        <v>0.70650000000000002</v>
      </c>
      <c r="K260" s="999">
        <v>0.70650000000000002</v>
      </c>
      <c r="L260" s="999">
        <v>0.70650000000000002</v>
      </c>
      <c r="M260" s="999">
        <v>0.70650000000000002</v>
      </c>
    </row>
    <row r="261" spans="1:13">
      <c r="A261" s="990">
        <v>5.5</v>
      </c>
      <c r="B261" s="999">
        <v>0.85770000000000002</v>
      </c>
      <c r="C261" s="999">
        <v>0.85770000000000002</v>
      </c>
      <c r="D261" s="999">
        <v>0.84179999999999999</v>
      </c>
      <c r="E261" s="999">
        <v>0.84179999999999999</v>
      </c>
      <c r="F261" s="999">
        <v>0.84179999999999999</v>
      </c>
      <c r="G261" s="999">
        <v>0.84179999999999999</v>
      </c>
      <c r="H261" s="999">
        <v>0.84179999999999999</v>
      </c>
      <c r="I261" s="999">
        <v>0.70399999999999996</v>
      </c>
      <c r="J261" s="999">
        <v>0.70399999999999996</v>
      </c>
      <c r="K261" s="999">
        <v>0.70399999999999996</v>
      </c>
      <c r="L261" s="999">
        <v>0.70399999999999996</v>
      </c>
      <c r="M261" s="999">
        <v>0.70399999999999996</v>
      </c>
    </row>
    <row r="262" spans="1:13">
      <c r="A262" s="990">
        <v>5.6</v>
      </c>
      <c r="B262" s="999">
        <v>0.85599999999999998</v>
      </c>
      <c r="C262" s="999">
        <v>0.85599999999999998</v>
      </c>
      <c r="D262" s="999">
        <v>0.83979999999999999</v>
      </c>
      <c r="E262" s="999">
        <v>0.83979999999999999</v>
      </c>
      <c r="F262" s="999">
        <v>0.83979999999999999</v>
      </c>
      <c r="G262" s="999">
        <v>0.83979999999999999</v>
      </c>
      <c r="H262" s="999">
        <v>0.83979999999999999</v>
      </c>
      <c r="I262" s="999">
        <v>0.7016</v>
      </c>
      <c r="J262" s="999">
        <v>0.7016</v>
      </c>
      <c r="K262" s="999">
        <v>0.7016</v>
      </c>
      <c r="L262" s="999">
        <v>0.7016</v>
      </c>
      <c r="M262" s="999">
        <v>0.7016</v>
      </c>
    </row>
    <row r="263" spans="1:13">
      <c r="A263" s="1014">
        <v>5.7</v>
      </c>
      <c r="B263" s="999">
        <v>0.85440000000000005</v>
      </c>
      <c r="C263" s="999">
        <v>0.85440000000000005</v>
      </c>
      <c r="D263" s="999">
        <v>0.83789999999999998</v>
      </c>
      <c r="E263" s="999">
        <v>0.83789999999999998</v>
      </c>
      <c r="F263" s="999">
        <v>0.83789999999999998</v>
      </c>
      <c r="G263" s="999">
        <v>0.83789999999999998</v>
      </c>
      <c r="H263" s="999">
        <v>0.83789999999999998</v>
      </c>
      <c r="I263" s="999">
        <v>0.69940000000000002</v>
      </c>
      <c r="J263" s="999">
        <v>0.69940000000000002</v>
      </c>
      <c r="K263" s="999">
        <v>0.69940000000000002</v>
      </c>
      <c r="L263" s="999">
        <v>0.69940000000000002</v>
      </c>
      <c r="M263" s="999">
        <v>0.69940000000000002</v>
      </c>
    </row>
    <row r="264" spans="1:13">
      <c r="A264" s="990">
        <v>5.8</v>
      </c>
      <c r="B264" s="999">
        <v>0.85289999999999999</v>
      </c>
      <c r="C264" s="999">
        <v>0.85289999999999999</v>
      </c>
      <c r="D264" s="999">
        <v>0.83599999999999997</v>
      </c>
      <c r="E264" s="999">
        <v>0.83599999999999997</v>
      </c>
      <c r="F264" s="999">
        <v>0.83599999999999997</v>
      </c>
      <c r="G264" s="999">
        <v>0.83599999999999997</v>
      </c>
      <c r="H264" s="999">
        <v>0.83599999999999997</v>
      </c>
      <c r="I264" s="999">
        <v>0.69720000000000004</v>
      </c>
      <c r="J264" s="999">
        <v>0.69720000000000004</v>
      </c>
      <c r="K264" s="999">
        <v>0.69720000000000004</v>
      </c>
      <c r="L264" s="999">
        <v>0.69720000000000004</v>
      </c>
      <c r="M264" s="999">
        <v>0.69720000000000004</v>
      </c>
    </row>
    <row r="265" spans="1:13">
      <c r="A265" s="990">
        <v>5.9</v>
      </c>
      <c r="B265" s="999">
        <v>0.85150000000000003</v>
      </c>
      <c r="C265" s="999">
        <v>0.85150000000000003</v>
      </c>
      <c r="D265" s="999">
        <v>0.83430000000000004</v>
      </c>
      <c r="E265" s="999">
        <v>0.83430000000000004</v>
      </c>
      <c r="F265" s="999">
        <v>0.83430000000000004</v>
      </c>
      <c r="G265" s="999">
        <v>0.83430000000000004</v>
      </c>
      <c r="H265" s="999">
        <v>0.83430000000000004</v>
      </c>
      <c r="I265" s="999">
        <v>0.69520000000000004</v>
      </c>
      <c r="J265" s="999">
        <v>0.69520000000000004</v>
      </c>
      <c r="K265" s="999">
        <v>0.69520000000000004</v>
      </c>
      <c r="L265" s="999">
        <v>0.69520000000000004</v>
      </c>
      <c r="M265" s="999">
        <v>0.69520000000000004</v>
      </c>
    </row>
    <row r="266" spans="1:13">
      <c r="A266" s="990">
        <v>6</v>
      </c>
      <c r="B266" s="999">
        <v>0.85019999999999996</v>
      </c>
      <c r="C266" s="999">
        <v>0.85019999999999996</v>
      </c>
      <c r="D266" s="999">
        <v>0.8327</v>
      </c>
      <c r="E266" s="999">
        <v>0.8327</v>
      </c>
      <c r="F266" s="999">
        <v>0.8327</v>
      </c>
      <c r="G266" s="999">
        <v>0.8327</v>
      </c>
      <c r="H266" s="999">
        <v>0.8327</v>
      </c>
      <c r="I266" s="999">
        <v>0.69320000000000004</v>
      </c>
      <c r="J266" s="999">
        <v>0.69320000000000004</v>
      </c>
      <c r="K266" s="999">
        <v>0.69320000000000004</v>
      </c>
      <c r="L266" s="999">
        <v>0.69320000000000004</v>
      </c>
      <c r="M266" s="999">
        <v>0.69320000000000004</v>
      </c>
    </row>
    <row r="267" spans="1:13">
      <c r="A267" s="990">
        <v>6.1</v>
      </c>
      <c r="B267" s="999">
        <v>0.84899999999999998</v>
      </c>
      <c r="C267" s="999">
        <v>0.84899999999999998</v>
      </c>
      <c r="D267" s="999">
        <v>0.83109999999999995</v>
      </c>
      <c r="E267" s="999">
        <v>0.83109999999999995</v>
      </c>
      <c r="F267" s="999">
        <v>0.83109999999999995</v>
      </c>
      <c r="G267" s="999">
        <v>0.83109999999999995</v>
      </c>
      <c r="H267" s="999">
        <v>0.83109999999999995</v>
      </c>
      <c r="I267" s="999">
        <v>0.69130000000000003</v>
      </c>
      <c r="J267" s="999">
        <v>0.69130000000000003</v>
      </c>
      <c r="K267" s="999">
        <v>0.69130000000000003</v>
      </c>
      <c r="L267" s="999">
        <v>0.69130000000000003</v>
      </c>
      <c r="M267" s="999">
        <v>0.69130000000000003</v>
      </c>
    </row>
    <row r="268" spans="1:13">
      <c r="A268" s="990">
        <v>6.2</v>
      </c>
      <c r="B268" s="999">
        <v>0.8478</v>
      </c>
      <c r="C268" s="999">
        <v>0.8478</v>
      </c>
      <c r="D268" s="999">
        <v>0.8296</v>
      </c>
      <c r="E268" s="999">
        <v>0.8296</v>
      </c>
      <c r="F268" s="999">
        <v>0.8296</v>
      </c>
      <c r="G268" s="999">
        <v>0.8296</v>
      </c>
      <c r="H268" s="999">
        <v>0.8296</v>
      </c>
      <c r="I268" s="999">
        <v>0.68940000000000001</v>
      </c>
      <c r="J268" s="999">
        <v>0.68940000000000001</v>
      </c>
      <c r="K268" s="999">
        <v>0.68940000000000001</v>
      </c>
      <c r="L268" s="999">
        <v>0.68940000000000001</v>
      </c>
      <c r="M268" s="999">
        <v>0.68940000000000001</v>
      </c>
    </row>
    <row r="269" spans="1:13">
      <c r="A269" s="990">
        <v>6.3</v>
      </c>
      <c r="B269" s="999">
        <v>0.84670000000000001</v>
      </c>
      <c r="C269" s="999">
        <v>0.84670000000000001</v>
      </c>
      <c r="D269" s="999">
        <v>0.82820000000000005</v>
      </c>
      <c r="E269" s="999">
        <v>0.82820000000000005</v>
      </c>
      <c r="F269" s="999">
        <v>0.82820000000000005</v>
      </c>
      <c r="G269" s="999">
        <v>0.82820000000000005</v>
      </c>
      <c r="H269" s="999">
        <v>0.82820000000000005</v>
      </c>
      <c r="I269" s="999">
        <v>0.68769999999999998</v>
      </c>
      <c r="J269" s="999">
        <v>0.68769999999999998</v>
      </c>
      <c r="K269" s="999">
        <v>0.68769999999999998</v>
      </c>
      <c r="L269" s="999">
        <v>0.68769999999999998</v>
      </c>
      <c r="M269" s="999">
        <v>0.68769999999999998</v>
      </c>
    </row>
    <row r="270" spans="1:13">
      <c r="A270" s="990">
        <v>6.4</v>
      </c>
      <c r="B270" s="999">
        <v>0.84570000000000001</v>
      </c>
      <c r="C270" s="999">
        <v>0.84570000000000001</v>
      </c>
      <c r="D270" s="999">
        <v>0.82689999999999997</v>
      </c>
      <c r="E270" s="999">
        <v>0.82689999999999997</v>
      </c>
      <c r="F270" s="999">
        <v>0.82689999999999997</v>
      </c>
      <c r="G270" s="999">
        <v>0.82689999999999997</v>
      </c>
      <c r="H270" s="999">
        <v>0.82689999999999997</v>
      </c>
      <c r="I270" s="999">
        <v>0.68610000000000004</v>
      </c>
      <c r="J270" s="999">
        <v>0.68610000000000004</v>
      </c>
      <c r="K270" s="999">
        <v>0.68610000000000004</v>
      </c>
      <c r="L270" s="999">
        <v>0.68610000000000004</v>
      </c>
      <c r="M270" s="999">
        <v>0.68610000000000004</v>
      </c>
    </row>
    <row r="271" spans="1:13">
      <c r="A271" s="990">
        <v>6.5</v>
      </c>
      <c r="B271" s="999">
        <v>0.84470000000000001</v>
      </c>
      <c r="C271" s="999">
        <v>0.84470000000000001</v>
      </c>
      <c r="D271" s="999">
        <v>0.82569999999999999</v>
      </c>
      <c r="E271" s="999">
        <v>0.82569999999999999</v>
      </c>
      <c r="F271" s="999">
        <v>0.82569999999999999</v>
      </c>
      <c r="G271" s="999">
        <v>0.82569999999999999</v>
      </c>
      <c r="H271" s="999">
        <v>0.82569999999999999</v>
      </c>
      <c r="I271" s="999">
        <v>0.68440000000000001</v>
      </c>
      <c r="J271" s="999">
        <v>0.68440000000000001</v>
      </c>
      <c r="K271" s="999">
        <v>0.68440000000000001</v>
      </c>
      <c r="L271" s="999">
        <v>0.68440000000000001</v>
      </c>
      <c r="M271" s="999">
        <v>0.68440000000000001</v>
      </c>
    </row>
    <row r="272" spans="1:13">
      <c r="A272" s="990">
        <v>6.6</v>
      </c>
      <c r="B272" s="999">
        <v>0.84370000000000001</v>
      </c>
      <c r="C272" s="999">
        <v>0.84370000000000001</v>
      </c>
      <c r="D272" s="999">
        <v>0.82450000000000001</v>
      </c>
      <c r="E272" s="999">
        <v>0.82450000000000001</v>
      </c>
      <c r="F272" s="999">
        <v>0.82450000000000001</v>
      </c>
      <c r="G272" s="999">
        <v>0.82450000000000001</v>
      </c>
      <c r="H272" s="999">
        <v>0.82450000000000001</v>
      </c>
      <c r="I272" s="999">
        <v>0.68289999999999995</v>
      </c>
      <c r="J272" s="999">
        <v>0.68289999999999995</v>
      </c>
      <c r="K272" s="999">
        <v>0.68289999999999995</v>
      </c>
      <c r="L272" s="999">
        <v>0.68289999999999995</v>
      </c>
      <c r="M272" s="999">
        <v>0.68289999999999995</v>
      </c>
    </row>
    <row r="273" spans="1:13">
      <c r="A273" s="990">
        <v>6.7</v>
      </c>
      <c r="B273" s="999">
        <v>0.8427</v>
      </c>
      <c r="C273" s="999">
        <v>0.8427</v>
      </c>
      <c r="D273" s="999">
        <v>0.82330000000000003</v>
      </c>
      <c r="E273" s="999">
        <v>0.82330000000000003</v>
      </c>
      <c r="F273" s="999">
        <v>0.82330000000000003</v>
      </c>
      <c r="G273" s="999">
        <v>0.82330000000000003</v>
      </c>
      <c r="H273" s="999">
        <v>0.82330000000000003</v>
      </c>
      <c r="I273" s="999">
        <v>0.68130000000000002</v>
      </c>
      <c r="J273" s="999">
        <v>0.68130000000000002</v>
      </c>
      <c r="K273" s="999">
        <v>0.68130000000000002</v>
      </c>
      <c r="L273" s="999">
        <v>0.68130000000000002</v>
      </c>
      <c r="M273" s="999">
        <v>0.68130000000000002</v>
      </c>
    </row>
    <row r="274" spans="1:13">
      <c r="A274" s="990">
        <v>6.8</v>
      </c>
      <c r="B274" s="999">
        <v>0.84179999999999999</v>
      </c>
      <c r="C274" s="999">
        <v>0.84179999999999999</v>
      </c>
      <c r="D274" s="999">
        <v>0.82210000000000005</v>
      </c>
      <c r="E274" s="999">
        <v>0.82210000000000005</v>
      </c>
      <c r="F274" s="999">
        <v>0.82210000000000005</v>
      </c>
      <c r="G274" s="999">
        <v>0.82210000000000005</v>
      </c>
      <c r="H274" s="999">
        <v>0.82210000000000005</v>
      </c>
      <c r="I274" s="999">
        <v>0.67979999999999996</v>
      </c>
      <c r="J274" s="999">
        <v>0.67979999999999996</v>
      </c>
      <c r="K274" s="999">
        <v>0.67979999999999996</v>
      </c>
      <c r="L274" s="999">
        <v>0.67979999999999996</v>
      </c>
      <c r="M274" s="999">
        <v>0.67979999999999996</v>
      </c>
    </row>
    <row r="275" spans="1:13">
      <c r="A275" s="990">
        <v>6.9</v>
      </c>
      <c r="B275" s="999">
        <v>0.84089999999999998</v>
      </c>
      <c r="C275" s="999">
        <v>0.84089999999999998</v>
      </c>
      <c r="D275" s="999">
        <v>0.82099999999999995</v>
      </c>
      <c r="E275" s="999">
        <v>0.82099999999999995</v>
      </c>
      <c r="F275" s="999">
        <v>0.82099999999999995</v>
      </c>
      <c r="G275" s="999">
        <v>0.82099999999999995</v>
      </c>
      <c r="H275" s="999">
        <v>0.82099999999999995</v>
      </c>
      <c r="I275" s="999">
        <v>0.67849999999999999</v>
      </c>
      <c r="J275" s="999">
        <v>0.67849999999999999</v>
      </c>
      <c r="K275" s="999">
        <v>0.67849999999999999</v>
      </c>
      <c r="L275" s="999">
        <v>0.67849999999999999</v>
      </c>
      <c r="M275" s="999">
        <v>0.67849999999999999</v>
      </c>
    </row>
    <row r="276" spans="1:13">
      <c r="A276" s="990">
        <v>7</v>
      </c>
      <c r="B276" s="999">
        <v>0.84009999999999996</v>
      </c>
      <c r="C276" s="999">
        <v>0.84009999999999996</v>
      </c>
      <c r="D276" s="999">
        <v>0.81989999999999996</v>
      </c>
      <c r="E276" s="999">
        <v>0.81989999999999996</v>
      </c>
      <c r="F276" s="999">
        <v>0.81989999999999996</v>
      </c>
      <c r="G276" s="999">
        <v>0.81989999999999996</v>
      </c>
      <c r="H276" s="999">
        <v>0.81989999999999996</v>
      </c>
      <c r="I276" s="999">
        <v>0.67720000000000002</v>
      </c>
      <c r="J276" s="999">
        <v>0.67720000000000002</v>
      </c>
      <c r="K276" s="999">
        <v>0.67720000000000002</v>
      </c>
      <c r="L276" s="999">
        <v>0.67720000000000002</v>
      </c>
      <c r="M276" s="999">
        <v>0.67720000000000002</v>
      </c>
    </row>
    <row r="277" spans="1:13">
      <c r="A277" s="990">
        <v>7.1</v>
      </c>
      <c r="B277" s="999">
        <v>0.83930000000000005</v>
      </c>
      <c r="C277" s="999">
        <v>0.83930000000000005</v>
      </c>
      <c r="D277" s="999">
        <v>0.81889999999999996</v>
      </c>
      <c r="E277" s="999">
        <v>0.81889999999999996</v>
      </c>
      <c r="F277" s="999">
        <v>0.81889999999999996</v>
      </c>
      <c r="G277" s="999">
        <v>0.81889999999999996</v>
      </c>
      <c r="H277" s="999">
        <v>0.81889999999999996</v>
      </c>
      <c r="I277" s="999">
        <v>0.67589999999999995</v>
      </c>
      <c r="J277" s="999">
        <v>0.67589999999999995</v>
      </c>
      <c r="K277" s="999">
        <v>0.67589999999999995</v>
      </c>
      <c r="L277" s="999">
        <v>0.67589999999999995</v>
      </c>
      <c r="M277" s="999">
        <v>0.67589999999999995</v>
      </c>
    </row>
    <row r="278" spans="1:13">
      <c r="A278" s="990">
        <v>7.2</v>
      </c>
      <c r="B278" s="999">
        <v>0.83850000000000002</v>
      </c>
      <c r="C278" s="999">
        <v>0.83850000000000002</v>
      </c>
      <c r="D278" s="999">
        <v>0.81789999999999996</v>
      </c>
      <c r="E278" s="999">
        <v>0.81789999999999996</v>
      </c>
      <c r="F278" s="999">
        <v>0.81789999999999996</v>
      </c>
      <c r="G278" s="999">
        <v>0.81789999999999996</v>
      </c>
      <c r="H278" s="999">
        <v>0.81789999999999996</v>
      </c>
      <c r="I278" s="999">
        <v>0.67459999999999998</v>
      </c>
      <c r="J278" s="999">
        <v>0.67459999999999998</v>
      </c>
      <c r="K278" s="999">
        <v>0.67459999999999998</v>
      </c>
      <c r="L278" s="999">
        <v>0.67459999999999998</v>
      </c>
      <c r="M278" s="999">
        <v>0.67459999999999998</v>
      </c>
    </row>
    <row r="279" spans="1:13">
      <c r="A279" s="990">
        <v>7.3</v>
      </c>
      <c r="B279" s="999">
        <v>0.8377</v>
      </c>
      <c r="C279" s="999">
        <v>0.8377</v>
      </c>
      <c r="D279" s="999">
        <v>0.81689999999999996</v>
      </c>
      <c r="E279" s="999">
        <v>0.81689999999999996</v>
      </c>
      <c r="F279" s="999">
        <v>0.81689999999999996</v>
      </c>
      <c r="G279" s="999">
        <v>0.81689999999999996</v>
      </c>
      <c r="H279" s="999">
        <v>0.81689999999999996</v>
      </c>
      <c r="I279" s="999">
        <v>0.6734</v>
      </c>
      <c r="J279" s="999">
        <v>0.6734</v>
      </c>
      <c r="K279" s="999">
        <v>0.6734</v>
      </c>
      <c r="L279" s="999">
        <v>0.6734</v>
      </c>
      <c r="M279" s="999">
        <v>0.6734</v>
      </c>
    </row>
    <row r="280" spans="1:13">
      <c r="A280" s="990">
        <v>7.4</v>
      </c>
      <c r="B280" s="999">
        <v>0.83699999999999997</v>
      </c>
      <c r="C280" s="999">
        <v>0.83699999999999997</v>
      </c>
      <c r="D280" s="999">
        <v>0.81599999999999995</v>
      </c>
      <c r="E280" s="999">
        <v>0.81599999999999995</v>
      </c>
      <c r="F280" s="999">
        <v>0.81599999999999995</v>
      </c>
      <c r="G280" s="999">
        <v>0.81599999999999995</v>
      </c>
      <c r="H280" s="999">
        <v>0.81599999999999995</v>
      </c>
      <c r="I280" s="999">
        <v>0.67210000000000003</v>
      </c>
      <c r="J280" s="999">
        <v>0.67210000000000003</v>
      </c>
      <c r="K280" s="999">
        <v>0.67210000000000003</v>
      </c>
      <c r="L280" s="999">
        <v>0.67210000000000003</v>
      </c>
      <c r="M280" s="999">
        <v>0.67210000000000003</v>
      </c>
    </row>
    <row r="281" spans="1:13">
      <c r="A281" s="990">
        <v>7.5</v>
      </c>
      <c r="B281" s="999">
        <v>0.83630000000000004</v>
      </c>
      <c r="C281" s="999">
        <v>0.83630000000000004</v>
      </c>
      <c r="D281" s="999">
        <v>0.81510000000000005</v>
      </c>
      <c r="E281" s="999">
        <v>0.81510000000000005</v>
      </c>
      <c r="F281" s="999">
        <v>0.81510000000000005</v>
      </c>
      <c r="G281" s="999">
        <v>0.81510000000000005</v>
      </c>
      <c r="H281" s="999">
        <v>0.81510000000000005</v>
      </c>
      <c r="I281" s="999">
        <v>0.67090000000000005</v>
      </c>
      <c r="J281" s="999">
        <v>0.67090000000000005</v>
      </c>
      <c r="K281" s="999">
        <v>0.67090000000000005</v>
      </c>
      <c r="L281" s="999">
        <v>0.67090000000000005</v>
      </c>
      <c r="M281" s="999">
        <v>0.67090000000000005</v>
      </c>
    </row>
    <row r="282" spans="1:13">
      <c r="A282" s="990">
        <v>7.6</v>
      </c>
      <c r="B282" s="999">
        <v>0.83560000000000001</v>
      </c>
      <c r="C282" s="999">
        <v>0.83560000000000001</v>
      </c>
      <c r="D282" s="999">
        <v>0.81420000000000003</v>
      </c>
      <c r="E282" s="999">
        <v>0.81420000000000003</v>
      </c>
      <c r="F282" s="999">
        <v>0.81420000000000003</v>
      </c>
      <c r="G282" s="999">
        <v>0.81420000000000003</v>
      </c>
      <c r="H282" s="999">
        <v>0.81420000000000003</v>
      </c>
      <c r="I282" s="999">
        <v>0.66979999999999995</v>
      </c>
      <c r="J282" s="999">
        <v>0.66979999999999995</v>
      </c>
      <c r="K282" s="999">
        <v>0.66979999999999995</v>
      </c>
      <c r="L282" s="999">
        <v>0.66979999999999995</v>
      </c>
      <c r="M282" s="999">
        <v>0.66979999999999995</v>
      </c>
    </row>
    <row r="283" spans="1:13">
      <c r="A283" s="990">
        <v>7.7</v>
      </c>
      <c r="B283" s="999">
        <v>0.83489999999999998</v>
      </c>
      <c r="C283" s="999">
        <v>0.83489999999999998</v>
      </c>
      <c r="D283" s="999">
        <v>0.81330000000000002</v>
      </c>
      <c r="E283" s="999">
        <v>0.81330000000000002</v>
      </c>
      <c r="F283" s="999">
        <v>0.81330000000000002</v>
      </c>
      <c r="G283" s="999">
        <v>0.81330000000000002</v>
      </c>
      <c r="H283" s="999">
        <v>0.81330000000000002</v>
      </c>
      <c r="I283" s="999">
        <v>0.66869999999999996</v>
      </c>
      <c r="J283" s="999">
        <v>0.66869999999999996</v>
      </c>
      <c r="K283" s="999">
        <v>0.66869999999999996</v>
      </c>
      <c r="L283" s="999">
        <v>0.66869999999999996</v>
      </c>
      <c r="M283" s="999">
        <v>0.66869999999999996</v>
      </c>
    </row>
    <row r="284" spans="1:13">
      <c r="A284" s="990">
        <v>7.8</v>
      </c>
      <c r="B284" s="999">
        <v>0.83420000000000005</v>
      </c>
      <c r="C284" s="999">
        <v>0.83420000000000005</v>
      </c>
      <c r="D284" s="999">
        <v>0.81240000000000001</v>
      </c>
      <c r="E284" s="999">
        <v>0.81240000000000001</v>
      </c>
      <c r="F284" s="999">
        <v>0.81240000000000001</v>
      </c>
      <c r="G284" s="999">
        <v>0.81240000000000001</v>
      </c>
      <c r="H284" s="999">
        <v>0.81240000000000001</v>
      </c>
      <c r="I284" s="999">
        <v>0.66759999999999997</v>
      </c>
      <c r="J284" s="999">
        <v>0.66759999999999997</v>
      </c>
      <c r="K284" s="999">
        <v>0.66759999999999997</v>
      </c>
      <c r="L284" s="999">
        <v>0.66759999999999997</v>
      </c>
      <c r="M284" s="999">
        <v>0.66759999999999997</v>
      </c>
    </row>
    <row r="285" spans="1:13">
      <c r="A285" s="990">
        <v>7.9</v>
      </c>
      <c r="B285" s="999">
        <v>0.83350000000000002</v>
      </c>
      <c r="C285" s="999">
        <v>0.83350000000000002</v>
      </c>
      <c r="D285" s="999">
        <v>0.81159999999999999</v>
      </c>
      <c r="E285" s="999">
        <v>0.81159999999999999</v>
      </c>
      <c r="F285" s="999">
        <v>0.81159999999999999</v>
      </c>
      <c r="G285" s="999">
        <v>0.81159999999999999</v>
      </c>
      <c r="H285" s="999">
        <v>0.81159999999999999</v>
      </c>
      <c r="I285" s="999">
        <v>0.66649999999999998</v>
      </c>
      <c r="J285" s="999">
        <v>0.66649999999999998</v>
      </c>
      <c r="K285" s="999">
        <v>0.66649999999999998</v>
      </c>
      <c r="L285" s="999">
        <v>0.66649999999999998</v>
      </c>
      <c r="M285" s="999">
        <v>0.66649999999999998</v>
      </c>
    </row>
    <row r="286" spans="1:13">
      <c r="A286" s="990">
        <v>8</v>
      </c>
      <c r="B286" s="999">
        <v>0.83279999999999998</v>
      </c>
      <c r="C286" s="999">
        <v>0.83279999999999998</v>
      </c>
      <c r="D286" s="999">
        <v>0.81079999999999997</v>
      </c>
      <c r="E286" s="999">
        <v>0.81079999999999997</v>
      </c>
      <c r="F286" s="999">
        <v>0.81079999999999997</v>
      </c>
      <c r="G286" s="999">
        <v>0.81079999999999997</v>
      </c>
      <c r="H286" s="999">
        <v>0.81079999999999997</v>
      </c>
      <c r="I286" s="999">
        <v>0.66549999999999998</v>
      </c>
      <c r="J286" s="999">
        <v>0.66549999999999998</v>
      </c>
      <c r="K286" s="999">
        <v>0.66549999999999998</v>
      </c>
      <c r="L286" s="999">
        <v>0.66549999999999998</v>
      </c>
      <c r="M286" s="999">
        <v>0.66549999999999998</v>
      </c>
    </row>
    <row r="287" spans="1:13">
      <c r="A287" s="990">
        <v>8.1</v>
      </c>
      <c r="B287" s="999">
        <v>0.83220000000000005</v>
      </c>
      <c r="C287" s="999">
        <v>0.83220000000000005</v>
      </c>
      <c r="D287" s="999">
        <v>0.81</v>
      </c>
      <c r="E287" s="999">
        <v>0.81</v>
      </c>
      <c r="F287" s="999">
        <v>0.81</v>
      </c>
      <c r="G287" s="999">
        <v>0.81</v>
      </c>
      <c r="H287" s="999">
        <v>0.81</v>
      </c>
      <c r="I287" s="999">
        <v>0.66439999999999999</v>
      </c>
      <c r="J287" s="999">
        <v>0.66439999999999999</v>
      </c>
      <c r="K287" s="999">
        <v>0.66439999999999999</v>
      </c>
      <c r="L287" s="999">
        <v>0.66439999999999999</v>
      </c>
      <c r="M287" s="999">
        <v>0.66439999999999999</v>
      </c>
    </row>
    <row r="288" spans="1:13">
      <c r="A288" s="990">
        <v>8.1999999999999993</v>
      </c>
      <c r="B288" s="999">
        <v>0.83160000000000001</v>
      </c>
      <c r="C288" s="999">
        <v>0.83160000000000001</v>
      </c>
      <c r="D288" s="999">
        <v>0.80920000000000003</v>
      </c>
      <c r="E288" s="999">
        <v>0.80920000000000003</v>
      </c>
      <c r="F288" s="999">
        <v>0.80920000000000003</v>
      </c>
      <c r="G288" s="999">
        <v>0.80920000000000003</v>
      </c>
      <c r="H288" s="999">
        <v>0.80920000000000003</v>
      </c>
      <c r="I288" s="999">
        <v>0.66339999999999999</v>
      </c>
      <c r="J288" s="999">
        <v>0.66339999999999999</v>
      </c>
      <c r="K288" s="999">
        <v>0.66339999999999999</v>
      </c>
      <c r="L288" s="999">
        <v>0.66339999999999999</v>
      </c>
      <c r="M288" s="999">
        <v>0.66339999999999999</v>
      </c>
    </row>
    <row r="289" spans="1:13">
      <c r="A289" s="990">
        <v>8.3000000000000007</v>
      </c>
      <c r="B289" s="999">
        <v>0.83099999999999996</v>
      </c>
      <c r="C289" s="999">
        <v>0.83099999999999996</v>
      </c>
      <c r="D289" s="999">
        <v>0.80840000000000001</v>
      </c>
      <c r="E289" s="999">
        <v>0.80840000000000001</v>
      </c>
      <c r="F289" s="999">
        <v>0.80840000000000001</v>
      </c>
      <c r="G289" s="999">
        <v>0.80840000000000001</v>
      </c>
      <c r="H289" s="999">
        <v>0.80840000000000001</v>
      </c>
      <c r="I289" s="999">
        <v>0.66239999999999999</v>
      </c>
      <c r="J289" s="999">
        <v>0.66239999999999999</v>
      </c>
      <c r="K289" s="999">
        <v>0.66239999999999999</v>
      </c>
      <c r="L289" s="999">
        <v>0.66239999999999999</v>
      </c>
      <c r="M289" s="999">
        <v>0.66239999999999999</v>
      </c>
    </row>
    <row r="290" spans="1:13">
      <c r="A290" s="990">
        <v>8.4</v>
      </c>
      <c r="B290" s="999">
        <v>0.83040000000000003</v>
      </c>
      <c r="C290" s="999">
        <v>0.83040000000000003</v>
      </c>
      <c r="D290" s="999">
        <v>0.80759999999999998</v>
      </c>
      <c r="E290" s="999">
        <v>0.80759999999999998</v>
      </c>
      <c r="F290" s="999">
        <v>0.80759999999999998</v>
      </c>
      <c r="G290" s="999">
        <v>0.80759999999999998</v>
      </c>
      <c r="H290" s="999">
        <v>0.80759999999999998</v>
      </c>
      <c r="I290" s="999">
        <v>0.66139999999999999</v>
      </c>
      <c r="J290" s="999">
        <v>0.66139999999999999</v>
      </c>
      <c r="K290" s="999">
        <v>0.66139999999999999</v>
      </c>
      <c r="L290" s="999">
        <v>0.66139999999999999</v>
      </c>
      <c r="M290" s="999">
        <v>0.66139999999999999</v>
      </c>
    </row>
    <row r="291" spans="1:13">
      <c r="A291" s="990">
        <v>8.5</v>
      </c>
      <c r="B291" s="999">
        <v>0.82979999999999998</v>
      </c>
      <c r="C291" s="999">
        <v>0.82979999999999998</v>
      </c>
      <c r="D291" s="999">
        <v>0.80679999999999996</v>
      </c>
      <c r="E291" s="999">
        <v>0.80679999999999996</v>
      </c>
      <c r="F291" s="999">
        <v>0.80679999999999996</v>
      </c>
      <c r="G291" s="999">
        <v>0.80679999999999996</v>
      </c>
      <c r="H291" s="999">
        <v>0.80679999999999996</v>
      </c>
      <c r="I291" s="999">
        <v>0.66049999999999998</v>
      </c>
      <c r="J291" s="999">
        <v>0.66049999999999998</v>
      </c>
      <c r="K291" s="999">
        <v>0.66049999999999998</v>
      </c>
      <c r="L291" s="999">
        <v>0.66049999999999998</v>
      </c>
      <c r="M291" s="999">
        <v>0.66049999999999998</v>
      </c>
    </row>
    <row r="292" spans="1:13">
      <c r="A292" s="990">
        <v>8.6</v>
      </c>
      <c r="B292" s="999">
        <v>0.82920000000000005</v>
      </c>
      <c r="C292" s="999">
        <v>0.82920000000000005</v>
      </c>
      <c r="D292" s="999">
        <v>0.80600000000000005</v>
      </c>
      <c r="E292" s="999">
        <v>0.80600000000000005</v>
      </c>
      <c r="F292" s="999">
        <v>0.80600000000000005</v>
      </c>
      <c r="G292" s="999">
        <v>0.80600000000000005</v>
      </c>
      <c r="H292" s="999">
        <v>0.80600000000000005</v>
      </c>
      <c r="I292" s="999">
        <v>0.65949999999999998</v>
      </c>
      <c r="J292" s="999">
        <v>0.65949999999999998</v>
      </c>
      <c r="K292" s="999">
        <v>0.65949999999999998</v>
      </c>
      <c r="L292" s="999">
        <v>0.65949999999999998</v>
      </c>
      <c r="M292" s="999">
        <v>0.65949999999999998</v>
      </c>
    </row>
    <row r="293" spans="1:13">
      <c r="A293" s="990">
        <v>8.6999999999999993</v>
      </c>
      <c r="B293" s="999">
        <v>0.8286</v>
      </c>
      <c r="C293" s="999">
        <v>0.8286</v>
      </c>
      <c r="D293" s="999">
        <v>0.80520000000000003</v>
      </c>
      <c r="E293" s="999">
        <v>0.80520000000000003</v>
      </c>
      <c r="F293" s="999">
        <v>0.80520000000000003</v>
      </c>
      <c r="G293" s="999">
        <v>0.80520000000000003</v>
      </c>
      <c r="H293" s="999">
        <v>0.80520000000000003</v>
      </c>
      <c r="I293" s="999">
        <v>0.65859999999999996</v>
      </c>
      <c r="J293" s="999">
        <v>0.65859999999999996</v>
      </c>
      <c r="K293" s="999">
        <v>0.65859999999999996</v>
      </c>
      <c r="L293" s="999">
        <v>0.65859999999999996</v>
      </c>
      <c r="M293" s="999">
        <v>0.65859999999999996</v>
      </c>
    </row>
    <row r="294" spans="1:13">
      <c r="A294" s="990">
        <v>8.8000000000000007</v>
      </c>
      <c r="B294" s="999">
        <v>0.82799999999999996</v>
      </c>
      <c r="C294" s="999">
        <v>0.82799999999999996</v>
      </c>
      <c r="D294" s="999">
        <v>0.8044</v>
      </c>
      <c r="E294" s="999">
        <v>0.8044</v>
      </c>
      <c r="F294" s="999">
        <v>0.8044</v>
      </c>
      <c r="G294" s="999">
        <v>0.8044</v>
      </c>
      <c r="H294" s="999">
        <v>0.8044</v>
      </c>
      <c r="I294" s="999">
        <v>0.65759999999999996</v>
      </c>
      <c r="J294" s="999">
        <v>0.65759999999999996</v>
      </c>
      <c r="K294" s="999">
        <v>0.65759999999999996</v>
      </c>
      <c r="L294" s="999">
        <v>0.65759999999999996</v>
      </c>
      <c r="M294" s="999">
        <v>0.65759999999999996</v>
      </c>
    </row>
    <row r="295" spans="1:13">
      <c r="A295" s="990">
        <v>8.9</v>
      </c>
      <c r="B295" s="999">
        <v>0.82740000000000002</v>
      </c>
      <c r="C295" s="999">
        <v>0.82740000000000002</v>
      </c>
      <c r="D295" s="999">
        <v>0.80359999999999998</v>
      </c>
      <c r="E295" s="999">
        <v>0.80359999999999998</v>
      </c>
      <c r="F295" s="999">
        <v>0.80359999999999998</v>
      </c>
      <c r="G295" s="999">
        <v>0.80359999999999998</v>
      </c>
      <c r="H295" s="999">
        <v>0.80359999999999998</v>
      </c>
      <c r="I295" s="999">
        <v>0.65669999999999995</v>
      </c>
      <c r="J295" s="999">
        <v>0.65669999999999995</v>
      </c>
      <c r="K295" s="999">
        <v>0.65669999999999995</v>
      </c>
      <c r="L295" s="999">
        <v>0.65669999999999995</v>
      </c>
      <c r="M295" s="999">
        <v>0.65669999999999995</v>
      </c>
    </row>
    <row r="296" spans="1:13">
      <c r="A296" s="1014">
        <v>9</v>
      </c>
      <c r="B296" s="999">
        <v>0.82679999999999998</v>
      </c>
      <c r="C296" s="999">
        <v>0.82679999999999998</v>
      </c>
      <c r="D296" s="999">
        <v>0.80279999999999996</v>
      </c>
      <c r="E296" s="999">
        <v>0.80279999999999996</v>
      </c>
      <c r="F296" s="999">
        <v>0.80279999999999996</v>
      </c>
      <c r="G296" s="999">
        <v>0.80279999999999996</v>
      </c>
      <c r="H296" s="999">
        <v>0.80279999999999996</v>
      </c>
      <c r="I296" s="999">
        <v>0.65569999999999995</v>
      </c>
      <c r="J296" s="999">
        <v>0.65569999999999995</v>
      </c>
      <c r="K296" s="999">
        <v>0.65569999999999995</v>
      </c>
      <c r="L296" s="999">
        <v>0.65569999999999995</v>
      </c>
      <c r="M296" s="999">
        <v>0.65569999999999995</v>
      </c>
    </row>
    <row r="297" spans="1:13">
      <c r="A297" s="1014">
        <v>9.1</v>
      </c>
      <c r="B297" s="999">
        <v>0.82620000000000005</v>
      </c>
      <c r="C297" s="999">
        <v>0.82620000000000005</v>
      </c>
      <c r="D297" s="999">
        <v>0.80200000000000005</v>
      </c>
      <c r="E297" s="999">
        <v>0.80200000000000005</v>
      </c>
      <c r="F297" s="999">
        <v>0.80200000000000005</v>
      </c>
      <c r="G297" s="999">
        <v>0.80200000000000005</v>
      </c>
      <c r="H297" s="999">
        <v>0.80200000000000005</v>
      </c>
      <c r="I297" s="999">
        <v>0.65480000000000005</v>
      </c>
      <c r="J297" s="999">
        <v>0.65480000000000005</v>
      </c>
      <c r="K297" s="999">
        <v>0.65480000000000005</v>
      </c>
      <c r="L297" s="999">
        <v>0.65480000000000005</v>
      </c>
      <c r="M297" s="999">
        <v>0.65480000000000005</v>
      </c>
    </row>
    <row r="298" spans="1:13">
      <c r="A298" s="1014">
        <v>9.1999999999999993</v>
      </c>
      <c r="B298" s="999">
        <v>0.8256</v>
      </c>
      <c r="C298" s="999">
        <v>0.8256</v>
      </c>
      <c r="D298" s="999">
        <v>0.80120000000000002</v>
      </c>
      <c r="E298" s="999">
        <v>0.80120000000000002</v>
      </c>
      <c r="F298" s="999">
        <v>0.80120000000000002</v>
      </c>
      <c r="G298" s="999">
        <v>0.80120000000000002</v>
      </c>
      <c r="H298" s="999">
        <v>0.80120000000000002</v>
      </c>
      <c r="I298" s="999">
        <v>0.65380000000000005</v>
      </c>
      <c r="J298" s="999">
        <v>0.65380000000000005</v>
      </c>
      <c r="K298" s="999">
        <v>0.65380000000000005</v>
      </c>
      <c r="L298" s="999">
        <v>0.65380000000000005</v>
      </c>
      <c r="M298" s="999">
        <v>0.65380000000000005</v>
      </c>
    </row>
    <row r="299" spans="1:13">
      <c r="A299" s="1014">
        <v>9.3000000000000007</v>
      </c>
      <c r="B299" s="999">
        <v>0.82499999999999996</v>
      </c>
      <c r="C299" s="999">
        <v>0.82499999999999996</v>
      </c>
      <c r="D299" s="999">
        <v>0.8004</v>
      </c>
      <c r="E299" s="999">
        <v>0.8004</v>
      </c>
      <c r="F299" s="999">
        <v>0.8004</v>
      </c>
      <c r="G299" s="999">
        <v>0.8004</v>
      </c>
      <c r="H299" s="999">
        <v>0.8004</v>
      </c>
      <c r="I299" s="999">
        <v>0.65290000000000004</v>
      </c>
      <c r="J299" s="999">
        <v>0.65290000000000004</v>
      </c>
      <c r="K299" s="999">
        <v>0.65290000000000004</v>
      </c>
      <c r="L299" s="999">
        <v>0.65290000000000004</v>
      </c>
      <c r="M299" s="999">
        <v>0.65290000000000004</v>
      </c>
    </row>
    <row r="300" spans="1:13">
      <c r="A300" s="1014">
        <v>9.4</v>
      </c>
      <c r="B300" s="999">
        <v>0.82440000000000002</v>
      </c>
      <c r="C300" s="999">
        <v>0.82440000000000002</v>
      </c>
      <c r="D300" s="999">
        <v>0.79959999999999998</v>
      </c>
      <c r="E300" s="999">
        <v>0.79959999999999998</v>
      </c>
      <c r="F300" s="999">
        <v>0.79959999999999998</v>
      </c>
      <c r="G300" s="999">
        <v>0.79959999999999998</v>
      </c>
      <c r="H300" s="999">
        <v>0.79959999999999998</v>
      </c>
      <c r="I300" s="999">
        <v>0.65190000000000003</v>
      </c>
      <c r="J300" s="999">
        <v>0.65190000000000003</v>
      </c>
      <c r="K300" s="999">
        <v>0.65190000000000003</v>
      </c>
      <c r="L300" s="999">
        <v>0.65190000000000003</v>
      </c>
      <c r="M300" s="999">
        <v>0.65190000000000003</v>
      </c>
    </row>
    <row r="301" spans="1:13">
      <c r="A301" s="1014">
        <v>9.5</v>
      </c>
      <c r="B301" s="999">
        <v>0.82379999999999998</v>
      </c>
      <c r="C301" s="999">
        <v>0.82379999999999998</v>
      </c>
      <c r="D301" s="999">
        <v>0.79879999999999995</v>
      </c>
      <c r="E301" s="999">
        <v>0.79879999999999995</v>
      </c>
      <c r="F301" s="999">
        <v>0.79879999999999995</v>
      </c>
      <c r="G301" s="999">
        <v>0.79879999999999995</v>
      </c>
      <c r="H301" s="999">
        <v>0.79879999999999995</v>
      </c>
      <c r="I301" s="999">
        <v>0.65100000000000002</v>
      </c>
      <c r="J301" s="999">
        <v>0.65100000000000002</v>
      </c>
      <c r="K301" s="999">
        <v>0.65100000000000002</v>
      </c>
      <c r="L301" s="999">
        <v>0.65100000000000002</v>
      </c>
      <c r="M301" s="999">
        <v>0.65100000000000002</v>
      </c>
    </row>
    <row r="302" spans="1:13">
      <c r="A302" s="1014">
        <v>9.6</v>
      </c>
      <c r="B302" s="999">
        <v>0.82320000000000004</v>
      </c>
      <c r="C302" s="999">
        <v>0.82320000000000004</v>
      </c>
      <c r="D302" s="999">
        <v>0.79800000000000004</v>
      </c>
      <c r="E302" s="999">
        <v>0.79800000000000004</v>
      </c>
      <c r="F302" s="999">
        <v>0.79800000000000004</v>
      </c>
      <c r="G302" s="999">
        <v>0.79800000000000004</v>
      </c>
      <c r="H302" s="999">
        <v>0.79800000000000004</v>
      </c>
      <c r="I302" s="999">
        <v>0.65</v>
      </c>
      <c r="J302" s="999">
        <v>0.65</v>
      </c>
      <c r="K302" s="999">
        <v>0.65</v>
      </c>
      <c r="L302" s="999">
        <v>0.65</v>
      </c>
      <c r="M302" s="999">
        <v>0.65</v>
      </c>
    </row>
    <row r="303" spans="1:13">
      <c r="A303" s="1014">
        <v>9.6999999999999993</v>
      </c>
      <c r="B303" s="999">
        <v>0.8226</v>
      </c>
      <c r="C303" s="999">
        <v>0.8226</v>
      </c>
      <c r="D303" s="999">
        <v>0.79720000000000002</v>
      </c>
      <c r="E303" s="999">
        <v>0.79720000000000002</v>
      </c>
      <c r="F303" s="999">
        <v>0.79720000000000002</v>
      </c>
      <c r="G303" s="999">
        <v>0.79720000000000002</v>
      </c>
      <c r="H303" s="999">
        <v>0.79720000000000002</v>
      </c>
      <c r="I303" s="999">
        <v>0.64900000000000002</v>
      </c>
      <c r="J303" s="999">
        <v>0.64900000000000002</v>
      </c>
      <c r="K303" s="999">
        <v>0.64900000000000002</v>
      </c>
      <c r="L303" s="999">
        <v>0.64900000000000002</v>
      </c>
      <c r="M303" s="999">
        <v>0.64900000000000002</v>
      </c>
    </row>
    <row r="304" spans="1:13">
      <c r="A304" s="1014">
        <v>9.8000000000000007</v>
      </c>
      <c r="B304" s="999">
        <v>0.82199999999999995</v>
      </c>
      <c r="C304" s="999">
        <v>0.82199999999999995</v>
      </c>
      <c r="D304" s="999">
        <v>0.7964</v>
      </c>
      <c r="E304" s="999">
        <v>0.7964</v>
      </c>
      <c r="F304" s="999">
        <v>0.7964</v>
      </c>
      <c r="G304" s="999">
        <v>0.7964</v>
      </c>
      <c r="H304" s="999">
        <v>0.7964</v>
      </c>
      <c r="I304" s="999">
        <v>0.64810000000000001</v>
      </c>
      <c r="J304" s="999">
        <v>0.64810000000000001</v>
      </c>
      <c r="K304" s="999">
        <v>0.64810000000000001</v>
      </c>
      <c r="L304" s="999">
        <v>0.64810000000000001</v>
      </c>
      <c r="M304" s="999">
        <v>0.64810000000000001</v>
      </c>
    </row>
    <row r="305" spans="1:13">
      <c r="A305" s="1014">
        <v>9.9</v>
      </c>
      <c r="B305" s="999">
        <v>0.82140000000000002</v>
      </c>
      <c r="C305" s="999">
        <v>0.82140000000000002</v>
      </c>
      <c r="D305" s="999">
        <v>0.79559999999999997</v>
      </c>
      <c r="E305" s="999">
        <v>0.79559999999999997</v>
      </c>
      <c r="F305" s="999">
        <v>0.79559999999999997</v>
      </c>
      <c r="G305" s="999">
        <v>0.79559999999999997</v>
      </c>
      <c r="H305" s="999">
        <v>0.79559999999999997</v>
      </c>
      <c r="I305" s="999">
        <v>0.64710000000000001</v>
      </c>
      <c r="J305" s="999">
        <v>0.64710000000000001</v>
      </c>
      <c r="K305" s="999">
        <v>0.64710000000000001</v>
      </c>
      <c r="L305" s="999">
        <v>0.64710000000000001</v>
      </c>
      <c r="M305" s="999">
        <v>0.64710000000000001</v>
      </c>
    </row>
    <row r="306" spans="1:13">
      <c r="A306" s="1014">
        <v>10</v>
      </c>
      <c r="B306" s="999">
        <v>0.82079999999999997</v>
      </c>
      <c r="C306" s="999">
        <v>0.82079999999999997</v>
      </c>
      <c r="D306" s="999">
        <v>0.79479999999999995</v>
      </c>
      <c r="E306" s="999">
        <v>0.79479999999999995</v>
      </c>
      <c r="F306" s="999">
        <v>0.79479999999999995</v>
      </c>
      <c r="G306" s="999">
        <v>0.79479999999999995</v>
      </c>
      <c r="H306" s="999">
        <v>0.79479999999999995</v>
      </c>
      <c r="I306" s="999">
        <v>0.6462</v>
      </c>
      <c r="J306" s="999">
        <v>0.6462</v>
      </c>
      <c r="K306" s="999">
        <v>0.6462</v>
      </c>
      <c r="L306" s="999">
        <v>0.6462</v>
      </c>
      <c r="M306" s="999">
        <v>0.6462</v>
      </c>
    </row>
    <row r="307" spans="1:13" ht="14.25">
      <c r="A307" s="987" t="s">
        <v>909</v>
      </c>
      <c r="B307" s="988"/>
      <c r="C307" s="988"/>
      <c r="D307" s="988"/>
      <c r="E307" s="988"/>
      <c r="F307" s="988"/>
      <c r="G307" s="988"/>
      <c r="H307" s="988"/>
      <c r="I307" s="988"/>
      <c r="J307" s="988"/>
      <c r="K307" s="988"/>
      <c r="L307" s="988"/>
      <c r="M307" s="988"/>
    </row>
    <row r="308" spans="1:13">
      <c r="A308" s="990" t="s">
        <v>896</v>
      </c>
      <c r="B308" s="991" t="s">
        <v>897</v>
      </c>
      <c r="C308" s="991" t="s">
        <v>898</v>
      </c>
      <c r="D308" s="991" t="s">
        <v>899</v>
      </c>
      <c r="E308" s="991" t="s">
        <v>900</v>
      </c>
      <c r="F308" s="991" t="s">
        <v>901</v>
      </c>
      <c r="G308" s="991" t="s">
        <v>902</v>
      </c>
      <c r="H308" s="992" t="s">
        <v>903</v>
      </c>
      <c r="I308" s="992" t="s">
        <v>904</v>
      </c>
      <c r="J308" s="993" t="s">
        <v>905</v>
      </c>
      <c r="K308" s="993" t="s">
        <v>906</v>
      </c>
      <c r="L308" s="993" t="s">
        <v>907</v>
      </c>
      <c r="M308" s="993" t="s">
        <v>908</v>
      </c>
    </row>
    <row r="309" spans="1:13">
      <c r="A309" s="990">
        <v>0.1</v>
      </c>
      <c r="B309" s="999">
        <v>11.506</v>
      </c>
      <c r="C309" s="999">
        <v>11.506</v>
      </c>
      <c r="D309" s="999">
        <v>12.015000000000001</v>
      </c>
      <c r="E309" s="999">
        <v>12.015000000000001</v>
      </c>
      <c r="F309" s="999">
        <v>12.015000000000001</v>
      </c>
      <c r="G309" s="999">
        <v>11.118</v>
      </c>
      <c r="H309" s="999">
        <v>11.118</v>
      </c>
      <c r="I309" s="999">
        <v>10</v>
      </c>
      <c r="J309" s="999">
        <v>10</v>
      </c>
      <c r="K309" s="999">
        <v>10</v>
      </c>
      <c r="L309" s="999">
        <v>10</v>
      </c>
      <c r="M309" s="999">
        <v>10</v>
      </c>
    </row>
    <row r="310" spans="1:13">
      <c r="A310" s="990">
        <v>0.2</v>
      </c>
      <c r="B310" s="999">
        <v>5.7530000000000001</v>
      </c>
      <c r="C310" s="999">
        <v>5.7530000000000001</v>
      </c>
      <c r="D310" s="999">
        <v>6.0075000000000003</v>
      </c>
      <c r="E310" s="999">
        <v>6.0075000000000003</v>
      </c>
      <c r="F310" s="999">
        <v>6.0075000000000003</v>
      </c>
      <c r="G310" s="999">
        <v>5.5590000000000002</v>
      </c>
      <c r="H310" s="999">
        <v>5.5590000000000002</v>
      </c>
      <c r="I310" s="999">
        <v>5</v>
      </c>
      <c r="J310" s="999">
        <v>5</v>
      </c>
      <c r="K310" s="999">
        <v>5</v>
      </c>
      <c r="L310" s="999">
        <v>5</v>
      </c>
      <c r="M310" s="999">
        <v>5</v>
      </c>
    </row>
    <row r="311" spans="1:13">
      <c r="A311" s="990">
        <v>0.3</v>
      </c>
      <c r="B311" s="999">
        <v>3.8353000000000002</v>
      </c>
      <c r="C311" s="999">
        <v>3.8353000000000002</v>
      </c>
      <c r="D311" s="999">
        <v>4.0049999999999999</v>
      </c>
      <c r="E311" s="999">
        <v>4.0049999999999999</v>
      </c>
      <c r="F311" s="999">
        <v>4.0049999999999999</v>
      </c>
      <c r="G311" s="999">
        <v>3.706</v>
      </c>
      <c r="H311" s="999">
        <v>3.706</v>
      </c>
      <c r="I311" s="999">
        <v>3.3332999999999999</v>
      </c>
      <c r="J311" s="999">
        <v>3.3332999999999999</v>
      </c>
      <c r="K311" s="999">
        <v>3.3332999999999999</v>
      </c>
      <c r="L311" s="999">
        <v>3.3332999999999999</v>
      </c>
      <c r="M311" s="999">
        <v>3.3332999999999999</v>
      </c>
    </row>
    <row r="312" spans="1:13">
      <c r="A312" s="990">
        <v>0.4</v>
      </c>
      <c r="B312" s="999">
        <v>2.8765000000000001</v>
      </c>
      <c r="C312" s="999">
        <v>2.8765000000000001</v>
      </c>
      <c r="D312" s="999">
        <v>3.0038</v>
      </c>
      <c r="E312" s="999">
        <v>3.0038</v>
      </c>
      <c r="F312" s="999">
        <v>3.0038</v>
      </c>
      <c r="G312" s="999">
        <v>2.7795000000000001</v>
      </c>
      <c r="H312" s="999">
        <v>2.7795000000000001</v>
      </c>
      <c r="I312" s="999">
        <v>2.5</v>
      </c>
      <c r="J312" s="999">
        <v>2.5</v>
      </c>
      <c r="K312" s="999">
        <v>2.5</v>
      </c>
      <c r="L312" s="999">
        <v>2.5</v>
      </c>
      <c r="M312" s="999">
        <v>2.5</v>
      </c>
    </row>
    <row r="313" spans="1:13">
      <c r="A313" s="990">
        <v>0.5</v>
      </c>
      <c r="B313" s="999">
        <v>2.3012000000000001</v>
      </c>
      <c r="C313" s="999">
        <v>2.3012000000000001</v>
      </c>
      <c r="D313" s="999">
        <v>2.403</v>
      </c>
      <c r="E313" s="999">
        <v>2.403</v>
      </c>
      <c r="F313" s="999">
        <v>2.403</v>
      </c>
      <c r="G313" s="999">
        <v>2.2235999999999998</v>
      </c>
      <c r="H313" s="999">
        <v>2.2235999999999998</v>
      </c>
      <c r="I313" s="999">
        <v>2</v>
      </c>
      <c r="J313" s="999">
        <v>2</v>
      </c>
      <c r="K313" s="999">
        <v>2</v>
      </c>
      <c r="L313" s="999">
        <v>2</v>
      </c>
      <c r="M313" s="999">
        <v>2</v>
      </c>
    </row>
    <row r="314" spans="1:13">
      <c r="A314" s="990">
        <v>0.6</v>
      </c>
      <c r="B314" s="999">
        <v>1.9177</v>
      </c>
      <c r="C314" s="999">
        <v>1.9177</v>
      </c>
      <c r="D314" s="999">
        <v>2.0024999999999999</v>
      </c>
      <c r="E314" s="999">
        <v>2.0024999999999999</v>
      </c>
      <c r="F314" s="999">
        <v>2.0024999999999999</v>
      </c>
      <c r="G314" s="999">
        <v>1.853</v>
      </c>
      <c r="H314" s="999">
        <v>1.853</v>
      </c>
      <c r="I314" s="999">
        <v>1.6667000000000001</v>
      </c>
      <c r="J314" s="999">
        <v>1.6667000000000001</v>
      </c>
      <c r="K314" s="999">
        <v>1.6667000000000001</v>
      </c>
      <c r="L314" s="999">
        <v>1.6667000000000001</v>
      </c>
      <c r="M314" s="999">
        <v>1.6667000000000001</v>
      </c>
    </row>
    <row r="315" spans="1:13">
      <c r="A315" s="990">
        <v>0.7</v>
      </c>
      <c r="B315" s="999">
        <v>1.6436999999999999</v>
      </c>
      <c r="C315" s="999">
        <v>1.6436999999999999</v>
      </c>
      <c r="D315" s="999">
        <v>1.7163999999999999</v>
      </c>
      <c r="E315" s="999">
        <v>1.7163999999999999</v>
      </c>
      <c r="F315" s="999">
        <v>1.7163999999999999</v>
      </c>
      <c r="G315" s="999">
        <v>1.5883</v>
      </c>
      <c r="H315" s="999">
        <v>1.5883</v>
      </c>
      <c r="I315" s="999">
        <v>1.4286000000000001</v>
      </c>
      <c r="J315" s="999">
        <v>1.4286000000000001</v>
      </c>
      <c r="K315" s="999">
        <v>1.4286000000000001</v>
      </c>
      <c r="L315" s="999">
        <v>1.4286000000000001</v>
      </c>
      <c r="M315" s="999">
        <v>1.4286000000000001</v>
      </c>
    </row>
    <row r="316" spans="1:13">
      <c r="A316" s="990">
        <v>0.8</v>
      </c>
      <c r="B316" s="999">
        <v>1.4382999999999999</v>
      </c>
      <c r="C316" s="999">
        <v>1.4382999999999999</v>
      </c>
      <c r="D316" s="999">
        <v>1.5019</v>
      </c>
      <c r="E316" s="999">
        <v>1.5019</v>
      </c>
      <c r="F316" s="999">
        <v>1.5019</v>
      </c>
      <c r="G316" s="999">
        <v>1.3897999999999999</v>
      </c>
      <c r="H316" s="999">
        <v>1.3897999999999999</v>
      </c>
      <c r="I316" s="999">
        <v>1.25</v>
      </c>
      <c r="J316" s="999">
        <v>1.25</v>
      </c>
      <c r="K316" s="999">
        <v>1.25</v>
      </c>
      <c r="L316" s="999">
        <v>1.25</v>
      </c>
      <c r="M316" s="999">
        <v>1.25</v>
      </c>
    </row>
    <row r="317" spans="1:13">
      <c r="A317" s="990">
        <v>0.9</v>
      </c>
      <c r="B317" s="999">
        <v>1.2784</v>
      </c>
      <c r="C317" s="999">
        <v>1.2784</v>
      </c>
      <c r="D317" s="999">
        <v>1.335</v>
      </c>
      <c r="E317" s="999">
        <v>1.335</v>
      </c>
      <c r="F317" s="999">
        <v>1.335</v>
      </c>
      <c r="G317" s="999">
        <v>1.2353000000000001</v>
      </c>
      <c r="H317" s="999">
        <v>1.2353000000000001</v>
      </c>
      <c r="I317" s="999">
        <v>1.1111</v>
      </c>
      <c r="J317" s="999">
        <v>1.1111</v>
      </c>
      <c r="K317" s="999">
        <v>1.1111</v>
      </c>
      <c r="L317" s="999">
        <v>1.1111</v>
      </c>
      <c r="M317" s="999">
        <v>1.1111</v>
      </c>
    </row>
    <row r="318" spans="1:13">
      <c r="A318" s="990">
        <v>1</v>
      </c>
      <c r="B318" s="999">
        <v>1.1506000000000001</v>
      </c>
      <c r="C318" s="999">
        <v>1.1506000000000001</v>
      </c>
      <c r="D318" s="999">
        <v>1.2015</v>
      </c>
      <c r="E318" s="999">
        <v>1.2015</v>
      </c>
      <c r="F318" s="999">
        <v>1.2015</v>
      </c>
      <c r="G318" s="999">
        <v>1.1117999999999999</v>
      </c>
      <c r="H318" s="999">
        <v>1.1117999999999999</v>
      </c>
      <c r="I318" s="999">
        <v>1</v>
      </c>
      <c r="J318" s="999">
        <v>1</v>
      </c>
      <c r="K318" s="999">
        <v>1</v>
      </c>
      <c r="L318" s="999">
        <v>1</v>
      </c>
      <c r="M318" s="999">
        <v>1</v>
      </c>
    </row>
    <row r="319" spans="1:13">
      <c r="A319" s="990">
        <v>1.1000000000000001</v>
      </c>
      <c r="B319" s="999">
        <v>1.1158999999999999</v>
      </c>
      <c r="C319" s="999">
        <v>1.1158999999999999</v>
      </c>
      <c r="D319" s="999">
        <v>1.1440999999999999</v>
      </c>
      <c r="E319" s="999">
        <v>1.1440999999999999</v>
      </c>
      <c r="F319" s="999">
        <v>1.1440999999999999</v>
      </c>
      <c r="G319" s="999">
        <v>1.0492999999999999</v>
      </c>
      <c r="H319" s="999">
        <v>1.0492999999999999</v>
      </c>
      <c r="I319" s="999">
        <v>0.93730000000000002</v>
      </c>
      <c r="J319" s="999">
        <v>0.93730000000000002</v>
      </c>
      <c r="K319" s="999">
        <v>0.93730000000000002</v>
      </c>
      <c r="L319" s="999">
        <v>0.93730000000000002</v>
      </c>
      <c r="M319" s="999">
        <v>0.93730000000000002</v>
      </c>
    </row>
    <row r="320" spans="1:13">
      <c r="A320" s="990">
        <v>1.2</v>
      </c>
      <c r="B320" s="999">
        <v>1.0837000000000001</v>
      </c>
      <c r="C320" s="999">
        <v>1.0837000000000001</v>
      </c>
      <c r="D320" s="999">
        <v>1.0972999999999999</v>
      </c>
      <c r="E320" s="999">
        <v>1.0972999999999999</v>
      </c>
      <c r="F320" s="999">
        <v>1.0972999999999999</v>
      </c>
      <c r="G320" s="999">
        <v>1</v>
      </c>
      <c r="H320" s="999">
        <v>1</v>
      </c>
      <c r="I320" s="999">
        <v>0.88890000000000002</v>
      </c>
      <c r="J320" s="999">
        <v>0.88890000000000002</v>
      </c>
      <c r="K320" s="999">
        <v>0.88890000000000002</v>
      </c>
      <c r="L320" s="999">
        <v>0.88890000000000002</v>
      </c>
      <c r="M320" s="999">
        <v>0.88890000000000002</v>
      </c>
    </row>
    <row r="321" spans="1:13">
      <c r="A321" s="990">
        <v>1.3</v>
      </c>
      <c r="B321" s="999">
        <v>1.0538000000000001</v>
      </c>
      <c r="C321" s="999">
        <v>1.0538000000000001</v>
      </c>
      <c r="D321" s="999">
        <v>1.0589999999999999</v>
      </c>
      <c r="E321" s="999">
        <v>1.0589999999999999</v>
      </c>
      <c r="F321" s="999">
        <v>1.0589999999999999</v>
      </c>
      <c r="G321" s="999">
        <v>0.96140000000000003</v>
      </c>
      <c r="H321" s="999">
        <v>0.96140000000000003</v>
      </c>
      <c r="I321" s="999">
        <v>0.85209999999999997</v>
      </c>
      <c r="J321" s="999">
        <v>0.85209999999999997</v>
      </c>
      <c r="K321" s="999">
        <v>0.85209999999999997</v>
      </c>
      <c r="L321" s="999">
        <v>0.85209999999999997</v>
      </c>
      <c r="M321" s="999">
        <v>0.85209999999999997</v>
      </c>
    </row>
    <row r="322" spans="1:13">
      <c r="A322" s="990">
        <v>1.4</v>
      </c>
      <c r="B322" s="999">
        <v>1.026</v>
      </c>
      <c r="C322" s="999">
        <v>1.026</v>
      </c>
      <c r="D322" s="999">
        <v>1.0271999999999999</v>
      </c>
      <c r="E322" s="999">
        <v>1.0271999999999999</v>
      </c>
      <c r="F322" s="999">
        <v>1.0271999999999999</v>
      </c>
      <c r="G322" s="999">
        <v>0.93079999999999996</v>
      </c>
      <c r="H322" s="999">
        <v>0.93079999999999996</v>
      </c>
      <c r="I322" s="999">
        <v>0.82379999999999998</v>
      </c>
      <c r="J322" s="999">
        <v>0.82379999999999998</v>
      </c>
      <c r="K322" s="999">
        <v>0.82379999999999998</v>
      </c>
      <c r="L322" s="999">
        <v>0.82379999999999998</v>
      </c>
      <c r="M322" s="999">
        <v>0.82379999999999998</v>
      </c>
    </row>
    <row r="323" spans="1:13">
      <c r="A323" s="990">
        <v>1.5</v>
      </c>
      <c r="B323" s="999">
        <v>1</v>
      </c>
      <c r="C323" s="999">
        <v>1</v>
      </c>
      <c r="D323" s="999">
        <v>1</v>
      </c>
      <c r="E323" s="999">
        <v>1</v>
      </c>
      <c r="F323" s="999">
        <v>1</v>
      </c>
      <c r="G323" s="999">
        <v>0.90559999999999996</v>
      </c>
      <c r="H323" s="999">
        <v>0.90559999999999996</v>
      </c>
      <c r="I323" s="999">
        <v>0.80110000000000003</v>
      </c>
      <c r="J323" s="999">
        <v>0.80110000000000003</v>
      </c>
      <c r="K323" s="999">
        <v>0.80110000000000003</v>
      </c>
      <c r="L323" s="999">
        <v>0.80110000000000003</v>
      </c>
      <c r="M323" s="999">
        <v>0.80110000000000003</v>
      </c>
    </row>
    <row r="324" spans="1:13">
      <c r="A324" s="990">
        <v>1.6</v>
      </c>
      <c r="B324" s="999">
        <v>0.97570000000000001</v>
      </c>
      <c r="C324" s="999">
        <v>0.97570000000000001</v>
      </c>
      <c r="D324" s="999">
        <v>0.97519999999999996</v>
      </c>
      <c r="E324" s="999">
        <v>0.97519999999999996</v>
      </c>
      <c r="F324" s="999">
        <v>0.97519999999999996</v>
      </c>
      <c r="G324" s="999">
        <v>0.8831</v>
      </c>
      <c r="H324" s="999">
        <v>0.8831</v>
      </c>
      <c r="I324" s="999">
        <v>0.78100000000000003</v>
      </c>
      <c r="J324" s="999">
        <v>0.78100000000000003</v>
      </c>
      <c r="K324" s="999">
        <v>0.78100000000000003</v>
      </c>
      <c r="L324" s="999">
        <v>0.78100000000000003</v>
      </c>
      <c r="M324" s="999">
        <v>0.78100000000000003</v>
      </c>
    </row>
    <row r="325" spans="1:13">
      <c r="A325" s="990">
        <v>1.7</v>
      </c>
      <c r="B325" s="999">
        <v>0.95289999999999997</v>
      </c>
      <c r="C325" s="999">
        <v>0.95289999999999997</v>
      </c>
      <c r="D325" s="999">
        <v>0.95189999999999997</v>
      </c>
      <c r="E325" s="999">
        <v>0.95189999999999997</v>
      </c>
      <c r="F325" s="999">
        <v>0.95189999999999997</v>
      </c>
      <c r="G325" s="999">
        <v>0.86180000000000001</v>
      </c>
      <c r="H325" s="999">
        <v>0.86180000000000001</v>
      </c>
      <c r="I325" s="999">
        <v>0.7621</v>
      </c>
      <c r="J325" s="999">
        <v>0.7621</v>
      </c>
      <c r="K325" s="999">
        <v>0.7621</v>
      </c>
      <c r="L325" s="999">
        <v>0.7621</v>
      </c>
      <c r="M325" s="999">
        <v>0.7621</v>
      </c>
    </row>
    <row r="326" spans="1:13">
      <c r="A326" s="990">
        <v>1.8</v>
      </c>
      <c r="B326" s="999">
        <v>0.93149999999999999</v>
      </c>
      <c r="C326" s="999">
        <v>0.93149999999999999</v>
      </c>
      <c r="D326" s="999">
        <v>0.93</v>
      </c>
      <c r="E326" s="999">
        <v>0.93</v>
      </c>
      <c r="F326" s="999">
        <v>0.93</v>
      </c>
      <c r="G326" s="999">
        <v>0.84179999999999999</v>
      </c>
      <c r="H326" s="999">
        <v>0.84179999999999999</v>
      </c>
      <c r="I326" s="999">
        <v>0.74419999999999997</v>
      </c>
      <c r="J326" s="999">
        <v>0.74419999999999997</v>
      </c>
      <c r="K326" s="999">
        <v>0.74419999999999997</v>
      </c>
      <c r="L326" s="999">
        <v>0.74419999999999997</v>
      </c>
      <c r="M326" s="999">
        <v>0.74419999999999997</v>
      </c>
    </row>
    <row r="327" spans="1:13">
      <c r="A327" s="990">
        <v>1.9</v>
      </c>
      <c r="B327" s="999">
        <v>0.91139999999999999</v>
      </c>
      <c r="C327" s="999">
        <v>0.91139999999999999</v>
      </c>
      <c r="D327" s="999">
        <v>0.90939999999999999</v>
      </c>
      <c r="E327" s="999">
        <v>0.90939999999999999</v>
      </c>
      <c r="F327" s="999">
        <v>0.90939999999999999</v>
      </c>
      <c r="G327" s="999">
        <v>0.82289999999999996</v>
      </c>
      <c r="H327" s="999">
        <v>0.82289999999999996</v>
      </c>
      <c r="I327" s="999">
        <v>0.72740000000000005</v>
      </c>
      <c r="J327" s="999">
        <v>0.72740000000000005</v>
      </c>
      <c r="K327" s="999">
        <v>0.72740000000000005</v>
      </c>
      <c r="L327" s="999">
        <v>0.72740000000000005</v>
      </c>
      <c r="M327" s="999">
        <v>0.72740000000000005</v>
      </c>
    </row>
    <row r="328" spans="1:13">
      <c r="A328" s="990">
        <v>2</v>
      </c>
      <c r="B328" s="999">
        <v>0.89270000000000005</v>
      </c>
      <c r="C328" s="999">
        <v>0.89270000000000005</v>
      </c>
      <c r="D328" s="999">
        <v>0.8901</v>
      </c>
      <c r="E328" s="999">
        <v>0.8901</v>
      </c>
      <c r="F328" s="999">
        <v>0.8901</v>
      </c>
      <c r="G328" s="999">
        <v>0.80530000000000002</v>
      </c>
      <c r="H328" s="999">
        <v>0.80530000000000002</v>
      </c>
      <c r="I328" s="999">
        <v>0.71160000000000001</v>
      </c>
      <c r="J328" s="999">
        <v>0.71160000000000001</v>
      </c>
      <c r="K328" s="999">
        <v>0.71160000000000001</v>
      </c>
      <c r="L328" s="999">
        <v>0.71160000000000001</v>
      </c>
      <c r="M328" s="999">
        <v>0.71160000000000001</v>
      </c>
    </row>
    <row r="329" spans="1:13">
      <c r="A329" s="1014">
        <v>2.1</v>
      </c>
      <c r="B329" s="999">
        <v>0.87519999999999998</v>
      </c>
      <c r="C329" s="999">
        <v>0.87519999999999998</v>
      </c>
      <c r="D329" s="999">
        <v>0.872</v>
      </c>
      <c r="E329" s="999">
        <v>0.872</v>
      </c>
      <c r="F329" s="999">
        <v>0.872</v>
      </c>
      <c r="G329" s="999">
        <v>0.78869999999999996</v>
      </c>
      <c r="H329" s="999">
        <v>0.78869999999999996</v>
      </c>
      <c r="I329" s="999">
        <v>0.69669999999999999</v>
      </c>
      <c r="J329" s="999">
        <v>0.69669999999999999</v>
      </c>
      <c r="K329" s="999">
        <v>0.69669999999999999</v>
      </c>
      <c r="L329" s="999">
        <v>0.69669999999999999</v>
      </c>
      <c r="M329" s="999">
        <v>0.69669999999999999</v>
      </c>
    </row>
    <row r="330" spans="1:13">
      <c r="A330" s="1014">
        <v>2.2000000000000002</v>
      </c>
      <c r="B330" s="999">
        <v>0.85880000000000001</v>
      </c>
      <c r="C330" s="999">
        <v>0.85880000000000001</v>
      </c>
      <c r="D330" s="999">
        <v>0.85499999999999998</v>
      </c>
      <c r="E330" s="999">
        <v>0.85499999999999998</v>
      </c>
      <c r="F330" s="999">
        <v>0.85499999999999998</v>
      </c>
      <c r="G330" s="999">
        <v>0.77300000000000002</v>
      </c>
      <c r="H330" s="999">
        <v>0.77300000000000002</v>
      </c>
      <c r="I330" s="999">
        <v>0.68269999999999997</v>
      </c>
      <c r="J330" s="999">
        <v>0.68269999999999997</v>
      </c>
      <c r="K330" s="999">
        <v>0.68269999999999997</v>
      </c>
      <c r="L330" s="999">
        <v>0.68269999999999997</v>
      </c>
      <c r="M330" s="999">
        <v>0.68269999999999997</v>
      </c>
    </row>
    <row r="331" spans="1:13">
      <c r="A331" s="1014">
        <v>2.2999999999999998</v>
      </c>
      <c r="B331" s="999">
        <v>0.84360000000000002</v>
      </c>
      <c r="C331" s="999">
        <v>0.84360000000000002</v>
      </c>
      <c r="D331" s="999">
        <v>0.83899999999999997</v>
      </c>
      <c r="E331" s="999">
        <v>0.83899999999999997</v>
      </c>
      <c r="F331" s="999">
        <v>0.83899999999999997</v>
      </c>
      <c r="G331" s="999">
        <v>0.75839999999999996</v>
      </c>
      <c r="H331" s="999">
        <v>0.75839999999999996</v>
      </c>
      <c r="I331" s="999">
        <v>0.66949999999999998</v>
      </c>
      <c r="J331" s="999">
        <v>0.66949999999999998</v>
      </c>
      <c r="K331" s="999">
        <v>0.66949999999999998</v>
      </c>
      <c r="L331" s="999">
        <v>0.66949999999999998</v>
      </c>
      <c r="M331" s="999">
        <v>0.66949999999999998</v>
      </c>
    </row>
    <row r="332" spans="1:13">
      <c r="A332" s="1014">
        <v>2.4</v>
      </c>
      <c r="B332" s="999">
        <v>0.82940000000000003</v>
      </c>
      <c r="C332" s="999">
        <v>0.82940000000000003</v>
      </c>
      <c r="D332" s="999">
        <v>0.82410000000000005</v>
      </c>
      <c r="E332" s="999">
        <v>0.82410000000000005</v>
      </c>
      <c r="F332" s="999">
        <v>0.82410000000000005</v>
      </c>
      <c r="G332" s="999">
        <v>0.74460000000000004</v>
      </c>
      <c r="H332" s="999">
        <v>0.74460000000000004</v>
      </c>
      <c r="I332" s="999">
        <v>0.65710000000000002</v>
      </c>
      <c r="J332" s="999">
        <v>0.65710000000000002</v>
      </c>
      <c r="K332" s="999">
        <v>0.65710000000000002</v>
      </c>
      <c r="L332" s="999">
        <v>0.65710000000000002</v>
      </c>
      <c r="M332" s="999">
        <v>0.65710000000000002</v>
      </c>
    </row>
    <row r="333" spans="1:13">
      <c r="A333" s="1014">
        <v>2.5</v>
      </c>
      <c r="B333" s="999">
        <v>0.81620000000000004</v>
      </c>
      <c r="C333" s="999">
        <v>0.81620000000000004</v>
      </c>
      <c r="D333" s="999">
        <v>0.81020000000000003</v>
      </c>
      <c r="E333" s="999">
        <v>0.81020000000000003</v>
      </c>
      <c r="F333" s="999">
        <v>0.81020000000000003</v>
      </c>
      <c r="G333" s="999">
        <v>0.73180000000000001</v>
      </c>
      <c r="H333" s="999">
        <v>0.73180000000000001</v>
      </c>
      <c r="I333" s="999">
        <v>0.64549999999999996</v>
      </c>
      <c r="J333" s="999">
        <v>0.64549999999999996</v>
      </c>
      <c r="K333" s="999">
        <v>0.64549999999999996</v>
      </c>
      <c r="L333" s="999">
        <v>0.64549999999999996</v>
      </c>
      <c r="M333" s="999">
        <v>0.64549999999999996</v>
      </c>
    </row>
    <row r="334" spans="1:13">
      <c r="A334" s="1014">
        <v>2.6</v>
      </c>
      <c r="B334" s="999">
        <v>0.80389999999999995</v>
      </c>
      <c r="C334" s="999">
        <v>0.80389999999999995</v>
      </c>
      <c r="D334" s="999">
        <v>0.79710000000000003</v>
      </c>
      <c r="E334" s="999">
        <v>0.79710000000000003</v>
      </c>
      <c r="F334" s="999">
        <v>0.79710000000000003</v>
      </c>
      <c r="G334" s="999">
        <v>0.71970000000000001</v>
      </c>
      <c r="H334" s="999">
        <v>0.71970000000000001</v>
      </c>
      <c r="I334" s="999">
        <v>0.63460000000000005</v>
      </c>
      <c r="J334" s="999">
        <v>0.63460000000000005</v>
      </c>
      <c r="K334" s="999">
        <v>0.63460000000000005</v>
      </c>
      <c r="L334" s="999">
        <v>0.63460000000000005</v>
      </c>
      <c r="M334" s="999">
        <v>0.63460000000000005</v>
      </c>
    </row>
    <row r="335" spans="1:13">
      <c r="A335" s="1014">
        <v>2.7</v>
      </c>
      <c r="B335" s="999">
        <v>0.79249999999999998</v>
      </c>
      <c r="C335" s="999">
        <v>0.79249999999999998</v>
      </c>
      <c r="D335" s="999">
        <v>0.78490000000000004</v>
      </c>
      <c r="E335" s="999">
        <v>0.78490000000000004</v>
      </c>
      <c r="F335" s="999">
        <v>0.78490000000000004</v>
      </c>
      <c r="G335" s="999">
        <v>0.70840000000000003</v>
      </c>
      <c r="H335" s="999">
        <v>0.70840000000000003</v>
      </c>
      <c r="I335" s="999">
        <v>0.62439999999999996</v>
      </c>
      <c r="J335" s="999">
        <v>0.62439999999999996</v>
      </c>
      <c r="K335" s="999">
        <v>0.62439999999999996</v>
      </c>
      <c r="L335" s="999">
        <v>0.62439999999999996</v>
      </c>
      <c r="M335" s="999">
        <v>0.62439999999999996</v>
      </c>
    </row>
    <row r="336" spans="1:13">
      <c r="A336" s="1014">
        <v>2.8</v>
      </c>
      <c r="B336" s="999">
        <v>0.78190000000000004</v>
      </c>
      <c r="C336" s="999">
        <v>0.78190000000000004</v>
      </c>
      <c r="D336" s="999">
        <v>0.77359999999999995</v>
      </c>
      <c r="E336" s="999">
        <v>0.77359999999999995</v>
      </c>
      <c r="F336" s="999">
        <v>0.77359999999999995</v>
      </c>
      <c r="G336" s="999">
        <v>0.69789999999999996</v>
      </c>
      <c r="H336" s="999">
        <v>0.69789999999999996</v>
      </c>
      <c r="I336" s="999">
        <v>0.61480000000000001</v>
      </c>
      <c r="J336" s="999">
        <v>0.61480000000000001</v>
      </c>
      <c r="K336" s="999">
        <v>0.61480000000000001</v>
      </c>
      <c r="L336" s="999">
        <v>0.61480000000000001</v>
      </c>
      <c r="M336" s="999">
        <v>0.61480000000000001</v>
      </c>
    </row>
    <row r="337" spans="1:13">
      <c r="A337" s="1014">
        <v>2.9</v>
      </c>
      <c r="B337" s="999">
        <v>0.77210000000000001</v>
      </c>
      <c r="C337" s="999">
        <v>0.77210000000000001</v>
      </c>
      <c r="D337" s="999">
        <v>0.76300000000000001</v>
      </c>
      <c r="E337" s="999">
        <v>0.76300000000000001</v>
      </c>
      <c r="F337" s="999">
        <v>0.76300000000000001</v>
      </c>
      <c r="G337" s="999">
        <v>0.68799999999999994</v>
      </c>
      <c r="H337" s="999">
        <v>0.68799999999999994</v>
      </c>
      <c r="I337" s="999">
        <v>0.60589999999999999</v>
      </c>
      <c r="J337" s="999">
        <v>0.60589999999999999</v>
      </c>
      <c r="K337" s="999">
        <v>0.60589999999999999</v>
      </c>
      <c r="L337" s="999">
        <v>0.60589999999999999</v>
      </c>
      <c r="M337" s="999">
        <v>0.60589999999999999</v>
      </c>
    </row>
    <row r="338" spans="1:13">
      <c r="A338" s="1014">
        <v>3</v>
      </c>
      <c r="B338" s="999">
        <v>0.7631</v>
      </c>
      <c r="C338" s="999">
        <v>0.7631</v>
      </c>
      <c r="D338" s="999">
        <v>0.75309999999999999</v>
      </c>
      <c r="E338" s="999">
        <v>0.75309999999999999</v>
      </c>
      <c r="F338" s="999">
        <v>0.75309999999999999</v>
      </c>
      <c r="G338" s="999">
        <v>0.67879999999999996</v>
      </c>
      <c r="H338" s="999">
        <v>0.67879999999999996</v>
      </c>
      <c r="I338" s="999">
        <v>0.59750000000000003</v>
      </c>
      <c r="J338" s="999">
        <v>0.59750000000000003</v>
      </c>
      <c r="K338" s="999">
        <v>0.59750000000000003</v>
      </c>
      <c r="L338" s="999">
        <v>0.59750000000000003</v>
      </c>
      <c r="M338" s="999">
        <v>0.59750000000000003</v>
      </c>
    </row>
    <row r="339" spans="1:13">
      <c r="A339" s="1014">
        <v>3.1</v>
      </c>
      <c r="B339" s="999">
        <v>0.75470000000000004</v>
      </c>
      <c r="C339" s="999">
        <v>0.75470000000000004</v>
      </c>
      <c r="D339" s="999">
        <v>0.74399999999999999</v>
      </c>
      <c r="E339" s="999">
        <v>0.74399999999999999</v>
      </c>
      <c r="F339" s="999">
        <v>0.74399999999999999</v>
      </c>
      <c r="G339" s="999">
        <v>0.67020000000000002</v>
      </c>
      <c r="H339" s="999">
        <v>0.67020000000000002</v>
      </c>
      <c r="I339" s="999">
        <v>0.5897</v>
      </c>
      <c r="J339" s="999">
        <v>0.5897</v>
      </c>
      <c r="K339" s="999">
        <v>0.5897</v>
      </c>
      <c r="L339" s="999">
        <v>0.5897</v>
      </c>
      <c r="M339" s="999">
        <v>0.5897</v>
      </c>
    </row>
    <row r="340" spans="1:13">
      <c r="A340" s="1014">
        <v>3.2</v>
      </c>
      <c r="B340" s="999">
        <v>0.747</v>
      </c>
      <c r="C340" s="999">
        <v>0.747</v>
      </c>
      <c r="D340" s="999">
        <v>0.73540000000000005</v>
      </c>
      <c r="E340" s="999">
        <v>0.73540000000000005</v>
      </c>
      <c r="F340" s="999">
        <v>0.73540000000000005</v>
      </c>
      <c r="G340" s="999">
        <v>0.66220000000000001</v>
      </c>
      <c r="H340" s="999">
        <v>0.66220000000000001</v>
      </c>
      <c r="I340" s="999">
        <v>0.58230000000000004</v>
      </c>
      <c r="J340" s="999">
        <v>0.58230000000000004</v>
      </c>
      <c r="K340" s="999">
        <v>0.58230000000000004</v>
      </c>
      <c r="L340" s="999">
        <v>0.58230000000000004</v>
      </c>
      <c r="M340" s="999">
        <v>0.58230000000000004</v>
      </c>
    </row>
    <row r="341" spans="1:13">
      <c r="A341" s="1014">
        <v>3.3</v>
      </c>
      <c r="B341" s="999">
        <v>0.7399</v>
      </c>
      <c r="C341" s="999">
        <v>0.7399</v>
      </c>
      <c r="D341" s="999">
        <v>0.72750000000000004</v>
      </c>
      <c r="E341" s="999">
        <v>0.72750000000000004</v>
      </c>
      <c r="F341" s="999">
        <v>0.72750000000000004</v>
      </c>
      <c r="G341" s="999">
        <v>0.65480000000000005</v>
      </c>
      <c r="H341" s="999">
        <v>0.65480000000000005</v>
      </c>
      <c r="I341" s="999">
        <v>0.57540000000000002</v>
      </c>
      <c r="J341" s="999">
        <v>0.57540000000000002</v>
      </c>
      <c r="K341" s="999">
        <v>0.57540000000000002</v>
      </c>
      <c r="L341" s="999">
        <v>0.57540000000000002</v>
      </c>
      <c r="M341" s="999">
        <v>0.57540000000000002</v>
      </c>
    </row>
    <row r="342" spans="1:13">
      <c r="A342" s="1014">
        <v>3.4</v>
      </c>
      <c r="B342" s="999">
        <v>0.73340000000000005</v>
      </c>
      <c r="C342" s="999">
        <v>0.73340000000000005</v>
      </c>
      <c r="D342" s="999">
        <v>0.72009999999999996</v>
      </c>
      <c r="E342" s="999">
        <v>0.72009999999999996</v>
      </c>
      <c r="F342" s="999">
        <v>0.72009999999999996</v>
      </c>
      <c r="G342" s="999">
        <v>0.64780000000000004</v>
      </c>
      <c r="H342" s="999">
        <v>0.64780000000000004</v>
      </c>
      <c r="I342" s="999">
        <v>0.56899999999999995</v>
      </c>
      <c r="J342" s="999">
        <v>0.56899999999999995</v>
      </c>
      <c r="K342" s="999">
        <v>0.56899999999999995</v>
      </c>
      <c r="L342" s="999">
        <v>0.56899999999999995</v>
      </c>
      <c r="M342" s="999">
        <v>0.56899999999999995</v>
      </c>
    </row>
    <row r="343" spans="1:13">
      <c r="A343" s="1014">
        <v>3.5</v>
      </c>
      <c r="B343" s="999">
        <v>0.72740000000000005</v>
      </c>
      <c r="C343" s="999">
        <v>0.72740000000000005</v>
      </c>
      <c r="D343" s="999">
        <v>0.71330000000000005</v>
      </c>
      <c r="E343" s="999">
        <v>0.71330000000000005</v>
      </c>
      <c r="F343" s="999">
        <v>0.71330000000000005</v>
      </c>
      <c r="G343" s="999">
        <v>0.64129999999999998</v>
      </c>
      <c r="H343" s="999">
        <v>0.64129999999999998</v>
      </c>
      <c r="I343" s="999">
        <v>0.56310000000000004</v>
      </c>
      <c r="J343" s="999">
        <v>0.56310000000000004</v>
      </c>
      <c r="K343" s="999">
        <v>0.56310000000000004</v>
      </c>
      <c r="L343" s="999">
        <v>0.56310000000000004</v>
      </c>
      <c r="M343" s="999">
        <v>0.56310000000000004</v>
      </c>
    </row>
    <row r="344" spans="1:13">
      <c r="A344" s="1014">
        <v>3.6</v>
      </c>
      <c r="B344" s="999">
        <v>0.72189999999999999</v>
      </c>
      <c r="C344" s="999">
        <v>0.72189999999999999</v>
      </c>
      <c r="D344" s="999">
        <v>0.70699999999999996</v>
      </c>
      <c r="E344" s="999">
        <v>0.70699999999999996</v>
      </c>
      <c r="F344" s="999">
        <v>0.70699999999999996</v>
      </c>
      <c r="G344" s="999">
        <v>0.63529999999999998</v>
      </c>
      <c r="H344" s="999">
        <v>0.63529999999999998</v>
      </c>
      <c r="I344" s="999">
        <v>0.5575</v>
      </c>
      <c r="J344" s="999">
        <v>0.5575</v>
      </c>
      <c r="K344" s="999">
        <v>0.5575</v>
      </c>
      <c r="L344" s="999">
        <v>0.5575</v>
      </c>
      <c r="M344" s="999">
        <v>0.5575</v>
      </c>
    </row>
    <row r="345" spans="1:13">
      <c r="A345" s="1014">
        <v>3.7</v>
      </c>
      <c r="B345" s="999">
        <v>0.71679999999999999</v>
      </c>
      <c r="C345" s="999">
        <v>0.71679999999999999</v>
      </c>
      <c r="D345" s="999">
        <v>0.70109999999999995</v>
      </c>
      <c r="E345" s="999">
        <v>0.70109999999999995</v>
      </c>
      <c r="F345" s="999">
        <v>0.70109999999999995</v>
      </c>
      <c r="G345" s="999">
        <v>0.62970000000000004</v>
      </c>
      <c r="H345" s="999">
        <v>0.62970000000000004</v>
      </c>
      <c r="I345" s="999">
        <v>0.55230000000000001</v>
      </c>
      <c r="J345" s="999">
        <v>0.55230000000000001</v>
      </c>
      <c r="K345" s="999">
        <v>0.55230000000000001</v>
      </c>
      <c r="L345" s="999">
        <v>0.55230000000000001</v>
      </c>
      <c r="M345" s="999">
        <v>0.55230000000000001</v>
      </c>
    </row>
    <row r="346" spans="1:13">
      <c r="A346" s="1014">
        <v>3.8</v>
      </c>
      <c r="B346" s="999">
        <v>0.71220000000000006</v>
      </c>
      <c r="C346" s="999">
        <v>0.71220000000000006</v>
      </c>
      <c r="D346" s="999">
        <v>0.6956</v>
      </c>
      <c r="E346" s="999">
        <v>0.6956</v>
      </c>
      <c r="F346" s="999">
        <v>0.6956</v>
      </c>
      <c r="G346" s="999">
        <v>0.62439999999999996</v>
      </c>
      <c r="H346" s="999">
        <v>0.62439999999999996</v>
      </c>
      <c r="I346" s="999">
        <v>0.5474</v>
      </c>
      <c r="J346" s="999">
        <v>0.5474</v>
      </c>
      <c r="K346" s="999">
        <v>0.5474</v>
      </c>
      <c r="L346" s="999">
        <v>0.5474</v>
      </c>
      <c r="M346" s="999">
        <v>0.5474</v>
      </c>
    </row>
    <row r="347" spans="1:13">
      <c r="A347" s="1014">
        <v>3.9</v>
      </c>
      <c r="B347" s="999">
        <v>0.70799999999999996</v>
      </c>
      <c r="C347" s="999">
        <v>0.70799999999999996</v>
      </c>
      <c r="D347" s="999">
        <v>0.69059999999999999</v>
      </c>
      <c r="E347" s="999">
        <v>0.69059999999999999</v>
      </c>
      <c r="F347" s="999">
        <v>0.69059999999999999</v>
      </c>
      <c r="G347" s="999">
        <v>0.61950000000000005</v>
      </c>
      <c r="H347" s="999">
        <v>0.61950000000000005</v>
      </c>
      <c r="I347" s="999">
        <v>0.54279999999999995</v>
      </c>
      <c r="J347" s="999">
        <v>0.54279999999999995</v>
      </c>
      <c r="K347" s="999">
        <v>0.54279999999999995</v>
      </c>
      <c r="L347" s="999">
        <v>0.54279999999999995</v>
      </c>
      <c r="M347" s="999">
        <v>0.54279999999999995</v>
      </c>
    </row>
    <row r="348" spans="1:13">
      <c r="A348" s="1014">
        <v>4</v>
      </c>
      <c r="B348" s="999">
        <v>0.70409999999999995</v>
      </c>
      <c r="C348" s="999">
        <v>0.70409999999999995</v>
      </c>
      <c r="D348" s="999">
        <v>0.68589999999999995</v>
      </c>
      <c r="E348" s="999">
        <v>0.68589999999999995</v>
      </c>
      <c r="F348" s="999">
        <v>0.68589999999999995</v>
      </c>
      <c r="G348" s="999">
        <v>0.61499999999999999</v>
      </c>
      <c r="H348" s="999">
        <v>0.61499999999999999</v>
      </c>
      <c r="I348" s="999">
        <v>0.53859999999999997</v>
      </c>
      <c r="J348" s="999">
        <v>0.53859999999999997</v>
      </c>
      <c r="K348" s="999">
        <v>0.53859999999999997</v>
      </c>
      <c r="L348" s="999">
        <v>0.53859999999999997</v>
      </c>
      <c r="M348" s="999">
        <v>0.53859999999999997</v>
      </c>
    </row>
    <row r="349" spans="1:13">
      <c r="A349" s="1014">
        <v>4.0999999999999996</v>
      </c>
      <c r="B349" s="999">
        <v>0.7006</v>
      </c>
      <c r="C349" s="999">
        <v>0.7006</v>
      </c>
      <c r="D349" s="999">
        <v>0.68159999999999998</v>
      </c>
      <c r="E349" s="999">
        <v>0.68159999999999998</v>
      </c>
      <c r="F349" s="999">
        <v>0.68159999999999998</v>
      </c>
      <c r="G349" s="999">
        <v>0.61080000000000001</v>
      </c>
      <c r="H349" s="999">
        <v>0.61080000000000001</v>
      </c>
      <c r="I349" s="999">
        <v>0.53459999999999996</v>
      </c>
      <c r="J349" s="999">
        <v>0.53459999999999996</v>
      </c>
      <c r="K349" s="999">
        <v>0.53459999999999996</v>
      </c>
      <c r="L349" s="999">
        <v>0.53459999999999996</v>
      </c>
      <c r="M349" s="999">
        <v>0.53459999999999996</v>
      </c>
    </row>
    <row r="350" spans="1:13">
      <c r="A350" s="1014">
        <v>4.2</v>
      </c>
      <c r="B350" s="999">
        <v>0.69740000000000002</v>
      </c>
      <c r="C350" s="999">
        <v>0.69740000000000002</v>
      </c>
      <c r="D350" s="999">
        <v>0.67759999999999998</v>
      </c>
      <c r="E350" s="999">
        <v>0.67759999999999998</v>
      </c>
      <c r="F350" s="999">
        <v>0.67759999999999998</v>
      </c>
      <c r="G350" s="999">
        <v>0.60699999999999998</v>
      </c>
      <c r="H350" s="999">
        <v>0.60699999999999998</v>
      </c>
      <c r="I350" s="999">
        <v>0.53090000000000004</v>
      </c>
      <c r="J350" s="999">
        <v>0.53090000000000004</v>
      </c>
      <c r="K350" s="999">
        <v>0.53090000000000004</v>
      </c>
      <c r="L350" s="999">
        <v>0.53090000000000004</v>
      </c>
      <c r="M350" s="999">
        <v>0.53090000000000004</v>
      </c>
    </row>
    <row r="351" spans="1:13">
      <c r="A351" s="1014">
        <v>4.3</v>
      </c>
      <c r="B351" s="999">
        <v>0.69450000000000001</v>
      </c>
      <c r="C351" s="999">
        <v>0.69450000000000001</v>
      </c>
      <c r="D351" s="999">
        <v>0.67390000000000005</v>
      </c>
      <c r="E351" s="999">
        <v>0.67390000000000005</v>
      </c>
      <c r="F351" s="999">
        <v>0.67390000000000005</v>
      </c>
      <c r="G351" s="999">
        <v>0.60329999999999995</v>
      </c>
      <c r="H351" s="999">
        <v>0.60329999999999995</v>
      </c>
      <c r="I351" s="999">
        <v>0.52739999999999998</v>
      </c>
      <c r="J351" s="999">
        <v>0.52739999999999998</v>
      </c>
      <c r="K351" s="999">
        <v>0.52739999999999998</v>
      </c>
      <c r="L351" s="999">
        <v>0.52739999999999998</v>
      </c>
      <c r="M351" s="999">
        <v>0.52739999999999998</v>
      </c>
    </row>
    <row r="352" spans="1:13">
      <c r="A352" s="1014">
        <v>4.4000000000000004</v>
      </c>
      <c r="B352" s="999">
        <v>0.69179999999999997</v>
      </c>
      <c r="C352" s="999">
        <v>0.69179999999999997</v>
      </c>
      <c r="D352" s="999">
        <v>0.67049999999999998</v>
      </c>
      <c r="E352" s="999">
        <v>0.67049999999999998</v>
      </c>
      <c r="F352" s="999">
        <v>0.67049999999999998</v>
      </c>
      <c r="G352" s="999">
        <v>0.59989999999999999</v>
      </c>
      <c r="H352" s="999">
        <v>0.59989999999999999</v>
      </c>
      <c r="I352" s="999">
        <v>0.5242</v>
      </c>
      <c r="J352" s="999">
        <v>0.5242</v>
      </c>
      <c r="K352" s="999">
        <v>0.5242</v>
      </c>
      <c r="L352" s="999">
        <v>0.5242</v>
      </c>
      <c r="M352" s="999">
        <v>0.5242</v>
      </c>
    </row>
    <row r="353" spans="1:13">
      <c r="A353" s="1014">
        <v>4.5</v>
      </c>
      <c r="B353" s="999">
        <v>0.68940000000000001</v>
      </c>
      <c r="C353" s="999">
        <v>0.68940000000000001</v>
      </c>
      <c r="D353" s="999">
        <v>0.6673</v>
      </c>
      <c r="E353" s="999">
        <v>0.6673</v>
      </c>
      <c r="F353" s="999">
        <v>0.6673</v>
      </c>
      <c r="G353" s="999">
        <v>0.59670000000000001</v>
      </c>
      <c r="H353" s="999">
        <v>0.59670000000000001</v>
      </c>
      <c r="I353" s="999">
        <v>0.52110000000000001</v>
      </c>
      <c r="J353" s="999">
        <v>0.52110000000000001</v>
      </c>
      <c r="K353" s="999">
        <v>0.52110000000000001</v>
      </c>
      <c r="L353" s="999">
        <v>0.52110000000000001</v>
      </c>
      <c r="M353" s="999">
        <v>0.52110000000000001</v>
      </c>
    </row>
    <row r="354" spans="1:13">
      <c r="A354" s="1014">
        <v>4.5999999999999996</v>
      </c>
      <c r="B354" s="999">
        <v>0.68720000000000003</v>
      </c>
      <c r="C354" s="999">
        <v>0.68720000000000003</v>
      </c>
      <c r="D354" s="999">
        <v>0.6643</v>
      </c>
      <c r="E354" s="999">
        <v>0.6643</v>
      </c>
      <c r="F354" s="999">
        <v>0.6643</v>
      </c>
      <c r="G354" s="999">
        <v>0.59379999999999999</v>
      </c>
      <c r="H354" s="999">
        <v>0.59379999999999999</v>
      </c>
      <c r="I354" s="999">
        <v>0.51819999999999999</v>
      </c>
      <c r="J354" s="999">
        <v>0.51819999999999999</v>
      </c>
      <c r="K354" s="999">
        <v>0.51819999999999999</v>
      </c>
      <c r="L354" s="999">
        <v>0.51819999999999999</v>
      </c>
      <c r="M354" s="999">
        <v>0.51819999999999999</v>
      </c>
    </row>
    <row r="355" spans="1:13">
      <c r="A355" s="1014">
        <v>4.7</v>
      </c>
      <c r="B355" s="999">
        <v>0.68520000000000003</v>
      </c>
      <c r="C355" s="999">
        <v>0.68520000000000003</v>
      </c>
      <c r="D355" s="999">
        <v>0.66149999999999998</v>
      </c>
      <c r="E355" s="999">
        <v>0.66149999999999998</v>
      </c>
      <c r="F355" s="999">
        <v>0.66149999999999998</v>
      </c>
      <c r="G355" s="999">
        <v>0.59109999999999996</v>
      </c>
      <c r="H355" s="999">
        <v>0.59109999999999996</v>
      </c>
      <c r="I355" s="999">
        <v>0.51559999999999995</v>
      </c>
      <c r="J355" s="999">
        <v>0.51559999999999995</v>
      </c>
      <c r="K355" s="999">
        <v>0.51559999999999995</v>
      </c>
      <c r="L355" s="999">
        <v>0.51559999999999995</v>
      </c>
      <c r="M355" s="999">
        <v>0.51559999999999995</v>
      </c>
    </row>
    <row r="356" spans="1:13">
      <c r="A356" s="1014">
        <v>4.8</v>
      </c>
      <c r="B356" s="999">
        <v>0.68340000000000001</v>
      </c>
      <c r="C356" s="999">
        <v>0.68340000000000001</v>
      </c>
      <c r="D356" s="999">
        <v>0.65900000000000003</v>
      </c>
      <c r="E356" s="999">
        <v>0.65900000000000003</v>
      </c>
      <c r="F356" s="999">
        <v>0.65900000000000003</v>
      </c>
      <c r="G356" s="999">
        <v>0.58850000000000002</v>
      </c>
      <c r="H356" s="999">
        <v>0.58850000000000002</v>
      </c>
      <c r="I356" s="999">
        <v>0.51300000000000001</v>
      </c>
      <c r="J356" s="999">
        <v>0.51300000000000001</v>
      </c>
      <c r="K356" s="999">
        <v>0.51300000000000001</v>
      </c>
      <c r="L356" s="999">
        <v>0.51300000000000001</v>
      </c>
      <c r="M356" s="999">
        <v>0.51300000000000001</v>
      </c>
    </row>
    <row r="357" spans="1:13">
      <c r="A357" s="1014">
        <v>4.9000000000000004</v>
      </c>
      <c r="B357" s="999">
        <v>0.68179999999999996</v>
      </c>
      <c r="C357" s="999">
        <v>0.68179999999999996</v>
      </c>
      <c r="D357" s="999">
        <v>0.65659999999999996</v>
      </c>
      <c r="E357" s="999">
        <v>0.65659999999999996</v>
      </c>
      <c r="F357" s="999">
        <v>0.65659999999999996</v>
      </c>
      <c r="G357" s="999">
        <v>0.58599999999999997</v>
      </c>
      <c r="H357" s="999">
        <v>0.58599999999999997</v>
      </c>
      <c r="I357" s="999">
        <v>0.51060000000000005</v>
      </c>
      <c r="J357" s="999">
        <v>0.51060000000000005</v>
      </c>
      <c r="K357" s="999">
        <v>0.51060000000000005</v>
      </c>
      <c r="L357" s="999">
        <v>0.51060000000000005</v>
      </c>
      <c r="M357" s="999">
        <v>0.51060000000000005</v>
      </c>
    </row>
    <row r="358" spans="1:13">
      <c r="A358" s="1014">
        <v>5</v>
      </c>
      <c r="B358" s="999">
        <v>0.68030000000000002</v>
      </c>
      <c r="C358" s="999">
        <v>0.68030000000000002</v>
      </c>
      <c r="D358" s="999">
        <v>0.65439999999999998</v>
      </c>
      <c r="E358" s="999">
        <v>0.65439999999999998</v>
      </c>
      <c r="F358" s="999">
        <v>0.65439999999999998</v>
      </c>
      <c r="G358" s="999">
        <v>0.58379999999999999</v>
      </c>
      <c r="H358" s="999">
        <v>0.58379999999999999</v>
      </c>
      <c r="I358" s="999">
        <v>0.50839999999999996</v>
      </c>
      <c r="J358" s="999">
        <v>0.50839999999999996</v>
      </c>
      <c r="K358" s="999">
        <v>0.50839999999999996</v>
      </c>
      <c r="L358" s="999">
        <v>0.50839999999999996</v>
      </c>
      <c r="M358" s="999">
        <v>0.50839999999999996</v>
      </c>
    </row>
    <row r="359" spans="1:13">
      <c r="A359" s="990">
        <v>5.0999999999999996</v>
      </c>
      <c r="B359" s="999">
        <v>0.67889999999999995</v>
      </c>
      <c r="C359" s="999">
        <v>0.67889999999999995</v>
      </c>
      <c r="D359" s="999">
        <v>0.65229999999999999</v>
      </c>
      <c r="E359" s="999">
        <v>0.65229999999999999</v>
      </c>
      <c r="F359" s="999">
        <v>0.65229999999999999</v>
      </c>
      <c r="G359" s="999">
        <v>0.58160000000000001</v>
      </c>
      <c r="H359" s="999">
        <v>0.58160000000000001</v>
      </c>
      <c r="I359" s="999">
        <v>0.50629999999999997</v>
      </c>
      <c r="J359" s="999">
        <v>0.50629999999999997</v>
      </c>
      <c r="K359" s="999">
        <v>0.50629999999999997</v>
      </c>
      <c r="L359" s="999">
        <v>0.50629999999999997</v>
      </c>
      <c r="M359" s="999">
        <v>0.50629999999999997</v>
      </c>
    </row>
    <row r="360" spans="1:13">
      <c r="A360" s="990">
        <v>5.2</v>
      </c>
      <c r="B360" s="999">
        <v>0.67749999999999999</v>
      </c>
      <c r="C360" s="999">
        <v>0.67749999999999999</v>
      </c>
      <c r="D360" s="999">
        <v>0.65029999999999999</v>
      </c>
      <c r="E360" s="999">
        <v>0.65029999999999999</v>
      </c>
      <c r="F360" s="999">
        <v>0.65029999999999999</v>
      </c>
      <c r="G360" s="999">
        <v>0.57950000000000002</v>
      </c>
      <c r="H360" s="999">
        <v>0.57950000000000002</v>
      </c>
      <c r="I360" s="999">
        <v>0.50419999999999998</v>
      </c>
      <c r="J360" s="999">
        <v>0.50419999999999998</v>
      </c>
      <c r="K360" s="999">
        <v>0.50419999999999998</v>
      </c>
      <c r="L360" s="999">
        <v>0.50419999999999998</v>
      </c>
      <c r="M360" s="999">
        <v>0.50419999999999998</v>
      </c>
    </row>
    <row r="361" spans="1:13">
      <c r="A361" s="990">
        <v>5.3</v>
      </c>
      <c r="B361" s="999">
        <v>0.67620000000000002</v>
      </c>
      <c r="C361" s="999">
        <v>0.67620000000000002</v>
      </c>
      <c r="D361" s="999">
        <v>0.64839999999999998</v>
      </c>
      <c r="E361" s="999">
        <v>0.64839999999999998</v>
      </c>
      <c r="F361" s="999">
        <v>0.64839999999999998</v>
      </c>
      <c r="G361" s="999">
        <v>0.5776</v>
      </c>
      <c r="H361" s="999">
        <v>0.5776</v>
      </c>
      <c r="I361" s="999">
        <v>0.50229999999999997</v>
      </c>
      <c r="J361" s="999">
        <v>0.50229999999999997</v>
      </c>
      <c r="K361" s="999">
        <v>0.50229999999999997</v>
      </c>
      <c r="L361" s="999">
        <v>0.50229999999999997</v>
      </c>
      <c r="M361" s="999">
        <v>0.50229999999999997</v>
      </c>
    </row>
    <row r="362" spans="1:13">
      <c r="A362" s="990">
        <v>5.4</v>
      </c>
      <c r="B362" s="999">
        <v>0.67500000000000004</v>
      </c>
      <c r="C362" s="999">
        <v>0.67500000000000004</v>
      </c>
      <c r="D362" s="999">
        <v>0.64670000000000005</v>
      </c>
      <c r="E362" s="999">
        <v>0.64670000000000005</v>
      </c>
      <c r="F362" s="999">
        <v>0.64670000000000005</v>
      </c>
      <c r="G362" s="999">
        <v>0.57579999999999998</v>
      </c>
      <c r="H362" s="999">
        <v>0.57579999999999998</v>
      </c>
      <c r="I362" s="999">
        <v>0.50039999999999996</v>
      </c>
      <c r="J362" s="999">
        <v>0.50039999999999996</v>
      </c>
      <c r="K362" s="999">
        <v>0.50039999999999996</v>
      </c>
      <c r="L362" s="999">
        <v>0.50039999999999996</v>
      </c>
      <c r="M362" s="999">
        <v>0.50039999999999996</v>
      </c>
    </row>
    <row r="363" spans="1:13">
      <c r="A363" s="990">
        <v>5.5</v>
      </c>
      <c r="B363" s="999">
        <v>0.67379999999999995</v>
      </c>
      <c r="C363" s="999">
        <v>0.67379999999999995</v>
      </c>
      <c r="D363" s="999">
        <v>0.64500000000000002</v>
      </c>
      <c r="E363" s="999">
        <v>0.64500000000000002</v>
      </c>
      <c r="F363" s="999">
        <v>0.64500000000000002</v>
      </c>
      <c r="G363" s="999">
        <v>0.57399999999999995</v>
      </c>
      <c r="H363" s="999">
        <v>0.57399999999999995</v>
      </c>
      <c r="I363" s="999">
        <v>0.49869999999999998</v>
      </c>
      <c r="J363" s="999">
        <v>0.49869999999999998</v>
      </c>
      <c r="K363" s="999">
        <v>0.49869999999999998</v>
      </c>
      <c r="L363" s="999">
        <v>0.49869999999999998</v>
      </c>
      <c r="M363" s="999">
        <v>0.49869999999999998</v>
      </c>
    </row>
    <row r="364" spans="1:13">
      <c r="A364" s="990">
        <v>5.6</v>
      </c>
      <c r="B364" s="999">
        <v>0.67259999999999998</v>
      </c>
      <c r="C364" s="999">
        <v>0.67259999999999998</v>
      </c>
      <c r="D364" s="999">
        <v>0.64339999999999997</v>
      </c>
      <c r="E364" s="999">
        <v>0.64339999999999997</v>
      </c>
      <c r="F364" s="999">
        <v>0.64339999999999997</v>
      </c>
      <c r="G364" s="999">
        <v>0.57240000000000002</v>
      </c>
      <c r="H364" s="999">
        <v>0.57240000000000002</v>
      </c>
      <c r="I364" s="999">
        <v>0.49690000000000001</v>
      </c>
      <c r="J364" s="999">
        <v>0.49690000000000001</v>
      </c>
      <c r="K364" s="999">
        <v>0.49690000000000001</v>
      </c>
      <c r="L364" s="999">
        <v>0.49690000000000001</v>
      </c>
      <c r="M364" s="999">
        <v>0.49690000000000001</v>
      </c>
    </row>
    <row r="365" spans="1:13">
      <c r="A365" s="1014">
        <v>5.7</v>
      </c>
      <c r="B365" s="999">
        <v>0.6714</v>
      </c>
      <c r="C365" s="999">
        <v>0.6714</v>
      </c>
      <c r="D365" s="999">
        <v>0.64190000000000003</v>
      </c>
      <c r="E365" s="999">
        <v>0.64190000000000003</v>
      </c>
      <c r="F365" s="999">
        <v>0.64190000000000003</v>
      </c>
      <c r="G365" s="999">
        <v>0.57069999999999999</v>
      </c>
      <c r="H365" s="999">
        <v>0.57069999999999999</v>
      </c>
      <c r="I365" s="999">
        <v>0.49519999999999997</v>
      </c>
      <c r="J365" s="999">
        <v>0.49519999999999997</v>
      </c>
      <c r="K365" s="999">
        <v>0.49519999999999997</v>
      </c>
      <c r="L365" s="999">
        <v>0.49519999999999997</v>
      </c>
      <c r="M365" s="999">
        <v>0.49519999999999997</v>
      </c>
    </row>
    <row r="366" spans="1:13">
      <c r="A366" s="990">
        <v>5.8</v>
      </c>
      <c r="B366" s="999">
        <v>0.67020000000000002</v>
      </c>
      <c r="C366" s="999">
        <v>0.67020000000000002</v>
      </c>
      <c r="D366" s="999">
        <v>0.64039999999999997</v>
      </c>
      <c r="E366" s="999">
        <v>0.64039999999999997</v>
      </c>
      <c r="F366" s="999">
        <v>0.64039999999999997</v>
      </c>
      <c r="G366" s="999">
        <v>0.56910000000000005</v>
      </c>
      <c r="H366" s="999">
        <v>0.56910000000000005</v>
      </c>
      <c r="I366" s="999">
        <v>0.49359999999999998</v>
      </c>
      <c r="J366" s="999">
        <v>0.49359999999999998</v>
      </c>
      <c r="K366" s="999">
        <v>0.49359999999999998</v>
      </c>
      <c r="L366" s="999">
        <v>0.49359999999999998</v>
      </c>
      <c r="M366" s="999">
        <v>0.49359999999999998</v>
      </c>
    </row>
    <row r="367" spans="1:13">
      <c r="A367" s="990">
        <v>5.9</v>
      </c>
      <c r="B367" s="999">
        <v>0.66910000000000003</v>
      </c>
      <c r="C367" s="999">
        <v>0.66910000000000003</v>
      </c>
      <c r="D367" s="999">
        <v>0.63890000000000002</v>
      </c>
      <c r="E367" s="999">
        <v>0.63890000000000002</v>
      </c>
      <c r="F367" s="999">
        <v>0.63890000000000002</v>
      </c>
      <c r="G367" s="999">
        <v>0.5675</v>
      </c>
      <c r="H367" s="999">
        <v>0.5675</v>
      </c>
      <c r="I367" s="999">
        <v>0.4919</v>
      </c>
      <c r="J367" s="999">
        <v>0.4919</v>
      </c>
      <c r="K367" s="999">
        <v>0.4919</v>
      </c>
      <c r="L367" s="999">
        <v>0.4919</v>
      </c>
      <c r="M367" s="999">
        <v>0.4919</v>
      </c>
    </row>
    <row r="368" spans="1:13">
      <c r="A368" s="990">
        <v>6</v>
      </c>
      <c r="B368" s="999">
        <v>0.66800000000000004</v>
      </c>
      <c r="C368" s="999">
        <v>0.66800000000000004</v>
      </c>
      <c r="D368" s="999">
        <v>0.63739999999999997</v>
      </c>
      <c r="E368" s="999">
        <v>0.63739999999999997</v>
      </c>
      <c r="F368" s="999">
        <v>0.63739999999999997</v>
      </c>
      <c r="G368" s="999">
        <v>0.56589999999999996</v>
      </c>
      <c r="H368" s="999">
        <v>0.56589999999999996</v>
      </c>
      <c r="I368" s="999">
        <v>0.49020000000000002</v>
      </c>
      <c r="J368" s="999">
        <v>0.49020000000000002</v>
      </c>
      <c r="K368" s="999">
        <v>0.49020000000000002</v>
      </c>
      <c r="L368" s="999">
        <v>0.49020000000000002</v>
      </c>
      <c r="M368" s="999">
        <v>0.49020000000000002</v>
      </c>
    </row>
    <row r="369" spans="1:13">
      <c r="A369" s="990">
        <v>6.1</v>
      </c>
      <c r="B369" s="999">
        <v>0.66690000000000005</v>
      </c>
      <c r="C369" s="999">
        <v>0.66690000000000005</v>
      </c>
      <c r="D369" s="999">
        <v>0.63590000000000002</v>
      </c>
      <c r="E369" s="999">
        <v>0.63590000000000002</v>
      </c>
      <c r="F369" s="999">
        <v>0.63590000000000002</v>
      </c>
      <c r="G369" s="999">
        <v>0.56440000000000001</v>
      </c>
      <c r="H369" s="999">
        <v>0.56440000000000001</v>
      </c>
      <c r="I369" s="999">
        <v>0.48849999999999999</v>
      </c>
      <c r="J369" s="999">
        <v>0.48849999999999999</v>
      </c>
      <c r="K369" s="999">
        <v>0.48849999999999999</v>
      </c>
      <c r="L369" s="999">
        <v>0.48849999999999999</v>
      </c>
      <c r="M369" s="999">
        <v>0.48849999999999999</v>
      </c>
    </row>
    <row r="370" spans="1:13">
      <c r="A370" s="990">
        <v>6.2</v>
      </c>
      <c r="B370" s="999">
        <v>0.66579999999999995</v>
      </c>
      <c r="C370" s="999">
        <v>0.66579999999999995</v>
      </c>
      <c r="D370" s="999">
        <v>0.63439999999999996</v>
      </c>
      <c r="E370" s="999">
        <v>0.63439999999999996</v>
      </c>
      <c r="F370" s="999">
        <v>0.63439999999999996</v>
      </c>
      <c r="G370" s="999">
        <v>0.56289999999999996</v>
      </c>
      <c r="H370" s="999">
        <v>0.56289999999999996</v>
      </c>
      <c r="I370" s="999">
        <v>0.48680000000000001</v>
      </c>
      <c r="J370" s="999">
        <v>0.48680000000000001</v>
      </c>
      <c r="K370" s="999">
        <v>0.48680000000000001</v>
      </c>
      <c r="L370" s="999">
        <v>0.48680000000000001</v>
      </c>
      <c r="M370" s="999">
        <v>0.48680000000000001</v>
      </c>
    </row>
    <row r="371" spans="1:13">
      <c r="A371" s="990">
        <v>6.3</v>
      </c>
      <c r="B371" s="999">
        <v>0.66469999999999996</v>
      </c>
      <c r="C371" s="999">
        <v>0.66469999999999996</v>
      </c>
      <c r="D371" s="999">
        <v>0.63290000000000002</v>
      </c>
      <c r="E371" s="999">
        <v>0.63290000000000002</v>
      </c>
      <c r="F371" s="999">
        <v>0.63290000000000002</v>
      </c>
      <c r="G371" s="999">
        <v>0.56130000000000002</v>
      </c>
      <c r="H371" s="999">
        <v>0.56130000000000002</v>
      </c>
      <c r="I371" s="999">
        <v>0.48509999999999998</v>
      </c>
      <c r="J371" s="999">
        <v>0.48509999999999998</v>
      </c>
      <c r="K371" s="999">
        <v>0.48509999999999998</v>
      </c>
      <c r="L371" s="999">
        <v>0.48509999999999998</v>
      </c>
      <c r="M371" s="999">
        <v>0.48509999999999998</v>
      </c>
    </row>
    <row r="372" spans="1:13">
      <c r="A372" s="990">
        <v>6.4</v>
      </c>
      <c r="B372" s="999">
        <v>0.66359999999999997</v>
      </c>
      <c r="C372" s="999">
        <v>0.66359999999999997</v>
      </c>
      <c r="D372" s="999">
        <v>0.63139999999999996</v>
      </c>
      <c r="E372" s="999">
        <v>0.63139999999999996</v>
      </c>
      <c r="F372" s="999">
        <v>0.63139999999999996</v>
      </c>
      <c r="G372" s="999">
        <v>0.55979999999999996</v>
      </c>
      <c r="H372" s="999">
        <v>0.55979999999999996</v>
      </c>
      <c r="I372" s="999">
        <v>0.48349999999999999</v>
      </c>
      <c r="J372" s="999">
        <v>0.48349999999999999</v>
      </c>
      <c r="K372" s="999">
        <v>0.48349999999999999</v>
      </c>
      <c r="L372" s="999">
        <v>0.48349999999999999</v>
      </c>
      <c r="M372" s="999">
        <v>0.48349999999999999</v>
      </c>
    </row>
    <row r="373" spans="1:13">
      <c r="A373" s="990">
        <v>6.5</v>
      </c>
      <c r="B373" s="999">
        <v>0.66249999999999998</v>
      </c>
      <c r="C373" s="999">
        <v>0.66249999999999998</v>
      </c>
      <c r="D373" s="999">
        <v>0.63</v>
      </c>
      <c r="E373" s="999">
        <v>0.63</v>
      </c>
      <c r="F373" s="999">
        <v>0.63</v>
      </c>
      <c r="G373" s="999">
        <v>0.55820000000000003</v>
      </c>
      <c r="H373" s="999">
        <v>0.55820000000000003</v>
      </c>
      <c r="I373" s="999">
        <v>0.4819</v>
      </c>
      <c r="J373" s="999">
        <v>0.4819</v>
      </c>
      <c r="K373" s="999">
        <v>0.4819</v>
      </c>
      <c r="L373" s="999">
        <v>0.4819</v>
      </c>
      <c r="M373" s="999">
        <v>0.4819</v>
      </c>
    </row>
    <row r="374" spans="1:13">
      <c r="A374" s="990">
        <v>6.6</v>
      </c>
      <c r="B374" s="999">
        <v>0.66149999999999998</v>
      </c>
      <c r="C374" s="999">
        <v>0.66149999999999998</v>
      </c>
      <c r="D374" s="999">
        <v>0.62860000000000005</v>
      </c>
      <c r="E374" s="999">
        <v>0.62860000000000005</v>
      </c>
      <c r="F374" s="999">
        <v>0.62860000000000005</v>
      </c>
      <c r="G374" s="999">
        <v>0.55669999999999997</v>
      </c>
      <c r="H374" s="999">
        <v>0.55669999999999997</v>
      </c>
      <c r="I374" s="999">
        <v>0.4803</v>
      </c>
      <c r="J374" s="999">
        <v>0.4803</v>
      </c>
      <c r="K374" s="999">
        <v>0.4803</v>
      </c>
      <c r="L374" s="999">
        <v>0.4803</v>
      </c>
      <c r="M374" s="999">
        <v>0.4803</v>
      </c>
    </row>
    <row r="375" spans="1:13">
      <c r="A375" s="990">
        <v>6.7</v>
      </c>
      <c r="B375" s="999">
        <v>0.66049999999999998</v>
      </c>
      <c r="C375" s="999">
        <v>0.66049999999999998</v>
      </c>
      <c r="D375" s="999">
        <v>0.62719999999999998</v>
      </c>
      <c r="E375" s="999">
        <v>0.62719999999999998</v>
      </c>
      <c r="F375" s="999">
        <v>0.62719999999999998</v>
      </c>
      <c r="G375" s="999">
        <v>0.55520000000000003</v>
      </c>
      <c r="H375" s="999">
        <v>0.55520000000000003</v>
      </c>
      <c r="I375" s="999">
        <v>0.47870000000000001</v>
      </c>
      <c r="J375" s="999">
        <v>0.47870000000000001</v>
      </c>
      <c r="K375" s="999">
        <v>0.47870000000000001</v>
      </c>
      <c r="L375" s="999">
        <v>0.47870000000000001</v>
      </c>
      <c r="M375" s="999">
        <v>0.47870000000000001</v>
      </c>
    </row>
    <row r="376" spans="1:13">
      <c r="A376" s="990">
        <v>6.8</v>
      </c>
      <c r="B376" s="999">
        <v>0.65949999999999998</v>
      </c>
      <c r="C376" s="999">
        <v>0.65949999999999998</v>
      </c>
      <c r="D376" s="999">
        <v>0.62580000000000002</v>
      </c>
      <c r="E376" s="999">
        <v>0.62580000000000002</v>
      </c>
      <c r="F376" s="999">
        <v>0.62580000000000002</v>
      </c>
      <c r="G376" s="999">
        <v>0.55359999999999998</v>
      </c>
      <c r="H376" s="999">
        <v>0.55359999999999998</v>
      </c>
      <c r="I376" s="999">
        <v>0.47710000000000002</v>
      </c>
      <c r="J376" s="999">
        <v>0.47710000000000002</v>
      </c>
      <c r="K376" s="999">
        <v>0.47710000000000002</v>
      </c>
      <c r="L376" s="999">
        <v>0.47710000000000002</v>
      </c>
      <c r="M376" s="999">
        <v>0.47710000000000002</v>
      </c>
    </row>
    <row r="377" spans="1:13">
      <c r="A377" s="990">
        <v>6.9</v>
      </c>
      <c r="B377" s="999">
        <v>0.65849999999999997</v>
      </c>
      <c r="C377" s="999">
        <v>0.65849999999999997</v>
      </c>
      <c r="D377" s="999">
        <v>0.62439999999999996</v>
      </c>
      <c r="E377" s="999">
        <v>0.62439999999999996</v>
      </c>
      <c r="F377" s="999">
        <v>0.62439999999999996</v>
      </c>
      <c r="G377" s="999">
        <v>0.55220000000000002</v>
      </c>
      <c r="H377" s="999">
        <v>0.55220000000000002</v>
      </c>
      <c r="I377" s="999">
        <v>0.47549999999999998</v>
      </c>
      <c r="J377" s="999">
        <v>0.47549999999999998</v>
      </c>
      <c r="K377" s="999">
        <v>0.47549999999999998</v>
      </c>
      <c r="L377" s="999">
        <v>0.47549999999999998</v>
      </c>
      <c r="M377" s="999">
        <v>0.47549999999999998</v>
      </c>
    </row>
    <row r="378" spans="1:13">
      <c r="A378" s="990">
        <v>7</v>
      </c>
      <c r="B378" s="999">
        <v>0.65749999999999997</v>
      </c>
      <c r="C378" s="999">
        <v>0.65749999999999997</v>
      </c>
      <c r="D378" s="999">
        <v>0.623</v>
      </c>
      <c r="E378" s="999">
        <v>0.623</v>
      </c>
      <c r="F378" s="999">
        <v>0.623</v>
      </c>
      <c r="G378" s="999">
        <v>0.55069999999999997</v>
      </c>
      <c r="H378" s="999">
        <v>0.55069999999999997</v>
      </c>
      <c r="I378" s="999">
        <v>0.47389999999999999</v>
      </c>
      <c r="J378" s="999">
        <v>0.47389999999999999</v>
      </c>
      <c r="K378" s="999">
        <v>0.47389999999999999</v>
      </c>
      <c r="L378" s="999">
        <v>0.47389999999999999</v>
      </c>
      <c r="M378" s="999">
        <v>0.47389999999999999</v>
      </c>
    </row>
    <row r="379" spans="1:13">
      <c r="A379" s="990">
        <v>7.1</v>
      </c>
      <c r="B379" s="999">
        <v>0.65649999999999997</v>
      </c>
      <c r="C379" s="999">
        <v>0.65649999999999997</v>
      </c>
      <c r="D379" s="999">
        <v>0.62160000000000004</v>
      </c>
      <c r="E379" s="999">
        <v>0.62160000000000004</v>
      </c>
      <c r="F379" s="999">
        <v>0.62160000000000004</v>
      </c>
      <c r="G379" s="999">
        <v>0.54930000000000001</v>
      </c>
      <c r="H379" s="999">
        <v>0.54930000000000001</v>
      </c>
      <c r="I379" s="999">
        <v>0.47239999999999999</v>
      </c>
      <c r="J379" s="999">
        <v>0.47239999999999999</v>
      </c>
      <c r="K379" s="999">
        <v>0.47239999999999999</v>
      </c>
      <c r="L379" s="999">
        <v>0.47239999999999999</v>
      </c>
      <c r="M379" s="999">
        <v>0.47239999999999999</v>
      </c>
    </row>
    <row r="380" spans="1:13">
      <c r="A380" s="990">
        <v>7.2</v>
      </c>
      <c r="B380" s="999">
        <v>0.65549999999999997</v>
      </c>
      <c r="C380" s="999">
        <v>0.65549999999999997</v>
      </c>
      <c r="D380" s="999">
        <v>0.62019999999999997</v>
      </c>
      <c r="E380" s="999">
        <v>0.62019999999999997</v>
      </c>
      <c r="F380" s="999">
        <v>0.62019999999999997</v>
      </c>
      <c r="G380" s="999">
        <v>0.54779999999999995</v>
      </c>
      <c r="H380" s="999">
        <v>0.54779999999999995</v>
      </c>
      <c r="I380" s="999">
        <v>0.47089999999999999</v>
      </c>
      <c r="J380" s="999">
        <v>0.47089999999999999</v>
      </c>
      <c r="K380" s="999">
        <v>0.47089999999999999</v>
      </c>
      <c r="L380" s="999">
        <v>0.47089999999999999</v>
      </c>
      <c r="M380" s="999">
        <v>0.47089999999999999</v>
      </c>
    </row>
    <row r="381" spans="1:13">
      <c r="A381" s="990">
        <v>7.3</v>
      </c>
      <c r="B381" s="999">
        <v>0.65449999999999997</v>
      </c>
      <c r="C381" s="999">
        <v>0.65449999999999997</v>
      </c>
      <c r="D381" s="999">
        <v>0.61880000000000002</v>
      </c>
      <c r="E381" s="999">
        <v>0.61880000000000002</v>
      </c>
      <c r="F381" s="999">
        <v>0.61880000000000002</v>
      </c>
      <c r="G381" s="999">
        <v>0.5464</v>
      </c>
      <c r="H381" s="999">
        <v>0.5464</v>
      </c>
      <c r="I381" s="999">
        <v>0.46939999999999998</v>
      </c>
      <c r="J381" s="999">
        <v>0.46939999999999998</v>
      </c>
      <c r="K381" s="999">
        <v>0.46939999999999998</v>
      </c>
      <c r="L381" s="999">
        <v>0.46939999999999998</v>
      </c>
      <c r="M381" s="999">
        <v>0.46939999999999998</v>
      </c>
    </row>
    <row r="382" spans="1:13">
      <c r="A382" s="990">
        <v>7.4</v>
      </c>
      <c r="B382" s="999">
        <v>0.65349999999999997</v>
      </c>
      <c r="C382" s="999">
        <v>0.65349999999999997</v>
      </c>
      <c r="D382" s="999">
        <v>0.61750000000000005</v>
      </c>
      <c r="E382" s="999">
        <v>0.61750000000000005</v>
      </c>
      <c r="F382" s="999">
        <v>0.61750000000000005</v>
      </c>
      <c r="G382" s="999">
        <v>0.54490000000000005</v>
      </c>
      <c r="H382" s="999">
        <v>0.54490000000000005</v>
      </c>
      <c r="I382" s="999">
        <v>0.46779999999999999</v>
      </c>
      <c r="J382" s="999">
        <v>0.46779999999999999</v>
      </c>
      <c r="K382" s="999">
        <v>0.46779999999999999</v>
      </c>
      <c r="L382" s="999">
        <v>0.46779999999999999</v>
      </c>
      <c r="M382" s="999">
        <v>0.46779999999999999</v>
      </c>
    </row>
    <row r="383" spans="1:13">
      <c r="A383" s="990">
        <v>7.5</v>
      </c>
      <c r="B383" s="999">
        <v>0.65249999999999997</v>
      </c>
      <c r="C383" s="999">
        <v>0.65249999999999997</v>
      </c>
      <c r="D383" s="999">
        <v>0.61619999999999997</v>
      </c>
      <c r="E383" s="999">
        <v>0.61619999999999997</v>
      </c>
      <c r="F383" s="999">
        <v>0.61619999999999997</v>
      </c>
      <c r="G383" s="999">
        <v>0.54349999999999998</v>
      </c>
      <c r="H383" s="999">
        <v>0.54349999999999998</v>
      </c>
      <c r="I383" s="999">
        <v>0.46629999999999999</v>
      </c>
      <c r="J383" s="999">
        <v>0.46629999999999999</v>
      </c>
      <c r="K383" s="999">
        <v>0.46629999999999999</v>
      </c>
      <c r="L383" s="999">
        <v>0.46629999999999999</v>
      </c>
      <c r="M383" s="999">
        <v>0.46629999999999999</v>
      </c>
    </row>
    <row r="384" spans="1:13">
      <c r="A384" s="990">
        <v>7.6</v>
      </c>
      <c r="B384" s="999">
        <v>0.65149999999999997</v>
      </c>
      <c r="C384" s="999">
        <v>0.65149999999999997</v>
      </c>
      <c r="D384" s="999">
        <v>0.6149</v>
      </c>
      <c r="E384" s="999">
        <v>0.6149</v>
      </c>
      <c r="F384" s="999">
        <v>0.6149</v>
      </c>
      <c r="G384" s="999">
        <v>0.54200000000000004</v>
      </c>
      <c r="H384" s="999">
        <v>0.54200000000000004</v>
      </c>
      <c r="I384" s="999">
        <v>0.46479999999999999</v>
      </c>
      <c r="J384" s="999">
        <v>0.46479999999999999</v>
      </c>
      <c r="K384" s="999">
        <v>0.46479999999999999</v>
      </c>
      <c r="L384" s="999">
        <v>0.46479999999999999</v>
      </c>
      <c r="M384" s="999">
        <v>0.46479999999999999</v>
      </c>
    </row>
    <row r="385" spans="1:13">
      <c r="A385" s="990">
        <v>7.7</v>
      </c>
      <c r="B385" s="999">
        <v>0.65049999999999997</v>
      </c>
      <c r="C385" s="999">
        <v>0.65049999999999997</v>
      </c>
      <c r="D385" s="999">
        <v>0.61360000000000003</v>
      </c>
      <c r="E385" s="999">
        <v>0.61360000000000003</v>
      </c>
      <c r="F385" s="999">
        <v>0.61360000000000003</v>
      </c>
      <c r="G385" s="999">
        <v>0.54059999999999997</v>
      </c>
      <c r="H385" s="999">
        <v>0.54059999999999997</v>
      </c>
      <c r="I385" s="999">
        <v>0.46329999999999999</v>
      </c>
      <c r="J385" s="999">
        <v>0.46329999999999999</v>
      </c>
      <c r="K385" s="999">
        <v>0.46329999999999999</v>
      </c>
      <c r="L385" s="999">
        <v>0.46329999999999999</v>
      </c>
      <c r="M385" s="999">
        <v>0.46329999999999999</v>
      </c>
    </row>
    <row r="386" spans="1:13">
      <c r="A386" s="990">
        <v>7.8</v>
      </c>
      <c r="B386" s="999">
        <v>0.64949999999999997</v>
      </c>
      <c r="C386" s="999">
        <v>0.64949999999999997</v>
      </c>
      <c r="D386" s="999">
        <v>0.61229999999999996</v>
      </c>
      <c r="E386" s="999">
        <v>0.61229999999999996</v>
      </c>
      <c r="F386" s="999">
        <v>0.61229999999999996</v>
      </c>
      <c r="G386" s="999">
        <v>0.53910000000000002</v>
      </c>
      <c r="H386" s="999">
        <v>0.53910000000000002</v>
      </c>
      <c r="I386" s="999">
        <v>0.4617</v>
      </c>
      <c r="J386" s="999">
        <v>0.4617</v>
      </c>
      <c r="K386" s="999">
        <v>0.4617</v>
      </c>
      <c r="L386" s="999">
        <v>0.4617</v>
      </c>
      <c r="M386" s="999">
        <v>0.4617</v>
      </c>
    </row>
    <row r="387" spans="1:13">
      <c r="A387" s="990">
        <v>7.9</v>
      </c>
      <c r="B387" s="999">
        <v>0.64849999999999997</v>
      </c>
      <c r="C387" s="999">
        <v>0.64849999999999997</v>
      </c>
      <c r="D387" s="999">
        <v>0.61099999999999999</v>
      </c>
      <c r="E387" s="999">
        <v>0.61099999999999999</v>
      </c>
      <c r="F387" s="999">
        <v>0.61099999999999999</v>
      </c>
      <c r="G387" s="999">
        <v>0.53769999999999996</v>
      </c>
      <c r="H387" s="999">
        <v>0.53769999999999996</v>
      </c>
      <c r="I387" s="999">
        <v>0.4602</v>
      </c>
      <c r="J387" s="999">
        <v>0.4602</v>
      </c>
      <c r="K387" s="999">
        <v>0.4602</v>
      </c>
      <c r="L387" s="999">
        <v>0.4602</v>
      </c>
      <c r="M387" s="999">
        <v>0.4602</v>
      </c>
    </row>
    <row r="388" spans="1:13">
      <c r="A388" s="990">
        <v>8</v>
      </c>
      <c r="B388" s="999">
        <v>0.64749999999999996</v>
      </c>
      <c r="C388" s="999">
        <v>0.64749999999999996</v>
      </c>
      <c r="D388" s="999">
        <v>0.60970000000000002</v>
      </c>
      <c r="E388" s="999">
        <v>0.60970000000000002</v>
      </c>
      <c r="F388" s="999">
        <v>0.60970000000000002</v>
      </c>
      <c r="G388" s="999">
        <v>0.53620000000000001</v>
      </c>
      <c r="H388" s="999">
        <v>0.53620000000000001</v>
      </c>
      <c r="I388" s="999">
        <v>0.4587</v>
      </c>
      <c r="J388" s="999">
        <v>0.4587</v>
      </c>
      <c r="K388" s="999">
        <v>0.4587</v>
      </c>
      <c r="L388" s="999">
        <v>0.4587</v>
      </c>
      <c r="M388" s="999">
        <v>0.4587</v>
      </c>
    </row>
    <row r="389" spans="1:13">
      <c r="A389" s="990">
        <v>8.1</v>
      </c>
      <c r="B389" s="999">
        <v>0.64649999999999996</v>
      </c>
      <c r="C389" s="999">
        <v>0.64649999999999996</v>
      </c>
      <c r="D389" s="999">
        <v>0.60840000000000005</v>
      </c>
      <c r="E389" s="999">
        <v>0.60840000000000005</v>
      </c>
      <c r="F389" s="999">
        <v>0.60840000000000005</v>
      </c>
      <c r="G389" s="999">
        <v>0.53480000000000005</v>
      </c>
      <c r="H389" s="999">
        <v>0.53480000000000005</v>
      </c>
      <c r="I389" s="999">
        <v>0.4572</v>
      </c>
      <c r="J389" s="999">
        <v>0.4572</v>
      </c>
      <c r="K389" s="999">
        <v>0.4572</v>
      </c>
      <c r="L389" s="999">
        <v>0.4572</v>
      </c>
      <c r="M389" s="999">
        <v>0.4572</v>
      </c>
    </row>
    <row r="390" spans="1:13">
      <c r="A390" s="990">
        <v>8.1999999999999993</v>
      </c>
      <c r="B390" s="999">
        <v>0.64549999999999996</v>
      </c>
      <c r="C390" s="999">
        <v>0.64549999999999996</v>
      </c>
      <c r="D390" s="999">
        <v>0.60709999999999997</v>
      </c>
      <c r="E390" s="999">
        <v>0.60709999999999997</v>
      </c>
      <c r="F390" s="999">
        <v>0.60709999999999997</v>
      </c>
      <c r="G390" s="999">
        <v>0.5333</v>
      </c>
      <c r="H390" s="999">
        <v>0.5333</v>
      </c>
      <c r="I390" s="999">
        <v>0.45569999999999999</v>
      </c>
      <c r="J390" s="999">
        <v>0.45569999999999999</v>
      </c>
      <c r="K390" s="999">
        <v>0.45569999999999999</v>
      </c>
      <c r="L390" s="999">
        <v>0.45569999999999999</v>
      </c>
      <c r="M390" s="999">
        <v>0.45569999999999999</v>
      </c>
    </row>
    <row r="391" spans="1:13">
      <c r="A391" s="990">
        <v>8.3000000000000007</v>
      </c>
      <c r="B391" s="999">
        <v>0.64449999999999996</v>
      </c>
      <c r="C391" s="999">
        <v>0.64449999999999996</v>
      </c>
      <c r="D391" s="999">
        <v>0.60580000000000001</v>
      </c>
      <c r="E391" s="999">
        <v>0.60580000000000001</v>
      </c>
      <c r="F391" s="999">
        <v>0.60580000000000001</v>
      </c>
      <c r="G391" s="999">
        <v>0.53190000000000004</v>
      </c>
      <c r="H391" s="999">
        <v>0.53190000000000004</v>
      </c>
      <c r="I391" s="999">
        <v>0.45429999999999998</v>
      </c>
      <c r="J391" s="999">
        <v>0.45429999999999998</v>
      </c>
      <c r="K391" s="999">
        <v>0.45429999999999998</v>
      </c>
      <c r="L391" s="999">
        <v>0.45429999999999998</v>
      </c>
      <c r="M391" s="999">
        <v>0.45429999999999998</v>
      </c>
    </row>
    <row r="392" spans="1:13">
      <c r="A392" s="990">
        <v>8.4</v>
      </c>
      <c r="B392" s="999">
        <v>0.64349999999999996</v>
      </c>
      <c r="C392" s="999">
        <v>0.64349999999999996</v>
      </c>
      <c r="D392" s="999">
        <v>0.60450000000000004</v>
      </c>
      <c r="E392" s="999">
        <v>0.60450000000000004</v>
      </c>
      <c r="F392" s="999">
        <v>0.60450000000000004</v>
      </c>
      <c r="G392" s="999">
        <v>0.53039999999999998</v>
      </c>
      <c r="H392" s="999">
        <v>0.53039999999999998</v>
      </c>
      <c r="I392" s="999">
        <v>0.45290000000000002</v>
      </c>
      <c r="J392" s="999">
        <v>0.45290000000000002</v>
      </c>
      <c r="K392" s="999">
        <v>0.45290000000000002</v>
      </c>
      <c r="L392" s="999">
        <v>0.45290000000000002</v>
      </c>
      <c r="M392" s="999">
        <v>0.45290000000000002</v>
      </c>
    </row>
    <row r="393" spans="1:13">
      <c r="A393" s="990">
        <v>8.5</v>
      </c>
      <c r="B393" s="999">
        <v>0.64249999999999996</v>
      </c>
      <c r="C393" s="999">
        <v>0.64249999999999996</v>
      </c>
      <c r="D393" s="999">
        <v>0.60319999999999996</v>
      </c>
      <c r="E393" s="999">
        <v>0.60319999999999996</v>
      </c>
      <c r="F393" s="999">
        <v>0.60319999999999996</v>
      </c>
      <c r="G393" s="999">
        <v>0.52900000000000003</v>
      </c>
      <c r="H393" s="999">
        <v>0.52900000000000003</v>
      </c>
      <c r="I393" s="999">
        <v>0.45140000000000002</v>
      </c>
      <c r="J393" s="999">
        <v>0.45140000000000002</v>
      </c>
      <c r="K393" s="999">
        <v>0.45140000000000002</v>
      </c>
      <c r="L393" s="999">
        <v>0.45140000000000002</v>
      </c>
      <c r="M393" s="999">
        <v>0.45140000000000002</v>
      </c>
    </row>
    <row r="394" spans="1:13">
      <c r="A394" s="990">
        <v>8.6</v>
      </c>
      <c r="B394" s="999">
        <v>0.64149999999999996</v>
      </c>
      <c r="C394" s="999">
        <v>0.64149999999999996</v>
      </c>
      <c r="D394" s="999">
        <v>0.60189999999999999</v>
      </c>
      <c r="E394" s="999">
        <v>0.60189999999999999</v>
      </c>
      <c r="F394" s="999">
        <v>0.60189999999999999</v>
      </c>
      <c r="G394" s="999">
        <v>0.52749999999999997</v>
      </c>
      <c r="H394" s="999">
        <v>0.52749999999999997</v>
      </c>
      <c r="I394" s="999">
        <v>0.45</v>
      </c>
      <c r="J394" s="999">
        <v>0.45</v>
      </c>
      <c r="K394" s="999">
        <v>0.45</v>
      </c>
      <c r="L394" s="999">
        <v>0.45</v>
      </c>
      <c r="M394" s="999">
        <v>0.45</v>
      </c>
    </row>
    <row r="395" spans="1:13">
      <c r="A395" s="990">
        <v>8.6999999999999993</v>
      </c>
      <c r="B395" s="999">
        <v>0.64049999999999996</v>
      </c>
      <c r="C395" s="999">
        <v>0.64049999999999996</v>
      </c>
      <c r="D395" s="999">
        <v>0.60060000000000002</v>
      </c>
      <c r="E395" s="999">
        <v>0.60060000000000002</v>
      </c>
      <c r="F395" s="999">
        <v>0.60060000000000002</v>
      </c>
      <c r="G395" s="999">
        <v>0.52610000000000001</v>
      </c>
      <c r="H395" s="999">
        <v>0.52610000000000001</v>
      </c>
      <c r="I395" s="999">
        <v>0.44850000000000001</v>
      </c>
      <c r="J395" s="999">
        <v>0.44850000000000001</v>
      </c>
      <c r="K395" s="999">
        <v>0.44850000000000001</v>
      </c>
      <c r="L395" s="999">
        <v>0.44850000000000001</v>
      </c>
      <c r="M395" s="999">
        <v>0.44850000000000001</v>
      </c>
    </row>
    <row r="396" spans="1:13">
      <c r="A396" s="990">
        <v>8.8000000000000007</v>
      </c>
      <c r="B396" s="999">
        <v>0.63949999999999996</v>
      </c>
      <c r="C396" s="999">
        <v>0.63949999999999996</v>
      </c>
      <c r="D396" s="999">
        <v>0.59930000000000005</v>
      </c>
      <c r="E396" s="999">
        <v>0.59930000000000005</v>
      </c>
      <c r="F396" s="999">
        <v>0.59930000000000005</v>
      </c>
      <c r="G396" s="999">
        <v>0.52459999999999996</v>
      </c>
      <c r="H396" s="999">
        <v>0.52459999999999996</v>
      </c>
      <c r="I396" s="999">
        <v>0.4471</v>
      </c>
      <c r="J396" s="999">
        <v>0.4471</v>
      </c>
      <c r="K396" s="999">
        <v>0.4471</v>
      </c>
      <c r="L396" s="999">
        <v>0.4471</v>
      </c>
      <c r="M396" s="999">
        <v>0.4471</v>
      </c>
    </row>
    <row r="397" spans="1:13">
      <c r="A397" s="990">
        <v>8.9</v>
      </c>
      <c r="B397" s="999">
        <v>0.63849999999999996</v>
      </c>
      <c r="C397" s="999">
        <v>0.63849999999999996</v>
      </c>
      <c r="D397" s="999">
        <v>0.59799999999999998</v>
      </c>
      <c r="E397" s="999">
        <v>0.59799999999999998</v>
      </c>
      <c r="F397" s="999">
        <v>0.59799999999999998</v>
      </c>
      <c r="G397" s="999">
        <v>0.5232</v>
      </c>
      <c r="H397" s="999">
        <v>0.5232</v>
      </c>
      <c r="I397" s="999">
        <v>0.4456</v>
      </c>
      <c r="J397" s="999">
        <v>0.4456</v>
      </c>
      <c r="K397" s="999">
        <v>0.4456</v>
      </c>
      <c r="L397" s="999">
        <v>0.4456</v>
      </c>
      <c r="M397" s="999">
        <v>0.4456</v>
      </c>
    </row>
    <row r="398" spans="1:13">
      <c r="A398" s="1014">
        <v>9</v>
      </c>
      <c r="B398" s="999">
        <v>0.63749999999999996</v>
      </c>
      <c r="C398" s="999">
        <v>0.63749999999999996</v>
      </c>
      <c r="D398" s="999">
        <v>0.59670000000000001</v>
      </c>
      <c r="E398" s="999">
        <v>0.59670000000000001</v>
      </c>
      <c r="F398" s="999">
        <v>0.59670000000000001</v>
      </c>
      <c r="G398" s="999">
        <v>0.52170000000000005</v>
      </c>
      <c r="H398" s="999">
        <v>0.52170000000000005</v>
      </c>
      <c r="I398" s="999">
        <v>0.44429999999999997</v>
      </c>
      <c r="J398" s="999">
        <v>0.44429999999999997</v>
      </c>
      <c r="K398" s="999">
        <v>0.44429999999999997</v>
      </c>
      <c r="L398" s="999">
        <v>0.44429999999999997</v>
      </c>
      <c r="M398" s="999">
        <v>0.44429999999999997</v>
      </c>
    </row>
    <row r="399" spans="1:13">
      <c r="A399" s="1014">
        <v>9.1</v>
      </c>
      <c r="B399" s="999">
        <v>0.63649999999999995</v>
      </c>
      <c r="C399" s="999">
        <v>0.63649999999999995</v>
      </c>
      <c r="D399" s="999">
        <v>0.59540000000000004</v>
      </c>
      <c r="E399" s="999">
        <v>0.59540000000000004</v>
      </c>
      <c r="F399" s="999">
        <v>0.59540000000000004</v>
      </c>
      <c r="G399" s="999">
        <v>0.52029999999999998</v>
      </c>
      <c r="H399" s="999">
        <v>0.52029999999999998</v>
      </c>
      <c r="I399" s="999">
        <v>0.44290000000000002</v>
      </c>
      <c r="J399" s="999">
        <v>0.44290000000000002</v>
      </c>
      <c r="K399" s="999">
        <v>0.44290000000000002</v>
      </c>
      <c r="L399" s="999">
        <v>0.44290000000000002</v>
      </c>
      <c r="M399" s="999">
        <v>0.44290000000000002</v>
      </c>
    </row>
    <row r="400" spans="1:13">
      <c r="A400" s="1014">
        <v>9.1999999999999993</v>
      </c>
      <c r="B400" s="999">
        <v>0.63549999999999995</v>
      </c>
      <c r="C400" s="999">
        <v>0.63549999999999995</v>
      </c>
      <c r="D400" s="999">
        <v>0.59409999999999996</v>
      </c>
      <c r="E400" s="999">
        <v>0.59409999999999996</v>
      </c>
      <c r="F400" s="999">
        <v>0.59409999999999996</v>
      </c>
      <c r="G400" s="999">
        <v>0.51880000000000004</v>
      </c>
      <c r="H400" s="999">
        <v>0.51880000000000004</v>
      </c>
      <c r="I400" s="999">
        <v>0.44159999999999999</v>
      </c>
      <c r="J400" s="999">
        <v>0.44159999999999999</v>
      </c>
      <c r="K400" s="999">
        <v>0.44159999999999999</v>
      </c>
      <c r="L400" s="999">
        <v>0.44159999999999999</v>
      </c>
      <c r="M400" s="999">
        <v>0.44159999999999999</v>
      </c>
    </row>
    <row r="401" spans="1:13">
      <c r="A401" s="1014">
        <v>9.3000000000000007</v>
      </c>
      <c r="B401" s="999">
        <v>0.63449999999999995</v>
      </c>
      <c r="C401" s="999">
        <v>0.63449999999999995</v>
      </c>
      <c r="D401" s="999">
        <v>0.59279999999999999</v>
      </c>
      <c r="E401" s="999">
        <v>0.59279999999999999</v>
      </c>
      <c r="F401" s="999">
        <v>0.59279999999999999</v>
      </c>
      <c r="G401" s="999">
        <v>0.51739999999999997</v>
      </c>
      <c r="H401" s="999">
        <v>0.51739999999999997</v>
      </c>
      <c r="I401" s="999">
        <v>0.44019999999999998</v>
      </c>
      <c r="J401" s="999">
        <v>0.44019999999999998</v>
      </c>
      <c r="K401" s="999">
        <v>0.44019999999999998</v>
      </c>
      <c r="L401" s="999">
        <v>0.44019999999999998</v>
      </c>
      <c r="M401" s="999">
        <v>0.44019999999999998</v>
      </c>
    </row>
    <row r="402" spans="1:13">
      <c r="A402" s="1014">
        <v>9.4</v>
      </c>
      <c r="B402" s="999">
        <v>0.63349999999999995</v>
      </c>
      <c r="C402" s="999">
        <v>0.63349999999999995</v>
      </c>
      <c r="D402" s="999">
        <v>0.59150000000000003</v>
      </c>
      <c r="E402" s="999">
        <v>0.59150000000000003</v>
      </c>
      <c r="F402" s="999">
        <v>0.59150000000000003</v>
      </c>
      <c r="G402" s="999">
        <v>0.51600000000000001</v>
      </c>
      <c r="H402" s="999">
        <v>0.51600000000000001</v>
      </c>
      <c r="I402" s="999">
        <v>0.43880000000000002</v>
      </c>
      <c r="J402" s="999">
        <v>0.43880000000000002</v>
      </c>
      <c r="K402" s="999">
        <v>0.43880000000000002</v>
      </c>
      <c r="L402" s="999">
        <v>0.43880000000000002</v>
      </c>
      <c r="M402" s="999">
        <v>0.43880000000000002</v>
      </c>
    </row>
    <row r="403" spans="1:13">
      <c r="A403" s="1014">
        <v>9.5</v>
      </c>
      <c r="B403" s="999">
        <v>0.63249999999999995</v>
      </c>
      <c r="C403" s="999">
        <v>0.63249999999999995</v>
      </c>
      <c r="D403" s="999">
        <v>0.59030000000000005</v>
      </c>
      <c r="E403" s="999">
        <v>0.59030000000000005</v>
      </c>
      <c r="F403" s="999">
        <v>0.59030000000000005</v>
      </c>
      <c r="G403" s="999">
        <v>0.51470000000000005</v>
      </c>
      <c r="H403" s="999">
        <v>0.51470000000000005</v>
      </c>
      <c r="I403" s="999">
        <v>0.4375</v>
      </c>
      <c r="J403" s="999">
        <v>0.4375</v>
      </c>
      <c r="K403" s="999">
        <v>0.4375</v>
      </c>
      <c r="L403" s="999">
        <v>0.4375</v>
      </c>
      <c r="M403" s="999">
        <v>0.4375</v>
      </c>
    </row>
    <row r="404" spans="1:13">
      <c r="A404" s="1014">
        <v>9.6</v>
      </c>
      <c r="B404" s="999">
        <v>0.63149999999999995</v>
      </c>
      <c r="C404" s="999">
        <v>0.63149999999999995</v>
      </c>
      <c r="D404" s="999">
        <v>0.58909999999999996</v>
      </c>
      <c r="E404" s="999">
        <v>0.58909999999999996</v>
      </c>
      <c r="F404" s="999">
        <v>0.58909999999999996</v>
      </c>
      <c r="G404" s="999">
        <v>0.51329999999999998</v>
      </c>
      <c r="H404" s="999">
        <v>0.51329999999999998</v>
      </c>
      <c r="I404" s="999">
        <v>0.43609999999999999</v>
      </c>
      <c r="J404" s="999">
        <v>0.43609999999999999</v>
      </c>
      <c r="K404" s="999">
        <v>0.43609999999999999</v>
      </c>
      <c r="L404" s="999">
        <v>0.43609999999999999</v>
      </c>
      <c r="M404" s="999">
        <v>0.43609999999999999</v>
      </c>
    </row>
    <row r="405" spans="1:13">
      <c r="A405" s="1014">
        <v>9.6999999999999993</v>
      </c>
      <c r="B405" s="999">
        <v>0.63049999999999995</v>
      </c>
      <c r="C405" s="999">
        <v>0.63049999999999995</v>
      </c>
      <c r="D405" s="999">
        <v>0.58789999999999998</v>
      </c>
      <c r="E405" s="999">
        <v>0.58789999999999998</v>
      </c>
      <c r="F405" s="999">
        <v>0.58789999999999998</v>
      </c>
      <c r="G405" s="999">
        <v>0.51200000000000001</v>
      </c>
      <c r="H405" s="999">
        <v>0.51200000000000001</v>
      </c>
      <c r="I405" s="999">
        <v>0.43480000000000002</v>
      </c>
      <c r="J405" s="999">
        <v>0.43480000000000002</v>
      </c>
      <c r="K405" s="999">
        <v>0.43480000000000002</v>
      </c>
      <c r="L405" s="999">
        <v>0.43480000000000002</v>
      </c>
      <c r="M405" s="999">
        <v>0.43480000000000002</v>
      </c>
    </row>
    <row r="406" spans="1:13">
      <c r="A406" s="1014">
        <v>9.8000000000000007</v>
      </c>
      <c r="B406" s="999">
        <v>0.62949999999999995</v>
      </c>
      <c r="C406" s="999">
        <v>0.62949999999999995</v>
      </c>
      <c r="D406" s="999">
        <v>0.5867</v>
      </c>
      <c r="E406" s="999">
        <v>0.5867</v>
      </c>
      <c r="F406" s="999">
        <v>0.5867</v>
      </c>
      <c r="G406" s="999">
        <v>0.51060000000000005</v>
      </c>
      <c r="H406" s="999">
        <v>0.51060000000000005</v>
      </c>
      <c r="I406" s="999">
        <v>0.43340000000000001</v>
      </c>
      <c r="J406" s="999">
        <v>0.43340000000000001</v>
      </c>
      <c r="K406" s="999">
        <v>0.43340000000000001</v>
      </c>
      <c r="L406" s="999">
        <v>0.43340000000000001</v>
      </c>
      <c r="M406" s="999">
        <v>0.43340000000000001</v>
      </c>
    </row>
    <row r="407" spans="1:13">
      <c r="A407" s="1014">
        <v>9.9</v>
      </c>
      <c r="B407" s="999">
        <v>0.62849999999999995</v>
      </c>
      <c r="C407" s="999">
        <v>0.62849999999999995</v>
      </c>
      <c r="D407" s="999">
        <v>0.58550000000000002</v>
      </c>
      <c r="E407" s="999">
        <v>0.58550000000000002</v>
      </c>
      <c r="F407" s="999">
        <v>0.58550000000000002</v>
      </c>
      <c r="G407" s="999">
        <v>0.50919999999999999</v>
      </c>
      <c r="H407" s="999">
        <v>0.50919999999999999</v>
      </c>
      <c r="I407" s="999">
        <v>0.432</v>
      </c>
      <c r="J407" s="999">
        <v>0.432</v>
      </c>
      <c r="K407" s="999">
        <v>0.432</v>
      </c>
      <c r="L407" s="999">
        <v>0.432</v>
      </c>
      <c r="M407" s="999">
        <v>0.432</v>
      </c>
    </row>
    <row r="408" spans="1:13">
      <c r="A408" s="1014">
        <v>10</v>
      </c>
      <c r="B408" s="999">
        <v>0.62749999999999995</v>
      </c>
      <c r="C408" s="999">
        <v>0.62749999999999995</v>
      </c>
      <c r="D408" s="999">
        <v>0.58430000000000004</v>
      </c>
      <c r="E408" s="999">
        <v>0.58430000000000004</v>
      </c>
      <c r="F408" s="999">
        <v>0.58430000000000004</v>
      </c>
      <c r="G408" s="999">
        <v>0.50790000000000002</v>
      </c>
      <c r="H408" s="999">
        <v>0.50790000000000002</v>
      </c>
      <c r="I408" s="999">
        <v>0.43070000000000003</v>
      </c>
      <c r="J408" s="999">
        <v>0.43070000000000003</v>
      </c>
      <c r="K408" s="999">
        <v>0.43070000000000003</v>
      </c>
      <c r="L408" s="999">
        <v>0.43070000000000003</v>
      </c>
      <c r="M408" s="999">
        <v>0.43070000000000003</v>
      </c>
    </row>
  </sheetData>
  <sheetProtection password="C66D" sheet="1" objects="1" scenarios="1" formatCells="0" formatColumns="0" formatRows="0"/>
  <phoneticPr fontId="12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80" customWidth="1"/>
    <col min="2" max="2" width="10.25" style="1781" customWidth="1"/>
  </cols>
  <sheetData>
    <row r="1" spans="1:6">
      <c r="A1" s="3914" t="s">
        <v>2065</v>
      </c>
      <c r="B1" s="3914"/>
    </row>
    <row r="2" spans="1:6" ht="14.25" thickBot="1">
      <c r="A2" s="1751"/>
      <c r="B2" s="1751"/>
    </row>
    <row r="3" spans="1:6" ht="14.25" thickBot="1">
      <c r="A3" s="1751"/>
      <c r="B3" s="1751"/>
      <c r="C3" s="1752" t="s">
        <v>2066</v>
      </c>
      <c r="D3" s="1752" t="s">
        <v>2067</v>
      </c>
      <c r="E3" s="1752" t="s">
        <v>2068</v>
      </c>
      <c r="F3" s="1752" t="s">
        <v>2069</v>
      </c>
    </row>
    <row r="4" spans="1:6" ht="14.25" thickBot="1">
      <c r="A4" s="1753" t="s">
        <v>2070</v>
      </c>
      <c r="B4" s="1754" t="s">
        <v>2071</v>
      </c>
      <c r="C4" s="1752"/>
      <c r="D4" s="1752"/>
      <c r="E4" s="1752"/>
      <c r="F4" s="1752"/>
    </row>
    <row r="5" spans="1:6" ht="14.25" thickBot="1">
      <c r="A5" s="1755" t="s">
        <v>2072</v>
      </c>
      <c r="B5" s="1756" t="s">
        <v>2073</v>
      </c>
      <c r="C5" s="1757">
        <v>8.8999999999999996E-2</v>
      </c>
      <c r="D5" s="1757">
        <v>7.3999999999999996E-2</v>
      </c>
      <c r="E5" s="1757">
        <v>7.4999999999999997E-2</v>
      </c>
      <c r="F5" s="1758">
        <v>0.1</v>
      </c>
    </row>
    <row r="6" spans="1:6" ht="14.25" thickBot="1">
      <c r="A6" s="1755" t="s">
        <v>1086</v>
      </c>
      <c r="B6" s="1759" t="s">
        <v>2074</v>
      </c>
      <c r="C6" s="1760">
        <v>0.1</v>
      </c>
      <c r="D6" s="1760">
        <v>9.0999999999999998E-2</v>
      </c>
      <c r="E6" s="1760">
        <v>9.0999999999999998E-2</v>
      </c>
      <c r="F6" s="1761">
        <v>0.1</v>
      </c>
    </row>
    <row r="7" spans="1:6" ht="14.25" thickBot="1">
      <c r="A7" s="1755" t="s">
        <v>1086</v>
      </c>
      <c r="B7" s="1762" t="s">
        <v>1074</v>
      </c>
      <c r="C7" s="1760">
        <v>8.5999999999999993E-2</v>
      </c>
      <c r="D7" s="1760">
        <v>9.6000000000000002E-2</v>
      </c>
      <c r="E7" s="1760">
        <v>7.5999999999999998E-2</v>
      </c>
      <c r="F7" s="1761">
        <v>0.1</v>
      </c>
    </row>
    <row r="8" spans="1:6" ht="14.25" thickBot="1">
      <c r="A8" s="1755" t="s">
        <v>1086</v>
      </c>
      <c r="B8" s="1759" t="s">
        <v>1087</v>
      </c>
      <c r="C8" s="1760">
        <v>9.9000000000000005E-2</v>
      </c>
      <c r="D8" s="1760">
        <v>9.8000000000000004E-2</v>
      </c>
      <c r="E8" s="1760">
        <v>9.8000000000000004E-2</v>
      </c>
      <c r="F8" s="1761">
        <v>0.1</v>
      </c>
    </row>
    <row r="9" spans="1:6" ht="14.25" thickBot="1">
      <c r="A9" s="1763" t="s">
        <v>1086</v>
      </c>
      <c r="B9" s="1764" t="s">
        <v>1101</v>
      </c>
      <c r="C9" s="1765">
        <v>0.05</v>
      </c>
      <c r="D9" s="1766"/>
      <c r="E9" s="1766"/>
      <c r="F9" s="1767"/>
    </row>
    <row r="10" spans="1:6" ht="14.25" thickBot="1">
      <c r="A10" s="1755" t="s">
        <v>1145</v>
      </c>
      <c r="B10" s="1756" t="s">
        <v>2075</v>
      </c>
      <c r="C10" s="1757">
        <v>8.8999999999999996E-2</v>
      </c>
      <c r="D10" s="1757">
        <v>7.2999999999999995E-2</v>
      </c>
      <c r="E10" s="1757">
        <v>8.2000000000000003E-2</v>
      </c>
      <c r="F10" s="1758">
        <v>0.1</v>
      </c>
    </row>
    <row r="11" spans="1:6" ht="14.25" thickBot="1">
      <c r="A11" s="1755" t="s">
        <v>1145</v>
      </c>
      <c r="B11" s="1762" t="s">
        <v>1061</v>
      </c>
      <c r="C11" s="1760">
        <v>8.8999999999999996E-2</v>
      </c>
      <c r="D11" s="1760">
        <v>7.2999999999999995E-2</v>
      </c>
      <c r="E11" s="1760">
        <v>8.2000000000000003E-2</v>
      </c>
      <c r="F11" s="1761">
        <v>0.1</v>
      </c>
    </row>
    <row r="12" spans="1:6" ht="14.25" thickBot="1">
      <c r="A12" s="1755" t="s">
        <v>1145</v>
      </c>
      <c r="B12" s="1762" t="s">
        <v>1075</v>
      </c>
      <c r="C12" s="1760">
        <v>6.0999999999999999E-2</v>
      </c>
      <c r="D12" s="1760">
        <v>7.0999999999999994E-2</v>
      </c>
      <c r="E12" s="1760">
        <v>9.6000000000000002E-2</v>
      </c>
      <c r="F12" s="1761">
        <v>0.1</v>
      </c>
    </row>
    <row r="13" spans="1:6" ht="14.25" thickBot="1">
      <c r="A13" s="1755" t="s">
        <v>1145</v>
      </c>
      <c r="B13" s="1762" t="s">
        <v>1088</v>
      </c>
      <c r="C13" s="1760">
        <v>6.9000000000000006E-2</v>
      </c>
      <c r="D13" s="1760">
        <v>6.5000000000000002E-2</v>
      </c>
      <c r="E13" s="1760">
        <v>6.6000000000000003E-2</v>
      </c>
      <c r="F13" s="1761">
        <v>0.1</v>
      </c>
    </row>
    <row r="14" spans="1:6" ht="14.25" thickBot="1">
      <c r="A14" s="1755" t="s">
        <v>1145</v>
      </c>
      <c r="B14" s="1762" t="s">
        <v>1102</v>
      </c>
      <c r="C14" s="1760">
        <v>0.1</v>
      </c>
      <c r="D14" s="1760">
        <v>6.5000000000000002E-2</v>
      </c>
      <c r="E14" s="1760">
        <v>7.0000000000000007E-2</v>
      </c>
      <c r="F14" s="1761">
        <v>0.1</v>
      </c>
    </row>
    <row r="15" spans="1:6" ht="14.25" thickBot="1">
      <c r="A15" s="1755" t="s">
        <v>1145</v>
      </c>
      <c r="B15" s="1762" t="s">
        <v>1113</v>
      </c>
      <c r="C15" s="1760">
        <v>9.8000000000000004E-2</v>
      </c>
      <c r="D15" s="1760">
        <v>8.8999999999999996E-2</v>
      </c>
      <c r="E15" s="1760">
        <v>8.8999999999999996E-2</v>
      </c>
      <c r="F15" s="1761">
        <v>0.1</v>
      </c>
    </row>
    <row r="16" spans="1:6" ht="14.25" thickBot="1">
      <c r="A16" s="1755" t="s">
        <v>1145</v>
      </c>
      <c r="B16" s="1762" t="s">
        <v>1124</v>
      </c>
      <c r="C16" s="1760">
        <v>7.0000000000000007E-2</v>
      </c>
      <c r="D16" s="1760">
        <v>9.2999999999999999E-2</v>
      </c>
      <c r="E16" s="1760">
        <v>9.6000000000000002E-2</v>
      </c>
      <c r="F16" s="1761">
        <v>0.1</v>
      </c>
    </row>
    <row r="17" spans="1:6" ht="14.25" thickBot="1">
      <c r="A17" s="1755" t="s">
        <v>1145</v>
      </c>
      <c r="B17" s="1762" t="s">
        <v>1135</v>
      </c>
      <c r="C17" s="1760">
        <v>9.5000000000000001E-2</v>
      </c>
      <c r="D17" s="1760">
        <v>0.1</v>
      </c>
      <c r="E17" s="1760">
        <v>0.1</v>
      </c>
      <c r="F17" s="1768"/>
    </row>
    <row r="18" spans="1:6" ht="14.25" thickBot="1">
      <c r="A18" s="1755" t="s">
        <v>1145</v>
      </c>
      <c r="B18" s="1762" t="s">
        <v>1147</v>
      </c>
      <c r="C18" s="1760">
        <v>7.3999999999999996E-2</v>
      </c>
      <c r="D18" s="1760">
        <v>9.9000000000000005E-2</v>
      </c>
      <c r="E18" s="1760">
        <v>0.1</v>
      </c>
      <c r="F18" s="1768"/>
    </row>
    <row r="19" spans="1:6" ht="14.25" thickBot="1">
      <c r="A19" s="1755" t="s">
        <v>1145</v>
      </c>
      <c r="B19" s="1762" t="s">
        <v>1157</v>
      </c>
      <c r="C19" s="1760">
        <v>9.9000000000000005E-2</v>
      </c>
      <c r="D19" s="1760">
        <v>7.5999999999999998E-2</v>
      </c>
      <c r="E19" s="1760">
        <v>8.6999999999999994E-2</v>
      </c>
      <c r="F19" s="1768"/>
    </row>
    <row r="20" spans="1:6" ht="14.25" thickBot="1">
      <c r="A20" s="1755" t="s">
        <v>1145</v>
      </c>
      <c r="B20" s="1762" t="s">
        <v>1167</v>
      </c>
      <c r="C20" s="1760">
        <v>9.8000000000000004E-2</v>
      </c>
      <c r="D20" s="1760">
        <v>8.5000000000000006E-2</v>
      </c>
      <c r="E20" s="1760">
        <v>8.2000000000000003E-2</v>
      </c>
      <c r="F20" s="1768"/>
    </row>
    <row r="21" spans="1:6" ht="14.25" thickBot="1">
      <c r="A21" s="1755" t="s">
        <v>1145</v>
      </c>
      <c r="B21" s="1762" t="s">
        <v>1177</v>
      </c>
      <c r="C21" s="1760">
        <v>6.6000000000000003E-2</v>
      </c>
      <c r="D21" s="1760">
        <v>6.4000000000000001E-2</v>
      </c>
      <c r="E21" s="1760">
        <v>6.5000000000000002E-2</v>
      </c>
      <c r="F21" s="1768"/>
    </row>
    <row r="22" spans="1:6" ht="14.25" thickBot="1">
      <c r="A22" s="1755" t="s">
        <v>1145</v>
      </c>
      <c r="B22" s="1762" t="s">
        <v>2076</v>
      </c>
      <c r="C22" s="1760">
        <v>0.08</v>
      </c>
      <c r="D22" s="1760">
        <v>9.8000000000000004E-2</v>
      </c>
      <c r="E22" s="1760">
        <v>9.8000000000000004E-2</v>
      </c>
      <c r="F22" s="1768"/>
    </row>
    <row r="23" spans="1:6" ht="14.25" thickBot="1">
      <c r="A23" s="1755" t="s">
        <v>1145</v>
      </c>
      <c r="B23" s="1762" t="s">
        <v>1197</v>
      </c>
      <c r="C23" s="1760">
        <v>9.9000000000000005E-2</v>
      </c>
      <c r="D23" s="1760">
        <v>9.8000000000000004E-2</v>
      </c>
      <c r="E23" s="1760">
        <v>9.0999999999999998E-2</v>
      </c>
      <c r="F23" s="1768"/>
    </row>
    <row r="24" spans="1:6" ht="14.25" thickBot="1">
      <c r="A24" s="1755" t="s">
        <v>1145</v>
      </c>
      <c r="B24" s="1762" t="s">
        <v>1207</v>
      </c>
      <c r="C24" s="1760">
        <v>8.8999999999999996E-2</v>
      </c>
      <c r="D24" s="1760">
        <v>9.7000000000000003E-2</v>
      </c>
      <c r="E24" s="1760">
        <v>7.0000000000000007E-2</v>
      </c>
      <c r="F24" s="1768"/>
    </row>
    <row r="25" spans="1:6" ht="14.25" thickBot="1">
      <c r="A25" s="1755" t="s">
        <v>1145</v>
      </c>
      <c r="B25" s="1762" t="s">
        <v>1217</v>
      </c>
      <c r="C25" s="1760">
        <v>8.8999999999999996E-2</v>
      </c>
      <c r="D25" s="1760">
        <v>0.1</v>
      </c>
      <c r="E25" s="1760">
        <v>8.1000000000000003E-2</v>
      </c>
      <c r="F25" s="1768"/>
    </row>
    <row r="26" spans="1:6" ht="14.25" thickBot="1">
      <c r="A26" s="1755" t="s">
        <v>1145</v>
      </c>
      <c r="B26" s="1762" t="s">
        <v>1227</v>
      </c>
      <c r="C26" s="1769"/>
      <c r="D26" s="1760">
        <v>9.6000000000000002E-2</v>
      </c>
      <c r="E26" s="1760">
        <v>9.2999999999999999E-2</v>
      </c>
      <c r="F26" s="1768"/>
    </row>
    <row r="27" spans="1:6" ht="14.25" thickBot="1">
      <c r="A27" s="1755" t="s">
        <v>1145</v>
      </c>
      <c r="B27" s="1762" t="s">
        <v>1237</v>
      </c>
      <c r="C27" s="1769"/>
      <c r="D27" s="1760">
        <v>7.5999999999999998E-2</v>
      </c>
      <c r="E27" s="1760">
        <v>9.1999999999999998E-2</v>
      </c>
      <c r="F27" s="1768"/>
    </row>
    <row r="28" spans="1:6" ht="14.25" thickBot="1">
      <c r="A28" s="1763" t="s">
        <v>1145</v>
      </c>
      <c r="B28" s="1764" t="s">
        <v>1247</v>
      </c>
      <c r="C28" s="1766"/>
      <c r="D28" s="1765">
        <v>7.5999999999999998E-2</v>
      </c>
      <c r="E28" s="1765">
        <v>9.1999999999999998E-2</v>
      </c>
      <c r="F28" s="1767"/>
    </row>
    <row r="29" spans="1:6" ht="14.25" thickBot="1">
      <c r="A29" s="1755" t="s">
        <v>1316</v>
      </c>
      <c r="B29" s="1756" t="s">
        <v>2077</v>
      </c>
      <c r="C29" s="1757">
        <v>6.4000000000000001E-2</v>
      </c>
      <c r="D29" s="1757">
        <v>6.5000000000000002E-2</v>
      </c>
      <c r="E29" s="1757">
        <v>6.9000000000000006E-2</v>
      </c>
      <c r="F29" s="1758">
        <v>0.1</v>
      </c>
    </row>
    <row r="30" spans="1:6" ht="14.25" thickBot="1">
      <c r="A30" s="1755" t="s">
        <v>1316</v>
      </c>
      <c r="B30" s="1762" t="s">
        <v>1062</v>
      </c>
      <c r="C30" s="1760">
        <v>6.4000000000000001E-2</v>
      </c>
      <c r="D30" s="1760">
        <v>9.9000000000000005E-2</v>
      </c>
      <c r="E30" s="1760">
        <v>0.1</v>
      </c>
      <c r="F30" s="1761">
        <v>0.1</v>
      </c>
    </row>
    <row r="31" spans="1:6" ht="14.25" thickBot="1">
      <c r="A31" s="1755" t="s">
        <v>1316</v>
      </c>
      <c r="B31" s="1762" t="s">
        <v>1076</v>
      </c>
      <c r="C31" s="1760">
        <v>0.1</v>
      </c>
      <c r="D31" s="1760">
        <v>9.5000000000000001E-2</v>
      </c>
      <c r="E31" s="1760">
        <v>8.8999999999999996E-2</v>
      </c>
      <c r="F31" s="1761">
        <v>0.1</v>
      </c>
    </row>
    <row r="32" spans="1:6" ht="14.25" thickBot="1">
      <c r="A32" s="1755" t="s">
        <v>1316</v>
      </c>
      <c r="B32" s="1762" t="s">
        <v>1089</v>
      </c>
      <c r="C32" s="1760">
        <v>0.05</v>
      </c>
      <c r="D32" s="1760">
        <v>0.05</v>
      </c>
      <c r="E32" s="1760">
        <v>8.7999999999999995E-2</v>
      </c>
      <c r="F32" s="1761">
        <v>0.1</v>
      </c>
    </row>
    <row r="33" spans="1:6" ht="14.25" thickBot="1">
      <c r="A33" s="1755" t="s">
        <v>1316</v>
      </c>
      <c r="B33" s="1762" t="s">
        <v>1103</v>
      </c>
      <c r="C33" s="1760">
        <v>7.4999999999999997E-2</v>
      </c>
      <c r="D33" s="1760">
        <v>9.4E-2</v>
      </c>
      <c r="E33" s="1760">
        <v>9.7000000000000003E-2</v>
      </c>
      <c r="F33" s="1761">
        <v>0.1</v>
      </c>
    </row>
    <row r="34" spans="1:6" ht="14.25" thickBot="1">
      <c r="A34" s="1755" t="s">
        <v>1316</v>
      </c>
      <c r="B34" s="1762" t="s">
        <v>1114</v>
      </c>
      <c r="C34" s="1760">
        <v>9.8000000000000004E-2</v>
      </c>
      <c r="D34" s="1760">
        <v>8.5999999999999993E-2</v>
      </c>
      <c r="E34" s="1760">
        <v>9.7000000000000003E-2</v>
      </c>
      <c r="F34" s="1761">
        <v>0.1</v>
      </c>
    </row>
    <row r="35" spans="1:6" ht="14.25" thickBot="1">
      <c r="A35" s="1755" t="s">
        <v>1316</v>
      </c>
      <c r="B35" s="1762" t="s">
        <v>1125</v>
      </c>
      <c r="C35" s="1760">
        <v>5.8999999999999997E-2</v>
      </c>
      <c r="D35" s="1760">
        <v>6.5000000000000002E-2</v>
      </c>
      <c r="E35" s="1760">
        <v>7.0000000000000007E-2</v>
      </c>
      <c r="F35" s="1761">
        <v>0.1</v>
      </c>
    </row>
    <row r="36" spans="1:6" ht="14.25" thickBot="1">
      <c r="A36" s="1755" t="s">
        <v>1316</v>
      </c>
      <c r="B36" s="1762" t="s">
        <v>1136</v>
      </c>
      <c r="C36" s="1760">
        <v>6.3E-2</v>
      </c>
      <c r="D36" s="1760">
        <v>0.1</v>
      </c>
      <c r="E36" s="1760">
        <v>0.1</v>
      </c>
      <c r="F36" s="1761">
        <v>0.1</v>
      </c>
    </row>
    <row r="37" spans="1:6" ht="14.25" thickBot="1">
      <c r="A37" s="1755" t="s">
        <v>1316</v>
      </c>
      <c r="B37" s="1762" t="s">
        <v>1148</v>
      </c>
      <c r="C37" s="1760">
        <v>7.3999999999999996E-2</v>
      </c>
      <c r="D37" s="1760">
        <v>0.1</v>
      </c>
      <c r="E37" s="1760">
        <v>0.1</v>
      </c>
      <c r="F37" s="1761">
        <v>0.1</v>
      </c>
    </row>
    <row r="38" spans="1:6" ht="14.25" thickBot="1">
      <c r="A38" s="1755" t="s">
        <v>1316</v>
      </c>
      <c r="B38" s="1762" t="s">
        <v>1158</v>
      </c>
      <c r="C38" s="1760">
        <v>0.1</v>
      </c>
      <c r="D38" s="1760">
        <v>9.6000000000000002E-2</v>
      </c>
      <c r="E38" s="1760">
        <v>9.6000000000000002E-2</v>
      </c>
      <c r="F38" s="1768"/>
    </row>
    <row r="39" spans="1:6" ht="14.25" thickBot="1">
      <c r="A39" s="1755" t="s">
        <v>1316</v>
      </c>
      <c r="B39" s="1762" t="s">
        <v>1168</v>
      </c>
      <c r="C39" s="1760">
        <v>0.1</v>
      </c>
      <c r="D39" s="1760">
        <v>9.6000000000000002E-2</v>
      </c>
      <c r="E39" s="1760">
        <v>9.6000000000000002E-2</v>
      </c>
      <c r="F39" s="1768"/>
    </row>
    <row r="40" spans="1:6" ht="14.25" thickBot="1">
      <c r="A40" s="1755" t="s">
        <v>1316</v>
      </c>
      <c r="B40" s="1762" t="s">
        <v>1178</v>
      </c>
      <c r="C40" s="1760">
        <v>9.6000000000000002E-2</v>
      </c>
      <c r="D40" s="1760">
        <v>0.1</v>
      </c>
      <c r="E40" s="1760">
        <v>9.9000000000000005E-2</v>
      </c>
      <c r="F40" s="1768"/>
    </row>
    <row r="41" spans="1:6" ht="14.25" thickBot="1">
      <c r="A41" s="1755" t="s">
        <v>1316</v>
      </c>
      <c r="B41" s="1762" t="s">
        <v>1188</v>
      </c>
      <c r="C41" s="1760">
        <v>9.6000000000000002E-2</v>
      </c>
      <c r="D41" s="1760">
        <v>9.8000000000000004E-2</v>
      </c>
      <c r="E41" s="1760">
        <v>9.8000000000000004E-2</v>
      </c>
      <c r="F41" s="1768"/>
    </row>
    <row r="42" spans="1:6" ht="14.25" thickBot="1">
      <c r="A42" s="1755" t="s">
        <v>1316</v>
      </c>
      <c r="B42" s="1762" t="s">
        <v>1198</v>
      </c>
      <c r="C42" s="1760">
        <v>0.1</v>
      </c>
      <c r="D42" s="1760">
        <v>8.7999999999999995E-2</v>
      </c>
      <c r="E42" s="1760">
        <v>0.1</v>
      </c>
      <c r="F42" s="1768"/>
    </row>
    <row r="43" spans="1:6" ht="14.25" thickBot="1">
      <c r="A43" s="1755" t="s">
        <v>1316</v>
      </c>
      <c r="B43" s="1762" t="s">
        <v>1208</v>
      </c>
      <c r="C43" s="1760">
        <v>9.8000000000000004E-2</v>
      </c>
      <c r="D43" s="1760">
        <v>9.7000000000000003E-2</v>
      </c>
      <c r="E43" s="1760">
        <v>9.6000000000000002E-2</v>
      </c>
      <c r="F43" s="1768"/>
    </row>
    <row r="44" spans="1:6" ht="14.25" thickBot="1">
      <c r="A44" s="1755" t="s">
        <v>1316</v>
      </c>
      <c r="B44" s="1762" t="s">
        <v>1218</v>
      </c>
      <c r="C44" s="1760">
        <v>8.5999999999999993E-2</v>
      </c>
      <c r="D44" s="1760">
        <v>7.9000000000000001E-2</v>
      </c>
      <c r="E44" s="1760">
        <v>7.0999999999999994E-2</v>
      </c>
      <c r="F44" s="1768"/>
    </row>
    <row r="45" spans="1:6" ht="14.25" thickBot="1">
      <c r="A45" s="1755" t="s">
        <v>1316</v>
      </c>
      <c r="B45" s="1762" t="s">
        <v>1228</v>
      </c>
      <c r="C45" s="1760">
        <v>9.8000000000000004E-2</v>
      </c>
      <c r="D45" s="1760">
        <v>9.6000000000000002E-2</v>
      </c>
      <c r="E45" s="1760">
        <v>9.6000000000000002E-2</v>
      </c>
      <c r="F45" s="1768"/>
    </row>
    <row r="46" spans="1:6" ht="14.25" thickBot="1">
      <c r="A46" s="1755" t="s">
        <v>1316</v>
      </c>
      <c r="B46" s="1762" t="s">
        <v>1238</v>
      </c>
      <c r="C46" s="1760">
        <v>8.5999999999999993E-2</v>
      </c>
      <c r="D46" s="1760">
        <v>9.8000000000000004E-2</v>
      </c>
      <c r="E46" s="1760">
        <v>8.7999999999999995E-2</v>
      </c>
      <c r="F46" s="1768"/>
    </row>
    <row r="47" spans="1:6" ht="14.25" thickBot="1">
      <c r="A47" s="1755" t="s">
        <v>1316</v>
      </c>
      <c r="B47" s="1762" t="s">
        <v>1248</v>
      </c>
      <c r="C47" s="1760">
        <v>9.6000000000000002E-2</v>
      </c>
      <c r="D47" s="1769"/>
      <c r="E47" s="1760">
        <v>6.9000000000000006E-2</v>
      </c>
      <c r="F47" s="1768"/>
    </row>
    <row r="48" spans="1:6" ht="14.25" thickBot="1">
      <c r="A48" s="1763" t="s">
        <v>1316</v>
      </c>
      <c r="B48" s="1764" t="s">
        <v>1257</v>
      </c>
      <c r="C48" s="1765">
        <v>9.8000000000000004E-2</v>
      </c>
      <c r="D48" s="1766"/>
      <c r="E48" s="1765">
        <v>9.5000000000000001E-2</v>
      </c>
      <c r="F48" s="1767"/>
    </row>
    <row r="49" spans="1:6" ht="14.25" thickBot="1">
      <c r="A49" s="1755" t="s">
        <v>915</v>
      </c>
      <c r="B49" s="1756" t="s">
        <v>2078</v>
      </c>
      <c r="C49" s="1757">
        <v>9.7000000000000003E-2</v>
      </c>
      <c r="D49" s="1757">
        <v>9.5000000000000001E-2</v>
      </c>
      <c r="E49" s="1757">
        <v>9.7000000000000003E-2</v>
      </c>
      <c r="F49" s="1758">
        <v>0.1</v>
      </c>
    </row>
    <row r="50" spans="1:6" ht="14.25" thickBot="1">
      <c r="A50" s="1755" t="s">
        <v>915</v>
      </c>
      <c r="B50" s="1759" t="s">
        <v>1063</v>
      </c>
      <c r="C50" s="1760">
        <v>7.4999999999999997E-2</v>
      </c>
      <c r="D50" s="1760">
        <v>9.5000000000000001E-2</v>
      </c>
      <c r="E50" s="1760">
        <v>0.1</v>
      </c>
      <c r="F50" s="1761">
        <v>0.1</v>
      </c>
    </row>
    <row r="51" spans="1:6" ht="14.25" thickBot="1">
      <c r="A51" s="1755" t="s">
        <v>915</v>
      </c>
      <c r="B51" s="1759" t="s">
        <v>1077</v>
      </c>
      <c r="C51" s="1760">
        <v>9.8000000000000004E-2</v>
      </c>
      <c r="D51" s="1760">
        <v>8.8999999999999996E-2</v>
      </c>
      <c r="E51" s="1760">
        <v>0.1</v>
      </c>
      <c r="F51" s="1761">
        <v>0.1</v>
      </c>
    </row>
    <row r="52" spans="1:6" ht="14.25" thickBot="1">
      <c r="A52" s="1755" t="s">
        <v>915</v>
      </c>
      <c r="B52" s="1759" t="s">
        <v>1090</v>
      </c>
      <c r="C52" s="1760">
        <v>9.8000000000000004E-2</v>
      </c>
      <c r="D52" s="1760">
        <v>9.7000000000000003E-2</v>
      </c>
      <c r="E52" s="1760">
        <v>8.1000000000000003E-2</v>
      </c>
      <c r="F52" s="1761">
        <v>0.1</v>
      </c>
    </row>
    <row r="53" spans="1:6" ht="14.25" thickBot="1">
      <c r="A53" s="1755" t="s">
        <v>915</v>
      </c>
      <c r="B53" s="1759" t="s">
        <v>1104</v>
      </c>
      <c r="C53" s="1760">
        <v>9.7000000000000003E-2</v>
      </c>
      <c r="D53" s="1760">
        <v>7.5999999999999998E-2</v>
      </c>
      <c r="E53" s="1760">
        <v>7.0999999999999994E-2</v>
      </c>
      <c r="F53" s="1761">
        <v>0.1</v>
      </c>
    </row>
    <row r="54" spans="1:6" ht="14.25" thickBot="1">
      <c r="A54" s="1755" t="s">
        <v>915</v>
      </c>
      <c r="B54" s="1759" t="s">
        <v>1115</v>
      </c>
      <c r="C54" s="1760">
        <v>7.5999999999999998E-2</v>
      </c>
      <c r="D54" s="1760">
        <v>0.1</v>
      </c>
      <c r="E54" s="1760">
        <v>9.9000000000000005E-2</v>
      </c>
      <c r="F54" s="1761">
        <v>0.1</v>
      </c>
    </row>
    <row r="55" spans="1:6" ht="14.25" thickBot="1">
      <c r="A55" s="1755" t="s">
        <v>915</v>
      </c>
      <c r="B55" s="1759" t="s">
        <v>1126</v>
      </c>
      <c r="C55" s="1760">
        <v>0.1</v>
      </c>
      <c r="D55" s="1760">
        <v>0.1</v>
      </c>
      <c r="E55" s="1760">
        <v>9.6000000000000002E-2</v>
      </c>
      <c r="F55" s="1761">
        <v>0.1</v>
      </c>
    </row>
    <row r="56" spans="1:6" ht="14.25" thickBot="1">
      <c r="A56" s="1755" t="s">
        <v>915</v>
      </c>
      <c r="B56" s="1759" t="s">
        <v>1137</v>
      </c>
      <c r="C56" s="1760">
        <v>0.1</v>
      </c>
      <c r="D56" s="1760">
        <v>9.6000000000000002E-2</v>
      </c>
      <c r="E56" s="1760">
        <v>5.1999999999999998E-2</v>
      </c>
      <c r="F56" s="1761">
        <v>0.1</v>
      </c>
    </row>
    <row r="57" spans="1:6" ht="14.25" thickBot="1">
      <c r="A57" s="1755" t="s">
        <v>915</v>
      </c>
      <c r="B57" s="1759" t="s">
        <v>1149</v>
      </c>
      <c r="C57" s="1760">
        <v>9.7000000000000003E-2</v>
      </c>
      <c r="D57" s="1760">
        <v>9.6000000000000002E-2</v>
      </c>
      <c r="E57" s="1760">
        <v>9.6000000000000002E-2</v>
      </c>
      <c r="F57" s="1761">
        <v>0.1</v>
      </c>
    </row>
    <row r="58" spans="1:6" ht="14.25" thickBot="1">
      <c r="A58" s="1755" t="s">
        <v>915</v>
      </c>
      <c r="B58" s="1759" t="s">
        <v>1159</v>
      </c>
      <c r="C58" s="1760">
        <v>9.6000000000000002E-2</v>
      </c>
      <c r="D58" s="1760">
        <v>9.9000000000000005E-2</v>
      </c>
      <c r="E58" s="1760">
        <v>9.6000000000000002E-2</v>
      </c>
      <c r="F58" s="1761">
        <v>0.1</v>
      </c>
    </row>
    <row r="59" spans="1:6" ht="14.25" thickBot="1">
      <c r="A59" s="1755" t="s">
        <v>915</v>
      </c>
      <c r="B59" s="1759" t="s">
        <v>1169</v>
      </c>
      <c r="C59" s="1760">
        <v>7.1999999999999995E-2</v>
      </c>
      <c r="D59" s="1760">
        <v>9.6000000000000002E-2</v>
      </c>
      <c r="E59" s="1760">
        <v>7.0999999999999994E-2</v>
      </c>
      <c r="F59" s="1761">
        <v>0.1</v>
      </c>
    </row>
    <row r="60" spans="1:6" ht="14.25" thickBot="1">
      <c r="A60" s="1755" t="s">
        <v>915</v>
      </c>
      <c r="B60" s="1759" t="s">
        <v>1179</v>
      </c>
      <c r="C60" s="1760">
        <v>9.6000000000000002E-2</v>
      </c>
      <c r="D60" s="1760">
        <v>8.8999999999999996E-2</v>
      </c>
      <c r="E60" s="1760">
        <v>9.6000000000000002E-2</v>
      </c>
      <c r="F60" s="1761">
        <v>0.1</v>
      </c>
    </row>
    <row r="61" spans="1:6" ht="14.25" thickBot="1">
      <c r="A61" s="1755" t="s">
        <v>915</v>
      </c>
      <c r="B61" s="1759" t="s">
        <v>1189</v>
      </c>
      <c r="C61" s="1760">
        <v>8.8999999999999996E-2</v>
      </c>
      <c r="D61" s="1760">
        <v>9.8000000000000004E-2</v>
      </c>
      <c r="E61" s="1760">
        <v>8.7999999999999995E-2</v>
      </c>
      <c r="F61" s="1768"/>
    </row>
    <row r="62" spans="1:6" ht="14.25" thickBot="1">
      <c r="A62" s="1755" t="s">
        <v>915</v>
      </c>
      <c r="B62" s="1759" t="s">
        <v>1199</v>
      </c>
      <c r="C62" s="1760">
        <v>9.8000000000000004E-2</v>
      </c>
      <c r="D62" s="1760">
        <v>9.2999999999999999E-2</v>
      </c>
      <c r="E62" s="1760">
        <v>9.7000000000000003E-2</v>
      </c>
      <c r="F62" s="1768"/>
    </row>
    <row r="63" spans="1:6" ht="14.25" thickBot="1">
      <c r="A63" s="1755" t="s">
        <v>915</v>
      </c>
      <c r="B63" s="1759" t="s">
        <v>1209</v>
      </c>
      <c r="C63" s="1760">
        <v>9.6000000000000002E-2</v>
      </c>
      <c r="D63" s="1760">
        <v>9.8000000000000004E-2</v>
      </c>
      <c r="E63" s="1760">
        <v>0.09</v>
      </c>
      <c r="F63" s="1768"/>
    </row>
    <row r="64" spans="1:6" ht="14.25" thickBot="1">
      <c r="A64" s="1755" t="s">
        <v>915</v>
      </c>
      <c r="B64" s="1759" t="s">
        <v>1219</v>
      </c>
      <c r="C64" s="1760">
        <v>9.9000000000000005E-2</v>
      </c>
      <c r="D64" s="1760">
        <v>9.7000000000000003E-2</v>
      </c>
      <c r="E64" s="1760">
        <v>9.9000000000000005E-2</v>
      </c>
      <c r="F64" s="1768"/>
    </row>
    <row r="65" spans="1:6" ht="14.25" thickBot="1">
      <c r="A65" s="1755" t="s">
        <v>915</v>
      </c>
      <c r="B65" s="1759" t="s">
        <v>1229</v>
      </c>
      <c r="C65" s="1760">
        <v>9.8000000000000004E-2</v>
      </c>
      <c r="D65" s="1760">
        <v>9.6000000000000002E-2</v>
      </c>
      <c r="E65" s="1760">
        <v>9.6000000000000002E-2</v>
      </c>
      <c r="F65" s="1768"/>
    </row>
    <row r="66" spans="1:6" ht="14.25" thickBot="1">
      <c r="A66" s="1755" t="s">
        <v>915</v>
      </c>
      <c r="B66" s="1759" t="s">
        <v>1239</v>
      </c>
      <c r="C66" s="1760">
        <v>9.6000000000000002E-2</v>
      </c>
      <c r="D66" s="1760">
        <v>9.1999999999999998E-2</v>
      </c>
      <c r="E66" s="1760">
        <v>9.6000000000000002E-2</v>
      </c>
      <c r="F66" s="1768"/>
    </row>
    <row r="67" spans="1:6" ht="14.25" thickBot="1">
      <c r="A67" s="1755" t="s">
        <v>915</v>
      </c>
      <c r="B67" s="1759" t="s">
        <v>1249</v>
      </c>
      <c r="C67" s="1760">
        <v>9.4E-2</v>
      </c>
      <c r="D67" s="1760">
        <v>0.1</v>
      </c>
      <c r="E67" s="1760">
        <v>8.7999999999999995E-2</v>
      </c>
      <c r="F67" s="1768"/>
    </row>
    <row r="68" spans="1:6" ht="14.25" thickBot="1">
      <c r="A68" s="1755" t="s">
        <v>915</v>
      </c>
      <c r="B68" s="1759" t="s">
        <v>1258</v>
      </c>
      <c r="C68" s="1760">
        <v>0.1</v>
      </c>
      <c r="D68" s="1760">
        <v>8.7999999999999995E-2</v>
      </c>
      <c r="E68" s="1760">
        <v>9.7000000000000003E-2</v>
      </c>
      <c r="F68" s="1768"/>
    </row>
    <row r="69" spans="1:6" ht="14.25" thickBot="1">
      <c r="A69" s="1755" t="s">
        <v>915</v>
      </c>
      <c r="B69" s="1759" t="s">
        <v>1267</v>
      </c>
      <c r="C69" s="1760">
        <v>6.4000000000000001E-2</v>
      </c>
      <c r="D69" s="1760">
        <v>0.1</v>
      </c>
      <c r="E69" s="1760">
        <v>0.1</v>
      </c>
      <c r="F69" s="1768"/>
    </row>
    <row r="70" spans="1:6" ht="14.25" thickBot="1">
      <c r="A70" s="1755" t="s">
        <v>915</v>
      </c>
      <c r="B70" s="1759" t="s">
        <v>1275</v>
      </c>
      <c r="C70" s="1760">
        <v>9.0999999999999998E-2</v>
      </c>
      <c r="D70" s="1769"/>
      <c r="E70" s="1769"/>
      <c r="F70" s="1768"/>
    </row>
    <row r="71" spans="1:6" ht="14.25" thickBot="1">
      <c r="A71" s="1755" t="s">
        <v>915</v>
      </c>
      <c r="B71" s="1759" t="s">
        <v>1282</v>
      </c>
      <c r="C71" s="1760">
        <v>0.1</v>
      </c>
      <c r="D71" s="1769"/>
      <c r="E71" s="1769"/>
      <c r="F71" s="1768"/>
    </row>
    <row r="72" spans="1:6" ht="14.25" thickBot="1">
      <c r="A72" s="1755" t="s">
        <v>915</v>
      </c>
      <c r="B72" s="1759" t="s">
        <v>2079</v>
      </c>
      <c r="C72" s="1769"/>
      <c r="D72" s="1769"/>
      <c r="E72" s="1769"/>
      <c r="F72" s="1761">
        <v>0.05</v>
      </c>
    </row>
    <row r="73" spans="1:6" ht="14.25" thickBot="1">
      <c r="A73" s="1755" t="s">
        <v>915</v>
      </c>
      <c r="B73" s="1759" t="s">
        <v>2080</v>
      </c>
      <c r="C73" s="1769"/>
      <c r="D73" s="1769"/>
      <c r="E73" s="1769"/>
      <c r="F73" s="1761">
        <v>0.05</v>
      </c>
    </row>
    <row r="74" spans="1:6" ht="14.25" thickBot="1">
      <c r="A74" s="1755" t="s">
        <v>915</v>
      </c>
      <c r="B74" s="1759" t="s">
        <v>2081</v>
      </c>
      <c r="C74" s="1769"/>
      <c r="D74" s="1769"/>
      <c r="E74" s="1769"/>
      <c r="F74" s="1761">
        <v>0.05</v>
      </c>
    </row>
    <row r="75" spans="1:6" ht="14.25" thickBot="1">
      <c r="A75" s="1763" t="s">
        <v>915</v>
      </c>
      <c r="B75" s="1770" t="s">
        <v>2082</v>
      </c>
      <c r="C75" s="1766"/>
      <c r="D75" s="1766"/>
      <c r="E75" s="1766"/>
      <c r="F75" s="1771">
        <v>0.05</v>
      </c>
    </row>
    <row r="76" spans="1:6" ht="14.25" thickBot="1">
      <c r="A76" s="1755" t="s">
        <v>1397</v>
      </c>
      <c r="B76" s="1756" t="s">
        <v>2083</v>
      </c>
      <c r="C76" s="1757">
        <v>0.1</v>
      </c>
      <c r="D76" s="1757">
        <v>0.1</v>
      </c>
      <c r="E76" s="1757">
        <v>0.1</v>
      </c>
      <c r="F76" s="1758">
        <v>0.1</v>
      </c>
    </row>
    <row r="77" spans="1:6" ht="14.25" thickBot="1">
      <c r="A77" s="1755" t="s">
        <v>1397</v>
      </c>
      <c r="B77" s="1759" t="s">
        <v>1064</v>
      </c>
      <c r="C77" s="1760">
        <v>8.7999999999999995E-2</v>
      </c>
      <c r="D77" s="1760">
        <v>8.6999999999999994E-2</v>
      </c>
      <c r="E77" s="1760">
        <v>7.9000000000000001E-2</v>
      </c>
      <c r="F77" s="1761">
        <v>0.1</v>
      </c>
    </row>
    <row r="78" spans="1:6" ht="14.25" thickBot="1">
      <c r="A78" s="1755" t="s">
        <v>1397</v>
      </c>
      <c r="B78" s="1759" t="s">
        <v>1078</v>
      </c>
      <c r="C78" s="1760">
        <v>8.6999999999999994E-2</v>
      </c>
      <c r="D78" s="1760">
        <v>8.4000000000000005E-2</v>
      </c>
      <c r="E78" s="1760">
        <v>9.6000000000000002E-2</v>
      </c>
      <c r="F78" s="1761">
        <v>0.1</v>
      </c>
    </row>
    <row r="79" spans="1:6" ht="14.25" thickBot="1">
      <c r="A79" s="1755" t="s">
        <v>1397</v>
      </c>
      <c r="B79" s="1759" t="s">
        <v>1091</v>
      </c>
      <c r="C79" s="1760">
        <v>9.8000000000000004E-2</v>
      </c>
      <c r="D79" s="1760">
        <v>9.8000000000000004E-2</v>
      </c>
      <c r="E79" s="1760">
        <v>9.0999999999999998E-2</v>
      </c>
      <c r="F79" s="1761">
        <v>0.1</v>
      </c>
    </row>
    <row r="80" spans="1:6" ht="14.25" thickBot="1">
      <c r="A80" s="1755" t="s">
        <v>1397</v>
      </c>
      <c r="B80" s="1759" t="s">
        <v>1105</v>
      </c>
      <c r="C80" s="1760">
        <v>9.6000000000000002E-2</v>
      </c>
      <c r="D80" s="1760">
        <v>9.6000000000000002E-2</v>
      </c>
      <c r="E80" s="1760">
        <v>0.1</v>
      </c>
      <c r="F80" s="1761">
        <v>0.1</v>
      </c>
    </row>
    <row r="81" spans="1:6" ht="14.25" thickBot="1">
      <c r="A81" s="1755" t="s">
        <v>1397</v>
      </c>
      <c r="B81" s="1759" t="s">
        <v>1116</v>
      </c>
      <c r="C81" s="1760">
        <v>9.9000000000000005E-2</v>
      </c>
      <c r="D81" s="1760">
        <v>9.9000000000000005E-2</v>
      </c>
      <c r="E81" s="1760">
        <v>9.8000000000000004E-2</v>
      </c>
      <c r="F81" s="1761">
        <v>0.1</v>
      </c>
    </row>
    <row r="82" spans="1:6" ht="14.25" thickBot="1">
      <c r="A82" s="1755" t="s">
        <v>1397</v>
      </c>
      <c r="B82" s="1759" t="s">
        <v>1127</v>
      </c>
      <c r="C82" s="1760">
        <v>9.9000000000000005E-2</v>
      </c>
      <c r="D82" s="1760">
        <v>9.9000000000000005E-2</v>
      </c>
      <c r="E82" s="1760">
        <v>9.7000000000000003E-2</v>
      </c>
      <c r="F82" s="1761">
        <v>0.1</v>
      </c>
    </row>
    <row r="83" spans="1:6" ht="14.25" thickBot="1">
      <c r="A83" s="1755" t="s">
        <v>1397</v>
      </c>
      <c r="B83" s="1759" t="s">
        <v>1138</v>
      </c>
      <c r="C83" s="1760">
        <v>9.8000000000000004E-2</v>
      </c>
      <c r="D83" s="1760">
        <v>9.8000000000000004E-2</v>
      </c>
      <c r="E83" s="1760">
        <v>9.8000000000000004E-2</v>
      </c>
      <c r="F83" s="1761">
        <v>0.1</v>
      </c>
    </row>
    <row r="84" spans="1:6" ht="14.25" thickBot="1">
      <c r="A84" s="1755" t="s">
        <v>1397</v>
      </c>
      <c r="B84" s="1759" t="s">
        <v>1150</v>
      </c>
      <c r="C84" s="1760">
        <v>9.9000000000000005E-2</v>
      </c>
      <c r="D84" s="1760">
        <v>9.9000000000000005E-2</v>
      </c>
      <c r="E84" s="1760">
        <v>9.9000000000000005E-2</v>
      </c>
      <c r="F84" s="1761">
        <v>0.1</v>
      </c>
    </row>
    <row r="85" spans="1:6" ht="14.25" thickBot="1">
      <c r="A85" s="1755" t="s">
        <v>1397</v>
      </c>
      <c r="B85" s="1759" t="s">
        <v>1160</v>
      </c>
      <c r="C85" s="1760">
        <v>9.9000000000000005E-2</v>
      </c>
      <c r="D85" s="1760">
        <v>9.9000000000000005E-2</v>
      </c>
      <c r="E85" s="1760">
        <v>9.9000000000000005E-2</v>
      </c>
      <c r="F85" s="1761">
        <v>0.1</v>
      </c>
    </row>
    <row r="86" spans="1:6" ht="14.25" thickBot="1">
      <c r="A86" s="1755" t="s">
        <v>1397</v>
      </c>
      <c r="B86" s="1759" t="s">
        <v>1170</v>
      </c>
      <c r="C86" s="1760">
        <v>0.1</v>
      </c>
      <c r="D86" s="1760">
        <v>0.1</v>
      </c>
      <c r="E86" s="1760">
        <v>7.6999999999999999E-2</v>
      </c>
      <c r="F86" s="1761">
        <v>0.1</v>
      </c>
    </row>
    <row r="87" spans="1:6" ht="14.25" thickBot="1">
      <c r="A87" s="1755" t="s">
        <v>1397</v>
      </c>
      <c r="B87" s="1759" t="s">
        <v>1180</v>
      </c>
      <c r="C87" s="1760">
        <v>0.1</v>
      </c>
      <c r="D87" s="1760">
        <v>0.1</v>
      </c>
      <c r="E87" s="1760">
        <v>9.8000000000000004E-2</v>
      </c>
      <c r="F87" s="1768"/>
    </row>
    <row r="88" spans="1:6" ht="14.25" thickBot="1">
      <c r="A88" s="1755" t="s">
        <v>1397</v>
      </c>
      <c r="B88" s="1759" t="s">
        <v>1190</v>
      </c>
      <c r="C88" s="1760">
        <v>9.1999999999999998E-2</v>
      </c>
      <c r="D88" s="1760">
        <v>8.5000000000000006E-2</v>
      </c>
      <c r="E88" s="1760">
        <v>9.6000000000000002E-2</v>
      </c>
      <c r="F88" s="1768"/>
    </row>
    <row r="89" spans="1:6" ht="14.25" thickBot="1">
      <c r="A89" s="1755" t="s">
        <v>1397</v>
      </c>
      <c r="B89" s="1759" t="s">
        <v>1200</v>
      </c>
      <c r="C89" s="1760">
        <v>0.1</v>
      </c>
      <c r="D89" s="1760">
        <v>0.1</v>
      </c>
      <c r="E89" s="1760">
        <v>9.7000000000000003E-2</v>
      </c>
      <c r="F89" s="1768"/>
    </row>
    <row r="90" spans="1:6" ht="14.25" thickBot="1">
      <c r="A90" s="1755" t="s">
        <v>1397</v>
      </c>
      <c r="B90" s="1759" t="s">
        <v>1210</v>
      </c>
      <c r="C90" s="1760">
        <v>9.8000000000000004E-2</v>
      </c>
      <c r="D90" s="1760">
        <v>9.8000000000000004E-2</v>
      </c>
      <c r="E90" s="1760">
        <v>8.7999999999999995E-2</v>
      </c>
      <c r="F90" s="1768"/>
    </row>
    <row r="91" spans="1:6" ht="14.25" thickBot="1">
      <c r="A91" s="1755" t="s">
        <v>1397</v>
      </c>
      <c r="B91" s="1759" t="s">
        <v>1220</v>
      </c>
      <c r="C91" s="1760">
        <v>9.9000000000000005E-2</v>
      </c>
      <c r="D91" s="1760">
        <v>9.9000000000000005E-2</v>
      </c>
      <c r="E91" s="1760">
        <v>9.0999999999999998E-2</v>
      </c>
      <c r="F91" s="1768"/>
    </row>
    <row r="92" spans="1:6" ht="14.25" thickBot="1">
      <c r="A92" s="1755" t="s">
        <v>1397</v>
      </c>
      <c r="B92" s="1759" t="s">
        <v>1230</v>
      </c>
      <c r="C92" s="1760">
        <v>9.6000000000000002E-2</v>
      </c>
      <c r="D92" s="1760">
        <v>9.6000000000000002E-2</v>
      </c>
      <c r="E92" s="1760">
        <v>7.2999999999999995E-2</v>
      </c>
      <c r="F92" s="1768"/>
    </row>
    <row r="93" spans="1:6" ht="14.25" thickBot="1">
      <c r="A93" s="1755" t="s">
        <v>1397</v>
      </c>
      <c r="B93" s="1759" t="s">
        <v>1240</v>
      </c>
      <c r="C93" s="1760">
        <v>9.6000000000000002E-2</v>
      </c>
      <c r="D93" s="1760">
        <v>9.6000000000000002E-2</v>
      </c>
      <c r="E93" s="1760">
        <v>9.9000000000000005E-2</v>
      </c>
      <c r="F93" s="1768"/>
    </row>
    <row r="94" spans="1:6" ht="14.25" thickBot="1">
      <c r="A94" s="1755" t="s">
        <v>1397</v>
      </c>
      <c r="B94" s="1759" t="s">
        <v>1250</v>
      </c>
      <c r="C94" s="1760">
        <v>7.5999999999999998E-2</v>
      </c>
      <c r="D94" s="1760">
        <v>7.3999999999999996E-2</v>
      </c>
      <c r="E94" s="1760">
        <v>9.7000000000000003E-2</v>
      </c>
      <c r="F94" s="1768"/>
    </row>
    <row r="95" spans="1:6" ht="14.25" thickBot="1">
      <c r="A95" s="1755" t="s">
        <v>1397</v>
      </c>
      <c r="B95" s="1759" t="s">
        <v>1259</v>
      </c>
      <c r="C95" s="1760">
        <v>9.9000000000000005E-2</v>
      </c>
      <c r="D95" s="1760">
        <v>9.4E-2</v>
      </c>
      <c r="E95" s="1760">
        <v>9.6000000000000002E-2</v>
      </c>
      <c r="F95" s="1768"/>
    </row>
    <row r="96" spans="1:6" ht="14.25" thickBot="1">
      <c r="A96" s="1755" t="s">
        <v>1397</v>
      </c>
      <c r="B96" s="1759" t="s">
        <v>1268</v>
      </c>
      <c r="C96" s="1760">
        <v>9.9000000000000005E-2</v>
      </c>
      <c r="D96" s="1760">
        <v>9.9000000000000005E-2</v>
      </c>
      <c r="E96" s="1760">
        <v>9.9000000000000005E-2</v>
      </c>
      <c r="F96" s="1768"/>
    </row>
    <row r="97" spans="1:6" ht="14.25" thickBot="1">
      <c r="A97" s="1755" t="s">
        <v>1397</v>
      </c>
      <c r="B97" s="1759" t="s">
        <v>1276</v>
      </c>
      <c r="C97" s="1760">
        <v>9.8000000000000004E-2</v>
      </c>
      <c r="D97" s="1760">
        <v>9.8000000000000004E-2</v>
      </c>
      <c r="E97" s="1760">
        <v>9.7000000000000003E-2</v>
      </c>
      <c r="F97" s="1768"/>
    </row>
    <row r="98" spans="1:6" ht="14.25" thickBot="1">
      <c r="A98" s="1755" t="s">
        <v>1397</v>
      </c>
      <c r="B98" s="1759" t="s">
        <v>1283</v>
      </c>
      <c r="C98" s="1760">
        <v>0.1</v>
      </c>
      <c r="D98" s="1760">
        <v>0.1</v>
      </c>
      <c r="E98" s="1760">
        <v>9.7000000000000003E-2</v>
      </c>
      <c r="F98" s="1768"/>
    </row>
    <row r="99" spans="1:6" ht="14.25" thickBot="1">
      <c r="A99" s="1755" t="s">
        <v>1397</v>
      </c>
      <c r="B99" s="1759" t="s">
        <v>1290</v>
      </c>
      <c r="C99" s="1760">
        <v>0.1</v>
      </c>
      <c r="D99" s="1760">
        <v>0.1</v>
      </c>
      <c r="E99" s="1769"/>
      <c r="F99" s="1768"/>
    </row>
    <row r="100" spans="1:6" ht="14.25" thickBot="1">
      <c r="A100" s="1755" t="s">
        <v>1397</v>
      </c>
      <c r="B100" s="1759" t="s">
        <v>1297</v>
      </c>
      <c r="C100" s="1760">
        <v>0.09</v>
      </c>
      <c r="D100" s="1760">
        <v>8.8999999999999996E-2</v>
      </c>
      <c r="E100" s="1769"/>
      <c r="F100" s="1768"/>
    </row>
    <row r="101" spans="1:6" ht="14.25" thickBot="1">
      <c r="A101" s="1755" t="s">
        <v>1397</v>
      </c>
      <c r="B101" s="1759" t="s">
        <v>1304</v>
      </c>
      <c r="C101" s="1760">
        <v>9.8000000000000004E-2</v>
      </c>
      <c r="D101" s="1760">
        <v>9.7000000000000003E-2</v>
      </c>
      <c r="E101" s="1769"/>
      <c r="F101" s="1768"/>
    </row>
    <row r="102" spans="1:6" ht="14.25" thickBot="1">
      <c r="A102" s="1755" t="s">
        <v>1397</v>
      </c>
      <c r="B102" s="1759" t="s">
        <v>2084</v>
      </c>
      <c r="C102" s="1769"/>
      <c r="D102" s="1769"/>
      <c r="E102" s="1769"/>
      <c r="F102" s="1761">
        <v>0.05</v>
      </c>
    </row>
    <row r="103" spans="1:6" ht="24.75" thickBot="1">
      <c r="A103" s="1755" t="s">
        <v>1397</v>
      </c>
      <c r="B103" s="1759" t="s">
        <v>2085</v>
      </c>
      <c r="C103" s="1769"/>
      <c r="D103" s="1769"/>
      <c r="E103" s="1769"/>
      <c r="F103" s="1761">
        <v>0.05</v>
      </c>
    </row>
    <row r="104" spans="1:6" ht="14.25" thickBot="1">
      <c r="A104" s="1755" t="s">
        <v>1397</v>
      </c>
      <c r="B104" s="1759" t="s">
        <v>2086</v>
      </c>
      <c r="C104" s="1769"/>
      <c r="D104" s="1769"/>
      <c r="E104" s="1769"/>
      <c r="F104" s="1761">
        <v>0.05</v>
      </c>
    </row>
    <row r="105" spans="1:6" ht="14.25" thickBot="1">
      <c r="A105" s="1755" t="s">
        <v>1397</v>
      </c>
      <c r="B105" s="1759" t="s">
        <v>2087</v>
      </c>
      <c r="C105" s="1769"/>
      <c r="D105" s="1769"/>
      <c r="E105" s="1769"/>
      <c r="F105" s="1761">
        <v>0.05</v>
      </c>
    </row>
    <row r="106" spans="1:6" ht="14.25" thickBot="1">
      <c r="A106" s="1755" t="s">
        <v>1397</v>
      </c>
      <c r="B106" s="1759" t="s">
        <v>2088</v>
      </c>
      <c r="C106" s="1769"/>
      <c r="D106" s="1769"/>
      <c r="E106" s="1769"/>
      <c r="F106" s="1761">
        <v>0.05</v>
      </c>
    </row>
    <row r="107" spans="1:6" ht="24.75" thickBot="1">
      <c r="A107" s="1755" t="s">
        <v>1397</v>
      </c>
      <c r="B107" s="1759" t="s">
        <v>2089</v>
      </c>
      <c r="C107" s="1769"/>
      <c r="D107" s="1769"/>
      <c r="E107" s="1769"/>
      <c r="F107" s="1761">
        <v>0.05</v>
      </c>
    </row>
    <row r="108" spans="1:6" ht="24.75" thickBot="1">
      <c r="A108" s="1755" t="s">
        <v>1397</v>
      </c>
      <c r="B108" s="1759" t="s">
        <v>2090</v>
      </c>
      <c r="C108" s="1769"/>
      <c r="D108" s="1769"/>
      <c r="E108" s="1769"/>
      <c r="F108" s="1761">
        <v>0.05</v>
      </c>
    </row>
    <row r="109" spans="1:6" ht="24.75" thickBot="1">
      <c r="A109" s="1763" t="s">
        <v>1397</v>
      </c>
      <c r="B109" s="1770" t="s">
        <v>2091</v>
      </c>
      <c r="C109" s="1766"/>
      <c r="D109" s="1766"/>
      <c r="E109" s="1766"/>
      <c r="F109" s="1771">
        <v>0.05</v>
      </c>
    </row>
    <row r="110" spans="1:6" ht="14.25" thickBot="1">
      <c r="A110" s="1755" t="s">
        <v>1399</v>
      </c>
      <c r="B110" s="1756" t="s">
        <v>2092</v>
      </c>
      <c r="C110" s="1757">
        <v>0.129</v>
      </c>
      <c r="D110" s="1757">
        <v>0.129</v>
      </c>
      <c r="E110" s="1757">
        <v>0.126</v>
      </c>
      <c r="F110" s="1758">
        <v>0.13</v>
      </c>
    </row>
    <row r="111" spans="1:6" ht="14.25" thickBot="1">
      <c r="A111" s="1755" t="s">
        <v>1399</v>
      </c>
      <c r="B111" s="1759" t="s">
        <v>1065</v>
      </c>
      <c r="C111" s="1760">
        <v>0.11</v>
      </c>
      <c r="D111" s="1760">
        <v>0.11</v>
      </c>
      <c r="E111" s="1760">
        <v>9.9000000000000005E-2</v>
      </c>
      <c r="F111" s="1761">
        <v>0.128</v>
      </c>
    </row>
    <row r="112" spans="1:6" ht="14.25" thickBot="1">
      <c r="A112" s="1755" t="s">
        <v>1399</v>
      </c>
      <c r="B112" s="1759" t="s">
        <v>1079</v>
      </c>
      <c r="C112" s="1760">
        <v>0.125</v>
      </c>
      <c r="D112" s="1760">
        <v>0.125</v>
      </c>
      <c r="E112" s="1760">
        <v>0.12</v>
      </c>
      <c r="F112" s="1761">
        <v>0.125</v>
      </c>
    </row>
    <row r="113" spans="1:6" ht="14.25" thickBot="1">
      <c r="A113" s="1755" t="s">
        <v>1399</v>
      </c>
      <c r="B113" s="1759" t="s">
        <v>1092</v>
      </c>
      <c r="C113" s="1760">
        <v>0.13</v>
      </c>
      <c r="D113" s="1760">
        <v>0.13</v>
      </c>
      <c r="E113" s="1760">
        <v>0.13</v>
      </c>
      <c r="F113" s="1761">
        <v>0.13</v>
      </c>
    </row>
    <row r="114" spans="1:6" ht="14.25" thickBot="1">
      <c r="A114" s="1755" t="s">
        <v>1399</v>
      </c>
      <c r="B114" s="1759" t="s">
        <v>1106</v>
      </c>
      <c r="C114" s="1760">
        <v>0.123</v>
      </c>
      <c r="D114" s="1760">
        <v>0.123</v>
      </c>
      <c r="E114" s="1760">
        <v>0.12</v>
      </c>
      <c r="F114" s="1761">
        <v>0.13</v>
      </c>
    </row>
    <row r="115" spans="1:6" ht="14.25" thickBot="1">
      <c r="A115" s="1755" t="s">
        <v>1399</v>
      </c>
      <c r="B115" s="1759" t="s">
        <v>1117</v>
      </c>
      <c r="C115" s="1760">
        <v>0.125</v>
      </c>
      <c r="D115" s="1760">
        <v>0.125</v>
      </c>
      <c r="E115" s="1760">
        <v>0.11700000000000001</v>
      </c>
      <c r="F115" s="1761">
        <v>0.13</v>
      </c>
    </row>
    <row r="116" spans="1:6" ht="14.25" thickBot="1">
      <c r="A116" s="1755" t="s">
        <v>1399</v>
      </c>
      <c r="B116" s="1759" t="s">
        <v>1128</v>
      </c>
      <c r="C116" s="1760">
        <v>0.11700000000000001</v>
      </c>
      <c r="D116" s="1760">
        <v>0.11700000000000001</v>
      </c>
      <c r="E116" s="1760">
        <v>8.7999999999999995E-2</v>
      </c>
      <c r="F116" s="1761">
        <v>0.13</v>
      </c>
    </row>
    <row r="117" spans="1:6" ht="14.25" thickBot="1">
      <c r="A117" s="1755" t="s">
        <v>1399</v>
      </c>
      <c r="B117" s="1759" t="s">
        <v>1139</v>
      </c>
      <c r="C117" s="1760">
        <v>0.13</v>
      </c>
      <c r="D117" s="1760">
        <v>0.13</v>
      </c>
      <c r="E117" s="1760">
        <v>0.129</v>
      </c>
      <c r="F117" s="1761">
        <v>0.13</v>
      </c>
    </row>
    <row r="118" spans="1:6" ht="14.25" thickBot="1">
      <c r="A118" s="1755" t="s">
        <v>1399</v>
      </c>
      <c r="B118" s="1759" t="s">
        <v>1151</v>
      </c>
      <c r="C118" s="1760">
        <v>0.123</v>
      </c>
      <c r="D118" s="1760">
        <v>0.123</v>
      </c>
      <c r="E118" s="1760">
        <v>0.11600000000000001</v>
      </c>
      <c r="F118" s="1761">
        <v>0.13</v>
      </c>
    </row>
    <row r="119" spans="1:6" ht="14.25" thickBot="1">
      <c r="A119" s="1755" t="s">
        <v>1399</v>
      </c>
      <c r="B119" s="1759" t="s">
        <v>1161</v>
      </c>
      <c r="C119" s="1760">
        <v>0.127</v>
      </c>
      <c r="D119" s="1760">
        <v>0.127</v>
      </c>
      <c r="E119" s="1760">
        <v>0.124</v>
      </c>
      <c r="F119" s="1761">
        <v>0.13</v>
      </c>
    </row>
    <row r="120" spans="1:6" ht="14.25" thickBot="1">
      <c r="A120" s="1755" t="s">
        <v>1399</v>
      </c>
      <c r="B120" s="1759" t="s">
        <v>1171</v>
      </c>
      <c r="C120" s="1760">
        <v>0.125</v>
      </c>
      <c r="D120" s="1760">
        <v>0.125</v>
      </c>
      <c r="E120" s="1760">
        <v>0.122</v>
      </c>
      <c r="F120" s="1761">
        <v>0.13</v>
      </c>
    </row>
    <row r="121" spans="1:6" ht="14.25" thickBot="1">
      <c r="A121" s="1755" t="s">
        <v>1399</v>
      </c>
      <c r="B121" s="1759" t="s">
        <v>1181</v>
      </c>
      <c r="C121" s="1760">
        <v>0.13</v>
      </c>
      <c r="D121" s="1760">
        <v>0.13</v>
      </c>
      <c r="E121" s="1760">
        <v>0.13</v>
      </c>
      <c r="F121" s="1761">
        <v>0.13</v>
      </c>
    </row>
    <row r="122" spans="1:6" ht="14.25" thickBot="1">
      <c r="A122" s="1755" t="s">
        <v>1399</v>
      </c>
      <c r="B122" s="1759" t="s">
        <v>1191</v>
      </c>
      <c r="C122" s="1760">
        <v>0.13</v>
      </c>
      <c r="D122" s="1760">
        <v>0.13</v>
      </c>
      <c r="E122" s="1760">
        <v>0.125</v>
      </c>
      <c r="F122" s="1761">
        <v>0.13</v>
      </c>
    </row>
    <row r="123" spans="1:6" ht="14.25" thickBot="1">
      <c r="A123" s="1755" t="s">
        <v>1399</v>
      </c>
      <c r="B123" s="1759" t="s">
        <v>1201</v>
      </c>
      <c r="C123" s="1760">
        <v>0.129</v>
      </c>
      <c r="D123" s="1760">
        <v>0.129</v>
      </c>
      <c r="E123" s="1760">
        <v>0.123</v>
      </c>
      <c r="F123" s="1761">
        <v>0.13</v>
      </c>
    </row>
    <row r="124" spans="1:6" ht="14.25" thickBot="1">
      <c r="A124" s="1755" t="s">
        <v>1399</v>
      </c>
      <c r="B124" s="1759" t="s">
        <v>1211</v>
      </c>
      <c r="C124" s="1760">
        <v>0.10199999999999999</v>
      </c>
      <c r="D124" s="1760">
        <v>0.10100000000000001</v>
      </c>
      <c r="E124" s="1760">
        <v>0.08</v>
      </c>
      <c r="F124" s="1768"/>
    </row>
    <row r="125" spans="1:6" ht="14.25" thickBot="1">
      <c r="A125" s="1755" t="s">
        <v>1399</v>
      </c>
      <c r="B125" s="1759" t="s">
        <v>1221</v>
      </c>
      <c r="C125" s="1760">
        <v>0.13</v>
      </c>
      <c r="D125" s="1760">
        <v>0.13</v>
      </c>
      <c r="E125" s="1760">
        <v>0.129</v>
      </c>
      <c r="F125" s="1768"/>
    </row>
    <row r="126" spans="1:6" ht="14.25" thickBot="1">
      <c r="A126" s="1755" t="s">
        <v>1399</v>
      </c>
      <c r="B126" s="1759" t="s">
        <v>1231</v>
      </c>
      <c r="C126" s="1760">
        <v>0.13</v>
      </c>
      <c r="D126" s="1760">
        <v>0.13</v>
      </c>
      <c r="E126" s="1760">
        <v>0.126</v>
      </c>
      <c r="F126" s="1768"/>
    </row>
    <row r="127" spans="1:6" ht="14.25" thickBot="1">
      <c r="A127" s="1755" t="s">
        <v>1399</v>
      </c>
      <c r="B127" s="1759" t="s">
        <v>1241</v>
      </c>
      <c r="C127" s="1760">
        <v>0.125</v>
      </c>
      <c r="D127" s="1760">
        <v>0.125</v>
      </c>
      <c r="E127" s="1760">
        <v>0.121</v>
      </c>
      <c r="F127" s="1768"/>
    </row>
    <row r="128" spans="1:6" ht="14.25" thickBot="1">
      <c r="A128" s="1755" t="s">
        <v>1399</v>
      </c>
      <c r="B128" s="1759" t="s">
        <v>1251</v>
      </c>
      <c r="C128" s="1760">
        <v>0.12</v>
      </c>
      <c r="D128" s="1760">
        <v>0.12</v>
      </c>
      <c r="E128" s="1760">
        <v>0.105</v>
      </c>
      <c r="F128" s="1768"/>
    </row>
    <row r="129" spans="1:6" ht="14.25" thickBot="1">
      <c r="A129" s="1755" t="s">
        <v>1399</v>
      </c>
      <c r="B129" s="1759" t="s">
        <v>1260</v>
      </c>
      <c r="C129" s="1760">
        <v>0.13</v>
      </c>
      <c r="D129" s="1760">
        <v>0.13</v>
      </c>
      <c r="E129" s="1760">
        <v>0.126</v>
      </c>
      <c r="F129" s="1768"/>
    </row>
    <row r="130" spans="1:6" ht="14.25" thickBot="1">
      <c r="A130" s="1755" t="s">
        <v>1399</v>
      </c>
      <c r="B130" s="1759" t="s">
        <v>1269</v>
      </c>
      <c r="C130" s="1760">
        <v>0.125</v>
      </c>
      <c r="D130" s="1760">
        <v>0.125</v>
      </c>
      <c r="E130" s="1760">
        <v>0.122</v>
      </c>
      <c r="F130" s="1768"/>
    </row>
    <row r="131" spans="1:6" ht="14.25" thickBot="1">
      <c r="A131" s="1755" t="s">
        <v>1399</v>
      </c>
      <c r="B131" s="1759" t="s">
        <v>1277</v>
      </c>
      <c r="C131" s="1760">
        <v>0.127</v>
      </c>
      <c r="D131" s="1760">
        <v>0.126</v>
      </c>
      <c r="E131" s="1760">
        <v>0.123</v>
      </c>
      <c r="F131" s="1768"/>
    </row>
    <row r="132" spans="1:6" ht="14.25" thickBot="1">
      <c r="A132" s="1755" t="s">
        <v>1399</v>
      </c>
      <c r="B132" s="1759" t="s">
        <v>1284</v>
      </c>
      <c r="C132" s="1760">
        <v>9.0999999999999998E-2</v>
      </c>
      <c r="D132" s="1760">
        <v>0.121</v>
      </c>
      <c r="E132" s="1760">
        <v>9.9000000000000005E-2</v>
      </c>
      <c r="F132" s="1768"/>
    </row>
    <row r="133" spans="1:6" ht="14.25" thickBot="1">
      <c r="A133" s="1755" t="s">
        <v>1399</v>
      </c>
      <c r="B133" s="1759" t="s">
        <v>1291</v>
      </c>
      <c r="C133" s="1760">
        <v>0.13</v>
      </c>
      <c r="D133" s="1760">
        <v>0.13</v>
      </c>
      <c r="E133" s="1760">
        <v>0.129</v>
      </c>
      <c r="F133" s="1768"/>
    </row>
    <row r="134" spans="1:6" ht="14.25" thickBot="1">
      <c r="A134" s="1755" t="s">
        <v>1399</v>
      </c>
      <c r="B134" s="1759" t="s">
        <v>2093</v>
      </c>
      <c r="C134" s="1760">
        <v>6.8000000000000005E-2</v>
      </c>
      <c r="D134" s="1760">
        <v>6.5000000000000002E-2</v>
      </c>
      <c r="E134" s="1760">
        <v>6.5000000000000002E-2</v>
      </c>
      <c r="F134" s="1761">
        <v>0.13</v>
      </c>
    </row>
    <row r="135" spans="1:6" ht="14.25" thickBot="1">
      <c r="A135" s="1755" t="s">
        <v>1399</v>
      </c>
      <c r="B135" s="1759" t="s">
        <v>1305</v>
      </c>
      <c r="C135" s="1760">
        <v>0.123</v>
      </c>
      <c r="D135" s="1760">
        <v>0.123</v>
      </c>
      <c r="E135" s="1760">
        <v>0.11</v>
      </c>
      <c r="F135" s="1768"/>
    </row>
    <row r="136" spans="1:6" ht="14.25" thickBot="1">
      <c r="A136" s="1755" t="s">
        <v>1399</v>
      </c>
      <c r="B136" s="1759" t="s">
        <v>1312</v>
      </c>
      <c r="C136" s="1760">
        <v>0.13</v>
      </c>
      <c r="D136" s="1760">
        <v>0.13</v>
      </c>
      <c r="E136" s="1760">
        <v>0.125</v>
      </c>
      <c r="F136" s="1768"/>
    </row>
    <row r="137" spans="1:6" ht="14.25" thickBot="1">
      <c r="A137" s="1755" t="s">
        <v>1399</v>
      </c>
      <c r="B137" s="1759" t="s">
        <v>1319</v>
      </c>
      <c r="C137" s="1760">
        <v>0.121</v>
      </c>
      <c r="D137" s="1760">
        <v>0.122</v>
      </c>
      <c r="E137" s="1760">
        <v>0.115</v>
      </c>
      <c r="F137" s="1768"/>
    </row>
    <row r="138" spans="1:6" ht="14.25" thickBot="1">
      <c r="A138" s="1755" t="s">
        <v>1399</v>
      </c>
      <c r="B138" s="1759" t="s">
        <v>2094</v>
      </c>
      <c r="C138" s="1760">
        <v>0.105</v>
      </c>
      <c r="D138" s="1760">
        <v>0.125</v>
      </c>
      <c r="E138" s="1760">
        <v>0.112</v>
      </c>
      <c r="F138" s="1768"/>
    </row>
    <row r="139" spans="1:6" ht="14.25" thickBot="1">
      <c r="A139" s="1755" t="s">
        <v>1399</v>
      </c>
      <c r="B139" s="1759" t="s">
        <v>2095</v>
      </c>
      <c r="C139" s="1760">
        <v>0.127</v>
      </c>
      <c r="D139" s="1760">
        <v>0.127</v>
      </c>
      <c r="E139" s="1760">
        <v>0.122</v>
      </c>
      <c r="F139" s="1761">
        <v>0.13</v>
      </c>
    </row>
    <row r="140" spans="1:6" ht="14.25" thickBot="1">
      <c r="A140" s="1755" t="s">
        <v>1399</v>
      </c>
      <c r="B140" s="1759" t="s">
        <v>2096</v>
      </c>
      <c r="C140" s="1760">
        <v>0.125</v>
      </c>
      <c r="D140" s="1760">
        <v>0.125</v>
      </c>
      <c r="E140" s="1760">
        <v>0.11899999999999999</v>
      </c>
      <c r="F140" s="1761">
        <v>0.13</v>
      </c>
    </row>
    <row r="141" spans="1:6" ht="14.25" thickBot="1">
      <c r="A141" s="1755" t="s">
        <v>1399</v>
      </c>
      <c r="B141" s="1759" t="s">
        <v>1338</v>
      </c>
      <c r="C141" s="1760">
        <v>0.125</v>
      </c>
      <c r="D141" s="1760">
        <v>0.125</v>
      </c>
      <c r="E141" s="1760">
        <v>0.11700000000000001</v>
      </c>
      <c r="F141" s="1768"/>
    </row>
    <row r="142" spans="1:6" ht="14.25" thickBot="1">
      <c r="A142" s="1755" t="s">
        <v>1399</v>
      </c>
      <c r="B142" s="1759" t="s">
        <v>1343</v>
      </c>
      <c r="C142" s="1760">
        <v>0.125</v>
      </c>
      <c r="D142" s="1760">
        <v>0.125</v>
      </c>
      <c r="E142" s="1760">
        <v>0.115</v>
      </c>
      <c r="F142" s="1768"/>
    </row>
    <row r="143" spans="1:6" ht="14.25" thickBot="1">
      <c r="A143" s="1755" t="s">
        <v>1399</v>
      </c>
      <c r="B143" s="1759" t="s">
        <v>1348</v>
      </c>
      <c r="C143" s="1760">
        <v>0.121</v>
      </c>
      <c r="D143" s="1760">
        <v>0.121</v>
      </c>
      <c r="E143" s="1760">
        <v>0.108</v>
      </c>
      <c r="F143" s="1768"/>
    </row>
    <row r="144" spans="1:6" ht="14.25" thickBot="1">
      <c r="A144" s="1755" t="s">
        <v>1399</v>
      </c>
      <c r="B144" s="1772" t="s">
        <v>2097</v>
      </c>
      <c r="C144" s="1773">
        <v>0.126</v>
      </c>
      <c r="D144" s="1773">
        <v>0.126</v>
      </c>
      <c r="E144" s="1773">
        <v>0.121</v>
      </c>
      <c r="F144" s="1768"/>
    </row>
    <row r="145" spans="1:6" ht="14.25" thickBot="1">
      <c r="A145" s="1763" t="s">
        <v>1399</v>
      </c>
      <c r="B145" s="1774" t="s">
        <v>2098</v>
      </c>
      <c r="C145" s="1775"/>
      <c r="D145" s="1775"/>
      <c r="E145" s="1775"/>
      <c r="F145" s="1776">
        <v>0.05</v>
      </c>
    </row>
    <row r="146" spans="1:6" ht="24.75" thickBot="1">
      <c r="A146" s="1777" t="s">
        <v>1399</v>
      </c>
      <c r="B146" s="1762" t="s">
        <v>2099</v>
      </c>
      <c r="C146" s="1769"/>
      <c r="D146" s="1769"/>
      <c r="E146" s="1769"/>
      <c r="F146" s="1778">
        <v>0.05</v>
      </c>
    </row>
    <row r="147" spans="1:6" ht="24.75" thickBot="1">
      <c r="A147" s="1755" t="s">
        <v>1399</v>
      </c>
      <c r="B147" s="1759" t="s">
        <v>2100</v>
      </c>
      <c r="C147" s="1769"/>
      <c r="D147" s="1769"/>
      <c r="E147" s="1769"/>
      <c r="F147" s="1761">
        <v>0.05</v>
      </c>
    </row>
    <row r="148" spans="1:6" ht="24.75" thickBot="1">
      <c r="A148" s="1755" t="s">
        <v>1399</v>
      </c>
      <c r="B148" s="1759" t="s">
        <v>2101</v>
      </c>
      <c r="C148" s="1769"/>
      <c r="D148" s="1769"/>
      <c r="E148" s="1769"/>
      <c r="F148" s="1761">
        <v>0.05</v>
      </c>
    </row>
    <row r="149" spans="1:6" ht="24.75" thickBot="1">
      <c r="A149" s="1755" t="s">
        <v>1399</v>
      </c>
      <c r="B149" s="1759" t="s">
        <v>2102</v>
      </c>
      <c r="C149" s="1769"/>
      <c r="D149" s="1769"/>
      <c r="E149" s="1769"/>
      <c r="F149" s="1761">
        <v>0.05</v>
      </c>
    </row>
    <row r="150" spans="1:6" ht="24.75" thickBot="1">
      <c r="A150" s="1755" t="s">
        <v>1399</v>
      </c>
      <c r="B150" s="1759" t="s">
        <v>2103</v>
      </c>
      <c r="C150" s="1769"/>
      <c r="D150" s="1769"/>
      <c r="E150" s="1769"/>
      <c r="F150" s="1761">
        <v>0.05</v>
      </c>
    </row>
    <row r="151" spans="1:6" ht="24.75" thickBot="1">
      <c r="A151" s="1755" t="s">
        <v>1399</v>
      </c>
      <c r="B151" s="1759" t="s">
        <v>2104</v>
      </c>
      <c r="C151" s="1769"/>
      <c r="D151" s="1769"/>
      <c r="E151" s="1769"/>
      <c r="F151" s="1761">
        <v>0.05</v>
      </c>
    </row>
    <row r="152" spans="1:6" ht="24.75" thickBot="1">
      <c r="A152" s="1755" t="s">
        <v>1399</v>
      </c>
      <c r="B152" s="1759" t="s">
        <v>1381</v>
      </c>
      <c r="C152" s="1769"/>
      <c r="D152" s="1769"/>
      <c r="E152" s="1769"/>
      <c r="F152" s="1761">
        <v>0.05</v>
      </c>
    </row>
    <row r="153" spans="1:6" ht="14.25" thickBot="1">
      <c r="A153" s="1755" t="s">
        <v>1399</v>
      </c>
      <c r="B153" s="1759" t="s">
        <v>2105</v>
      </c>
      <c r="C153" s="1769"/>
      <c r="D153" s="1769"/>
      <c r="E153" s="1769"/>
      <c r="F153" s="1761">
        <v>0.05</v>
      </c>
    </row>
    <row r="154" spans="1:6" ht="14.25" thickBot="1">
      <c r="A154" s="1755" t="s">
        <v>1399</v>
      </c>
      <c r="B154" s="1759" t="s">
        <v>2106</v>
      </c>
      <c r="C154" s="1769"/>
      <c r="D154" s="1769"/>
      <c r="E154" s="1769"/>
      <c r="F154" s="1761">
        <v>0.05</v>
      </c>
    </row>
    <row r="155" spans="1:6" ht="24.75" thickBot="1">
      <c r="A155" s="1755" t="s">
        <v>1399</v>
      </c>
      <c r="B155" s="1759" t="s">
        <v>2107</v>
      </c>
      <c r="C155" s="1769"/>
      <c r="D155" s="1769"/>
      <c r="E155" s="1769"/>
      <c r="F155" s="1761">
        <v>0.05</v>
      </c>
    </row>
    <row r="156" spans="1:6" ht="24.75" thickBot="1">
      <c r="A156" s="1755" t="s">
        <v>1399</v>
      </c>
      <c r="B156" s="1759" t="s">
        <v>2108</v>
      </c>
      <c r="C156" s="1769"/>
      <c r="D156" s="1769"/>
      <c r="E156" s="1769"/>
      <c r="F156" s="1761">
        <v>0.05</v>
      </c>
    </row>
    <row r="157" spans="1:6" ht="14.25" thickBot="1">
      <c r="A157" s="1763" t="s">
        <v>1399</v>
      </c>
      <c r="B157" s="1770" t="s">
        <v>2109</v>
      </c>
      <c r="C157" s="1766"/>
      <c r="D157" s="1766"/>
      <c r="E157" s="1766"/>
      <c r="F157" s="1771">
        <v>0.05</v>
      </c>
    </row>
    <row r="158" spans="1:6" ht="14.25" thickBot="1">
      <c r="A158" s="1755" t="s">
        <v>1401</v>
      </c>
      <c r="B158" s="1756" t="s">
        <v>2110</v>
      </c>
      <c r="C158" s="1757">
        <v>0.13</v>
      </c>
      <c r="D158" s="1757">
        <v>0.13</v>
      </c>
      <c r="E158" s="1757">
        <v>0.13</v>
      </c>
      <c r="F158" s="1758">
        <v>0.13</v>
      </c>
    </row>
    <row r="159" spans="1:6" ht="14.25" thickBot="1">
      <c r="A159" s="1755" t="s">
        <v>1401</v>
      </c>
      <c r="B159" s="1759" t="s">
        <v>1066</v>
      </c>
      <c r="C159" s="1760">
        <v>0.13</v>
      </c>
      <c r="D159" s="1760">
        <v>0.13</v>
      </c>
      <c r="E159" s="1760">
        <v>0.13</v>
      </c>
      <c r="F159" s="1761">
        <v>0.13</v>
      </c>
    </row>
    <row r="160" spans="1:6" ht="14.25" thickBot="1">
      <c r="A160" s="1755" t="s">
        <v>1401</v>
      </c>
      <c r="B160" s="1759" t="s">
        <v>1080</v>
      </c>
      <c r="C160" s="1760">
        <v>0.13</v>
      </c>
      <c r="D160" s="1760">
        <v>0.13</v>
      </c>
      <c r="E160" s="1760">
        <v>0.129</v>
      </c>
      <c r="F160" s="1761">
        <v>0.13</v>
      </c>
    </row>
    <row r="161" spans="1:6" ht="14.25" thickBot="1">
      <c r="A161" s="1755" t="s">
        <v>1401</v>
      </c>
      <c r="B161" s="1759" t="s">
        <v>1093</v>
      </c>
      <c r="C161" s="1760">
        <v>0.128</v>
      </c>
      <c r="D161" s="1760">
        <v>0.128</v>
      </c>
      <c r="E161" s="1760">
        <v>0.125</v>
      </c>
      <c r="F161" s="1761">
        <v>0.13</v>
      </c>
    </row>
    <row r="162" spans="1:6" ht="14.25" thickBot="1">
      <c r="A162" s="1755" t="s">
        <v>1401</v>
      </c>
      <c r="B162" s="1759" t="s">
        <v>1107</v>
      </c>
      <c r="C162" s="1760">
        <v>0.122</v>
      </c>
      <c r="D162" s="1760">
        <v>0.122</v>
      </c>
      <c r="E162" s="1760">
        <v>0.126</v>
      </c>
      <c r="F162" s="1761">
        <v>0.122</v>
      </c>
    </row>
    <row r="163" spans="1:6" ht="14.25" thickBot="1">
      <c r="A163" s="1755" t="s">
        <v>1401</v>
      </c>
      <c r="B163" s="1759" t="s">
        <v>1118</v>
      </c>
      <c r="C163" s="1760">
        <v>0.13</v>
      </c>
      <c r="D163" s="1760">
        <v>0.13</v>
      </c>
      <c r="E163" s="1760">
        <v>0.125</v>
      </c>
      <c r="F163" s="1761">
        <v>0.13</v>
      </c>
    </row>
    <row r="164" spans="1:6" ht="14.25" thickBot="1">
      <c r="A164" s="1755" t="s">
        <v>1401</v>
      </c>
      <c r="B164" s="1759" t="s">
        <v>1129</v>
      </c>
      <c r="C164" s="1760">
        <v>0.13</v>
      </c>
      <c r="D164" s="1760">
        <v>0.13</v>
      </c>
      <c r="E164" s="1760">
        <v>0.13</v>
      </c>
      <c r="F164" s="1761">
        <v>0.13</v>
      </c>
    </row>
    <row r="165" spans="1:6" ht="14.25" thickBot="1">
      <c r="A165" s="1755" t="s">
        <v>1401</v>
      </c>
      <c r="B165" s="1759" t="s">
        <v>1140</v>
      </c>
      <c r="C165" s="1760">
        <v>0.13</v>
      </c>
      <c r="D165" s="1760">
        <v>0.13</v>
      </c>
      <c r="E165" s="1760">
        <v>0.124</v>
      </c>
      <c r="F165" s="1761">
        <v>0.13</v>
      </c>
    </row>
    <row r="166" spans="1:6" ht="14.25" thickBot="1">
      <c r="A166" s="1755" t="s">
        <v>1401</v>
      </c>
      <c r="B166" s="1759" t="s">
        <v>1152</v>
      </c>
      <c r="C166" s="1760">
        <v>0.13</v>
      </c>
      <c r="D166" s="1760">
        <v>0.13</v>
      </c>
      <c r="E166" s="1760">
        <v>0.13</v>
      </c>
      <c r="F166" s="1761">
        <v>0.13</v>
      </c>
    </row>
    <row r="167" spans="1:6" ht="14.25" thickBot="1">
      <c r="A167" s="1755" t="s">
        <v>1401</v>
      </c>
      <c r="B167" s="1759" t="s">
        <v>1162</v>
      </c>
      <c r="C167" s="1760">
        <v>0.125</v>
      </c>
      <c r="D167" s="1760">
        <v>0.125</v>
      </c>
      <c r="E167" s="1760">
        <v>0.121</v>
      </c>
      <c r="F167" s="1768"/>
    </row>
    <row r="168" spans="1:6" ht="14.25" thickBot="1">
      <c r="A168" s="1755" t="s">
        <v>1401</v>
      </c>
      <c r="B168" s="1759" t="s">
        <v>1172</v>
      </c>
      <c r="C168" s="1760">
        <v>0.13</v>
      </c>
      <c r="D168" s="1760">
        <v>0.13</v>
      </c>
      <c r="E168" s="1760">
        <v>0.126</v>
      </c>
      <c r="F168" s="1768"/>
    </row>
    <row r="169" spans="1:6" ht="14.25" thickBot="1">
      <c r="A169" s="1755" t="s">
        <v>1401</v>
      </c>
      <c r="B169" s="1759" t="s">
        <v>1182</v>
      </c>
      <c r="C169" s="1760">
        <v>0.128</v>
      </c>
      <c r="D169" s="1760">
        <v>0.129</v>
      </c>
      <c r="E169" s="1760">
        <v>0.13</v>
      </c>
      <c r="F169" s="1768"/>
    </row>
    <row r="170" spans="1:6" ht="14.25" thickBot="1">
      <c r="A170" s="1755" t="s">
        <v>1401</v>
      </c>
      <c r="B170" s="1759" t="s">
        <v>1192</v>
      </c>
      <c r="C170" s="1760">
        <v>0.14099999999999999</v>
      </c>
      <c r="D170" s="1760">
        <v>0.13</v>
      </c>
      <c r="E170" s="1760">
        <v>0.125</v>
      </c>
      <c r="F170" s="1768"/>
    </row>
    <row r="171" spans="1:6" ht="14.25" thickBot="1">
      <c r="A171" s="1755" t="s">
        <v>1401</v>
      </c>
      <c r="B171" s="1759" t="s">
        <v>2111</v>
      </c>
      <c r="C171" s="1760">
        <v>0.127</v>
      </c>
      <c r="D171" s="1760">
        <v>0.126</v>
      </c>
      <c r="E171" s="1760">
        <v>0.126</v>
      </c>
      <c r="F171" s="1761">
        <v>0.11799999999999999</v>
      </c>
    </row>
    <row r="172" spans="1:6" ht="14.25" thickBot="1">
      <c r="A172" s="1755" t="s">
        <v>1401</v>
      </c>
      <c r="B172" s="1759" t="s">
        <v>2112</v>
      </c>
      <c r="C172" s="1760">
        <v>0.13</v>
      </c>
      <c r="D172" s="1760">
        <v>0.13</v>
      </c>
      <c r="E172" s="1760">
        <v>0.13</v>
      </c>
      <c r="F172" s="1768"/>
    </row>
    <row r="173" spans="1:6" ht="14.25" thickBot="1">
      <c r="A173" s="1755" t="s">
        <v>1401</v>
      </c>
      <c r="B173" s="1759" t="s">
        <v>1222</v>
      </c>
      <c r="C173" s="1760">
        <v>0.13</v>
      </c>
      <c r="D173" s="1760">
        <v>0.13</v>
      </c>
      <c r="E173" s="1760">
        <v>0.13</v>
      </c>
      <c r="F173" s="1768"/>
    </row>
    <row r="174" spans="1:6" ht="14.25" thickBot="1">
      <c r="A174" s="1755" t="s">
        <v>1401</v>
      </c>
      <c r="B174" s="1759" t="s">
        <v>2113</v>
      </c>
      <c r="C174" s="1760">
        <v>0.13</v>
      </c>
      <c r="D174" s="1760">
        <v>0.13</v>
      </c>
      <c r="E174" s="1760">
        <v>0.13</v>
      </c>
      <c r="F174" s="1761">
        <v>0.13</v>
      </c>
    </row>
    <row r="175" spans="1:6" ht="14.25" thickBot="1">
      <c r="A175" s="1755" t="s">
        <v>1401</v>
      </c>
      <c r="B175" s="1759" t="s">
        <v>2114</v>
      </c>
      <c r="C175" s="1760">
        <v>0.13</v>
      </c>
      <c r="D175" s="1760">
        <v>0.13</v>
      </c>
      <c r="E175" s="1760">
        <v>0.13</v>
      </c>
      <c r="F175" s="1761">
        <v>0.13</v>
      </c>
    </row>
    <row r="176" spans="1:6" ht="14.25" thickBot="1">
      <c r="A176" s="1755" t="s">
        <v>1401</v>
      </c>
      <c r="B176" s="1759" t="s">
        <v>1252</v>
      </c>
      <c r="C176" s="1760">
        <v>0.13</v>
      </c>
      <c r="D176" s="1760">
        <v>0.13</v>
      </c>
      <c r="E176" s="1760">
        <v>0.13</v>
      </c>
      <c r="F176" s="1761">
        <v>0.13</v>
      </c>
    </row>
    <row r="177" spans="1:6" ht="14.25" thickBot="1">
      <c r="A177" s="1755" t="s">
        <v>1401</v>
      </c>
      <c r="B177" s="1759" t="s">
        <v>2115</v>
      </c>
      <c r="C177" s="1760">
        <v>0.13</v>
      </c>
      <c r="D177" s="1760">
        <v>0.13</v>
      </c>
      <c r="E177" s="1760">
        <v>0.13</v>
      </c>
      <c r="F177" s="1761">
        <v>0.13</v>
      </c>
    </row>
    <row r="178" spans="1:6" ht="14.25" thickBot="1">
      <c r="A178" s="1755" t="s">
        <v>1401</v>
      </c>
      <c r="B178" s="1759" t="s">
        <v>1270</v>
      </c>
      <c r="C178" s="1760">
        <v>0.13</v>
      </c>
      <c r="D178" s="1760">
        <v>0.13</v>
      </c>
      <c r="E178" s="1760">
        <v>0.13</v>
      </c>
      <c r="F178" s="1761">
        <v>0.127</v>
      </c>
    </row>
    <row r="179" spans="1:6" ht="14.25" thickBot="1">
      <c r="A179" s="1755" t="s">
        <v>1401</v>
      </c>
      <c r="B179" s="1759" t="s">
        <v>1278</v>
      </c>
      <c r="C179" s="1760">
        <v>0.13</v>
      </c>
      <c r="D179" s="1760">
        <v>0.13</v>
      </c>
      <c r="E179" s="1760">
        <v>0.13</v>
      </c>
      <c r="F179" s="1768"/>
    </row>
    <row r="180" spans="1:6" ht="14.25" thickBot="1">
      <c r="A180" s="1755" t="s">
        <v>1401</v>
      </c>
      <c r="B180" s="1759" t="s">
        <v>2116</v>
      </c>
      <c r="C180" s="1760">
        <v>0.13</v>
      </c>
      <c r="D180" s="1760">
        <v>0.13</v>
      </c>
      <c r="E180" s="1760">
        <v>0.125</v>
      </c>
      <c r="F180" s="1761">
        <v>0.13</v>
      </c>
    </row>
    <row r="181" spans="1:6" ht="14.25" thickBot="1">
      <c r="A181" s="1755" t="s">
        <v>1401</v>
      </c>
      <c r="B181" s="1759" t="s">
        <v>1292</v>
      </c>
      <c r="C181" s="1760">
        <v>0.122</v>
      </c>
      <c r="D181" s="1760">
        <v>0.123</v>
      </c>
      <c r="E181" s="1760">
        <v>0.126</v>
      </c>
      <c r="F181" s="1761">
        <v>0.121</v>
      </c>
    </row>
    <row r="182" spans="1:6" ht="14.25" thickBot="1">
      <c r="A182" s="1755" t="s">
        <v>1401</v>
      </c>
      <c r="B182" s="1759" t="s">
        <v>1299</v>
      </c>
      <c r="C182" s="1760">
        <v>0.125</v>
      </c>
      <c r="D182" s="1760">
        <v>0.125</v>
      </c>
      <c r="E182" s="1760">
        <v>0.11700000000000001</v>
      </c>
      <c r="F182" s="1761">
        <v>0.13</v>
      </c>
    </row>
    <row r="183" spans="1:6" ht="14.25" thickBot="1">
      <c r="A183" s="1755" t="s">
        <v>1401</v>
      </c>
      <c r="B183" s="1759" t="s">
        <v>1306</v>
      </c>
      <c r="C183" s="1760">
        <v>0.127</v>
      </c>
      <c r="D183" s="1760">
        <v>0.127</v>
      </c>
      <c r="E183" s="1760">
        <v>0.128</v>
      </c>
      <c r="F183" s="1768"/>
    </row>
    <row r="184" spans="1:6" ht="14.25" thickBot="1">
      <c r="A184" s="1755" t="s">
        <v>1401</v>
      </c>
      <c r="B184" s="1759" t="s">
        <v>1313</v>
      </c>
      <c r="C184" s="1760">
        <v>0.125</v>
      </c>
      <c r="D184" s="1760">
        <v>0.125</v>
      </c>
      <c r="E184" s="1760">
        <v>0.127</v>
      </c>
      <c r="F184" s="1768"/>
    </row>
    <row r="185" spans="1:6" ht="14.25" thickBot="1">
      <c r="A185" s="1755" t="s">
        <v>1401</v>
      </c>
      <c r="B185" s="1759" t="s">
        <v>2117</v>
      </c>
      <c r="C185" s="1760">
        <v>0.127</v>
      </c>
      <c r="D185" s="1760">
        <v>0.127</v>
      </c>
      <c r="E185" s="1760">
        <v>0.128</v>
      </c>
      <c r="F185" s="1761">
        <v>0.13</v>
      </c>
    </row>
    <row r="186" spans="1:6" ht="24.75" thickBot="1">
      <c r="A186" s="1755" t="s">
        <v>1401</v>
      </c>
      <c r="B186" s="1759" t="s">
        <v>2118</v>
      </c>
      <c r="C186" s="1769"/>
      <c r="D186" s="1769"/>
      <c r="E186" s="1769"/>
      <c r="F186" s="1761">
        <v>0.05</v>
      </c>
    </row>
    <row r="187" spans="1:6" ht="14.25" thickBot="1">
      <c r="A187" s="1755" t="s">
        <v>1401</v>
      </c>
      <c r="B187" s="1759" t="s">
        <v>2119</v>
      </c>
      <c r="C187" s="1769"/>
      <c r="D187" s="1769"/>
      <c r="E187" s="1769"/>
      <c r="F187" s="1761">
        <v>0.05</v>
      </c>
    </row>
    <row r="188" spans="1:6" ht="14.25" thickBot="1">
      <c r="A188" s="1755" t="s">
        <v>1401</v>
      </c>
      <c r="B188" s="1759" t="s">
        <v>2120</v>
      </c>
      <c r="C188" s="1769"/>
      <c r="D188" s="1769"/>
      <c r="E188" s="1769"/>
      <c r="F188" s="1761">
        <v>0.05</v>
      </c>
    </row>
    <row r="189" spans="1:6" ht="24.75" thickBot="1">
      <c r="A189" s="1755" t="s">
        <v>1401</v>
      </c>
      <c r="B189" s="1759" t="s">
        <v>2121</v>
      </c>
      <c r="C189" s="1769"/>
      <c r="D189" s="1769"/>
      <c r="E189" s="1769"/>
      <c r="F189" s="1761">
        <v>0.05</v>
      </c>
    </row>
    <row r="190" spans="1:6" ht="24.75" thickBot="1">
      <c r="A190" s="1755" t="s">
        <v>1401</v>
      </c>
      <c r="B190" s="1759" t="s">
        <v>2122</v>
      </c>
      <c r="C190" s="1769"/>
      <c r="D190" s="1769"/>
      <c r="E190" s="1769"/>
      <c r="F190" s="1761">
        <v>0.05</v>
      </c>
    </row>
    <row r="191" spans="1:6" ht="24.75" thickBot="1">
      <c r="A191" s="1755" t="s">
        <v>1401</v>
      </c>
      <c r="B191" s="1759" t="s">
        <v>2123</v>
      </c>
      <c r="C191" s="1769"/>
      <c r="D191" s="1769"/>
      <c r="E191" s="1769"/>
      <c r="F191" s="1761">
        <v>0.05</v>
      </c>
    </row>
    <row r="192" spans="1:6" ht="24.75" thickBot="1">
      <c r="A192" s="1755" t="s">
        <v>1401</v>
      </c>
      <c r="B192" s="1759" t="s">
        <v>2124</v>
      </c>
      <c r="C192" s="1769"/>
      <c r="D192" s="1769"/>
      <c r="E192" s="1769"/>
      <c r="F192" s="1761">
        <v>0.05</v>
      </c>
    </row>
    <row r="193" spans="1:6" ht="24.75" thickBot="1">
      <c r="A193" s="1755" t="s">
        <v>1401</v>
      </c>
      <c r="B193" s="1759" t="s">
        <v>2125</v>
      </c>
      <c r="C193" s="1769"/>
      <c r="D193" s="1769"/>
      <c r="E193" s="1769"/>
      <c r="F193" s="1761">
        <v>0.05</v>
      </c>
    </row>
    <row r="194" spans="1:6" ht="24.75" thickBot="1">
      <c r="A194" s="1755" t="s">
        <v>1401</v>
      </c>
      <c r="B194" s="1759" t="s">
        <v>2126</v>
      </c>
      <c r="C194" s="1769"/>
      <c r="D194" s="1769"/>
      <c r="E194" s="1769"/>
      <c r="F194" s="1761">
        <v>0.05</v>
      </c>
    </row>
    <row r="195" spans="1:6" ht="14.25" thickBot="1">
      <c r="A195" s="1755" t="s">
        <v>1401</v>
      </c>
      <c r="B195" s="1759" t="s">
        <v>2127</v>
      </c>
      <c r="C195" s="1769"/>
      <c r="D195" s="1769"/>
      <c r="E195" s="1769"/>
      <c r="F195" s="1761">
        <v>0.05</v>
      </c>
    </row>
    <row r="196" spans="1:6" ht="24.75" thickBot="1">
      <c r="A196" s="1755" t="s">
        <v>1401</v>
      </c>
      <c r="B196" s="1759" t="s">
        <v>2128</v>
      </c>
      <c r="C196" s="1769"/>
      <c r="D196" s="1769"/>
      <c r="E196" s="1769"/>
      <c r="F196" s="1761">
        <v>0.05</v>
      </c>
    </row>
    <row r="197" spans="1:6" ht="24.75" thickBot="1">
      <c r="A197" s="1755" t="s">
        <v>1401</v>
      </c>
      <c r="B197" s="1759" t="s">
        <v>2129</v>
      </c>
      <c r="C197" s="1769"/>
      <c r="D197" s="1769"/>
      <c r="E197" s="1769"/>
      <c r="F197" s="1761">
        <v>0.05</v>
      </c>
    </row>
    <row r="198" spans="1:6" ht="24.75" thickBot="1">
      <c r="A198" s="1755" t="s">
        <v>1401</v>
      </c>
      <c r="B198" s="1759" t="s">
        <v>2130</v>
      </c>
      <c r="C198" s="1769"/>
      <c r="D198" s="1769"/>
      <c r="E198" s="1769"/>
      <c r="F198" s="1761">
        <v>0.05</v>
      </c>
    </row>
    <row r="199" spans="1:6" ht="24.75" thickBot="1">
      <c r="A199" s="1755" t="s">
        <v>1401</v>
      </c>
      <c r="B199" s="1759" t="s">
        <v>2131</v>
      </c>
      <c r="C199" s="1769"/>
      <c r="D199" s="1769"/>
      <c r="E199" s="1769"/>
      <c r="F199" s="1761">
        <v>0.05</v>
      </c>
    </row>
    <row r="200" spans="1:6" ht="24.75" thickBot="1">
      <c r="A200" s="1755" t="s">
        <v>1401</v>
      </c>
      <c r="B200" s="1759" t="s">
        <v>2132</v>
      </c>
      <c r="C200" s="1769"/>
      <c r="D200" s="1769"/>
      <c r="E200" s="1769"/>
      <c r="F200" s="1761">
        <v>0.05</v>
      </c>
    </row>
    <row r="201" spans="1:6" ht="24.75" thickBot="1">
      <c r="A201" s="1755" t="s">
        <v>1401</v>
      </c>
      <c r="B201" s="1759" t="s">
        <v>2133</v>
      </c>
      <c r="C201" s="1769"/>
      <c r="D201" s="1769"/>
      <c r="E201" s="1769"/>
      <c r="F201" s="1761">
        <v>0.05</v>
      </c>
    </row>
    <row r="202" spans="1:6" ht="24.75" thickBot="1">
      <c r="A202" s="1755" t="s">
        <v>1401</v>
      </c>
      <c r="B202" s="1759" t="s">
        <v>2134</v>
      </c>
      <c r="C202" s="1769"/>
      <c r="D202" s="1769"/>
      <c r="E202" s="1769"/>
      <c r="F202" s="1761">
        <v>0.05</v>
      </c>
    </row>
    <row r="203" spans="1:6" ht="24.75" thickBot="1">
      <c r="A203" s="1755" t="s">
        <v>1401</v>
      </c>
      <c r="B203" s="1759" t="s">
        <v>2135</v>
      </c>
      <c r="C203" s="1769"/>
      <c r="D203" s="1769"/>
      <c r="E203" s="1769"/>
      <c r="F203" s="1761">
        <v>0.05</v>
      </c>
    </row>
    <row r="204" spans="1:6" ht="14.25" thickBot="1">
      <c r="A204" s="1755" t="s">
        <v>1401</v>
      </c>
      <c r="B204" s="1759" t="s">
        <v>2136</v>
      </c>
      <c r="C204" s="1769"/>
      <c r="D204" s="1769"/>
      <c r="E204" s="1769"/>
      <c r="F204" s="1761">
        <v>0.05</v>
      </c>
    </row>
    <row r="205" spans="1:6" ht="14.25" thickBot="1">
      <c r="A205" s="1763" t="s">
        <v>1401</v>
      </c>
      <c r="B205" s="1770" t="s">
        <v>2137</v>
      </c>
      <c r="C205" s="1766"/>
      <c r="D205" s="1766"/>
      <c r="E205" s="1766"/>
      <c r="F205" s="1771">
        <v>0.05</v>
      </c>
    </row>
    <row r="206" spans="1:6" ht="14.25" thickBot="1">
      <c r="A206" s="1755" t="s">
        <v>1403</v>
      </c>
      <c r="B206" s="1756" t="s">
        <v>2138</v>
      </c>
      <c r="C206" s="1757">
        <v>0.15</v>
      </c>
      <c r="D206" s="1757">
        <v>0.15</v>
      </c>
      <c r="E206" s="1757">
        <v>0.15</v>
      </c>
      <c r="F206" s="1758">
        <v>0.15</v>
      </c>
    </row>
    <row r="207" spans="1:6" ht="14.25" thickBot="1">
      <c r="A207" s="1755" t="s">
        <v>1403</v>
      </c>
      <c r="B207" s="1759" t="s">
        <v>1067</v>
      </c>
      <c r="C207" s="1760">
        <v>0.15</v>
      </c>
      <c r="D207" s="1760">
        <v>0.15</v>
      </c>
      <c r="E207" s="1760">
        <v>0.15</v>
      </c>
      <c r="F207" s="1761">
        <v>0.14399999999999999</v>
      </c>
    </row>
    <row r="208" spans="1:6" ht="14.25" thickBot="1">
      <c r="A208" s="1755" t="s">
        <v>1403</v>
      </c>
      <c r="B208" s="1759" t="s">
        <v>1081</v>
      </c>
      <c r="C208" s="1760">
        <v>0.15</v>
      </c>
      <c r="D208" s="1760">
        <v>0.15</v>
      </c>
      <c r="E208" s="1760">
        <v>0.15</v>
      </c>
      <c r="F208" s="1761">
        <v>0.15</v>
      </c>
    </row>
    <row r="209" spans="1:6" ht="14.25" thickBot="1">
      <c r="A209" s="1755" t="s">
        <v>1403</v>
      </c>
      <c r="B209" s="1759" t="s">
        <v>1094</v>
      </c>
      <c r="C209" s="1760">
        <v>0.13700000000000001</v>
      </c>
      <c r="D209" s="1760">
        <v>0.13700000000000001</v>
      </c>
      <c r="E209" s="1760">
        <v>0.14000000000000001</v>
      </c>
      <c r="F209" s="1761">
        <v>0.11700000000000001</v>
      </c>
    </row>
    <row r="210" spans="1:6" ht="14.25" thickBot="1">
      <c r="A210" s="1755" t="s">
        <v>1403</v>
      </c>
      <c r="B210" s="1759" t="s">
        <v>2139</v>
      </c>
      <c r="C210" s="1760">
        <v>0.15</v>
      </c>
      <c r="D210" s="1760">
        <v>0.15</v>
      </c>
      <c r="E210" s="1760">
        <v>0.15</v>
      </c>
      <c r="F210" s="1761">
        <v>0.13800000000000001</v>
      </c>
    </row>
    <row r="211" spans="1:6" ht="14.25" thickBot="1">
      <c r="A211" s="1755" t="s">
        <v>1403</v>
      </c>
      <c r="B211" s="1759" t="s">
        <v>2140</v>
      </c>
      <c r="C211" s="1760">
        <v>0.13700000000000001</v>
      </c>
      <c r="D211" s="1760">
        <v>0.13500000000000001</v>
      </c>
      <c r="E211" s="1760">
        <v>0.13600000000000001</v>
      </c>
      <c r="F211" s="1761">
        <v>0.1</v>
      </c>
    </row>
    <row r="212" spans="1:6" ht="14.25" thickBot="1">
      <c r="A212" s="1755" t="s">
        <v>1403</v>
      </c>
      <c r="B212" s="1759" t="s">
        <v>2141</v>
      </c>
      <c r="C212" s="1760">
        <v>0.15</v>
      </c>
      <c r="D212" s="1760">
        <v>0.15</v>
      </c>
      <c r="E212" s="1760">
        <v>0.14799999999999999</v>
      </c>
      <c r="F212" s="1761">
        <v>0.13600000000000001</v>
      </c>
    </row>
    <row r="213" spans="1:6" ht="14.25" thickBot="1">
      <c r="A213" s="1755" t="s">
        <v>1403</v>
      </c>
      <c r="B213" s="1759" t="s">
        <v>1141</v>
      </c>
      <c r="C213" s="1760">
        <v>0.15</v>
      </c>
      <c r="D213" s="1760">
        <v>0.15</v>
      </c>
      <c r="E213" s="1760">
        <v>0.15</v>
      </c>
      <c r="F213" s="1761">
        <v>0.13800000000000001</v>
      </c>
    </row>
    <row r="214" spans="1:6" ht="14.25" thickBot="1">
      <c r="A214" s="1755" t="s">
        <v>1403</v>
      </c>
      <c r="B214" s="1759" t="s">
        <v>1153</v>
      </c>
      <c r="C214" s="1760">
        <v>9.0999999999999998E-2</v>
      </c>
      <c r="D214" s="1760">
        <v>0.09</v>
      </c>
      <c r="E214" s="1760">
        <v>9.1999999999999998E-2</v>
      </c>
      <c r="F214" s="1768"/>
    </row>
    <row r="215" spans="1:6" ht="14.25" thickBot="1">
      <c r="A215" s="1755" t="s">
        <v>1403</v>
      </c>
      <c r="B215" s="1759" t="s">
        <v>2142</v>
      </c>
      <c r="C215" s="1760">
        <v>0.15</v>
      </c>
      <c r="D215" s="1760">
        <v>0.15</v>
      </c>
      <c r="E215" s="1760">
        <v>0.15</v>
      </c>
      <c r="F215" s="1761">
        <v>0.15</v>
      </c>
    </row>
    <row r="216" spans="1:6" ht="14.25" thickBot="1">
      <c r="A216" s="1755" t="s">
        <v>1403</v>
      </c>
      <c r="B216" s="1759" t="s">
        <v>1173</v>
      </c>
      <c r="C216" s="1760">
        <v>0.14699999999999999</v>
      </c>
      <c r="D216" s="1760">
        <v>0.14699999999999999</v>
      </c>
      <c r="E216" s="1760">
        <v>0.15</v>
      </c>
      <c r="F216" s="1761">
        <v>0.14000000000000001</v>
      </c>
    </row>
    <row r="217" spans="1:6" ht="14.25" thickBot="1">
      <c r="A217" s="1755" t="s">
        <v>1403</v>
      </c>
      <c r="B217" s="1759" t="s">
        <v>1183</v>
      </c>
      <c r="C217" s="1760">
        <v>0.15</v>
      </c>
      <c r="D217" s="1760">
        <v>0.15</v>
      </c>
      <c r="E217" s="1760">
        <v>0.15</v>
      </c>
      <c r="F217" s="1761">
        <v>0.15</v>
      </c>
    </row>
    <row r="218" spans="1:6" ht="14.25" thickBot="1">
      <c r="A218" s="1755" t="s">
        <v>1403</v>
      </c>
      <c r="B218" s="1759" t="s">
        <v>2143</v>
      </c>
      <c r="C218" s="1760">
        <v>0.15</v>
      </c>
      <c r="D218" s="1760">
        <v>0.15</v>
      </c>
      <c r="E218" s="1760">
        <v>0.15</v>
      </c>
      <c r="F218" s="1761">
        <v>0.15</v>
      </c>
    </row>
    <row r="219" spans="1:6" ht="14.25" thickBot="1">
      <c r="A219" s="1755" t="s">
        <v>1403</v>
      </c>
      <c r="B219" s="1759" t="s">
        <v>1203</v>
      </c>
      <c r="C219" s="1760">
        <v>0.15</v>
      </c>
      <c r="D219" s="1760">
        <v>0.15</v>
      </c>
      <c r="E219" s="1760">
        <v>0.15</v>
      </c>
      <c r="F219" s="1761">
        <v>0.14799999999999999</v>
      </c>
    </row>
    <row r="220" spans="1:6" ht="14.25" thickBot="1">
      <c r="A220" s="1755" t="s">
        <v>1403</v>
      </c>
      <c r="B220" s="1759" t="s">
        <v>2144</v>
      </c>
      <c r="C220" s="1760">
        <v>0.15</v>
      </c>
      <c r="D220" s="1760">
        <v>0.15</v>
      </c>
      <c r="E220" s="1760">
        <v>0.15</v>
      </c>
      <c r="F220" s="1761">
        <v>0.15</v>
      </c>
    </row>
    <row r="221" spans="1:6" ht="14.25" thickBot="1">
      <c r="A221" s="1755" t="s">
        <v>1403</v>
      </c>
      <c r="B221" s="1759" t="s">
        <v>1223</v>
      </c>
      <c r="C221" s="1760"/>
      <c r="D221" s="1769"/>
      <c r="E221" s="1769"/>
      <c r="F221" s="1761">
        <v>0.14799999999999999</v>
      </c>
    </row>
    <row r="222" spans="1:6" ht="14.25" thickBot="1">
      <c r="A222" s="1755" t="s">
        <v>1403</v>
      </c>
      <c r="B222" s="1759" t="s">
        <v>1233</v>
      </c>
      <c r="C222" s="1760"/>
      <c r="D222" s="1769"/>
      <c r="E222" s="1769"/>
      <c r="F222" s="1761">
        <v>0.1</v>
      </c>
    </row>
    <row r="223" spans="1:6" ht="14.25" thickBot="1">
      <c r="A223" s="1755" t="s">
        <v>1403</v>
      </c>
      <c r="B223" s="1759" t="s">
        <v>1243</v>
      </c>
      <c r="C223" s="1760"/>
      <c r="D223" s="1769"/>
      <c r="E223" s="1769"/>
      <c r="F223" s="1761">
        <v>0.15</v>
      </c>
    </row>
    <row r="224" spans="1:6" ht="14.25" thickBot="1">
      <c r="A224" s="1755" t="s">
        <v>1403</v>
      </c>
      <c r="B224" s="1759" t="s">
        <v>1253</v>
      </c>
      <c r="C224" s="1760"/>
      <c r="D224" s="1769"/>
      <c r="E224" s="1769"/>
      <c r="F224" s="1761">
        <v>0.15</v>
      </c>
    </row>
    <row r="225" spans="1:6" ht="14.25" thickBot="1">
      <c r="A225" s="1755" t="s">
        <v>1403</v>
      </c>
      <c r="B225" s="1759" t="s">
        <v>2145</v>
      </c>
      <c r="C225" s="1760">
        <v>0.15</v>
      </c>
      <c r="D225" s="1760">
        <v>0.15</v>
      </c>
      <c r="E225" s="1760">
        <v>0.15</v>
      </c>
      <c r="F225" s="1761">
        <v>0.15</v>
      </c>
    </row>
    <row r="226" spans="1:6" ht="14.25" thickBot="1">
      <c r="A226" s="1755" t="s">
        <v>1403</v>
      </c>
      <c r="B226" s="1759" t="s">
        <v>1271</v>
      </c>
      <c r="C226" s="1760">
        <v>0.15</v>
      </c>
      <c r="D226" s="1760">
        <v>0.15</v>
      </c>
      <c r="E226" s="1760">
        <v>0.15</v>
      </c>
      <c r="F226" s="1761">
        <v>0.14799999999999999</v>
      </c>
    </row>
    <row r="227" spans="1:6" ht="14.25" thickBot="1">
      <c r="A227" s="1755" t="s">
        <v>1403</v>
      </c>
      <c r="B227" s="1759" t="s">
        <v>2146</v>
      </c>
      <c r="C227" s="1760">
        <v>0.15</v>
      </c>
      <c r="D227" s="1760">
        <v>0.15</v>
      </c>
      <c r="E227" s="1760">
        <v>0.15</v>
      </c>
      <c r="F227" s="1761">
        <v>0.15</v>
      </c>
    </row>
    <row r="228" spans="1:6" ht="14.25" thickBot="1">
      <c r="A228" s="1755" t="s">
        <v>1403</v>
      </c>
      <c r="B228" s="1759" t="s">
        <v>1286</v>
      </c>
      <c r="C228" s="1760">
        <v>0.15</v>
      </c>
      <c r="D228" s="1760">
        <v>0.15</v>
      </c>
      <c r="E228" s="1760">
        <v>0.15</v>
      </c>
      <c r="F228" s="1761">
        <v>0.15</v>
      </c>
    </row>
    <row r="229" spans="1:6" ht="14.25" thickBot="1">
      <c r="A229" s="1755" t="s">
        <v>1403</v>
      </c>
      <c r="B229" s="1759" t="s">
        <v>1293</v>
      </c>
      <c r="C229" s="1760">
        <v>0.15</v>
      </c>
      <c r="D229" s="1760">
        <v>0.15</v>
      </c>
      <c r="E229" s="1760">
        <v>0.15</v>
      </c>
      <c r="F229" s="1768"/>
    </row>
    <row r="230" spans="1:6" ht="14.25" thickBot="1">
      <c r="A230" s="1755" t="s">
        <v>1403</v>
      </c>
      <c r="B230" s="1759" t="s">
        <v>1300</v>
      </c>
      <c r="C230" s="1760">
        <v>0.14499999999999999</v>
      </c>
      <c r="D230" s="1760">
        <v>0.14499999999999999</v>
      </c>
      <c r="E230" s="1760">
        <v>0.14399999999999999</v>
      </c>
      <c r="F230" s="1768"/>
    </row>
    <row r="231" spans="1:6" ht="14.25" thickBot="1">
      <c r="A231" s="1755" t="s">
        <v>1403</v>
      </c>
      <c r="B231" s="1759" t="s">
        <v>2147</v>
      </c>
      <c r="C231" s="1760">
        <v>0.128</v>
      </c>
      <c r="D231" s="1760">
        <v>0.125</v>
      </c>
      <c r="E231" s="1760">
        <v>0.13200000000000001</v>
      </c>
      <c r="F231" s="1768"/>
    </row>
    <row r="232" spans="1:6" ht="14.25" thickBot="1">
      <c r="A232" s="1755" t="s">
        <v>1403</v>
      </c>
      <c r="B232" s="1759" t="s">
        <v>2148</v>
      </c>
      <c r="C232" s="1760">
        <v>0.14499999999999999</v>
      </c>
      <c r="D232" s="1760">
        <v>0.14399999999999999</v>
      </c>
      <c r="E232" s="1760">
        <v>0.14599999999999999</v>
      </c>
      <c r="F232" s="1761">
        <v>0.13800000000000001</v>
      </c>
    </row>
    <row r="233" spans="1:6" ht="14.25" thickBot="1">
      <c r="A233" s="1755" t="s">
        <v>1403</v>
      </c>
      <c r="B233" s="1759" t="s">
        <v>2149</v>
      </c>
      <c r="C233" s="1760">
        <v>0.14499999999999999</v>
      </c>
      <c r="D233" s="1760">
        <v>0.14299999999999999</v>
      </c>
      <c r="E233" s="1760">
        <v>0.14199999999999999</v>
      </c>
      <c r="F233" s="1768"/>
    </row>
    <row r="234" spans="1:6" ht="14.25" thickBot="1">
      <c r="A234" s="1755" t="s">
        <v>1403</v>
      </c>
      <c r="B234" s="1759" t="s">
        <v>2150</v>
      </c>
      <c r="C234" s="1760">
        <v>0.14000000000000001</v>
      </c>
      <c r="D234" s="1760">
        <v>0.14000000000000001</v>
      </c>
      <c r="E234" s="1760">
        <v>0.14399999999999999</v>
      </c>
      <c r="F234" s="1768"/>
    </row>
    <row r="235" spans="1:6" ht="14.25" thickBot="1">
      <c r="A235" s="1755" t="s">
        <v>1403</v>
      </c>
      <c r="B235" s="1759" t="s">
        <v>2151</v>
      </c>
      <c r="C235" s="1760">
        <v>0.14099999999999999</v>
      </c>
      <c r="D235" s="1760">
        <v>0.14199999999999999</v>
      </c>
      <c r="E235" s="1760">
        <v>0.14499999999999999</v>
      </c>
      <c r="F235" s="1761">
        <v>0.15</v>
      </c>
    </row>
    <row r="236" spans="1:6" ht="14.25" thickBot="1">
      <c r="A236" s="1755" t="s">
        <v>1403</v>
      </c>
      <c r="B236" s="1759" t="s">
        <v>1335</v>
      </c>
      <c r="C236" s="1769"/>
      <c r="D236" s="1769"/>
      <c r="E236" s="1769"/>
      <c r="F236" s="1761">
        <v>0.14299999999999999</v>
      </c>
    </row>
    <row r="237" spans="1:6" ht="24.75" thickBot="1">
      <c r="A237" s="1755" t="s">
        <v>1403</v>
      </c>
      <c r="B237" s="1759" t="s">
        <v>2152</v>
      </c>
      <c r="C237" s="1769"/>
      <c r="D237" s="1769"/>
      <c r="E237" s="1769"/>
      <c r="F237" s="1761">
        <v>0.05</v>
      </c>
    </row>
    <row r="238" spans="1:6" ht="24.75" thickBot="1">
      <c r="A238" s="1755" t="s">
        <v>1403</v>
      </c>
      <c r="B238" s="1759" t="s">
        <v>2153</v>
      </c>
      <c r="C238" s="1769"/>
      <c r="D238" s="1769"/>
      <c r="E238" s="1769"/>
      <c r="F238" s="1761">
        <v>0.05</v>
      </c>
    </row>
    <row r="239" spans="1:6" ht="24.75" thickBot="1">
      <c r="A239" s="1755" t="s">
        <v>1403</v>
      </c>
      <c r="B239" s="1759" t="s">
        <v>2154</v>
      </c>
      <c r="C239" s="1769"/>
      <c r="D239" s="1769"/>
      <c r="E239" s="1769"/>
      <c r="F239" s="1761">
        <v>0.05</v>
      </c>
    </row>
    <row r="240" spans="1:6" ht="24.75" thickBot="1">
      <c r="A240" s="1755" t="s">
        <v>1403</v>
      </c>
      <c r="B240" s="1759" t="s">
        <v>2155</v>
      </c>
      <c r="C240" s="1769"/>
      <c r="D240" s="1769"/>
      <c r="E240" s="1769"/>
      <c r="F240" s="1761">
        <v>0.05</v>
      </c>
    </row>
    <row r="241" spans="1:6" ht="24.75" thickBot="1">
      <c r="A241" s="1755" t="s">
        <v>1403</v>
      </c>
      <c r="B241" s="1759" t="s">
        <v>2156</v>
      </c>
      <c r="C241" s="1769"/>
      <c r="D241" s="1769"/>
      <c r="E241" s="1769"/>
      <c r="F241" s="1761">
        <v>0.05</v>
      </c>
    </row>
    <row r="242" spans="1:6" ht="24.75" thickBot="1">
      <c r="A242" s="1755" t="s">
        <v>1403</v>
      </c>
      <c r="B242" s="1759" t="s">
        <v>2157</v>
      </c>
      <c r="C242" s="1769"/>
      <c r="D242" s="1769"/>
      <c r="E242" s="1769"/>
      <c r="F242" s="1761">
        <v>0.05</v>
      </c>
    </row>
    <row r="243" spans="1:6" ht="24.75" thickBot="1">
      <c r="A243" s="1755" t="s">
        <v>1403</v>
      </c>
      <c r="B243" s="1759" t="s">
        <v>2158</v>
      </c>
      <c r="C243" s="1769"/>
      <c r="D243" s="1769"/>
      <c r="E243" s="1769"/>
      <c r="F243" s="1761">
        <v>0.05</v>
      </c>
    </row>
    <row r="244" spans="1:6" ht="24.75" thickBot="1">
      <c r="A244" s="1763" t="s">
        <v>1403</v>
      </c>
      <c r="B244" s="1770" t="s">
        <v>2159</v>
      </c>
      <c r="C244" s="1766"/>
      <c r="D244" s="1766"/>
      <c r="E244" s="1766"/>
      <c r="F244" s="1771">
        <v>0.05</v>
      </c>
    </row>
    <row r="245" spans="1:6" ht="14.25" thickBot="1">
      <c r="A245" s="1755" t="s">
        <v>1405</v>
      </c>
      <c r="B245" s="1756" t="s">
        <v>2160</v>
      </c>
      <c r="C245" s="1757">
        <v>0.15</v>
      </c>
      <c r="D245" s="1757">
        <v>0.15</v>
      </c>
      <c r="E245" s="1757">
        <v>0.15</v>
      </c>
      <c r="F245" s="1758">
        <v>0.14299999999999999</v>
      </c>
    </row>
    <row r="246" spans="1:6" ht="14.25" thickBot="1">
      <c r="A246" s="1755" t="s">
        <v>1405</v>
      </c>
      <c r="B246" s="1759" t="s">
        <v>1068</v>
      </c>
      <c r="C246" s="1760">
        <v>0.15</v>
      </c>
      <c r="D246" s="1760">
        <v>0.15</v>
      </c>
      <c r="E246" s="1760">
        <v>0.15</v>
      </c>
      <c r="F246" s="1761">
        <v>0.114</v>
      </c>
    </row>
    <row r="247" spans="1:6" ht="14.25" thickBot="1">
      <c r="A247" s="1755" t="s">
        <v>1405</v>
      </c>
      <c r="B247" s="1759" t="s">
        <v>2161</v>
      </c>
      <c r="C247" s="1760">
        <v>0.15</v>
      </c>
      <c r="D247" s="1760">
        <v>0.15</v>
      </c>
      <c r="E247" s="1760">
        <v>0.15</v>
      </c>
      <c r="F247" s="1761">
        <v>0.15</v>
      </c>
    </row>
    <row r="248" spans="1:6" ht="14.25" thickBot="1">
      <c r="A248" s="1755" t="s">
        <v>1405</v>
      </c>
      <c r="B248" s="1759" t="s">
        <v>2162</v>
      </c>
      <c r="C248" s="1760">
        <v>0.15</v>
      </c>
      <c r="D248" s="1760">
        <v>0.15</v>
      </c>
      <c r="E248" s="1760">
        <v>0.15</v>
      </c>
      <c r="F248" s="1761">
        <v>0.14000000000000001</v>
      </c>
    </row>
    <row r="249" spans="1:6" ht="14.25" thickBot="1">
      <c r="A249" s="1755" t="s">
        <v>1405</v>
      </c>
      <c r="B249" s="1759" t="s">
        <v>2163</v>
      </c>
      <c r="C249" s="1760">
        <v>0.15</v>
      </c>
      <c r="D249" s="1760">
        <v>0.14899999999999999</v>
      </c>
      <c r="E249" s="1760">
        <v>0.15</v>
      </c>
      <c r="F249" s="1761">
        <v>0.1</v>
      </c>
    </row>
    <row r="250" spans="1:6" ht="14.25" thickBot="1">
      <c r="A250" s="1755" t="s">
        <v>1405</v>
      </c>
      <c r="B250" s="1759" t="s">
        <v>2164</v>
      </c>
      <c r="C250" s="1760">
        <v>0.15</v>
      </c>
      <c r="D250" s="1760">
        <v>0.15</v>
      </c>
      <c r="E250" s="1760">
        <v>0.15</v>
      </c>
      <c r="F250" s="1761">
        <v>0.14399999999999999</v>
      </c>
    </row>
    <row r="251" spans="1:6" ht="14.25" thickBot="1">
      <c r="A251" s="1755" t="s">
        <v>1405</v>
      </c>
      <c r="B251" s="1759" t="s">
        <v>1131</v>
      </c>
      <c r="C251" s="1760">
        <v>0.15</v>
      </c>
      <c r="D251" s="1760">
        <v>0.15</v>
      </c>
      <c r="E251" s="1760">
        <v>0.15</v>
      </c>
      <c r="F251" s="1761">
        <v>0.14299999999999999</v>
      </c>
    </row>
    <row r="252" spans="1:6" ht="14.25" thickBot="1">
      <c r="A252" s="1755" t="s">
        <v>1405</v>
      </c>
      <c r="B252" s="1759" t="s">
        <v>1142</v>
      </c>
      <c r="C252" s="1760">
        <v>0.15</v>
      </c>
      <c r="D252" s="1760">
        <v>0.15</v>
      </c>
      <c r="E252" s="1760">
        <v>0.15</v>
      </c>
      <c r="F252" s="1761">
        <v>0.1</v>
      </c>
    </row>
    <row r="253" spans="1:6" ht="14.25" thickBot="1">
      <c r="A253" s="1755" t="s">
        <v>1405</v>
      </c>
      <c r="B253" s="1759" t="s">
        <v>1154</v>
      </c>
      <c r="C253" s="1760">
        <v>0.15</v>
      </c>
      <c r="D253" s="1760">
        <v>0.15</v>
      </c>
      <c r="E253" s="1760">
        <v>0.15</v>
      </c>
      <c r="F253" s="1761">
        <v>0.1</v>
      </c>
    </row>
    <row r="254" spans="1:6" ht="14.25" thickBot="1">
      <c r="A254" s="1755" t="s">
        <v>1405</v>
      </c>
      <c r="B254" s="1759" t="s">
        <v>1164</v>
      </c>
      <c r="C254" s="1769"/>
      <c r="D254" s="1769"/>
      <c r="E254" s="1769"/>
      <c r="F254" s="1761">
        <v>0.15</v>
      </c>
    </row>
    <row r="255" spans="1:6" ht="14.25" thickBot="1">
      <c r="A255" s="1755" t="s">
        <v>1405</v>
      </c>
      <c r="B255" s="1759" t="s">
        <v>1174</v>
      </c>
      <c r="C255" s="1769"/>
      <c r="D255" s="1769"/>
      <c r="E255" s="1769"/>
      <c r="F255" s="1761">
        <v>0.14299999999999999</v>
      </c>
    </row>
    <row r="256" spans="1:6" ht="14.25" thickBot="1">
      <c r="A256" s="1755" t="s">
        <v>1405</v>
      </c>
      <c r="B256" s="1759" t="s">
        <v>2165</v>
      </c>
      <c r="C256" s="1760">
        <v>0.14599999999999999</v>
      </c>
      <c r="D256" s="1760">
        <v>0.14699999999999999</v>
      </c>
      <c r="E256" s="1760">
        <v>0.15</v>
      </c>
      <c r="F256" s="1761">
        <v>0.13200000000000001</v>
      </c>
    </row>
    <row r="257" spans="1:6" ht="14.25" thickBot="1">
      <c r="A257" s="1755" t="s">
        <v>1405</v>
      </c>
      <c r="B257" s="1759" t="s">
        <v>1194</v>
      </c>
      <c r="C257" s="1760">
        <v>0.15</v>
      </c>
      <c r="D257" s="1760">
        <v>0.15</v>
      </c>
      <c r="E257" s="1760">
        <v>0.15</v>
      </c>
      <c r="F257" s="1761">
        <v>0.13900000000000001</v>
      </c>
    </row>
    <row r="258" spans="1:6" ht="14.25" thickBot="1">
      <c r="A258" s="1755" t="s">
        <v>1405</v>
      </c>
      <c r="B258" s="1759" t="s">
        <v>1204</v>
      </c>
      <c r="C258" s="1760">
        <v>0.15</v>
      </c>
      <c r="D258" s="1760">
        <v>0.15</v>
      </c>
      <c r="E258" s="1760">
        <v>0.15</v>
      </c>
      <c r="F258" s="1761">
        <v>0.13</v>
      </c>
    </row>
    <row r="259" spans="1:6" ht="14.25" thickBot="1">
      <c r="A259" s="1755" t="s">
        <v>1405</v>
      </c>
      <c r="B259" s="1759" t="s">
        <v>2166</v>
      </c>
      <c r="C259" s="1760">
        <v>0.14799999999999999</v>
      </c>
      <c r="D259" s="1760">
        <v>0.14899999999999999</v>
      </c>
      <c r="E259" s="1760">
        <v>0.15</v>
      </c>
      <c r="F259" s="1761">
        <v>0.13700000000000001</v>
      </c>
    </row>
    <row r="260" spans="1:6" ht="14.25" thickBot="1">
      <c r="A260" s="1755" t="s">
        <v>1405</v>
      </c>
      <c r="B260" s="1759" t="s">
        <v>1224</v>
      </c>
      <c r="C260" s="1760">
        <v>0.15</v>
      </c>
      <c r="D260" s="1760">
        <v>0.15</v>
      </c>
      <c r="E260" s="1760">
        <v>0.15</v>
      </c>
      <c r="F260" s="1761">
        <v>0.14199999999999999</v>
      </c>
    </row>
    <row r="261" spans="1:6" ht="14.25" thickBot="1">
      <c r="A261" s="1755" t="s">
        <v>1405</v>
      </c>
      <c r="B261" s="1759" t="s">
        <v>1234</v>
      </c>
      <c r="C261" s="1760">
        <v>0.15</v>
      </c>
      <c r="D261" s="1760">
        <v>0.15</v>
      </c>
      <c r="E261" s="1760">
        <v>0.14899999999999999</v>
      </c>
      <c r="F261" s="1761">
        <v>0.14799999999999999</v>
      </c>
    </row>
    <row r="262" spans="1:6" ht="14.25" thickBot="1">
      <c r="A262" s="1755" t="s">
        <v>1405</v>
      </c>
      <c r="B262" s="1759" t="s">
        <v>1244</v>
      </c>
      <c r="C262" s="1760">
        <v>0.15</v>
      </c>
      <c r="D262" s="1760">
        <v>0.15</v>
      </c>
      <c r="E262" s="1760">
        <v>0.15</v>
      </c>
      <c r="F262" s="1768"/>
    </row>
    <row r="263" spans="1:6" ht="14.25" thickBot="1">
      <c r="A263" s="1755" t="s">
        <v>1405</v>
      </c>
      <c r="B263" s="1759" t="s">
        <v>2167</v>
      </c>
      <c r="C263" s="1760">
        <v>0.14899999999999999</v>
      </c>
      <c r="D263" s="1760">
        <v>0.14899999999999999</v>
      </c>
      <c r="E263" s="1760">
        <v>0.15</v>
      </c>
      <c r="F263" s="1761">
        <v>0.13</v>
      </c>
    </row>
    <row r="264" spans="1:6" ht="14.25" thickBot="1">
      <c r="A264" s="1755" t="s">
        <v>1405</v>
      </c>
      <c r="B264" s="1759" t="s">
        <v>1263</v>
      </c>
      <c r="C264" s="1760">
        <v>0.14799999999999999</v>
      </c>
      <c r="D264" s="1760">
        <v>0.14699999999999999</v>
      </c>
      <c r="E264" s="1760">
        <v>0.15</v>
      </c>
      <c r="F264" s="1761">
        <v>7.8E-2</v>
      </c>
    </row>
    <row r="265" spans="1:6" ht="14.25" thickBot="1">
      <c r="A265" s="1755" t="s">
        <v>1405</v>
      </c>
      <c r="B265" s="1759" t="s">
        <v>1272</v>
      </c>
      <c r="C265" s="1760">
        <v>0.15</v>
      </c>
      <c r="D265" s="1760">
        <v>0.15</v>
      </c>
      <c r="E265" s="1760">
        <v>0.15</v>
      </c>
      <c r="F265" s="1761">
        <v>7.3999999999999996E-2</v>
      </c>
    </row>
    <row r="266" spans="1:6" ht="14.25" thickBot="1">
      <c r="A266" s="1755" t="s">
        <v>1405</v>
      </c>
      <c r="B266" s="1759" t="s">
        <v>1280</v>
      </c>
      <c r="C266" s="1760">
        <v>0.14699999999999999</v>
      </c>
      <c r="D266" s="1760">
        <v>0.14699999999999999</v>
      </c>
      <c r="E266" s="1760">
        <v>0.15</v>
      </c>
      <c r="F266" s="1761">
        <v>0.14299999999999999</v>
      </c>
    </row>
    <row r="267" spans="1:6" ht="14.25" thickBot="1">
      <c r="A267" s="1755" t="s">
        <v>1405</v>
      </c>
      <c r="B267" s="1759" t="s">
        <v>1287</v>
      </c>
      <c r="C267" s="1760">
        <v>0.14199999999999999</v>
      </c>
      <c r="D267" s="1760">
        <v>0.14299999999999999</v>
      </c>
      <c r="E267" s="1760">
        <v>0.15</v>
      </c>
      <c r="F267" s="1768"/>
    </row>
    <row r="268" spans="1:6" ht="14.25" thickBot="1">
      <c r="A268" s="1755" t="s">
        <v>1405</v>
      </c>
      <c r="B268" s="1759" t="s">
        <v>2168</v>
      </c>
      <c r="C268" s="1760">
        <v>0.15</v>
      </c>
      <c r="D268" s="1760">
        <v>0.15</v>
      </c>
      <c r="E268" s="1760">
        <v>0.15</v>
      </c>
      <c r="F268" s="1761">
        <v>0.13</v>
      </c>
    </row>
    <row r="269" spans="1:6" ht="14.25" thickBot="1">
      <c r="A269" s="1755" t="s">
        <v>1405</v>
      </c>
      <c r="B269" s="1759" t="s">
        <v>1301</v>
      </c>
      <c r="C269" s="1760">
        <v>0.15</v>
      </c>
      <c r="D269" s="1760">
        <v>0.15</v>
      </c>
      <c r="E269" s="1760">
        <v>0.15</v>
      </c>
      <c r="F269" s="1761">
        <v>0.14299999999999999</v>
      </c>
    </row>
    <row r="270" spans="1:6" ht="14.25" thickBot="1">
      <c r="A270" s="1755" t="s">
        <v>1405</v>
      </c>
      <c r="B270" s="1759" t="s">
        <v>1308</v>
      </c>
      <c r="C270" s="1760">
        <v>0.14499999999999999</v>
      </c>
      <c r="D270" s="1760">
        <v>0.14499999999999999</v>
      </c>
      <c r="E270" s="1760">
        <v>0.15</v>
      </c>
      <c r="F270" s="1761">
        <v>0.14699999999999999</v>
      </c>
    </row>
    <row r="271" spans="1:6" ht="14.25" thickBot="1">
      <c r="A271" s="1755" t="s">
        <v>1405</v>
      </c>
      <c r="B271" s="1759" t="s">
        <v>1315</v>
      </c>
      <c r="C271" s="1760">
        <v>0.15</v>
      </c>
      <c r="D271" s="1760">
        <v>0.15</v>
      </c>
      <c r="E271" s="1760">
        <v>0.15</v>
      </c>
      <c r="F271" s="1761">
        <v>0.13800000000000001</v>
      </c>
    </row>
    <row r="272" spans="1:6" ht="14.25" thickBot="1">
      <c r="A272" s="1755" t="s">
        <v>1405</v>
      </c>
      <c r="B272" s="1759" t="s">
        <v>1322</v>
      </c>
      <c r="C272" s="1769"/>
      <c r="D272" s="1769"/>
      <c r="E272" s="1769"/>
      <c r="F272" s="1761">
        <v>0.14000000000000001</v>
      </c>
    </row>
    <row r="273" spans="1:6" ht="14.25" thickBot="1">
      <c r="A273" s="1755" t="s">
        <v>1405</v>
      </c>
      <c r="B273" s="1759" t="s">
        <v>2169</v>
      </c>
      <c r="C273" s="1760">
        <v>0.14199999999999999</v>
      </c>
      <c r="D273" s="1760">
        <v>0.14299999999999999</v>
      </c>
      <c r="E273" s="1760">
        <v>0.15</v>
      </c>
      <c r="F273" s="1761">
        <v>0.1</v>
      </c>
    </row>
    <row r="274" spans="1:6" ht="14.25" thickBot="1">
      <c r="A274" s="1755" t="s">
        <v>1405</v>
      </c>
      <c r="B274" s="1759" t="s">
        <v>2170</v>
      </c>
      <c r="C274" s="1760">
        <v>0.14799999999999999</v>
      </c>
      <c r="D274" s="1760">
        <v>0.14799999999999999</v>
      </c>
      <c r="E274" s="1760">
        <v>0.15</v>
      </c>
      <c r="F274" s="1761">
        <v>6.7000000000000004E-2</v>
      </c>
    </row>
    <row r="275" spans="1:6" ht="14.25" thickBot="1">
      <c r="A275" s="1755" t="s">
        <v>1405</v>
      </c>
      <c r="B275" s="1759" t="s">
        <v>2171</v>
      </c>
      <c r="C275" s="1760">
        <v>0.15</v>
      </c>
      <c r="D275" s="1760">
        <v>0.15</v>
      </c>
      <c r="E275" s="1760">
        <v>0.15</v>
      </c>
      <c r="F275" s="1761">
        <v>0.15</v>
      </c>
    </row>
    <row r="276" spans="1:6" ht="14.25" thickBot="1">
      <c r="A276" s="1755" t="s">
        <v>1405</v>
      </c>
      <c r="B276" s="1759" t="s">
        <v>2172</v>
      </c>
      <c r="C276" s="1760">
        <v>0.14499999999999999</v>
      </c>
      <c r="D276" s="1760">
        <v>0.14299999999999999</v>
      </c>
      <c r="E276" s="1760">
        <v>0.15</v>
      </c>
      <c r="F276" s="1761">
        <v>5.8999999999999997E-2</v>
      </c>
    </row>
    <row r="277" spans="1:6" ht="14.25" thickBot="1">
      <c r="A277" s="1755" t="s">
        <v>1405</v>
      </c>
      <c r="B277" s="1759" t="s">
        <v>2173</v>
      </c>
      <c r="C277" s="1760">
        <v>0.15</v>
      </c>
      <c r="D277" s="1760">
        <v>0.15</v>
      </c>
      <c r="E277" s="1760">
        <v>0.15</v>
      </c>
      <c r="F277" s="1761">
        <v>0.121</v>
      </c>
    </row>
    <row r="278" spans="1:6" ht="14.25" thickBot="1">
      <c r="A278" s="1755" t="s">
        <v>1405</v>
      </c>
      <c r="B278" s="1759" t="s">
        <v>2174</v>
      </c>
      <c r="C278" s="1760">
        <v>0.15</v>
      </c>
      <c r="D278" s="1760">
        <v>0.15</v>
      </c>
      <c r="E278" s="1760">
        <v>0.15</v>
      </c>
      <c r="F278" s="1761">
        <v>0.13800000000000001</v>
      </c>
    </row>
    <row r="279" spans="1:6" ht="24.75" thickBot="1">
      <c r="A279" s="1755" t="s">
        <v>1405</v>
      </c>
      <c r="B279" s="1759" t="s">
        <v>2175</v>
      </c>
      <c r="C279" s="1769"/>
      <c r="D279" s="1769"/>
      <c r="E279" s="1769"/>
      <c r="F279" s="1761">
        <v>0.05</v>
      </c>
    </row>
    <row r="280" spans="1:6" ht="24.75" thickBot="1">
      <c r="A280" s="1755" t="s">
        <v>1405</v>
      </c>
      <c r="B280" s="1759" t="s">
        <v>2176</v>
      </c>
      <c r="C280" s="1769"/>
      <c r="D280" s="1769"/>
      <c r="E280" s="1769"/>
      <c r="F280" s="1761">
        <v>0.05</v>
      </c>
    </row>
    <row r="281" spans="1:6" ht="24.75" thickBot="1">
      <c r="A281" s="1755" t="s">
        <v>1405</v>
      </c>
      <c r="B281" s="1759" t="s">
        <v>2177</v>
      </c>
      <c r="C281" s="1769"/>
      <c r="D281" s="1769"/>
      <c r="E281" s="1769"/>
      <c r="F281" s="1761">
        <v>0.05</v>
      </c>
    </row>
    <row r="282" spans="1:6" ht="24.75" thickBot="1">
      <c r="A282" s="1755" t="s">
        <v>1405</v>
      </c>
      <c r="B282" s="1759" t="s">
        <v>2178</v>
      </c>
      <c r="C282" s="1769"/>
      <c r="D282" s="1769"/>
      <c r="E282" s="1769"/>
      <c r="F282" s="1761">
        <v>0.05</v>
      </c>
    </row>
    <row r="283" spans="1:6" ht="24.75" thickBot="1">
      <c r="A283" s="1755" t="s">
        <v>1405</v>
      </c>
      <c r="B283" s="1759" t="s">
        <v>2179</v>
      </c>
      <c r="C283" s="1769"/>
      <c r="D283" s="1769"/>
      <c r="E283" s="1769"/>
      <c r="F283" s="1761">
        <v>0.05</v>
      </c>
    </row>
    <row r="284" spans="1:6" ht="24.75" thickBot="1">
      <c r="A284" s="1755" t="s">
        <v>1405</v>
      </c>
      <c r="B284" s="1759" t="s">
        <v>2180</v>
      </c>
      <c r="C284" s="1769"/>
      <c r="D284" s="1769"/>
      <c r="E284" s="1769"/>
      <c r="F284" s="1761">
        <v>0.05</v>
      </c>
    </row>
    <row r="285" spans="1:6" ht="24.75" thickBot="1">
      <c r="A285" s="1755" t="s">
        <v>1405</v>
      </c>
      <c r="B285" s="1759" t="s">
        <v>2181</v>
      </c>
      <c r="C285" s="1769"/>
      <c r="D285" s="1769"/>
      <c r="E285" s="1769"/>
      <c r="F285" s="1761">
        <v>0.05</v>
      </c>
    </row>
    <row r="286" spans="1:6" ht="24.75" thickBot="1">
      <c r="A286" s="1755" t="s">
        <v>1405</v>
      </c>
      <c r="B286" s="1759" t="s">
        <v>2182</v>
      </c>
      <c r="C286" s="1769"/>
      <c r="D286" s="1769"/>
      <c r="E286" s="1769"/>
      <c r="F286" s="1761">
        <v>0.05</v>
      </c>
    </row>
    <row r="287" spans="1:6" ht="24.75" thickBot="1">
      <c r="A287" s="1755" t="s">
        <v>1405</v>
      </c>
      <c r="B287" s="1759" t="s">
        <v>2183</v>
      </c>
      <c r="C287" s="1769"/>
      <c r="D287" s="1769"/>
      <c r="E287" s="1769"/>
      <c r="F287" s="1761">
        <v>0.05</v>
      </c>
    </row>
    <row r="288" spans="1:6" ht="24.75" thickBot="1">
      <c r="A288" s="1755" t="s">
        <v>1405</v>
      </c>
      <c r="B288" s="1759" t="s">
        <v>2184</v>
      </c>
      <c r="C288" s="1769"/>
      <c r="D288" s="1769"/>
      <c r="E288" s="1769"/>
      <c r="F288" s="1761">
        <v>0.05</v>
      </c>
    </row>
    <row r="289" spans="1:6" ht="24.75" thickBot="1">
      <c r="A289" s="1763" t="s">
        <v>1405</v>
      </c>
      <c r="B289" s="1770" t="s">
        <v>2185</v>
      </c>
      <c r="C289" s="1766"/>
      <c r="D289" s="1766"/>
      <c r="E289" s="1766"/>
      <c r="F289" s="1771">
        <v>0.05</v>
      </c>
    </row>
    <row r="290" spans="1:6" ht="14.25" thickBot="1">
      <c r="A290" s="1755" t="s">
        <v>1409</v>
      </c>
      <c r="B290" s="1756" t="s">
        <v>2186</v>
      </c>
      <c r="C290" s="1757">
        <v>0.15</v>
      </c>
      <c r="D290" s="1757">
        <v>0.15</v>
      </c>
      <c r="E290" s="1757">
        <v>0.15</v>
      </c>
      <c r="F290" s="1779"/>
    </row>
    <row r="291" spans="1:6" ht="14.25" thickBot="1">
      <c r="A291" s="1755" t="s">
        <v>1409</v>
      </c>
      <c r="B291" s="1759" t="s">
        <v>1069</v>
      </c>
      <c r="C291" s="1760">
        <v>0.15</v>
      </c>
      <c r="D291" s="1760">
        <v>0.15</v>
      </c>
      <c r="E291" s="1760">
        <v>0.15</v>
      </c>
      <c r="F291" s="1768"/>
    </row>
    <row r="292" spans="1:6" ht="14.25" thickBot="1">
      <c r="A292" s="1755" t="s">
        <v>1409</v>
      </c>
      <c r="B292" s="1759" t="s">
        <v>2187</v>
      </c>
      <c r="C292" s="1760">
        <v>0.15</v>
      </c>
      <c r="D292" s="1760">
        <v>0.15</v>
      </c>
      <c r="E292" s="1760">
        <v>0.15</v>
      </c>
      <c r="F292" s="1761">
        <v>0.14699999999999999</v>
      </c>
    </row>
    <row r="293" spans="1:6" ht="14.25" thickBot="1">
      <c r="A293" s="1755" t="s">
        <v>1409</v>
      </c>
      <c r="B293" s="1759" t="s">
        <v>2188</v>
      </c>
      <c r="C293" s="1769"/>
      <c r="D293" s="1769"/>
      <c r="E293" s="1769"/>
      <c r="F293" s="1761">
        <v>0.1</v>
      </c>
    </row>
    <row r="294" spans="1:6" ht="14.25" thickBot="1">
      <c r="A294" s="1755" t="s">
        <v>1409</v>
      </c>
      <c r="B294" s="1759" t="s">
        <v>2189</v>
      </c>
      <c r="C294" s="1760">
        <v>0.15</v>
      </c>
      <c r="D294" s="1760">
        <v>0.15</v>
      </c>
      <c r="E294" s="1760">
        <v>0.15</v>
      </c>
      <c r="F294" s="1761">
        <v>0.15</v>
      </c>
    </row>
    <row r="295" spans="1:6" ht="14.25" thickBot="1">
      <c r="A295" s="1755" t="s">
        <v>1409</v>
      </c>
      <c r="B295" s="1759" t="s">
        <v>1110</v>
      </c>
      <c r="C295" s="1760">
        <v>0.15</v>
      </c>
      <c r="D295" s="1760">
        <v>0.15</v>
      </c>
      <c r="E295" s="1760">
        <v>0.15</v>
      </c>
      <c r="F295" s="1761">
        <v>0.15</v>
      </c>
    </row>
    <row r="296" spans="1:6" ht="14.25" thickBot="1">
      <c r="A296" s="1755" t="s">
        <v>1409</v>
      </c>
      <c r="B296" s="1759" t="s">
        <v>2190</v>
      </c>
      <c r="C296" s="1760">
        <v>0.15</v>
      </c>
      <c r="D296" s="1760">
        <v>0.15</v>
      </c>
      <c r="E296" s="1760">
        <v>0.15</v>
      </c>
      <c r="F296" s="1761">
        <v>0.15</v>
      </c>
    </row>
    <row r="297" spans="1:6" ht="14.25" thickBot="1">
      <c r="A297" s="1755" t="s">
        <v>1409</v>
      </c>
      <c r="B297" s="1759" t="s">
        <v>2191</v>
      </c>
      <c r="C297" s="1760">
        <v>0.14799999999999999</v>
      </c>
      <c r="D297" s="1760">
        <v>0.14899999999999999</v>
      </c>
      <c r="E297" s="1760">
        <v>0.15</v>
      </c>
      <c r="F297" s="1761">
        <v>0.13700000000000001</v>
      </c>
    </row>
    <row r="298" spans="1:6" ht="14.25" thickBot="1">
      <c r="A298" s="1755" t="s">
        <v>1409</v>
      </c>
      <c r="B298" s="1759" t="s">
        <v>1143</v>
      </c>
      <c r="C298" s="1760">
        <v>0.13400000000000001</v>
      </c>
      <c r="D298" s="1760">
        <v>0.13400000000000001</v>
      </c>
      <c r="E298" s="1760">
        <v>0.14499999999999999</v>
      </c>
      <c r="F298" s="1761">
        <v>0.14799999999999999</v>
      </c>
    </row>
    <row r="299" spans="1:6" ht="14.25" thickBot="1">
      <c r="A299" s="1755" t="s">
        <v>1409</v>
      </c>
      <c r="B299" s="1759" t="s">
        <v>1155</v>
      </c>
      <c r="C299" s="1760">
        <v>0.15</v>
      </c>
      <c r="D299" s="1760">
        <v>0.15</v>
      </c>
      <c r="E299" s="1760">
        <v>0.15</v>
      </c>
      <c r="F299" s="1768"/>
    </row>
    <row r="300" spans="1:6" ht="14.25" thickBot="1">
      <c r="A300" s="1755" t="s">
        <v>1409</v>
      </c>
      <c r="B300" s="1759" t="s">
        <v>2192</v>
      </c>
      <c r="C300" s="1760">
        <v>0.15</v>
      </c>
      <c r="D300" s="1760">
        <v>0.15</v>
      </c>
      <c r="E300" s="1760">
        <v>0.15</v>
      </c>
      <c r="F300" s="1761">
        <v>0.15</v>
      </c>
    </row>
    <row r="301" spans="1:6" ht="14.25" thickBot="1">
      <c r="A301" s="1755" t="s">
        <v>1409</v>
      </c>
      <c r="B301" s="1759" t="s">
        <v>1175</v>
      </c>
      <c r="C301" s="1760">
        <v>0.15</v>
      </c>
      <c r="D301" s="1760">
        <v>0.15</v>
      </c>
      <c r="E301" s="1760">
        <v>0.15</v>
      </c>
      <c r="F301" s="1768"/>
    </row>
    <row r="302" spans="1:6" ht="14.25" thickBot="1">
      <c r="A302" s="1755" t="s">
        <v>1409</v>
      </c>
      <c r="B302" s="1759" t="s">
        <v>2193</v>
      </c>
      <c r="C302" s="1760">
        <v>0.15</v>
      </c>
      <c r="D302" s="1760">
        <v>0.15</v>
      </c>
      <c r="E302" s="1760">
        <v>0.15</v>
      </c>
      <c r="F302" s="1761">
        <v>0.15</v>
      </c>
    </row>
    <row r="303" spans="1:6" ht="14.25" thickBot="1">
      <c r="A303" s="1755" t="s">
        <v>1409</v>
      </c>
      <c r="B303" s="1759" t="s">
        <v>1195</v>
      </c>
      <c r="C303" s="1760">
        <v>0.15</v>
      </c>
      <c r="D303" s="1760">
        <v>0.15</v>
      </c>
      <c r="E303" s="1760">
        <v>0.15</v>
      </c>
      <c r="F303" s="1761">
        <v>0.15</v>
      </c>
    </row>
    <row r="304" spans="1:6" ht="14.25" thickBot="1">
      <c r="A304" s="1755" t="s">
        <v>1409</v>
      </c>
      <c r="B304" s="1759" t="s">
        <v>1205</v>
      </c>
      <c r="C304" s="1760">
        <v>0.15</v>
      </c>
      <c r="D304" s="1760">
        <v>0.15</v>
      </c>
      <c r="E304" s="1760">
        <v>0.15</v>
      </c>
      <c r="F304" s="1768"/>
    </row>
    <row r="305" spans="1:6" ht="14.25" thickBot="1">
      <c r="A305" s="1755" t="s">
        <v>1409</v>
      </c>
      <c r="B305" s="1759" t="s">
        <v>2194</v>
      </c>
      <c r="C305" s="1760">
        <v>0.15</v>
      </c>
      <c r="D305" s="1760">
        <v>0.15</v>
      </c>
      <c r="E305" s="1760">
        <v>0.15</v>
      </c>
      <c r="F305" s="1761">
        <v>0.14000000000000001</v>
      </c>
    </row>
    <row r="306" spans="1:6" ht="14.25" thickBot="1">
      <c r="A306" s="1755" t="s">
        <v>1409</v>
      </c>
      <c r="B306" s="1759" t="s">
        <v>1225</v>
      </c>
      <c r="C306" s="1760">
        <v>0.15</v>
      </c>
      <c r="D306" s="1760">
        <v>0.15</v>
      </c>
      <c r="E306" s="1760">
        <v>0.15</v>
      </c>
      <c r="F306" s="1768"/>
    </row>
    <row r="307" spans="1:6" ht="14.25" thickBot="1">
      <c r="A307" s="1755" t="s">
        <v>1409</v>
      </c>
      <c r="B307" s="1759" t="s">
        <v>2195</v>
      </c>
      <c r="C307" s="1760">
        <v>0.15</v>
      </c>
      <c r="D307" s="1760">
        <v>0.15</v>
      </c>
      <c r="E307" s="1760">
        <v>0.15</v>
      </c>
      <c r="F307" s="1761">
        <v>0.14299999999999999</v>
      </c>
    </row>
    <row r="308" spans="1:6" ht="14.25" thickBot="1">
      <c r="A308" s="1755" t="s">
        <v>1409</v>
      </c>
      <c r="B308" s="1759" t="s">
        <v>1245</v>
      </c>
      <c r="C308" s="1760">
        <v>0.15</v>
      </c>
      <c r="D308" s="1760">
        <v>0.15</v>
      </c>
      <c r="E308" s="1760">
        <v>0.15</v>
      </c>
      <c r="F308" s="1761">
        <v>0.15</v>
      </c>
    </row>
    <row r="309" spans="1:6" ht="14.25" thickBot="1">
      <c r="A309" s="1755" t="s">
        <v>1409</v>
      </c>
      <c r="B309" s="1759" t="s">
        <v>1255</v>
      </c>
      <c r="C309" s="1760">
        <v>0.15</v>
      </c>
      <c r="D309" s="1760">
        <v>0.15</v>
      </c>
      <c r="E309" s="1760">
        <v>0.15</v>
      </c>
      <c r="F309" s="1768"/>
    </row>
    <row r="310" spans="1:6" ht="14.25" thickBot="1">
      <c r="A310" s="1755" t="s">
        <v>1409</v>
      </c>
      <c r="B310" s="1759" t="s">
        <v>2196</v>
      </c>
      <c r="C310" s="1760">
        <v>0.15</v>
      </c>
      <c r="D310" s="1760">
        <v>0.15</v>
      </c>
      <c r="E310" s="1760">
        <v>0.15</v>
      </c>
      <c r="F310" s="1761">
        <v>0.13700000000000001</v>
      </c>
    </row>
    <row r="311" spans="1:6" ht="14.25" thickBot="1">
      <c r="A311" s="1755" t="s">
        <v>1409</v>
      </c>
      <c r="B311" s="1759" t="s">
        <v>2197</v>
      </c>
      <c r="C311" s="1760">
        <v>0.15</v>
      </c>
      <c r="D311" s="1760">
        <v>0.15</v>
      </c>
      <c r="E311" s="1760">
        <v>0.15</v>
      </c>
      <c r="F311" s="1761">
        <v>0.15</v>
      </c>
    </row>
    <row r="312" spans="1:6" ht="14.25" thickBot="1">
      <c r="A312" s="1755" t="s">
        <v>1409</v>
      </c>
      <c r="B312" s="1759" t="s">
        <v>1281</v>
      </c>
      <c r="C312" s="1760">
        <v>0.15</v>
      </c>
      <c r="D312" s="1760">
        <v>0.15</v>
      </c>
      <c r="E312" s="1760">
        <v>0.15</v>
      </c>
      <c r="F312" s="1761">
        <v>0.1</v>
      </c>
    </row>
    <row r="313" spans="1:6" ht="14.25" thickBot="1">
      <c r="A313" s="1755" t="s">
        <v>1409</v>
      </c>
      <c r="B313" s="1759" t="s">
        <v>2198</v>
      </c>
      <c r="C313" s="1760">
        <v>0.15</v>
      </c>
      <c r="D313" s="1760">
        <v>0.15</v>
      </c>
      <c r="E313" s="1760">
        <v>0.15</v>
      </c>
      <c r="F313" s="1761">
        <v>0.15</v>
      </c>
    </row>
    <row r="314" spans="1:6" ht="24.75" thickBot="1">
      <c r="A314" s="1755" t="s">
        <v>1409</v>
      </c>
      <c r="B314" s="1759" t="s">
        <v>2199</v>
      </c>
      <c r="C314" s="1769"/>
      <c r="D314" s="1769"/>
      <c r="E314" s="1769"/>
      <c r="F314" s="1761">
        <v>0.05</v>
      </c>
    </row>
    <row r="315" spans="1:6" ht="24.75" thickBot="1">
      <c r="A315" s="1755" t="s">
        <v>1409</v>
      </c>
      <c r="B315" s="1759" t="s">
        <v>2200</v>
      </c>
      <c r="C315" s="1769"/>
      <c r="D315" s="1769"/>
      <c r="E315" s="1769"/>
      <c r="F315" s="1761">
        <v>0.05</v>
      </c>
    </row>
    <row r="316" spans="1:6" ht="24.75" thickBot="1">
      <c r="A316" s="1763" t="s">
        <v>1409</v>
      </c>
      <c r="B316" s="1770" t="s">
        <v>2201</v>
      </c>
      <c r="C316" s="1766"/>
      <c r="D316" s="1766"/>
      <c r="E316" s="1766"/>
      <c r="F316" s="1771">
        <v>0.05</v>
      </c>
    </row>
    <row r="317" spans="1:6" ht="14.25" thickBot="1">
      <c r="A317" s="1755" t="s">
        <v>2202</v>
      </c>
      <c r="B317" s="1756" t="s">
        <v>2203</v>
      </c>
      <c r="C317" s="1757">
        <v>0.15</v>
      </c>
      <c r="D317" s="1757">
        <v>0.15</v>
      </c>
      <c r="E317" s="1757">
        <v>0.15</v>
      </c>
      <c r="F317" s="1758">
        <v>0.15</v>
      </c>
    </row>
    <row r="318" spans="1:6" ht="14.25" thickBot="1">
      <c r="A318" s="1755" t="s">
        <v>2202</v>
      </c>
      <c r="B318" s="1759" t="s">
        <v>2204</v>
      </c>
      <c r="C318" s="1760">
        <v>0.107</v>
      </c>
      <c r="D318" s="1760">
        <v>0.11</v>
      </c>
      <c r="E318" s="1760">
        <v>0.112</v>
      </c>
      <c r="F318" s="1768"/>
    </row>
    <row r="319" spans="1:6" ht="14.25" thickBot="1">
      <c r="A319" s="1755" t="s">
        <v>2202</v>
      </c>
      <c r="B319" s="1759" t="s">
        <v>2205</v>
      </c>
      <c r="C319" s="1760">
        <v>0.15</v>
      </c>
      <c r="D319" s="1760">
        <v>0.15</v>
      </c>
      <c r="E319" s="1760">
        <v>0.15</v>
      </c>
      <c r="F319" s="1761">
        <v>0.15</v>
      </c>
    </row>
    <row r="320" spans="1:6" ht="14.25" thickBot="1">
      <c r="A320" s="1755" t="s">
        <v>2202</v>
      </c>
      <c r="B320" s="1759" t="s">
        <v>1097</v>
      </c>
      <c r="C320" s="1760">
        <v>0.15</v>
      </c>
      <c r="D320" s="1760">
        <v>0.15</v>
      </c>
      <c r="E320" s="1760">
        <v>0.15</v>
      </c>
      <c r="F320" s="1768"/>
    </row>
    <row r="321" spans="1:6" ht="14.25" thickBot="1">
      <c r="A321" s="1755" t="s">
        <v>2202</v>
      </c>
      <c r="B321" s="1759" t="s">
        <v>2206</v>
      </c>
      <c r="C321" s="1760">
        <v>0.15</v>
      </c>
      <c r="D321" s="1760">
        <v>0.15</v>
      </c>
      <c r="E321" s="1760">
        <v>0.15</v>
      </c>
      <c r="F321" s="1768"/>
    </row>
    <row r="322" spans="1:6" ht="14.25" thickBot="1">
      <c r="A322" s="1755" t="s">
        <v>2202</v>
      </c>
      <c r="B322" s="1759" t="s">
        <v>2207</v>
      </c>
      <c r="C322" s="1760">
        <v>0.15</v>
      </c>
      <c r="D322" s="1760">
        <v>0.15</v>
      </c>
      <c r="E322" s="1760">
        <v>0.15</v>
      </c>
      <c r="F322" s="1761">
        <v>0.15</v>
      </c>
    </row>
    <row r="323" spans="1:6" ht="14.25" thickBot="1">
      <c r="A323" s="1755" t="s">
        <v>2202</v>
      </c>
      <c r="B323" s="1759" t="s">
        <v>2208</v>
      </c>
      <c r="C323" s="1760">
        <v>0.15</v>
      </c>
      <c r="D323" s="1760">
        <v>0.15</v>
      </c>
      <c r="E323" s="1760">
        <v>0.15</v>
      </c>
      <c r="F323" s="1768"/>
    </row>
    <row r="324" spans="1:6" ht="14.25" thickBot="1">
      <c r="A324" s="1755" t="s">
        <v>2202</v>
      </c>
      <c r="B324" s="1759" t="s">
        <v>2209</v>
      </c>
      <c r="C324" s="1760">
        <v>0.15</v>
      </c>
      <c r="D324" s="1760">
        <v>0.15</v>
      </c>
      <c r="E324" s="1760">
        <v>0.15</v>
      </c>
      <c r="F324" s="1768"/>
    </row>
    <row r="325" spans="1:6" ht="14.25" thickBot="1">
      <c r="A325" s="1755" t="s">
        <v>2202</v>
      </c>
      <c r="B325" s="1759" t="s">
        <v>2210</v>
      </c>
      <c r="C325" s="1760">
        <v>0.15</v>
      </c>
      <c r="D325" s="1760">
        <v>0.15</v>
      </c>
      <c r="E325" s="1760">
        <v>0.15</v>
      </c>
      <c r="F325" s="1761">
        <v>0.14699999999999999</v>
      </c>
    </row>
    <row r="326" spans="1:6" ht="14.25" thickBot="1">
      <c r="A326" s="1755" t="s">
        <v>2202</v>
      </c>
      <c r="B326" s="1759" t="s">
        <v>1166</v>
      </c>
      <c r="C326" s="1760">
        <v>0.15</v>
      </c>
      <c r="D326" s="1760">
        <v>0.15</v>
      </c>
      <c r="E326" s="1760">
        <v>0.15</v>
      </c>
      <c r="F326" s="1768"/>
    </row>
    <row r="327" spans="1:6" ht="14.25" thickBot="1">
      <c r="A327" s="1755" t="s">
        <v>2202</v>
      </c>
      <c r="B327" s="1759" t="s">
        <v>2211</v>
      </c>
      <c r="C327" s="1760">
        <v>0.15</v>
      </c>
      <c r="D327" s="1760">
        <v>0.15</v>
      </c>
      <c r="E327" s="1760">
        <v>0.15</v>
      </c>
      <c r="F327" s="1761">
        <v>0.15</v>
      </c>
    </row>
    <row r="328" spans="1:6" ht="14.25" thickBot="1">
      <c r="A328" s="1755" t="s">
        <v>2202</v>
      </c>
      <c r="B328" s="1759" t="s">
        <v>1186</v>
      </c>
      <c r="C328" s="1760">
        <v>0.15</v>
      </c>
      <c r="D328" s="1760">
        <v>0.15</v>
      </c>
      <c r="E328" s="1760">
        <v>0.15</v>
      </c>
      <c r="F328" s="1761">
        <v>0.14099999999999999</v>
      </c>
    </row>
    <row r="329" spans="1:6" ht="14.25" thickBot="1">
      <c r="A329" s="1755" t="s">
        <v>2202</v>
      </c>
      <c r="B329" s="1759" t="s">
        <v>1196</v>
      </c>
      <c r="C329" s="1760">
        <v>0.15</v>
      </c>
      <c r="D329" s="1760">
        <v>0.15</v>
      </c>
      <c r="E329" s="1760">
        <v>0.15</v>
      </c>
      <c r="F329" s="1761">
        <v>0.15</v>
      </c>
    </row>
    <row r="330" spans="1:6" ht="14.25" thickBot="1">
      <c r="A330" s="1755" t="s">
        <v>2202</v>
      </c>
      <c r="B330" s="1759" t="s">
        <v>1206</v>
      </c>
      <c r="C330" s="1760">
        <v>0.15</v>
      </c>
      <c r="D330" s="1760">
        <v>0.15</v>
      </c>
      <c r="E330" s="1760">
        <v>0.15</v>
      </c>
      <c r="F330" s="1768"/>
    </row>
    <row r="331" spans="1:6" ht="14.25" thickBot="1">
      <c r="A331" s="1755" t="s">
        <v>2202</v>
      </c>
      <c r="B331" s="1759" t="s">
        <v>2212</v>
      </c>
      <c r="C331" s="1760">
        <v>0.15</v>
      </c>
      <c r="D331" s="1760">
        <v>0.15</v>
      </c>
      <c r="E331" s="1760">
        <v>0.15</v>
      </c>
      <c r="F331" s="1761">
        <v>0.15</v>
      </c>
    </row>
    <row r="332" spans="1:6" ht="14.25" thickBot="1">
      <c r="A332" s="1755" t="s">
        <v>2202</v>
      </c>
      <c r="B332" s="1759" t="s">
        <v>1226</v>
      </c>
      <c r="C332" s="1760">
        <v>0.15</v>
      </c>
      <c r="D332" s="1760">
        <v>0.15</v>
      </c>
      <c r="E332" s="1760">
        <v>0.15</v>
      </c>
      <c r="F332" s="1761">
        <v>0.15</v>
      </c>
    </row>
    <row r="333" spans="1:6" ht="14.25" thickBot="1">
      <c r="A333" s="1755" t="s">
        <v>2202</v>
      </c>
      <c r="B333" s="1759" t="s">
        <v>2213</v>
      </c>
      <c r="C333" s="1760">
        <v>0.15</v>
      </c>
      <c r="D333" s="1760">
        <v>0.15</v>
      </c>
      <c r="E333" s="1760">
        <v>0.15</v>
      </c>
      <c r="F333" s="1761">
        <v>0.14099999999999999</v>
      </c>
    </row>
    <row r="334" spans="1:6" ht="14.25" thickBot="1">
      <c r="A334" s="1755" t="s">
        <v>2202</v>
      </c>
      <c r="B334" s="1759" t="s">
        <v>1246</v>
      </c>
      <c r="C334" s="1760">
        <v>0.15</v>
      </c>
      <c r="D334" s="1760">
        <v>0.15</v>
      </c>
      <c r="E334" s="1760">
        <v>0.15</v>
      </c>
      <c r="F334" s="1761">
        <v>0.15</v>
      </c>
    </row>
    <row r="335" spans="1:6" ht="14.25" thickBot="1">
      <c r="A335" s="1755" t="s">
        <v>2202</v>
      </c>
      <c r="B335" s="1759" t="s">
        <v>1256</v>
      </c>
      <c r="C335" s="1760">
        <v>0.15</v>
      </c>
      <c r="D335" s="1760">
        <v>0.15</v>
      </c>
      <c r="E335" s="1760">
        <v>0.15</v>
      </c>
      <c r="F335" s="1768"/>
    </row>
    <row r="336" spans="1:6" ht="14.25" thickBot="1">
      <c r="A336" s="1755" t="s">
        <v>2202</v>
      </c>
      <c r="B336" s="1759" t="s">
        <v>2214</v>
      </c>
      <c r="C336" s="1760">
        <v>0.15</v>
      </c>
      <c r="D336" s="1760">
        <v>0.15</v>
      </c>
      <c r="E336" s="1760">
        <v>0.15</v>
      </c>
      <c r="F336" s="1761">
        <v>0.11799999999999999</v>
      </c>
    </row>
    <row r="337" spans="1:6" ht="14.25" thickBot="1">
      <c r="A337" s="1763" t="s">
        <v>2202</v>
      </c>
      <c r="B337" s="1770" t="s">
        <v>1274</v>
      </c>
      <c r="C337" s="1766"/>
      <c r="D337" s="1766"/>
      <c r="E337" s="1766"/>
      <c r="F337" s="1771">
        <v>0.14299999999999999</v>
      </c>
    </row>
    <row r="338" spans="1:6" ht="14.25" thickBot="1">
      <c r="A338" s="1755" t="s">
        <v>2215</v>
      </c>
      <c r="B338" s="1756" t="s">
        <v>2216</v>
      </c>
      <c r="C338" s="1757">
        <v>0.15</v>
      </c>
      <c r="D338" s="1757">
        <v>0.15</v>
      </c>
      <c r="E338" s="1757">
        <v>0.15</v>
      </c>
      <c r="F338" s="1779"/>
    </row>
    <row r="339" spans="1:6" ht="14.25" thickBot="1">
      <c r="A339" s="1755" t="s">
        <v>2215</v>
      </c>
      <c r="B339" s="1759" t="s">
        <v>2217</v>
      </c>
      <c r="C339" s="1760">
        <v>0.15</v>
      </c>
      <c r="D339" s="1760">
        <v>0.15</v>
      </c>
      <c r="E339" s="1760">
        <v>0.15</v>
      </c>
      <c r="F339" s="1768"/>
    </row>
    <row r="340" spans="1:6" ht="14.25" thickBot="1">
      <c r="A340" s="1755" t="s">
        <v>2215</v>
      </c>
      <c r="B340" s="1759" t="s">
        <v>2218</v>
      </c>
      <c r="C340" s="1760">
        <v>0.15</v>
      </c>
      <c r="D340" s="1760">
        <v>0.15</v>
      </c>
      <c r="E340" s="1760">
        <v>0.15</v>
      </c>
      <c r="F340" s="1768"/>
    </row>
    <row r="341" spans="1:6" ht="14.25" thickBot="1">
      <c r="A341" s="1755" t="s">
        <v>2219</v>
      </c>
      <c r="B341" s="1759" t="s">
        <v>2220</v>
      </c>
      <c r="C341" s="1760">
        <v>0.15</v>
      </c>
      <c r="D341" s="1760">
        <v>0.15</v>
      </c>
      <c r="E341" s="1760">
        <v>0.15</v>
      </c>
      <c r="F341" s="1761">
        <v>0.15</v>
      </c>
    </row>
    <row r="342" spans="1:6" ht="14.25" thickBot="1">
      <c r="A342" s="1755" t="s">
        <v>2215</v>
      </c>
      <c r="B342" s="1759" t="s">
        <v>2221</v>
      </c>
      <c r="C342" s="1760">
        <v>0.15</v>
      </c>
      <c r="D342" s="1760">
        <v>0.15</v>
      </c>
      <c r="E342" s="1760">
        <v>0.15</v>
      </c>
      <c r="F342" s="1761">
        <v>0.15</v>
      </c>
    </row>
    <row r="343" spans="1:6" ht="14.25" thickBot="1">
      <c r="A343" s="1755" t="s">
        <v>2215</v>
      </c>
      <c r="B343" s="1759" t="s">
        <v>2222</v>
      </c>
      <c r="C343" s="1760">
        <v>0.15</v>
      </c>
      <c r="D343" s="1760">
        <v>0.15</v>
      </c>
      <c r="E343" s="1760">
        <v>0.15</v>
      </c>
      <c r="F343" s="1761">
        <v>0.15</v>
      </c>
    </row>
    <row r="344" spans="1:6" ht="14.25" thickBot="1">
      <c r="A344" s="1763" t="s">
        <v>2215</v>
      </c>
      <c r="B344" s="1770" t="s">
        <v>2223</v>
      </c>
      <c r="C344" s="1765">
        <v>0.15</v>
      </c>
      <c r="D344" s="1765">
        <v>0.15</v>
      </c>
      <c r="E344" s="1765">
        <v>0.15</v>
      </c>
      <c r="F344" s="1771">
        <v>0.15</v>
      </c>
    </row>
  </sheetData>
  <sheetProtection password="C66D" sheet="1" objects="1" scenarios="1"/>
  <mergeCells count="1">
    <mergeCell ref="A1:B1"/>
  </mergeCells>
  <phoneticPr fontId="14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C24" sqref="C24:C524"/>
    </sheetView>
  </sheetViews>
  <sheetFormatPr defaultColWidth="9" defaultRowHeight="12.75"/>
  <cols>
    <col min="1" max="1" width="9" style="2871"/>
    <col min="2" max="6" width="9" style="2871" customWidth="1"/>
    <col min="7" max="7" width="9" style="2909" customWidth="1"/>
    <col min="8" max="12" width="9" style="2871" customWidth="1"/>
    <col min="13" max="13" width="2.25" style="2871" customWidth="1"/>
    <col min="14" max="14" width="9" style="2909" customWidth="1"/>
    <col min="15" max="17" width="9" style="2871" customWidth="1"/>
    <col min="18" max="18" width="2.375" style="2871" customWidth="1"/>
    <col min="19" max="19" width="7.125" style="2909" customWidth="1"/>
    <col min="20" max="22" width="7.125" style="2871" customWidth="1"/>
    <col min="23" max="23" width="24" style="2871" customWidth="1"/>
    <col min="24" max="25" width="9" style="2871"/>
    <col min="26" max="27" width="11.625" style="2871" customWidth="1"/>
    <col min="28" max="28" width="9" style="2871"/>
    <col min="29" max="29" width="2" style="2871" customWidth="1"/>
    <col min="30" max="16384" width="9" style="2871"/>
  </cols>
  <sheetData>
    <row r="1" spans="1:34" s="2849" customFormat="1">
      <c r="B1" s="3917" t="s">
        <v>2551</v>
      </c>
      <c r="C1" s="3917"/>
      <c r="D1" s="3917"/>
      <c r="E1" s="3917"/>
      <c r="F1" s="3917"/>
      <c r="G1" s="3916" t="s">
        <v>2552</v>
      </c>
      <c r="H1" s="3916"/>
      <c r="I1" s="3916"/>
      <c r="J1" s="3916"/>
      <c r="K1" s="3916"/>
      <c r="L1" s="3916"/>
      <c r="N1" s="3916" t="s">
        <v>2553</v>
      </c>
      <c r="O1" s="3916"/>
      <c r="P1" s="3916"/>
      <c r="Q1" s="3916"/>
      <c r="S1" s="3916" t="s">
        <v>2554</v>
      </c>
      <c r="T1" s="3916"/>
      <c r="U1" s="3916"/>
      <c r="V1" s="3916"/>
      <c r="X1" s="3915" t="s">
        <v>2614</v>
      </c>
      <c r="Y1" s="3916"/>
      <c r="Z1" s="3916"/>
      <c r="AA1" s="3916"/>
      <c r="AB1" s="3916"/>
      <c r="AD1" s="3915" t="s">
        <v>2618</v>
      </c>
      <c r="AE1" s="3916"/>
      <c r="AF1" s="3916"/>
      <c r="AG1" s="3916"/>
      <c r="AH1" s="3916"/>
    </row>
    <row r="2" spans="1:34" s="2850" customFormat="1" ht="14.25" thickBot="1">
      <c r="B2" s="2851" t="s">
        <v>2555</v>
      </c>
      <c r="C2" s="2851" t="s">
        <v>2616</v>
      </c>
      <c r="D2" s="2852" t="s">
        <v>1634</v>
      </c>
      <c r="E2" s="2852" t="s">
        <v>1937</v>
      </c>
      <c r="F2" s="2851" t="s">
        <v>2617</v>
      </c>
      <c r="G2" s="2853"/>
      <c r="I2" s="2851" t="s">
        <v>2912</v>
      </c>
      <c r="J2" s="2852" t="s">
        <v>2914</v>
      </c>
      <c r="K2" s="2852" t="s">
        <v>2915</v>
      </c>
      <c r="L2" s="2851" t="s">
        <v>2916</v>
      </c>
      <c r="N2" s="2851" t="s">
        <v>2555</v>
      </c>
      <c r="O2" s="2852" t="s">
        <v>2913</v>
      </c>
      <c r="P2" s="2852" t="s">
        <v>1937</v>
      </c>
      <c r="Q2" s="2851" t="s">
        <v>2617</v>
      </c>
      <c r="S2" s="2851" t="s">
        <v>2555</v>
      </c>
      <c r="T2" s="2852" t="s">
        <v>2913</v>
      </c>
      <c r="U2" s="2852" t="s">
        <v>1937</v>
      </c>
      <c r="V2" s="2851" t="s">
        <v>2617</v>
      </c>
      <c r="X2" s="2851" t="s">
        <v>2555</v>
      </c>
      <c r="Y2" s="2851" t="s">
        <v>2616</v>
      </c>
      <c r="Z2" s="2852" t="s">
        <v>1634</v>
      </c>
      <c r="AA2" s="2852" t="s">
        <v>1937</v>
      </c>
      <c r="AB2" s="2851" t="s">
        <v>2617</v>
      </c>
      <c r="AD2" s="2851" t="s">
        <v>2555</v>
      </c>
      <c r="AE2" s="2851" t="s">
        <v>2616</v>
      </c>
      <c r="AF2" s="2852" t="s">
        <v>1634</v>
      </c>
      <c r="AG2" s="2852" t="s">
        <v>1937</v>
      </c>
      <c r="AH2" s="2851" t="s">
        <v>2617</v>
      </c>
    </row>
    <row r="3" spans="1:34" s="2860" customFormat="1" ht="14.25">
      <c r="A3" s="2854" t="s">
        <v>2923</v>
      </c>
      <c r="B3" s="2855"/>
      <c r="C3" s="2855"/>
      <c r="D3" s="2856"/>
      <c r="E3" s="2856"/>
      <c r="F3" s="2855"/>
      <c r="G3" s="2857"/>
      <c r="H3" s="2858"/>
      <c r="I3" s="2859">
        <f>ROUND(AVERAGE($I4:$I32),2)</f>
        <v>1.73</v>
      </c>
      <c r="J3" s="2859">
        <f>ROUND(AVERAGE($J4:$J32),2)</f>
        <v>1.1599999999999999</v>
      </c>
      <c r="K3" s="2859">
        <f>ROUND(AVERAGE($K4:$K32),2)</f>
        <v>1.9</v>
      </c>
      <c r="L3" s="2859">
        <f>ROUND(AVERAGE($L4:$L32),2)</f>
        <v>1.23</v>
      </c>
      <c r="N3" s="2857"/>
      <c r="S3" s="2857"/>
      <c r="W3" s="2861"/>
      <c r="X3" s="2862">
        <f>ROUND(SUMPRODUCT(PRODUCT(1+N3:N$31)),4)</f>
        <v>1.5652999999999999</v>
      </c>
      <c r="Y3" s="2862">
        <f>ROUND(SUMPRODUCT(PRODUCT(1+O3:O$31)),4)</f>
        <v>1.3472</v>
      </c>
      <c r="Z3" s="2862">
        <f t="shared" ref="Z3:Z29" si="0">Y3</f>
        <v>1.3472</v>
      </c>
      <c r="AA3" s="2862">
        <f>ROUND(SUMPRODUCT(PRODUCT(1+P3:P$31)),4)</f>
        <v>1.6335999999999999</v>
      </c>
      <c r="AB3" s="2862">
        <f>ROUND(SUMPRODUCT(PRODUCT(1+Q3:Q$31)),4)</f>
        <v>1.3880999999999999</v>
      </c>
      <c r="AD3" s="2863">
        <f>ROUND(AVERAGE(I3:I$32)/100,4)</f>
        <v>1.7299999999999999E-2</v>
      </c>
      <c r="AE3" s="2863">
        <f>ROUND(AVERAGE(J3:J$32)/100,4)</f>
        <v>1.1599999999999999E-2</v>
      </c>
      <c r="AF3" s="2863">
        <f t="shared" ref="AF3:AF30" si="1">AE3</f>
        <v>1.1599999999999999E-2</v>
      </c>
      <c r="AG3" s="2863">
        <f>ROUND(AVERAGE(K3:K$32)/100,4)</f>
        <v>1.9E-2</v>
      </c>
      <c r="AH3" s="2863">
        <f>ROUND(AVERAGE(L3:L$32)/100,4)</f>
        <v>1.23E-2</v>
      </c>
    </row>
    <row r="4" spans="1:34" s="2864" customFormat="1" ht="14.25">
      <c r="B4" s="2865"/>
      <c r="C4" s="2865"/>
      <c r="D4" s="2866"/>
      <c r="E4" s="2866"/>
      <c r="F4" s="2865"/>
      <c r="G4" s="2867"/>
      <c r="H4" s="2868"/>
      <c r="I4" s="2869"/>
      <c r="J4" s="2869"/>
      <c r="K4" s="2869"/>
      <c r="L4" s="2869"/>
      <c r="N4" s="2867"/>
      <c r="S4" s="2867"/>
      <c r="W4" s="2870"/>
      <c r="X4" s="2871"/>
      <c r="Y4" s="2871"/>
      <c r="Z4" s="2871"/>
      <c r="AA4" s="2871"/>
      <c r="AB4" s="2871"/>
      <c r="AD4" s="2872"/>
      <c r="AE4" s="2872"/>
      <c r="AF4" s="2872"/>
      <c r="AG4" s="2872"/>
      <c r="AH4" s="2872"/>
    </row>
    <row r="5" spans="1:34" s="2877" customFormat="1">
      <c r="A5" s="2873" t="s">
        <v>2992</v>
      </c>
      <c r="B5" s="2874">
        <f t="shared" ref="B5" si="2">B6*(1+N5)</f>
        <v>481.4103506697644</v>
      </c>
      <c r="C5" s="2874">
        <f t="shared" ref="C5" si="3">C6*(1+O5)</f>
        <v>347.29066026648707</v>
      </c>
      <c r="D5" s="2874">
        <f t="shared" ref="D5" si="4">C5</f>
        <v>347.29066026648707</v>
      </c>
      <c r="E5" s="2874">
        <f t="shared" ref="E5" si="5">E6*(1+P5)</f>
        <v>690.85977273901995</v>
      </c>
      <c r="F5" s="2874">
        <f t="shared" ref="F5" si="6">F6*(1+Q5)</f>
        <v>319.13136737000184</v>
      </c>
      <c r="G5" s="2867">
        <v>2020</v>
      </c>
      <c r="H5" s="2875">
        <v>4</v>
      </c>
      <c r="I5" s="2876">
        <v>0</v>
      </c>
      <c r="J5" s="2876">
        <v>0</v>
      </c>
      <c r="K5" s="2876">
        <v>0</v>
      </c>
      <c r="L5" s="2876">
        <v>0</v>
      </c>
      <c r="N5" s="2878">
        <f t="shared" ref="N5" si="7">I5/100</f>
        <v>0</v>
      </c>
      <c r="O5" s="2878">
        <f t="shared" ref="O5" si="8">J5/100</f>
        <v>0</v>
      </c>
      <c r="P5" s="2878">
        <f t="shared" ref="P5" si="9">K5/100</f>
        <v>0</v>
      </c>
      <c r="Q5" s="2878">
        <f t="shared" ref="Q5" si="10">L5/100</f>
        <v>0</v>
      </c>
      <c r="S5" s="2879"/>
      <c r="W5" s="2880" t="s">
        <v>2924</v>
      </c>
      <c r="X5" s="2881">
        <f>ROUND(IF(项目基本情况!B6="出让",SUMPRODUCT(PRODUCT(1+N5:N$32)),SUMPRODUCT(PRODUCT(1+N5:N$31))),4)</f>
        <v>1.5652999999999999</v>
      </c>
      <c r="Y5" s="2881">
        <f>ROUND(IF(项目基本情况!B6="出让",SUMPRODUCT(PRODUCT(1+O5:O$32)),SUMPRODUCT(PRODUCT(1+O5:O$31))),4)</f>
        <v>1.3472</v>
      </c>
      <c r="Z5" s="2881">
        <f t="shared" ref="Z5" si="11">Y5</f>
        <v>1.3472</v>
      </c>
      <c r="AA5" s="2881">
        <f>ROUND(IF(项目基本情况!B6="出让",SUMPRODUCT(PRODUCT(1+P5:P$32)),SUMPRODUCT(PRODUCT(1+P5:P$31))),4)</f>
        <v>1.6335999999999999</v>
      </c>
      <c r="AB5" s="2881">
        <f>ROUND(IF(项目基本情况!B6="出让",SUMPRODUCT(PRODUCT(1+Q5:Q$32)),SUMPRODUCT(PRODUCT(1+Q5:Q$31))),4)</f>
        <v>1.3880999999999999</v>
      </c>
      <c r="AD5" s="2882">
        <f>ROUND(AVERAGE(I5:I$32)/100,4)</f>
        <v>1.7299999999999999E-2</v>
      </c>
      <c r="AE5" s="2882">
        <f>ROUND(AVERAGE(J5:J$32)/100,4)</f>
        <v>1.1599999999999999E-2</v>
      </c>
      <c r="AF5" s="2882">
        <f t="shared" ref="AF5" si="12">AE5</f>
        <v>1.1599999999999999E-2</v>
      </c>
      <c r="AG5" s="2882">
        <f>ROUND(AVERAGE(K5:K$32)/100,4)</f>
        <v>1.9E-2</v>
      </c>
      <c r="AH5" s="2882">
        <f>ROUND(AVERAGE(L5:L$32)/100,4)</f>
        <v>1.23E-2</v>
      </c>
    </row>
    <row r="6" spans="1:34" s="2890" customFormat="1">
      <c r="A6" s="2883" t="s">
        <v>2991</v>
      </c>
      <c r="B6" s="2884">
        <f t="shared" ref="B6" si="13">B7*(1+N6)</f>
        <v>481.4103506697644</v>
      </c>
      <c r="C6" s="2884">
        <f t="shared" ref="C6" si="14">C7*(1+O6)</f>
        <v>347.29066026648707</v>
      </c>
      <c r="D6" s="2884">
        <f t="shared" ref="D6" si="15">C6</f>
        <v>347.29066026648707</v>
      </c>
      <c r="E6" s="2884">
        <f t="shared" ref="E6" si="16">E7*(1+P6)</f>
        <v>690.85977273901995</v>
      </c>
      <c r="F6" s="2884">
        <f t="shared" ref="F6" si="17">F7*(1+Q6)</f>
        <v>319.13136737000184</v>
      </c>
      <c r="G6" s="2867">
        <v>2020</v>
      </c>
      <c r="H6" s="2885">
        <v>3</v>
      </c>
      <c r="I6" s="2847">
        <v>0</v>
      </c>
      <c r="J6" s="2847">
        <v>0</v>
      </c>
      <c r="K6" s="2847">
        <v>0</v>
      </c>
      <c r="L6" s="2848">
        <v>0</v>
      </c>
      <c r="M6" s="2871"/>
      <c r="N6" s="2886">
        <f t="shared" ref="N6" si="18">I6/100</f>
        <v>0</v>
      </c>
      <c r="O6" s="2872">
        <f t="shared" ref="O6" si="19">J6/100</f>
        <v>0</v>
      </c>
      <c r="P6" s="2872">
        <f t="shared" ref="P6" si="20">K6/100</f>
        <v>0</v>
      </c>
      <c r="Q6" s="2872">
        <f t="shared" ref="Q6" si="21">L6/100</f>
        <v>0</v>
      </c>
      <c r="R6" s="2887"/>
      <c r="S6" s="2888"/>
      <c r="T6" s="2889"/>
      <c r="U6" s="2889"/>
      <c r="V6" s="2889"/>
      <c r="W6" s="2871"/>
      <c r="X6" s="2871">
        <f>ROUND(IF(项目基本情况!B7="出让",SUMPRODUCT(PRODUCT(1+N6:N$32)),SUMPRODUCT(PRODUCT(1+N6:N$31))),4)</f>
        <v>1.5652999999999999</v>
      </c>
      <c r="Y6" s="2871">
        <f>ROUND(IF(项目基本情况!B7="出让",SUMPRODUCT(PRODUCT(1+O6:O$32)),SUMPRODUCT(PRODUCT(1+O6:O$31))),4)</f>
        <v>1.3472</v>
      </c>
      <c r="Z6" s="2871">
        <f t="shared" ref="Z6" si="22">Y6</f>
        <v>1.3472</v>
      </c>
      <c r="AA6" s="2871">
        <f>ROUND(IF(项目基本情况!B7="出让",SUMPRODUCT(PRODUCT(1+P6:P$32)),SUMPRODUCT(PRODUCT(1+P6:P$31))),4)</f>
        <v>1.6335999999999999</v>
      </c>
      <c r="AB6" s="2871">
        <f>ROUND(IF(项目基本情况!B7="出让",SUMPRODUCT(PRODUCT(1+Q6:Q$32)),SUMPRODUCT(PRODUCT(1+Q6:Q$31))),4)</f>
        <v>1.3880999999999999</v>
      </c>
      <c r="AC6" s="2871"/>
      <c r="AD6" s="2872">
        <f>ROUND(AVERAGE(I6:I$32)/100,4)</f>
        <v>1.7899999999999999E-2</v>
      </c>
      <c r="AE6" s="2872">
        <f>ROUND(AVERAGE(J6:J$32)/100,4)</f>
        <v>1.2E-2</v>
      </c>
      <c r="AF6" s="2872">
        <f t="shared" ref="AF6" si="23">AE6</f>
        <v>1.2E-2</v>
      </c>
      <c r="AG6" s="2872">
        <f>ROUND(AVERAGE(K6:K$32)/100,4)</f>
        <v>1.9699999999999999E-2</v>
      </c>
      <c r="AH6" s="2872">
        <f>ROUND(AVERAGE(L6:L$32)/100,4)</f>
        <v>1.2699999999999999E-2</v>
      </c>
    </row>
    <row r="7" spans="1:34" s="2890" customFormat="1">
      <c r="A7" s="2883" t="s">
        <v>2953</v>
      </c>
      <c r="B7" s="2884">
        <f t="shared" ref="B7" si="24">B8*(1+N7)</f>
        <v>481.4103506697644</v>
      </c>
      <c r="C7" s="2884">
        <f t="shared" ref="C7" si="25">C8*(1+O7)</f>
        <v>347.29066026648707</v>
      </c>
      <c r="D7" s="2884">
        <f t="shared" ref="D7" si="26">C7</f>
        <v>347.29066026648707</v>
      </c>
      <c r="E7" s="2884">
        <f t="shared" ref="E7" si="27">E8*(1+P7)</f>
        <v>690.85977273901995</v>
      </c>
      <c r="F7" s="2884">
        <f t="shared" ref="F7" si="28">F8*(1+Q7)</f>
        <v>319.13136737000184</v>
      </c>
      <c r="G7" s="2867">
        <v>2020</v>
      </c>
      <c r="H7" s="2885">
        <v>2</v>
      </c>
      <c r="I7" s="2847">
        <v>0.31</v>
      </c>
      <c r="J7" s="2847">
        <v>-0.78</v>
      </c>
      <c r="K7" s="2847">
        <v>0.5</v>
      </c>
      <c r="L7" s="2848">
        <v>0.47</v>
      </c>
      <c r="M7" s="2871"/>
      <c r="N7" s="2886">
        <f t="shared" ref="N7" si="29">I7/100</f>
        <v>3.0999999999999999E-3</v>
      </c>
      <c r="O7" s="2872">
        <f t="shared" ref="O7" si="30">J7/100</f>
        <v>-7.8000000000000005E-3</v>
      </c>
      <c r="P7" s="2872">
        <f t="shared" ref="P7" si="31">K7/100</f>
        <v>5.0000000000000001E-3</v>
      </c>
      <c r="Q7" s="2872">
        <f t="shared" ref="Q7" si="32">L7/100</f>
        <v>4.6999999999999993E-3</v>
      </c>
      <c r="R7" s="2887"/>
      <c r="S7" s="2888"/>
      <c r="T7" s="2889"/>
      <c r="U7" s="2889"/>
      <c r="V7" s="2889"/>
      <c r="W7" s="2871"/>
      <c r="X7" s="2871">
        <f>ROUND(IF(项目基本情况!B8="出让",SUMPRODUCT(PRODUCT(1+N7:N$32)),SUMPRODUCT(PRODUCT(1+N7:N$31))),4)</f>
        <v>1.5652999999999999</v>
      </c>
      <c r="Y7" s="2871">
        <f>ROUND(IF(项目基本情况!B8="出让",SUMPRODUCT(PRODUCT(1+O7:O$32)),SUMPRODUCT(PRODUCT(1+O7:O$31))),4)</f>
        <v>1.3472</v>
      </c>
      <c r="Z7" s="2871">
        <f t="shared" ref="Z7" si="33">Y7</f>
        <v>1.3472</v>
      </c>
      <c r="AA7" s="2871">
        <f>ROUND(IF(项目基本情况!B8="出让",SUMPRODUCT(PRODUCT(1+P7:P$32)),SUMPRODUCT(PRODUCT(1+P7:P$31))),4)</f>
        <v>1.6335999999999999</v>
      </c>
      <c r="AB7" s="2871">
        <f>ROUND(IF(项目基本情况!B8="出让",SUMPRODUCT(PRODUCT(1+Q7:Q$32)),SUMPRODUCT(PRODUCT(1+Q7:Q$31))),4)</f>
        <v>1.3880999999999999</v>
      </c>
      <c r="AC7" s="2871"/>
      <c r="AD7" s="2872">
        <f>ROUND(AVERAGE(I7:I$32)/100,4)</f>
        <v>1.8599999999999998E-2</v>
      </c>
      <c r="AE7" s="2872">
        <f>ROUND(AVERAGE(J7:J$32)/100,4)</f>
        <v>1.2500000000000001E-2</v>
      </c>
      <c r="AF7" s="2872">
        <f t="shared" ref="AF7" si="34">AE7</f>
        <v>1.2500000000000001E-2</v>
      </c>
      <c r="AG7" s="2872">
        <f>ROUND(AVERAGE(K7:K$32)/100,4)</f>
        <v>2.0400000000000001E-2</v>
      </c>
      <c r="AH7" s="2872">
        <f>ROUND(AVERAGE(L7:L$32)/100,4)</f>
        <v>1.32E-2</v>
      </c>
    </row>
    <row r="8" spans="1:34" s="2890" customFormat="1">
      <c r="A8" s="2883" t="s">
        <v>2951</v>
      </c>
      <c r="B8" s="2884">
        <f t="shared" ref="B8" si="35">B9*(1+N8)</f>
        <v>479.92259063878413</v>
      </c>
      <c r="C8" s="2884">
        <f t="shared" ref="C8" si="36">C9*(1+O8)</f>
        <v>350.02082268341775</v>
      </c>
      <c r="D8" s="2884">
        <f t="shared" ref="D8" si="37">C8</f>
        <v>350.02082268341775</v>
      </c>
      <c r="E8" s="2884">
        <f t="shared" ref="E8" si="38">E9*(1+P8)</f>
        <v>687.42265944181099</v>
      </c>
      <c r="F8" s="2884">
        <f t="shared" ref="F8" si="39">F9*(1+Q8)</f>
        <v>317.63846657708956</v>
      </c>
      <c r="G8" s="2867">
        <v>2020</v>
      </c>
      <c r="H8" s="2885">
        <v>1</v>
      </c>
      <c r="I8" s="2847">
        <v>0.12</v>
      </c>
      <c r="J8" s="2847">
        <v>-0.4</v>
      </c>
      <c r="K8" s="2847">
        <v>0.21</v>
      </c>
      <c r="L8" s="2848">
        <v>0.27</v>
      </c>
      <c r="M8" s="2871"/>
      <c r="N8" s="2886">
        <f t="shared" ref="N8" si="40">I8/100</f>
        <v>1.1999999999999999E-3</v>
      </c>
      <c r="O8" s="2872">
        <f t="shared" ref="O8" si="41">J8/100</f>
        <v>-4.0000000000000001E-3</v>
      </c>
      <c r="P8" s="2872">
        <f t="shared" ref="P8" si="42">K8/100</f>
        <v>2.0999999999999999E-3</v>
      </c>
      <c r="Q8" s="2872">
        <f t="shared" ref="Q8" si="43">L8/100</f>
        <v>2.7000000000000001E-3</v>
      </c>
      <c r="R8" s="2887"/>
      <c r="S8" s="2888">
        <f>B8/B9-1</f>
        <v>1.2000000000000899E-3</v>
      </c>
      <c r="T8" s="2889">
        <f>C8/C9-1</f>
        <v>-4.0000000000000036E-3</v>
      </c>
      <c r="U8" s="2889">
        <f>E8/E9-1</f>
        <v>2.0999999999999908E-3</v>
      </c>
      <c r="V8" s="2889">
        <f>F8/F9-1</f>
        <v>2.6999999999999247E-3</v>
      </c>
      <c r="W8" s="2871"/>
      <c r="X8" s="2871">
        <f>ROUND(IF(项目基本情况!B8="出让",SUMPRODUCT(PRODUCT(1+N8:N$32)),SUMPRODUCT(PRODUCT(1+N8:N$31))),4)</f>
        <v>1.5605</v>
      </c>
      <c r="Y8" s="2871">
        <f>ROUND(IF(项目基本情况!B8="出让",SUMPRODUCT(PRODUCT(1+O8:O$32)),SUMPRODUCT(PRODUCT(1+O8:O$31))),4)</f>
        <v>1.3577999999999999</v>
      </c>
      <c r="Z8" s="2871">
        <f t="shared" ref="Z8" si="44">Y8</f>
        <v>1.3577999999999999</v>
      </c>
      <c r="AA8" s="2871">
        <f>ROUND(IF(项目基本情况!B8="出让",SUMPRODUCT(PRODUCT(1+P8:P$32)),SUMPRODUCT(PRODUCT(1+P8:P$31))),4)</f>
        <v>1.6254999999999999</v>
      </c>
      <c r="AB8" s="2871">
        <f>ROUND(IF(项目基本情况!B8="出让",SUMPRODUCT(PRODUCT(1+Q8:Q$32)),SUMPRODUCT(PRODUCT(1+Q8:Q$31))),4)</f>
        <v>1.3815999999999999</v>
      </c>
      <c r="AC8" s="2871"/>
      <c r="AD8" s="2872">
        <f>ROUND(AVERAGE(I8:I$32)/100,4)</f>
        <v>1.9199999999999998E-2</v>
      </c>
      <c r="AE8" s="2872">
        <f>ROUND(AVERAGE(J8:J$32)/100,4)</f>
        <v>1.3299999999999999E-2</v>
      </c>
      <c r="AF8" s="2872">
        <f t="shared" ref="AF8" si="45">AE8</f>
        <v>1.3299999999999999E-2</v>
      </c>
      <c r="AG8" s="2872">
        <f>ROUND(AVERAGE(K8:K$32)/100,4)</f>
        <v>2.1100000000000001E-2</v>
      </c>
      <c r="AH8" s="2872">
        <f>ROUND(AVERAGE(L8:L$32)/100,4)</f>
        <v>1.3599999999999999E-2</v>
      </c>
    </row>
    <row r="9" spans="1:34" s="2890" customFormat="1">
      <c r="A9" s="2883" t="s">
        <v>2948</v>
      </c>
      <c r="B9" s="2884">
        <f t="shared" ref="B9" si="46">B10*(1+N9)</f>
        <v>479.34737379023579</v>
      </c>
      <c r="C9" s="2884">
        <f t="shared" ref="C9" si="47">C10*(1+O9)</f>
        <v>351.4265287986122</v>
      </c>
      <c r="D9" s="2884">
        <f t="shared" ref="D9" si="48">C9</f>
        <v>351.4265287986122</v>
      </c>
      <c r="E9" s="2884">
        <f t="shared" ref="E9" si="49">E10*(1+P9)</f>
        <v>685.98209703803116</v>
      </c>
      <c r="F9" s="2884">
        <f t="shared" ref="F9" si="50">F10*(1+Q9)</f>
        <v>316.78315206651001</v>
      </c>
      <c r="G9" s="2867">
        <v>2019</v>
      </c>
      <c r="H9" s="2885">
        <v>4</v>
      </c>
      <c r="I9" s="2885">
        <v>0.45</v>
      </c>
      <c r="J9" s="2885">
        <v>-0.12</v>
      </c>
      <c r="K9" s="2885">
        <v>0.54</v>
      </c>
      <c r="L9" s="2891">
        <v>0.48</v>
      </c>
      <c r="M9" s="2871"/>
      <c r="N9" s="2886">
        <f t="shared" ref="N9" si="51">I9/100</f>
        <v>4.5000000000000005E-3</v>
      </c>
      <c r="O9" s="2872">
        <f t="shared" ref="O9" si="52">J9/100</f>
        <v>-1.1999999999999999E-3</v>
      </c>
      <c r="P9" s="2872">
        <f t="shared" ref="P9" si="53">K9/100</f>
        <v>5.4000000000000003E-3</v>
      </c>
      <c r="Q9" s="2872">
        <f t="shared" ref="Q9" si="54">L9/100</f>
        <v>4.7999999999999996E-3</v>
      </c>
      <c r="R9" s="2887"/>
      <c r="S9" s="2888"/>
      <c r="T9" s="2889"/>
      <c r="U9" s="2889"/>
      <c r="V9" s="2889"/>
      <c r="W9" s="2871"/>
      <c r="X9" s="2871">
        <f>ROUND(IF(项目基本情况!B8="出让",SUMPRODUCT(PRODUCT(1+N9:N$32)),SUMPRODUCT(PRODUCT(1+N9:N$31))),4)</f>
        <v>1.5586</v>
      </c>
      <c r="Y9" s="2871">
        <f>ROUND(IF(项目基本情况!B8="出让",SUMPRODUCT(PRODUCT(1+O9:O$32)),SUMPRODUCT(PRODUCT(1+O9:O$31))),4)</f>
        <v>1.3633</v>
      </c>
      <c r="Z9" s="2871">
        <f t="shared" ref="Z9" si="55">Y9</f>
        <v>1.3633</v>
      </c>
      <c r="AA9" s="2871">
        <f>ROUND(IF(项目基本情况!B8="出让",SUMPRODUCT(PRODUCT(1+P9:P$32)),SUMPRODUCT(PRODUCT(1+P9:P$31))),4)</f>
        <v>1.6221000000000001</v>
      </c>
      <c r="AB9" s="2871">
        <f>ROUND(IF(项目基本情况!B8="出让",SUMPRODUCT(PRODUCT(1+Q9:Q$32)),SUMPRODUCT(PRODUCT(1+Q9:Q$31))),4)</f>
        <v>1.3777999999999999</v>
      </c>
      <c r="AC9" s="2871"/>
      <c r="AD9" s="2872">
        <f>ROUND(AVERAGE(I9:I$32)/100,4)</f>
        <v>0.02</v>
      </c>
      <c r="AE9" s="2872">
        <f>ROUND(AVERAGE(J9:J$32)/100,4)</f>
        <v>1.4E-2</v>
      </c>
      <c r="AF9" s="2872">
        <f t="shared" ref="AF9" si="56">AE9</f>
        <v>1.4E-2</v>
      </c>
      <c r="AG9" s="2872">
        <f>ROUND(AVERAGE(K9:K$32)/100,4)</f>
        <v>2.1899999999999999E-2</v>
      </c>
      <c r="AH9" s="2872">
        <f>ROUND(AVERAGE(L9:L$32)/100,4)</f>
        <v>1.4E-2</v>
      </c>
    </row>
    <row r="10" spans="1:34" s="2890" customFormat="1" ht="13.5" thickBot="1">
      <c r="A10" s="2883" t="s">
        <v>2947</v>
      </c>
      <c r="B10" s="2884">
        <f t="shared" ref="B10" si="57">B11*(1+N10)</f>
        <v>477.19997390765138</v>
      </c>
      <c r="C10" s="2884">
        <f t="shared" ref="C10" si="58">C11*(1+O10)</f>
        <v>351.84874729536665</v>
      </c>
      <c r="D10" s="2884">
        <f t="shared" ref="D10" si="59">C10</f>
        <v>351.84874729536665</v>
      </c>
      <c r="E10" s="2884">
        <f t="shared" ref="E10" si="60">E11*(1+P10)</f>
        <v>682.29768951465201</v>
      </c>
      <c r="F10" s="2884">
        <f t="shared" ref="F10" si="61">F11*(1+Q10)</f>
        <v>315.26985675409043</v>
      </c>
      <c r="G10" s="2867">
        <v>2019</v>
      </c>
      <c r="H10" s="2885">
        <v>3</v>
      </c>
      <c r="I10" s="2885">
        <v>0.61</v>
      </c>
      <c r="J10" s="2885">
        <v>0.67</v>
      </c>
      <c r="K10" s="2885">
        <v>0.6</v>
      </c>
      <c r="L10" s="2891">
        <v>1.03</v>
      </c>
      <c r="M10" s="2871"/>
      <c r="N10" s="2886">
        <f t="shared" ref="N10" si="62">I10/100</f>
        <v>6.0999999999999995E-3</v>
      </c>
      <c r="O10" s="2872">
        <f t="shared" ref="O10" si="63">J10/100</f>
        <v>6.7000000000000002E-3</v>
      </c>
      <c r="P10" s="2872">
        <f t="shared" ref="P10" si="64">K10/100</f>
        <v>6.0000000000000001E-3</v>
      </c>
      <c r="Q10" s="2872">
        <f t="shared" ref="Q10" si="65">L10/100</f>
        <v>1.03E-2</v>
      </c>
      <c r="R10" s="2887"/>
      <c r="S10" s="2888"/>
      <c r="T10" s="2889"/>
      <c r="U10" s="2889"/>
      <c r="V10" s="2889"/>
      <c r="W10" s="2871"/>
      <c r="X10" s="2871">
        <f>ROUND(IF(项目基本情况!B8="出让",SUMPRODUCT(PRODUCT(1+N10:N$32)),SUMPRODUCT(PRODUCT(1+N10:N$31))),4)</f>
        <v>1.5516000000000001</v>
      </c>
      <c r="Y10" s="2871">
        <f>ROUND(IF(项目基本情况!B8="出让",SUMPRODUCT(PRODUCT(1+O10:O$32)),SUMPRODUCT(PRODUCT(1+O10:O$31))),4)</f>
        <v>1.3649</v>
      </c>
      <c r="Z10" s="2871">
        <f t="shared" ref="Z10" si="66">Y10</f>
        <v>1.3649</v>
      </c>
      <c r="AA10" s="2871">
        <f>ROUND(IF(项目基本情况!B8="出让",SUMPRODUCT(PRODUCT(1+P10:P$32)),SUMPRODUCT(PRODUCT(1+P10:P$31))),4)</f>
        <v>1.6133999999999999</v>
      </c>
      <c r="AB10" s="2871">
        <f>ROUND(IF(项目基本情况!B8="出让",SUMPRODUCT(PRODUCT(1+Q10:Q$32)),SUMPRODUCT(PRODUCT(1+Q10:Q$31))),4)</f>
        <v>1.3713</v>
      </c>
      <c r="AC10" s="2871"/>
      <c r="AD10" s="2872">
        <f>ROUND(AVERAGE(I10:I$32)/100,4)</f>
        <v>2.07E-2</v>
      </c>
      <c r="AE10" s="2872">
        <f>ROUND(AVERAGE(J10:J$32)/100,4)</f>
        <v>1.47E-2</v>
      </c>
      <c r="AF10" s="2872">
        <f t="shared" ref="AF10" si="67">AE10</f>
        <v>1.47E-2</v>
      </c>
      <c r="AG10" s="2872">
        <f>ROUND(AVERAGE(K10:K$32)/100,4)</f>
        <v>2.2599999999999999E-2</v>
      </c>
      <c r="AH10" s="2872">
        <f>ROUND(AVERAGE(L10:L$32)/100,4)</f>
        <v>1.44E-2</v>
      </c>
    </row>
    <row r="11" spans="1:34" s="2890" customFormat="1">
      <c r="A11" s="2883" t="s">
        <v>2944</v>
      </c>
      <c r="B11" s="2884">
        <f t="shared" ref="B11:B16" si="68">B12*(1+N11)</f>
        <v>474.30670301923408</v>
      </c>
      <c r="C11" s="2884">
        <f t="shared" ref="C11" si="69">C12*(1+O11)</f>
        <v>349.50705005996491</v>
      </c>
      <c r="D11" s="2884">
        <f t="shared" ref="D11" si="70">C11</f>
        <v>349.50705005996491</v>
      </c>
      <c r="E11" s="2884">
        <f t="shared" ref="E11" si="71">E12*(1+P11)</f>
        <v>678.22831959706957</v>
      </c>
      <c r="F11" s="2884">
        <f t="shared" ref="F11" si="72">F12*(1+Q11)</f>
        <v>312.0556832169558</v>
      </c>
      <c r="G11" s="2867">
        <v>2019</v>
      </c>
      <c r="H11" s="2892">
        <v>2</v>
      </c>
      <c r="I11" s="2892">
        <v>1.53</v>
      </c>
      <c r="J11" s="2892">
        <v>1.01</v>
      </c>
      <c r="K11" s="2892">
        <v>1.62</v>
      </c>
      <c r="L11" s="2893">
        <v>1.25</v>
      </c>
      <c r="M11" s="2871"/>
      <c r="N11" s="2886">
        <f t="shared" ref="N11" si="73">I11/100</f>
        <v>1.5300000000000001E-2</v>
      </c>
      <c r="O11" s="2872">
        <f t="shared" ref="O11" si="74">J11/100</f>
        <v>1.01E-2</v>
      </c>
      <c r="P11" s="2872">
        <f t="shared" ref="P11" si="75">K11/100</f>
        <v>1.6200000000000003E-2</v>
      </c>
      <c r="Q11" s="2872">
        <f t="shared" ref="Q11" si="76">L11/100</f>
        <v>1.2500000000000001E-2</v>
      </c>
      <c r="R11" s="2887"/>
      <c r="S11" s="2888"/>
      <c r="T11" s="2889"/>
      <c r="U11" s="2889"/>
      <c r="V11" s="2889"/>
      <c r="W11" s="2871"/>
      <c r="X11" s="2871">
        <f>ROUND(IF(项目基本情况!B8="出让",SUMPRODUCT(PRODUCT(1+N11:N$32)),SUMPRODUCT(PRODUCT(1+N11:N$31))),4)</f>
        <v>1.5422</v>
      </c>
      <c r="Y11" s="2871">
        <f>ROUND(IF(项目基本情况!B8="出让",SUMPRODUCT(PRODUCT(1+O11:O$32)),SUMPRODUCT(PRODUCT(1+O11:O$31))),4)</f>
        <v>1.3557999999999999</v>
      </c>
      <c r="Z11" s="2871">
        <f t="shared" ref="Z11" si="77">Y11</f>
        <v>1.3557999999999999</v>
      </c>
      <c r="AA11" s="2871">
        <f>ROUND(IF(项目基本情况!B8="出让",SUMPRODUCT(PRODUCT(1+P11:P$32)),SUMPRODUCT(PRODUCT(1+P11:P$31))),4)</f>
        <v>1.6036999999999999</v>
      </c>
      <c r="AB11" s="2871">
        <f>ROUND(IF(项目基本情况!B8="出让",SUMPRODUCT(PRODUCT(1+Q11:Q$32)),SUMPRODUCT(PRODUCT(1+Q11:Q$31))),4)</f>
        <v>1.3573</v>
      </c>
      <c r="AC11" s="2871"/>
      <c r="AD11" s="2872">
        <f>ROUND(AVERAGE(I11:I$32)/100,4)</f>
        <v>2.1299999999999999E-2</v>
      </c>
      <c r="AE11" s="2872">
        <f>ROUND(AVERAGE(J11:J$32)/100,4)</f>
        <v>1.4999999999999999E-2</v>
      </c>
      <c r="AF11" s="2872">
        <f t="shared" ref="AF11" si="78">AE11</f>
        <v>1.4999999999999999E-2</v>
      </c>
      <c r="AG11" s="2872">
        <f>ROUND(AVERAGE(K11:K$32)/100,4)</f>
        <v>2.3300000000000001E-2</v>
      </c>
      <c r="AH11" s="2872">
        <f>ROUND(AVERAGE(L11:L$32)/100,4)</f>
        <v>1.46E-2</v>
      </c>
    </row>
    <row r="12" spans="1:34" s="2890" customFormat="1" ht="13.5" thickBot="1">
      <c r="A12" s="2883" t="s">
        <v>2943</v>
      </c>
      <c r="B12" s="2884">
        <f t="shared" si="68"/>
        <v>467.15916775261894</v>
      </c>
      <c r="C12" s="2884">
        <f t="shared" ref="C12" si="79">C13*(1+O12)</f>
        <v>346.01232557169084</v>
      </c>
      <c r="D12" s="2884">
        <f t="shared" ref="D12" si="80">C12</f>
        <v>346.01232557169084</v>
      </c>
      <c r="E12" s="2884">
        <f t="shared" ref="E12" si="81">E13*(1+P12)</f>
        <v>667.41617752122568</v>
      </c>
      <c r="F12" s="2884">
        <f t="shared" ref="F12" si="82">F13*(1+Q12)</f>
        <v>308.20314391798104</v>
      </c>
      <c r="G12" s="2867">
        <v>2019</v>
      </c>
      <c r="H12" s="2885">
        <v>1</v>
      </c>
      <c r="I12" s="2885">
        <v>0.6</v>
      </c>
      <c r="J12" s="2885">
        <v>0.37</v>
      </c>
      <c r="K12" s="2885">
        <v>0.63</v>
      </c>
      <c r="L12" s="2891">
        <v>1.1299999999999999</v>
      </c>
      <c r="M12" s="2871"/>
      <c r="N12" s="2886">
        <f t="shared" ref="N12" si="83">I12/100</f>
        <v>6.0000000000000001E-3</v>
      </c>
      <c r="O12" s="2872">
        <f t="shared" ref="O12" si="84">J12/100</f>
        <v>3.7000000000000002E-3</v>
      </c>
      <c r="P12" s="2872">
        <f t="shared" ref="P12" si="85">K12/100</f>
        <v>6.3E-3</v>
      </c>
      <c r="Q12" s="2872">
        <f t="shared" ref="Q12" si="86">L12/100</f>
        <v>1.1299999999999999E-2</v>
      </c>
      <c r="R12" s="2887"/>
      <c r="S12" s="2888">
        <f>B12/B13-1</f>
        <v>6.0000000000000053E-3</v>
      </c>
      <c r="T12" s="2889">
        <f>C12/C13-1</f>
        <v>3.7000000000000366E-3</v>
      </c>
      <c r="U12" s="2889">
        <f>E12/E13-1</f>
        <v>6.2999999999999723E-3</v>
      </c>
      <c r="V12" s="2889">
        <f>F12/F13-1</f>
        <v>1.1300000000000088E-2</v>
      </c>
      <c r="W12" s="2871"/>
      <c r="X12" s="2871">
        <f>ROUND(IF(项目基本情况!B8="出让",SUMPRODUCT(PRODUCT(1+N12:N$32)),SUMPRODUCT(PRODUCT(1+N12:N$31))),4)</f>
        <v>1.5189999999999999</v>
      </c>
      <c r="Y12" s="2871">
        <f>ROUND(IF(项目基本情况!B8="出让",SUMPRODUCT(PRODUCT(1+O12:O$32)),SUMPRODUCT(PRODUCT(1+O12:O$31))),4)</f>
        <v>1.3423</v>
      </c>
      <c r="Z12" s="2871">
        <f t="shared" ref="Z12" si="87">Y12</f>
        <v>1.3423</v>
      </c>
      <c r="AA12" s="2871">
        <f>ROUND(IF(项目基本情况!B8="出让",SUMPRODUCT(PRODUCT(1+P12:P$32)),SUMPRODUCT(PRODUCT(1+P12:P$31))),4)</f>
        <v>1.5782</v>
      </c>
      <c r="AB12" s="2871">
        <f>ROUND(IF(项目基本情况!B8="出让",SUMPRODUCT(PRODUCT(1+Q12:Q$32)),SUMPRODUCT(PRODUCT(1+Q12:Q$31))),4)</f>
        <v>1.3405</v>
      </c>
      <c r="AC12" s="2871"/>
      <c r="AD12" s="2872">
        <f>ROUND(AVERAGE(I12:I$32)/100,4)</f>
        <v>2.1600000000000001E-2</v>
      </c>
      <c r="AE12" s="2872">
        <f>ROUND(AVERAGE(J12:J$32)/100,4)</f>
        <v>1.5299999999999999E-2</v>
      </c>
      <c r="AF12" s="2872">
        <f t="shared" ref="AF12" si="88">AE12</f>
        <v>1.5299999999999999E-2</v>
      </c>
      <c r="AG12" s="2872">
        <f>ROUND(AVERAGE(K12:K$32)/100,4)</f>
        <v>2.3699999999999999E-2</v>
      </c>
      <c r="AH12" s="2872">
        <f>ROUND(AVERAGE(L12:L$32)/100,4)</f>
        <v>1.47E-2</v>
      </c>
    </row>
    <row r="13" spans="1:34" s="2890" customFormat="1">
      <c r="A13" s="2883" t="s">
        <v>2940</v>
      </c>
      <c r="B13" s="2894">
        <f t="shared" si="68"/>
        <v>464.37293017158942</v>
      </c>
      <c r="C13" s="2894">
        <f t="shared" ref="C13" si="89">C14*(1+O13)</f>
        <v>344.73679941385956</v>
      </c>
      <c r="D13" s="2894">
        <f t="shared" ref="D13" si="90">C13</f>
        <v>344.73679941385956</v>
      </c>
      <c r="E13" s="2894">
        <f t="shared" ref="E13" si="91">E14*(1+P13)</f>
        <v>663.2377795103107</v>
      </c>
      <c r="F13" s="2895">
        <f t="shared" ref="F13" si="92">F14*(1+Q13)</f>
        <v>304.75936311478398</v>
      </c>
      <c r="G13" s="3919">
        <v>2018</v>
      </c>
      <c r="H13" s="2892">
        <v>4</v>
      </c>
      <c r="I13" s="2892">
        <v>0.96</v>
      </c>
      <c r="J13" s="2892">
        <v>1.03</v>
      </c>
      <c r="K13" s="2892">
        <v>0.92</v>
      </c>
      <c r="L13" s="2893">
        <v>1.29</v>
      </c>
      <c r="M13" s="2871"/>
      <c r="N13" s="2886">
        <f t="shared" ref="N13" si="93">I13/100</f>
        <v>9.5999999999999992E-3</v>
      </c>
      <c r="O13" s="2872">
        <f t="shared" ref="O13" si="94">J13/100</f>
        <v>1.03E-2</v>
      </c>
      <c r="P13" s="2872">
        <f t="shared" ref="P13" si="95">K13/100</f>
        <v>9.1999999999999998E-3</v>
      </c>
      <c r="Q13" s="2872">
        <f t="shared" ref="Q13" si="96">L13/100</f>
        <v>1.29E-2</v>
      </c>
      <c r="R13" s="2887"/>
      <c r="S13" s="2896"/>
      <c r="T13" s="2897"/>
      <c r="U13" s="2897"/>
      <c r="V13" s="2897"/>
      <c r="W13" s="2871"/>
      <c r="X13" s="2871">
        <f>ROUND(SUMPRODUCT(PRODUCT(1+N13:N$31)),4)</f>
        <v>1.5099</v>
      </c>
      <c r="Y13" s="2871">
        <f>ROUND(SUMPRODUCT(PRODUCT(1+O13:O$31)),4)</f>
        <v>1.3372999999999999</v>
      </c>
      <c r="Z13" s="2871">
        <f t="shared" ref="Z13" si="97">Y13</f>
        <v>1.3372999999999999</v>
      </c>
      <c r="AA13" s="2871">
        <f>ROUND(SUMPRODUCT(PRODUCT(1+P13:P$31)),4)</f>
        <v>1.5683</v>
      </c>
      <c r="AB13" s="2871">
        <f>ROUND(SUMPRODUCT(PRODUCT(1+Q13:Q$31)),4)</f>
        <v>1.3255999999999999</v>
      </c>
      <c r="AC13" s="2871"/>
      <c r="AD13" s="2872">
        <f>ROUND(AVERAGE(I13:I$32)/100,4)</f>
        <v>2.24E-2</v>
      </c>
      <c r="AE13" s="2872">
        <f>ROUND(AVERAGE(J13:J$32)/100,4)</f>
        <v>1.5800000000000002E-2</v>
      </c>
      <c r="AF13" s="2872">
        <f t="shared" ref="AF13" si="98">AE13</f>
        <v>1.5800000000000002E-2</v>
      </c>
      <c r="AG13" s="2872">
        <f>ROUND(AVERAGE(K13:K$32)/100,4)</f>
        <v>2.4500000000000001E-2</v>
      </c>
      <c r="AH13" s="2872">
        <f>ROUND(AVERAGE(L13:L$32)/100,4)</f>
        <v>1.49E-2</v>
      </c>
    </row>
    <row r="14" spans="1:34" s="2890" customFormat="1" ht="14.45" customHeight="1">
      <c r="A14" s="2883" t="s">
        <v>2933</v>
      </c>
      <c r="B14" s="2884">
        <f t="shared" si="68"/>
        <v>459.95733971036987</v>
      </c>
      <c r="C14" s="2884">
        <f t="shared" ref="C14" si="99">C15*(1+O14)</f>
        <v>341.22221064422405</v>
      </c>
      <c r="D14" s="2884">
        <f t="shared" ref="D14" si="100">C14</f>
        <v>341.22221064422405</v>
      </c>
      <c r="E14" s="2884">
        <f t="shared" ref="E14" si="101">E15*(1+P14)</f>
        <v>657.19161663724799</v>
      </c>
      <c r="F14" s="2884">
        <f t="shared" ref="F14" si="102">F15*(1+Q14)</f>
        <v>300.87803644464805</v>
      </c>
      <c r="G14" s="3919"/>
      <c r="H14" s="2885">
        <v>3</v>
      </c>
      <c r="I14" s="2885">
        <v>1.51</v>
      </c>
      <c r="J14" s="2885">
        <v>1.41</v>
      </c>
      <c r="K14" s="2885">
        <v>1.52</v>
      </c>
      <c r="L14" s="2891">
        <v>1.74</v>
      </c>
      <c r="M14" s="2871"/>
      <c r="N14" s="2886">
        <f t="shared" ref="N14" si="103">I14/100</f>
        <v>1.5100000000000001E-2</v>
      </c>
      <c r="O14" s="2872">
        <f t="shared" ref="O14" si="104">J14/100</f>
        <v>1.41E-2</v>
      </c>
      <c r="P14" s="2872">
        <f t="shared" ref="P14" si="105">K14/100</f>
        <v>1.52E-2</v>
      </c>
      <c r="Q14" s="2872">
        <f t="shared" ref="Q14" si="106">L14/100</f>
        <v>1.7399999999999999E-2</v>
      </c>
      <c r="R14" s="2887"/>
      <c r="S14" s="2886"/>
      <c r="T14" s="2872"/>
      <c r="U14" s="2872"/>
      <c r="V14" s="2872"/>
      <c r="W14" s="2871"/>
      <c r="X14" s="2871">
        <f>ROUND(SUMPRODUCT(PRODUCT(1+N14:N$31)),4)</f>
        <v>1.4956</v>
      </c>
      <c r="Y14" s="2871">
        <f>ROUND(SUMPRODUCT(PRODUCT(1+O14:O$31)),4)</f>
        <v>1.3237000000000001</v>
      </c>
      <c r="Z14" s="2871">
        <f t="shared" ref="Z14" si="107">Y14</f>
        <v>1.3237000000000001</v>
      </c>
      <c r="AA14" s="2871">
        <f>ROUND(SUMPRODUCT(PRODUCT(1+P14:P$31)),4)</f>
        <v>1.554</v>
      </c>
      <c r="AB14" s="2871">
        <f>ROUND(SUMPRODUCT(PRODUCT(1+Q14:Q$31)),4)</f>
        <v>1.3087</v>
      </c>
      <c r="AC14" s="2871"/>
      <c r="AD14" s="2872">
        <f>ROUND(AVERAGE(I14:I$32)/100,4)</f>
        <v>2.3099999999999999E-2</v>
      </c>
      <c r="AE14" s="2872">
        <f>ROUND(AVERAGE(J14:J$32)/100,4)</f>
        <v>1.61E-2</v>
      </c>
      <c r="AF14" s="2872">
        <f t="shared" ref="AF14" si="108">AE14</f>
        <v>1.61E-2</v>
      </c>
      <c r="AG14" s="2872">
        <f>ROUND(AVERAGE(K14:K$32)/100,4)</f>
        <v>2.53E-2</v>
      </c>
      <c r="AH14" s="2872">
        <f>ROUND(AVERAGE(L14:L$32)/100,4)</f>
        <v>1.4999999999999999E-2</v>
      </c>
    </row>
    <row r="15" spans="1:34" s="2890" customFormat="1" ht="14.45" customHeight="1">
      <c r="A15" s="2883" t="s">
        <v>2934</v>
      </c>
      <c r="B15" s="2884">
        <f t="shared" si="68"/>
        <v>453.11529869999993</v>
      </c>
      <c r="C15" s="2884">
        <f t="shared" ref="C15" si="109">C16*(1+O15)</f>
        <v>336.47787264000004</v>
      </c>
      <c r="D15" s="2884">
        <f t="shared" ref="D15" si="110">C15</f>
        <v>336.47787264000004</v>
      </c>
      <c r="E15" s="2884">
        <f t="shared" ref="E15" si="111">E16*(1+P15)</f>
        <v>647.35186823999993</v>
      </c>
      <c r="F15" s="2884">
        <f t="shared" ref="F15" si="112">F16*(1+Q15)</f>
        <v>295.73229452000004</v>
      </c>
      <c r="G15" s="3919"/>
      <c r="H15" s="2898">
        <v>2</v>
      </c>
      <c r="I15" s="2898">
        <v>1.49</v>
      </c>
      <c r="J15" s="2898">
        <v>0.96</v>
      </c>
      <c r="K15" s="2898">
        <v>1.58</v>
      </c>
      <c r="L15" s="2899">
        <v>2.44</v>
      </c>
      <c r="M15" s="2871"/>
      <c r="N15" s="2886">
        <f t="shared" ref="N15" si="113">I15/100</f>
        <v>1.49E-2</v>
      </c>
      <c r="O15" s="2872">
        <f t="shared" ref="O15" si="114">J15/100</f>
        <v>9.5999999999999992E-3</v>
      </c>
      <c r="P15" s="2872">
        <f t="shared" ref="P15" si="115">K15/100</f>
        <v>1.5800000000000002E-2</v>
      </c>
      <c r="Q15" s="2872">
        <f t="shared" ref="Q15" si="116">L15/100</f>
        <v>2.4399999999999998E-2</v>
      </c>
      <c r="R15" s="2887"/>
      <c r="S15" s="2886"/>
      <c r="T15" s="2872"/>
      <c r="U15" s="2872"/>
      <c r="V15" s="2872"/>
      <c r="W15" s="2871"/>
      <c r="X15" s="2871">
        <f>ROUND(SUMPRODUCT(PRODUCT(1+N15:N$31)),4)</f>
        <v>1.4733000000000001</v>
      </c>
      <c r="Y15" s="2871">
        <f>ROUND(SUMPRODUCT(PRODUCT(1+O15:O$31)),4)</f>
        <v>1.3052999999999999</v>
      </c>
      <c r="Z15" s="2871">
        <f t="shared" ref="Z15" si="117">Y15</f>
        <v>1.3052999999999999</v>
      </c>
      <c r="AA15" s="2871">
        <f>ROUND(SUMPRODUCT(PRODUCT(1+P15:P$31)),4)</f>
        <v>1.5306999999999999</v>
      </c>
      <c r="AB15" s="2871">
        <f>ROUND(SUMPRODUCT(PRODUCT(1+Q15:Q$31)),4)</f>
        <v>1.2863</v>
      </c>
      <c r="AC15" s="2871"/>
      <c r="AD15" s="2872">
        <f>ROUND(AVERAGE(I15:I$32)/100,4)</f>
        <v>2.35E-2</v>
      </c>
      <c r="AE15" s="2872">
        <f>ROUND(AVERAGE(J15:J$32)/100,4)</f>
        <v>1.6199999999999999E-2</v>
      </c>
      <c r="AF15" s="2872">
        <f t="shared" ref="AF15" si="118">AE15</f>
        <v>1.6199999999999999E-2</v>
      </c>
      <c r="AG15" s="2872">
        <f>ROUND(AVERAGE(K15:K$32)/100,4)</f>
        <v>2.5899999999999999E-2</v>
      </c>
      <c r="AH15" s="2872">
        <f>ROUND(AVERAGE(L15:L$32)/100,4)</f>
        <v>1.49E-2</v>
      </c>
    </row>
    <row r="16" spans="1:34" s="2890" customFormat="1" ht="15" customHeight="1" thickBot="1">
      <c r="A16" s="2883" t="s">
        <v>2930</v>
      </c>
      <c r="B16" s="2884">
        <f t="shared" si="68"/>
        <v>446.46299999999997</v>
      </c>
      <c r="C16" s="2884">
        <f t="shared" ref="C16" si="119">C17*(1+O16)</f>
        <v>333.27840000000003</v>
      </c>
      <c r="D16" s="2884">
        <f t="shared" ref="D16:D21" si="120">C16</f>
        <v>333.27840000000003</v>
      </c>
      <c r="E16" s="2884">
        <f t="shared" ref="E16" si="121">E17*(1+P16)</f>
        <v>637.28279999999995</v>
      </c>
      <c r="F16" s="2884">
        <f t="shared" ref="F16" si="122">F17*(1+Q16)</f>
        <v>288.68830000000003</v>
      </c>
      <c r="G16" s="3925"/>
      <c r="H16" s="2885">
        <v>1</v>
      </c>
      <c r="I16" s="2885">
        <v>1.7</v>
      </c>
      <c r="J16" s="2885">
        <v>1.92</v>
      </c>
      <c r="K16" s="2885">
        <v>1.64</v>
      </c>
      <c r="L16" s="2891">
        <v>2.0099999999999998</v>
      </c>
      <c r="M16" s="2871"/>
      <c r="N16" s="2886">
        <f t="shared" ref="N16:N21" si="123">I16/100</f>
        <v>1.7000000000000001E-2</v>
      </c>
      <c r="O16" s="2872">
        <f t="shared" ref="O16" si="124">J16/100</f>
        <v>1.9199999999999998E-2</v>
      </c>
      <c r="P16" s="2872">
        <f t="shared" ref="P16" si="125">K16/100</f>
        <v>1.6399999999999998E-2</v>
      </c>
      <c r="Q16" s="2872">
        <f t="shared" ref="Q16" si="126">L16/100</f>
        <v>2.0099999999999996E-2</v>
      </c>
      <c r="R16" s="2887"/>
      <c r="S16" s="2888">
        <f>B16/B17-1</f>
        <v>1.6999999999999904E-2</v>
      </c>
      <c r="T16" s="2889">
        <f>C16/C17-1</f>
        <v>1.9200000000000106E-2</v>
      </c>
      <c r="U16" s="2889">
        <f>E16/E17-1</f>
        <v>1.639999999999997E-2</v>
      </c>
      <c r="V16" s="2889">
        <f>F16/F17-1</f>
        <v>2.0100000000000007E-2</v>
      </c>
      <c r="W16" s="2871"/>
      <c r="X16" s="2871">
        <f>ROUND(SUMPRODUCT(PRODUCT(1+N16:N$31)),4)</f>
        <v>1.4517</v>
      </c>
      <c r="Y16" s="2871">
        <f>ROUND(SUMPRODUCT(PRODUCT(1+O16:O$31)),4)</f>
        <v>1.2928999999999999</v>
      </c>
      <c r="Z16" s="2871">
        <f t="shared" ref="Z16" si="127">Y16</f>
        <v>1.2928999999999999</v>
      </c>
      <c r="AA16" s="2871">
        <f>ROUND(SUMPRODUCT(PRODUCT(1+P16:P$31)),4)</f>
        <v>1.5068999999999999</v>
      </c>
      <c r="AB16" s="2871">
        <f>ROUND(SUMPRODUCT(PRODUCT(1+Q16:Q$31)),4)</f>
        <v>1.2557</v>
      </c>
      <c r="AC16" s="2871"/>
      <c r="AD16" s="2872">
        <f>ROUND(AVERAGE(I16:I$32)/100,4)</f>
        <v>2.4E-2</v>
      </c>
      <c r="AE16" s="2872">
        <f>ROUND(AVERAGE(J16:J$32)/100,4)</f>
        <v>1.66E-2</v>
      </c>
      <c r="AF16" s="2872">
        <f t="shared" ref="AF16" si="128">AE16</f>
        <v>1.66E-2</v>
      </c>
      <c r="AG16" s="2872">
        <f>ROUND(AVERAGE(K16:K$32)/100,4)</f>
        <v>2.6499999999999999E-2</v>
      </c>
      <c r="AH16" s="2872">
        <f>ROUND(AVERAGE(L16:L$32)/100,4)</f>
        <v>1.43E-2</v>
      </c>
    </row>
    <row r="17" spans="1:34">
      <c r="A17" s="2883" t="s">
        <v>2922</v>
      </c>
      <c r="B17" s="2900">
        <v>439</v>
      </c>
      <c r="C17" s="2900">
        <v>327</v>
      </c>
      <c r="D17" s="2900">
        <f t="shared" si="120"/>
        <v>327</v>
      </c>
      <c r="E17" s="2900">
        <v>627</v>
      </c>
      <c r="F17" s="2901">
        <v>283</v>
      </c>
      <c r="G17" s="3924">
        <v>2017</v>
      </c>
      <c r="H17" s="2892">
        <v>4</v>
      </c>
      <c r="I17" s="2892">
        <v>1.71</v>
      </c>
      <c r="J17" s="2892">
        <v>1.78</v>
      </c>
      <c r="K17" s="2892">
        <v>1.71</v>
      </c>
      <c r="L17" s="2893">
        <v>1.43</v>
      </c>
      <c r="N17" s="2902">
        <f t="shared" si="123"/>
        <v>1.7100000000000001E-2</v>
      </c>
      <c r="O17" s="2903">
        <f t="shared" ref="O17" si="129">J17/100</f>
        <v>1.78E-2</v>
      </c>
      <c r="P17" s="2903">
        <f t="shared" ref="P17" si="130">K17/100</f>
        <v>1.7100000000000001E-2</v>
      </c>
      <c r="Q17" s="2903">
        <f t="shared" ref="Q17" si="131">L17/100</f>
        <v>1.43E-2</v>
      </c>
      <c r="R17" s="2887"/>
      <c r="S17" s="2896"/>
      <c r="T17" s="2897"/>
      <c r="U17" s="2897"/>
      <c r="V17" s="2897"/>
      <c r="X17" s="2871">
        <f>ROUND(SUMPRODUCT(PRODUCT(1+N17:N$31)),4)</f>
        <v>1.4274</v>
      </c>
      <c r="Y17" s="2871">
        <f>ROUND(SUMPRODUCT(PRODUCT(1+O17:O$31)),4)</f>
        <v>1.2685</v>
      </c>
      <c r="Z17" s="2871">
        <f t="shared" si="0"/>
        <v>1.2685</v>
      </c>
      <c r="AA17" s="2871">
        <f>ROUND(SUMPRODUCT(PRODUCT(1+P17:P$31)),4)</f>
        <v>1.4825999999999999</v>
      </c>
      <c r="AB17" s="2871">
        <f>ROUND(SUMPRODUCT(PRODUCT(1+Q17:Q$31)),4)</f>
        <v>1.2309000000000001</v>
      </c>
      <c r="AD17" s="2872">
        <f>ROUND(AVERAGE(I17:I$32)/100,4)</f>
        <v>2.4500000000000001E-2</v>
      </c>
      <c r="AE17" s="2872">
        <f>ROUND(AVERAGE(J17:J$32)/100,4)</f>
        <v>1.6500000000000001E-2</v>
      </c>
      <c r="AF17" s="2872">
        <f t="shared" si="1"/>
        <v>1.6500000000000001E-2</v>
      </c>
      <c r="AG17" s="2872">
        <f>ROUND(AVERAGE(K17:K$32)/100,4)</f>
        <v>2.7099999999999999E-2</v>
      </c>
      <c r="AH17" s="2872">
        <f>ROUND(AVERAGE(L17:L$32)/100,4)</f>
        <v>1.3899999999999999E-2</v>
      </c>
    </row>
    <row r="18" spans="1:34" s="2890" customFormat="1" ht="14.45" customHeight="1">
      <c r="A18" s="2883" t="s">
        <v>2925</v>
      </c>
      <c r="B18" s="2884">
        <f t="shared" ref="B18:C20" si="132">B19*(1+N18)</f>
        <v>431.80730811680002</v>
      </c>
      <c r="C18" s="2884">
        <f t="shared" si="132"/>
        <v>320.57880516480003</v>
      </c>
      <c r="D18" s="2884">
        <f t="shared" si="120"/>
        <v>320.57880516480003</v>
      </c>
      <c r="E18" s="2884">
        <f t="shared" ref="E18:F20" si="133">E19*(1+P18)</f>
        <v>615.96110553196797</v>
      </c>
      <c r="F18" s="2884">
        <f t="shared" si="133"/>
        <v>279.46777300108801</v>
      </c>
      <c r="G18" s="3919"/>
      <c r="H18" s="2885">
        <v>3</v>
      </c>
      <c r="I18" s="2885">
        <v>2.98</v>
      </c>
      <c r="J18" s="2885">
        <v>2.11</v>
      </c>
      <c r="K18" s="2885">
        <v>3.24</v>
      </c>
      <c r="L18" s="2891">
        <v>1.72</v>
      </c>
      <c r="M18" s="2871"/>
      <c r="N18" s="2886">
        <f t="shared" si="123"/>
        <v>2.98E-2</v>
      </c>
      <c r="O18" s="2904">
        <f t="shared" ref="O18:O19" si="134">J18/100</f>
        <v>2.1099999999999997E-2</v>
      </c>
      <c r="P18" s="2904">
        <f t="shared" ref="P18:P19" si="135">K18/100</f>
        <v>3.2400000000000005E-2</v>
      </c>
      <c r="Q18" s="2904">
        <f t="shared" ref="Q18:Q19" si="136">L18/100</f>
        <v>1.72E-2</v>
      </c>
      <c r="R18" s="2887"/>
      <c r="S18" s="2886"/>
      <c r="T18" s="2872"/>
      <c r="U18" s="2872"/>
      <c r="V18" s="2872"/>
      <c r="W18" s="2871"/>
      <c r="X18" s="2871">
        <f>ROUND(SUMPRODUCT(PRODUCT(1+N18:N$31)),4)</f>
        <v>1.4034</v>
      </c>
      <c r="Y18" s="2871">
        <f>ROUND(SUMPRODUCT(PRODUCT(1+O18:O$31)),4)</f>
        <v>1.2463</v>
      </c>
      <c r="Z18" s="2871">
        <f t="shared" si="0"/>
        <v>1.2463</v>
      </c>
      <c r="AA18" s="2871">
        <f>ROUND(SUMPRODUCT(PRODUCT(1+P18:P$31)),4)</f>
        <v>1.4577</v>
      </c>
      <c r="AB18" s="2871">
        <f>ROUND(SUMPRODUCT(PRODUCT(1+Q18:Q$31)),4)</f>
        <v>1.2136</v>
      </c>
      <c r="AC18" s="2871"/>
      <c r="AD18" s="2872">
        <f>ROUND(AVERAGE(I18:I$32)/100,4)</f>
        <v>2.4899999999999999E-2</v>
      </c>
      <c r="AE18" s="2872">
        <f>ROUND(AVERAGE(J18:J$32)/100,4)</f>
        <v>1.6400000000000001E-2</v>
      </c>
      <c r="AF18" s="2872">
        <f t="shared" si="1"/>
        <v>1.6400000000000001E-2</v>
      </c>
      <c r="AG18" s="2872">
        <f>ROUND(AVERAGE(K18:K$32)/100,4)</f>
        <v>2.7799999999999998E-2</v>
      </c>
      <c r="AH18" s="2872">
        <f>ROUND(AVERAGE(L18:L$32)/100,4)</f>
        <v>1.3899999999999999E-2</v>
      </c>
    </row>
    <row r="19" spans="1:34" s="2849" customFormat="1" ht="14.45" customHeight="1">
      <c r="A19" s="2883" t="s">
        <v>2556</v>
      </c>
      <c r="B19" s="2884">
        <f t="shared" si="132"/>
        <v>419.31181600000002</v>
      </c>
      <c r="C19" s="2884">
        <f t="shared" si="132"/>
        <v>313.95436800000004</v>
      </c>
      <c r="D19" s="2884">
        <f t="shared" si="120"/>
        <v>313.95436800000004</v>
      </c>
      <c r="E19" s="2884">
        <f t="shared" si="133"/>
        <v>596.63028431999999</v>
      </c>
      <c r="F19" s="2884">
        <f t="shared" si="133"/>
        <v>274.74220703999998</v>
      </c>
      <c r="G19" s="3919"/>
      <c r="H19" s="2898">
        <v>2</v>
      </c>
      <c r="I19" s="2898">
        <v>3.4</v>
      </c>
      <c r="J19" s="2898">
        <v>2</v>
      </c>
      <c r="K19" s="2898">
        <v>3.82</v>
      </c>
      <c r="L19" s="2899">
        <v>1.68</v>
      </c>
      <c r="N19" s="2886">
        <f t="shared" si="123"/>
        <v>3.4000000000000002E-2</v>
      </c>
      <c r="O19" s="2904">
        <f t="shared" si="134"/>
        <v>0.02</v>
      </c>
      <c r="P19" s="2904">
        <f t="shared" si="135"/>
        <v>3.8199999999999998E-2</v>
      </c>
      <c r="Q19" s="2904">
        <f t="shared" si="136"/>
        <v>1.6799999999999999E-2</v>
      </c>
      <c r="S19" s="2886"/>
      <c r="T19" s="2872"/>
      <c r="U19" s="2872"/>
      <c r="V19" s="2872"/>
      <c r="X19" s="2871">
        <f>ROUND(SUMPRODUCT(PRODUCT(1+N19:N$31)),4)</f>
        <v>1.3628</v>
      </c>
      <c r="Y19" s="2871">
        <f>ROUND(SUMPRODUCT(PRODUCT(1+O19:O$31)),4)</f>
        <v>1.2205999999999999</v>
      </c>
      <c r="Z19" s="2871">
        <f t="shared" si="0"/>
        <v>1.2205999999999999</v>
      </c>
      <c r="AA19" s="2871">
        <f>ROUND(SUMPRODUCT(PRODUCT(1+P19:P$31)),4)</f>
        <v>1.4118999999999999</v>
      </c>
      <c r="AB19" s="2871">
        <f>ROUND(SUMPRODUCT(PRODUCT(1+Q19:Q$31)),4)</f>
        <v>1.1930000000000001</v>
      </c>
      <c r="AD19" s="2872">
        <f>ROUND(AVERAGE(I19:I$32)/100,4)</f>
        <v>2.46E-2</v>
      </c>
      <c r="AE19" s="2872">
        <f>ROUND(AVERAGE(J19:J$32)/100,4)</f>
        <v>1.6E-2</v>
      </c>
      <c r="AF19" s="2872">
        <f t="shared" si="1"/>
        <v>1.6E-2</v>
      </c>
      <c r="AG19" s="2872">
        <f>ROUND(AVERAGE(K19:K$32)/100,4)</f>
        <v>2.75E-2</v>
      </c>
      <c r="AH19" s="2872">
        <f>ROUND(AVERAGE(L19:L$32)/100,4)</f>
        <v>1.37E-2</v>
      </c>
    </row>
    <row r="20" spans="1:34" s="2890" customFormat="1" ht="15" customHeight="1" thickBot="1">
      <c r="A20" s="2883" t="s">
        <v>2557</v>
      </c>
      <c r="B20" s="2884">
        <f t="shared" si="132"/>
        <v>405.524</v>
      </c>
      <c r="C20" s="2884">
        <f t="shared" si="132"/>
        <v>307.79840000000002</v>
      </c>
      <c r="D20" s="2884">
        <f t="shared" si="120"/>
        <v>307.79840000000002</v>
      </c>
      <c r="E20" s="2884">
        <f t="shared" si="133"/>
        <v>574.67759999999998</v>
      </c>
      <c r="F20" s="2884">
        <f t="shared" si="133"/>
        <v>270.20280000000002</v>
      </c>
      <c r="G20" s="3925"/>
      <c r="H20" s="2885">
        <v>1</v>
      </c>
      <c r="I20" s="2885">
        <v>3.45</v>
      </c>
      <c r="J20" s="2885">
        <v>1.92</v>
      </c>
      <c r="K20" s="2885">
        <v>3.92</v>
      </c>
      <c r="L20" s="2891">
        <v>1.58</v>
      </c>
      <c r="M20" s="2871"/>
      <c r="N20" s="2888">
        <f t="shared" si="123"/>
        <v>3.4500000000000003E-2</v>
      </c>
      <c r="O20" s="2889">
        <f t="shared" ref="O20" si="137">J20/100</f>
        <v>1.9199999999999998E-2</v>
      </c>
      <c r="P20" s="2889">
        <f t="shared" ref="P20" si="138">K20/100</f>
        <v>3.9199999999999999E-2</v>
      </c>
      <c r="Q20" s="2889">
        <f t="shared" ref="Q20" si="139">L20/100</f>
        <v>1.5800000000000002E-2</v>
      </c>
      <c r="R20" s="2887"/>
      <c r="S20" s="2888">
        <f>B20/B21-1</f>
        <v>3.4499999999999975E-2</v>
      </c>
      <c r="T20" s="2889">
        <f>C20/C21-1</f>
        <v>1.9200000000000106E-2</v>
      </c>
      <c r="U20" s="2889">
        <f>E20/E21-1</f>
        <v>3.9199999999999902E-2</v>
      </c>
      <c r="V20" s="2889">
        <f>F20/F21-1</f>
        <v>1.5800000000000036E-2</v>
      </c>
      <c r="W20" s="2871"/>
      <c r="X20" s="2871">
        <f>ROUND(SUMPRODUCT(PRODUCT(1+N20:N$31)),4)</f>
        <v>1.3180000000000001</v>
      </c>
      <c r="Y20" s="2871">
        <f>ROUND(SUMPRODUCT(PRODUCT(1+O20:O$31)),4)</f>
        <v>1.1966000000000001</v>
      </c>
      <c r="Z20" s="2871">
        <f t="shared" si="0"/>
        <v>1.1966000000000001</v>
      </c>
      <c r="AA20" s="2871">
        <f>ROUND(SUMPRODUCT(PRODUCT(1+P20:P$31)),4)</f>
        <v>1.36</v>
      </c>
      <c r="AB20" s="2871">
        <f>ROUND(SUMPRODUCT(PRODUCT(1+Q20:Q$31)),4)</f>
        <v>1.1733</v>
      </c>
      <c r="AC20" s="2871"/>
      <c r="AD20" s="2872">
        <f>ROUND(AVERAGE(I20:I$32)/100,4)</f>
        <v>2.3900000000000001E-2</v>
      </c>
      <c r="AE20" s="2872">
        <f>ROUND(AVERAGE(J20:J$32)/100,4)</f>
        <v>1.5699999999999999E-2</v>
      </c>
      <c r="AF20" s="2872">
        <f t="shared" si="1"/>
        <v>1.5699999999999999E-2</v>
      </c>
      <c r="AG20" s="2872">
        <f>ROUND(AVERAGE(K20:K$32)/100,4)</f>
        <v>2.6599999999999999E-2</v>
      </c>
      <c r="AH20" s="2872">
        <f>ROUND(AVERAGE(L20:L$32)/100,4)</f>
        <v>1.34E-2</v>
      </c>
    </row>
    <row r="21" spans="1:34">
      <c r="A21" s="2883" t="s">
        <v>960</v>
      </c>
      <c r="B21" s="2905">
        <v>392</v>
      </c>
      <c r="C21" s="2905">
        <v>302</v>
      </c>
      <c r="D21" s="2905">
        <f t="shared" si="120"/>
        <v>302</v>
      </c>
      <c r="E21" s="2905">
        <v>553</v>
      </c>
      <c r="F21" s="2906">
        <v>266</v>
      </c>
      <c r="G21" s="3924">
        <v>2016</v>
      </c>
      <c r="H21" s="2892">
        <v>4</v>
      </c>
      <c r="I21" s="2892">
        <v>4.5599999999999996</v>
      </c>
      <c r="J21" s="2892">
        <v>2.15</v>
      </c>
      <c r="K21" s="2892">
        <v>5.32</v>
      </c>
      <c r="L21" s="2893">
        <v>1.57</v>
      </c>
      <c r="N21" s="2886">
        <f t="shared" si="123"/>
        <v>4.5599999999999995E-2</v>
      </c>
      <c r="O21" s="2872">
        <f t="shared" ref="O21:Q36" si="140">J21/100</f>
        <v>2.1499999999999998E-2</v>
      </c>
      <c r="P21" s="2872">
        <f t="shared" si="140"/>
        <v>5.3200000000000004E-2</v>
      </c>
      <c r="Q21" s="2872">
        <f t="shared" si="140"/>
        <v>1.5700000000000002E-2</v>
      </c>
      <c r="R21" s="2887"/>
      <c r="S21" s="2896"/>
      <c r="T21" s="2897"/>
      <c r="U21" s="2897"/>
      <c r="V21" s="2897"/>
      <c r="X21" s="2871">
        <f>ROUND(SUMPRODUCT(PRODUCT(1+N21:N$31)),4)</f>
        <v>1.274</v>
      </c>
      <c r="Y21" s="2871">
        <f>ROUND(SUMPRODUCT(PRODUCT(1+O21:O$31)),4)</f>
        <v>1.1740999999999999</v>
      </c>
      <c r="Z21" s="2871">
        <f t="shared" si="0"/>
        <v>1.1740999999999999</v>
      </c>
      <c r="AA21" s="2871">
        <f>ROUND(SUMPRODUCT(PRODUCT(1+P21:P$31)),4)</f>
        <v>1.3087</v>
      </c>
      <c r="AB21" s="2871">
        <f>ROUND(SUMPRODUCT(PRODUCT(1+Q21:Q$31)),4)</f>
        <v>1.1551</v>
      </c>
      <c r="AD21" s="2872">
        <f>ROUND(AVERAGE(I21:I$32)/100,4)</f>
        <v>2.3E-2</v>
      </c>
      <c r="AE21" s="2872">
        <f>ROUND(AVERAGE(J21:J$32)/100,4)</f>
        <v>1.55E-2</v>
      </c>
      <c r="AF21" s="2872">
        <f t="shared" si="1"/>
        <v>1.55E-2</v>
      </c>
      <c r="AG21" s="2872">
        <f>ROUND(AVERAGE(K21:K$32)/100,4)</f>
        <v>2.5600000000000001E-2</v>
      </c>
      <c r="AH21" s="2872">
        <f>ROUND(AVERAGE(L21:L$32)/100,4)</f>
        <v>1.32E-2</v>
      </c>
    </row>
    <row r="22" spans="1:34">
      <c r="A22" s="2883" t="s">
        <v>959</v>
      </c>
      <c r="B22" s="2884">
        <f t="shared" ref="B22:C24" si="141">B21/(1+N21)</f>
        <v>374.90436113236416</v>
      </c>
      <c r="C22" s="2884">
        <f t="shared" si="141"/>
        <v>295.64366128242779</v>
      </c>
      <c r="D22" s="2884">
        <f t="shared" ref="D22:D81" si="142">C22</f>
        <v>295.64366128242779</v>
      </c>
      <c r="E22" s="2884">
        <f t="shared" ref="E22:F24" si="143">E21/(1+P21)</f>
        <v>525.06646410938095</v>
      </c>
      <c r="F22" s="2884">
        <f t="shared" si="143"/>
        <v>261.88835286009646</v>
      </c>
      <c r="G22" s="3919"/>
      <c r="H22" s="2885">
        <v>3</v>
      </c>
      <c r="I22" s="2885">
        <v>4.12</v>
      </c>
      <c r="J22" s="2885">
        <v>2</v>
      </c>
      <c r="K22" s="2885">
        <v>4.79</v>
      </c>
      <c r="L22" s="2891">
        <v>1.97</v>
      </c>
      <c r="N22" s="2886">
        <f t="shared" ref="N22:Q56" si="144">I22/100</f>
        <v>4.1200000000000001E-2</v>
      </c>
      <c r="O22" s="2872">
        <f t="shared" si="140"/>
        <v>0.02</v>
      </c>
      <c r="P22" s="2872">
        <f t="shared" si="140"/>
        <v>4.7899999999999998E-2</v>
      </c>
      <c r="Q22" s="2872">
        <f t="shared" si="140"/>
        <v>1.9699999999999999E-2</v>
      </c>
      <c r="R22" s="2887"/>
      <c r="S22" s="2886"/>
      <c r="T22" s="2872"/>
      <c r="U22" s="2872"/>
      <c r="V22" s="2872"/>
      <c r="X22" s="2871">
        <f>ROUND(SUMPRODUCT(PRODUCT(1+N22:N$31)),4)</f>
        <v>1.2184999999999999</v>
      </c>
      <c r="Y22" s="2871">
        <f>ROUND(SUMPRODUCT(PRODUCT(1+O22:O$31)),4)</f>
        <v>1.1494</v>
      </c>
      <c r="Z22" s="2871">
        <f t="shared" si="0"/>
        <v>1.1494</v>
      </c>
      <c r="AA22" s="2871">
        <f>ROUND(SUMPRODUCT(PRODUCT(1+P22:P$31)),4)</f>
        <v>1.2425999999999999</v>
      </c>
      <c r="AB22" s="2871">
        <f>ROUND(SUMPRODUCT(PRODUCT(1+Q22:Q$31)),4)</f>
        <v>1.1372</v>
      </c>
      <c r="AD22" s="2872">
        <f>ROUND(AVERAGE(I22:I$32)/100,4)</f>
        <v>2.0899999999999998E-2</v>
      </c>
      <c r="AE22" s="2872">
        <f>ROUND(AVERAGE(J22:J$32)/100,4)</f>
        <v>1.49E-2</v>
      </c>
      <c r="AF22" s="2872">
        <f t="shared" si="1"/>
        <v>1.49E-2</v>
      </c>
      <c r="AG22" s="2872">
        <f>ROUND(AVERAGE(K22:K$32)/100,4)</f>
        <v>2.3099999999999999E-2</v>
      </c>
      <c r="AH22" s="2872">
        <f>ROUND(AVERAGE(L22:L$32)/100,4)</f>
        <v>1.2999999999999999E-2</v>
      </c>
    </row>
    <row r="23" spans="1:34">
      <c r="A23" s="2883" t="s">
        <v>949</v>
      </c>
      <c r="B23" s="2884">
        <f t="shared" si="141"/>
        <v>360.06949782209392</v>
      </c>
      <c r="C23" s="2884">
        <f t="shared" si="141"/>
        <v>289.84672674747821</v>
      </c>
      <c r="D23" s="2884">
        <f t="shared" si="142"/>
        <v>289.84672674747821</v>
      </c>
      <c r="E23" s="2884">
        <f t="shared" si="143"/>
        <v>501.06543001181495</v>
      </c>
      <c r="F23" s="2884">
        <f t="shared" si="143"/>
        <v>256.82882500744967</v>
      </c>
      <c r="G23" s="3919"/>
      <c r="H23" s="2898">
        <v>2</v>
      </c>
      <c r="I23" s="2898">
        <v>3.85</v>
      </c>
      <c r="J23" s="2898">
        <v>1.95</v>
      </c>
      <c r="K23" s="2898">
        <v>4.4800000000000004</v>
      </c>
      <c r="L23" s="2899">
        <v>1.41</v>
      </c>
      <c r="N23" s="2886">
        <f t="shared" si="144"/>
        <v>3.85E-2</v>
      </c>
      <c r="O23" s="2872">
        <f t="shared" si="140"/>
        <v>1.95E-2</v>
      </c>
      <c r="P23" s="2872">
        <f t="shared" si="140"/>
        <v>4.4800000000000006E-2</v>
      </c>
      <c r="Q23" s="2872">
        <f t="shared" si="140"/>
        <v>1.41E-2</v>
      </c>
      <c r="R23" s="2887"/>
      <c r="S23" s="2886"/>
      <c r="T23" s="2872"/>
      <c r="U23" s="2872"/>
      <c r="V23" s="2872"/>
      <c r="X23" s="2871">
        <f>ROUND(SUMPRODUCT(PRODUCT(1+N23:N$31)),4)</f>
        <v>1.1702999999999999</v>
      </c>
      <c r="Y23" s="2871">
        <f>ROUND(SUMPRODUCT(PRODUCT(1+O23:O$31)),4)</f>
        <v>1.1269</v>
      </c>
      <c r="Z23" s="2871">
        <f t="shared" si="0"/>
        <v>1.1269</v>
      </c>
      <c r="AA23" s="2871">
        <f>ROUND(SUMPRODUCT(PRODUCT(1+P23:P$31)),4)</f>
        <v>1.1858</v>
      </c>
      <c r="AB23" s="2871">
        <f>ROUND(SUMPRODUCT(PRODUCT(1+Q23:Q$31)),4)</f>
        <v>1.1152</v>
      </c>
      <c r="AD23" s="2872">
        <f>ROUND(AVERAGE(I23:I$32)/100,4)</f>
        <v>1.89E-2</v>
      </c>
      <c r="AE23" s="2872">
        <f>ROUND(AVERAGE(J23:J$32)/100,4)</f>
        <v>1.44E-2</v>
      </c>
      <c r="AF23" s="2872">
        <f t="shared" si="1"/>
        <v>1.44E-2</v>
      </c>
      <c r="AG23" s="2872">
        <f>ROUND(AVERAGE(K23:K$32)/100,4)</f>
        <v>2.06E-2</v>
      </c>
      <c r="AH23" s="2872">
        <f>ROUND(AVERAGE(L23:L$32)/100,4)</f>
        <v>1.23E-2</v>
      </c>
    </row>
    <row r="24" spans="1:34" ht="13.5" thickBot="1">
      <c r="A24" s="2883" t="s">
        <v>958</v>
      </c>
      <c r="B24" s="2884">
        <f t="shared" si="141"/>
        <v>346.720748986128</v>
      </c>
      <c r="C24" s="2884">
        <f t="shared" si="141"/>
        <v>284.30282172386285</v>
      </c>
      <c r="D24" s="2884">
        <f t="shared" si="142"/>
        <v>284.30282172386285</v>
      </c>
      <c r="E24" s="2884">
        <f t="shared" si="143"/>
        <v>479.58023546306947</v>
      </c>
      <c r="F24" s="2884">
        <f t="shared" si="143"/>
        <v>253.25788877571213</v>
      </c>
      <c r="G24" s="3920"/>
      <c r="H24" s="2885">
        <v>1</v>
      </c>
      <c r="I24" s="2885">
        <v>4.09</v>
      </c>
      <c r="J24" s="2885">
        <v>2.93</v>
      </c>
      <c r="K24" s="2885">
        <v>4.54</v>
      </c>
      <c r="L24" s="2891">
        <v>1.48</v>
      </c>
      <c r="N24" s="2886">
        <f t="shared" si="144"/>
        <v>4.0899999999999999E-2</v>
      </c>
      <c r="O24" s="2872">
        <f t="shared" si="140"/>
        <v>2.9300000000000003E-2</v>
      </c>
      <c r="P24" s="2872">
        <f t="shared" si="140"/>
        <v>4.5400000000000003E-2</v>
      </c>
      <c r="Q24" s="2872">
        <f t="shared" si="140"/>
        <v>1.4800000000000001E-2</v>
      </c>
      <c r="R24" s="2887"/>
      <c r="S24" s="2888">
        <f>B24/B25-1</f>
        <v>4.1203450408792808E-2</v>
      </c>
      <c r="T24" s="2889">
        <f>C24/C25-1</f>
        <v>2.6363977342465095E-2</v>
      </c>
      <c r="U24" s="2889">
        <f>E24/E25-1</f>
        <v>4.4837114298626357E-2</v>
      </c>
      <c r="V24" s="2889">
        <f>F24/F25-1</f>
        <v>1.7099954922538574E-2</v>
      </c>
      <c r="X24" s="2871">
        <f>ROUND(SUMPRODUCT(PRODUCT(1+N24:N$31)),4)</f>
        <v>1.1269</v>
      </c>
      <c r="Y24" s="2871">
        <f>ROUND(SUMPRODUCT(PRODUCT(1+O24:O$31)),4)</f>
        <v>1.1052999999999999</v>
      </c>
      <c r="Z24" s="2871">
        <f t="shared" si="0"/>
        <v>1.1052999999999999</v>
      </c>
      <c r="AA24" s="2871">
        <f>ROUND(SUMPRODUCT(PRODUCT(1+P24:P$31)),4)</f>
        <v>1.1349</v>
      </c>
      <c r="AB24" s="2871">
        <f>ROUND(SUMPRODUCT(PRODUCT(1+Q24:Q$31)),4)</f>
        <v>1.0996999999999999</v>
      </c>
      <c r="AD24" s="2872">
        <f>ROUND(AVERAGE(I24:I$32)/100,4)</f>
        <v>1.67E-2</v>
      </c>
      <c r="AE24" s="2872">
        <f>ROUND(AVERAGE(J24:J$32)/100,4)</f>
        <v>1.38E-2</v>
      </c>
      <c r="AF24" s="2872">
        <f t="shared" si="1"/>
        <v>1.38E-2</v>
      </c>
      <c r="AG24" s="2872">
        <f>ROUND(AVERAGE(K24:K$32)/100,4)</f>
        <v>1.7899999999999999E-2</v>
      </c>
      <c r="AH24" s="2872">
        <f>ROUND(AVERAGE(L24:L$32)/100,4)</f>
        <v>1.21E-2</v>
      </c>
    </row>
    <row r="25" spans="1:34" ht="13.5" thickBot="1">
      <c r="A25" s="2883" t="s">
        <v>957</v>
      </c>
      <c r="B25" s="2905">
        <v>333</v>
      </c>
      <c r="C25" s="2905">
        <v>277</v>
      </c>
      <c r="D25" s="2905">
        <f t="shared" si="142"/>
        <v>277</v>
      </c>
      <c r="E25" s="2905">
        <v>459</v>
      </c>
      <c r="F25" s="2906">
        <v>249</v>
      </c>
      <c r="G25" s="3918">
        <v>2015</v>
      </c>
      <c r="H25" s="2907">
        <v>4</v>
      </c>
      <c r="I25" s="2907">
        <v>1.63</v>
      </c>
      <c r="J25" s="2907">
        <v>1.1100000000000001</v>
      </c>
      <c r="K25" s="2907">
        <v>1.77</v>
      </c>
      <c r="L25" s="2908">
        <v>1.89</v>
      </c>
      <c r="N25" s="2902">
        <f t="shared" si="144"/>
        <v>1.6299999999999999E-2</v>
      </c>
      <c r="O25" s="2903">
        <f t="shared" si="140"/>
        <v>1.11E-2</v>
      </c>
      <c r="P25" s="2903">
        <f t="shared" si="140"/>
        <v>1.77E-2</v>
      </c>
      <c r="Q25" s="2903">
        <f t="shared" si="140"/>
        <v>1.89E-2</v>
      </c>
      <c r="R25" s="2887"/>
      <c r="X25" s="2871">
        <f>ROUND(SUMPRODUCT(PRODUCT(1+N25:N$31)),4)</f>
        <v>1.0826</v>
      </c>
      <c r="Y25" s="2871">
        <f>ROUND(SUMPRODUCT(PRODUCT(1+O25:O$31)),4)</f>
        <v>1.0738000000000001</v>
      </c>
      <c r="Z25" s="2871">
        <f t="shared" si="0"/>
        <v>1.0738000000000001</v>
      </c>
      <c r="AA25" s="2871">
        <f>ROUND(SUMPRODUCT(PRODUCT(1+P25:P$31)),4)</f>
        <v>1.0855999999999999</v>
      </c>
      <c r="AB25" s="2871">
        <f>ROUND(SUMPRODUCT(PRODUCT(1+Q25:Q$31)),4)</f>
        <v>1.0837000000000001</v>
      </c>
      <c r="AD25" s="2872">
        <f>ROUND(AVERAGE(I25:I$32)/100,4)</f>
        <v>1.37E-2</v>
      </c>
      <c r="AE25" s="2872">
        <f>ROUND(AVERAGE(J25:J$32)/100,4)</f>
        <v>1.1900000000000001E-2</v>
      </c>
      <c r="AF25" s="2872">
        <f t="shared" si="1"/>
        <v>1.1900000000000001E-2</v>
      </c>
      <c r="AG25" s="2872">
        <f>ROUND(AVERAGE(K25:K$32)/100,4)</f>
        <v>1.4500000000000001E-2</v>
      </c>
      <c r="AH25" s="2872">
        <f>ROUND(AVERAGE(L25:L$32)/100,4)</f>
        <v>1.18E-2</v>
      </c>
    </row>
    <row r="26" spans="1:34">
      <c r="A26" s="2883" t="s">
        <v>956</v>
      </c>
      <c r="B26" s="2884">
        <f t="shared" ref="B26:C28" si="145">B25/(1+N25)</f>
        <v>327.65915576109415</v>
      </c>
      <c r="C26" s="2884">
        <f t="shared" si="145"/>
        <v>273.95905449510434</v>
      </c>
      <c r="D26" s="2884">
        <f t="shared" si="142"/>
        <v>273.95905449510434</v>
      </c>
      <c r="E26" s="2884">
        <f t="shared" ref="E26:F28" si="146">E25/(1+P25)</f>
        <v>451.01699911565294</v>
      </c>
      <c r="F26" s="2884">
        <f t="shared" si="146"/>
        <v>244.38119540681129</v>
      </c>
      <c r="G26" s="3919"/>
      <c r="H26" s="2910">
        <v>3</v>
      </c>
      <c r="I26" s="2910">
        <v>1.65</v>
      </c>
      <c r="J26" s="2910">
        <v>0.92</v>
      </c>
      <c r="K26" s="2910">
        <v>1.88</v>
      </c>
      <c r="L26" s="2911">
        <v>1.26</v>
      </c>
      <c r="N26" s="2886">
        <f t="shared" si="144"/>
        <v>1.6500000000000001E-2</v>
      </c>
      <c r="O26" s="2904">
        <f t="shared" si="140"/>
        <v>9.1999999999999998E-3</v>
      </c>
      <c r="P26" s="2904">
        <f t="shared" si="140"/>
        <v>1.8799999999999997E-2</v>
      </c>
      <c r="Q26" s="2904">
        <f t="shared" si="140"/>
        <v>1.26E-2</v>
      </c>
      <c r="R26" s="2887"/>
      <c r="S26" s="2886"/>
      <c r="T26" s="2872"/>
      <c r="U26" s="2872"/>
      <c r="V26" s="2872"/>
      <c r="X26" s="2871">
        <f>ROUND(SUMPRODUCT(PRODUCT(1+N26:N$31)),4)</f>
        <v>1.0651999999999999</v>
      </c>
      <c r="Y26" s="2871">
        <f>ROUND(SUMPRODUCT(PRODUCT(1+O26:O$31)),4)</f>
        <v>1.0621</v>
      </c>
      <c r="Z26" s="2871">
        <f t="shared" si="0"/>
        <v>1.0621</v>
      </c>
      <c r="AA26" s="2871">
        <f>ROUND(SUMPRODUCT(PRODUCT(1+P26:P$31)),4)</f>
        <v>1.0668</v>
      </c>
      <c r="AB26" s="2871">
        <f>ROUND(SUMPRODUCT(PRODUCT(1+Q26:Q$31)),4)</f>
        <v>1.0636000000000001</v>
      </c>
      <c r="AD26" s="2872">
        <f>ROUND(AVERAGE(I26:I$32)/100,4)</f>
        <v>1.3299999999999999E-2</v>
      </c>
      <c r="AE26" s="2872">
        <f>ROUND(AVERAGE(J26:J$32)/100,4)</f>
        <v>1.2E-2</v>
      </c>
      <c r="AF26" s="2872">
        <f t="shared" si="1"/>
        <v>1.2E-2</v>
      </c>
      <c r="AG26" s="2872">
        <f>ROUND(AVERAGE(K26:K$32)/100,4)</f>
        <v>1.4E-2</v>
      </c>
      <c r="AH26" s="2872">
        <f>ROUND(AVERAGE(L26:L$32)/100,4)</f>
        <v>1.0800000000000001E-2</v>
      </c>
    </row>
    <row r="27" spans="1:34">
      <c r="A27" s="2883" t="s">
        <v>955</v>
      </c>
      <c r="B27" s="2884">
        <f t="shared" si="145"/>
        <v>322.34053690220776</v>
      </c>
      <c r="C27" s="2884">
        <f t="shared" si="145"/>
        <v>271.46160770422546</v>
      </c>
      <c r="D27" s="2884">
        <f t="shared" si="142"/>
        <v>271.46160770422546</v>
      </c>
      <c r="E27" s="2884">
        <f t="shared" si="146"/>
        <v>442.69434542172456</v>
      </c>
      <c r="F27" s="2884">
        <f t="shared" si="146"/>
        <v>241.34030753190925</v>
      </c>
      <c r="G27" s="3919"/>
      <c r="H27" s="2898">
        <v>2</v>
      </c>
      <c r="I27" s="2898">
        <v>0.77</v>
      </c>
      <c r="J27" s="2898">
        <v>0.69</v>
      </c>
      <c r="K27" s="2898">
        <v>0.8</v>
      </c>
      <c r="L27" s="2899">
        <v>0.88</v>
      </c>
      <c r="N27" s="2886">
        <f t="shared" si="144"/>
        <v>7.7000000000000002E-3</v>
      </c>
      <c r="O27" s="2904">
        <f t="shared" si="140"/>
        <v>6.8999999999999999E-3</v>
      </c>
      <c r="P27" s="2904">
        <f t="shared" si="140"/>
        <v>8.0000000000000002E-3</v>
      </c>
      <c r="Q27" s="2904">
        <f t="shared" si="140"/>
        <v>8.8000000000000005E-3</v>
      </c>
      <c r="R27" s="2887"/>
      <c r="S27" s="2886"/>
      <c r="T27" s="2872"/>
      <c r="U27" s="2872"/>
      <c r="V27" s="2872"/>
      <c r="X27" s="2871">
        <f>ROUND(SUMPRODUCT(PRODUCT(1+N27:N$31)),4)</f>
        <v>1.048</v>
      </c>
      <c r="Y27" s="2871">
        <f>ROUND(SUMPRODUCT(PRODUCT(1+O27:O$31)),4)</f>
        <v>1.0524</v>
      </c>
      <c r="Z27" s="2871">
        <f t="shared" si="0"/>
        <v>1.0524</v>
      </c>
      <c r="AA27" s="2871">
        <f>ROUND(SUMPRODUCT(PRODUCT(1+P27:P$31)),4)</f>
        <v>1.0470999999999999</v>
      </c>
      <c r="AB27" s="2871">
        <f>ROUND(SUMPRODUCT(PRODUCT(1+Q27:Q$31)),4)</f>
        <v>1.0504</v>
      </c>
      <c r="AD27" s="2872">
        <f>ROUND(AVERAGE(I27:I$32)/100,4)</f>
        <v>1.2800000000000001E-2</v>
      </c>
      <c r="AE27" s="2872">
        <f>ROUND(AVERAGE(J27:J$32)/100,4)</f>
        <v>1.2500000000000001E-2</v>
      </c>
      <c r="AF27" s="2872">
        <f t="shared" si="1"/>
        <v>1.2500000000000001E-2</v>
      </c>
      <c r="AG27" s="2872">
        <f>ROUND(AVERAGE(K27:K$32)/100,4)</f>
        <v>1.32E-2</v>
      </c>
      <c r="AH27" s="2872">
        <f>ROUND(AVERAGE(L27:L$32)/100,4)</f>
        <v>1.0500000000000001E-2</v>
      </c>
    </row>
    <row r="28" spans="1:34">
      <c r="A28" s="2883" t="s">
        <v>954</v>
      </c>
      <c r="B28" s="2884">
        <f t="shared" si="145"/>
        <v>319.87748030386797</v>
      </c>
      <c r="C28" s="2884">
        <f t="shared" si="145"/>
        <v>269.60135833173649</v>
      </c>
      <c r="D28" s="2884">
        <f t="shared" si="142"/>
        <v>269.60135833173649</v>
      </c>
      <c r="E28" s="2884">
        <f t="shared" si="146"/>
        <v>439.18089823583784</v>
      </c>
      <c r="F28" s="2884">
        <f t="shared" si="146"/>
        <v>239.23503918706311</v>
      </c>
      <c r="G28" s="3920"/>
      <c r="H28" s="2885">
        <v>1</v>
      </c>
      <c r="I28" s="2885">
        <v>0.51</v>
      </c>
      <c r="J28" s="2885">
        <v>0.54</v>
      </c>
      <c r="K28" s="2885">
        <v>0.48</v>
      </c>
      <c r="L28" s="2891">
        <v>0.93</v>
      </c>
      <c r="N28" s="2888">
        <f t="shared" si="144"/>
        <v>5.1000000000000004E-3</v>
      </c>
      <c r="O28" s="2889">
        <f t="shared" si="140"/>
        <v>5.4000000000000003E-3</v>
      </c>
      <c r="P28" s="2889">
        <f t="shared" si="140"/>
        <v>4.7999999999999996E-3</v>
      </c>
      <c r="Q28" s="2889">
        <f t="shared" si="140"/>
        <v>9.300000000000001E-3</v>
      </c>
      <c r="R28" s="2887"/>
      <c r="S28" s="2888">
        <f>B28/B29-1</f>
        <v>5.9040261127922822E-3</v>
      </c>
      <c r="T28" s="2889">
        <f>C28/C29-1</f>
        <v>5.9752176557332781E-3</v>
      </c>
      <c r="U28" s="2889">
        <f>E28/E29-1</f>
        <v>4.9906138119859556E-3</v>
      </c>
      <c r="V28" s="2889">
        <f>F28/F29-1</f>
        <v>9.4305450930933787E-3</v>
      </c>
      <c r="X28" s="2871">
        <f>ROUND(SUMPRODUCT(PRODUCT(1+N28:N$31)),4)</f>
        <v>1.0399</v>
      </c>
      <c r="Y28" s="2871">
        <f>ROUND(SUMPRODUCT(PRODUCT(1+O28:O$31)),4)</f>
        <v>1.0451999999999999</v>
      </c>
      <c r="Z28" s="2871">
        <f t="shared" si="0"/>
        <v>1.0451999999999999</v>
      </c>
      <c r="AA28" s="2871">
        <f>ROUND(SUMPRODUCT(PRODUCT(1+P28:P$31)),4)</f>
        <v>1.0387999999999999</v>
      </c>
      <c r="AB28" s="2871">
        <f>ROUND(SUMPRODUCT(PRODUCT(1+Q28:Q$31)),4)</f>
        <v>1.0411999999999999</v>
      </c>
      <c r="AD28" s="2872">
        <f>ROUND(AVERAGE(I28:I$32)/100,4)</f>
        <v>1.38E-2</v>
      </c>
      <c r="AE28" s="2872">
        <f>ROUND(AVERAGE(J28:J$32)/100,4)</f>
        <v>1.3599999999999999E-2</v>
      </c>
      <c r="AF28" s="2872">
        <f t="shared" si="1"/>
        <v>1.3599999999999999E-2</v>
      </c>
      <c r="AG28" s="2872">
        <f>ROUND(AVERAGE(K28:K$32)/100,4)</f>
        <v>1.4200000000000001E-2</v>
      </c>
      <c r="AH28" s="2872">
        <f>ROUND(AVERAGE(L28:L$32)/100,4)</f>
        <v>1.0800000000000001E-2</v>
      </c>
    </row>
    <row r="29" spans="1:34" ht="13.5" thickBot="1">
      <c r="A29" s="2883" t="s">
        <v>953</v>
      </c>
      <c r="B29" s="2912">
        <v>318</v>
      </c>
      <c r="C29" s="2912">
        <v>268</v>
      </c>
      <c r="D29" s="2912">
        <f t="shared" si="142"/>
        <v>268</v>
      </c>
      <c r="E29" s="2912">
        <v>437</v>
      </c>
      <c r="F29" s="2913">
        <v>237</v>
      </c>
      <c r="G29" s="3918">
        <v>2014</v>
      </c>
      <c r="H29" s="2907">
        <v>4</v>
      </c>
      <c r="I29" s="2907">
        <v>0.21</v>
      </c>
      <c r="J29" s="2907">
        <v>0.41</v>
      </c>
      <c r="K29" s="2907">
        <v>0.12</v>
      </c>
      <c r="L29" s="2908">
        <v>0.89</v>
      </c>
      <c r="N29" s="2886">
        <f t="shared" si="144"/>
        <v>2.0999999999999999E-3</v>
      </c>
      <c r="O29" s="2872">
        <f t="shared" si="140"/>
        <v>4.0999999999999995E-3</v>
      </c>
      <c r="P29" s="2872">
        <f t="shared" si="140"/>
        <v>1.1999999999999999E-3</v>
      </c>
      <c r="Q29" s="2872">
        <f t="shared" si="140"/>
        <v>8.8999999999999999E-3</v>
      </c>
      <c r="R29" s="2887"/>
      <c r="S29" s="2896"/>
      <c r="T29" s="2897"/>
      <c r="U29" s="2897"/>
      <c r="V29" s="2897"/>
      <c r="X29" s="2871">
        <f>ROUND(SUMPRODUCT(PRODUCT(1+N29:N$31)),4)</f>
        <v>1.0347</v>
      </c>
      <c r="Y29" s="2871">
        <f>ROUND(SUMPRODUCT(PRODUCT(1+O29:O$31)),4)</f>
        <v>1.0395000000000001</v>
      </c>
      <c r="Z29" s="2871">
        <f t="shared" si="0"/>
        <v>1.0395000000000001</v>
      </c>
      <c r="AA29" s="2871">
        <f>ROUND(SUMPRODUCT(PRODUCT(1+P29:P$31)),4)</f>
        <v>1.0338000000000001</v>
      </c>
      <c r="AB29" s="2871">
        <f>ROUND(SUMPRODUCT(PRODUCT(1+Q29:Q$31)),4)</f>
        <v>1.0316000000000001</v>
      </c>
      <c r="AD29" s="2872">
        <f>ROUND(AVERAGE(I29:I$32)/100,4)</f>
        <v>1.6E-2</v>
      </c>
      <c r="AE29" s="2872">
        <f>ROUND(AVERAGE(J29:J$32)/100,4)</f>
        <v>1.5599999999999999E-2</v>
      </c>
      <c r="AF29" s="2872">
        <f t="shared" si="1"/>
        <v>1.5599999999999999E-2</v>
      </c>
      <c r="AG29" s="2872">
        <f>ROUND(AVERAGE(K29:K$32)/100,4)</f>
        <v>1.66E-2</v>
      </c>
      <c r="AH29" s="2872">
        <f>ROUND(AVERAGE(L29:L$32)/100,4)</f>
        <v>1.12E-2</v>
      </c>
    </row>
    <row r="30" spans="1:34">
      <c r="A30" s="2883" t="s">
        <v>952</v>
      </c>
      <c r="B30" s="2884">
        <f t="shared" ref="B30:C32" si="147">B29/(1+N29)</f>
        <v>317.33359944117353</v>
      </c>
      <c r="C30" s="2884">
        <f t="shared" si="147"/>
        <v>266.90568668459315</v>
      </c>
      <c r="D30" s="2884">
        <f t="shared" si="142"/>
        <v>266.90568668459315</v>
      </c>
      <c r="E30" s="2884">
        <f t="shared" ref="E30:F32" si="148">E29/(1+P29)</f>
        <v>436.47622852576905</v>
      </c>
      <c r="F30" s="2884">
        <f t="shared" si="148"/>
        <v>234.90930716622066</v>
      </c>
      <c r="G30" s="3919"/>
      <c r="H30" s="2914">
        <v>3</v>
      </c>
      <c r="I30" s="2914">
        <v>0.83</v>
      </c>
      <c r="J30" s="2914">
        <v>1.47</v>
      </c>
      <c r="K30" s="2914">
        <v>0.65</v>
      </c>
      <c r="L30" s="2915">
        <v>0.72</v>
      </c>
      <c r="N30" s="2886">
        <f t="shared" si="144"/>
        <v>8.3000000000000001E-3</v>
      </c>
      <c r="O30" s="2872">
        <f t="shared" si="140"/>
        <v>1.47E-2</v>
      </c>
      <c r="P30" s="2872">
        <f t="shared" si="140"/>
        <v>6.5000000000000006E-3</v>
      </c>
      <c r="Q30" s="2872">
        <f t="shared" si="140"/>
        <v>7.1999999999999998E-3</v>
      </c>
      <c r="R30" s="2887"/>
      <c r="S30" s="2886"/>
      <c r="T30" s="2872"/>
      <c r="U30" s="2872"/>
      <c r="V30" s="2872"/>
      <c r="X30" s="2871">
        <f>ROUND(SUMPRODUCT(PRODUCT(1+N30:N$31)),4)</f>
        <v>1.0325</v>
      </c>
      <c r="Y30" s="2871">
        <f>ROUND(SUMPRODUCT(PRODUCT(1+O30:O$31)),4)</f>
        <v>1.0353000000000001</v>
      </c>
      <c r="Z30" s="2871">
        <f t="shared" ref="Z30:Z31" si="149">Y30</f>
        <v>1.0353000000000001</v>
      </c>
      <c r="AA30" s="2871">
        <f>ROUND(SUMPRODUCT(PRODUCT(1+P30:P$31)),4)</f>
        <v>1.0326</v>
      </c>
      <c r="AB30" s="2871">
        <f>ROUND(SUMPRODUCT(PRODUCT(1+Q30:Q$31)),4)</f>
        <v>1.0225</v>
      </c>
      <c r="AD30" s="2872">
        <f>ROUND(AVERAGE(I30:I$32)/100,4)</f>
        <v>2.07E-2</v>
      </c>
      <c r="AE30" s="2872">
        <f>ROUND(AVERAGE(J30:J$32)/100,4)</f>
        <v>1.95E-2</v>
      </c>
      <c r="AF30" s="2872">
        <f t="shared" si="1"/>
        <v>1.95E-2</v>
      </c>
      <c r="AG30" s="2872">
        <f>ROUND(AVERAGE(K30:K$32)/100,4)</f>
        <v>2.1700000000000001E-2</v>
      </c>
      <c r="AH30" s="2872">
        <f>ROUND(AVERAGE(L30:L$32)/100,4)</f>
        <v>1.2E-2</v>
      </c>
    </row>
    <row r="31" spans="1:34" ht="13.5" thickBot="1">
      <c r="A31" s="2883" t="s">
        <v>951</v>
      </c>
      <c r="B31" s="2884">
        <f t="shared" si="147"/>
        <v>314.72141172386546</v>
      </c>
      <c r="C31" s="2884">
        <f t="shared" si="147"/>
        <v>263.03901319069001</v>
      </c>
      <c r="D31" s="2884">
        <f t="shared" si="142"/>
        <v>263.03901319069001</v>
      </c>
      <c r="E31" s="2884">
        <f t="shared" si="148"/>
        <v>433.65745506782821</v>
      </c>
      <c r="F31" s="2884">
        <f t="shared" si="148"/>
        <v>233.23005080045735</v>
      </c>
      <c r="G31" s="3919"/>
      <c r="H31" s="2907">
        <v>2</v>
      </c>
      <c r="I31" s="2907">
        <v>2.4</v>
      </c>
      <c r="J31" s="2907">
        <v>2.0299999999999998</v>
      </c>
      <c r="K31" s="2907">
        <v>2.59</v>
      </c>
      <c r="L31" s="2908">
        <v>1.52</v>
      </c>
      <c r="N31" s="2886">
        <f t="shared" si="144"/>
        <v>2.4E-2</v>
      </c>
      <c r="O31" s="2872">
        <f t="shared" si="140"/>
        <v>2.0299999999999999E-2</v>
      </c>
      <c r="P31" s="2872">
        <f t="shared" si="140"/>
        <v>2.5899999999999999E-2</v>
      </c>
      <c r="Q31" s="2872">
        <f t="shared" si="140"/>
        <v>1.52E-2</v>
      </c>
      <c r="R31" s="2887"/>
      <c r="S31" s="2886"/>
      <c r="T31" s="2872"/>
      <c r="U31" s="2872"/>
      <c r="V31" s="2872"/>
      <c r="X31" s="2871">
        <f>1+N31</f>
        <v>1.024</v>
      </c>
      <c r="Y31" s="2871">
        <f>1+O31</f>
        <v>1.0203</v>
      </c>
      <c r="Z31" s="2871">
        <f t="shared" si="149"/>
        <v>1.0203</v>
      </c>
      <c r="AA31" s="2871">
        <f>1+P31</f>
        <v>1.0259</v>
      </c>
      <c r="AB31" s="2871">
        <f>1+Q31</f>
        <v>1.0152000000000001</v>
      </c>
      <c r="AD31" s="2872">
        <f>ROUND(AVERAGE(I31:I$32)/100,4)</f>
        <v>2.69E-2</v>
      </c>
      <c r="AE31" s="2872">
        <f>ROUND(AVERAGE(J31:J$32)/100,4)</f>
        <v>2.1899999999999999E-2</v>
      </c>
      <c r="AF31" s="2872">
        <f t="shared" ref="AF31" si="150">AE31</f>
        <v>2.1899999999999999E-2</v>
      </c>
      <c r="AG31" s="2872">
        <f>ROUND(AVERAGE(K31:K$32)/100,4)</f>
        <v>2.9399999999999999E-2</v>
      </c>
      <c r="AH31" s="2872">
        <f>ROUND(AVERAGE(L31:L$32)/100,4)</f>
        <v>1.44E-2</v>
      </c>
    </row>
    <row r="32" spans="1:34" s="2920" customFormat="1" ht="13.5" thickBot="1">
      <c r="A32" s="2916" t="s">
        <v>950</v>
      </c>
      <c r="B32" s="2917">
        <f t="shared" si="147"/>
        <v>307.34512863658733</v>
      </c>
      <c r="C32" s="2917">
        <f t="shared" si="147"/>
        <v>257.80556031626975</v>
      </c>
      <c r="D32" s="2917">
        <f t="shared" si="142"/>
        <v>257.80556031626975</v>
      </c>
      <c r="E32" s="2917">
        <f t="shared" si="148"/>
        <v>422.70928459677179</v>
      </c>
      <c r="F32" s="2917">
        <f t="shared" si="148"/>
        <v>229.73803270336617</v>
      </c>
      <c r="G32" s="3920"/>
      <c r="H32" s="2918">
        <v>1</v>
      </c>
      <c r="I32" s="2918">
        <v>2.97</v>
      </c>
      <c r="J32" s="2918">
        <v>2.34</v>
      </c>
      <c r="K32" s="2918">
        <v>3.28</v>
      </c>
      <c r="L32" s="2919">
        <v>1.36</v>
      </c>
      <c r="N32" s="2921">
        <f t="shared" si="144"/>
        <v>2.9700000000000001E-2</v>
      </c>
      <c r="O32" s="2922">
        <f t="shared" si="140"/>
        <v>2.3399999999999997E-2</v>
      </c>
      <c r="P32" s="2922">
        <f t="shared" si="140"/>
        <v>3.2799999999999996E-2</v>
      </c>
      <c r="Q32" s="2922">
        <f t="shared" si="140"/>
        <v>1.3600000000000001E-2</v>
      </c>
      <c r="R32" s="2923"/>
      <c r="S32" s="2924">
        <f>B32/B33-1</f>
        <v>2.7910129219355539E-2</v>
      </c>
      <c r="T32" s="2925">
        <f>C32/C33-1</f>
        <v>2.3037937762975247E-2</v>
      </c>
      <c r="U32" s="2925">
        <f>E32/E33-1</f>
        <v>3.3519033243940788E-2</v>
      </c>
      <c r="V32" s="2925">
        <f>F32/F33-1</f>
        <v>1.2061818076502862E-2</v>
      </c>
      <c r="W32" s="2926" t="s">
        <v>2615</v>
      </c>
      <c r="X32" s="2927">
        <v>1</v>
      </c>
      <c r="Y32" s="2927">
        <v>1</v>
      </c>
      <c r="Z32" s="2927">
        <v>1</v>
      </c>
      <c r="AA32" s="2927">
        <v>1</v>
      </c>
      <c r="AB32" s="2927">
        <v>1</v>
      </c>
      <c r="AD32" s="2922">
        <f>I32/100</f>
        <v>2.9700000000000001E-2</v>
      </c>
      <c r="AE32" s="2922">
        <f>J32/100</f>
        <v>2.3399999999999997E-2</v>
      </c>
      <c r="AF32" s="2922">
        <f>AE32</f>
        <v>2.3399999999999997E-2</v>
      </c>
      <c r="AG32" s="2922">
        <f>K32/100</f>
        <v>3.2799999999999996E-2</v>
      </c>
      <c r="AH32" s="2922">
        <f>L32/100</f>
        <v>1.3600000000000001E-2</v>
      </c>
    </row>
    <row r="33" spans="1:26" ht="13.5" thickBot="1">
      <c r="A33" s="2883" t="s">
        <v>2558</v>
      </c>
      <c r="B33" s="2905">
        <v>299</v>
      </c>
      <c r="C33" s="2905">
        <v>252</v>
      </c>
      <c r="D33" s="2905">
        <f t="shared" si="142"/>
        <v>252</v>
      </c>
      <c r="E33" s="2905">
        <v>409</v>
      </c>
      <c r="F33" s="2906">
        <v>227</v>
      </c>
      <c r="G33" s="3921">
        <v>2013</v>
      </c>
      <c r="H33" s="2928">
        <v>4</v>
      </c>
      <c r="I33" s="2928">
        <v>1.83</v>
      </c>
      <c r="J33" s="2928">
        <v>1.68</v>
      </c>
      <c r="K33" s="2928">
        <v>1.97</v>
      </c>
      <c r="L33" s="2929">
        <v>0.87</v>
      </c>
      <c r="N33" s="2902">
        <f t="shared" si="144"/>
        <v>1.83E-2</v>
      </c>
      <c r="O33" s="2903">
        <f t="shared" si="140"/>
        <v>1.6799999999999999E-2</v>
      </c>
      <c r="P33" s="2903">
        <f t="shared" si="140"/>
        <v>1.9699999999999999E-2</v>
      </c>
      <c r="Q33" s="2903">
        <f t="shared" si="140"/>
        <v>8.6999999999999994E-3</v>
      </c>
      <c r="R33" s="2887"/>
      <c r="S33" s="2896"/>
      <c r="T33" s="2897"/>
      <c r="U33" s="2897"/>
      <c r="V33" s="2897"/>
      <c r="X33" s="2897"/>
      <c r="Y33" s="2897"/>
      <c r="Z33" s="2897"/>
    </row>
    <row r="34" spans="1:26">
      <c r="A34" s="2883" t="s">
        <v>2559</v>
      </c>
      <c r="B34" s="2884">
        <f t="shared" ref="B34:C36" si="151">B33/(1+N33)</f>
        <v>293.62663262299913</v>
      </c>
      <c r="C34" s="2884">
        <f t="shared" si="151"/>
        <v>247.83634933123525</v>
      </c>
      <c r="D34" s="2884">
        <f t="shared" si="142"/>
        <v>247.83634933123525</v>
      </c>
      <c r="E34" s="2884">
        <f t="shared" ref="E34:F36" si="152">E33/(1+P33)</f>
        <v>401.09836226341076</v>
      </c>
      <c r="F34" s="2884">
        <f t="shared" si="152"/>
        <v>225.04213343908003</v>
      </c>
      <c r="G34" s="3922"/>
      <c r="H34" s="2910">
        <v>3</v>
      </c>
      <c r="I34" s="2910">
        <v>1.86</v>
      </c>
      <c r="J34" s="2910">
        <v>1.72</v>
      </c>
      <c r="K34" s="2910">
        <v>1.98</v>
      </c>
      <c r="L34" s="2911">
        <v>0.88</v>
      </c>
      <c r="N34" s="2886">
        <f t="shared" si="144"/>
        <v>1.8600000000000002E-2</v>
      </c>
      <c r="O34" s="2904">
        <f t="shared" si="140"/>
        <v>1.72E-2</v>
      </c>
      <c r="P34" s="2904">
        <f t="shared" si="140"/>
        <v>1.9799999999999998E-2</v>
      </c>
      <c r="Q34" s="2904">
        <f t="shared" si="140"/>
        <v>8.8000000000000005E-3</v>
      </c>
      <c r="R34" s="2887"/>
      <c r="S34" s="2886"/>
      <c r="T34" s="2872"/>
      <c r="U34" s="2872"/>
      <c r="V34" s="2872"/>
    </row>
    <row r="35" spans="1:26">
      <c r="A35" s="2883" t="s">
        <v>2560</v>
      </c>
      <c r="B35" s="2884">
        <f t="shared" si="151"/>
        <v>288.2649053828776</v>
      </c>
      <c r="C35" s="2884">
        <f t="shared" si="151"/>
        <v>243.64564425013293</v>
      </c>
      <c r="D35" s="2884">
        <f t="shared" si="142"/>
        <v>243.64564425013293</v>
      </c>
      <c r="E35" s="2884">
        <f t="shared" si="152"/>
        <v>393.31080825986544</v>
      </c>
      <c r="F35" s="2884">
        <f t="shared" si="152"/>
        <v>223.07903790551154</v>
      </c>
      <c r="G35" s="3922"/>
      <c r="H35" s="2898">
        <v>2</v>
      </c>
      <c r="I35" s="2898">
        <v>2.04</v>
      </c>
      <c r="J35" s="2898">
        <v>2.33</v>
      </c>
      <c r="K35" s="2898">
        <v>2.0699999999999998</v>
      </c>
      <c r="L35" s="2899">
        <v>0.69</v>
      </c>
      <c r="N35" s="2886">
        <f t="shared" si="144"/>
        <v>2.0400000000000001E-2</v>
      </c>
      <c r="O35" s="2904">
        <f t="shared" si="140"/>
        <v>2.3300000000000001E-2</v>
      </c>
      <c r="P35" s="2904">
        <f t="shared" si="140"/>
        <v>2.07E-2</v>
      </c>
      <c r="Q35" s="2904">
        <f t="shared" si="140"/>
        <v>6.8999999999999999E-3</v>
      </c>
      <c r="R35" s="2887"/>
      <c r="S35" s="2886"/>
      <c r="T35" s="2872"/>
      <c r="U35" s="2872"/>
      <c r="V35" s="2872"/>
      <c r="X35" s="2930"/>
      <c r="Y35" s="2931"/>
    </row>
    <row r="36" spans="1:26">
      <c r="A36" s="2883" t="s">
        <v>2561</v>
      </c>
      <c r="B36" s="2884">
        <f t="shared" si="151"/>
        <v>282.50186729015837</v>
      </c>
      <c r="C36" s="2884">
        <f t="shared" si="151"/>
        <v>238.09796174155468</v>
      </c>
      <c r="D36" s="2884">
        <f t="shared" si="142"/>
        <v>238.09796174155468</v>
      </c>
      <c r="E36" s="2884">
        <f t="shared" si="152"/>
        <v>385.33438646014054</v>
      </c>
      <c r="F36" s="2884">
        <f t="shared" si="152"/>
        <v>221.55034055567739</v>
      </c>
      <c r="G36" s="3923"/>
      <c r="H36" s="2885">
        <v>1</v>
      </c>
      <c r="I36" s="2885">
        <v>1.67</v>
      </c>
      <c r="J36" s="2885">
        <v>1.31</v>
      </c>
      <c r="K36" s="2885">
        <v>1.85</v>
      </c>
      <c r="L36" s="2891">
        <v>0.96</v>
      </c>
      <c r="N36" s="2888">
        <f t="shared" si="144"/>
        <v>1.67E-2</v>
      </c>
      <c r="O36" s="2889">
        <f t="shared" si="140"/>
        <v>1.3100000000000001E-2</v>
      </c>
      <c r="P36" s="2889">
        <f t="shared" si="140"/>
        <v>1.8500000000000003E-2</v>
      </c>
      <c r="Q36" s="2889">
        <f t="shared" si="140"/>
        <v>9.5999999999999992E-3</v>
      </c>
      <c r="R36" s="2887"/>
      <c r="S36" s="2888">
        <f>B36/B37-1</f>
        <v>1.6193767230785472E-2</v>
      </c>
      <c r="T36" s="2889">
        <f>C36/C37-1</f>
        <v>1.7512657015190891E-2</v>
      </c>
      <c r="U36" s="2889">
        <f>E36/E37-1</f>
        <v>1.6713420739157048E-2</v>
      </c>
      <c r="V36" s="2889">
        <f>F36/F37-1</f>
        <v>7.0470025258062563E-3</v>
      </c>
      <c r="X36" s="2932"/>
      <c r="Y36" s="2872"/>
      <c r="Z36" s="2872"/>
    </row>
    <row r="37" spans="1:26" ht="13.5" thickBot="1">
      <c r="A37" s="2883" t="s">
        <v>2562</v>
      </c>
      <c r="B37" s="2933">
        <v>278</v>
      </c>
      <c r="C37" s="2933">
        <v>234</v>
      </c>
      <c r="D37" s="2933">
        <f t="shared" si="142"/>
        <v>234</v>
      </c>
      <c r="E37" s="2933">
        <v>379</v>
      </c>
      <c r="F37" s="2934">
        <v>220</v>
      </c>
      <c r="G37" s="3918">
        <v>2012</v>
      </c>
      <c r="H37" s="2907">
        <v>4</v>
      </c>
      <c r="I37" s="2907">
        <v>0.91</v>
      </c>
      <c r="J37" s="2907">
        <v>0.68</v>
      </c>
      <c r="K37" s="2907">
        <v>0.98</v>
      </c>
      <c r="L37" s="2908">
        <v>0.9</v>
      </c>
      <c r="N37" s="2886">
        <f t="shared" si="144"/>
        <v>9.1000000000000004E-3</v>
      </c>
      <c r="O37" s="2872">
        <f t="shared" si="144"/>
        <v>6.8000000000000005E-3</v>
      </c>
      <c r="P37" s="2872">
        <f t="shared" si="144"/>
        <v>9.7999999999999997E-3</v>
      </c>
      <c r="Q37" s="2872">
        <f t="shared" si="144"/>
        <v>9.0000000000000011E-3</v>
      </c>
      <c r="R37" s="2887"/>
      <c r="S37" s="2896"/>
      <c r="T37" s="2897"/>
      <c r="U37" s="2897"/>
      <c r="V37" s="2897"/>
      <c r="X37" s="2897"/>
      <c r="Y37" s="2897"/>
      <c r="Z37" s="2897"/>
    </row>
    <row r="38" spans="1:26">
      <c r="A38" s="2883" t="s">
        <v>2563</v>
      </c>
      <c r="B38" s="2884">
        <f>B37/(1+N37)</f>
        <v>275.49301357645425</v>
      </c>
      <c r="C38" s="2884">
        <f>C37/(1+O37)</f>
        <v>232.41954707985698</v>
      </c>
      <c r="D38" s="2884">
        <f t="shared" si="142"/>
        <v>232.41954707985698</v>
      </c>
      <c r="E38" s="2884">
        <f t="shared" ref="E38:F40" si="153">E37/(1+P37)</f>
        <v>375.32184591008121</v>
      </c>
      <c r="F38" s="2884">
        <f t="shared" si="153"/>
        <v>218.03766105054513</v>
      </c>
      <c r="G38" s="3919"/>
      <c r="H38" s="2910">
        <v>3</v>
      </c>
      <c r="I38" s="2910">
        <v>0.09</v>
      </c>
      <c r="J38" s="2910">
        <v>0.28999999999999998</v>
      </c>
      <c r="K38" s="2910">
        <v>-0.01</v>
      </c>
      <c r="L38" s="2911">
        <v>0.57999999999999996</v>
      </c>
      <c r="N38" s="2886">
        <f t="shared" si="144"/>
        <v>8.9999999999999998E-4</v>
      </c>
      <c r="O38" s="2872">
        <f t="shared" si="144"/>
        <v>2.8999999999999998E-3</v>
      </c>
      <c r="P38" s="2872">
        <f t="shared" si="144"/>
        <v>-1E-4</v>
      </c>
      <c r="Q38" s="2872">
        <f t="shared" si="144"/>
        <v>5.7999999999999996E-3</v>
      </c>
      <c r="R38" s="2887"/>
      <c r="S38" s="2886"/>
      <c r="T38" s="2872"/>
      <c r="U38" s="2872"/>
      <c r="V38" s="2872"/>
    </row>
    <row r="39" spans="1:26">
      <c r="A39" s="2883" t="s">
        <v>2564</v>
      </c>
      <c r="B39" s="2884">
        <f>B38/(1+N38)</f>
        <v>275.24529281292263</v>
      </c>
      <c r="C39" s="2884">
        <f>C38/(1+O38)</f>
        <v>231.74747938962707</v>
      </c>
      <c r="D39" s="2884">
        <f t="shared" si="142"/>
        <v>231.74747938962707</v>
      </c>
      <c r="E39" s="2884">
        <f t="shared" si="153"/>
        <v>375.35938184826603</v>
      </c>
      <c r="F39" s="2884">
        <f t="shared" si="153"/>
        <v>216.78033510692495</v>
      </c>
      <c r="G39" s="3919"/>
      <c r="H39" s="2898">
        <v>2</v>
      </c>
      <c r="I39" s="2898">
        <v>0.02</v>
      </c>
      <c r="J39" s="2898">
        <v>0.12</v>
      </c>
      <c r="K39" s="2898">
        <v>-0.08</v>
      </c>
      <c r="L39" s="2899">
        <v>1.24</v>
      </c>
      <c r="N39" s="2886">
        <f t="shared" si="144"/>
        <v>2.0000000000000001E-4</v>
      </c>
      <c r="O39" s="2872">
        <f t="shared" si="144"/>
        <v>1.1999999999999999E-3</v>
      </c>
      <c r="P39" s="2872">
        <f t="shared" si="144"/>
        <v>-8.0000000000000004E-4</v>
      </c>
      <c r="Q39" s="2872">
        <f t="shared" si="144"/>
        <v>1.24E-2</v>
      </c>
      <c r="R39" s="2887"/>
      <c r="S39" s="2886"/>
      <c r="T39" s="2872"/>
      <c r="U39" s="2872"/>
      <c r="V39" s="2872"/>
    </row>
    <row r="40" spans="1:26" ht="13.5" thickBot="1">
      <c r="A40" s="2883" t="s">
        <v>2565</v>
      </c>
      <c r="B40" s="2884">
        <f>B39/(1+N39)</f>
        <v>275.19025476197027</v>
      </c>
      <c r="C40" s="2935">
        <v>232</v>
      </c>
      <c r="D40" s="2935">
        <f t="shared" si="142"/>
        <v>232</v>
      </c>
      <c r="E40" s="2884">
        <f t="shared" si="153"/>
        <v>375.65990977608692</v>
      </c>
      <c r="F40" s="2884">
        <f t="shared" si="153"/>
        <v>214.12518283971252</v>
      </c>
      <c r="G40" s="3920"/>
      <c r="H40" s="2885">
        <v>1</v>
      </c>
      <c r="I40" s="2885">
        <v>0.02</v>
      </c>
      <c r="J40" s="2885">
        <v>0.13</v>
      </c>
      <c r="K40" s="2885">
        <v>-0.04</v>
      </c>
      <c r="L40" s="2891">
        <v>0.46</v>
      </c>
      <c r="N40" s="2886">
        <f t="shared" si="144"/>
        <v>2.0000000000000001E-4</v>
      </c>
      <c r="O40" s="2872">
        <f t="shared" si="144"/>
        <v>1.2999999999999999E-3</v>
      </c>
      <c r="P40" s="2872">
        <f t="shared" si="144"/>
        <v>-4.0000000000000002E-4</v>
      </c>
      <c r="Q40" s="2872">
        <f t="shared" si="144"/>
        <v>4.5999999999999999E-3</v>
      </c>
      <c r="R40" s="2887"/>
      <c r="S40" s="2888">
        <f>B40/B41-1</f>
        <v>6.9183549807361189E-4</v>
      </c>
      <c r="T40" s="2889">
        <f>C40/C41-1</f>
        <v>0</v>
      </c>
      <c r="U40" s="2889">
        <f>E40/E41-1</f>
        <v>-9.0449527636460303E-4</v>
      </c>
      <c r="V40" s="2889">
        <f>F40/F41-1</f>
        <v>5.2825485432512753E-3</v>
      </c>
      <c r="X40" s="2872"/>
      <c r="Y40" s="2872"/>
      <c r="Z40" s="2872"/>
    </row>
    <row r="41" spans="1:26" ht="13.5" thickBot="1">
      <c r="A41" s="2883" t="s">
        <v>2566</v>
      </c>
      <c r="B41" s="2905">
        <v>275</v>
      </c>
      <c r="C41" s="2905">
        <v>232</v>
      </c>
      <c r="D41" s="2905">
        <f t="shared" si="142"/>
        <v>232</v>
      </c>
      <c r="E41" s="2905">
        <v>376</v>
      </c>
      <c r="F41" s="2906">
        <v>213</v>
      </c>
      <c r="G41" s="3918">
        <v>2011</v>
      </c>
      <c r="H41" s="2907">
        <v>4</v>
      </c>
      <c r="I41" s="2907">
        <v>-0.2</v>
      </c>
      <c r="J41" s="2907">
        <v>0.04</v>
      </c>
      <c r="K41" s="2907">
        <v>-0.34</v>
      </c>
      <c r="L41" s="2908">
        <v>0.46</v>
      </c>
      <c r="N41" s="2902">
        <f t="shared" si="144"/>
        <v>-2E-3</v>
      </c>
      <c r="O41" s="2903">
        <f t="shared" si="144"/>
        <v>4.0000000000000002E-4</v>
      </c>
      <c r="P41" s="2903">
        <f t="shared" si="144"/>
        <v>-3.4000000000000002E-3</v>
      </c>
      <c r="Q41" s="2903">
        <f t="shared" si="144"/>
        <v>4.5999999999999999E-3</v>
      </c>
      <c r="R41" s="2887"/>
      <c r="S41" s="2896"/>
      <c r="T41" s="2897"/>
      <c r="U41" s="2897"/>
      <c r="V41" s="2897"/>
      <c r="X41" s="2897"/>
      <c r="Y41" s="2897"/>
      <c r="Z41" s="2897"/>
    </row>
    <row r="42" spans="1:26">
      <c r="A42" s="2883" t="s">
        <v>2567</v>
      </c>
      <c r="B42" s="2884">
        <f t="shared" ref="B42:C44" si="154">B41/(1+N41)</f>
        <v>275.55110220440883</v>
      </c>
      <c r="C42" s="2884">
        <f t="shared" si="154"/>
        <v>231.90723710515795</v>
      </c>
      <c r="D42" s="2884">
        <f t="shared" si="142"/>
        <v>231.90723710515795</v>
      </c>
      <c r="E42" s="2884">
        <f t="shared" ref="E42:F44" si="155">E41/(1+P41)</f>
        <v>377.28276138872161</v>
      </c>
      <c r="F42" s="2884">
        <f t="shared" si="155"/>
        <v>212.02468644236512</v>
      </c>
      <c r="G42" s="3919">
        <v>2011</v>
      </c>
      <c r="H42" s="2910">
        <v>3</v>
      </c>
      <c r="I42" s="2910">
        <v>0.13</v>
      </c>
      <c r="J42" s="2910">
        <v>0.75</v>
      </c>
      <c r="K42" s="2910">
        <v>-0.08</v>
      </c>
      <c r="L42" s="2911">
        <v>0.53</v>
      </c>
      <c r="N42" s="2886">
        <f t="shared" si="144"/>
        <v>1.2999999999999999E-3</v>
      </c>
      <c r="O42" s="2904">
        <f t="shared" si="144"/>
        <v>7.4999999999999997E-3</v>
      </c>
      <c r="P42" s="2904">
        <f t="shared" si="144"/>
        <v>-8.0000000000000004E-4</v>
      </c>
      <c r="Q42" s="2904">
        <f t="shared" si="144"/>
        <v>5.3E-3</v>
      </c>
      <c r="R42" s="2887"/>
      <c r="S42" s="2886"/>
      <c r="T42" s="2872"/>
      <c r="U42" s="2872"/>
      <c r="V42" s="2872"/>
    </row>
    <row r="43" spans="1:26">
      <c r="A43" s="2883" t="s">
        <v>2568</v>
      </c>
      <c r="B43" s="2884">
        <f t="shared" si="154"/>
        <v>275.19335084830601</v>
      </c>
      <c r="C43" s="2884">
        <f t="shared" si="154"/>
        <v>230.18088050139744</v>
      </c>
      <c r="D43" s="2884">
        <f t="shared" si="142"/>
        <v>230.18088050139744</v>
      </c>
      <c r="E43" s="2884">
        <f t="shared" si="155"/>
        <v>377.58482925212331</v>
      </c>
      <c r="F43" s="2884">
        <f t="shared" si="155"/>
        <v>210.90687997847917</v>
      </c>
      <c r="G43" s="3919">
        <v>2011</v>
      </c>
      <c r="H43" s="2898">
        <v>2</v>
      </c>
      <c r="I43" s="2898">
        <v>-0.4</v>
      </c>
      <c r="J43" s="2898">
        <v>0.17</v>
      </c>
      <c r="K43" s="2898">
        <v>-0.57999999999999996</v>
      </c>
      <c r="L43" s="2899">
        <v>-0.2</v>
      </c>
      <c r="N43" s="2886">
        <f t="shared" si="144"/>
        <v>-4.0000000000000001E-3</v>
      </c>
      <c r="O43" s="2904">
        <f t="shared" si="144"/>
        <v>1.7000000000000001E-3</v>
      </c>
      <c r="P43" s="2904">
        <f t="shared" si="144"/>
        <v>-5.7999999999999996E-3</v>
      </c>
      <c r="Q43" s="2904">
        <f t="shared" si="144"/>
        <v>-2E-3</v>
      </c>
      <c r="R43" s="2887"/>
      <c r="S43" s="2886"/>
      <c r="T43" s="2872"/>
      <c r="U43" s="2872"/>
      <c r="V43" s="2872"/>
    </row>
    <row r="44" spans="1:26" ht="13.5" thickBot="1">
      <c r="A44" s="2883" t="s">
        <v>2569</v>
      </c>
      <c r="B44" s="2884">
        <f t="shared" si="154"/>
        <v>276.29854502841971</v>
      </c>
      <c r="C44" s="2884">
        <f t="shared" si="154"/>
        <v>229.79023709833027</v>
      </c>
      <c r="D44" s="2884">
        <f t="shared" si="142"/>
        <v>229.79023709833027</v>
      </c>
      <c r="E44" s="2884">
        <f t="shared" si="155"/>
        <v>379.78759731655936</v>
      </c>
      <c r="F44" s="2884">
        <f t="shared" si="155"/>
        <v>211.32953905659235</v>
      </c>
      <c r="G44" s="3920">
        <v>2011</v>
      </c>
      <c r="H44" s="2885">
        <v>1</v>
      </c>
      <c r="I44" s="2885">
        <v>2.65</v>
      </c>
      <c r="J44" s="2885">
        <v>3.76</v>
      </c>
      <c r="K44" s="2885">
        <v>1.89</v>
      </c>
      <c r="L44" s="2891">
        <v>7.95</v>
      </c>
      <c r="N44" s="2888">
        <f t="shared" si="144"/>
        <v>2.6499999999999999E-2</v>
      </c>
      <c r="O44" s="2889">
        <f t="shared" si="144"/>
        <v>3.7599999999999995E-2</v>
      </c>
      <c r="P44" s="2889">
        <f t="shared" si="144"/>
        <v>1.89E-2</v>
      </c>
      <c r="Q44" s="2889">
        <f t="shared" si="144"/>
        <v>7.9500000000000001E-2</v>
      </c>
      <c r="R44" s="2887"/>
      <c r="S44" s="2888">
        <f>B44/B45-1</f>
        <v>2.713213765211786E-2</v>
      </c>
      <c r="T44" s="2889">
        <f>C44/C45-1</f>
        <v>3.9774828499231862E-2</v>
      </c>
      <c r="U44" s="2889">
        <f>E44/E45-1</f>
        <v>1.8197311840641772E-2</v>
      </c>
      <c r="V44" s="2889">
        <f>F44/F45-1</f>
        <v>7.8211933962205826E-2</v>
      </c>
      <c r="X44" s="2872"/>
      <c r="Y44" s="2872"/>
      <c r="Z44" s="2872"/>
    </row>
    <row r="45" spans="1:26" ht="13.5" thickBot="1">
      <c r="A45" s="2883" t="s">
        <v>2570</v>
      </c>
      <c r="B45" s="2905">
        <v>269</v>
      </c>
      <c r="C45" s="2905">
        <v>221</v>
      </c>
      <c r="D45" s="2905">
        <f t="shared" si="142"/>
        <v>221</v>
      </c>
      <c r="E45" s="2905">
        <v>373</v>
      </c>
      <c r="F45" s="2906">
        <v>196</v>
      </c>
      <c r="G45" s="3918">
        <v>2010</v>
      </c>
      <c r="H45" s="2907">
        <v>4</v>
      </c>
      <c r="I45" s="2907">
        <v>5.72</v>
      </c>
      <c r="J45" s="2907">
        <v>6.57</v>
      </c>
      <c r="K45" s="2907">
        <v>5.72</v>
      </c>
      <c r="L45" s="2908">
        <v>2.72</v>
      </c>
      <c r="N45" s="2886">
        <f t="shared" si="144"/>
        <v>5.7200000000000001E-2</v>
      </c>
      <c r="O45" s="2872">
        <f t="shared" si="144"/>
        <v>6.5700000000000008E-2</v>
      </c>
      <c r="P45" s="2872">
        <f t="shared" si="144"/>
        <v>5.7200000000000001E-2</v>
      </c>
      <c r="Q45" s="2872">
        <f t="shared" si="144"/>
        <v>2.7200000000000002E-2</v>
      </c>
      <c r="R45" s="2887"/>
      <c r="S45" s="2896"/>
      <c r="T45" s="2897"/>
      <c r="U45" s="2897"/>
      <c r="V45" s="2897"/>
      <c r="X45" s="2897"/>
      <c r="Y45" s="2897"/>
      <c r="Z45" s="2897"/>
    </row>
    <row r="46" spans="1:26">
      <c r="A46" s="2883" t="s">
        <v>2571</v>
      </c>
      <c r="B46" s="2884">
        <f t="shared" ref="B46:C48" si="156">B45/(1+N45)</f>
        <v>254.44570563753314</v>
      </c>
      <c r="C46" s="2884">
        <f t="shared" si="156"/>
        <v>207.37543398705074</v>
      </c>
      <c r="D46" s="2884">
        <f t="shared" si="142"/>
        <v>207.37543398705074</v>
      </c>
      <c r="E46" s="2884">
        <f t="shared" ref="E46:F48" si="157">E45/(1+P45)</f>
        <v>352.81876655315932</v>
      </c>
      <c r="F46" s="2884">
        <f t="shared" si="157"/>
        <v>190.809968847352</v>
      </c>
      <c r="G46" s="3919">
        <v>2010</v>
      </c>
      <c r="H46" s="2910">
        <v>3</v>
      </c>
      <c r="I46" s="2910">
        <v>4.7300000000000004</v>
      </c>
      <c r="J46" s="2910">
        <v>3.9</v>
      </c>
      <c r="K46" s="2910">
        <v>5.03</v>
      </c>
      <c r="L46" s="2911">
        <v>4.21</v>
      </c>
      <c r="N46" s="2886">
        <f t="shared" si="144"/>
        <v>4.7300000000000002E-2</v>
      </c>
      <c r="O46" s="2872">
        <f t="shared" si="144"/>
        <v>3.9E-2</v>
      </c>
      <c r="P46" s="2872">
        <f t="shared" si="144"/>
        <v>5.0300000000000004E-2</v>
      </c>
      <c r="Q46" s="2872">
        <f t="shared" si="144"/>
        <v>4.2099999999999999E-2</v>
      </c>
      <c r="R46" s="2887"/>
      <c r="S46" s="2886"/>
      <c r="T46" s="2872"/>
      <c r="U46" s="2872"/>
      <c r="V46" s="2872"/>
    </row>
    <row r="47" spans="1:26">
      <c r="A47" s="2883" t="s">
        <v>2572</v>
      </c>
      <c r="B47" s="2884">
        <f t="shared" si="156"/>
        <v>242.95398227588385</v>
      </c>
      <c r="C47" s="2884">
        <f t="shared" si="156"/>
        <v>199.59137053614126</v>
      </c>
      <c r="D47" s="2884">
        <f t="shared" si="142"/>
        <v>199.59137053614126</v>
      </c>
      <c r="E47" s="2884">
        <f t="shared" si="157"/>
        <v>335.92189522342125</v>
      </c>
      <c r="F47" s="2884">
        <f t="shared" si="157"/>
        <v>183.10139991109489</v>
      </c>
      <c r="G47" s="3919">
        <v>2010</v>
      </c>
      <c r="H47" s="2898">
        <v>2</v>
      </c>
      <c r="I47" s="2898">
        <v>4.6900000000000004</v>
      </c>
      <c r="J47" s="2898">
        <v>3.55</v>
      </c>
      <c r="K47" s="2898">
        <v>5.07</v>
      </c>
      <c r="L47" s="2899">
        <v>4.2300000000000004</v>
      </c>
      <c r="N47" s="2886">
        <f t="shared" si="144"/>
        <v>4.6900000000000004E-2</v>
      </c>
      <c r="O47" s="2872">
        <f t="shared" si="144"/>
        <v>3.5499999999999997E-2</v>
      </c>
      <c r="P47" s="2872">
        <f t="shared" si="144"/>
        <v>5.0700000000000002E-2</v>
      </c>
      <c r="Q47" s="2872">
        <f t="shared" si="144"/>
        <v>4.2300000000000004E-2</v>
      </c>
      <c r="R47" s="2887"/>
      <c r="S47" s="2886"/>
      <c r="T47" s="2872"/>
      <c r="U47" s="2872"/>
      <c r="V47" s="2872"/>
    </row>
    <row r="48" spans="1:26" ht="13.5" thickBot="1">
      <c r="A48" s="2883" t="s">
        <v>2573</v>
      </c>
      <c r="B48" s="2884">
        <f t="shared" si="156"/>
        <v>232.06990378821649</v>
      </c>
      <c r="C48" s="2884">
        <f t="shared" si="156"/>
        <v>192.74878854286936</v>
      </c>
      <c r="D48" s="2884">
        <f t="shared" si="142"/>
        <v>192.74878854286936</v>
      </c>
      <c r="E48" s="2884">
        <f t="shared" si="157"/>
        <v>319.71247284992984</v>
      </c>
      <c r="F48" s="2884">
        <f t="shared" si="157"/>
        <v>175.67053622862409</v>
      </c>
      <c r="G48" s="3920">
        <v>2010</v>
      </c>
      <c r="H48" s="2885">
        <v>1</v>
      </c>
      <c r="I48" s="2885">
        <v>5.4</v>
      </c>
      <c r="J48" s="2885">
        <v>3.2</v>
      </c>
      <c r="K48" s="2885">
        <v>6.16</v>
      </c>
      <c r="L48" s="2891">
        <v>4.51</v>
      </c>
      <c r="N48" s="2886">
        <f t="shared" si="144"/>
        <v>5.4000000000000006E-2</v>
      </c>
      <c r="O48" s="2872">
        <f t="shared" si="144"/>
        <v>3.2000000000000001E-2</v>
      </c>
      <c r="P48" s="2872">
        <f t="shared" si="144"/>
        <v>6.1600000000000002E-2</v>
      </c>
      <c r="Q48" s="2872">
        <f t="shared" si="144"/>
        <v>4.5100000000000001E-2</v>
      </c>
      <c r="R48" s="2887"/>
      <c r="S48" s="2888">
        <f>B48/B49-1</f>
        <v>5.4863199037347599E-2</v>
      </c>
      <c r="T48" s="2889">
        <f>C48/C49-1</f>
        <v>3.0742184721226584E-2</v>
      </c>
      <c r="U48" s="2889">
        <f>E48/E49-1</f>
        <v>6.2167683886810154E-2</v>
      </c>
      <c r="V48" s="2889">
        <f>F48/F49-1</f>
        <v>4.5657953741810031E-2</v>
      </c>
      <c r="X48" s="2872"/>
      <c r="Y48" s="2872"/>
      <c r="Z48" s="2872"/>
    </row>
    <row r="49" spans="1:26" ht="13.5" thickBot="1">
      <c r="A49" s="2883" t="s">
        <v>2574</v>
      </c>
      <c r="B49" s="2905">
        <v>220</v>
      </c>
      <c r="C49" s="2905">
        <v>187</v>
      </c>
      <c r="D49" s="2905">
        <f t="shared" si="142"/>
        <v>187</v>
      </c>
      <c r="E49" s="2905">
        <v>301</v>
      </c>
      <c r="F49" s="2906">
        <v>168</v>
      </c>
      <c r="G49" s="3918">
        <v>2009</v>
      </c>
      <c r="H49" s="2907">
        <v>4</v>
      </c>
      <c r="I49" s="2907">
        <v>2.2999999999999998</v>
      </c>
      <c r="J49" s="2907">
        <v>1.04</v>
      </c>
      <c r="K49" s="2907">
        <v>2.84</v>
      </c>
      <c r="L49" s="2908">
        <v>0.67</v>
      </c>
      <c r="N49" s="2902">
        <f t="shared" si="144"/>
        <v>2.3E-2</v>
      </c>
      <c r="O49" s="2903">
        <f t="shared" si="144"/>
        <v>1.04E-2</v>
      </c>
      <c r="P49" s="2903">
        <f t="shared" si="144"/>
        <v>2.8399999999999998E-2</v>
      </c>
      <c r="Q49" s="2903">
        <f t="shared" si="144"/>
        <v>6.7000000000000002E-3</v>
      </c>
      <c r="R49" s="2887"/>
      <c r="S49" s="2896"/>
      <c r="T49" s="2897"/>
      <c r="U49" s="2897"/>
      <c r="V49" s="2897"/>
      <c r="X49" s="2897"/>
      <c r="Y49" s="2897"/>
      <c r="Z49" s="2897"/>
    </row>
    <row r="50" spans="1:26">
      <c r="A50" s="2883" t="s">
        <v>2575</v>
      </c>
      <c r="B50" s="2884">
        <f t="shared" ref="B50:C52" si="158">B49/(1+N49)</f>
        <v>215.05376344086022</v>
      </c>
      <c r="C50" s="2884">
        <f t="shared" si="158"/>
        <v>185.0752177355503</v>
      </c>
      <c r="D50" s="2884">
        <f t="shared" si="142"/>
        <v>185.0752177355503</v>
      </c>
      <c r="E50" s="2884">
        <f t="shared" ref="E50:F52" si="159">E49/(1+P49)</f>
        <v>292.68767016725008</v>
      </c>
      <c r="F50" s="2884">
        <f t="shared" si="159"/>
        <v>166.88189132810174</v>
      </c>
      <c r="G50" s="3919">
        <v>2009</v>
      </c>
      <c r="H50" s="2910">
        <v>3</v>
      </c>
      <c r="I50" s="2910">
        <v>2.1</v>
      </c>
      <c r="J50" s="2910">
        <v>1.86</v>
      </c>
      <c r="K50" s="2910">
        <v>2.29</v>
      </c>
      <c r="L50" s="2911">
        <v>0.85</v>
      </c>
      <c r="N50" s="2886">
        <f t="shared" si="144"/>
        <v>2.1000000000000001E-2</v>
      </c>
      <c r="O50" s="2904">
        <f t="shared" si="144"/>
        <v>1.8600000000000002E-2</v>
      </c>
      <c r="P50" s="2904">
        <f t="shared" si="144"/>
        <v>2.29E-2</v>
      </c>
      <c r="Q50" s="2904">
        <f t="shared" si="144"/>
        <v>8.5000000000000006E-3</v>
      </c>
      <c r="R50" s="2887"/>
      <c r="S50" s="2886"/>
      <c r="T50" s="2872"/>
      <c r="U50" s="2872"/>
      <c r="V50" s="2872"/>
    </row>
    <row r="51" spans="1:26">
      <c r="A51" s="2883" t="s">
        <v>2576</v>
      </c>
      <c r="B51" s="2884">
        <f t="shared" si="158"/>
        <v>210.630522469011</v>
      </c>
      <c r="C51" s="2884">
        <f t="shared" si="158"/>
        <v>181.69567812247232</v>
      </c>
      <c r="D51" s="2884">
        <f t="shared" si="142"/>
        <v>181.69567812247232</v>
      </c>
      <c r="E51" s="2884">
        <f t="shared" si="159"/>
        <v>286.13517466736738</v>
      </c>
      <c r="F51" s="2884">
        <f t="shared" si="159"/>
        <v>165.47535084591149</v>
      </c>
      <c r="G51" s="3919">
        <v>2009</v>
      </c>
      <c r="H51" s="2898">
        <v>2</v>
      </c>
      <c r="I51" s="2898">
        <v>0.86</v>
      </c>
      <c r="J51" s="2898">
        <v>-1.1299999999999999</v>
      </c>
      <c r="K51" s="2898">
        <v>1.79</v>
      </c>
      <c r="L51" s="2899">
        <v>-2.0699999999999998</v>
      </c>
      <c r="N51" s="2886">
        <f t="shared" si="144"/>
        <v>8.6E-3</v>
      </c>
      <c r="O51" s="2904">
        <f t="shared" si="144"/>
        <v>-1.1299999999999999E-2</v>
      </c>
      <c r="P51" s="2904">
        <f t="shared" si="144"/>
        <v>1.7899999999999999E-2</v>
      </c>
      <c r="Q51" s="2904">
        <f t="shared" si="144"/>
        <v>-2.07E-2</v>
      </c>
      <c r="R51" s="2887"/>
      <c r="S51" s="2886"/>
      <c r="T51" s="2872"/>
      <c r="U51" s="2872"/>
      <c r="V51" s="2872"/>
    </row>
    <row r="52" spans="1:26">
      <c r="A52" s="2883" t="s">
        <v>2577</v>
      </c>
      <c r="B52" s="2884">
        <f t="shared" si="158"/>
        <v>208.83454537875372</v>
      </c>
      <c r="C52" s="2884">
        <f t="shared" si="158"/>
        <v>183.77230517090351</v>
      </c>
      <c r="D52" s="2884">
        <f t="shared" si="142"/>
        <v>183.77230517090351</v>
      </c>
      <c r="E52" s="2884">
        <f t="shared" si="159"/>
        <v>281.10342338870947</v>
      </c>
      <c r="F52" s="2884">
        <f t="shared" si="159"/>
        <v>168.97309388942256</v>
      </c>
      <c r="G52" s="3920">
        <v>2009</v>
      </c>
      <c r="H52" s="2885">
        <v>1</v>
      </c>
      <c r="I52" s="2885">
        <v>-2.64</v>
      </c>
      <c r="J52" s="2885">
        <v>-2.5299999999999998</v>
      </c>
      <c r="K52" s="2885">
        <v>-3.02</v>
      </c>
      <c r="L52" s="2891">
        <v>1.52</v>
      </c>
      <c r="N52" s="2888">
        <f t="shared" si="144"/>
        <v>-2.64E-2</v>
      </c>
      <c r="O52" s="2889">
        <f t="shared" si="144"/>
        <v>-2.53E-2</v>
      </c>
      <c r="P52" s="2889">
        <f t="shared" si="144"/>
        <v>-3.0200000000000001E-2</v>
      </c>
      <c r="Q52" s="2889">
        <f t="shared" si="144"/>
        <v>1.52E-2</v>
      </c>
      <c r="R52" s="2887"/>
      <c r="S52" s="2888">
        <f>B52/B53-1</f>
        <v>-2.4137638417038754E-2</v>
      </c>
      <c r="T52" s="2889">
        <f>C52/C53-1</f>
        <v>-2.248773845264096E-2</v>
      </c>
      <c r="U52" s="2889">
        <f>E52/E53-1</f>
        <v>-2.7323794502735366E-2</v>
      </c>
      <c r="V52" s="2889">
        <f>F52/F53-1</f>
        <v>1.7910204153148035E-2</v>
      </c>
      <c r="X52" s="2872"/>
      <c r="Y52" s="2872"/>
      <c r="Z52" s="2872"/>
    </row>
    <row r="53" spans="1:26" ht="13.5" thickBot="1">
      <c r="A53" s="2883" t="s">
        <v>2578</v>
      </c>
      <c r="B53" s="2933">
        <v>214</v>
      </c>
      <c r="C53" s="2933">
        <v>188</v>
      </c>
      <c r="D53" s="2933">
        <f t="shared" si="142"/>
        <v>188</v>
      </c>
      <c r="E53" s="2933">
        <v>289</v>
      </c>
      <c r="F53" s="2934">
        <v>166</v>
      </c>
      <c r="G53" s="3918">
        <v>2008</v>
      </c>
      <c r="H53" s="2907">
        <v>4</v>
      </c>
      <c r="I53" s="2907">
        <v>1.73</v>
      </c>
      <c r="J53" s="2907">
        <v>0.03</v>
      </c>
      <c r="K53" s="2907">
        <v>2.59</v>
      </c>
      <c r="L53" s="2908">
        <v>-1.66</v>
      </c>
      <c r="N53" s="2886">
        <f t="shared" si="144"/>
        <v>1.7299999999999999E-2</v>
      </c>
      <c r="O53" s="2872">
        <f t="shared" si="144"/>
        <v>2.9999999999999997E-4</v>
      </c>
      <c r="P53" s="2872">
        <f t="shared" si="144"/>
        <v>2.5899999999999999E-2</v>
      </c>
      <c r="Q53" s="2872">
        <f t="shared" si="144"/>
        <v>-1.66E-2</v>
      </c>
      <c r="R53" s="2887"/>
      <c r="S53" s="2896"/>
      <c r="T53" s="2897"/>
      <c r="U53" s="2897"/>
      <c r="V53" s="2897"/>
      <c r="X53" s="2897"/>
      <c r="Y53" s="2897"/>
      <c r="Z53" s="2897"/>
    </row>
    <row r="54" spans="1:26">
      <c r="A54" s="2883" t="s">
        <v>2579</v>
      </c>
      <c r="B54" s="2884">
        <f t="shared" ref="B54:C56" si="160">B53/(1+N53)</f>
        <v>210.36075887152265</v>
      </c>
      <c r="C54" s="2884">
        <f t="shared" si="160"/>
        <v>187.94361691492554</v>
      </c>
      <c r="D54" s="2884">
        <f t="shared" si="142"/>
        <v>187.94361691492554</v>
      </c>
      <c r="E54" s="2884">
        <f t="shared" ref="E54:F56" si="161">E53/(1+P53)</f>
        <v>281.70386977288234</v>
      </c>
      <c r="F54" s="2884">
        <f t="shared" si="161"/>
        <v>168.80211511083994</v>
      </c>
      <c r="G54" s="3919">
        <v>2008</v>
      </c>
      <c r="H54" s="2910">
        <v>3</v>
      </c>
      <c r="I54" s="2910">
        <v>1.96</v>
      </c>
      <c r="J54" s="2910">
        <v>2.36</v>
      </c>
      <c r="K54" s="2910">
        <v>1.82</v>
      </c>
      <c r="L54" s="2911">
        <v>2.2200000000000002</v>
      </c>
      <c r="N54" s="2886">
        <f t="shared" si="144"/>
        <v>1.9599999999999999E-2</v>
      </c>
      <c r="O54" s="2872">
        <f t="shared" si="144"/>
        <v>2.3599999999999999E-2</v>
      </c>
      <c r="P54" s="2872">
        <f t="shared" si="144"/>
        <v>1.8200000000000001E-2</v>
      </c>
      <c r="Q54" s="2872">
        <f t="shared" si="144"/>
        <v>2.2200000000000001E-2</v>
      </c>
      <c r="R54" s="2887"/>
      <c r="S54" s="2886"/>
      <c r="T54" s="2872"/>
      <c r="U54" s="2872"/>
      <c r="V54" s="2872"/>
    </row>
    <row r="55" spans="1:26">
      <c r="A55" s="2883" t="s">
        <v>2580</v>
      </c>
      <c r="B55" s="2884">
        <f t="shared" si="160"/>
        <v>206.31694671589116</v>
      </c>
      <c r="C55" s="2884">
        <f t="shared" si="160"/>
        <v>183.61041121036101</v>
      </c>
      <c r="D55" s="2884">
        <f t="shared" si="142"/>
        <v>183.61041121036101</v>
      </c>
      <c r="E55" s="2884">
        <f t="shared" si="161"/>
        <v>276.66850301795557</v>
      </c>
      <c r="F55" s="2884">
        <f t="shared" si="161"/>
        <v>165.1360938278614</v>
      </c>
      <c r="G55" s="3919">
        <v>2008</v>
      </c>
      <c r="H55" s="2898">
        <v>2</v>
      </c>
      <c r="I55" s="2898">
        <v>4.93</v>
      </c>
      <c r="J55" s="2898">
        <v>7.38</v>
      </c>
      <c r="K55" s="2898">
        <v>3.98</v>
      </c>
      <c r="L55" s="2899">
        <v>6.86</v>
      </c>
      <c r="N55" s="2886">
        <f t="shared" si="144"/>
        <v>4.9299999999999997E-2</v>
      </c>
      <c r="O55" s="2872">
        <f t="shared" si="144"/>
        <v>7.3800000000000004E-2</v>
      </c>
      <c r="P55" s="2872">
        <f t="shared" si="144"/>
        <v>3.9800000000000002E-2</v>
      </c>
      <c r="Q55" s="2872">
        <f t="shared" si="144"/>
        <v>6.8600000000000008E-2</v>
      </c>
      <c r="R55" s="2887"/>
      <c r="S55" s="2886"/>
      <c r="T55" s="2872"/>
      <c r="U55" s="2872"/>
      <c r="V55" s="2872"/>
    </row>
    <row r="56" spans="1:26" s="2939" customFormat="1" ht="13.5" thickBot="1">
      <c r="A56" s="2883" t="s">
        <v>2581</v>
      </c>
      <c r="B56" s="2936">
        <f t="shared" si="160"/>
        <v>196.62341248059772</v>
      </c>
      <c r="C56" s="2936">
        <f t="shared" si="160"/>
        <v>170.99125648199012</v>
      </c>
      <c r="D56" s="2936">
        <f t="shared" si="142"/>
        <v>170.99125648199012</v>
      </c>
      <c r="E56" s="2936">
        <f t="shared" si="161"/>
        <v>266.07857570490052</v>
      </c>
      <c r="F56" s="2936">
        <f t="shared" si="161"/>
        <v>154.53499328828505</v>
      </c>
      <c r="G56" s="3920">
        <v>2008</v>
      </c>
      <c r="H56" s="2937">
        <v>1</v>
      </c>
      <c r="I56" s="2937">
        <v>4.1399999999999997</v>
      </c>
      <c r="J56" s="2937">
        <v>3.45</v>
      </c>
      <c r="K56" s="2937">
        <v>4.95</v>
      </c>
      <c r="L56" s="2938">
        <v>4.82</v>
      </c>
      <c r="N56" s="2940">
        <f t="shared" si="144"/>
        <v>4.1399999999999999E-2</v>
      </c>
      <c r="O56" s="2941">
        <f t="shared" si="144"/>
        <v>3.4500000000000003E-2</v>
      </c>
      <c r="P56" s="2941">
        <f t="shared" si="144"/>
        <v>4.9500000000000002E-2</v>
      </c>
      <c r="Q56" s="2941">
        <f t="shared" si="144"/>
        <v>4.82E-2</v>
      </c>
      <c r="R56" s="2942"/>
      <c r="S56" s="2940">
        <f>B56/B57-1</f>
        <v>4.5869215322328349E-2</v>
      </c>
      <c r="T56" s="2941">
        <f>C56/C57-1</f>
        <v>3.6310645345394743E-2</v>
      </c>
      <c r="U56" s="2941">
        <f>E56/E57-1</f>
        <v>4.7553447657088688E-2</v>
      </c>
      <c r="V56" s="2941">
        <f>F56/F57-1</f>
        <v>4.4155360055980086E-2</v>
      </c>
      <c r="X56" s="2941"/>
      <c r="Y56" s="2941"/>
      <c r="Z56" s="2941"/>
    </row>
    <row r="57" spans="1:26" ht="13.5" thickBot="1">
      <c r="A57" s="2883" t="s">
        <v>2582</v>
      </c>
      <c r="B57" s="2905">
        <v>188</v>
      </c>
      <c r="C57" s="2905">
        <v>165</v>
      </c>
      <c r="D57" s="2905">
        <f t="shared" si="142"/>
        <v>165</v>
      </c>
      <c r="E57" s="2905">
        <v>254</v>
      </c>
      <c r="F57" s="2906">
        <v>148</v>
      </c>
      <c r="G57" s="3918">
        <v>2007</v>
      </c>
      <c r="H57" s="2943">
        <v>4</v>
      </c>
      <c r="I57" s="2943">
        <v>5.51</v>
      </c>
      <c r="J57" s="2943">
        <v>4.8899999999999997</v>
      </c>
      <c r="K57" s="2943">
        <v>6.43</v>
      </c>
      <c r="L57" s="2944">
        <v>5.36</v>
      </c>
      <c r="N57" s="2945">
        <f t="shared" ref="N57:O60" si="162">B57/B58-1</f>
        <v>4.1339718365245526E-2</v>
      </c>
      <c r="O57" s="2946">
        <f t="shared" si="162"/>
        <v>4.0324492593776018E-2</v>
      </c>
      <c r="P57" s="2946">
        <f t="shared" ref="P57:Q60" si="163">E57/E58-1</f>
        <v>6.1625555347990968E-2</v>
      </c>
      <c r="Q57" s="2946">
        <f t="shared" si="163"/>
        <v>4.6757569250590603E-2</v>
      </c>
      <c r="R57" s="2887"/>
      <c r="S57" s="2896"/>
      <c r="T57" s="2897"/>
      <c r="U57" s="2897"/>
      <c r="V57" s="2897"/>
      <c r="X57" s="2897"/>
      <c r="Y57" s="2897"/>
      <c r="Z57" s="2897"/>
    </row>
    <row r="58" spans="1:26">
      <c r="A58" s="2883" t="s">
        <v>2583</v>
      </c>
      <c r="B58" s="2884">
        <f t="shared" ref="B58:C60" si="164">B59+(B$57-B$61)*I58/SUM(I$57:I$60)</f>
        <v>180.5366651097618</v>
      </c>
      <c r="C58" s="2884">
        <f t="shared" si="164"/>
        <v>158.60435967302453</v>
      </c>
      <c r="D58" s="2884">
        <f t="shared" si="142"/>
        <v>158.60435967302453</v>
      </c>
      <c r="E58" s="2884">
        <f t="shared" ref="E58:F60" si="165">E59+(E$57-E$61)*K58/SUM(K$57:K$60)</f>
        <v>239.25573260785075</v>
      </c>
      <c r="F58" s="2884">
        <f t="shared" si="165"/>
        <v>141.38899430740037</v>
      </c>
      <c r="G58" s="3919">
        <v>2007</v>
      </c>
      <c r="H58" s="2910">
        <v>3</v>
      </c>
      <c r="I58" s="2910">
        <v>8.65</v>
      </c>
      <c r="J58" s="2910">
        <v>8.06</v>
      </c>
      <c r="K58" s="2910">
        <v>9.94</v>
      </c>
      <c r="L58" s="2911">
        <v>5.8</v>
      </c>
      <c r="N58" s="2945">
        <f t="shared" si="162"/>
        <v>6.940217571740015E-2</v>
      </c>
      <c r="O58" s="2946">
        <f t="shared" si="162"/>
        <v>7.1197482471153428E-2</v>
      </c>
      <c r="P58" s="2946">
        <f t="shared" si="163"/>
        <v>0.10529679922579582</v>
      </c>
      <c r="Q58" s="2946">
        <f t="shared" si="163"/>
        <v>5.3292245059512133E-2</v>
      </c>
      <c r="R58" s="2887"/>
      <c r="S58" s="2886"/>
      <c r="T58" s="2872"/>
      <c r="U58" s="2872"/>
      <c r="V58" s="2872"/>
      <c r="X58" s="2947"/>
      <c r="Y58" s="2947"/>
      <c r="Z58" s="2947"/>
    </row>
    <row r="59" spans="1:26">
      <c r="A59" s="2883" t="s">
        <v>2584</v>
      </c>
      <c r="B59" s="2884">
        <f t="shared" si="164"/>
        <v>168.82017748715555</v>
      </c>
      <c r="C59" s="2884">
        <f t="shared" si="164"/>
        <v>148.06267029972753</v>
      </c>
      <c r="D59" s="2884">
        <f t="shared" si="142"/>
        <v>148.06267029972753</v>
      </c>
      <c r="E59" s="2884">
        <f t="shared" si="165"/>
        <v>216.46288379323747</v>
      </c>
      <c r="F59" s="2884">
        <f t="shared" si="165"/>
        <v>134.23529411764704</v>
      </c>
      <c r="G59" s="3919">
        <v>2007</v>
      </c>
      <c r="H59" s="2898">
        <v>2</v>
      </c>
      <c r="I59" s="2898">
        <v>3.67</v>
      </c>
      <c r="J59" s="2898">
        <v>2.3199999999999998</v>
      </c>
      <c r="K59" s="2898">
        <v>5.0199999999999996</v>
      </c>
      <c r="L59" s="2899">
        <v>6.71</v>
      </c>
      <c r="N59" s="2945">
        <f t="shared" si="162"/>
        <v>3.0339138143848032E-2</v>
      </c>
      <c r="O59" s="2946">
        <f t="shared" si="162"/>
        <v>2.0922341588790472E-2</v>
      </c>
      <c r="P59" s="2946">
        <f t="shared" si="163"/>
        <v>5.6164796592717003E-2</v>
      </c>
      <c r="Q59" s="2946">
        <f t="shared" si="163"/>
        <v>6.5704536723887319E-2</v>
      </c>
      <c r="R59" s="2887"/>
      <c r="S59" s="2886"/>
      <c r="T59" s="2872"/>
      <c r="U59" s="2872"/>
      <c r="V59" s="2872"/>
      <c r="X59" s="2947"/>
      <c r="Y59" s="2947"/>
      <c r="Z59" s="2947"/>
    </row>
    <row r="60" spans="1:26">
      <c r="A60" s="2883" t="s">
        <v>2585</v>
      </c>
      <c r="B60" s="2884">
        <f t="shared" si="164"/>
        <v>163.84913591779542</v>
      </c>
      <c r="C60" s="2884">
        <f t="shared" si="164"/>
        <v>145.0283378746594</v>
      </c>
      <c r="D60" s="2884">
        <f t="shared" si="142"/>
        <v>145.0283378746594</v>
      </c>
      <c r="E60" s="2884">
        <f t="shared" si="165"/>
        <v>204.95180722891567</v>
      </c>
      <c r="F60" s="2884">
        <f t="shared" si="165"/>
        <v>125.95920303605313</v>
      </c>
      <c r="G60" s="3920">
        <v>2007</v>
      </c>
      <c r="H60" s="2885">
        <v>1</v>
      </c>
      <c r="I60" s="2885">
        <v>3.58</v>
      </c>
      <c r="J60" s="2885">
        <v>3.08</v>
      </c>
      <c r="K60" s="2885">
        <v>4.34</v>
      </c>
      <c r="L60" s="2891">
        <v>3.21</v>
      </c>
      <c r="N60" s="2948">
        <f t="shared" si="162"/>
        <v>3.0497710174814063E-2</v>
      </c>
      <c r="O60" s="2949">
        <f t="shared" si="162"/>
        <v>2.8569772160704998E-2</v>
      </c>
      <c r="P60" s="2949">
        <f t="shared" si="163"/>
        <v>5.1034908866234296E-2</v>
      </c>
      <c r="Q60" s="2949">
        <f t="shared" si="163"/>
        <v>3.245248390207478E-2</v>
      </c>
      <c r="R60" s="2887"/>
      <c r="S60" s="2888">
        <f>B60/B61-1</f>
        <v>3.0497710174814063E-2</v>
      </c>
      <c r="T60" s="2889">
        <f>C60/C61-1</f>
        <v>2.8569772160704998E-2</v>
      </c>
      <c r="U60" s="2889">
        <f>E60/E61-1</f>
        <v>5.1034908866234296E-2</v>
      </c>
      <c r="V60" s="2889">
        <f>F60/F61-1</f>
        <v>3.245248390207478E-2</v>
      </c>
      <c r="X60" s="2947"/>
      <c r="Y60" s="2947"/>
      <c r="Z60" s="2947"/>
    </row>
    <row r="61" spans="1:26" ht="13.5" thickBot="1">
      <c r="A61" s="2883" t="s">
        <v>2586</v>
      </c>
      <c r="B61" s="2912">
        <v>159</v>
      </c>
      <c r="C61" s="2912">
        <v>141</v>
      </c>
      <c r="D61" s="2912">
        <f t="shared" si="142"/>
        <v>141</v>
      </c>
      <c r="E61" s="2912">
        <v>195</v>
      </c>
      <c r="F61" s="2913">
        <v>122</v>
      </c>
      <c r="G61" s="3918">
        <v>2006</v>
      </c>
      <c r="H61" s="2907">
        <v>4</v>
      </c>
      <c r="I61" s="2907">
        <v>3.79</v>
      </c>
      <c r="J61" s="2907">
        <v>2.21</v>
      </c>
      <c r="K61" s="2907">
        <v>5.65</v>
      </c>
      <c r="L61" s="2908">
        <v>5.41</v>
      </c>
      <c r="N61" s="2945">
        <f t="shared" ref="N61:O64" si="166">I61/SUM(I$61:I$64)*(B$61/B$65-1)</f>
        <v>7.245466462748526E-2</v>
      </c>
      <c r="O61" s="2946">
        <f t="shared" si="166"/>
        <v>2.3237230038062766E-2</v>
      </c>
      <c r="P61" s="2946">
        <f t="shared" ref="P61:Q64" si="167">K61/SUM(K$61:K$64)*(E$61/E$65-1)</f>
        <v>0.16146893866323722</v>
      </c>
      <c r="Q61" s="2946">
        <f t="shared" si="167"/>
        <v>5.0755230321793784E-2</v>
      </c>
      <c r="R61" s="2887"/>
      <c r="S61" s="2896"/>
      <c r="T61" s="2897"/>
      <c r="U61" s="2897"/>
      <c r="V61" s="2897"/>
      <c r="X61" s="2947"/>
      <c r="Y61" s="2947"/>
      <c r="Z61" s="2947"/>
    </row>
    <row r="62" spans="1:26">
      <c r="A62" s="2883" t="s">
        <v>2587</v>
      </c>
      <c r="B62" s="2884">
        <f t="shared" ref="B62:C64" si="168">B63+(B$61-B$65)*I62/SUM(I$61:I$64)</f>
        <v>149.00125628140702</v>
      </c>
      <c r="C62" s="2884">
        <f t="shared" si="168"/>
        <v>137.95592286501378</v>
      </c>
      <c r="D62" s="2884">
        <f t="shared" si="142"/>
        <v>137.95592286501378</v>
      </c>
      <c r="E62" s="2884">
        <f t="shared" ref="E62:F64" si="169">E63+(E$61-E$65)*K62/SUM(K$61:K$64)</f>
        <v>169.97231450719823</v>
      </c>
      <c r="F62" s="2884">
        <f t="shared" si="169"/>
        <v>116.21390374331551</v>
      </c>
      <c r="G62" s="3919">
        <v>2006</v>
      </c>
      <c r="H62" s="2910">
        <v>3</v>
      </c>
      <c r="I62" s="2910">
        <v>0.92</v>
      </c>
      <c r="J62" s="2910">
        <v>1.08</v>
      </c>
      <c r="K62" s="2910">
        <v>0.73</v>
      </c>
      <c r="L62" s="2911">
        <v>1.08</v>
      </c>
      <c r="N62" s="2945">
        <f t="shared" si="166"/>
        <v>1.7587939698492462E-2</v>
      </c>
      <c r="O62" s="2946">
        <f t="shared" si="166"/>
        <v>1.1355750425840628E-2</v>
      </c>
      <c r="P62" s="2946">
        <f t="shared" si="167"/>
        <v>2.0862358446754544E-2</v>
      </c>
      <c r="Q62" s="2946">
        <f t="shared" si="167"/>
        <v>1.0132282578103011E-2</v>
      </c>
      <c r="R62" s="2887"/>
      <c r="S62" s="2886"/>
      <c r="T62" s="2872"/>
      <c r="U62" s="2872"/>
      <c r="V62" s="2872"/>
      <c r="X62" s="2947"/>
      <c r="Y62" s="2947"/>
      <c r="Z62" s="2947"/>
    </row>
    <row r="63" spans="1:26">
      <c r="A63" s="2883" t="s">
        <v>2588</v>
      </c>
      <c r="B63" s="2884">
        <f t="shared" si="168"/>
        <v>146.57412060301507</v>
      </c>
      <c r="C63" s="2884">
        <f t="shared" si="168"/>
        <v>136.46831955922866</v>
      </c>
      <c r="D63" s="2884">
        <f t="shared" si="142"/>
        <v>136.46831955922866</v>
      </c>
      <c r="E63" s="2884">
        <f t="shared" si="169"/>
        <v>166.73864894795128</v>
      </c>
      <c r="F63" s="2884">
        <f t="shared" si="169"/>
        <v>115.05882352941177</v>
      </c>
      <c r="G63" s="3919">
        <v>2006</v>
      </c>
      <c r="H63" s="2898">
        <v>2</v>
      </c>
      <c r="I63" s="2898">
        <v>0.96</v>
      </c>
      <c r="J63" s="2898">
        <v>0.25</v>
      </c>
      <c r="K63" s="2898">
        <v>1.9</v>
      </c>
      <c r="L63" s="2899">
        <v>0.95</v>
      </c>
      <c r="N63" s="2945">
        <f t="shared" si="166"/>
        <v>1.8352632728861701E-2</v>
      </c>
      <c r="O63" s="2946">
        <f t="shared" si="166"/>
        <v>2.6286459319075526E-3</v>
      </c>
      <c r="P63" s="2946">
        <f t="shared" si="167"/>
        <v>5.4299289107991269E-2</v>
      </c>
      <c r="Q63" s="2946">
        <f t="shared" si="167"/>
        <v>8.9126559714794995E-3</v>
      </c>
      <c r="R63" s="2887"/>
      <c r="S63" s="2886"/>
      <c r="T63" s="2872"/>
      <c r="U63" s="2872"/>
      <c r="V63" s="2872"/>
      <c r="X63" s="2947"/>
      <c r="Y63" s="2947"/>
      <c r="Z63" s="2947"/>
    </row>
    <row r="64" spans="1:26">
      <c r="A64" s="2883" t="s">
        <v>2589</v>
      </c>
      <c r="B64" s="2884">
        <f t="shared" si="168"/>
        <v>144.04145728643215</v>
      </c>
      <c r="C64" s="2884">
        <f t="shared" si="168"/>
        <v>136.12396694214877</v>
      </c>
      <c r="D64" s="2884">
        <f t="shared" si="142"/>
        <v>136.12396694214877</v>
      </c>
      <c r="E64" s="2884">
        <f t="shared" si="169"/>
        <v>158.32225913621264</v>
      </c>
      <c r="F64" s="2884">
        <f t="shared" si="169"/>
        <v>114.04278074866311</v>
      </c>
      <c r="G64" s="3920">
        <v>2006</v>
      </c>
      <c r="H64" s="2885">
        <v>1</v>
      </c>
      <c r="I64" s="2885">
        <v>2.29</v>
      </c>
      <c r="J64" s="2885">
        <v>3.72</v>
      </c>
      <c r="K64" s="2885">
        <v>0.75</v>
      </c>
      <c r="L64" s="2891">
        <v>0.04</v>
      </c>
      <c r="N64" s="2948">
        <f t="shared" si="166"/>
        <v>4.3778675988638847E-2</v>
      </c>
      <c r="O64" s="2949">
        <f t="shared" si="166"/>
        <v>3.9114251466784385E-2</v>
      </c>
      <c r="P64" s="2949">
        <f t="shared" si="167"/>
        <v>2.1433929911049188E-2</v>
      </c>
      <c r="Q64" s="2949">
        <f t="shared" si="167"/>
        <v>3.7526972511492629E-4</v>
      </c>
      <c r="R64" s="2887"/>
      <c r="S64" s="2888">
        <f>B64/B65-1</f>
        <v>4.3778675988638716E-2</v>
      </c>
      <c r="T64" s="2889">
        <f>C64/C65-1</f>
        <v>3.91142514667846E-2</v>
      </c>
      <c r="U64" s="2889">
        <f>E64/E65-1</f>
        <v>2.143392991104931E-2</v>
      </c>
      <c r="V64" s="2889">
        <f>F64/F65-1</f>
        <v>3.7526972511492396E-4</v>
      </c>
      <c r="X64" s="2947"/>
      <c r="Y64" s="2947"/>
      <c r="Z64" s="2947"/>
    </row>
    <row r="65" spans="1:26" ht="13.5" thickBot="1">
      <c r="A65" s="2883" t="s">
        <v>2590</v>
      </c>
      <c r="B65" s="2912">
        <v>138</v>
      </c>
      <c r="C65" s="2912">
        <v>131</v>
      </c>
      <c r="D65" s="2912">
        <f t="shared" si="142"/>
        <v>131</v>
      </c>
      <c r="E65" s="2912">
        <v>155</v>
      </c>
      <c r="F65" s="2913">
        <v>114</v>
      </c>
      <c r="G65" s="3918">
        <v>2005</v>
      </c>
      <c r="H65" s="2907">
        <v>4</v>
      </c>
      <c r="I65" s="2907">
        <v>3.29</v>
      </c>
      <c r="J65" s="2907">
        <v>1.44</v>
      </c>
      <c r="K65" s="2907">
        <v>0.66</v>
      </c>
      <c r="L65" s="2908">
        <v>7.78</v>
      </c>
      <c r="N65" s="2945">
        <f t="shared" ref="N65:O68" si="170">I65/SUM(I$65:I$68)*(B$65/B$69-1)</f>
        <v>9.9404603216919935E-2</v>
      </c>
      <c r="O65" s="2946">
        <f t="shared" si="170"/>
        <v>4.7636550760861554E-2</v>
      </c>
      <c r="P65" s="2946">
        <f t="shared" ref="P65:Q68" si="171">K65/SUM(K$65:K$68)*(E$65/E$69-1)</f>
        <v>8.3756345177664976E-2</v>
      </c>
      <c r="Q65" s="2946">
        <f t="shared" si="171"/>
        <v>5.2148766661559584E-2</v>
      </c>
      <c r="R65" s="2887"/>
      <c r="S65" s="2896"/>
      <c r="T65" s="2897"/>
      <c r="U65" s="2897"/>
      <c r="V65" s="2897"/>
      <c r="X65" s="2947"/>
      <c r="Y65" s="2947"/>
      <c r="Z65" s="2947"/>
    </row>
    <row r="66" spans="1:26">
      <c r="A66" s="2883" t="s">
        <v>2591</v>
      </c>
      <c r="B66" s="2884">
        <f t="shared" ref="B66:C68" si="172">B67+(B$65-B$69)*I66/SUM(I$65:I$68)</f>
        <v>125.9720430107527</v>
      </c>
      <c r="C66" s="2884">
        <f t="shared" si="172"/>
        <v>125.1883408071749</v>
      </c>
      <c r="D66" s="2884">
        <f t="shared" si="142"/>
        <v>125.1883408071749</v>
      </c>
      <c r="E66" s="2884">
        <f t="shared" ref="E66:F68" si="173">E67+(E$65-E$69)*K66/SUM(K$65:K$68)</f>
        <v>144.61421319796952</v>
      </c>
      <c r="F66" s="2884">
        <f t="shared" si="173"/>
        <v>108.42008196721311</v>
      </c>
      <c r="G66" s="3919">
        <v>2005</v>
      </c>
      <c r="H66" s="2910">
        <v>3</v>
      </c>
      <c r="I66" s="2910">
        <v>0.46</v>
      </c>
      <c r="J66" s="2910">
        <v>0.32</v>
      </c>
      <c r="K66" s="2910">
        <v>0.42</v>
      </c>
      <c r="L66" s="2911">
        <v>0.64</v>
      </c>
      <c r="N66" s="2945">
        <f t="shared" si="170"/>
        <v>1.3898515951301874E-2</v>
      </c>
      <c r="O66" s="2946">
        <f t="shared" si="170"/>
        <v>1.0585900169080346E-2</v>
      </c>
      <c r="P66" s="2946">
        <f t="shared" si="171"/>
        <v>5.3299492385786795E-2</v>
      </c>
      <c r="Q66" s="2946">
        <f t="shared" si="171"/>
        <v>4.2898728359123568E-3</v>
      </c>
      <c r="R66" s="2887"/>
      <c r="S66" s="2886"/>
      <c r="T66" s="2872"/>
      <c r="U66" s="2872"/>
      <c r="V66" s="2872"/>
      <c r="X66" s="2947"/>
      <c r="Y66" s="2947"/>
      <c r="Z66" s="2947"/>
    </row>
    <row r="67" spans="1:26">
      <c r="A67" s="2883" t="s">
        <v>2592</v>
      </c>
      <c r="B67" s="2884">
        <f t="shared" si="172"/>
        <v>124.29032258064517</v>
      </c>
      <c r="C67" s="2884">
        <f t="shared" si="172"/>
        <v>123.8968609865471</v>
      </c>
      <c r="D67" s="2884">
        <f t="shared" si="142"/>
        <v>123.8968609865471</v>
      </c>
      <c r="E67" s="2884">
        <f t="shared" si="173"/>
        <v>138.00507614213197</v>
      </c>
      <c r="F67" s="2884">
        <f t="shared" si="173"/>
        <v>107.96106557377048</v>
      </c>
      <c r="G67" s="3919">
        <v>2005</v>
      </c>
      <c r="H67" s="2898">
        <v>2</v>
      </c>
      <c r="I67" s="2898">
        <v>0.47</v>
      </c>
      <c r="J67" s="2898">
        <v>0.1</v>
      </c>
      <c r="K67" s="2898">
        <v>0.52</v>
      </c>
      <c r="L67" s="2899">
        <v>0.79</v>
      </c>
      <c r="N67" s="2945">
        <f t="shared" si="170"/>
        <v>1.420065760241713E-2</v>
      </c>
      <c r="O67" s="2946">
        <f t="shared" si="170"/>
        <v>3.3080938028376083E-3</v>
      </c>
      <c r="P67" s="2946">
        <f t="shared" si="171"/>
        <v>6.598984771573603E-2</v>
      </c>
      <c r="Q67" s="2946">
        <f t="shared" si="171"/>
        <v>5.2953117818293153E-3</v>
      </c>
      <c r="R67" s="2887"/>
      <c r="S67" s="2886"/>
      <c r="T67" s="2872"/>
      <c r="U67" s="2872"/>
      <c r="V67" s="2872"/>
      <c r="X67" s="2947"/>
      <c r="Y67" s="2947"/>
      <c r="Z67" s="2947"/>
    </row>
    <row r="68" spans="1:26">
      <c r="A68" s="2883" t="s">
        <v>2593</v>
      </c>
      <c r="B68" s="2884">
        <f t="shared" si="172"/>
        <v>122.57204301075269</v>
      </c>
      <c r="C68" s="2884">
        <f t="shared" si="172"/>
        <v>123.4932735426009</v>
      </c>
      <c r="D68" s="2884">
        <f t="shared" si="142"/>
        <v>123.4932735426009</v>
      </c>
      <c r="E68" s="2884">
        <f t="shared" si="173"/>
        <v>129.82233502538071</v>
      </c>
      <c r="F68" s="2884">
        <f t="shared" si="173"/>
        <v>107.39446721311475</v>
      </c>
      <c r="G68" s="3920">
        <v>2005</v>
      </c>
      <c r="H68" s="2885">
        <v>1</v>
      </c>
      <c r="I68" s="2885">
        <v>0.43</v>
      </c>
      <c r="J68" s="2885">
        <v>0.37</v>
      </c>
      <c r="K68" s="2885">
        <v>0.37</v>
      </c>
      <c r="L68" s="2891">
        <v>0.55000000000000004</v>
      </c>
      <c r="N68" s="2948">
        <f t="shared" si="170"/>
        <v>1.2992090997956099E-2</v>
      </c>
      <c r="O68" s="2949">
        <f t="shared" si="170"/>
        <v>1.2239947070499151E-2</v>
      </c>
      <c r="P68" s="2949">
        <f t="shared" si="171"/>
        <v>4.6954314720812178E-2</v>
      </c>
      <c r="Q68" s="2949">
        <f t="shared" si="171"/>
        <v>3.6866094683621815E-3</v>
      </c>
      <c r="R68" s="2887"/>
      <c r="S68" s="2888">
        <f>B68/B69-1</f>
        <v>1.2992090997956174E-2</v>
      </c>
      <c r="T68" s="2889">
        <f>C68/C69-1</f>
        <v>1.2239947070499246E-2</v>
      </c>
      <c r="U68" s="2889">
        <f>E68/E69-1</f>
        <v>4.695431472081224E-2</v>
      </c>
      <c r="V68" s="2889">
        <f>F68/F69-1</f>
        <v>3.6866094683620787E-3</v>
      </c>
      <c r="X68" s="2947"/>
      <c r="Y68" s="2947"/>
      <c r="Z68" s="2947"/>
    </row>
    <row r="69" spans="1:26" ht="13.5" thickBot="1">
      <c r="A69" s="2883" t="s">
        <v>2594</v>
      </c>
      <c r="B69" s="2933">
        <v>121</v>
      </c>
      <c r="C69" s="2933">
        <v>122</v>
      </c>
      <c r="D69" s="2933">
        <f t="shared" si="142"/>
        <v>122</v>
      </c>
      <c r="E69" s="2933">
        <v>124</v>
      </c>
      <c r="F69" s="2934">
        <v>107</v>
      </c>
      <c r="G69" s="3918">
        <v>2004</v>
      </c>
      <c r="H69" s="2907">
        <v>4</v>
      </c>
      <c r="I69" s="2907">
        <v>0.33</v>
      </c>
      <c r="J69" s="2907">
        <v>0.5</v>
      </c>
      <c r="K69" s="2907">
        <v>0.5</v>
      </c>
      <c r="L69" s="2908">
        <v>0</v>
      </c>
      <c r="N69" s="2945">
        <f t="shared" ref="N69:O72" si="174">I69/SUM(I$69:I$72)*(B$69/B$73-1)</f>
        <v>1.3391770148526898E-2</v>
      </c>
      <c r="O69" s="2946">
        <f t="shared" si="174"/>
        <v>1.063264221158958E-2</v>
      </c>
      <c r="P69" s="2946">
        <f t="shared" ref="P69:Q72" si="175">K69/SUM(K$69:K$72)*(E$69/E$73-1)</f>
        <v>2.2244466688911134E-2</v>
      </c>
      <c r="Q69" s="2946">
        <f t="shared" si="175"/>
        <v>0</v>
      </c>
      <c r="R69" s="2887"/>
      <c r="S69" s="2896"/>
      <c r="T69" s="2897"/>
      <c r="U69" s="2897"/>
      <c r="V69" s="2897"/>
      <c r="X69" s="2947"/>
      <c r="Y69" s="2947"/>
      <c r="Z69" s="2947"/>
    </row>
    <row r="70" spans="1:26">
      <c r="A70" s="2883" t="s">
        <v>2595</v>
      </c>
      <c r="B70" s="2884">
        <f t="shared" ref="B70:C72" si="176">B71+(B$69-B$73)*I70/SUM(I$69:I$72)</f>
        <v>119.51351351351352</v>
      </c>
      <c r="C70" s="2884">
        <f t="shared" si="176"/>
        <v>120.7878787878788</v>
      </c>
      <c r="D70" s="2884">
        <f t="shared" si="142"/>
        <v>120.7878787878788</v>
      </c>
      <c r="E70" s="2884">
        <f t="shared" ref="E70:F72" si="177">E71+(E$69-E$73)*K70/SUM(K$69:K$72)</f>
        <v>121.5975975975976</v>
      </c>
      <c r="F70" s="2884">
        <f t="shared" si="177"/>
        <v>107</v>
      </c>
      <c r="G70" s="3919">
        <v>2004</v>
      </c>
      <c r="H70" s="2910">
        <v>3</v>
      </c>
      <c r="I70" s="2910">
        <v>0.56000000000000005</v>
      </c>
      <c r="J70" s="2910">
        <v>0.8</v>
      </c>
      <c r="K70" s="2910">
        <v>0.83</v>
      </c>
      <c r="L70" s="2911">
        <v>0.06</v>
      </c>
      <c r="N70" s="2945">
        <f t="shared" si="174"/>
        <v>2.2725428130833527E-2</v>
      </c>
      <c r="O70" s="2946">
        <f t="shared" si="174"/>
        <v>1.7012227538543329E-2</v>
      </c>
      <c r="P70" s="2946">
        <f t="shared" si="175"/>
        <v>3.6925814703592477E-2</v>
      </c>
      <c r="Q70" s="2946">
        <f t="shared" si="175"/>
        <v>2.8846153846153744E-2</v>
      </c>
      <c r="R70" s="2887"/>
      <c r="S70" s="2886"/>
      <c r="T70" s="2872"/>
      <c r="U70" s="2872"/>
      <c r="V70" s="2872"/>
      <c r="X70" s="2947"/>
      <c r="Y70" s="2947"/>
      <c r="Z70" s="2947"/>
    </row>
    <row r="71" spans="1:26">
      <c r="A71" s="2883" t="s">
        <v>2596</v>
      </c>
      <c r="B71" s="2884">
        <f t="shared" si="176"/>
        <v>116.99099099099099</v>
      </c>
      <c r="C71" s="2884">
        <f t="shared" si="176"/>
        <v>118.84848484848486</v>
      </c>
      <c r="D71" s="2884">
        <f t="shared" si="142"/>
        <v>118.84848484848486</v>
      </c>
      <c r="E71" s="2884">
        <f t="shared" si="177"/>
        <v>117.60960960960961</v>
      </c>
      <c r="F71" s="2884">
        <f t="shared" si="177"/>
        <v>104</v>
      </c>
      <c r="G71" s="3919">
        <v>2004</v>
      </c>
      <c r="H71" s="2898">
        <v>2</v>
      </c>
      <c r="I71" s="2898">
        <v>1</v>
      </c>
      <c r="J71" s="2898">
        <v>1.5</v>
      </c>
      <c r="K71" s="2898">
        <v>1.5</v>
      </c>
      <c r="L71" s="2899">
        <v>0</v>
      </c>
      <c r="N71" s="2945">
        <f t="shared" si="174"/>
        <v>4.0581121662202721E-2</v>
      </c>
      <c r="O71" s="2946">
        <f t="shared" si="174"/>
        <v>3.1897926634768738E-2</v>
      </c>
      <c r="P71" s="2946">
        <f t="shared" si="175"/>
        <v>6.6733400066733395E-2</v>
      </c>
      <c r="Q71" s="2946">
        <f t="shared" si="175"/>
        <v>0</v>
      </c>
      <c r="R71" s="2887"/>
      <c r="S71" s="2886"/>
      <c r="T71" s="2872"/>
      <c r="U71" s="2872"/>
      <c r="V71" s="2872"/>
      <c r="X71" s="2947"/>
      <c r="Y71" s="2947"/>
      <c r="Z71" s="2947"/>
    </row>
    <row r="72" spans="1:26" s="2939" customFormat="1" ht="13.5" thickBot="1">
      <c r="A72" s="2883" t="s">
        <v>2597</v>
      </c>
      <c r="B72" s="2936">
        <f t="shared" si="176"/>
        <v>112.48648648648648</v>
      </c>
      <c r="C72" s="2936">
        <f t="shared" si="176"/>
        <v>115.21212121212122</v>
      </c>
      <c r="D72" s="2936">
        <f t="shared" si="142"/>
        <v>115.21212121212122</v>
      </c>
      <c r="E72" s="2936">
        <f t="shared" si="177"/>
        <v>110.4024024024024</v>
      </c>
      <c r="F72" s="2936">
        <f t="shared" si="177"/>
        <v>104</v>
      </c>
      <c r="G72" s="3920">
        <v>2004</v>
      </c>
      <c r="H72" s="2937">
        <v>1</v>
      </c>
      <c r="I72" s="2937">
        <v>0.33</v>
      </c>
      <c r="J72" s="2937">
        <v>0.5</v>
      </c>
      <c r="K72" s="2937">
        <v>0.5</v>
      </c>
      <c r="L72" s="2938">
        <v>0</v>
      </c>
      <c r="N72" s="2950">
        <f t="shared" si="174"/>
        <v>1.3391770148526898E-2</v>
      </c>
      <c r="O72" s="2951">
        <f t="shared" si="174"/>
        <v>1.063264221158958E-2</v>
      </c>
      <c r="P72" s="2951">
        <f t="shared" si="175"/>
        <v>2.2244466688911134E-2</v>
      </c>
      <c r="Q72" s="2951">
        <f t="shared" si="175"/>
        <v>0</v>
      </c>
      <c r="R72" s="2942"/>
      <c r="S72" s="2940">
        <f>B72/B73-1</f>
        <v>1.3391770148526883E-2</v>
      </c>
      <c r="T72" s="2941">
        <f>C72/C73-1</f>
        <v>1.063264221158966E-2</v>
      </c>
      <c r="U72" s="2941">
        <f>E72/E73-1</f>
        <v>2.2244466688911224E-2</v>
      </c>
      <c r="V72" s="2941">
        <f>F72/F73-1</f>
        <v>0</v>
      </c>
      <c r="X72" s="2952"/>
      <c r="Y72" s="2952"/>
      <c r="Z72" s="2952"/>
    </row>
    <row r="73" spans="1:26" ht="13.5" thickBot="1">
      <c r="A73" s="2883" t="s">
        <v>2598</v>
      </c>
      <c r="B73" s="2953">
        <v>111</v>
      </c>
      <c r="C73" s="2953">
        <v>114</v>
      </c>
      <c r="D73" s="2953">
        <f t="shared" si="142"/>
        <v>114</v>
      </c>
      <c r="E73" s="2953">
        <v>108</v>
      </c>
      <c r="F73" s="2954">
        <v>104</v>
      </c>
      <c r="G73" s="3918">
        <v>2003</v>
      </c>
      <c r="H73" s="2943">
        <v>4</v>
      </c>
      <c r="I73" s="2955"/>
      <c r="J73" s="2955"/>
      <c r="K73" s="2955"/>
      <c r="L73" s="2955"/>
      <c r="N73" s="2956"/>
      <c r="O73" s="2955"/>
      <c r="P73" s="2955"/>
      <c r="Q73" s="2955"/>
      <c r="S73" s="2956"/>
      <c r="T73" s="2955"/>
      <c r="U73" s="2955"/>
      <c r="V73" s="2955"/>
      <c r="X73" s="2947"/>
      <c r="Y73" s="2947"/>
      <c r="Z73" s="2947"/>
    </row>
    <row r="74" spans="1:26">
      <c r="A74" s="2883" t="s">
        <v>2599</v>
      </c>
      <c r="B74" s="2957">
        <f t="shared" ref="B74:C76" si="178">B75+(B$73-B$77)/4</f>
        <v>109.75</v>
      </c>
      <c r="C74" s="2957">
        <f t="shared" si="178"/>
        <v>112.25</v>
      </c>
      <c r="D74" s="2957">
        <f t="shared" si="142"/>
        <v>112.25</v>
      </c>
      <c r="E74" s="2957">
        <f t="shared" ref="E74:F76" si="179">E75+(E$73-E$77)/4</f>
        <v>107.25</v>
      </c>
      <c r="F74" s="2957">
        <f t="shared" si="179"/>
        <v>103.5</v>
      </c>
      <c r="G74" s="3919">
        <v>2003</v>
      </c>
      <c r="H74" s="2910">
        <v>3</v>
      </c>
      <c r="I74" s="2955"/>
      <c r="J74" s="2955"/>
      <c r="K74" s="2955"/>
      <c r="L74" s="2955"/>
      <c r="X74" s="2947"/>
      <c r="Y74" s="2947"/>
      <c r="Z74" s="2947"/>
    </row>
    <row r="75" spans="1:26">
      <c r="A75" s="2883" t="s">
        <v>2600</v>
      </c>
      <c r="B75" s="2957">
        <f t="shared" si="178"/>
        <v>108.5</v>
      </c>
      <c r="C75" s="2957">
        <f t="shared" si="178"/>
        <v>110.5</v>
      </c>
      <c r="D75" s="2957">
        <f t="shared" si="142"/>
        <v>110.5</v>
      </c>
      <c r="E75" s="2957">
        <f t="shared" si="179"/>
        <v>106.5</v>
      </c>
      <c r="F75" s="2957">
        <f t="shared" si="179"/>
        <v>103</v>
      </c>
      <c r="G75" s="3919">
        <v>2003</v>
      </c>
      <c r="H75" s="2898">
        <v>2</v>
      </c>
      <c r="I75" s="2955"/>
      <c r="J75" s="2955"/>
      <c r="K75" s="2955"/>
      <c r="L75" s="2955"/>
      <c r="X75" s="2947"/>
      <c r="Y75" s="2947"/>
      <c r="Z75" s="2947"/>
    </row>
    <row r="76" spans="1:26" ht="13.5" thickBot="1">
      <c r="A76" s="2883" t="s">
        <v>2601</v>
      </c>
      <c r="B76" s="2957">
        <f t="shared" si="178"/>
        <v>107.25</v>
      </c>
      <c r="C76" s="2957">
        <f t="shared" si="178"/>
        <v>108.75</v>
      </c>
      <c r="D76" s="2957">
        <f t="shared" si="142"/>
        <v>108.75</v>
      </c>
      <c r="E76" s="2957">
        <f t="shared" si="179"/>
        <v>105.75</v>
      </c>
      <c r="F76" s="2957">
        <f t="shared" si="179"/>
        <v>102.5</v>
      </c>
      <c r="G76" s="3920">
        <v>2003</v>
      </c>
      <c r="H76" s="2958">
        <v>1</v>
      </c>
      <c r="I76" s="2955"/>
      <c r="J76" s="2955"/>
      <c r="K76" s="2955"/>
      <c r="L76" s="2955"/>
      <c r="S76" s="2886"/>
      <c r="T76" s="2872"/>
      <c r="U76" s="2872"/>
      <c r="X76" s="2947"/>
      <c r="Y76" s="2947"/>
      <c r="Z76" s="2947"/>
    </row>
    <row r="77" spans="1:26" ht="13.5" thickBot="1">
      <c r="A77" s="2883" t="s">
        <v>2602</v>
      </c>
      <c r="B77" s="2959">
        <v>106</v>
      </c>
      <c r="C77" s="2959">
        <v>107</v>
      </c>
      <c r="D77" s="2959">
        <f t="shared" si="142"/>
        <v>107</v>
      </c>
      <c r="E77" s="2959">
        <v>105</v>
      </c>
      <c r="F77" s="2960">
        <v>102</v>
      </c>
      <c r="G77" s="3918">
        <v>2002</v>
      </c>
      <c r="H77" s="2907">
        <v>4</v>
      </c>
      <c r="I77" s="2955"/>
      <c r="J77" s="2955"/>
      <c r="K77" s="2955"/>
      <c r="L77" s="2955"/>
      <c r="N77" s="2956"/>
      <c r="O77" s="2955"/>
      <c r="P77" s="2955"/>
      <c r="Q77" s="2955"/>
      <c r="S77" s="2956"/>
      <c r="T77" s="2955"/>
      <c r="U77" s="2955"/>
      <c r="V77" s="2955"/>
      <c r="X77" s="2947"/>
      <c r="Y77" s="2947"/>
      <c r="Z77" s="2947"/>
    </row>
    <row r="78" spans="1:26">
      <c r="A78" s="2883" t="s">
        <v>2603</v>
      </c>
      <c r="B78" s="2957">
        <f t="shared" ref="B78:C80" si="180">B79+(B$77-B$81)/4</f>
        <v>105</v>
      </c>
      <c r="C78" s="2957">
        <f t="shared" si="180"/>
        <v>106</v>
      </c>
      <c r="D78" s="2957">
        <f t="shared" si="142"/>
        <v>106</v>
      </c>
      <c r="E78" s="2957">
        <f t="shared" ref="E78:F80" si="181">E79+(E$77-E$81)/4</f>
        <v>104.5</v>
      </c>
      <c r="F78" s="2957">
        <f t="shared" si="181"/>
        <v>101.5</v>
      </c>
      <c r="G78" s="3919">
        <v>2002</v>
      </c>
      <c r="H78" s="2910">
        <v>3</v>
      </c>
      <c r="I78" s="2955"/>
      <c r="J78" s="2955"/>
      <c r="K78" s="2955"/>
      <c r="L78" s="2955"/>
      <c r="X78" s="2947"/>
      <c r="Y78" s="2947"/>
      <c r="Z78" s="2947"/>
    </row>
    <row r="79" spans="1:26">
      <c r="A79" s="2883" t="s">
        <v>2604</v>
      </c>
      <c r="B79" s="2957">
        <f t="shared" si="180"/>
        <v>104</v>
      </c>
      <c r="C79" s="2957">
        <f t="shared" si="180"/>
        <v>105</v>
      </c>
      <c r="D79" s="2957">
        <f t="shared" si="142"/>
        <v>105</v>
      </c>
      <c r="E79" s="2957">
        <f t="shared" si="181"/>
        <v>104</v>
      </c>
      <c r="F79" s="2957">
        <f t="shared" si="181"/>
        <v>101</v>
      </c>
      <c r="G79" s="3919">
        <v>2002</v>
      </c>
      <c r="H79" s="2898">
        <v>2</v>
      </c>
      <c r="I79" s="2955"/>
      <c r="J79" s="2955"/>
      <c r="K79" s="2955"/>
      <c r="L79" s="2955"/>
      <c r="X79" s="2947"/>
      <c r="Y79" s="2947"/>
      <c r="Z79" s="2947"/>
    </row>
    <row r="80" spans="1:26" s="2920" customFormat="1" ht="13.5" thickBot="1">
      <c r="A80" s="2916" t="s">
        <v>2605</v>
      </c>
      <c r="B80" s="2923">
        <f t="shared" si="180"/>
        <v>103</v>
      </c>
      <c r="C80" s="2923">
        <f t="shared" si="180"/>
        <v>104</v>
      </c>
      <c r="D80" s="2923">
        <f t="shared" si="142"/>
        <v>104</v>
      </c>
      <c r="E80" s="2923">
        <f t="shared" si="181"/>
        <v>103.5</v>
      </c>
      <c r="F80" s="2923">
        <f t="shared" si="181"/>
        <v>100.5</v>
      </c>
      <c r="G80" s="3920">
        <v>2002</v>
      </c>
      <c r="H80" s="2961">
        <v>1</v>
      </c>
      <c r="I80" s="2962"/>
      <c r="J80" s="2962"/>
      <c r="K80" s="2962"/>
      <c r="L80" s="2962"/>
      <c r="N80" s="2963"/>
      <c r="S80" s="2963"/>
      <c r="X80" s="2964"/>
      <c r="Y80" s="2964"/>
      <c r="Z80" s="2964"/>
    </row>
    <row r="81" spans="1:26" ht="13.5" thickBot="1">
      <c r="B81" s="2965">
        <v>102</v>
      </c>
      <c r="C81" s="2966">
        <v>103</v>
      </c>
      <c r="D81" s="2966">
        <f t="shared" si="142"/>
        <v>103</v>
      </c>
      <c r="E81" s="2966">
        <v>103</v>
      </c>
      <c r="F81" s="2967">
        <v>100</v>
      </c>
      <c r="I81" s="2955"/>
      <c r="J81" s="2955"/>
      <c r="K81" s="2955"/>
      <c r="L81" s="2955"/>
      <c r="N81" s="2956"/>
      <c r="O81" s="2955"/>
      <c r="P81" s="2955"/>
      <c r="Q81" s="2955"/>
      <c r="S81" s="2956"/>
      <c r="T81" s="2955"/>
      <c r="U81" s="2955"/>
      <c r="V81" s="2955"/>
      <c r="X81" s="2897"/>
      <c r="Y81" s="2897"/>
      <c r="Z81" s="2897"/>
    </row>
    <row r="83" spans="1:26" s="2969" customFormat="1">
      <c r="A83" s="2968" t="s">
        <v>2606</v>
      </c>
      <c r="G83" s="2970"/>
      <c r="N83" s="2970"/>
      <c r="S83" s="2970"/>
    </row>
    <row r="84" spans="1:26" s="2969" customFormat="1">
      <c r="A84" s="2969" t="s">
        <v>2607</v>
      </c>
      <c r="G84" s="2970"/>
      <c r="N84" s="2970"/>
      <c r="S84" s="2970"/>
    </row>
    <row r="85" spans="1:26" s="2969" customFormat="1">
      <c r="A85" s="2969" t="s">
        <v>2608</v>
      </c>
      <c r="G85" s="2970"/>
      <c r="I85" s="2971"/>
      <c r="J85" s="2971"/>
      <c r="K85" s="2971"/>
      <c r="L85" s="2971"/>
      <c r="N85" s="2972"/>
      <c r="O85" s="2971"/>
      <c r="P85" s="2971"/>
      <c r="Q85" s="2971"/>
      <c r="S85" s="2972"/>
      <c r="T85" s="2971"/>
      <c r="U85" s="2971"/>
      <c r="V85" s="2971"/>
    </row>
    <row r="86" spans="1:26" s="2969" customFormat="1">
      <c r="A86" s="2969" t="s">
        <v>2609</v>
      </c>
      <c r="G86" s="2970"/>
      <c r="N86" s="2970"/>
      <c r="S86" s="2970"/>
    </row>
    <row r="93" spans="1:26" ht="13.5" thickBot="1"/>
    <row r="94" spans="1:26">
      <c r="G94" s="2871"/>
      <c r="S94" s="2973" t="s">
        <v>2610</v>
      </c>
      <c r="T94" s="2974" t="s">
        <v>2611</v>
      </c>
      <c r="U94" s="2974" t="s">
        <v>2612</v>
      </c>
      <c r="V94" s="2974" t="s">
        <v>2613</v>
      </c>
    </row>
    <row r="95" spans="1:26">
      <c r="G95" s="2871"/>
      <c r="N95" s="2896"/>
      <c r="O95" s="2897"/>
      <c r="P95" s="2897"/>
      <c r="Q95" s="2897"/>
      <c r="S95" s="2975">
        <v>2006</v>
      </c>
      <c r="T95" s="2976">
        <v>15.1</v>
      </c>
      <c r="U95" s="2976">
        <v>7.43</v>
      </c>
      <c r="V95" s="2976">
        <v>26.26</v>
      </c>
    </row>
    <row r="96" spans="1:26">
      <c r="G96" s="2871"/>
      <c r="N96" s="2896"/>
      <c r="O96" s="2897"/>
      <c r="P96" s="2897"/>
      <c r="Q96" s="2897"/>
      <c r="S96" s="2977">
        <v>2005</v>
      </c>
      <c r="T96" s="2978">
        <v>13.9</v>
      </c>
      <c r="U96" s="2978">
        <v>7.49</v>
      </c>
      <c r="V96" s="2978">
        <v>24.92</v>
      </c>
    </row>
    <row r="97" spans="7:22">
      <c r="G97" s="2871"/>
      <c r="N97" s="2896"/>
      <c r="O97" s="2897"/>
      <c r="P97" s="2897"/>
      <c r="Q97" s="2897"/>
      <c r="S97" s="2975">
        <v>2004</v>
      </c>
      <c r="T97" s="2976">
        <v>9.48</v>
      </c>
      <c r="U97" s="2976">
        <v>7.2</v>
      </c>
      <c r="V97" s="2976">
        <v>14.68</v>
      </c>
    </row>
    <row r="98" spans="7:22">
      <c r="G98" s="2871"/>
      <c r="N98" s="2896"/>
      <c r="O98" s="2897"/>
      <c r="P98" s="2897"/>
      <c r="Q98" s="2897"/>
      <c r="S98" s="2977">
        <v>2003</v>
      </c>
      <c r="T98" s="2978">
        <v>4.5</v>
      </c>
      <c r="U98" s="2978">
        <v>6.12</v>
      </c>
      <c r="V98" s="2978">
        <v>2.34</v>
      </c>
    </row>
    <row r="99" spans="7:22" ht="13.5" thickBot="1">
      <c r="G99" s="2871"/>
      <c r="N99" s="2896"/>
      <c r="O99" s="2897"/>
      <c r="P99" s="2897"/>
      <c r="Q99" s="2897"/>
      <c r="S99" s="2979">
        <v>2002</v>
      </c>
      <c r="T99" s="2980">
        <v>3.59</v>
      </c>
      <c r="U99" s="2980">
        <v>4.54</v>
      </c>
      <c r="V99" s="2980">
        <v>2.5499999999999998</v>
      </c>
    </row>
    <row r="100" spans="7:22">
      <c r="G100" s="2871"/>
      <c r="N100" s="2896"/>
      <c r="O100" s="2897"/>
      <c r="P100" s="2897"/>
      <c r="Q100" s="2897"/>
    </row>
    <row r="101" spans="7:22">
      <c r="G101" s="2871"/>
      <c r="N101" s="2896"/>
      <c r="O101" s="2897"/>
      <c r="P101" s="2897"/>
      <c r="Q101" s="2897"/>
    </row>
    <row r="102" spans="7:22">
      <c r="G102" s="2871"/>
      <c r="N102" s="2896"/>
      <c r="O102" s="2897"/>
      <c r="P102" s="2897"/>
      <c r="Q102" s="2897"/>
    </row>
    <row r="103" spans="7:22">
      <c r="G103" s="2871"/>
      <c r="N103" s="2896"/>
      <c r="O103" s="2897"/>
      <c r="P103" s="2897"/>
      <c r="Q103" s="2897"/>
    </row>
    <row r="104" spans="7:22">
      <c r="G104" s="2871"/>
      <c r="N104" s="2896"/>
      <c r="O104" s="2897"/>
      <c r="P104" s="2897"/>
      <c r="Q104" s="2897"/>
    </row>
    <row r="105" spans="7:22">
      <c r="G105" s="2871"/>
      <c r="N105" s="2896"/>
      <c r="O105" s="2897"/>
      <c r="P105" s="2897"/>
      <c r="Q105" s="2897"/>
    </row>
    <row r="106" spans="7:22">
      <c r="G106" s="2871"/>
      <c r="N106" s="2896"/>
      <c r="O106" s="2897"/>
      <c r="P106" s="2897"/>
      <c r="Q106" s="2897"/>
    </row>
    <row r="107" spans="7:22">
      <c r="G107" s="2871"/>
      <c r="N107" s="2896"/>
      <c r="O107" s="2897"/>
      <c r="P107" s="2897"/>
      <c r="Q107" s="2897"/>
    </row>
    <row r="108" spans="7:22">
      <c r="G108" s="2871"/>
      <c r="N108" s="2896"/>
      <c r="O108" s="2897"/>
      <c r="P108" s="2897"/>
      <c r="Q108" s="2897"/>
    </row>
    <row r="109" spans="7:22">
      <c r="G109" s="2871"/>
      <c r="N109" s="2896"/>
      <c r="O109" s="2897"/>
      <c r="P109" s="2897"/>
      <c r="Q109" s="2897"/>
    </row>
    <row r="110" spans="7:22">
      <c r="G110" s="2871"/>
      <c r="N110" s="2896"/>
      <c r="O110" s="2897"/>
      <c r="P110" s="2897"/>
      <c r="Q110" s="2897"/>
      <c r="S110" s="2871"/>
    </row>
    <row r="111" spans="7:22">
      <c r="G111" s="2871"/>
      <c r="N111" s="2896"/>
      <c r="O111" s="2897"/>
      <c r="P111" s="2897"/>
      <c r="Q111" s="2897"/>
      <c r="S111" s="2871"/>
    </row>
    <row r="112" spans="7:22">
      <c r="G112" s="2871"/>
      <c r="N112" s="2896"/>
      <c r="O112" s="2897"/>
      <c r="P112" s="2897"/>
      <c r="Q112" s="2897"/>
      <c r="S112" s="2871"/>
    </row>
    <row r="113" spans="7:19">
      <c r="G113" s="2871"/>
      <c r="N113" s="2896"/>
      <c r="O113" s="2897"/>
      <c r="P113" s="2897"/>
      <c r="Q113" s="2897"/>
      <c r="S113" s="2871"/>
    </row>
    <row r="114" spans="7:19">
      <c r="G114" s="2871"/>
      <c r="N114" s="2896"/>
      <c r="O114" s="2897"/>
      <c r="P114" s="2897"/>
      <c r="Q114" s="2897"/>
      <c r="S114" s="2871"/>
    </row>
    <row r="115" spans="7:19">
      <c r="G115" s="2871"/>
      <c r="N115" s="2896"/>
      <c r="O115" s="2897"/>
      <c r="P115" s="2897"/>
      <c r="Q115" s="2897"/>
      <c r="S115" s="2871"/>
    </row>
  </sheetData>
  <sheetProtection sheet="1" objects="1" scenarios="1" formatCells="0" formatColumns="0" formatRows="0"/>
  <mergeCells count="23">
    <mergeCell ref="G17:G20"/>
    <mergeCell ref="G13:G16"/>
    <mergeCell ref="G41:G44"/>
    <mergeCell ref="G45:G48"/>
    <mergeCell ref="G49:G52"/>
    <mergeCell ref="G21:G24"/>
    <mergeCell ref="G25:G28"/>
    <mergeCell ref="X1:AB1"/>
    <mergeCell ref="B1:F1"/>
    <mergeCell ref="AD1:AH1"/>
    <mergeCell ref="G77:G80"/>
    <mergeCell ref="G1:L1"/>
    <mergeCell ref="N1:Q1"/>
    <mergeCell ref="S1:V1"/>
    <mergeCell ref="G53:G56"/>
    <mergeCell ref="G57:G60"/>
    <mergeCell ref="G61:G64"/>
    <mergeCell ref="G65:G68"/>
    <mergeCell ref="G69:G72"/>
    <mergeCell ref="G73:G76"/>
    <mergeCell ref="G29:G32"/>
    <mergeCell ref="G33:G36"/>
    <mergeCell ref="G37:G40"/>
  </mergeCells>
  <phoneticPr fontId="228" type="noConversion"/>
  <pageMargins left="0.7" right="0.7" top="0.75" bottom="0.75" header="0.3" footer="0.3"/>
  <pageSetup paperSize="9" scale="75" orientation="landscape" r:id="rId1"/>
  <rowBreaks count="1" manualBreakCount="1">
    <brk id="56" max="21" man="1"/>
  </rowBreaks>
  <colBreaks count="1" manualBreakCount="1">
    <brk id="22" max="70" man="1"/>
  </colBreak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C24" sqref="C24:C524"/>
    </sheetView>
  </sheetViews>
  <sheetFormatPr defaultColWidth="8.875" defaultRowHeight="13.5"/>
  <cols>
    <col min="1" max="1" width="22.75" style="3233" customWidth="1"/>
    <col min="2" max="2" width="12.5" style="3233" customWidth="1"/>
    <col min="3" max="3" width="12.125" style="3233" customWidth="1"/>
    <col min="4" max="4" width="16.625" style="3233" customWidth="1"/>
    <col min="5" max="5" width="12.5" style="3233" customWidth="1"/>
    <col min="6" max="6" width="12.75" style="3233" customWidth="1"/>
    <col min="7" max="16384" width="8.875" style="3233"/>
  </cols>
  <sheetData>
    <row r="1" spans="1:14" ht="20.25">
      <c r="A1" s="3236" t="s">
        <v>2906</v>
      </c>
      <c r="B1" s="3231"/>
      <c r="C1" s="3231"/>
      <c r="D1" s="3231"/>
      <c r="E1" s="3231"/>
      <c r="F1" s="3231"/>
      <c r="G1" s="3232"/>
      <c r="H1" s="3232"/>
      <c r="I1" s="3232"/>
      <c r="J1" s="3232"/>
      <c r="K1" s="3232"/>
      <c r="L1" s="3232"/>
      <c r="M1" s="3232"/>
      <c r="N1" s="3232"/>
    </row>
    <row r="2" spans="1:14" ht="14.25">
      <c r="A2" s="3237" t="s">
        <v>2901</v>
      </c>
      <c r="B2" s="3242">
        <f ca="1">SUMIF(B7:B14,"&lt;&gt;#ref!",B7:B14)</f>
        <v>0</v>
      </c>
      <c r="C2" s="3237" t="s">
        <v>2902</v>
      </c>
      <c r="D2" s="3234"/>
      <c r="E2" s="3234"/>
      <c r="F2" s="3234"/>
      <c r="G2" s="3232"/>
      <c r="H2" s="3232"/>
      <c r="I2" s="3232"/>
      <c r="J2" s="3232"/>
      <c r="K2" s="3232"/>
      <c r="L2" s="3232"/>
      <c r="M2" s="3232"/>
      <c r="N2" s="3232"/>
    </row>
    <row r="3" spans="1:14" ht="14.25">
      <c r="A3" s="3237" t="s">
        <v>2931</v>
      </c>
      <c r="B3" s="3242" t="e">
        <f ca="1">ROUND(B2*10000/E3,0)</f>
        <v>#DIV/0!</v>
      </c>
      <c r="C3" s="3237" t="s">
        <v>2064</v>
      </c>
      <c r="D3" s="3237" t="s">
        <v>2903</v>
      </c>
      <c r="E3" s="3235">
        <f ca="1">SUMIF(E7:E14,"&lt;&gt;#ref!",E7:E14)</f>
        <v>0</v>
      </c>
      <c r="F3" s="3234"/>
      <c r="G3" s="3232"/>
      <c r="H3" s="3232"/>
      <c r="I3" s="3232"/>
      <c r="J3" s="3232"/>
      <c r="K3" s="3232"/>
      <c r="L3" s="3232"/>
      <c r="M3" s="3232"/>
      <c r="N3" s="3232"/>
    </row>
    <row r="4" spans="1:14" ht="14.25">
      <c r="A4" s="3237" t="s">
        <v>2909</v>
      </c>
      <c r="B4" s="3242" t="e">
        <f ca="1">ROUND(B2*10000/E4,0)</f>
        <v>#DIV/0!</v>
      </c>
      <c r="C4" s="3237" t="s">
        <v>2064</v>
      </c>
      <c r="D4" s="3237" t="s">
        <v>2910</v>
      </c>
      <c r="E4" s="3235">
        <f ca="1">SUMIF(F7:F14,"&lt;&gt;#ref!",F7:F14)</f>
        <v>0</v>
      </c>
      <c r="F4" s="3234"/>
      <c r="G4" s="3232"/>
      <c r="H4" s="3232"/>
      <c r="I4" s="3232"/>
      <c r="J4" s="3232"/>
      <c r="K4" s="3232"/>
      <c r="L4" s="3232"/>
      <c r="M4" s="3232"/>
      <c r="N4" s="3232"/>
    </row>
    <row r="5" spans="1:14" ht="14.25">
      <c r="A5" s="3238"/>
      <c r="B5" s="3234"/>
      <c r="C5" s="3234"/>
      <c r="D5" s="3234"/>
      <c r="E5" s="3234"/>
      <c r="F5" s="3234"/>
      <c r="G5" s="3232"/>
      <c r="H5" s="3232"/>
      <c r="I5" s="3232"/>
      <c r="J5" s="3232"/>
      <c r="K5" s="3232"/>
      <c r="L5" s="3232"/>
      <c r="M5" s="3232"/>
      <c r="N5" s="3232"/>
    </row>
    <row r="6" spans="1:14" ht="28.5">
      <c r="A6" s="3239" t="s">
        <v>2907</v>
      </c>
      <c r="B6" s="3237" t="s">
        <v>2904</v>
      </c>
      <c r="C6" s="2775"/>
      <c r="D6" s="3234"/>
      <c r="E6" s="3237" t="s">
        <v>2905</v>
      </c>
      <c r="F6" s="3237" t="s">
        <v>2908</v>
      </c>
      <c r="G6" s="3232"/>
      <c r="H6" s="3232"/>
      <c r="I6" s="3232"/>
      <c r="J6" s="3232"/>
      <c r="K6" s="3232"/>
      <c r="L6" s="3232"/>
      <c r="M6" s="3232"/>
      <c r="N6" s="3232"/>
    </row>
    <row r="7" spans="1:14" ht="14.25">
      <c r="A7" s="3240"/>
      <c r="B7" s="3242" t="e">
        <f ca="1">SUMIF(INDIRECT("'"&amp;A7&amp;"'"&amp;"!A:A"),"总价",INDIRECT("'"&amp;A7&amp;"'"&amp;"!B:B"))</f>
        <v>#REF!</v>
      </c>
      <c r="C7" s="3237" t="s">
        <v>2902</v>
      </c>
      <c r="D7" s="3234"/>
      <c r="E7" s="3235" t="e">
        <f ca="1">SUMIF(INDIRECT("'"&amp;A7&amp;"'"&amp;"!C:C"),"建筑面积",INDIRECT("'"&amp;A7&amp;"'"&amp;"!D:D"))</f>
        <v>#REF!</v>
      </c>
      <c r="F7" s="3235" t="e">
        <f ca="1">SUMIF(INDIRECT("'"&amp;A7&amp;"'"&amp;"!E:E"),"土地面积",INDIRECT("'"&amp;A7&amp;"'"&amp;"!F:F"))</f>
        <v>#REF!</v>
      </c>
      <c r="G7" s="3232"/>
      <c r="H7" s="3232"/>
      <c r="I7" s="3232"/>
      <c r="J7" s="3232"/>
      <c r="K7" s="3232"/>
      <c r="L7" s="3232"/>
      <c r="M7" s="3232"/>
      <c r="N7" s="3232"/>
    </row>
    <row r="8" spans="1:14" ht="14.25">
      <c r="A8" s="3240"/>
      <c r="B8" s="3242" t="e">
        <f t="shared" ref="B8:B14" ca="1" si="0">SUMIF(INDIRECT("'"&amp;A8&amp;"'"&amp;"!A:A"),"总价",INDIRECT("'"&amp;A8&amp;"'"&amp;"!B:B"))</f>
        <v>#REF!</v>
      </c>
      <c r="C8" s="3237" t="s">
        <v>2902</v>
      </c>
      <c r="D8" s="3234"/>
      <c r="E8" s="3235" t="e">
        <f t="shared" ref="E8:E14" ca="1" si="1">SUMIF(INDIRECT("'"&amp;A8&amp;"'"&amp;"!C:C"),"建筑面积",INDIRECT("'"&amp;A8&amp;"'"&amp;"!D:D"))</f>
        <v>#REF!</v>
      </c>
      <c r="F8" s="3235" t="e">
        <f t="shared" ref="F8:F14" ca="1" si="2">SUMIF(INDIRECT("'"&amp;A8&amp;"'"&amp;"!E:E"),"土地面积",INDIRECT("'"&amp;A8&amp;"'"&amp;"!F:F"))</f>
        <v>#REF!</v>
      </c>
      <c r="G8" s="3232"/>
      <c r="H8" s="3232"/>
      <c r="I8" s="3232"/>
      <c r="J8" s="3232"/>
      <c r="K8" s="3232"/>
      <c r="L8" s="3232"/>
      <c r="M8" s="3232"/>
      <c r="N8" s="3232"/>
    </row>
    <row r="9" spans="1:14" ht="14.25">
      <c r="A9" s="3240"/>
      <c r="B9" s="3242" t="e">
        <f t="shared" ca="1" si="0"/>
        <v>#REF!</v>
      </c>
      <c r="C9" s="3237" t="s">
        <v>2902</v>
      </c>
      <c r="D9" s="3234"/>
      <c r="E9" s="3235" t="e">
        <f t="shared" ca="1" si="1"/>
        <v>#REF!</v>
      </c>
      <c r="F9" s="3235" t="e">
        <f t="shared" ca="1" si="2"/>
        <v>#REF!</v>
      </c>
      <c r="G9" s="3232"/>
      <c r="H9" s="3232"/>
      <c r="I9" s="3232"/>
      <c r="J9" s="3232"/>
      <c r="K9" s="3232"/>
      <c r="L9" s="3232"/>
      <c r="M9" s="3232"/>
      <c r="N9" s="3232"/>
    </row>
    <row r="10" spans="1:14" ht="14.25">
      <c r="A10" s="3240"/>
      <c r="B10" s="3242" t="e">
        <f t="shared" ca="1" si="0"/>
        <v>#REF!</v>
      </c>
      <c r="C10" s="3237" t="s">
        <v>2902</v>
      </c>
      <c r="D10" s="3234"/>
      <c r="E10" s="3235" t="e">
        <f t="shared" ca="1" si="1"/>
        <v>#REF!</v>
      </c>
      <c r="F10" s="3235" t="e">
        <f t="shared" ca="1" si="2"/>
        <v>#REF!</v>
      </c>
      <c r="G10" s="3232"/>
      <c r="H10" s="3232"/>
      <c r="I10" s="3232"/>
      <c r="J10" s="3232"/>
      <c r="K10" s="3232"/>
      <c r="L10" s="3232"/>
      <c r="M10" s="3232"/>
      <c r="N10" s="3232"/>
    </row>
    <row r="11" spans="1:14" ht="14.25">
      <c r="A11" s="3240"/>
      <c r="B11" s="3242" t="e">
        <f t="shared" ca="1" si="0"/>
        <v>#REF!</v>
      </c>
      <c r="C11" s="3237" t="s">
        <v>2902</v>
      </c>
      <c r="D11" s="3234"/>
      <c r="E11" s="3235" t="e">
        <f t="shared" ca="1" si="1"/>
        <v>#REF!</v>
      </c>
      <c r="F11" s="3235" t="e">
        <f t="shared" ca="1" si="2"/>
        <v>#REF!</v>
      </c>
      <c r="G11" s="3232"/>
      <c r="H11" s="3232"/>
      <c r="I11" s="3232"/>
      <c r="J11" s="3232"/>
      <c r="K11" s="3232"/>
      <c r="L11" s="3232"/>
      <c r="M11" s="3232"/>
      <c r="N11" s="3232"/>
    </row>
    <row r="12" spans="1:14" ht="14.25">
      <c r="A12" s="3240"/>
      <c r="B12" s="3242" t="e">
        <f t="shared" ca="1" si="0"/>
        <v>#REF!</v>
      </c>
      <c r="C12" s="3237" t="s">
        <v>2902</v>
      </c>
      <c r="D12" s="3234"/>
      <c r="E12" s="3235" t="e">
        <f t="shared" ca="1" si="1"/>
        <v>#REF!</v>
      </c>
      <c r="F12" s="3235" t="e">
        <f t="shared" ca="1" si="2"/>
        <v>#REF!</v>
      </c>
      <c r="G12" s="3232"/>
      <c r="H12" s="3232"/>
      <c r="I12" s="3232"/>
      <c r="J12" s="3232"/>
      <c r="K12" s="3232"/>
      <c r="L12" s="3232"/>
      <c r="M12" s="3232"/>
      <c r="N12" s="3232"/>
    </row>
    <row r="13" spans="1:14" ht="14.25">
      <c r="A13" s="3240"/>
      <c r="B13" s="3242" t="e">
        <f t="shared" ca="1" si="0"/>
        <v>#REF!</v>
      </c>
      <c r="C13" s="3237" t="s">
        <v>2902</v>
      </c>
      <c r="D13" s="3234"/>
      <c r="E13" s="3235" t="e">
        <f t="shared" ca="1" si="1"/>
        <v>#REF!</v>
      </c>
      <c r="F13" s="3235" t="e">
        <f t="shared" ca="1" si="2"/>
        <v>#REF!</v>
      </c>
      <c r="G13" s="3232"/>
      <c r="H13" s="3232"/>
      <c r="I13" s="3232"/>
      <c r="J13" s="3232"/>
      <c r="K13" s="3232"/>
      <c r="L13" s="3232"/>
      <c r="M13" s="3232"/>
      <c r="N13" s="3232"/>
    </row>
    <row r="14" spans="1:14" ht="14.25">
      <c r="A14" s="3241"/>
      <c r="B14" s="3242" t="e">
        <f t="shared" ca="1" si="0"/>
        <v>#REF!</v>
      </c>
      <c r="C14" s="3237" t="s">
        <v>2902</v>
      </c>
      <c r="D14" s="3234"/>
      <c r="E14" s="3235" t="e">
        <f t="shared" ca="1" si="1"/>
        <v>#REF!</v>
      </c>
      <c r="F14" s="3235" t="e">
        <f t="shared" ca="1" si="2"/>
        <v>#REF!</v>
      </c>
      <c r="G14" s="3232"/>
      <c r="H14" s="3232"/>
      <c r="I14" s="3232"/>
      <c r="J14" s="3232"/>
      <c r="K14" s="3232"/>
      <c r="L14" s="3232"/>
      <c r="M14" s="3232"/>
      <c r="N14" s="3232"/>
    </row>
    <row r="15" spans="1:14">
      <c r="A15" s="3232"/>
      <c r="B15" s="3232"/>
      <c r="C15" s="3232"/>
      <c r="D15" s="3232"/>
      <c r="E15" s="3232"/>
      <c r="F15" s="3232"/>
      <c r="G15" s="3232"/>
      <c r="H15" s="3232"/>
      <c r="I15" s="3232"/>
      <c r="J15" s="3232"/>
      <c r="K15" s="3232"/>
      <c r="L15" s="3232"/>
      <c r="M15" s="3232"/>
      <c r="N15" s="3232"/>
    </row>
    <row r="16" spans="1:14">
      <c r="A16" s="3232"/>
      <c r="B16" s="3232"/>
      <c r="C16" s="3232"/>
      <c r="D16" s="3232"/>
      <c r="E16" s="3232"/>
      <c r="F16" s="3232"/>
      <c r="G16" s="3232"/>
      <c r="H16" s="3232"/>
      <c r="I16" s="3232"/>
      <c r="J16" s="3232"/>
      <c r="K16" s="3232"/>
      <c r="L16" s="3232"/>
      <c r="M16" s="3232"/>
      <c r="N16" s="3232"/>
    </row>
    <row r="17" spans="1:14">
      <c r="A17" s="3232"/>
      <c r="B17" s="3232"/>
      <c r="C17" s="3232"/>
      <c r="D17" s="3232"/>
      <c r="E17" s="3232"/>
      <c r="F17" s="3232"/>
      <c r="G17" s="3232"/>
      <c r="H17" s="3232"/>
      <c r="I17" s="3232"/>
      <c r="J17" s="3232"/>
      <c r="K17" s="3232"/>
      <c r="L17" s="3232"/>
      <c r="M17" s="3232"/>
      <c r="N17" s="3232"/>
    </row>
    <row r="18" spans="1:14">
      <c r="A18" s="3232"/>
      <c r="B18" s="3232"/>
      <c r="C18" s="3232"/>
      <c r="D18" s="3232"/>
      <c r="E18" s="3232"/>
      <c r="F18" s="3232"/>
      <c r="G18" s="3232"/>
      <c r="H18" s="3232"/>
      <c r="I18" s="3232"/>
      <c r="J18" s="3232"/>
      <c r="K18" s="3232"/>
      <c r="L18" s="3232"/>
      <c r="M18" s="3232"/>
      <c r="N18" s="3232"/>
    </row>
    <row r="19" spans="1:14">
      <c r="A19" s="3232"/>
      <c r="B19" s="3232"/>
      <c r="C19" s="3232"/>
      <c r="D19" s="3232"/>
      <c r="E19" s="3232"/>
      <c r="F19" s="3232"/>
      <c r="G19" s="3232"/>
      <c r="H19" s="3232"/>
      <c r="I19" s="3232"/>
      <c r="J19" s="3232"/>
      <c r="K19" s="3232"/>
      <c r="L19" s="3232"/>
      <c r="M19" s="3232"/>
      <c r="N19" s="3232"/>
    </row>
    <row r="20" spans="1:14">
      <c r="A20" s="3232"/>
      <c r="B20" s="3232"/>
      <c r="C20" s="3232"/>
      <c r="D20" s="3232"/>
      <c r="E20" s="3232"/>
      <c r="F20" s="3232"/>
      <c r="G20" s="3232"/>
      <c r="H20" s="3232"/>
      <c r="I20" s="3232"/>
      <c r="J20" s="3232"/>
      <c r="K20" s="3232"/>
      <c r="L20" s="3232"/>
      <c r="M20" s="3232"/>
      <c r="N20" s="3232"/>
    </row>
    <row r="21" spans="1:14">
      <c r="A21" s="3232"/>
      <c r="B21" s="3232"/>
      <c r="C21" s="3232"/>
      <c r="D21" s="3232"/>
      <c r="E21" s="3232"/>
      <c r="F21" s="3232"/>
      <c r="G21" s="3232"/>
      <c r="H21" s="3232"/>
      <c r="I21" s="3232"/>
      <c r="J21" s="3232"/>
      <c r="K21" s="3232"/>
      <c r="L21" s="3232"/>
      <c r="M21" s="3232"/>
      <c r="N21" s="3232"/>
    </row>
    <row r="22" spans="1:14">
      <c r="A22" s="3232"/>
      <c r="B22" s="3232"/>
      <c r="C22" s="3232"/>
      <c r="D22" s="3232"/>
      <c r="E22" s="3232"/>
      <c r="F22" s="3232"/>
      <c r="G22" s="3232"/>
      <c r="H22" s="3232"/>
      <c r="I22" s="3232"/>
      <c r="J22" s="3232"/>
      <c r="K22" s="3232"/>
      <c r="L22" s="3232"/>
      <c r="M22" s="3232"/>
      <c r="N22" s="3232"/>
    </row>
    <row r="23" spans="1:14">
      <c r="A23" s="3232"/>
      <c r="B23" s="3232"/>
      <c r="C23" s="3232"/>
      <c r="D23" s="3232"/>
      <c r="E23" s="3232"/>
      <c r="F23" s="3232"/>
      <c r="G23" s="3232"/>
      <c r="H23" s="3232"/>
      <c r="I23" s="3232"/>
      <c r="J23" s="3232"/>
      <c r="K23" s="3232"/>
      <c r="L23" s="3232"/>
      <c r="M23" s="3232"/>
      <c r="N23" s="3232"/>
    </row>
    <row r="24" spans="1:14">
      <c r="A24" s="3232"/>
      <c r="B24" s="3232"/>
      <c r="C24" s="3232"/>
      <c r="D24" s="3232"/>
      <c r="E24" s="3232"/>
      <c r="F24" s="3232"/>
      <c r="G24" s="3232"/>
      <c r="H24" s="3232"/>
      <c r="I24" s="3232"/>
      <c r="J24" s="3232"/>
      <c r="K24" s="3232"/>
      <c r="L24" s="3232"/>
      <c r="M24" s="3232"/>
      <c r="N24" s="3232"/>
    </row>
    <row r="25" spans="1:14">
      <c r="A25" s="3232"/>
      <c r="B25" s="3232"/>
      <c r="C25" s="3232"/>
      <c r="D25" s="3232"/>
      <c r="E25" s="3232"/>
      <c r="F25" s="3232"/>
      <c r="G25" s="3232"/>
      <c r="H25" s="3232"/>
      <c r="I25" s="3232"/>
      <c r="J25" s="3232"/>
      <c r="K25" s="3232"/>
      <c r="L25" s="3232"/>
      <c r="M25" s="3232"/>
      <c r="N25" s="3232"/>
    </row>
    <row r="26" spans="1:14">
      <c r="A26" s="3232"/>
      <c r="B26" s="3232"/>
      <c r="C26" s="3232"/>
      <c r="D26" s="3232"/>
      <c r="E26" s="3232"/>
      <c r="F26" s="3232"/>
      <c r="G26" s="3232"/>
      <c r="H26" s="3232"/>
      <c r="I26" s="3232"/>
      <c r="J26" s="3232"/>
      <c r="K26" s="3232"/>
      <c r="L26" s="3232"/>
      <c r="M26" s="3232"/>
      <c r="N26" s="3232"/>
    </row>
    <row r="27" spans="1:14">
      <c r="A27" s="3232"/>
      <c r="B27" s="3232"/>
      <c r="C27" s="3232"/>
      <c r="D27" s="3232"/>
      <c r="E27" s="3232"/>
      <c r="F27" s="3232"/>
      <c r="G27" s="3232"/>
      <c r="H27" s="3232"/>
      <c r="I27" s="3232"/>
      <c r="J27" s="3232"/>
      <c r="K27" s="3232"/>
      <c r="L27" s="3232"/>
      <c r="M27" s="3232"/>
      <c r="N27" s="3232"/>
    </row>
    <row r="28" spans="1:14">
      <c r="A28" s="3232"/>
      <c r="B28" s="3232"/>
      <c r="C28" s="3232"/>
      <c r="D28" s="3232"/>
      <c r="E28" s="3232"/>
      <c r="F28" s="3232"/>
      <c r="G28" s="3232"/>
      <c r="H28" s="3232"/>
      <c r="I28" s="3232"/>
      <c r="J28" s="3232"/>
      <c r="K28" s="3232"/>
      <c r="L28" s="3232"/>
      <c r="M28" s="3232"/>
      <c r="N28" s="3232"/>
    </row>
    <row r="29" spans="1:14">
      <c r="A29" s="3232"/>
      <c r="B29" s="3232"/>
      <c r="C29" s="3232"/>
      <c r="D29" s="3232"/>
      <c r="E29" s="3232"/>
      <c r="F29" s="3232"/>
      <c r="G29" s="3232"/>
      <c r="H29" s="3232"/>
      <c r="I29" s="3232"/>
      <c r="J29" s="3232"/>
      <c r="K29" s="3232"/>
      <c r="L29" s="3232"/>
      <c r="M29" s="3232"/>
      <c r="N29" s="3232"/>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C24" sqref="C24:C524"/>
    </sheetView>
  </sheetViews>
  <sheetFormatPr defaultColWidth="9" defaultRowHeight="15"/>
  <cols>
    <col min="1" max="1" width="9" style="1966" customWidth="1"/>
    <col min="2" max="2" width="20.625" style="1967" customWidth="1"/>
    <col min="3" max="3" width="11.875" style="1967" customWidth="1"/>
    <col min="4" max="4" width="40.5" style="1929" customWidth="1"/>
    <col min="5" max="5" width="15.75" style="1929" customWidth="1"/>
    <col min="6" max="6" width="10.625" style="1929" customWidth="1"/>
    <col min="7" max="7" width="4.875" style="1929" customWidth="1"/>
    <col min="8" max="8" width="8.5" style="1929" customWidth="1"/>
    <col min="9" max="9" width="21.25" style="1929" customWidth="1"/>
    <col min="10" max="10" width="12.25" style="1929" customWidth="1"/>
    <col min="11" max="11" width="40.125" style="1968" customWidth="1"/>
    <col min="12" max="12" width="18.375" style="1929" customWidth="1"/>
    <col min="13" max="13" width="13" style="1929" customWidth="1"/>
    <col min="14" max="14" width="9.5" style="1928" bestFit="1" customWidth="1"/>
    <col min="15" max="15" width="8.375" style="1928" customWidth="1"/>
    <col min="16" max="16" width="30.25" style="1928" customWidth="1"/>
    <col min="17" max="17" width="13.75" style="1928" customWidth="1"/>
    <col min="18" max="18" width="22.25" style="1928" customWidth="1"/>
    <col min="19" max="19" width="1.5" style="1928" customWidth="1"/>
    <col min="20" max="25" width="9" style="1928"/>
    <col min="26" max="16384" width="9" style="1929"/>
  </cols>
  <sheetData>
    <row r="1" spans="1:25" s="1923" customFormat="1" ht="21">
      <c r="A1" s="754" t="s">
        <v>622</v>
      </c>
      <c r="B1" s="722"/>
      <c r="C1" s="755"/>
      <c r="D1" s="1919"/>
      <c r="E1" s="2228" t="s">
        <v>2353</v>
      </c>
      <c r="F1" s="2229">
        <f ca="1">J54</f>
        <v>-3</v>
      </c>
      <c r="G1" s="756">
        <f>MATCH(C1,'数据-取费表'!A6:A16,0)+5</f>
        <v>12</v>
      </c>
      <c r="H1" s="1293"/>
      <c r="I1" s="1920"/>
      <c r="J1" s="1920"/>
      <c r="K1" s="1921"/>
      <c r="L1" s="1920"/>
      <c r="M1" s="1920"/>
      <c r="N1" s="1922"/>
      <c r="O1" s="1922"/>
      <c r="P1" s="1922"/>
      <c r="Q1" s="1922"/>
      <c r="R1" s="1922"/>
      <c r="S1" s="1922"/>
      <c r="T1" s="1922"/>
      <c r="U1" s="1922"/>
      <c r="V1" s="1922"/>
      <c r="W1" s="1922"/>
      <c r="X1" s="1922"/>
      <c r="Y1" s="1922"/>
    </row>
    <row r="2" spans="1:25" ht="18" customHeight="1">
      <c r="A2" s="1560" t="s">
        <v>623</v>
      </c>
      <c r="B2" s="757">
        <f ca="1">IF(ISERROR(C45+J31),0,C45+J31)</f>
        <v>0</v>
      </c>
      <c r="C2" s="1294"/>
      <c r="D2" s="1924"/>
      <c r="E2" s="1925"/>
      <c r="F2" s="1925"/>
      <c r="G2" s="1512"/>
      <c r="H2" s="1306"/>
      <c r="I2" s="1926"/>
      <c r="J2" s="1926"/>
      <c r="K2" s="1927"/>
      <c r="L2" s="1926"/>
      <c r="M2" s="1926"/>
    </row>
    <row r="3" spans="1:25" ht="18" customHeight="1">
      <c r="A3" s="1561" t="s">
        <v>1676</v>
      </c>
      <c r="B3" s="1327">
        <f ca="1">ROUND(B2*10000/'数据-汇总表'!E3,0)</f>
        <v>0</v>
      </c>
      <c r="C3" s="1294"/>
      <c r="D3" s="1924"/>
      <c r="E3" s="1925"/>
      <c r="F3" s="1925"/>
      <c r="G3" s="1512"/>
      <c r="H3" s="758" t="s">
        <v>689</v>
      </c>
      <c r="I3" s="1926"/>
      <c r="J3" s="1926"/>
      <c r="K3" s="1927"/>
      <c r="L3" s="1926"/>
      <c r="M3" s="1926"/>
    </row>
    <row r="4" spans="1:25" ht="18" customHeight="1">
      <c r="A4" s="1562" t="s">
        <v>690</v>
      </c>
      <c r="B4" s="1295">
        <f ca="1">ROUND(B2*10000/'数据-汇总表'!D3,0)</f>
        <v>0</v>
      </c>
      <c r="C4" s="414"/>
      <c r="D4" s="1924"/>
      <c r="E4" s="1925"/>
      <c r="F4" s="1925"/>
      <c r="G4" s="1512"/>
      <c r="H4" s="758"/>
      <c r="I4" s="1926"/>
      <c r="J4" s="1926"/>
      <c r="K4" s="1927"/>
      <c r="L4" s="1926"/>
      <c r="M4" s="1926"/>
    </row>
    <row r="5" spans="1:25" ht="18" customHeight="1" thickBot="1">
      <c r="A5" s="1563"/>
      <c r="B5" s="416">
        <f ca="1">ROUND(B2/('数据-汇总表'!D3/666.67),0)</f>
        <v>0</v>
      </c>
      <c r="C5" s="417" t="s">
        <v>691</v>
      </c>
      <c r="D5" s="1924"/>
      <c r="E5" s="1925"/>
      <c r="F5" s="1925"/>
      <c r="G5" s="1512"/>
      <c r="H5" s="758"/>
      <c r="I5" s="1926"/>
      <c r="J5" s="1926"/>
      <c r="K5" s="1927"/>
      <c r="L5" s="1926"/>
      <c r="M5" s="1926"/>
    </row>
    <row r="6" spans="1:25" ht="18" customHeight="1">
      <c r="A6" s="1729" t="s">
        <v>692</v>
      </c>
      <c r="B6" s="1721" t="s">
        <v>693</v>
      </c>
      <c r="C6" s="1721" t="s">
        <v>626</v>
      </c>
      <c r="D6" s="1721" t="s">
        <v>627</v>
      </c>
      <c r="E6" s="761" t="s">
        <v>628</v>
      </c>
      <c r="F6" s="762"/>
      <c r="G6" s="1514"/>
      <c r="H6" s="1729" t="s">
        <v>624</v>
      </c>
      <c r="I6" s="1721" t="s">
        <v>625</v>
      </c>
      <c r="J6" s="1721" t="s">
        <v>626</v>
      </c>
      <c r="K6" s="1721" t="s">
        <v>627</v>
      </c>
      <c r="L6" s="761" t="s">
        <v>628</v>
      </c>
      <c r="M6" s="762"/>
    </row>
    <row r="7" spans="1:25" ht="18" customHeight="1">
      <c r="A7" s="763">
        <v>1</v>
      </c>
      <c r="B7" s="764" t="s">
        <v>2434</v>
      </c>
      <c r="C7" s="53">
        <f ca="1">C8+C12+C14</f>
        <v>0</v>
      </c>
      <c r="D7" s="2335" t="s">
        <v>2437</v>
      </c>
      <c r="E7" s="2329"/>
      <c r="F7" s="2330"/>
      <c r="G7" s="1514"/>
      <c r="H7" s="763">
        <v>1</v>
      </c>
      <c r="I7" s="764" t="s">
        <v>2434</v>
      </c>
      <c r="J7" s="53">
        <f ca="1">J8+J12+J14</f>
        <v>0</v>
      </c>
      <c r="K7" s="2335" t="s">
        <v>2437</v>
      </c>
      <c r="L7" s="2329"/>
      <c r="M7" s="2330"/>
    </row>
    <row r="8" spans="1:25" ht="18" customHeight="1">
      <c r="A8" s="1731" t="s">
        <v>1814</v>
      </c>
      <c r="B8" s="3927" t="s">
        <v>2439</v>
      </c>
      <c r="C8" s="1726">
        <f ca="1">ROUND(F8*F10*F9*(1-F11)/10000,0)</f>
        <v>0</v>
      </c>
      <c r="D8" s="1723" t="s">
        <v>2510</v>
      </c>
      <c r="E8" s="61" t="s">
        <v>631</v>
      </c>
      <c r="F8" s="767">
        <f ca="1">INDIRECT("'数据-取费表'!u"&amp;$G$1)</f>
        <v>0</v>
      </c>
      <c r="G8" s="1514"/>
      <c r="H8" s="2343" t="s">
        <v>1814</v>
      </c>
      <c r="I8" s="3927" t="s">
        <v>2439</v>
      </c>
      <c r="J8" s="765">
        <f ca="1">ROUND(M8*M10*M9*(1-M11)/10000,0)</f>
        <v>0</v>
      </c>
      <c r="K8" s="331" t="s">
        <v>2510</v>
      </c>
      <c r="L8" s="766" t="s">
        <v>1728</v>
      </c>
      <c r="M8" s="767">
        <f ca="1">INDIRECT("'数据-取费表'!z"&amp;$G$1)</f>
        <v>0</v>
      </c>
    </row>
    <row r="9" spans="1:25" ht="18" customHeight="1">
      <c r="A9" s="2339"/>
      <c r="B9" s="3928"/>
      <c r="C9" s="1727"/>
      <c r="D9" s="1724"/>
      <c r="E9" s="61" t="s">
        <v>632</v>
      </c>
      <c r="F9" s="767">
        <f ca="1">IF(INDIRECT("'数据-取费表'!ah"&amp;$G$1)="",INDIRECT("'数据-取费表'!k"&amp;$G$1),INDIRECT("'数据-取费表'!ah"&amp;$G$1))</f>
        <v>0</v>
      </c>
      <c r="G9" s="1514"/>
      <c r="H9" s="2328"/>
      <c r="I9" s="3928"/>
      <c r="J9" s="770"/>
      <c r="K9" s="771"/>
      <c r="L9" s="766" t="s">
        <v>1729</v>
      </c>
      <c r="M9" s="767">
        <f ca="1">F9</f>
        <v>0</v>
      </c>
    </row>
    <row r="10" spans="1:25" ht="18" customHeight="1">
      <c r="A10" s="2332"/>
      <c r="B10" s="3929"/>
      <c r="C10" s="1727"/>
      <c r="D10" s="1724"/>
      <c r="E10" s="61" t="s">
        <v>633</v>
      </c>
      <c r="F10" s="767">
        <f ca="1">INDIRECT("'数据-取费表'!ai"&amp;$G$1)</f>
        <v>0</v>
      </c>
      <c r="G10" s="1514"/>
      <c r="H10" s="2328"/>
      <c r="I10" s="3929"/>
      <c r="J10" s="770"/>
      <c r="K10" s="771"/>
      <c r="L10" s="766" t="s">
        <v>1730</v>
      </c>
      <c r="M10" s="767">
        <f ca="1">INDIRECT("'数据-取费表'!ai"&amp;$G$1)</f>
        <v>0</v>
      </c>
    </row>
    <row r="11" spans="1:25" ht="18" customHeight="1">
      <c r="A11" s="768"/>
      <c r="B11" s="3930"/>
      <c r="C11" s="1727"/>
      <c r="D11" s="1724"/>
      <c r="E11" s="61" t="s">
        <v>634</v>
      </c>
      <c r="F11" s="776">
        <f ca="1">INDIRECT("'数据-取费表'!w"&amp;$G$1)</f>
        <v>0</v>
      </c>
      <c r="G11" s="1514"/>
      <c r="H11" s="2344"/>
      <c r="I11" s="3929"/>
      <c r="J11" s="770"/>
      <c r="K11" s="771"/>
      <c r="L11" s="777" t="s">
        <v>1731</v>
      </c>
      <c r="M11" s="778">
        <f ca="1">INDIRECT("'数据-取费表'!ab"&amp;$G$1)</f>
        <v>0</v>
      </c>
    </row>
    <row r="12" spans="1:25" ht="18" customHeight="1">
      <c r="A12" s="1731" t="s">
        <v>1815</v>
      </c>
      <c r="B12" s="2333" t="s">
        <v>2435</v>
      </c>
      <c r="C12" s="781">
        <f ca="1">ROUND(IF(F12="押一",C8/12*F13,IF(F12="押二",C8/12*2*F13,IF(F12="押三",C8/12*3*F13,C13*F13))),0)</f>
        <v>0</v>
      </c>
      <c r="D12" s="2340" t="s">
        <v>2928</v>
      </c>
      <c r="E12" s="2337" t="s">
        <v>2440</v>
      </c>
      <c r="F12" s="2451"/>
      <c r="G12" s="1514"/>
      <c r="H12" s="2400" t="s">
        <v>1815</v>
      </c>
      <c r="I12" s="2405" t="s">
        <v>2435</v>
      </c>
      <c r="J12" s="765">
        <f ca="1">ROUND(IF(M12="押一",J8/12*M13,IF(M12="押二",J8/12*2*M13,IF(M12="押三",J8/12*3*M13,J13*M13))),0)</f>
        <v>0</v>
      </c>
      <c r="K12" s="2340" t="s">
        <v>2928</v>
      </c>
      <c r="L12" s="2337" t="s">
        <v>2440</v>
      </c>
      <c r="M12" s="2451"/>
    </row>
    <row r="13" spans="1:25" ht="18" customHeight="1">
      <c r="A13" s="772"/>
      <c r="B13" s="2334" t="s">
        <v>2549</v>
      </c>
      <c r="C13" s="2338"/>
      <c r="D13" s="771"/>
      <c r="E13" s="2337" t="s">
        <v>2432</v>
      </c>
      <c r="F13" s="778">
        <f ca="1">'数据-取费表'!B39</f>
        <v>1.4999999999999999E-2</v>
      </c>
      <c r="G13" s="1514"/>
      <c r="H13" s="2401"/>
      <c r="I13" s="2334" t="s">
        <v>2549</v>
      </c>
      <c r="J13" s="2338"/>
      <c r="K13" s="2402"/>
      <c r="L13" s="2337" t="s">
        <v>2432</v>
      </c>
      <c r="M13" s="2331">
        <f ca="1">'数据-取费表'!B39</f>
        <v>1.4999999999999999E-2</v>
      </c>
    </row>
    <row r="14" spans="1:25" ht="18" customHeight="1" thickBot="1">
      <c r="A14" s="2376" t="s">
        <v>2443</v>
      </c>
      <c r="B14" s="2377" t="s">
        <v>2436</v>
      </c>
      <c r="C14" s="2378"/>
      <c r="D14" s="2379"/>
      <c r="E14" s="2380"/>
      <c r="F14" s="2381"/>
      <c r="G14" s="1514"/>
      <c r="H14" s="2390" t="s">
        <v>2443</v>
      </c>
      <c r="I14" s="2403" t="s">
        <v>2436</v>
      </c>
      <c r="J14" s="2404"/>
      <c r="K14" s="2379"/>
      <c r="L14" s="2380"/>
      <c r="M14" s="2393"/>
    </row>
    <row r="15" spans="1:25" ht="18" customHeight="1" thickTop="1">
      <c r="A15" s="1730" t="s">
        <v>1864</v>
      </c>
      <c r="B15" s="1728" t="s">
        <v>635</v>
      </c>
      <c r="C15" s="774">
        <f ca="1">ROUND(C31*F15,0)</f>
        <v>0</v>
      </c>
      <c r="D15" s="1735" t="s">
        <v>636</v>
      </c>
      <c r="E15" s="777" t="s">
        <v>637</v>
      </c>
      <c r="F15" s="782">
        <f ca="1">INDIRECT("'数据-取费表'!y"&amp;$G$1)</f>
        <v>0</v>
      </c>
      <c r="G15" s="1514"/>
      <c r="H15" s="1730" t="s">
        <v>1816</v>
      </c>
      <c r="I15" s="1728" t="s">
        <v>638</v>
      </c>
      <c r="J15" s="1720">
        <f ca="1">ROUND(J16*J17,0)</f>
        <v>0</v>
      </c>
      <c r="K15" s="1722" t="s">
        <v>636</v>
      </c>
      <c r="L15" s="783"/>
      <c r="M15" s="784"/>
    </row>
    <row r="16" spans="1:25" ht="18" customHeight="1">
      <c r="A16" s="785" t="s">
        <v>1865</v>
      </c>
      <c r="B16" s="766" t="s">
        <v>639</v>
      </c>
      <c r="C16" s="786">
        <f ca="1">INDIRECT("'数据-取费表'!m"&amp;$G$1)+INDIRECT("'数据-取费表'!t"&amp;$G$1)</f>
        <v>0</v>
      </c>
      <c r="D16" s="1879" t="s">
        <v>640</v>
      </c>
      <c r="E16" s="1880"/>
      <c r="F16" s="787"/>
      <c r="G16" s="1514"/>
      <c r="H16" s="785" t="s">
        <v>2055</v>
      </c>
      <c r="I16" s="2097" t="s">
        <v>2798</v>
      </c>
      <c r="J16" s="53">
        <f ca="1">C31</f>
        <v>0</v>
      </c>
      <c r="K16" s="26"/>
      <c r="L16" s="783"/>
      <c r="M16" s="784"/>
    </row>
    <row r="17" spans="1:25" s="1933" customFormat="1" ht="18" customHeight="1">
      <c r="A17" s="785" t="s">
        <v>1839</v>
      </c>
      <c r="B17" s="766" t="s">
        <v>641</v>
      </c>
      <c r="C17" s="53">
        <f ca="1">ROUND(C16*F17,0)</f>
        <v>0</v>
      </c>
      <c r="D17" s="788" t="s">
        <v>642</v>
      </c>
      <c r="E17" s="788" t="s">
        <v>643</v>
      </c>
      <c r="F17" s="789">
        <f>'数据-取费表'!B33</f>
        <v>0.05</v>
      </c>
      <c r="G17" s="1515"/>
      <c r="H17" s="785" t="s">
        <v>2056</v>
      </c>
      <c r="I17" s="766" t="s">
        <v>637</v>
      </c>
      <c r="J17" s="790">
        <f ca="1">INDIRECT("'数据-取费表'!ad"&amp;$G$1)</f>
        <v>0</v>
      </c>
      <c r="K17" s="26"/>
      <c r="L17" s="783"/>
      <c r="M17" s="784"/>
      <c r="N17" s="1932"/>
      <c r="O17" s="1932"/>
      <c r="P17" s="1932"/>
      <c r="Q17" s="1932"/>
      <c r="R17" s="1932"/>
      <c r="S17" s="1932"/>
      <c r="T17" s="1932"/>
      <c r="U17" s="1932"/>
      <c r="V17" s="1932"/>
      <c r="W17" s="1932"/>
      <c r="X17" s="1932"/>
      <c r="Y17" s="1932"/>
    </row>
    <row r="18" spans="1:25" ht="18" customHeight="1">
      <c r="A18" s="785" t="s">
        <v>1840</v>
      </c>
      <c r="B18" s="766" t="s">
        <v>644</v>
      </c>
      <c r="C18" s="53">
        <f ca="1">ROUND(INDIRECT("'数据-取费表'!m"&amp;$G$1)*F18,0)</f>
        <v>0</v>
      </c>
      <c r="D18" s="766" t="s">
        <v>642</v>
      </c>
      <c r="E18" s="766" t="s">
        <v>643</v>
      </c>
      <c r="F18" s="791">
        <f ca="1">IF(INDIRECT("'数据-取费表'!c"&amp;$G$1)="住宅",'数据-取费表'!B34,0)</f>
        <v>0</v>
      </c>
      <c r="G18" s="1514"/>
      <c r="H18" s="779" t="s">
        <v>1817</v>
      </c>
      <c r="I18" s="780" t="s">
        <v>645</v>
      </c>
      <c r="J18" s="781">
        <f ca="1">ROUND(J19+J24+J25+J26,0)</f>
        <v>0</v>
      </c>
      <c r="K18" s="26" t="s">
        <v>646</v>
      </c>
      <c r="L18" s="1882"/>
      <c r="M18" s="56"/>
    </row>
    <row r="19" spans="1:25" s="1933" customFormat="1" ht="18" customHeight="1">
      <c r="A19" s="785" t="s">
        <v>1841</v>
      </c>
      <c r="B19" s="766" t="s">
        <v>647</v>
      </c>
      <c r="C19" s="53">
        <f ca="1">ROUND(F19*(INDIRECT("'数据-取费表'!k"&amp;$G$1)+INDIRECT("'数据-取费表'!S"&amp;$G$1))/10000,0)</f>
        <v>0</v>
      </c>
      <c r="D19" s="766" t="s">
        <v>648</v>
      </c>
      <c r="E19" s="766" t="s">
        <v>649</v>
      </c>
      <c r="F19" s="56">
        <f>'数据-取费表'!B35</f>
        <v>200</v>
      </c>
      <c r="G19" s="1515"/>
      <c r="H19" s="785" t="s">
        <v>2055</v>
      </c>
      <c r="I19" s="766" t="s">
        <v>650</v>
      </c>
      <c r="J19" s="3004">
        <f ca="1">ROUND(IF(AND(项目基本情况!B11="自然人",项目基本情况!B10="北京市"),J8*M19/(1+'数据-取费表'!C42),J20+J21+J22),0)</f>
        <v>0</v>
      </c>
      <c r="K19" s="1879" t="s">
        <v>651</v>
      </c>
      <c r="L19" s="1877" t="s">
        <v>652</v>
      </c>
      <c r="M19" s="3003" t="str">
        <f>IF(项目基本情况!B11="企业","——",IF('数据-取费表'!B10="住宅",IF(M8*M9*M10/12/(1+'数据-取费表'!F30)&gt;100000,4%,2.5%),IF(M8*M9*M10/12/(1+'数据-取费表'!F30)&gt;100000,12%,7%)))</f>
        <v>——</v>
      </c>
      <c r="N19" s="1932"/>
      <c r="O19" s="1932"/>
      <c r="P19" s="1932"/>
      <c r="Q19" s="1932"/>
      <c r="R19" s="1932"/>
      <c r="S19" s="1932"/>
      <c r="T19" s="1932"/>
      <c r="U19" s="1932"/>
      <c r="V19" s="1932"/>
      <c r="W19" s="1932"/>
      <c r="X19" s="1932"/>
      <c r="Y19" s="1932"/>
    </row>
    <row r="20" spans="1:25" s="1933" customFormat="1" ht="18" customHeight="1">
      <c r="A20" s="785" t="s">
        <v>1842</v>
      </c>
      <c r="B20" s="766" t="s">
        <v>653</v>
      </c>
      <c r="C20" s="53">
        <f ca="1">ROUND(C16*F20,0)</f>
        <v>0</v>
      </c>
      <c r="D20" s="766" t="s">
        <v>642</v>
      </c>
      <c r="E20" s="766" t="s">
        <v>643</v>
      </c>
      <c r="F20" s="791">
        <f>'数据-取费表'!B36</f>
        <v>1.4999999999999999E-2</v>
      </c>
      <c r="G20" s="1515"/>
      <c r="H20" s="785" t="s">
        <v>1821</v>
      </c>
      <c r="I20" s="766" t="s">
        <v>654</v>
      </c>
      <c r="J20" s="53">
        <f ca="1">ROUND(J8*M20/(1+'数据-取费表'!C42),1)</f>
        <v>0</v>
      </c>
      <c r="K20" s="1877" t="s">
        <v>655</v>
      </c>
      <c r="L20" s="766" t="s">
        <v>643</v>
      </c>
      <c r="M20" s="791">
        <f>'数据-取费表'!B41</f>
        <v>5.5000000000000007E-2</v>
      </c>
      <c r="N20" s="1932"/>
      <c r="O20" s="1932"/>
      <c r="P20" s="1932"/>
      <c r="Q20" s="1932"/>
      <c r="R20" s="1932"/>
      <c r="S20" s="1932"/>
      <c r="T20" s="1932"/>
      <c r="U20" s="1932"/>
      <c r="V20" s="1932"/>
      <c r="W20" s="1932"/>
      <c r="X20" s="1932"/>
      <c r="Y20" s="1932"/>
    </row>
    <row r="21" spans="1:25" ht="18" customHeight="1">
      <c r="A21" s="785" t="s">
        <v>1866</v>
      </c>
      <c r="B21" s="766" t="s">
        <v>656</v>
      </c>
      <c r="C21" s="53">
        <f ca="1">SUM(C16:C20)</f>
        <v>0</v>
      </c>
      <c r="D21" s="251" t="s">
        <v>657</v>
      </c>
      <c r="E21" s="1882"/>
      <c r="F21" s="56"/>
      <c r="G21" s="1514"/>
      <c r="H21" s="1731" t="s">
        <v>1839</v>
      </c>
      <c r="I21" s="766" t="s">
        <v>658</v>
      </c>
      <c r="J21" s="53">
        <f ca="1">IF(K21="按租金收入计税",ROUND(J8*M21/(1+'数据-取费表'!C42),1),ROUND(C31*F35*0.7,1))</f>
        <v>0</v>
      </c>
      <c r="K21" s="792" t="s">
        <v>659</v>
      </c>
      <c r="L21" s="766" t="s">
        <v>643</v>
      </c>
      <c r="M21" s="791">
        <f>IF(K21="按租金收入计税",'数据-取费表'!B51,'数据-取费表'!B50)</f>
        <v>1.2E-2</v>
      </c>
    </row>
    <row r="22" spans="1:25" s="1933" customFormat="1" ht="18" customHeight="1">
      <c r="A22" s="785" t="s">
        <v>1867</v>
      </c>
      <c r="B22" s="766" t="s">
        <v>660</v>
      </c>
      <c r="C22" s="53">
        <f ca="1">ROUND(C21*F22,0)</f>
        <v>0</v>
      </c>
      <c r="D22" s="793" t="s">
        <v>661</v>
      </c>
      <c r="E22" s="766" t="s">
        <v>643</v>
      </c>
      <c r="F22" s="791">
        <f>'数据-取费表'!B37</f>
        <v>0.02</v>
      </c>
      <c r="G22" s="1515"/>
      <c r="H22" s="1733" t="s">
        <v>1840</v>
      </c>
      <c r="I22" s="1723" t="s">
        <v>662</v>
      </c>
      <c r="J22" s="54">
        <f ca="1">ROUND(M22*M23/10000,0)</f>
        <v>0</v>
      </c>
      <c r="K22" s="795" t="s">
        <v>663</v>
      </c>
      <c r="L22" s="766" t="s">
        <v>664</v>
      </c>
      <c r="M22" s="624">
        <f>'数据-取费表'!B52</f>
        <v>12</v>
      </c>
      <c r="N22" s="1932"/>
      <c r="O22" s="1932"/>
      <c r="P22" s="1932"/>
      <c r="Q22" s="1932"/>
      <c r="R22" s="1932"/>
      <c r="S22" s="1932"/>
      <c r="T22" s="1932"/>
      <c r="U22" s="1932"/>
      <c r="V22" s="1932"/>
      <c r="W22" s="1932"/>
      <c r="X22" s="1932"/>
      <c r="Y22" s="1932"/>
    </row>
    <row r="23" spans="1:25" s="1933" customFormat="1" ht="18" customHeight="1">
      <c r="A23" s="785" t="s">
        <v>1868</v>
      </c>
      <c r="B23" s="766" t="s">
        <v>665</v>
      </c>
      <c r="C23" s="53" t="s">
        <v>1</v>
      </c>
      <c r="D23" s="793" t="s">
        <v>666</v>
      </c>
      <c r="E23" s="766" t="s">
        <v>667</v>
      </c>
      <c r="F23" s="791">
        <f>'数据-取费表'!B38</f>
        <v>0.05</v>
      </c>
      <c r="G23" s="1515"/>
      <c r="H23" s="1734"/>
      <c r="I23" s="1725"/>
      <c r="J23" s="69"/>
      <c r="K23" s="797"/>
      <c r="L23" s="766" t="s">
        <v>668</v>
      </c>
      <c r="M23" s="767">
        <f ca="1">INDIRECT("'数据-取费表'!r"&amp;$G$1)</f>
        <v>0</v>
      </c>
      <c r="N23" s="1932"/>
      <c r="O23" s="1932"/>
      <c r="P23" s="1932"/>
      <c r="Q23" s="1932"/>
      <c r="R23" s="1932"/>
      <c r="S23" s="1932"/>
      <c r="T23" s="1932"/>
      <c r="U23" s="1932"/>
      <c r="V23" s="1932"/>
      <c r="W23" s="1932"/>
      <c r="X23" s="1932"/>
      <c r="Y23" s="1932"/>
    </row>
    <row r="24" spans="1:25" ht="18" customHeight="1">
      <c r="A24" s="785" t="s">
        <v>1869</v>
      </c>
      <c r="B24" s="766" t="s">
        <v>669</v>
      </c>
      <c r="C24" s="53"/>
      <c r="D24" s="2410" t="str">
        <f>IF(F25&lt;=1,"单利计息。","复利计息。")&amp;"建造成本、管理费用、销售费用产生的利息。"</f>
        <v>复利计息。建造成本、管理费用、销售费用产生的利息。</v>
      </c>
      <c r="E24" s="1882"/>
      <c r="F24" s="56"/>
      <c r="G24" s="1514"/>
      <c r="H24" s="1732" t="s">
        <v>2056</v>
      </c>
      <c r="I24" s="766" t="s">
        <v>670</v>
      </c>
      <c r="J24" s="53">
        <f ca="1">ROUND(J16*M24,0)</f>
        <v>0</v>
      </c>
      <c r="K24" s="1877" t="s">
        <v>671</v>
      </c>
      <c r="L24" s="766" t="s">
        <v>643</v>
      </c>
      <c r="M24" s="798">
        <f ca="1">INDIRECT("'数据-取费表'!Ak"&amp;$G$1)</f>
        <v>0</v>
      </c>
    </row>
    <row r="25" spans="1:25" s="1933" customFormat="1" ht="18" customHeight="1">
      <c r="A25" s="785" t="s">
        <v>1865</v>
      </c>
      <c r="B25" s="766" t="s">
        <v>2415</v>
      </c>
      <c r="C25" s="53">
        <f ca="1">ROUND(IF('数据-取费表'!B22&lt;=1,(C21+C22)*F26*F25/2,(C21+C22)*(POWER((1+F26),F25/2)-1)),0)</f>
        <v>0</v>
      </c>
      <c r="D25" s="2409" t="str">
        <f>IF(F25&lt;=1,"(建造成本+管理费用)×利率×(建设周期÷2)","(建造成本+管理费用)×((1+利率)^(建设周期÷2)-1)")</f>
        <v>(建造成本+管理费用)×((1+利率)^(建设周期÷2)-1)</v>
      </c>
      <c r="E25" s="766" t="s">
        <v>672</v>
      </c>
      <c r="F25" s="624">
        <f>'数据-取费表'!B20</f>
        <v>3</v>
      </c>
      <c r="G25" s="1515"/>
      <c r="H25" s="785" t="s">
        <v>1868</v>
      </c>
      <c r="I25" s="766" t="s">
        <v>673</v>
      </c>
      <c r="J25" s="53">
        <f ca="1">ROUND(J15*M25,0)</f>
        <v>0</v>
      </c>
      <c r="K25" s="1877" t="s">
        <v>674</v>
      </c>
      <c r="L25" s="766" t="s">
        <v>643</v>
      </c>
      <c r="M25" s="799">
        <f ca="1">INDIRECT("'数据-取费表'!Al"&amp;$G$1)</f>
        <v>0</v>
      </c>
      <c r="N25" s="1932"/>
      <c r="O25" s="1932"/>
      <c r="P25" s="1932"/>
      <c r="Q25" s="1932"/>
      <c r="R25" s="1932"/>
      <c r="S25" s="1932"/>
      <c r="T25" s="1932"/>
      <c r="U25" s="1932"/>
      <c r="V25" s="1932"/>
      <c r="W25" s="1932"/>
      <c r="X25" s="1932"/>
      <c r="Y25" s="1932"/>
    </row>
    <row r="26" spans="1:25" s="1933" customFormat="1" ht="18" customHeight="1">
      <c r="A26" s="785" t="s">
        <v>1839</v>
      </c>
      <c r="B26" s="766" t="s">
        <v>675</v>
      </c>
      <c r="C26" s="53">
        <f ca="1">ROUND(IF('数据-取费表'!B22&lt;=1,F23*F26*F25/2,F23*(POWER((1+F26),F25/2)-1)),4)</f>
        <v>3.5999999999999999E-3</v>
      </c>
      <c r="D26" s="2409" t="str">
        <f>IF(F25&lt;=1,"销售费用×利率×(建设周期÷2)","销售费用×((1+利率)^(建设周期÷2)-1)")</f>
        <v>销售费用×((1+利率)^(建设周期÷2)-1)</v>
      </c>
      <c r="E26" s="766" t="s">
        <v>676</v>
      </c>
      <c r="F26" s="800">
        <f ca="1">'数据-取费表'!B40</f>
        <v>4.7500000000000001E-2</v>
      </c>
      <c r="G26" s="1515"/>
      <c r="H26" s="785" t="s">
        <v>1869</v>
      </c>
      <c r="I26" s="766" t="s">
        <v>660</v>
      </c>
      <c r="J26" s="53">
        <f ca="1">ROUND(J7*M26,0)</f>
        <v>0</v>
      </c>
      <c r="K26" s="1877" t="s">
        <v>677</v>
      </c>
      <c r="L26" s="766" t="s">
        <v>643</v>
      </c>
      <c r="M26" s="776">
        <f ca="1">INDIRECT("'数据-取费表'!Am"&amp;$G$1)</f>
        <v>0</v>
      </c>
      <c r="N26" s="1932"/>
      <c r="O26" s="1932"/>
      <c r="P26" s="1932"/>
      <c r="Q26" s="1932"/>
      <c r="R26" s="1932"/>
      <c r="S26" s="1932"/>
      <c r="T26" s="1932"/>
      <c r="U26" s="1932"/>
      <c r="V26" s="1932"/>
      <c r="W26" s="1932"/>
      <c r="X26" s="1932"/>
      <c r="Y26" s="1932"/>
    </row>
    <row r="27" spans="1:25" ht="18" customHeight="1">
      <c r="A27" s="785" t="s">
        <v>1871</v>
      </c>
      <c r="B27" s="766" t="s">
        <v>678</v>
      </c>
      <c r="C27" s="53"/>
      <c r="D27" s="251" t="s">
        <v>679</v>
      </c>
      <c r="E27" s="1882"/>
      <c r="F27" s="56"/>
      <c r="G27" s="1514"/>
      <c r="H27" s="779" t="s">
        <v>1818</v>
      </c>
      <c r="I27" s="2710" t="s">
        <v>2795</v>
      </c>
      <c r="J27" s="781">
        <f ca="1">J7-J18</f>
        <v>0</v>
      </c>
      <c r="K27" s="1879" t="s">
        <v>694</v>
      </c>
      <c r="L27" s="1881"/>
      <c r="M27" s="801"/>
    </row>
    <row r="28" spans="1:25" ht="18" customHeight="1">
      <c r="A28" s="785" t="s">
        <v>1865</v>
      </c>
      <c r="B28" s="766" t="s">
        <v>2416</v>
      </c>
      <c r="C28" s="53">
        <f ca="1">ROUND((C21+C22)*F28,0)</f>
        <v>0</v>
      </c>
      <c r="D28" s="793" t="s">
        <v>695</v>
      </c>
      <c r="E28" s="777" t="s">
        <v>696</v>
      </c>
      <c r="F28" s="776">
        <f ca="1">INDIRECT("'数据-取费表'!q"&amp;$G$1)</f>
        <v>0</v>
      </c>
      <c r="G28" s="1514"/>
      <c r="H28" s="763" t="s">
        <v>1827</v>
      </c>
      <c r="I28" s="764" t="s">
        <v>697</v>
      </c>
      <c r="J28" s="765">
        <f ca="1">IF(J7&lt;&gt;0,ROUND(J27*(1-((1+M30)/(1+M28))^M29)/(M28-M30),0),0)</f>
        <v>0</v>
      </c>
      <c r="K28" s="795" t="s">
        <v>698</v>
      </c>
      <c r="L28" s="766" t="s">
        <v>699</v>
      </c>
      <c r="M28" s="776">
        <f ca="1">INDIRECT("'数据-取费表'!I"&amp;$G$1)</f>
        <v>0</v>
      </c>
    </row>
    <row r="29" spans="1:25" ht="18" customHeight="1">
      <c r="A29" s="785" t="s">
        <v>1839</v>
      </c>
      <c r="B29" s="766" t="s">
        <v>680</v>
      </c>
      <c r="C29" s="53">
        <f ca="1">ROUND(F23*F28,4)</f>
        <v>0</v>
      </c>
      <c r="D29" s="793" t="s">
        <v>700</v>
      </c>
      <c r="E29" s="788"/>
      <c r="F29" s="789"/>
      <c r="G29" s="1514"/>
      <c r="H29" s="768"/>
      <c r="I29" s="769"/>
      <c r="J29" s="770"/>
      <c r="K29" s="802" t="s">
        <v>701</v>
      </c>
      <c r="L29" s="766" t="s">
        <v>702</v>
      </c>
      <c r="M29" s="803">
        <f ca="1">INDIRECT("'数据-取费表'!ag"&amp;$G$1)</f>
        <v>0</v>
      </c>
    </row>
    <row r="30" spans="1:25" s="1933" customFormat="1" ht="18" customHeight="1">
      <c r="A30" s="785" t="s">
        <v>1872</v>
      </c>
      <c r="B30" s="766" t="s">
        <v>681</v>
      </c>
      <c r="C30" s="53">
        <f>ROUND(F30/(1+'数据-取费表'!C42),4)</f>
        <v>5.2400000000000002E-2</v>
      </c>
      <c r="D30" s="793" t="s">
        <v>703</v>
      </c>
      <c r="E30" s="766" t="s">
        <v>643</v>
      </c>
      <c r="F30" s="791">
        <f>'数据-取费表'!B41</f>
        <v>5.5000000000000007E-2</v>
      </c>
      <c r="G30" s="1515"/>
      <c r="H30" s="772"/>
      <c r="I30" s="773"/>
      <c r="J30" s="774"/>
      <c r="K30" s="797"/>
      <c r="L30" s="766" t="s">
        <v>704</v>
      </c>
      <c r="M30" s="776">
        <f ca="1">INDIRECT("'数据-取费表'!aa"&amp;$G$1)</f>
        <v>0</v>
      </c>
      <c r="N30" s="1932"/>
      <c r="O30" s="1932"/>
      <c r="P30" s="1932"/>
      <c r="Q30" s="1932"/>
      <c r="R30" s="1932"/>
      <c r="S30" s="1932"/>
      <c r="T30" s="1932"/>
      <c r="U30" s="1932"/>
      <c r="V30" s="1932"/>
      <c r="W30" s="1932"/>
      <c r="X30" s="1932"/>
      <c r="Y30" s="1932"/>
    </row>
    <row r="31" spans="1:25" s="1933" customFormat="1" ht="18" customHeight="1" thickBot="1">
      <c r="A31" s="2399" t="s">
        <v>1873</v>
      </c>
      <c r="B31" s="2380" t="s">
        <v>2796</v>
      </c>
      <c r="C31" s="2383">
        <f ca="1">ROUND((C21+C22+C25+C28)/(1-F23-C26-C29-C30),0)</f>
        <v>0</v>
      </c>
      <c r="D31" s="2384"/>
      <c r="E31" s="2385"/>
      <c r="F31" s="2386"/>
      <c r="G31" s="1515"/>
      <c r="H31" s="804" t="s">
        <v>1862</v>
      </c>
      <c r="I31" s="2711" t="s">
        <v>2797</v>
      </c>
      <c r="J31" s="806">
        <f ca="1">ROUND(J28/(1+F45)^F46,0)</f>
        <v>0</v>
      </c>
      <c r="K31" s="807" t="s">
        <v>682</v>
      </c>
      <c r="L31" s="808"/>
      <c r="M31" s="809">
        <f ca="1">INDIRECT("'数据-取费表'!k"&amp;$G$1)</f>
        <v>0</v>
      </c>
      <c r="N31" s="1932"/>
      <c r="O31" s="1932"/>
      <c r="P31" s="1932"/>
      <c r="Q31" s="1932"/>
      <c r="R31" s="1932"/>
      <c r="S31" s="1932"/>
      <c r="T31" s="1932"/>
      <c r="U31" s="1932"/>
      <c r="V31" s="1932"/>
      <c r="W31" s="1932"/>
      <c r="X31" s="1932"/>
      <c r="Y31" s="1932"/>
    </row>
    <row r="32" spans="1:25" ht="18" customHeight="1" thickTop="1">
      <c r="A32" s="1730" t="s">
        <v>7</v>
      </c>
      <c r="B32" s="1728" t="s">
        <v>683</v>
      </c>
      <c r="C32" s="774">
        <f ca="1">ROUND(C33+C38+C39+C40,0)</f>
        <v>0</v>
      </c>
      <c r="D32" s="1722" t="s">
        <v>646</v>
      </c>
      <c r="E32" s="2326"/>
      <c r="F32" s="2330"/>
      <c r="G32" s="1931"/>
      <c r="H32" s="1934"/>
      <c r="I32" s="1935"/>
      <c r="J32" s="1936"/>
      <c r="K32" s="1937"/>
      <c r="L32" s="1938"/>
      <c r="M32" s="1939"/>
    </row>
    <row r="33" spans="1:18" ht="18" customHeight="1">
      <c r="A33" s="785" t="s">
        <v>1866</v>
      </c>
      <c r="B33" s="766" t="s">
        <v>650</v>
      </c>
      <c r="C33" s="3004">
        <f ca="1">ROUND(IF(AND(项目基本情况!B11="自然人",项目基本情况!B10="北京市"),C8*F33/(1+'数据-取费表'!C42),C34+C35+C36),0)</f>
        <v>0</v>
      </c>
      <c r="D33" s="1879" t="s">
        <v>651</v>
      </c>
      <c r="E33" s="1877" t="s">
        <v>684</v>
      </c>
      <c r="F33" s="3003" t="str">
        <f>IF(项目基本情况!B11="企业","——",IF('数据-取费表'!B10="住宅",IF(F8*F9*F10/12/(1+'数据-取费表'!F30)&gt;100000,4%,2.5%),IF(F8*F9*F10/12/(1+'数据-取费表'!F30)&gt;100000,12%,7%)))</f>
        <v>——</v>
      </c>
      <c r="G33" s="1931"/>
      <c r="H33" s="3243" t="s">
        <v>2986</v>
      </c>
      <c r="I33" s="1935"/>
      <c r="J33" s="1936"/>
      <c r="K33" s="1937"/>
      <c r="L33" s="1938"/>
      <c r="M33" s="1939"/>
    </row>
    <row r="34" spans="1:18" ht="18" customHeight="1">
      <c r="A34" s="785" t="s">
        <v>1865</v>
      </c>
      <c r="B34" s="766" t="s">
        <v>654</v>
      </c>
      <c r="C34" s="53">
        <f ca="1">ROUND(C8*F34/(1+'数据-取费表'!C42),1)</f>
        <v>0</v>
      </c>
      <c r="D34" s="1877" t="s">
        <v>655</v>
      </c>
      <c r="E34" s="766" t="s">
        <v>643</v>
      </c>
      <c r="F34" s="791">
        <f>'数据-取费表'!B41</f>
        <v>5.5000000000000007E-2</v>
      </c>
      <c r="G34" s="1931"/>
      <c r="H34" s="1940"/>
      <c r="I34" s="1941"/>
      <c r="J34" s="1942"/>
      <c r="K34" s="1943"/>
      <c r="L34" s="1944"/>
      <c r="M34" s="1945"/>
    </row>
    <row r="35" spans="1:18" ht="18" customHeight="1">
      <c r="A35" s="785" t="s">
        <v>1839</v>
      </c>
      <c r="B35" s="766" t="s">
        <v>658</v>
      </c>
      <c r="C35" s="53">
        <f ca="1">IF(D35="按租金收入计税",ROUND(C8*F35/(1+'数据-取费表'!C42),1),IF(D35="按房产原值计税",ROUND(C31*F35*0.7,1),INDIRECT("'数据-取费表'!Aj"&amp;$G$1)))</f>
        <v>0</v>
      </c>
      <c r="D35" s="792" t="s">
        <v>1670</v>
      </c>
      <c r="E35" s="766" t="s">
        <v>643</v>
      </c>
      <c r="F35" s="791">
        <f>IF(D35="按租金收入计税",'数据-取费表'!B51,'数据-取费表'!B50)</f>
        <v>1.2E-2</v>
      </c>
      <c r="G35" s="1931"/>
      <c r="H35" s="1946"/>
      <c r="I35" s="1946"/>
      <c r="J35" s="1946"/>
      <c r="K35" s="1947"/>
      <c r="L35" s="1946"/>
      <c r="M35" s="1946"/>
    </row>
    <row r="36" spans="1:18" ht="18" customHeight="1">
      <c r="A36" s="794" t="s">
        <v>1870</v>
      </c>
      <c r="B36" s="331" t="s">
        <v>662</v>
      </c>
      <c r="C36" s="54">
        <f ca="1">ROUND(F36*F37/10000,1)</f>
        <v>0</v>
      </c>
      <c r="D36" s="795" t="s">
        <v>663</v>
      </c>
      <c r="E36" s="766" t="s">
        <v>664</v>
      </c>
      <c r="F36" s="624">
        <f>'数据-取费表'!B52</f>
        <v>12</v>
      </c>
      <c r="G36" s="1931"/>
      <c r="H36" s="1934"/>
      <c r="I36" s="3926"/>
      <c r="J36" s="1948"/>
      <c r="K36" s="1949"/>
      <c r="L36" s="1948"/>
      <c r="M36" s="1948"/>
    </row>
    <row r="37" spans="1:18" ht="18" customHeight="1">
      <c r="A37" s="796"/>
      <c r="B37" s="775"/>
      <c r="C37" s="69"/>
      <c r="D37" s="797"/>
      <c r="E37" s="766" t="s">
        <v>668</v>
      </c>
      <c r="F37" s="767">
        <f ca="1">INDIRECT("'数据-取费表'!r"&amp;$G$1)</f>
        <v>0</v>
      </c>
      <c r="G37" s="1931"/>
      <c r="H37" s="1934"/>
      <c r="I37" s="3926"/>
      <c r="J37" s="1946"/>
      <c r="K37" s="1947"/>
      <c r="L37" s="1946"/>
      <c r="M37" s="1946"/>
    </row>
    <row r="38" spans="1:18" ht="18" customHeight="1">
      <c r="A38" s="785" t="s">
        <v>1867</v>
      </c>
      <c r="B38" s="766" t="s">
        <v>670</v>
      </c>
      <c r="C38" s="53">
        <f ca="1">ROUND(C31*F38,1)</f>
        <v>0</v>
      </c>
      <c r="D38" s="1877" t="s">
        <v>685</v>
      </c>
      <c r="E38" s="766" t="s">
        <v>643</v>
      </c>
      <c r="F38" s="798">
        <f ca="1">INDIRECT("'数据-取费表'!Ak"&amp;$G$1)</f>
        <v>0</v>
      </c>
      <c r="G38" s="1931"/>
      <c r="H38" s="1946"/>
      <c r="I38" s="3007"/>
      <c r="J38" s="1886"/>
      <c r="K38" s="1950"/>
      <c r="L38" s="1946"/>
      <c r="M38" s="1946"/>
    </row>
    <row r="39" spans="1:18" ht="18" customHeight="1">
      <c r="A39" s="785" t="s">
        <v>1868</v>
      </c>
      <c r="B39" s="766" t="s">
        <v>673</v>
      </c>
      <c r="C39" s="53">
        <f ca="1">ROUND(C15*F39,1)</f>
        <v>0</v>
      </c>
      <c r="D39" s="1877" t="s">
        <v>674</v>
      </c>
      <c r="E39" s="766" t="s">
        <v>643</v>
      </c>
      <c r="F39" s="799">
        <f ca="1">INDIRECT("'数据-取费表'!Al"&amp;$G$1)</f>
        <v>0</v>
      </c>
      <c r="G39" s="1931"/>
      <c r="H39" s="1946"/>
      <c r="I39" s="3007"/>
      <c r="J39" s="1886"/>
      <c r="K39" s="1950"/>
      <c r="L39" s="1946"/>
      <c r="M39" s="1946"/>
    </row>
    <row r="40" spans="1:18" ht="18" customHeight="1" thickBot="1">
      <c r="A40" s="2399" t="s">
        <v>1869</v>
      </c>
      <c r="B40" s="2385" t="s">
        <v>660</v>
      </c>
      <c r="C40" s="2383">
        <f ca="1">ROUND(C7*F40,1)</f>
        <v>0</v>
      </c>
      <c r="D40" s="2384" t="s">
        <v>677</v>
      </c>
      <c r="E40" s="2385" t="s">
        <v>643</v>
      </c>
      <c r="F40" s="2381">
        <f ca="1">INDIRECT("'数据-取费表'!Am"&amp;$G$1)</f>
        <v>0</v>
      </c>
      <c r="G40" s="1931"/>
      <c r="H40" s="1946"/>
      <c r="I40" s="3007"/>
      <c r="J40" s="1886"/>
      <c r="K40" s="1951"/>
      <c r="L40" s="1946"/>
      <c r="M40" s="1946"/>
    </row>
    <row r="41" spans="1:18" ht="18" customHeight="1" thickTop="1">
      <c r="A41" s="1730">
        <v>4</v>
      </c>
      <c r="B41" s="1728" t="s">
        <v>686</v>
      </c>
      <c r="C41" s="1296"/>
      <c r="D41" s="1297"/>
      <c r="E41" s="1297"/>
      <c r="F41" s="1298"/>
      <c r="G41" s="1931"/>
      <c r="H41" s="1931"/>
      <c r="I41" s="1931"/>
      <c r="J41" s="1931"/>
      <c r="K41" s="1951"/>
      <c r="L41" s="1931"/>
      <c r="M41" s="1931"/>
    </row>
    <row r="42" spans="1:18" ht="18" customHeight="1">
      <c r="A42" s="785" t="s">
        <v>1866</v>
      </c>
      <c r="B42" s="816" t="s">
        <v>687</v>
      </c>
      <c r="C42" s="810">
        <f ca="1">C7-C32</f>
        <v>0</v>
      </c>
      <c r="D42" s="1879" t="s">
        <v>688</v>
      </c>
      <c r="E42" s="1881"/>
      <c r="F42" s="801"/>
      <c r="G42" s="1931"/>
      <c r="H42" s="1931"/>
      <c r="I42" s="1931"/>
      <c r="J42" s="1931"/>
      <c r="K42" s="1951"/>
      <c r="L42" s="1931"/>
      <c r="M42" s="1931"/>
    </row>
    <row r="43" spans="1:18" ht="18" customHeight="1">
      <c r="A43" s="785" t="s">
        <v>1867</v>
      </c>
      <c r="B43" s="816" t="s">
        <v>705</v>
      </c>
      <c r="C43" s="817">
        <f ca="1">ROUND(C15*F43,0)</f>
        <v>0</v>
      </c>
      <c r="D43" s="1299" t="s">
        <v>706</v>
      </c>
      <c r="E43" s="2780" t="s">
        <v>2917</v>
      </c>
      <c r="F43" s="2781">
        <f ca="1">INDIRECT("'数据-取费表'!j"&amp;$G$1)</f>
        <v>0</v>
      </c>
      <c r="G43" s="1931"/>
      <c r="H43" s="1931"/>
      <c r="I43" s="1931"/>
      <c r="J43" s="1931"/>
      <c r="K43" s="1951"/>
      <c r="L43" s="1931"/>
      <c r="M43" s="1931"/>
    </row>
    <row r="44" spans="1:18" ht="18" customHeight="1">
      <c r="A44" s="785" t="s">
        <v>1868</v>
      </c>
      <c r="B44" s="816" t="s">
        <v>707</v>
      </c>
      <c r="C44" s="1300">
        <f ca="1">C42-C43</f>
        <v>0</v>
      </c>
      <c r="D44" s="449" t="s">
        <v>708</v>
      </c>
      <c r="E44" s="450"/>
      <c r="F44" s="451"/>
      <c r="G44" s="1931"/>
      <c r="H44" s="1931"/>
      <c r="I44" s="1931"/>
      <c r="J44" s="1931"/>
      <c r="K44" s="1951"/>
      <c r="L44" s="1931"/>
      <c r="M44" s="1931"/>
    </row>
    <row r="45" spans="1:18" ht="18" customHeight="1">
      <c r="A45" s="785" t="s">
        <v>1869</v>
      </c>
      <c r="B45" s="1299" t="s">
        <v>709</v>
      </c>
      <c r="C45" s="2736">
        <f ca="1">ROUND(-PV(F45,F46,C44,0),0)</f>
        <v>0</v>
      </c>
      <c r="D45" s="1301" t="s">
        <v>710</v>
      </c>
      <c r="E45" s="788" t="s">
        <v>711</v>
      </c>
      <c r="F45" s="811">
        <f ca="1">INDIRECT("'数据-取费表'!h"&amp;$G$1)</f>
        <v>0</v>
      </c>
      <c r="G45" s="1931"/>
      <c r="H45" s="1931"/>
      <c r="I45" s="1931"/>
      <c r="J45" s="1931"/>
      <c r="K45" s="1951"/>
      <c r="L45" s="1931"/>
      <c r="M45" s="1931"/>
    </row>
    <row r="46" spans="1:18" ht="18" customHeight="1" thickBot="1">
      <c r="A46" s="812"/>
      <c r="B46" s="1302"/>
      <c r="C46" s="1303"/>
      <c r="D46" s="1304"/>
      <c r="E46" s="2782" t="s">
        <v>2920</v>
      </c>
      <c r="F46" s="809">
        <f ca="1">IF(INDIRECT("'数据-取费表'!af"&amp;$G$1)=0,INDIRECT("'数据-取费表'!ae"&amp;$G$1),INDIRECT("'数据-取费表'!af"&amp;$G$1))</f>
        <v>0</v>
      </c>
      <c r="G46" s="1931"/>
      <c r="H46" s="1931"/>
      <c r="I46" s="1931"/>
      <c r="J46" s="1931"/>
      <c r="K46" s="1951"/>
      <c r="L46" s="1931"/>
      <c r="M46" s="1931"/>
    </row>
    <row r="47" spans="1:18" s="1928" customFormat="1" ht="18" customHeight="1" thickBot="1">
      <c r="A47" s="1952"/>
      <c r="D47" s="1953"/>
      <c r="E47" s="1953"/>
      <c r="F47" s="1953"/>
      <c r="I47" s="2219" t="s">
        <v>2322</v>
      </c>
      <c r="J47" s="2220"/>
      <c r="K47" s="2221"/>
      <c r="L47" s="2796" t="str">
        <f ca="1">IF(M48="住宅",0,IF(L49&gt;J52,L61,J61))</f>
        <v>0</v>
      </c>
      <c r="O47" s="2235" t="s">
        <v>2389</v>
      </c>
      <c r="P47" s="1514"/>
      <c r="Q47" s="1522"/>
      <c r="R47" s="1514"/>
    </row>
    <row r="48" spans="1:18" s="1928" customFormat="1" ht="18" customHeight="1" thickBot="1">
      <c r="A48" s="1952"/>
      <c r="C48" s="1955"/>
      <c r="D48" s="1956"/>
      <c r="E48" s="1956"/>
      <c r="F48" s="1957"/>
      <c r="G48" s="1958"/>
      <c r="I48" s="2787" t="s">
        <v>2323</v>
      </c>
      <c r="J48" s="2222"/>
      <c r="K48" s="2793" t="s">
        <v>2328</v>
      </c>
      <c r="L48" s="2797">
        <f ca="1">INDIRECT("'数据-取费表'!d"&amp;$G$1)</f>
        <v>0</v>
      </c>
      <c r="M48" s="2779" t="str">
        <f>IF(ISNUMBER(FIND("住宅",C1)),"住宅","非住宅")</f>
        <v>非住宅</v>
      </c>
      <c r="O48" s="2236" t="s">
        <v>2354</v>
      </c>
      <c r="P48" s="2237" t="s">
        <v>2355</v>
      </c>
      <c r="Q48" s="2238" t="s">
        <v>2356</v>
      </c>
      <c r="R48" s="2237" t="s">
        <v>2357</v>
      </c>
    </row>
    <row r="49" spans="1:18" s="1928" customFormat="1" ht="18" customHeight="1" thickBot="1">
      <c r="A49" s="1952"/>
      <c r="D49" s="1959"/>
      <c r="E49" s="1960"/>
      <c r="F49" s="1957"/>
      <c r="G49" s="1958"/>
      <c r="H49" s="1961"/>
      <c r="I49" s="2784" t="s">
        <v>2324</v>
      </c>
      <c r="J49" s="2223"/>
      <c r="K49" s="2794" t="s">
        <v>2330</v>
      </c>
      <c r="L49" s="1808">
        <f ca="1">INDIRECT("'数据-取费表'!f"&amp;$G$1)</f>
        <v>0</v>
      </c>
      <c r="O49" s="2239" t="s">
        <v>2358</v>
      </c>
      <c r="P49" s="2240" t="s">
        <v>2384</v>
      </c>
      <c r="Q49" s="2241">
        <f ca="1">C41+J31</f>
        <v>0</v>
      </c>
      <c r="R49" s="2240" t="s">
        <v>2359</v>
      </c>
    </row>
    <row r="50" spans="1:18" s="1928" customFormat="1" ht="18" customHeight="1" thickBot="1">
      <c r="A50" s="1952"/>
      <c r="D50" s="1962"/>
      <c r="E50" s="1962"/>
      <c r="F50" s="1956"/>
      <c r="G50" s="1963"/>
      <c r="H50" s="1961"/>
      <c r="I50" s="2784" t="s">
        <v>2325</v>
      </c>
      <c r="J50" s="2224"/>
      <c r="K50" s="2795" t="s">
        <v>2331</v>
      </c>
      <c r="L50" s="2225"/>
      <c r="O50" s="2239" t="s">
        <v>2360</v>
      </c>
      <c r="P50" s="2240" t="s">
        <v>2385</v>
      </c>
      <c r="Q50" s="2241" t="str">
        <f ca="1">J61</f>
        <v>0</v>
      </c>
      <c r="R50" s="2240" t="s">
        <v>2361</v>
      </c>
    </row>
    <row r="51" spans="1:18" s="1928" customFormat="1" ht="18" customHeight="1" thickBot="1">
      <c r="A51" s="1964"/>
      <c r="D51" s="1962"/>
      <c r="E51" s="1962"/>
      <c r="F51" s="1953"/>
      <c r="H51" s="1961"/>
      <c r="I51" s="2784" t="s">
        <v>2326</v>
      </c>
      <c r="J51" s="2791">
        <f>SUMPRODUCT((I64:I66=J48)*(J63:L63=J49)*(J64:L66))</f>
        <v>0</v>
      </c>
      <c r="K51" s="2795" t="s">
        <v>2332</v>
      </c>
      <c r="L51" s="2225"/>
      <c r="O51" s="2242" t="s">
        <v>2362</v>
      </c>
      <c r="P51" s="2240" t="s">
        <v>2386</v>
      </c>
      <c r="Q51" s="2241">
        <f ca="1">C31</f>
        <v>0</v>
      </c>
      <c r="R51" s="2240" t="s">
        <v>2359</v>
      </c>
    </row>
    <row r="52" spans="1:18" s="1928" customFormat="1" ht="18" customHeight="1" thickBot="1">
      <c r="A52" s="1964"/>
      <c r="F52" s="1953"/>
      <c r="I52" s="2788" t="s">
        <v>2327</v>
      </c>
      <c r="J52" s="2792">
        <f>IF(J50="",J51,J50+J51-YEAR('数据-取费表'!B3))</f>
        <v>0</v>
      </c>
      <c r="K52" s="2784" t="s">
        <v>2333</v>
      </c>
      <c r="L52" s="2798">
        <f ca="1">C45</f>
        <v>0</v>
      </c>
      <c r="O52" s="2242" t="s">
        <v>2363</v>
      </c>
      <c r="P52" s="2240" t="s">
        <v>2364</v>
      </c>
      <c r="Q52" s="2243" t="e">
        <f ca="1">J59</f>
        <v>#VALUE!</v>
      </c>
      <c r="R52" s="2244"/>
    </row>
    <row r="53" spans="1:18" s="1928" customFormat="1" ht="18" customHeight="1" thickBot="1">
      <c r="A53" s="1964"/>
      <c r="F53" s="1953"/>
      <c r="I53" s="2789" t="s">
        <v>2400</v>
      </c>
      <c r="J53" s="2226"/>
      <c r="K53" s="2789" t="s">
        <v>2399</v>
      </c>
      <c r="L53" s="2226"/>
      <c r="O53" s="2242" t="s">
        <v>2365</v>
      </c>
      <c r="P53" s="2240" t="s">
        <v>2366</v>
      </c>
      <c r="Q53" s="2243">
        <f>J53</f>
        <v>0</v>
      </c>
      <c r="R53" s="2244"/>
    </row>
    <row r="54" spans="1:18" s="1928" customFormat="1" ht="29.25" thickBot="1">
      <c r="A54" s="1964"/>
      <c r="I54" s="2790" t="s">
        <v>2932</v>
      </c>
      <c r="J54" s="2843">
        <f ca="1">IF(M48="住宅",MAX(J52,L49-'数据-取费表'!B20),MIN(J52,L49-'数据-取费表'!B20))</f>
        <v>-3</v>
      </c>
      <c r="K54" s="3931"/>
      <c r="L54" s="3932"/>
      <c r="O54" s="2242" t="s">
        <v>2367</v>
      </c>
      <c r="P54" s="2240" t="s">
        <v>2368</v>
      </c>
      <c r="Q54" s="2241">
        <f ca="1">J54</f>
        <v>-3</v>
      </c>
      <c r="R54" s="2240" t="s">
        <v>2369</v>
      </c>
    </row>
    <row r="55" spans="1:18" s="1928" customFormat="1" ht="18" customHeight="1" thickBot="1">
      <c r="A55" s="1964"/>
      <c r="I55" s="279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799"/>
      <c r="K55" s="2800"/>
      <c r="O55" s="2239" t="s">
        <v>2370</v>
      </c>
      <c r="P55" s="2240" t="s">
        <v>2387</v>
      </c>
      <c r="Q55" s="2241">
        <f ca="1">Q49+Q50</f>
        <v>0</v>
      </c>
      <c r="R55" s="2244" t="s">
        <v>2371</v>
      </c>
    </row>
    <row r="56" spans="1:18" s="1928" customFormat="1" ht="16.5" thickBot="1">
      <c r="A56" s="1964"/>
      <c r="B56" s="1965"/>
      <c r="C56" s="1965"/>
      <c r="I56" s="2801" t="s">
        <v>2334</v>
      </c>
      <c r="J56" s="2773" t="e">
        <f ca="1">ROUND(IF(J48="钢混",J58/J51,1-(1-2%)*(J51-J58)/J51),3)</f>
        <v>#VALUE!</v>
      </c>
      <c r="K56" s="2802" t="s">
        <v>2335</v>
      </c>
      <c r="L56" s="2227"/>
      <c r="O56" s="2245" t="s">
        <v>2390</v>
      </c>
      <c r="P56" s="1514"/>
      <c r="Q56" s="1522"/>
      <c r="R56" s="1514"/>
    </row>
    <row r="57" spans="1:18" s="1928" customFormat="1" ht="43.5" thickBot="1">
      <c r="A57" s="1964"/>
      <c r="B57" s="1965"/>
      <c r="C57" s="1965"/>
      <c r="I57" s="2803" t="s">
        <v>2336</v>
      </c>
      <c r="J57" s="2813" t="s">
        <v>1668</v>
      </c>
      <c r="K57" s="2784" t="s">
        <v>2341</v>
      </c>
      <c r="L57" s="1808">
        <f ca="1">IF(L49&lt;J52,"——",L49-J52)</f>
        <v>0</v>
      </c>
      <c r="O57" s="2236" t="s">
        <v>2354</v>
      </c>
      <c r="P57" s="2237" t="s">
        <v>2355</v>
      </c>
      <c r="Q57" s="2238" t="s">
        <v>2356</v>
      </c>
      <c r="R57" s="2237" t="s">
        <v>2357</v>
      </c>
    </row>
    <row r="58" spans="1:18" s="1928" customFormat="1" ht="29.25" thickBot="1">
      <c r="A58" s="1964"/>
      <c r="B58" s="1965"/>
      <c r="C58" s="1965"/>
      <c r="I58" s="2804" t="s">
        <v>2337</v>
      </c>
      <c r="J58" s="2805" t="str">
        <f ca="1">IF(OR(M48="住宅",J52&lt;L49,J57="是"),"——",J52-L49)</f>
        <v>——</v>
      </c>
      <c r="K58" s="2784" t="s">
        <v>2342</v>
      </c>
      <c r="L58" s="1808">
        <f ca="1">IF(L49&lt;J52,"——",IF(L56="比较法",L50,IF(L56="基准地价",L51,L52)))</f>
        <v>0</v>
      </c>
      <c r="O58" s="2239" t="s">
        <v>2358</v>
      </c>
      <c r="P58" s="2240" t="s">
        <v>2384</v>
      </c>
      <c r="Q58" s="2241">
        <f ca="1">C41+J31</f>
        <v>0</v>
      </c>
      <c r="R58" s="2240" t="s">
        <v>2359</v>
      </c>
    </row>
    <row r="59" spans="1:18" s="1928" customFormat="1" ht="29.25" thickBot="1">
      <c r="A59" s="1964"/>
      <c r="B59" s="1965"/>
      <c r="C59" s="1965"/>
      <c r="I59" s="2804" t="s">
        <v>2338</v>
      </c>
      <c r="J59" s="2774" t="e">
        <f ca="1">IF(J56&lt;0.4,0.4,J56)</f>
        <v>#VALUE!</v>
      </c>
      <c r="K59" s="2784" t="s">
        <v>2343</v>
      </c>
      <c r="L59" s="1808">
        <f ca="1">IF(ISERROR(POWER(1+L53,L48-L49)*(POWER(1+L53,L49)-1)/(POWER(1+L53,L48)-1)),0,POWER(1+L53,L48-L49)*(POWER(1+L53,L49)-1)/(POWER(1+L53,L48)-1))</f>
        <v>0</v>
      </c>
      <c r="O59" s="2239" t="s">
        <v>2360</v>
      </c>
      <c r="P59" s="2240" t="s">
        <v>2391</v>
      </c>
      <c r="Q59" s="2241" t="e">
        <f ca="1">L61</f>
        <v>#DIV/0!</v>
      </c>
      <c r="R59" s="2244" t="s">
        <v>2393</v>
      </c>
    </row>
    <row r="60" spans="1:18" s="1928" customFormat="1" ht="29.25" thickBot="1">
      <c r="A60" s="1964"/>
      <c r="B60" s="1965"/>
      <c r="C60" s="1965"/>
      <c r="I60" s="2804" t="s">
        <v>2339</v>
      </c>
      <c r="J60" s="2805" t="str">
        <f ca="1">IF(OR(M48="住宅",J52&lt;L49,J57="是"),"——",ROUND(C30*J59,0))</f>
        <v>——</v>
      </c>
      <c r="K60" s="2784" t="s">
        <v>2344</v>
      </c>
      <c r="L60" s="1808">
        <f ca="1">IF(ISERROR(POWER(1+L53,L48-J52)*(POWER(1+L53,J52)-1)/(POWER(1+L53,L48)-1)),0,POWER(1+L53,L48-J52)*(POWER(1+L53,J52)-1)/(POWER(1+L53,L48)-1))</f>
        <v>0</v>
      </c>
      <c r="O60" s="2242" t="s">
        <v>2362</v>
      </c>
      <c r="P60" s="2240" t="s">
        <v>2392</v>
      </c>
      <c r="Q60" s="2241">
        <f>IF(L56="比较法",L50,IF(L56="基准地价",L51,0))</f>
        <v>0</v>
      </c>
      <c r="R60" s="2240" t="s">
        <v>2359</v>
      </c>
    </row>
    <row r="61" spans="1:18" s="1928" customFormat="1" ht="15.75" thickBot="1">
      <c r="A61" s="1964"/>
      <c r="B61" s="1965"/>
      <c r="C61" s="1965"/>
      <c r="I61" s="2806" t="s">
        <v>2340</v>
      </c>
      <c r="J61" s="2807" t="str">
        <f ca="1">IF(OR(M48="住宅",J52&lt;L49,J57="是"),"0",ROUND(J60/(1+J53)^J54,0))</f>
        <v>0</v>
      </c>
      <c r="K61" s="2808" t="s">
        <v>2345</v>
      </c>
      <c r="L61" s="2807" t="e">
        <f ca="1">IF(OR(M48="住宅",L49&lt;J52),0,ROUND(L58*(L59/L60-1),0))</f>
        <v>#DIV/0!</v>
      </c>
      <c r="O61" s="2242" t="s">
        <v>2363</v>
      </c>
      <c r="P61" s="2240" t="s">
        <v>2372</v>
      </c>
      <c r="Q61" s="2243">
        <f>L53</f>
        <v>0</v>
      </c>
      <c r="R61" s="2244"/>
    </row>
    <row r="62" spans="1:18" s="1928" customFormat="1" ht="20.25" thickBot="1">
      <c r="A62" s="1964"/>
      <c r="B62" s="1965"/>
      <c r="C62" s="1965"/>
      <c r="K62" s="1954"/>
      <c r="O62" s="2242" t="s">
        <v>2365</v>
      </c>
      <c r="P62" s="2240" t="s">
        <v>2373</v>
      </c>
      <c r="Q62" s="2241">
        <f ca="1">L59</f>
        <v>0</v>
      </c>
      <c r="R62" s="2244" t="s">
        <v>2374</v>
      </c>
    </row>
    <row r="63" spans="1:18" s="1928" customFormat="1" ht="20.25" thickBot="1">
      <c r="A63" s="1964"/>
      <c r="B63" s="1965"/>
      <c r="C63" s="1965"/>
      <c r="I63" s="2809" t="s">
        <v>2346</v>
      </c>
      <c r="J63" s="2810" t="s">
        <v>2347</v>
      </c>
      <c r="K63" s="2810" t="s">
        <v>2348</v>
      </c>
      <c r="L63" s="2810" t="s">
        <v>2329</v>
      </c>
      <c r="M63" s="2811" t="s">
        <v>2900</v>
      </c>
      <c r="O63" s="2242" t="s">
        <v>2367</v>
      </c>
      <c r="P63" s="2240" t="s">
        <v>2375</v>
      </c>
      <c r="Q63" s="2241">
        <f ca="1">L60</f>
        <v>0</v>
      </c>
      <c r="R63" s="2244" t="s">
        <v>2376</v>
      </c>
    </row>
    <row r="64" spans="1:18" s="1928" customFormat="1" ht="15.75" thickBot="1">
      <c r="A64" s="1964"/>
      <c r="B64" s="1965"/>
      <c r="C64" s="1965"/>
      <c r="I64" s="2809" t="s">
        <v>2349</v>
      </c>
      <c r="J64" s="2810">
        <v>70</v>
      </c>
      <c r="K64" s="2810">
        <v>50</v>
      </c>
      <c r="L64" s="2810">
        <v>80</v>
      </c>
      <c r="M64" s="2812">
        <v>0.02</v>
      </c>
      <c r="O64" s="2239" t="s">
        <v>2370</v>
      </c>
      <c r="P64" s="2240" t="s">
        <v>2387</v>
      </c>
      <c r="Q64" s="2241" t="e">
        <f ca="1">Q58+Q59</f>
        <v>#DIV/0!</v>
      </c>
      <c r="R64" s="2244" t="s">
        <v>2371</v>
      </c>
    </row>
    <row r="65" spans="1:18" s="1928" customFormat="1" ht="16.5" thickBot="1">
      <c r="A65" s="1964"/>
      <c r="B65" s="1965"/>
      <c r="C65" s="1965"/>
      <c r="I65" s="2809" t="s">
        <v>2350</v>
      </c>
      <c r="J65" s="2810">
        <v>50</v>
      </c>
      <c r="K65" s="2810">
        <v>35</v>
      </c>
      <c r="L65" s="2810">
        <v>60</v>
      </c>
      <c r="M65" s="827">
        <v>0</v>
      </c>
      <c r="O65" s="2245" t="s">
        <v>2394</v>
      </c>
      <c r="P65" s="1514"/>
      <c r="Q65" s="1522"/>
      <c r="R65" s="1514"/>
    </row>
    <row r="66" spans="1:18" s="1928" customFormat="1" ht="15.75" thickBot="1">
      <c r="A66" s="1964"/>
      <c r="B66" s="1965"/>
      <c r="C66" s="1965"/>
      <c r="I66" s="2809" t="s">
        <v>2351</v>
      </c>
      <c r="J66" s="2810">
        <v>40</v>
      </c>
      <c r="K66" s="2810">
        <v>30</v>
      </c>
      <c r="L66" s="2810">
        <v>50</v>
      </c>
      <c r="M66" s="2812">
        <v>0.02</v>
      </c>
      <c r="O66" s="2236" t="s">
        <v>2354</v>
      </c>
      <c r="P66" s="2237" t="s">
        <v>2355</v>
      </c>
      <c r="Q66" s="2238" t="s">
        <v>2356</v>
      </c>
      <c r="R66" s="2237" t="s">
        <v>2357</v>
      </c>
    </row>
    <row r="67" spans="1:18" s="1928" customFormat="1" ht="15.75" thickBot="1">
      <c r="A67" s="1964"/>
      <c r="B67" s="1965"/>
      <c r="C67" s="1965"/>
      <c r="K67" s="1954"/>
      <c r="O67" s="2239" t="s">
        <v>2358</v>
      </c>
      <c r="P67" s="2240" t="s">
        <v>2384</v>
      </c>
      <c r="Q67" s="2241">
        <f ca="1">C41+J31</f>
        <v>0</v>
      </c>
      <c r="R67" s="2240" t="s">
        <v>2359</v>
      </c>
    </row>
    <row r="68" spans="1:18" s="1928" customFormat="1" ht="20.25" thickBot="1">
      <c r="A68" s="1964"/>
      <c r="B68" s="1965"/>
      <c r="C68" s="1965"/>
      <c r="K68" s="1954"/>
      <c r="O68" s="2239" t="s">
        <v>2360</v>
      </c>
      <c r="P68" s="2240" t="s">
        <v>2391</v>
      </c>
      <c r="Q68" s="2241" t="e">
        <f ca="1">L61</f>
        <v>#DIV/0!</v>
      </c>
      <c r="R68" s="2244" t="s">
        <v>2393</v>
      </c>
    </row>
    <row r="69" spans="1:18" s="1928" customFormat="1" ht="21.75" thickBot="1">
      <c r="A69" s="1964"/>
      <c r="B69" s="1965"/>
      <c r="C69" s="1965"/>
      <c r="K69" s="1954"/>
      <c r="O69" s="2242" t="s">
        <v>2362</v>
      </c>
      <c r="P69" s="2240" t="s">
        <v>2392</v>
      </c>
      <c r="Q69" s="2246">
        <f ca="1">L52</f>
        <v>0</v>
      </c>
      <c r="R69" s="2247" t="s">
        <v>2395</v>
      </c>
    </row>
    <row r="70" spans="1:18" s="1928" customFormat="1" ht="20.25" thickBot="1">
      <c r="A70" s="1964"/>
      <c r="B70" s="1965"/>
      <c r="C70" s="1965"/>
      <c r="K70" s="1954"/>
      <c r="O70" s="2242" t="s">
        <v>2363</v>
      </c>
      <c r="P70" s="2248" t="s">
        <v>2377</v>
      </c>
      <c r="Q70" s="2241">
        <f ca="1">ROUND(Q71-Q72*Q73,0)</f>
        <v>0</v>
      </c>
      <c r="R70" s="2244"/>
    </row>
    <row r="71" spans="1:18" s="1928" customFormat="1" ht="15.75" thickBot="1">
      <c r="A71" s="1964"/>
      <c r="B71" s="1965"/>
      <c r="C71" s="1965"/>
      <c r="K71" s="1954"/>
      <c r="O71" s="2242" t="s">
        <v>2378</v>
      </c>
      <c r="P71" s="2248" t="s">
        <v>2379</v>
      </c>
      <c r="Q71" s="2241">
        <f ca="1">C42</f>
        <v>0</v>
      </c>
      <c r="R71" s="2240" t="s">
        <v>2359</v>
      </c>
    </row>
    <row r="72" spans="1:18" s="1928" customFormat="1" ht="15.75" thickBot="1">
      <c r="A72" s="1964"/>
      <c r="B72" s="1965"/>
      <c r="C72" s="1965"/>
      <c r="K72" s="1954"/>
      <c r="O72" s="2242" t="s">
        <v>2380</v>
      </c>
      <c r="P72" s="2248" t="s">
        <v>2381</v>
      </c>
      <c r="Q72" s="2241">
        <f ca="1">C15</f>
        <v>0</v>
      </c>
      <c r="R72" s="2240" t="s">
        <v>2359</v>
      </c>
    </row>
    <row r="73" spans="1:18" s="1928" customFormat="1" ht="15.75" thickBot="1">
      <c r="A73" s="1964"/>
      <c r="B73" s="1965"/>
      <c r="C73" s="1965"/>
      <c r="K73" s="1954"/>
      <c r="O73" s="2242" t="s">
        <v>2382</v>
      </c>
      <c r="P73" s="2248" t="s">
        <v>2383</v>
      </c>
      <c r="Q73" s="2243">
        <f ca="1">F43</f>
        <v>0</v>
      </c>
      <c r="R73" s="2244"/>
    </row>
    <row r="74" spans="1:18" s="1928" customFormat="1" ht="15.75" thickBot="1">
      <c r="A74" s="1964"/>
      <c r="B74" s="1965"/>
      <c r="C74" s="1965"/>
      <c r="K74" s="1954"/>
      <c r="O74" s="2242" t="s">
        <v>2365</v>
      </c>
      <c r="P74" s="2240" t="s">
        <v>2372</v>
      </c>
      <c r="Q74" s="2243">
        <f>L53</f>
        <v>0</v>
      </c>
      <c r="R74" s="2244"/>
    </row>
    <row r="75" spans="1:18" s="1928" customFormat="1" ht="20.25" thickBot="1">
      <c r="A75" s="1964"/>
      <c r="B75" s="1965"/>
      <c r="C75" s="1965"/>
      <c r="K75" s="1954"/>
      <c r="O75" s="2242" t="s">
        <v>2367</v>
      </c>
      <c r="P75" s="2240" t="s">
        <v>2373</v>
      </c>
      <c r="Q75" s="2241">
        <f ca="1">L59</f>
        <v>0</v>
      </c>
      <c r="R75" s="2244" t="s">
        <v>2374</v>
      </c>
    </row>
    <row r="76" spans="1:18" s="1928" customFormat="1" ht="20.25" thickBot="1">
      <c r="A76" s="1964"/>
      <c r="B76" s="1965"/>
      <c r="C76" s="1965"/>
      <c r="K76" s="1954"/>
      <c r="O76" s="2242" t="s">
        <v>2396</v>
      </c>
      <c r="P76" s="2240" t="s">
        <v>2375</v>
      </c>
      <c r="Q76" s="2241">
        <f ca="1">L60</f>
        <v>0</v>
      </c>
      <c r="R76" s="2244" t="s">
        <v>2376</v>
      </c>
    </row>
    <row r="77" spans="1:18" s="1928" customFormat="1" ht="15.75" thickBot="1">
      <c r="A77" s="1964"/>
      <c r="B77" s="1965"/>
      <c r="C77" s="1965"/>
      <c r="K77" s="1954"/>
      <c r="O77" s="2239" t="s">
        <v>2370</v>
      </c>
      <c r="P77" s="2240" t="s">
        <v>2387</v>
      </c>
      <c r="Q77" s="2241" t="e">
        <f ca="1">Q67+Q68</f>
        <v>#DIV/0!</v>
      </c>
      <c r="R77" s="2244" t="s">
        <v>2371</v>
      </c>
    </row>
    <row r="78" spans="1:18" s="1928" customFormat="1">
      <c r="A78" s="1964"/>
      <c r="B78" s="1965"/>
      <c r="C78" s="1965"/>
      <c r="K78" s="1954"/>
    </row>
    <row r="79" spans="1:18" s="1928" customFormat="1">
      <c r="A79" s="1964"/>
      <c r="B79" s="1965"/>
      <c r="C79" s="1965"/>
      <c r="K79" s="1954"/>
    </row>
    <row r="80" spans="1:18" s="1928" customFormat="1">
      <c r="A80" s="1964"/>
      <c r="B80" s="1965"/>
      <c r="C80" s="1965"/>
      <c r="K80" s="1954"/>
    </row>
    <row r="81" spans="1:11" s="1928" customFormat="1">
      <c r="A81" s="1964"/>
      <c r="B81" s="1965"/>
      <c r="C81" s="1965"/>
      <c r="K81" s="1954"/>
    </row>
    <row r="82" spans="1:11" s="1928" customFormat="1">
      <c r="A82" s="1964"/>
      <c r="B82" s="1965"/>
      <c r="C82" s="1965"/>
      <c r="K82" s="1954"/>
    </row>
    <row r="83" spans="1:11" s="1928" customFormat="1">
      <c r="A83" s="1964"/>
      <c r="B83" s="1965"/>
      <c r="C83" s="1965"/>
      <c r="K83" s="1954"/>
    </row>
    <row r="84" spans="1:11" s="1928" customFormat="1">
      <c r="A84" s="1964"/>
      <c r="B84" s="1965"/>
      <c r="C84" s="1965"/>
      <c r="K84" s="1954"/>
    </row>
    <row r="85" spans="1:11" s="1928" customFormat="1">
      <c r="A85" s="1964"/>
      <c r="B85" s="1965"/>
      <c r="C85" s="1965"/>
      <c r="K85" s="1954"/>
    </row>
    <row r="86" spans="1:11" s="1928" customFormat="1">
      <c r="A86" s="1964"/>
      <c r="B86" s="1965"/>
      <c r="C86" s="1965"/>
      <c r="K86" s="1954"/>
    </row>
    <row r="87" spans="1:11" s="1928" customFormat="1">
      <c r="A87" s="1964"/>
      <c r="B87" s="1965"/>
      <c r="C87" s="1965"/>
      <c r="K87" s="1954"/>
    </row>
    <row r="88" spans="1:11" s="1928" customFormat="1">
      <c r="A88" s="1964"/>
      <c r="B88" s="1965"/>
      <c r="C88" s="1965"/>
      <c r="K88" s="1954"/>
    </row>
    <row r="89" spans="1:11" s="1928" customFormat="1">
      <c r="A89" s="1964"/>
      <c r="B89" s="1965"/>
      <c r="C89" s="1965"/>
      <c r="K89" s="1954"/>
    </row>
    <row r="90" spans="1:11" s="1928" customFormat="1">
      <c r="A90" s="1964"/>
      <c r="B90" s="1965"/>
      <c r="C90" s="1965"/>
      <c r="K90" s="1954"/>
    </row>
    <row r="91" spans="1:11" s="1928" customFormat="1">
      <c r="A91" s="1964"/>
      <c r="B91" s="1965"/>
      <c r="C91" s="1965"/>
      <c r="K91" s="1954"/>
    </row>
    <row r="92" spans="1:11" s="1928" customFormat="1">
      <c r="A92" s="1964"/>
      <c r="B92" s="1965"/>
      <c r="C92" s="1965"/>
      <c r="K92" s="1954"/>
    </row>
    <row r="93" spans="1:11" s="1928" customFormat="1">
      <c r="A93" s="1964"/>
      <c r="B93" s="1965"/>
      <c r="C93" s="1965"/>
      <c r="K93" s="1954"/>
    </row>
    <row r="94" spans="1:11" s="1928" customFormat="1">
      <c r="A94" s="1964"/>
      <c r="B94" s="1965"/>
      <c r="C94" s="1965"/>
      <c r="K94" s="1954"/>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51" priority="6">
      <formula>$F$12="自定义"</formula>
    </cfRule>
  </conditionalFormatting>
  <conditionalFormatting sqref="J13">
    <cfRule type="expression" dxfId="150" priority="5">
      <formula>$M$10="自定义"</formula>
    </cfRule>
  </conditionalFormatting>
  <conditionalFormatting sqref="K56">
    <cfRule type="expression" dxfId="149" priority="3">
      <formula>$L$48&gt;$J$51</formula>
    </cfRule>
  </conditionalFormatting>
  <conditionalFormatting sqref="I56">
    <cfRule type="expression" dxfId="148" priority="4">
      <formula>$J$51&gt;$L$48</formula>
    </cfRule>
  </conditionalFormatting>
  <conditionalFormatting sqref="I61">
    <cfRule type="expression" dxfId="147" priority="2">
      <formula>$J$51&gt;$L$48</formula>
    </cfRule>
  </conditionalFormatting>
  <conditionalFormatting sqref="K61">
    <cfRule type="expression" dxfId="146"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C24" sqref="C24:C524"/>
    </sheetView>
  </sheetViews>
  <sheetFormatPr defaultRowHeight="13.5"/>
  <cols>
    <col min="1" max="1" width="10.5" customWidth="1"/>
    <col min="2" max="2" width="12.875" customWidth="1"/>
    <col min="3" max="3" width="8.75" customWidth="1"/>
  </cols>
  <sheetData>
    <row r="1" spans="1:9" ht="14.25">
      <c r="A1" s="3949" t="s">
        <v>2447</v>
      </c>
      <c r="B1" s="3950"/>
      <c r="C1" s="3951"/>
      <c r="D1" s="3952">
        <f>SUM(I10,I15,I20,I21,I23)</f>
        <v>0</v>
      </c>
      <c r="E1" s="3952"/>
      <c r="F1" s="3952"/>
      <c r="G1" s="3952"/>
      <c r="H1" s="3952"/>
      <c r="I1" s="3953"/>
    </row>
    <row r="2" spans="1:9">
      <c r="A2" s="3939" t="s">
        <v>2448</v>
      </c>
      <c r="B2" s="3940" t="s">
        <v>2449</v>
      </c>
      <c r="C2" s="3940"/>
      <c r="D2" s="2346" t="s">
        <v>2450</v>
      </c>
      <c r="E2" s="2346" t="s">
        <v>2451</v>
      </c>
      <c r="F2" s="2346" t="s">
        <v>2452</v>
      </c>
      <c r="G2" s="2346" t="s">
        <v>2453</v>
      </c>
      <c r="H2" s="2346" t="s">
        <v>2454</v>
      </c>
      <c r="I2" s="2347" t="s">
        <v>2455</v>
      </c>
    </row>
    <row r="3" spans="1:9">
      <c r="A3" s="3939"/>
      <c r="B3" s="3940" t="s">
        <v>2456</v>
      </c>
      <c r="C3" s="3940"/>
      <c r="D3" s="2348"/>
      <c r="E3" s="2346"/>
      <c r="F3" s="2349"/>
      <c r="G3" s="2349"/>
      <c r="H3" s="2350"/>
      <c r="I3" s="2351">
        <f>ROUND(D3*E3*F3*G3*H3/10000,0)</f>
        <v>0</v>
      </c>
    </row>
    <row r="4" spans="1:9">
      <c r="A4" s="3939"/>
      <c r="B4" s="3940" t="s">
        <v>2457</v>
      </c>
      <c r="C4" s="3940"/>
      <c r="D4" s="2348"/>
      <c r="E4" s="2346"/>
      <c r="F4" s="2349"/>
      <c r="G4" s="2349"/>
      <c r="H4" s="2350"/>
      <c r="I4" s="2351">
        <f t="shared" ref="I4:I9" si="0">ROUND(D4*E4*F4*G4*H4/10000,0)</f>
        <v>0</v>
      </c>
    </row>
    <row r="5" spans="1:9">
      <c r="A5" s="3939"/>
      <c r="B5" s="3940" t="s">
        <v>2458</v>
      </c>
      <c r="C5" s="3940"/>
      <c r="D5" s="2348"/>
      <c r="E5" s="2346"/>
      <c r="F5" s="2349"/>
      <c r="G5" s="2349"/>
      <c r="H5" s="2350"/>
      <c r="I5" s="2351">
        <f t="shared" si="0"/>
        <v>0</v>
      </c>
    </row>
    <row r="6" spans="1:9">
      <c r="A6" s="3939"/>
      <c r="B6" s="3940" t="s">
        <v>2459</v>
      </c>
      <c r="C6" s="3940"/>
      <c r="D6" s="2348"/>
      <c r="E6" s="2346"/>
      <c r="F6" s="2349"/>
      <c r="G6" s="2349"/>
      <c r="H6" s="2350"/>
      <c r="I6" s="2351">
        <f t="shared" si="0"/>
        <v>0</v>
      </c>
    </row>
    <row r="7" spans="1:9">
      <c r="A7" s="3939"/>
      <c r="B7" s="3940" t="s">
        <v>2460</v>
      </c>
      <c r="C7" s="3940"/>
      <c r="D7" s="2348"/>
      <c r="E7" s="2346"/>
      <c r="F7" s="2349"/>
      <c r="G7" s="2349"/>
      <c r="H7" s="2350"/>
      <c r="I7" s="2351">
        <f t="shared" si="0"/>
        <v>0</v>
      </c>
    </row>
    <row r="8" spans="1:9">
      <c r="A8" s="3939"/>
      <c r="B8" s="3940" t="s">
        <v>2461</v>
      </c>
      <c r="C8" s="3940"/>
      <c r="D8" s="2348"/>
      <c r="E8" s="2346"/>
      <c r="F8" s="2349"/>
      <c r="G8" s="2349"/>
      <c r="H8" s="2350"/>
      <c r="I8" s="2351">
        <f t="shared" si="0"/>
        <v>0</v>
      </c>
    </row>
    <row r="9" spans="1:9">
      <c r="A9" s="3939"/>
      <c r="B9" s="3940" t="s">
        <v>2462</v>
      </c>
      <c r="C9" s="3940"/>
      <c r="D9" s="2348"/>
      <c r="E9" s="2346"/>
      <c r="F9" s="2349"/>
      <c r="G9" s="2349"/>
      <c r="H9" s="2350"/>
      <c r="I9" s="2351">
        <f t="shared" si="0"/>
        <v>0</v>
      </c>
    </row>
    <row r="10" spans="1:9">
      <c r="A10" s="3939"/>
      <c r="B10" s="3941" t="s">
        <v>2463</v>
      </c>
      <c r="C10" s="3941"/>
      <c r="D10" s="2352">
        <v>527</v>
      </c>
      <c r="E10" s="2352" t="e">
        <f>ROUND(D1*10000/D10/H9,0)</f>
        <v>#DIV/0!</v>
      </c>
      <c r="F10" s="2353"/>
      <c r="G10" s="2353"/>
      <c r="H10" s="2354"/>
      <c r="I10" s="2355">
        <f>SUM(I3:I9)</f>
        <v>0</v>
      </c>
    </row>
    <row r="11" spans="1:9" ht="14.25">
      <c r="A11" s="3939" t="s">
        <v>2464</v>
      </c>
      <c r="B11" s="3940" t="s">
        <v>2465</v>
      </c>
      <c r="C11" s="3940"/>
      <c r="D11" s="2348" t="s">
        <v>2466</v>
      </c>
      <c r="E11" s="2348" t="s">
        <v>2467</v>
      </c>
      <c r="F11" s="2349" t="s">
        <v>2468</v>
      </c>
      <c r="G11" s="2349" t="s">
        <v>2469</v>
      </c>
      <c r="H11" s="2356" t="s">
        <v>2470</v>
      </c>
      <c r="I11" s="2347" t="s">
        <v>2471</v>
      </c>
    </row>
    <row r="12" spans="1:9">
      <c r="A12" s="3939"/>
      <c r="B12" s="3940" t="s">
        <v>2472</v>
      </c>
      <c r="C12" s="3940"/>
      <c r="D12" s="2348"/>
      <c r="E12" s="2348"/>
      <c r="F12" s="2349"/>
      <c r="G12" s="2350"/>
      <c r="H12" s="2357"/>
      <c r="I12" s="2347">
        <f>ROUND(D12*E12*F12*G12/10000,0)</f>
        <v>0</v>
      </c>
    </row>
    <row r="13" spans="1:9">
      <c r="A13" s="3939"/>
      <c r="B13" s="3940" t="s">
        <v>2473</v>
      </c>
      <c r="C13" s="3940"/>
      <c r="D13" s="2348"/>
      <c r="E13" s="2348"/>
      <c r="F13" s="2349"/>
      <c r="G13" s="2350"/>
      <c r="H13" s="2357"/>
      <c r="I13" s="2347">
        <f>ROUND(D13*E13*F13*G13/10000,0)</f>
        <v>0</v>
      </c>
    </row>
    <row r="14" spans="1:9">
      <c r="A14" s="3939"/>
      <c r="B14" s="3940" t="s">
        <v>2474</v>
      </c>
      <c r="C14" s="3940"/>
      <c r="D14" s="2348"/>
      <c r="E14" s="2348"/>
      <c r="F14" s="2349"/>
      <c r="G14" s="2350"/>
      <c r="H14" s="2357"/>
      <c r="I14" s="2347">
        <f>ROUND(D14*E14*F14*G14/10000,0)</f>
        <v>0</v>
      </c>
    </row>
    <row r="15" spans="1:9">
      <c r="A15" s="3939"/>
      <c r="B15" s="3941" t="s">
        <v>2463</v>
      </c>
      <c r="C15" s="3941"/>
      <c r="D15" s="2352"/>
      <c r="E15" s="2352">
        <f>SUM(E12:E14)</f>
        <v>0</v>
      </c>
      <c r="F15" s="2353"/>
      <c r="G15" s="2350"/>
      <c r="H15" s="2357"/>
      <c r="I15" s="2358">
        <f>SUM(I12:I14)</f>
        <v>0</v>
      </c>
    </row>
    <row r="16" spans="1:9" ht="24">
      <c r="A16" s="3939" t="s">
        <v>2475</v>
      </c>
      <c r="B16" s="3940" t="s">
        <v>2476</v>
      </c>
      <c r="C16" s="3940"/>
      <c r="D16" s="2348" t="s">
        <v>2477</v>
      </c>
      <c r="E16" s="2359" t="s">
        <v>2478</v>
      </c>
      <c r="F16" s="2349" t="s">
        <v>2479</v>
      </c>
      <c r="G16" s="2350" t="s">
        <v>2469</v>
      </c>
      <c r="H16" s="2356" t="s">
        <v>2470</v>
      </c>
      <c r="I16" s="2347" t="s">
        <v>2471</v>
      </c>
    </row>
    <row r="17" spans="1:9" ht="14.25">
      <c r="A17" s="3939"/>
      <c r="B17" s="3940" t="s">
        <v>2480</v>
      </c>
      <c r="C17" s="3940"/>
      <c r="D17" s="2348"/>
      <c r="E17" s="2348"/>
      <c r="F17" s="2349"/>
      <c r="G17" s="2350"/>
      <c r="H17" s="2360"/>
      <c r="I17" s="2361">
        <f>ROUND(D17*E17*F17*G17/10000,0)</f>
        <v>0</v>
      </c>
    </row>
    <row r="18" spans="1:9" ht="14.25">
      <c r="A18" s="3939"/>
      <c r="B18" s="3940" t="s">
        <v>2481</v>
      </c>
      <c r="C18" s="3940"/>
      <c r="D18" s="2348"/>
      <c r="E18" s="2348"/>
      <c r="F18" s="2349"/>
      <c r="G18" s="2350"/>
      <c r="H18" s="2360"/>
      <c r="I18" s="2361">
        <f>ROUND(D18*E18*F18*G18/10000,0)</f>
        <v>0</v>
      </c>
    </row>
    <row r="19" spans="1:9" ht="14.25">
      <c r="A19" s="3939"/>
      <c r="B19" s="3940" t="s">
        <v>2482</v>
      </c>
      <c r="C19" s="3940"/>
      <c r="D19" s="2348"/>
      <c r="E19" s="2348"/>
      <c r="F19" s="2349"/>
      <c r="G19" s="2350"/>
      <c r="H19" s="2360"/>
      <c r="I19" s="2361">
        <f>ROUND(D19*E19*F19*G19/10000,0)</f>
        <v>0</v>
      </c>
    </row>
    <row r="20" spans="1:9">
      <c r="A20" s="3939"/>
      <c r="B20" s="3941" t="s">
        <v>2463</v>
      </c>
      <c r="C20" s="3941"/>
      <c r="D20" s="2352">
        <f>SUM(D17:D19)</f>
        <v>0</v>
      </c>
      <c r="E20" s="2352"/>
      <c r="F20" s="2353"/>
      <c r="G20" s="2350"/>
      <c r="H20" s="2357"/>
      <c r="I20" s="2358">
        <f>SUM(I17:I19)</f>
        <v>0</v>
      </c>
    </row>
    <row r="21" spans="1:9">
      <c r="A21" s="3939" t="s">
        <v>2483</v>
      </c>
      <c r="B21" s="3942"/>
      <c r="C21" s="3942"/>
      <c r="D21" s="3942"/>
      <c r="E21" s="3942"/>
      <c r="F21" s="3942"/>
      <c r="G21" s="3942"/>
      <c r="H21" s="2362">
        <v>0.1</v>
      </c>
      <c r="I21" s="2355">
        <f>ROUND(I10*H21,0)</f>
        <v>0</v>
      </c>
    </row>
    <row r="22" spans="1:9" ht="14.25">
      <c r="A22" s="3943" t="s">
        <v>2484</v>
      </c>
      <c r="B22" s="3944"/>
      <c r="C22" s="3945"/>
      <c r="D22" s="2363" t="s">
        <v>2485</v>
      </c>
      <c r="E22" s="2363" t="s">
        <v>2486</v>
      </c>
      <c r="F22" s="2364" t="s">
        <v>2487</v>
      </c>
      <c r="G22" s="2364" t="s">
        <v>2488</v>
      </c>
      <c r="H22" s="2356" t="s">
        <v>2489</v>
      </c>
      <c r="I22" s="2347" t="s">
        <v>2490</v>
      </c>
    </row>
    <row r="23" spans="1:9" ht="14.25" thickBot="1">
      <c r="A23" s="3946"/>
      <c r="B23" s="3947"/>
      <c r="C23" s="3948"/>
      <c r="D23" s="2365"/>
      <c r="E23" s="2365"/>
      <c r="F23" s="2365"/>
      <c r="G23" s="2366"/>
      <c r="H23" s="2367"/>
      <c r="I23" s="2368">
        <f>ROUND(E23*D23*F23*(1-G23)/10000,0)</f>
        <v>0</v>
      </c>
    </row>
    <row r="26" spans="1:9">
      <c r="A26" s="2369" t="s">
        <v>2491</v>
      </c>
      <c r="B26" s="2369"/>
      <c r="C26" s="2369"/>
      <c r="D26" s="2369"/>
      <c r="E26" s="3936">
        <f>C27-C30-C31-C32</f>
        <v>0</v>
      </c>
      <c r="F26" s="3936"/>
      <c r="G26" s="3936"/>
      <c r="H26" s="2741" t="s">
        <v>2816</v>
      </c>
    </row>
    <row r="27" spans="1:9">
      <c r="A27" s="2370">
        <v>1</v>
      </c>
      <c r="B27" s="2371" t="s">
        <v>2492</v>
      </c>
      <c r="C27" s="2371"/>
      <c r="D27" s="2371"/>
      <c r="E27" s="3937"/>
      <c r="F27" s="3937"/>
      <c r="G27" s="3937"/>
    </row>
    <row r="28" spans="1:9">
      <c r="A28" s="2372" t="s">
        <v>2493</v>
      </c>
      <c r="B28" s="2371" t="s">
        <v>2494</v>
      </c>
      <c r="C28" s="2371"/>
      <c r="D28" s="2371"/>
      <c r="E28" s="3937"/>
      <c r="F28" s="3937"/>
      <c r="G28" s="3937"/>
    </row>
    <row r="29" spans="1:9">
      <c r="A29" s="2372" t="s">
        <v>2495</v>
      </c>
      <c r="B29" s="2371" t="s">
        <v>2436</v>
      </c>
      <c r="C29" s="2371"/>
      <c r="D29" s="2371"/>
      <c r="E29" s="2371" t="s">
        <v>2496</v>
      </c>
      <c r="F29" s="2371"/>
      <c r="G29" s="2371"/>
    </row>
    <row r="30" spans="1:9">
      <c r="A30" s="2370">
        <v>2</v>
      </c>
      <c r="B30" s="2371" t="s">
        <v>2497</v>
      </c>
      <c r="C30" s="2371">
        <f>C27*D30</f>
        <v>0</v>
      </c>
      <c r="D30" s="2373">
        <v>0.2</v>
      </c>
      <c r="E30" s="2371" t="s">
        <v>2498</v>
      </c>
      <c r="F30" s="2371"/>
      <c r="G30" s="2371"/>
    </row>
    <row r="31" spans="1:9">
      <c r="A31" s="2370">
        <v>3</v>
      </c>
      <c r="B31" s="2371" t="s">
        <v>2499</v>
      </c>
      <c r="C31" s="2371">
        <f>C25*D31</f>
        <v>0</v>
      </c>
      <c r="D31" s="2373">
        <v>0.15</v>
      </c>
      <c r="E31" s="2371" t="s">
        <v>2500</v>
      </c>
      <c r="F31" s="2371"/>
      <c r="G31" s="2371"/>
    </row>
    <row r="32" spans="1:9">
      <c r="A32" s="2370">
        <v>4</v>
      </c>
      <c r="B32" s="2371" t="s">
        <v>2501</v>
      </c>
      <c r="C32" s="2371">
        <f>C27*D32</f>
        <v>0</v>
      </c>
      <c r="D32" s="2373">
        <v>0.05</v>
      </c>
      <c r="E32" s="3938"/>
      <c r="F32" s="3938"/>
      <c r="G32" s="3938"/>
    </row>
    <row r="33" spans="1:7" hidden="1">
      <c r="A33" s="3933" t="s">
        <v>2502</v>
      </c>
      <c r="B33" s="3934"/>
      <c r="C33" s="3934"/>
      <c r="D33" s="3935"/>
      <c r="E33" s="3936"/>
      <c r="F33" s="3936"/>
      <c r="G33" s="3936"/>
    </row>
    <row r="34" spans="1:7" hidden="1">
      <c r="A34" s="2374">
        <v>1</v>
      </c>
      <c r="B34" s="2371" t="s">
        <v>2503</v>
      </c>
      <c r="C34" s="2371"/>
      <c r="D34" s="2371"/>
      <c r="E34" s="3937"/>
      <c r="F34" s="3937"/>
      <c r="G34" s="3937"/>
    </row>
    <row r="35" spans="1:7" hidden="1">
      <c r="A35" s="2374">
        <v>2</v>
      </c>
      <c r="B35" s="2371" t="s">
        <v>2504</v>
      </c>
      <c r="C35" s="2371"/>
      <c r="D35" s="2371"/>
      <c r="E35" s="3937"/>
      <c r="F35" s="3937"/>
      <c r="G35" s="3937"/>
    </row>
    <row r="36" spans="1:7" hidden="1">
      <c r="A36" s="2374">
        <v>3</v>
      </c>
      <c r="B36" s="2371" t="s">
        <v>2505</v>
      </c>
      <c r="C36" s="2371"/>
      <c r="D36" s="2371"/>
      <c r="E36" s="3937"/>
      <c r="F36" s="3937"/>
      <c r="G36" s="3937"/>
    </row>
    <row r="37" spans="1:7" hidden="1">
      <c r="A37" s="2374">
        <v>4</v>
      </c>
      <c r="B37" s="2371" t="s">
        <v>2506</v>
      </c>
      <c r="C37" s="2371"/>
      <c r="D37" s="2371"/>
      <c r="E37" s="3937"/>
      <c r="F37" s="3937"/>
      <c r="G37" s="3937"/>
    </row>
    <row r="38" spans="1:7" hidden="1">
      <c r="A38" s="3933" t="s">
        <v>2507</v>
      </c>
      <c r="B38" s="3934"/>
      <c r="C38" s="3934"/>
      <c r="D38" s="3935"/>
      <c r="E38" s="3936"/>
      <c r="F38" s="3936"/>
      <c r="G38" s="393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C24" sqref="C24:C524"/>
    </sheetView>
  </sheetViews>
  <sheetFormatPr defaultColWidth="8.375" defaultRowHeight="12.75"/>
  <cols>
    <col min="1" max="1" width="9.375" style="2052" customWidth="1"/>
    <col min="2" max="2" width="26.625" style="2053" customWidth="1"/>
    <col min="3" max="3" width="11.125" style="2053" customWidth="1"/>
    <col min="4" max="5" width="11.125" style="2054" customWidth="1"/>
    <col min="6" max="6" width="9.5" style="2053" customWidth="1"/>
    <col min="7" max="7" width="31.875" style="2053" customWidth="1"/>
    <col min="8" max="25" width="9" style="2055" customWidth="1"/>
    <col min="26" max="254" width="9" style="2053" customWidth="1"/>
    <col min="255" max="16384" width="8.375" style="2053"/>
  </cols>
  <sheetData>
    <row r="1" spans="1:25" s="1928" customFormat="1" ht="20.25">
      <c r="A1" s="407" t="s">
        <v>597</v>
      </c>
      <c r="B1" s="726"/>
      <c r="C1" s="2049"/>
      <c r="D1" s="2049"/>
      <c r="E1" s="2049"/>
      <c r="F1" s="2049"/>
      <c r="G1" s="1976"/>
    </row>
    <row r="2" spans="1:25" s="1928" customFormat="1" ht="18" customHeight="1">
      <c r="A2" s="409" t="s">
        <v>461</v>
      </c>
      <c r="B2" s="411">
        <f ca="1">C23</f>
        <v>0</v>
      </c>
      <c r="C2" s="3253"/>
      <c r="D2" s="3253"/>
      <c r="E2" s="3253"/>
      <c r="F2" s="3253"/>
      <c r="G2" s="3253"/>
    </row>
    <row r="3" spans="1:25" s="1928" customFormat="1" ht="18" customHeight="1">
      <c r="A3" s="1318" t="s">
        <v>1675</v>
      </c>
      <c r="B3" s="411">
        <f ca="1">ROUND(B2*10000/'数据-汇总表'!E3,0)</f>
        <v>0</v>
      </c>
      <c r="C3" s="3253"/>
      <c r="D3" s="3253"/>
      <c r="E3" s="3253"/>
      <c r="F3" s="3253"/>
      <c r="G3" s="3253"/>
    </row>
    <row r="4" spans="1:25" s="1928" customFormat="1" ht="18" customHeight="1">
      <c r="A4" s="412" t="s">
        <v>462</v>
      </c>
      <c r="B4" s="413">
        <f ca="1">ROUND(B2*10000/'数据-汇总表'!D3,0)</f>
        <v>0</v>
      </c>
      <c r="C4" s="3206"/>
      <c r="D4" s="3253"/>
      <c r="E4" s="3253"/>
      <c r="F4" s="3253"/>
      <c r="G4" s="3253"/>
    </row>
    <row r="5" spans="1:25" s="1928" customFormat="1" ht="18" customHeight="1" thickBot="1">
      <c r="A5" s="415"/>
      <c r="B5" s="416">
        <f ca="1">ROUND(B2/('数据-汇总表'!D3/666.67),0)</f>
        <v>0</v>
      </c>
      <c r="C5" s="417" t="s">
        <v>463</v>
      </c>
      <c r="D5" s="3253"/>
      <c r="E5" s="3253"/>
      <c r="F5" s="3253"/>
      <c r="G5" s="3253"/>
    </row>
    <row r="6" spans="1:25" s="2050" customFormat="1" ht="13.5" customHeight="1">
      <c r="A6" s="727"/>
      <c r="B6" s="728" t="s">
        <v>598</v>
      </c>
      <c r="C6" s="729" t="s">
        <v>599</v>
      </c>
      <c r="D6" s="729" t="s">
        <v>600</v>
      </c>
      <c r="E6" s="730" t="s">
        <v>601</v>
      </c>
      <c r="F6" s="730" t="s">
        <v>602</v>
      </c>
      <c r="G6" s="3252" t="s">
        <v>2988</v>
      </c>
    </row>
    <row r="7" spans="1:25" s="2050" customFormat="1" ht="13.5" customHeight="1">
      <c r="A7" s="2309">
        <v>1</v>
      </c>
      <c r="B7" s="731" t="s">
        <v>603</v>
      </c>
      <c r="C7" s="732">
        <f>C8+C9</f>
        <v>0</v>
      </c>
      <c r="D7" s="732"/>
      <c r="E7" s="733"/>
      <c r="F7" s="733"/>
      <c r="G7" s="2318"/>
    </row>
    <row r="8" spans="1:25" s="2050" customFormat="1" ht="13.5" customHeight="1">
      <c r="A8" s="2309" t="s">
        <v>2417</v>
      </c>
      <c r="B8" s="2312" t="s">
        <v>2419</v>
      </c>
      <c r="C8" s="3256">
        <f t="shared" ref="C8:C9" si="0">ROUND(D8*E8/10000,0)</f>
        <v>0</v>
      </c>
      <c r="D8" s="3256">
        <v>0</v>
      </c>
      <c r="E8" s="3257">
        <v>0</v>
      </c>
      <c r="F8" s="733"/>
      <c r="G8" s="734"/>
    </row>
    <row r="9" spans="1:25" s="2050" customFormat="1" ht="13.5" customHeight="1">
      <c r="A9" s="2309" t="s">
        <v>2418</v>
      </c>
      <c r="B9" s="2312" t="s">
        <v>2420</v>
      </c>
      <c r="C9" s="3256">
        <f t="shared" si="0"/>
        <v>0</v>
      </c>
      <c r="D9" s="3256">
        <v>0</v>
      </c>
      <c r="E9" s="3257">
        <v>0</v>
      </c>
      <c r="F9" s="733"/>
      <c r="G9" s="734"/>
    </row>
    <row r="10" spans="1:25" s="2050" customFormat="1" ht="36">
      <c r="A10" s="2309">
        <v>2</v>
      </c>
      <c r="B10" s="731" t="s">
        <v>607</v>
      </c>
      <c r="C10" s="732">
        <f>C11+C14+C15</f>
        <v>0</v>
      </c>
      <c r="D10" s="742"/>
      <c r="E10" s="732"/>
      <c r="F10" s="743"/>
      <c r="G10" s="741" t="s">
        <v>608</v>
      </c>
    </row>
    <row r="11" spans="1:25" s="2050" customFormat="1" ht="13.5" customHeight="1">
      <c r="A11" s="2309" t="s">
        <v>2417</v>
      </c>
      <c r="B11" s="735" t="s">
        <v>604</v>
      </c>
      <c r="C11" s="736">
        <f>'数据-取费表'!B29</f>
        <v>0</v>
      </c>
      <c r="D11" s="737"/>
      <c r="E11" s="736"/>
      <c r="F11" s="738"/>
      <c r="G11" s="2317" t="s">
        <v>2428</v>
      </c>
    </row>
    <row r="12" spans="1:25" s="2050" customFormat="1" ht="13.5" customHeight="1">
      <c r="A12" s="2315" t="s">
        <v>2425</v>
      </c>
      <c r="B12" s="739" t="s">
        <v>605</v>
      </c>
      <c r="C12" s="740">
        <f>ROUND(D12*E12/10000,0)</f>
        <v>1500</v>
      </c>
      <c r="D12" s="3256">
        <f>'数据-汇总表'!E5</f>
        <v>428668.15999999997</v>
      </c>
      <c r="E12" s="3256">
        <f>'数据-取费表'!B27</f>
        <v>35</v>
      </c>
      <c r="F12" s="738"/>
      <c r="G12" s="741"/>
    </row>
    <row r="13" spans="1:25" s="2050" customFormat="1" ht="13.5" customHeight="1">
      <c r="A13" s="2315" t="s">
        <v>2424</v>
      </c>
      <c r="B13" s="739" t="s">
        <v>606</v>
      </c>
      <c r="C13" s="740">
        <f>ROUND(D13*E13/10000,0)</f>
        <v>115</v>
      </c>
      <c r="D13" s="3256">
        <f>'数据-汇总表'!E6</f>
        <v>32922.929999999993</v>
      </c>
      <c r="E13" s="3256">
        <f>'数据-取费表'!B28</f>
        <v>35</v>
      </c>
      <c r="F13" s="738"/>
      <c r="G13" s="741"/>
    </row>
    <row r="14" spans="1:25" s="2050" customFormat="1" ht="13.5" customHeight="1">
      <c r="A14" s="2309" t="s">
        <v>2418</v>
      </c>
      <c r="B14" s="2314" t="s">
        <v>2421</v>
      </c>
      <c r="C14" s="3258">
        <f t="shared" ref="C14:C15" si="1">ROUND(D14*E14/10000,0)</f>
        <v>0</v>
      </c>
      <c r="D14" s="3256">
        <v>0</v>
      </c>
      <c r="E14" s="3257">
        <v>0</v>
      </c>
      <c r="F14" s="2313"/>
      <c r="G14" s="2316" t="s">
        <v>2426</v>
      </c>
    </row>
    <row r="15" spans="1:25" s="2050" customFormat="1" ht="13.5" customHeight="1">
      <c r="A15" s="2309" t="s">
        <v>2423</v>
      </c>
      <c r="B15" s="2314" t="s">
        <v>2422</v>
      </c>
      <c r="C15" s="3258">
        <f t="shared" si="1"/>
        <v>0</v>
      </c>
      <c r="D15" s="3256">
        <v>0</v>
      </c>
      <c r="E15" s="3257">
        <v>0</v>
      </c>
      <c r="F15" s="2313"/>
      <c r="G15" s="2316" t="s">
        <v>2427</v>
      </c>
    </row>
    <row r="16" spans="1:25" s="2051" customFormat="1" ht="48">
      <c r="A16" s="2309">
        <v>3</v>
      </c>
      <c r="B16" s="731" t="s">
        <v>609</v>
      </c>
      <c r="C16" s="3258">
        <f t="shared" ref="C16" si="2">ROUND(D16*E16/10000,0)</f>
        <v>0</v>
      </c>
      <c r="D16" s="3256">
        <v>0</v>
      </c>
      <c r="E16" s="3257">
        <v>0</v>
      </c>
      <c r="F16" s="743"/>
      <c r="G16" s="741" t="s">
        <v>2429</v>
      </c>
      <c r="H16" s="2050"/>
      <c r="I16" s="2050"/>
      <c r="J16" s="2050"/>
      <c r="K16" s="2050"/>
      <c r="L16" s="2050"/>
      <c r="M16" s="2050"/>
      <c r="N16" s="2050"/>
      <c r="O16" s="2050"/>
      <c r="P16" s="2050"/>
      <c r="Q16" s="2050"/>
      <c r="R16" s="2050"/>
      <c r="S16" s="2050"/>
      <c r="T16" s="2050"/>
      <c r="U16" s="2050"/>
      <c r="V16" s="2050"/>
      <c r="W16" s="2050"/>
      <c r="X16" s="2050"/>
      <c r="Y16" s="2050"/>
    </row>
    <row r="17" spans="1:25" s="2051" customFormat="1" ht="25.5">
      <c r="A17" s="2310">
        <v>4</v>
      </c>
      <c r="B17" s="731" t="s">
        <v>610</v>
      </c>
      <c r="C17" s="2411">
        <f ca="1">ROUND(IF('数据-取费表'!B19&lt;=1,((C7+C16)*'数据-取费表'!B19+C10*'数据-取费表'!B19/2)*F17,((C7+C16)*(POWER((1+F17),'数据-取费表'!B19)-1)+C10*(POWER((1+F17),'数据-取费表'!B19/2)-1))),0)</f>
        <v>0</v>
      </c>
      <c r="D17" s="744"/>
      <c r="E17" s="745"/>
      <c r="F17" s="746">
        <f ca="1">存贷款利率!E3</f>
        <v>0</v>
      </c>
      <c r="G17" s="747" t="str">
        <f>IF('数据-取费表'!B19&lt;=1,"((１＋３)×土地开发期+２×(土地开发期÷２))×利率","((１＋３)×((1+利率)^土地开发期-1)+２×((1+利率)^(土地开发期÷２)-1)")</f>
        <v>((１＋３)×土地开发期+２×(土地开发期÷２))×利率</v>
      </c>
      <c r="H17" s="2320"/>
      <c r="I17" s="2050"/>
      <c r="J17" s="2050"/>
      <c r="K17" s="2050"/>
      <c r="L17" s="2050"/>
      <c r="M17" s="2050"/>
      <c r="N17" s="2050"/>
      <c r="O17" s="2050"/>
      <c r="P17" s="2050"/>
      <c r="Q17" s="2050"/>
      <c r="R17" s="2050"/>
      <c r="S17" s="2050"/>
      <c r="T17" s="2050"/>
      <c r="U17" s="2050"/>
      <c r="V17" s="2050"/>
      <c r="W17" s="2050"/>
      <c r="X17" s="2050"/>
      <c r="Y17" s="2050"/>
    </row>
    <row r="18" spans="1:25" s="2051" customFormat="1" ht="13.5" customHeight="1">
      <c r="A18" s="2310">
        <v>5</v>
      </c>
      <c r="B18" s="731" t="s">
        <v>611</v>
      </c>
      <c r="C18" s="732">
        <f>ROUND((C7+C10+C16)*F18,0)</f>
        <v>0</v>
      </c>
      <c r="D18" s="744"/>
      <c r="E18" s="745"/>
      <c r="F18" s="1292">
        <v>0.05</v>
      </c>
      <c r="G18" s="747" t="s">
        <v>612</v>
      </c>
      <c r="H18" s="2050"/>
      <c r="I18" s="2050"/>
      <c r="J18" s="2050"/>
      <c r="K18" s="2050"/>
      <c r="L18" s="2050"/>
      <c r="M18" s="2050"/>
      <c r="N18" s="2050"/>
      <c r="O18" s="2050"/>
      <c r="P18" s="2050"/>
      <c r="Q18" s="2050"/>
      <c r="R18" s="2050"/>
      <c r="S18" s="2050"/>
      <c r="T18" s="2050"/>
      <c r="U18" s="2050"/>
      <c r="V18" s="2050"/>
      <c r="W18" s="2050"/>
      <c r="X18" s="2050"/>
      <c r="Y18" s="2050"/>
    </row>
    <row r="19" spans="1:25" s="2051" customFormat="1" ht="13.5" customHeight="1">
      <c r="A19" s="2309">
        <v>6</v>
      </c>
      <c r="B19" s="731" t="s">
        <v>613</v>
      </c>
      <c r="C19" s="732">
        <f ca="1">C7+C10+C16+C17+C18</f>
        <v>0</v>
      </c>
      <c r="D19" s="742"/>
      <c r="E19" s="732"/>
      <c r="F19" s="743"/>
      <c r="G19" s="747" t="s">
        <v>614</v>
      </c>
      <c r="H19" s="2050"/>
      <c r="I19" s="2050"/>
      <c r="J19" s="2050"/>
      <c r="K19" s="2050"/>
      <c r="L19" s="2050"/>
      <c r="M19" s="2050"/>
      <c r="N19" s="2050"/>
      <c r="O19" s="2050"/>
      <c r="P19" s="2050"/>
      <c r="Q19" s="2050"/>
      <c r="R19" s="2050"/>
      <c r="S19" s="2050"/>
      <c r="T19" s="2050"/>
      <c r="U19" s="2050"/>
      <c r="V19" s="2050"/>
      <c r="W19" s="2050"/>
      <c r="X19" s="2050"/>
      <c r="Y19" s="2050"/>
    </row>
    <row r="20" spans="1:25" s="2051" customFormat="1" ht="24.75">
      <c r="A20" s="2309">
        <v>7</v>
      </c>
      <c r="B20" s="731" t="s">
        <v>615</v>
      </c>
      <c r="C20" s="732">
        <f ca="1">ROUND(C19*F20,0)</f>
        <v>0</v>
      </c>
      <c r="D20" s="742"/>
      <c r="E20" s="732"/>
      <c r="F20" s="1292">
        <v>0.1</v>
      </c>
      <c r="G20" s="747" t="s">
        <v>616</v>
      </c>
      <c r="H20" s="2050"/>
      <c r="I20" s="2050"/>
      <c r="J20" s="2050"/>
      <c r="K20" s="2050"/>
      <c r="L20" s="2050"/>
      <c r="M20" s="2050"/>
      <c r="N20" s="2050"/>
      <c r="O20" s="2050"/>
      <c r="P20" s="2050"/>
      <c r="Q20" s="2050"/>
      <c r="R20" s="2050"/>
      <c r="S20" s="2050"/>
      <c r="T20" s="2050"/>
      <c r="U20" s="2050"/>
      <c r="V20" s="2050"/>
      <c r="W20" s="2050"/>
      <c r="X20" s="2050"/>
      <c r="Y20" s="2050"/>
    </row>
    <row r="21" spans="1:25" s="2051" customFormat="1">
      <c r="A21" s="2309">
        <v>8</v>
      </c>
      <c r="B21" s="731" t="s">
        <v>617</v>
      </c>
      <c r="C21" s="732">
        <f ca="1">C19+C20</f>
        <v>0</v>
      </c>
      <c r="D21" s="742"/>
      <c r="E21" s="732"/>
      <c r="F21" s="743"/>
      <c r="G21" s="747" t="s">
        <v>618</v>
      </c>
      <c r="H21" s="2050"/>
      <c r="I21" s="2050"/>
      <c r="J21" s="2050"/>
      <c r="K21" s="2050"/>
      <c r="L21" s="2050"/>
      <c r="M21" s="2050"/>
      <c r="N21" s="2050"/>
      <c r="O21" s="2050"/>
      <c r="P21" s="2050"/>
      <c r="Q21" s="2050"/>
      <c r="R21" s="2050"/>
      <c r="S21" s="2050"/>
      <c r="T21" s="2050"/>
      <c r="U21" s="2050"/>
      <c r="V21" s="2050"/>
      <c r="W21" s="2050"/>
      <c r="X21" s="2050"/>
      <c r="Y21" s="2050"/>
    </row>
    <row r="22" spans="1:25" s="2051" customFormat="1" ht="13.5" customHeight="1">
      <c r="A22" s="2309">
        <v>9</v>
      </c>
      <c r="B22" s="731" t="s">
        <v>619</v>
      </c>
      <c r="C22" s="732">
        <f ca="1">ROUND(C21*F22,0)</f>
        <v>0</v>
      </c>
      <c r="D22" s="742"/>
      <c r="E22" s="732"/>
      <c r="F22" s="748">
        <f>'数据-取费表'!AP16</f>
        <v>0.94699999999999995</v>
      </c>
      <c r="G22" s="747" t="s">
        <v>620</v>
      </c>
      <c r="H22" s="2050"/>
      <c r="I22" s="2050"/>
      <c r="J22" s="2050"/>
      <c r="K22" s="2050"/>
      <c r="L22" s="2050"/>
      <c r="M22" s="2050"/>
      <c r="N22" s="2050"/>
      <c r="O22" s="2050"/>
      <c r="P22" s="2050"/>
      <c r="Q22" s="2050"/>
      <c r="R22" s="2050"/>
      <c r="S22" s="2050"/>
      <c r="T22" s="2050"/>
      <c r="U22" s="2050"/>
      <c r="V22" s="2050"/>
      <c r="W22" s="2050"/>
      <c r="X22" s="2050"/>
      <c r="Y22" s="2050"/>
    </row>
    <row r="23" spans="1:25" s="2051" customFormat="1" ht="13.15" customHeight="1" thickBot="1">
      <c r="A23" s="2311">
        <v>10</v>
      </c>
      <c r="B23" s="749" t="s">
        <v>621</v>
      </c>
      <c r="C23" s="750">
        <f ca="1">C22</f>
        <v>0</v>
      </c>
      <c r="D23" s="751"/>
      <c r="E23" s="750"/>
      <c r="F23" s="752"/>
      <c r="G23" s="753"/>
      <c r="H23" s="2050"/>
      <c r="I23" s="2050"/>
      <c r="J23" s="2050"/>
      <c r="K23" s="2050"/>
      <c r="L23" s="2050"/>
      <c r="M23" s="2050"/>
      <c r="N23" s="2050"/>
      <c r="O23" s="2050"/>
      <c r="P23" s="2050"/>
      <c r="Q23" s="2050"/>
      <c r="R23" s="2050"/>
      <c r="S23" s="2050"/>
      <c r="T23" s="2050"/>
      <c r="U23" s="2050"/>
      <c r="V23" s="2050"/>
      <c r="W23" s="2050"/>
      <c r="X23" s="2050"/>
      <c r="Y23" s="2050"/>
    </row>
    <row r="24" spans="1:25" s="3255" customFormat="1">
      <c r="A24" s="3254"/>
      <c r="D24" s="1870"/>
      <c r="E24" s="1870"/>
    </row>
    <row r="25" spans="1:25" s="3255" customFormat="1">
      <c r="A25" s="3254"/>
      <c r="D25" s="1870"/>
      <c r="E25" s="1870"/>
    </row>
    <row r="26" spans="1:25" s="3255" customFormat="1">
      <c r="A26" s="3254"/>
      <c r="D26" s="1870"/>
      <c r="E26" s="1870"/>
    </row>
    <row r="27" spans="1:25" s="3255" customFormat="1">
      <c r="A27" s="3254"/>
      <c r="D27" s="1870"/>
      <c r="E27" s="1870"/>
    </row>
    <row r="28" spans="1:25" s="3255" customFormat="1">
      <c r="A28" s="3254"/>
      <c r="D28" s="1870"/>
      <c r="E28" s="1870"/>
    </row>
    <row r="29" spans="1:25" s="3255" customFormat="1">
      <c r="A29" s="3254"/>
      <c r="D29" s="1870"/>
      <c r="E29" s="1870"/>
    </row>
    <row r="30" spans="1:25" s="3255" customFormat="1">
      <c r="A30" s="3254"/>
      <c r="D30" s="1870"/>
      <c r="E30" s="1870"/>
    </row>
    <row r="31" spans="1:25" s="3255" customFormat="1">
      <c r="A31" s="3254"/>
      <c r="D31" s="1870"/>
      <c r="E31" s="1870"/>
    </row>
    <row r="32" spans="1:25" s="3255" customFormat="1">
      <c r="A32" s="3254"/>
      <c r="D32" s="1870"/>
      <c r="E32" s="1870"/>
    </row>
    <row r="33" spans="1:5" s="3255" customFormat="1">
      <c r="A33" s="3254"/>
      <c r="D33" s="1870"/>
      <c r="E33" s="1870"/>
    </row>
    <row r="34" spans="1:5" s="3255" customFormat="1">
      <c r="A34" s="3254"/>
      <c r="D34" s="1870"/>
      <c r="E34" s="1870"/>
    </row>
    <row r="35" spans="1:5" s="3255" customFormat="1">
      <c r="A35" s="3254"/>
      <c r="D35" s="1870"/>
      <c r="E35" s="1870"/>
    </row>
    <row r="36" spans="1:5" s="3255" customFormat="1">
      <c r="A36" s="3254"/>
      <c r="D36" s="1870"/>
      <c r="E36" s="1870"/>
    </row>
    <row r="37" spans="1:5" s="3255" customFormat="1">
      <c r="A37" s="3254"/>
      <c r="D37" s="1870"/>
      <c r="E37" s="1870"/>
    </row>
    <row r="38" spans="1:5" s="3255" customFormat="1">
      <c r="A38" s="3254"/>
      <c r="D38" s="1870"/>
      <c r="E38" s="1870"/>
    </row>
    <row r="39" spans="1:5" s="3255" customFormat="1">
      <c r="A39" s="3254"/>
      <c r="D39" s="1870"/>
      <c r="E39" s="1870"/>
    </row>
    <row r="40" spans="1:5" s="3255" customFormat="1">
      <c r="A40" s="3254"/>
      <c r="D40" s="1870"/>
      <c r="E40" s="1870"/>
    </row>
    <row r="41" spans="1:5" s="3255" customFormat="1">
      <c r="A41" s="3254"/>
      <c r="D41" s="1870"/>
      <c r="E41" s="1870"/>
    </row>
    <row r="42" spans="1:5" s="3255" customFormat="1">
      <c r="A42" s="3254"/>
      <c r="D42" s="1870"/>
      <c r="E42" s="1870"/>
    </row>
    <row r="43" spans="1:5" s="3255" customFormat="1">
      <c r="A43" s="3254"/>
      <c r="D43" s="1870"/>
      <c r="E43" s="1870"/>
    </row>
    <row r="44" spans="1:5" s="3255" customFormat="1">
      <c r="A44" s="3254"/>
      <c r="D44" s="1870"/>
      <c r="E44" s="1870"/>
    </row>
    <row r="45" spans="1:5" s="3255" customFormat="1">
      <c r="A45" s="3254"/>
      <c r="D45" s="1870"/>
      <c r="E45" s="1870"/>
    </row>
    <row r="46" spans="1:5" s="3255" customFormat="1">
      <c r="A46" s="3254"/>
      <c r="D46" s="1870"/>
      <c r="E46" s="1870"/>
    </row>
    <row r="47" spans="1:5" s="3255" customFormat="1">
      <c r="A47" s="3254"/>
      <c r="D47" s="1870"/>
      <c r="E47" s="1870"/>
    </row>
    <row r="48" spans="1:5" s="3255" customFormat="1">
      <c r="A48" s="3254"/>
      <c r="D48" s="1870"/>
      <c r="E48" s="1870"/>
    </row>
    <row r="49" spans="1:5" s="3255" customFormat="1">
      <c r="A49" s="3254"/>
      <c r="D49" s="1870"/>
      <c r="E49" s="1870"/>
    </row>
    <row r="50" spans="1:5" s="3255" customFormat="1">
      <c r="A50" s="3254"/>
      <c r="D50" s="1870"/>
      <c r="E50" s="1870"/>
    </row>
    <row r="51" spans="1:5" s="3255" customFormat="1">
      <c r="A51" s="3254"/>
      <c r="D51" s="1870"/>
      <c r="E51" s="1870"/>
    </row>
    <row r="52" spans="1:5" s="3255" customFormat="1">
      <c r="A52" s="3254"/>
      <c r="D52" s="1870"/>
      <c r="E52" s="1870"/>
    </row>
    <row r="53" spans="1:5" s="3255" customFormat="1">
      <c r="A53" s="3254"/>
      <c r="D53" s="1870"/>
      <c r="E53" s="1870"/>
    </row>
    <row r="54" spans="1:5" s="3255" customFormat="1">
      <c r="A54" s="3254"/>
      <c r="D54" s="1870"/>
      <c r="E54" s="1870"/>
    </row>
    <row r="55" spans="1:5" s="3255" customFormat="1">
      <c r="A55" s="3254"/>
      <c r="D55" s="1870"/>
      <c r="E55" s="1870"/>
    </row>
    <row r="56" spans="1:5" s="3255" customFormat="1">
      <c r="A56" s="3254"/>
      <c r="D56" s="1870"/>
      <c r="E56" s="1870"/>
    </row>
    <row r="57" spans="1:5" s="3255" customFormat="1">
      <c r="A57" s="3254"/>
      <c r="D57" s="1870"/>
      <c r="E57" s="1870"/>
    </row>
    <row r="58" spans="1:5" s="3255" customFormat="1">
      <c r="A58" s="3254"/>
      <c r="D58" s="1870"/>
      <c r="E58" s="1870"/>
    </row>
    <row r="59" spans="1:5" s="3255" customFormat="1">
      <c r="A59" s="3254"/>
      <c r="D59" s="1870"/>
      <c r="E59" s="1870"/>
    </row>
    <row r="60" spans="1:5" s="3255" customFormat="1">
      <c r="A60" s="3254"/>
      <c r="D60" s="1870"/>
      <c r="E60" s="1870"/>
    </row>
    <row r="61" spans="1:5" s="3255" customFormat="1">
      <c r="A61" s="3254"/>
      <c r="D61" s="1870"/>
      <c r="E61" s="1870"/>
    </row>
    <row r="62" spans="1:5" s="3255" customFormat="1">
      <c r="A62" s="3254"/>
      <c r="D62" s="1870"/>
      <c r="E62" s="1870"/>
    </row>
    <row r="63" spans="1:5" s="3255" customFormat="1">
      <c r="A63" s="3254"/>
      <c r="D63" s="1870"/>
      <c r="E63" s="1870"/>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5" zoomScaleNormal="60" zoomScaleSheetLayoutView="85" workbookViewId="0">
      <selection activeCell="D23" sqref="D23"/>
    </sheetView>
  </sheetViews>
  <sheetFormatPr defaultColWidth="9" defaultRowHeight="14.25"/>
  <cols>
    <col min="1" max="1" width="10.5" style="1281" customWidth="1"/>
    <col min="2" max="2" width="15.75" style="1281" customWidth="1"/>
    <col min="3" max="3" width="15.12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2453" t="s">
        <v>713</v>
      </c>
      <c r="C1" s="2454" t="s">
        <v>714</v>
      </c>
      <c r="D1" s="2455" t="s">
        <v>3740</v>
      </c>
      <c r="E1" s="1995"/>
      <c r="F1" s="2510" t="s">
        <v>3775</v>
      </c>
      <c r="G1" s="1519" t="s">
        <v>715</v>
      </c>
      <c r="H1" s="492"/>
      <c r="I1" s="492"/>
      <c r="J1" s="492"/>
      <c r="K1" s="493"/>
      <c r="L1" s="3195"/>
      <c r="M1" s="3196"/>
      <c r="N1" s="3196"/>
      <c r="O1" s="3196"/>
      <c r="P1" s="1487"/>
      <c r="Q1" s="1487"/>
      <c r="R1" s="1487"/>
      <c r="S1" s="1487"/>
      <c r="T1" s="1487"/>
      <c r="U1" s="1487"/>
      <c r="V1" s="1487"/>
      <c r="W1" s="1487"/>
      <c r="X1" s="1487"/>
      <c r="Y1" s="1487"/>
      <c r="Z1" s="1487"/>
      <c r="AA1" s="1487"/>
      <c r="AB1" s="1487"/>
      <c r="AC1" s="1488"/>
    </row>
    <row r="2" spans="1:29" s="1305" customFormat="1" ht="28.5" customHeight="1">
      <c r="A2" s="409" t="s">
        <v>461</v>
      </c>
      <c r="B2" s="2452">
        <f>ROUND(B3*D3/10000,0)</f>
        <v>403334</v>
      </c>
      <c r="C2" s="1995"/>
      <c r="D2" s="1995"/>
      <c r="E2" s="1995"/>
      <c r="F2" s="2068"/>
      <c r="G2" s="1995"/>
      <c r="H2" s="1995"/>
      <c r="I2" s="1995"/>
      <c r="J2" s="1995"/>
      <c r="K2" s="2069"/>
      <c r="L2" s="2070"/>
      <c r="M2" s="2071"/>
      <c r="N2" s="2071"/>
      <c r="O2" s="2071"/>
      <c r="P2" s="1520"/>
      <c r="Q2" s="1520"/>
      <c r="R2" s="1520"/>
      <c r="S2" s="1520"/>
      <c r="T2" s="1520"/>
      <c r="U2" s="1520"/>
      <c r="V2" s="1520"/>
      <c r="W2" s="1520"/>
      <c r="X2" s="1520"/>
      <c r="Y2" s="1520"/>
      <c r="Z2" s="1520"/>
      <c r="AA2" s="1520"/>
      <c r="AB2" s="1520"/>
      <c r="AC2" s="1521"/>
    </row>
    <row r="3" spans="1:29" s="1305" customFormat="1" ht="28.5" customHeight="1" thickBot="1">
      <c r="A3" s="495" t="s">
        <v>513</v>
      </c>
      <c r="B3" s="832">
        <f>C49</f>
        <v>9409</v>
      </c>
      <c r="C3" s="833" t="s">
        <v>716</v>
      </c>
      <c r="D3" s="832">
        <f>SUMIF('数据-汇总表'!$C19:$C33,D1,'数据-汇总表'!$E19:$E33)</f>
        <v>428668.15999999997</v>
      </c>
      <c r="E3" s="1995"/>
      <c r="F3" s="2068"/>
      <c r="G3" s="1995"/>
      <c r="H3" s="1995"/>
      <c r="I3" s="1995"/>
      <c r="J3" s="1995"/>
      <c r="K3" s="2069"/>
      <c r="L3" s="2070"/>
      <c r="M3" s="2071"/>
      <c r="N3" s="2071"/>
      <c r="O3" s="2071"/>
      <c r="P3" s="1520"/>
      <c r="Q3" s="1520"/>
      <c r="R3" s="1520"/>
      <c r="S3" s="1520"/>
      <c r="T3" s="1520"/>
      <c r="U3" s="1520"/>
      <c r="V3" s="1520"/>
      <c r="W3" s="1520"/>
      <c r="X3" s="1520"/>
      <c r="Y3" s="1520"/>
      <c r="Z3" s="1520"/>
      <c r="AA3" s="1520"/>
      <c r="AB3" s="1520"/>
      <c r="AC3" s="1522"/>
    </row>
    <row r="4" spans="1:29" ht="15">
      <c r="A4" s="498" t="s">
        <v>515</v>
      </c>
      <c r="B4" s="499"/>
      <c r="C4" s="3856" t="s">
        <v>516</v>
      </c>
      <c r="D4" s="3857"/>
      <c r="E4" s="3883" t="s">
        <v>517</v>
      </c>
      <c r="F4" s="3884"/>
      <c r="G4" s="3856" t="s">
        <v>518</v>
      </c>
      <c r="H4" s="3857"/>
      <c r="I4" s="3856" t="s">
        <v>519</v>
      </c>
      <c r="J4" s="3857"/>
      <c r="K4" s="834" t="s">
        <v>520</v>
      </c>
      <c r="L4" s="2001"/>
      <c r="M4" s="2002"/>
      <c r="N4" s="2002"/>
      <c r="O4" s="2002"/>
      <c r="P4" s="3858" t="s">
        <v>521</v>
      </c>
      <c r="Q4" s="3859"/>
      <c r="R4" s="3844" t="s">
        <v>517</v>
      </c>
      <c r="S4" s="3845"/>
      <c r="T4" s="3844" t="s">
        <v>518</v>
      </c>
      <c r="U4" s="3845"/>
      <c r="V4" s="3864" t="s">
        <v>519</v>
      </c>
      <c r="W4" s="3864"/>
      <c r="X4" s="1489"/>
      <c r="Y4" s="3844" t="s">
        <v>521</v>
      </c>
      <c r="Z4" s="3845"/>
      <c r="AA4" s="3839" t="s">
        <v>517</v>
      </c>
      <c r="AB4" s="3839" t="s">
        <v>518</v>
      </c>
      <c r="AC4" s="3839" t="s">
        <v>519</v>
      </c>
    </row>
    <row r="5" spans="1:29" ht="15">
      <c r="A5" s="501"/>
      <c r="B5" s="502"/>
      <c r="C5" s="3867" t="s">
        <v>2887</v>
      </c>
      <c r="D5" s="3868"/>
      <c r="E5" s="3954" t="s">
        <v>3778</v>
      </c>
      <c r="F5" s="3886"/>
      <c r="G5" s="3955" t="s">
        <v>11213</v>
      </c>
      <c r="H5" s="3868"/>
      <c r="I5" s="3955" t="s">
        <v>11211</v>
      </c>
      <c r="J5" s="3868"/>
      <c r="K5" s="835"/>
      <c r="L5" s="2001"/>
      <c r="M5" s="2002"/>
      <c r="N5" s="2002"/>
      <c r="O5" s="2002"/>
      <c r="P5" s="3860"/>
      <c r="Q5" s="3861"/>
      <c r="R5" s="3846"/>
      <c r="S5" s="3847"/>
      <c r="T5" s="3846"/>
      <c r="U5" s="3847"/>
      <c r="V5" s="3864"/>
      <c r="W5" s="3864"/>
      <c r="X5" s="1489"/>
      <c r="Y5" s="3846"/>
      <c r="Z5" s="3847"/>
      <c r="AA5" s="3840"/>
      <c r="AB5" s="3840"/>
      <c r="AC5" s="3840"/>
    </row>
    <row r="6" spans="1:29" ht="15.75" thickBot="1">
      <c r="A6" s="503"/>
      <c r="B6" s="504"/>
      <c r="C6" s="3865" t="s">
        <v>2891</v>
      </c>
      <c r="D6" s="3866"/>
      <c r="E6" s="3956" t="s">
        <v>3800</v>
      </c>
      <c r="F6" s="3888"/>
      <c r="G6" s="3957" t="s">
        <v>11212</v>
      </c>
      <c r="H6" s="3866"/>
      <c r="I6" s="3958" t="s">
        <v>11214</v>
      </c>
      <c r="J6" s="3866"/>
      <c r="K6" s="835" t="s">
        <v>522</v>
      </c>
      <c r="L6" s="2001"/>
      <c r="M6" s="2002"/>
      <c r="N6" s="2002"/>
      <c r="O6" s="2002"/>
      <c r="P6" s="3862"/>
      <c r="Q6" s="3863"/>
      <c r="R6" s="3846"/>
      <c r="S6" s="3847"/>
      <c r="T6" s="3848"/>
      <c r="U6" s="3849"/>
      <c r="V6" s="3864"/>
      <c r="W6" s="3864"/>
      <c r="X6" s="1489"/>
      <c r="Y6" s="3848"/>
      <c r="Z6" s="3849"/>
      <c r="AA6" s="3841"/>
      <c r="AB6" s="3841"/>
      <c r="AC6" s="3841"/>
    </row>
    <row r="7" spans="1:29" s="1194" customFormat="1" ht="15.75" thickBot="1">
      <c r="A7" s="2615"/>
      <c r="B7" s="2622" t="s">
        <v>523</v>
      </c>
      <c r="C7" s="505">
        <f>'数据-取费表'!B2</f>
        <v>44191</v>
      </c>
      <c r="D7" s="506">
        <v>100</v>
      </c>
      <c r="E7" s="507">
        <v>44166</v>
      </c>
      <c r="F7" s="508">
        <f>SUMIF(58:58,YEAR(E7)&amp;"-"&amp;MONTH(E7),59:59)</f>
        <v>100</v>
      </c>
      <c r="G7" s="3342">
        <f>E7</f>
        <v>44166</v>
      </c>
      <c r="H7" s="506">
        <f>SUMIF(58:58,YEAR(G7)&amp;"-"&amp;MONTH(G7),59:59)</f>
        <v>100</v>
      </c>
      <c r="I7" s="509">
        <f>E7</f>
        <v>44166</v>
      </c>
      <c r="J7" s="506">
        <f>SUMIF(58:58,YEAR(I7)&amp;"-"&amp;MONTH(I7),59:59)</f>
        <v>100</v>
      </c>
      <c r="K7" s="836"/>
      <c r="L7" s="2003"/>
      <c r="M7" s="2004"/>
      <c r="N7" s="2004"/>
      <c r="O7" s="2004"/>
      <c r="P7" s="3842" t="s">
        <v>524</v>
      </c>
      <c r="Q7" s="3851"/>
      <c r="R7" s="1490" t="s">
        <v>13</v>
      </c>
      <c r="S7" s="1491">
        <f t="shared" ref="S7:S15" si="0">F7</f>
        <v>100</v>
      </c>
      <c r="T7" s="1490" t="s">
        <v>13</v>
      </c>
      <c r="U7" s="1491">
        <f t="shared" ref="U7:U15" si="1">H7</f>
        <v>100</v>
      </c>
      <c r="V7" s="1490" t="s">
        <v>13</v>
      </c>
      <c r="W7" s="1491">
        <f t="shared" ref="W7:W15" si="2">J7</f>
        <v>100</v>
      </c>
      <c r="X7" s="1492"/>
      <c r="Y7" s="3842" t="s">
        <v>524</v>
      </c>
      <c r="Z7" s="3843"/>
      <c r="AA7" s="1493">
        <f>D7/F7</f>
        <v>1</v>
      </c>
      <c r="AB7" s="1493">
        <f>D7/H7</f>
        <v>1</v>
      </c>
      <c r="AC7" s="1493">
        <f>D7/J7</f>
        <v>1</v>
      </c>
    </row>
    <row r="8" spans="1:29" s="1194" customFormat="1" ht="15.75" thickBot="1">
      <c r="A8" s="2616"/>
      <c r="B8" s="2623" t="s">
        <v>525</v>
      </c>
      <c r="C8" s="511" t="s">
        <v>570</v>
      </c>
      <c r="D8" s="506">
        <v>100</v>
      </c>
      <c r="E8" s="837" t="s">
        <v>3713</v>
      </c>
      <c r="F8" s="508">
        <f>SUMIF(61:61,E8,62:62)-SUMIF(61:61,C8,62:62)+100</f>
        <v>100</v>
      </c>
      <c r="G8" s="511" t="s">
        <v>3713</v>
      </c>
      <c r="H8" s="506">
        <f>SUMIF(61:61,G8,62:62)-SUMIF(61:61,C8,62:62)+100</f>
        <v>100</v>
      </c>
      <c r="I8" s="837" t="s">
        <v>3713</v>
      </c>
      <c r="J8" s="506">
        <f>SUMIF(61:61,I8,62:62)-SUMIF(61:61,C8,62:62)+100</f>
        <v>100</v>
      </c>
      <c r="K8" s="836"/>
      <c r="L8" s="2003"/>
      <c r="M8" s="2004"/>
      <c r="N8" s="2004"/>
      <c r="O8" s="2004"/>
      <c r="P8" s="3842" t="s">
        <v>527</v>
      </c>
      <c r="Q8" s="3843"/>
      <c r="R8" s="1490" t="s">
        <v>13</v>
      </c>
      <c r="S8" s="1491">
        <f t="shared" si="0"/>
        <v>100</v>
      </c>
      <c r="T8" s="1490" t="s">
        <v>13</v>
      </c>
      <c r="U8" s="1491">
        <f t="shared" si="1"/>
        <v>100</v>
      </c>
      <c r="V8" s="1490" t="s">
        <v>13</v>
      </c>
      <c r="W8" s="1491">
        <f t="shared" si="2"/>
        <v>100</v>
      </c>
      <c r="X8" s="1492"/>
      <c r="Y8" s="3842" t="s">
        <v>527</v>
      </c>
      <c r="Z8" s="3843"/>
      <c r="AA8" s="1493">
        <f t="shared" ref="AA8:AA46" si="3">D8/F8</f>
        <v>1</v>
      </c>
      <c r="AB8" s="1493">
        <f t="shared" ref="AB8:AB46" si="4">D8/H8</f>
        <v>1</v>
      </c>
      <c r="AC8" s="1493">
        <f t="shared" ref="AC8:AC46" si="5">D8/J8</f>
        <v>1</v>
      </c>
    </row>
    <row r="9" spans="1:29" s="1194" customFormat="1" ht="15">
      <c r="A9" s="2617"/>
      <c r="B9" s="2624" t="s">
        <v>2730</v>
      </c>
      <c r="C9" s="3305" t="s">
        <v>3776</v>
      </c>
      <c r="D9" s="244">
        <v>100</v>
      </c>
      <c r="E9" s="839" t="s">
        <v>913</v>
      </c>
      <c r="F9" s="840">
        <f>SUMIF(63:63,E9,64:64)-SUMIF(63:63,C9,64:64)+100</f>
        <v>100</v>
      </c>
      <c r="G9" s="841" t="s">
        <v>913</v>
      </c>
      <c r="H9" s="244">
        <f>SUMIF(63:63,G9,64:64)-SUMIF(63:63,C9,64:64)+100</f>
        <v>100</v>
      </c>
      <c r="I9" s="841" t="s">
        <v>913</v>
      </c>
      <c r="J9" s="244">
        <f>SUMIF(63:63,I9,64:64)-SUMIF(63:63,C9,64:64)+100</f>
        <v>100</v>
      </c>
      <c r="K9" s="836"/>
      <c r="L9" s="2003"/>
      <c r="M9" s="2004"/>
      <c r="N9" s="2004"/>
      <c r="O9" s="2005"/>
      <c r="P9" s="3850" t="s">
        <v>529</v>
      </c>
      <c r="Q9" s="1125" t="str">
        <f t="shared" ref="Q9:Q15" si="6">B9</f>
        <v>用途</v>
      </c>
      <c r="R9" s="1490" t="s">
        <v>8</v>
      </c>
      <c r="S9" s="1491">
        <f t="shared" si="0"/>
        <v>100</v>
      </c>
      <c r="T9" s="1490" t="s">
        <v>8</v>
      </c>
      <c r="U9" s="1491">
        <f t="shared" si="1"/>
        <v>100</v>
      </c>
      <c r="V9" s="1490" t="s">
        <v>8</v>
      </c>
      <c r="W9" s="1491">
        <f t="shared" si="2"/>
        <v>100</v>
      </c>
      <c r="X9" s="1492"/>
      <c r="Y9" s="3801" t="s">
        <v>530</v>
      </c>
      <c r="Z9" s="1124" t="str">
        <f t="shared" ref="Z9:Z15" si="7">Q9</f>
        <v>用途</v>
      </c>
      <c r="AA9" s="1493">
        <f t="shared" si="3"/>
        <v>1</v>
      </c>
      <c r="AB9" s="1493">
        <f t="shared" si="4"/>
        <v>1</v>
      </c>
      <c r="AC9" s="1493">
        <f t="shared" si="5"/>
        <v>1</v>
      </c>
    </row>
    <row r="10" spans="1:29" s="1282" customFormat="1" ht="27">
      <c r="A10" s="2618"/>
      <c r="B10" s="2623" t="s">
        <v>2731</v>
      </c>
      <c r="C10" s="842" t="s">
        <v>3777</v>
      </c>
      <c r="D10" s="245">
        <v>100</v>
      </c>
      <c r="E10" s="843" t="s">
        <v>3777</v>
      </c>
      <c r="F10" s="844">
        <f>SUMIF(65:65,E10,66:66)-SUMIF(65:65,C10,66:66)+100</f>
        <v>100</v>
      </c>
      <c r="G10" s="842" t="s">
        <v>3777</v>
      </c>
      <c r="H10" s="245">
        <f>SUMIF(65:65,G10,66:66)-SUMIF(65:65,C10,66:66)+100</f>
        <v>100</v>
      </c>
      <c r="I10" s="842" t="s">
        <v>3777</v>
      </c>
      <c r="J10" s="245">
        <f>SUMIF(65:65,I10,66:66)-SUMIF(65:65,C10,66:66)+100</f>
        <v>100</v>
      </c>
      <c r="K10" s="845"/>
      <c r="L10" s="2006"/>
      <c r="M10" s="2045"/>
      <c r="N10" s="2045"/>
      <c r="O10" s="2007"/>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19"/>
      <c r="B11" s="2623" t="s">
        <v>2732</v>
      </c>
      <c r="C11" s="519"/>
      <c r="D11" s="245">
        <v>100</v>
      </c>
      <c r="E11" s="520"/>
      <c r="F11" s="844">
        <f>LOOKUP(E11,68:68,69:69)-LOOKUP(C11,68:68,69:69)+100</f>
        <v>100</v>
      </c>
      <c r="G11" s="519"/>
      <c r="H11" s="245">
        <f>LOOKUP(G11,68:68,69:69)-LOOKUP(C11,68:68,69:69)+100</f>
        <v>100</v>
      </c>
      <c r="I11" s="519"/>
      <c r="J11" s="245">
        <f>LOOKUP(I11,68:68,69:69)-LOOKUP(C11,68:68,69:69)+100</f>
        <v>100</v>
      </c>
      <c r="K11" s="845"/>
      <c r="L11" s="2008"/>
      <c r="M11" s="2002"/>
      <c r="N11" s="2002"/>
      <c r="O11" s="2009"/>
      <c r="P11" s="3850"/>
      <c r="Q11" s="1125" t="str">
        <f t="shared" si="6"/>
        <v>容积率</v>
      </c>
      <c r="R11" s="1490" t="s">
        <v>11</v>
      </c>
      <c r="S11" s="1491">
        <f t="shared" si="0"/>
        <v>100</v>
      </c>
      <c r="T11" s="1490" t="s">
        <v>11</v>
      </c>
      <c r="U11" s="1491">
        <f t="shared" si="1"/>
        <v>100</v>
      </c>
      <c r="V11" s="1490" t="s">
        <v>11</v>
      </c>
      <c r="W11" s="1491">
        <f t="shared" si="2"/>
        <v>100</v>
      </c>
      <c r="X11" s="1492"/>
      <c r="Y11" s="3801"/>
      <c r="Z11" s="1124" t="str">
        <f t="shared" si="7"/>
        <v>容积率</v>
      </c>
      <c r="AA11" s="1493">
        <f t="shared" si="3"/>
        <v>1</v>
      </c>
      <c r="AB11" s="1493">
        <f t="shared" si="4"/>
        <v>1</v>
      </c>
      <c r="AC11" s="1493">
        <f t="shared" si="5"/>
        <v>1</v>
      </c>
    </row>
    <row r="12" spans="1:29" s="1194" customFormat="1" ht="15">
      <c r="A12" s="2620"/>
      <c r="B12" s="2626"/>
      <c r="C12" s="514"/>
      <c r="D12" s="524">
        <v>100</v>
      </c>
      <c r="E12" s="514"/>
      <c r="F12" s="844">
        <f>SUMIF(70:70,E12,71:71)-SUMIF(70:70,C12,71:71)+100</f>
        <v>100</v>
      </c>
      <c r="G12" s="514"/>
      <c r="H12" s="245">
        <f>SUMIF(70:70,G12,71:71)-SUMIF(70:70,C12,71:71)+100</f>
        <v>100</v>
      </c>
      <c r="I12" s="514"/>
      <c r="J12" s="245">
        <f>SUMIF(70:70,I12,71:71)-SUMIF(70:70,C12,71:71)+100</f>
        <v>100</v>
      </c>
      <c r="K12" s="846"/>
      <c r="L12" s="2003"/>
      <c r="M12" s="2004"/>
      <c r="N12" s="2004"/>
      <c r="O12" s="2005"/>
      <c r="P12" s="3850"/>
      <c r="Q12" s="1125">
        <f t="shared" si="6"/>
        <v>0</v>
      </c>
      <c r="R12" s="1490" t="s">
        <v>11</v>
      </c>
      <c r="S12" s="1491">
        <f t="shared" si="0"/>
        <v>100</v>
      </c>
      <c r="T12" s="1490" t="s">
        <v>11</v>
      </c>
      <c r="U12" s="1491">
        <f t="shared" si="1"/>
        <v>100</v>
      </c>
      <c r="V12" s="1490" t="s">
        <v>11</v>
      </c>
      <c r="W12" s="1491">
        <f t="shared" si="2"/>
        <v>100</v>
      </c>
      <c r="X12" s="1492"/>
      <c r="Y12" s="3801"/>
      <c r="Z12" s="1124">
        <f t="shared" si="7"/>
        <v>0</v>
      </c>
      <c r="AA12" s="1493">
        <f>D12/F12</f>
        <v>1</v>
      </c>
      <c r="AB12" s="1493">
        <f>D12/H12</f>
        <v>1</v>
      </c>
      <c r="AC12" s="1493">
        <f>D12/J12</f>
        <v>1</v>
      </c>
    </row>
    <row r="13" spans="1:29" ht="15">
      <c r="A13" s="2620"/>
      <c r="B13" s="2626"/>
      <c r="C13" s="525"/>
      <c r="D13" s="526">
        <v>100</v>
      </c>
      <c r="E13" s="525"/>
      <c r="F13" s="844">
        <f>SUMIF(72:72,E13,73:73)-SUMIF(72:72,C13,73:73)+100</f>
        <v>100</v>
      </c>
      <c r="G13" s="525"/>
      <c r="H13" s="526">
        <f>SUMIF(72:72,G13,73:73)-SUMIF(72:72,C13,73:73)+100</f>
        <v>100</v>
      </c>
      <c r="I13" s="525"/>
      <c r="J13" s="526">
        <f>SUMIF(72:72,I13,73:73)-SUMIF(72:72,C13,73:73)+100</f>
        <v>100</v>
      </c>
      <c r="K13" s="846"/>
      <c r="L13" s="2010"/>
      <c r="M13" s="2002"/>
      <c r="N13" s="2002"/>
      <c r="O13" s="2009"/>
      <c r="P13" s="3850"/>
      <c r="Q13" s="1125">
        <f t="shared" si="6"/>
        <v>0</v>
      </c>
      <c r="R13" s="1490" t="s">
        <v>11</v>
      </c>
      <c r="S13" s="1491">
        <f t="shared" si="0"/>
        <v>100</v>
      </c>
      <c r="T13" s="1490" t="s">
        <v>11</v>
      </c>
      <c r="U13" s="1491">
        <f t="shared" si="1"/>
        <v>100</v>
      </c>
      <c r="V13" s="1490" t="s">
        <v>11</v>
      </c>
      <c r="W13" s="1491">
        <f t="shared" si="2"/>
        <v>100</v>
      </c>
      <c r="X13" s="1492"/>
      <c r="Y13" s="3801"/>
      <c r="Z13" s="1124">
        <f t="shared" si="7"/>
        <v>0</v>
      </c>
      <c r="AA13" s="1493">
        <f t="shared" si="3"/>
        <v>1</v>
      </c>
      <c r="AB13" s="1493">
        <f t="shared" si="4"/>
        <v>1</v>
      </c>
      <c r="AC13" s="1493">
        <f t="shared" si="5"/>
        <v>1</v>
      </c>
    </row>
    <row r="14" spans="1:29" ht="15.75" thickBot="1">
      <c r="A14" s="2621"/>
      <c r="B14" s="2627"/>
      <c r="C14" s="531"/>
      <c r="D14" s="532">
        <v>100</v>
      </c>
      <c r="E14" s="531"/>
      <c r="F14" s="847">
        <f>SUMIF(74:74,E14,75:75)-SUMIF(74:74,C14,75:75)+100</f>
        <v>100</v>
      </c>
      <c r="G14" s="531"/>
      <c r="H14" s="532">
        <f>SUMIF(74:74,G14,75:75)-SUMIF(74:74,C14,75:75)+100</f>
        <v>100</v>
      </c>
      <c r="I14" s="531"/>
      <c r="J14" s="532">
        <f>SUMIF(74:74,I14,75:75)-SUMIF(74:74,C14,75:75)+100</f>
        <v>100</v>
      </c>
      <c r="K14" s="846"/>
      <c r="L14" s="2010"/>
      <c r="M14" s="2002"/>
      <c r="N14" s="2002"/>
      <c r="O14" s="2009"/>
      <c r="P14" s="3850"/>
      <c r="Q14" s="1125">
        <f t="shared" si="6"/>
        <v>0</v>
      </c>
      <c r="R14" s="1490" t="s">
        <v>11</v>
      </c>
      <c r="S14" s="1491">
        <f t="shared" si="0"/>
        <v>100</v>
      </c>
      <c r="T14" s="1490" t="s">
        <v>11</v>
      </c>
      <c r="U14" s="1491">
        <f t="shared" si="1"/>
        <v>100</v>
      </c>
      <c r="V14" s="1490" t="s">
        <v>11</v>
      </c>
      <c r="W14" s="1491">
        <f t="shared" si="2"/>
        <v>100</v>
      </c>
      <c r="X14" s="1492"/>
      <c r="Y14" s="3801"/>
      <c r="Z14" s="1124">
        <f t="shared" si="7"/>
        <v>0</v>
      </c>
      <c r="AA14" s="1493">
        <f t="shared" si="3"/>
        <v>1</v>
      </c>
      <c r="AB14" s="1493">
        <f t="shared" si="4"/>
        <v>1</v>
      </c>
      <c r="AC14" s="1493">
        <f t="shared" si="5"/>
        <v>1</v>
      </c>
    </row>
    <row r="15" spans="1:29" ht="99.75">
      <c r="A15" s="2613" t="s">
        <v>2728</v>
      </c>
      <c r="B15" s="164" t="s">
        <v>295</v>
      </c>
      <c r="C15" s="848" t="str">
        <f>估价对象房地状况!C3</f>
        <v>估价对象周边居住用地比例、居住小区规模和社区发展完善程度，综合评价居住社区成熟度一般</v>
      </c>
      <c r="D15" s="535">
        <v>100</v>
      </c>
      <c r="E15" s="536"/>
      <c r="F15" s="537">
        <f>SUMIF(76:76,E16,77:77)-SUMIF(76:76,C16,77:77)+100</f>
        <v>100</v>
      </c>
      <c r="G15" s="538"/>
      <c r="H15" s="535">
        <f>SUMIF(76:76,G16,77:77)-SUMIF(76:76,C16,77:77)+100</f>
        <v>110</v>
      </c>
      <c r="I15" s="536"/>
      <c r="J15" s="535">
        <f>SUMIF(76:76,I16,77:77)-SUMIF(76:76,C16,77:77)+100</f>
        <v>110</v>
      </c>
      <c r="K15" s="849">
        <v>5</v>
      </c>
      <c r="L15" s="2010"/>
      <c r="M15" s="2002"/>
      <c r="N15" s="2002"/>
      <c r="O15" s="2009"/>
      <c r="P15" s="3852" t="s">
        <v>534</v>
      </c>
      <c r="Q15" s="1494" t="str">
        <f t="shared" si="6"/>
        <v>居住社区成熟度</v>
      </c>
      <c r="R15" s="1495" t="s">
        <v>11</v>
      </c>
      <c r="S15" s="1496">
        <f t="shared" si="0"/>
        <v>100</v>
      </c>
      <c r="T15" s="1495" t="s">
        <v>11</v>
      </c>
      <c r="U15" s="1496">
        <f t="shared" si="1"/>
        <v>110</v>
      </c>
      <c r="V15" s="1495" t="s">
        <v>11</v>
      </c>
      <c r="W15" s="1496">
        <f t="shared" si="2"/>
        <v>110</v>
      </c>
      <c r="X15" s="1489"/>
      <c r="Y15" s="3852" t="s">
        <v>534</v>
      </c>
      <c r="Z15" s="1497" t="str">
        <f t="shared" si="7"/>
        <v>居住社区成熟度</v>
      </c>
      <c r="AA15" s="1498">
        <f t="shared" si="3"/>
        <v>1</v>
      </c>
      <c r="AB15" s="1498">
        <f t="shared" si="4"/>
        <v>0.90909090909090906</v>
      </c>
      <c r="AC15" s="1498">
        <f t="shared" si="5"/>
        <v>0.90909090909090906</v>
      </c>
    </row>
    <row r="16" spans="1:29" ht="15">
      <c r="A16" s="518"/>
      <c r="B16" s="850"/>
      <c r="C16" s="562" t="s">
        <v>3729</v>
      </c>
      <c r="D16" s="541"/>
      <c r="E16" s="562" t="s">
        <v>3729</v>
      </c>
      <c r="F16" s="543"/>
      <c r="G16" s="544" t="s">
        <v>3725</v>
      </c>
      <c r="H16" s="545"/>
      <c r="I16" s="542" t="s">
        <v>3725</v>
      </c>
      <c r="J16" s="541"/>
      <c r="K16" s="851"/>
      <c r="L16" s="2010"/>
      <c r="M16" s="2002"/>
      <c r="N16" s="2002"/>
      <c r="O16" s="2009"/>
      <c r="P16" s="3853"/>
      <c r="Q16" s="1494"/>
      <c r="R16" s="1495"/>
      <c r="S16" s="1496"/>
      <c r="T16" s="1495"/>
      <c r="U16" s="1496"/>
      <c r="V16" s="1495"/>
      <c r="W16" s="1496"/>
      <c r="X16" s="1489"/>
      <c r="Y16" s="3853"/>
      <c r="Z16" s="1497"/>
      <c r="AA16" s="1498">
        <v>1</v>
      </c>
      <c r="AB16" s="1498">
        <v>1</v>
      </c>
      <c r="AC16" s="1498">
        <v>1</v>
      </c>
    </row>
    <row r="17" spans="1:29" ht="85.5">
      <c r="A17" s="518"/>
      <c r="B17" s="852" t="s">
        <v>296</v>
      </c>
      <c r="C17" s="853" t="str">
        <f>估价对象房地状况!C6</f>
        <v>估价对象周边道路状况、公共交通通达情况、停车便捷程度，综合评价交通便捷度较好</v>
      </c>
      <c r="D17" s="545">
        <v>100</v>
      </c>
      <c r="E17" s="548"/>
      <c r="F17" s="549">
        <f>SUMIF(78:78,E18,79:79)-SUMIF(78:78,C18,79:79)+100</f>
        <v>105</v>
      </c>
      <c r="G17" s="550"/>
      <c r="H17" s="551">
        <f>SUMIF(78:78,G18,79:79)-SUMIF(78:78,C18,79:79)+100</f>
        <v>105</v>
      </c>
      <c r="I17" s="548"/>
      <c r="J17" s="551">
        <f>SUMIF(78:78,I18,79:79)-SUMIF(78:78,C18,79:79)+100</f>
        <v>105</v>
      </c>
      <c r="K17" s="849">
        <v>5</v>
      </c>
      <c r="L17" s="2010"/>
      <c r="M17" s="2002"/>
      <c r="N17" s="2002"/>
      <c r="O17" s="2009"/>
      <c r="P17" s="3853"/>
      <c r="Q17" s="1494" t="str">
        <f>B17</f>
        <v>交通便捷度</v>
      </c>
      <c r="R17" s="1495" t="s">
        <v>11</v>
      </c>
      <c r="S17" s="1496">
        <f>F17</f>
        <v>105</v>
      </c>
      <c r="T17" s="1495" t="s">
        <v>11</v>
      </c>
      <c r="U17" s="1496">
        <f>H17</f>
        <v>105</v>
      </c>
      <c r="V17" s="1495" t="s">
        <v>11</v>
      </c>
      <c r="W17" s="1496">
        <f>J17</f>
        <v>105</v>
      </c>
      <c r="X17" s="1489"/>
      <c r="Y17" s="3853"/>
      <c r="Z17" s="1497" t="str">
        <f>Q17</f>
        <v>交通便捷度</v>
      </c>
      <c r="AA17" s="1498">
        <f t="shared" si="3"/>
        <v>0.95238095238095233</v>
      </c>
      <c r="AB17" s="1498">
        <f t="shared" si="4"/>
        <v>0.95238095238095233</v>
      </c>
      <c r="AC17" s="1498">
        <f t="shared" si="5"/>
        <v>0.95238095238095233</v>
      </c>
    </row>
    <row r="18" spans="1:29" ht="15">
      <c r="A18" s="518"/>
      <c r="B18" s="581"/>
      <c r="C18" s="854" t="s">
        <v>3732</v>
      </c>
      <c r="D18" s="545"/>
      <c r="E18" s="554" t="s">
        <v>3725</v>
      </c>
      <c r="F18" s="549"/>
      <c r="G18" s="555" t="s">
        <v>3725</v>
      </c>
      <c r="H18" s="541"/>
      <c r="I18" s="554" t="s">
        <v>3725</v>
      </c>
      <c r="J18" s="541"/>
      <c r="K18" s="851"/>
      <c r="L18" s="2010"/>
      <c r="M18" s="2002"/>
      <c r="N18" s="2002"/>
      <c r="O18" s="2009"/>
      <c r="P18" s="3853"/>
      <c r="Q18" s="1494"/>
      <c r="R18" s="1495"/>
      <c r="S18" s="1496"/>
      <c r="T18" s="1495"/>
      <c r="U18" s="1496"/>
      <c r="V18" s="1495"/>
      <c r="W18" s="1496"/>
      <c r="X18" s="1489"/>
      <c r="Y18" s="3853"/>
      <c r="Z18" s="1497"/>
      <c r="AA18" s="1498">
        <v>1</v>
      </c>
      <c r="AB18" s="1498">
        <v>1</v>
      </c>
      <c r="AC18" s="1498">
        <v>1</v>
      </c>
    </row>
    <row r="19" spans="1:29" ht="42.75">
      <c r="A19" s="518"/>
      <c r="B19" s="2430" t="s">
        <v>2522</v>
      </c>
      <c r="C19" s="853" t="str">
        <f>估价对象房地状况!C7</f>
        <v>估价对象所在区域公共配套设施齐备情况</v>
      </c>
      <c r="D19" s="551">
        <v>100</v>
      </c>
      <c r="E19" s="556"/>
      <c r="F19" s="557">
        <f>SUMIF(80:80,E20,81:81)-SUMIF(80:80,C20,81:81)+100</f>
        <v>100</v>
      </c>
      <c r="G19" s="558"/>
      <c r="H19" s="545">
        <f>SUMIF(80:80,G20,81:81)-SUMIF(80:80,C20,81:81)+100</f>
        <v>110</v>
      </c>
      <c r="I19" s="556"/>
      <c r="J19" s="545">
        <f>SUMIF(80:80,I20,81:81)-SUMIF(80:80,C20,81:81)+100</f>
        <v>110</v>
      </c>
      <c r="K19" s="849">
        <v>5</v>
      </c>
      <c r="L19" s="2010"/>
      <c r="M19" s="2002"/>
      <c r="N19" s="2002"/>
      <c r="O19" s="2009"/>
      <c r="P19" s="3853"/>
      <c r="Q19" s="1494" t="str">
        <f>B19</f>
        <v>公共配套设施</v>
      </c>
      <c r="R19" s="1495" t="s">
        <v>11</v>
      </c>
      <c r="S19" s="1496">
        <f>F19</f>
        <v>100</v>
      </c>
      <c r="T19" s="1495" t="s">
        <v>11</v>
      </c>
      <c r="U19" s="1496">
        <f>H19</f>
        <v>110</v>
      </c>
      <c r="V19" s="1495" t="s">
        <v>11</v>
      </c>
      <c r="W19" s="1496">
        <f>J19</f>
        <v>110</v>
      </c>
      <c r="X19" s="1489"/>
      <c r="Y19" s="3853"/>
      <c r="Z19" s="1497" t="str">
        <f>Q19</f>
        <v>公共配套设施</v>
      </c>
      <c r="AA19" s="1498">
        <f t="shared" si="3"/>
        <v>1</v>
      </c>
      <c r="AB19" s="1498">
        <f t="shared" si="4"/>
        <v>0.90909090909090906</v>
      </c>
      <c r="AC19" s="1498">
        <f t="shared" si="5"/>
        <v>0.90909090909090906</v>
      </c>
    </row>
    <row r="20" spans="1:29" ht="15">
      <c r="A20" s="518"/>
      <c r="B20" s="581"/>
      <c r="C20" s="562" t="s">
        <v>3729</v>
      </c>
      <c r="D20" s="541"/>
      <c r="E20" s="562" t="s">
        <v>3729</v>
      </c>
      <c r="F20" s="543"/>
      <c r="G20" s="544" t="s">
        <v>3725</v>
      </c>
      <c r="H20" s="541"/>
      <c r="I20" s="542" t="s">
        <v>3725</v>
      </c>
      <c r="J20" s="541"/>
      <c r="K20" s="851"/>
      <c r="L20" s="2010"/>
      <c r="M20" s="2002"/>
      <c r="N20" s="2002"/>
      <c r="O20" s="2009"/>
      <c r="P20" s="3853"/>
      <c r="Q20" s="1494"/>
      <c r="R20" s="1495"/>
      <c r="S20" s="1496"/>
      <c r="T20" s="1495"/>
      <c r="U20" s="1496"/>
      <c r="V20" s="1495"/>
      <c r="W20" s="1496"/>
      <c r="X20" s="1489"/>
      <c r="Y20" s="3853"/>
      <c r="Z20" s="1497"/>
      <c r="AA20" s="1498">
        <v>1</v>
      </c>
      <c r="AB20" s="1498">
        <v>1</v>
      </c>
      <c r="AC20" s="1498">
        <v>1</v>
      </c>
    </row>
    <row r="21" spans="1:29" ht="28.5">
      <c r="A21" s="518"/>
      <c r="B21" s="2423" t="s">
        <v>2534</v>
      </c>
      <c r="C21" s="853" t="str">
        <f>估价对象房地状况!C8</f>
        <v>估价对象所在区域基础设施水平</v>
      </c>
      <c r="D21" s="551">
        <v>100</v>
      </c>
      <c r="E21" s="558"/>
      <c r="F21" s="557">
        <f>SUMIF(82:82,E22,83:83)-SUMIF(82:82,C22,83:83)+100</f>
        <v>100</v>
      </c>
      <c r="G21" s="558"/>
      <c r="H21" s="551">
        <f>SUMIF(82:82,G22,83:83)-SUMIF(82:82,C22,83:83)+100</f>
        <v>100</v>
      </c>
      <c r="I21" s="556"/>
      <c r="J21" s="551">
        <f>SUMIF(82:82,I22,83:83)-SUMIF(82:82,C22,83:83)+100</f>
        <v>100</v>
      </c>
      <c r="K21" s="849">
        <v>2</v>
      </c>
      <c r="L21" s="2010"/>
      <c r="M21" s="2002"/>
      <c r="N21" s="2002"/>
      <c r="O21" s="2009"/>
      <c r="P21" s="3853"/>
      <c r="Q21" s="2415" t="str">
        <f>B21</f>
        <v>基础设施水平</v>
      </c>
      <c r="R21" s="1495" t="s">
        <v>11</v>
      </c>
      <c r="S21" s="1496">
        <f>F21</f>
        <v>100</v>
      </c>
      <c r="T21" s="1495" t="s">
        <v>11</v>
      </c>
      <c r="U21" s="1496">
        <f>H21</f>
        <v>100</v>
      </c>
      <c r="V21" s="1495" t="s">
        <v>11</v>
      </c>
      <c r="W21" s="1496">
        <f>J21</f>
        <v>100</v>
      </c>
      <c r="X21" s="2417"/>
      <c r="Y21" s="3853"/>
      <c r="Z21" s="2416" t="str">
        <f>Q21</f>
        <v>基础设施水平</v>
      </c>
      <c r="AA21" s="1498">
        <f t="shared" ref="AA21" si="8">D21/F21</f>
        <v>1</v>
      </c>
      <c r="AB21" s="1498">
        <f t="shared" ref="AB21" si="9">D21/H21</f>
        <v>1</v>
      </c>
      <c r="AC21" s="1498">
        <f t="shared" ref="AC21" si="10">D21/J21</f>
        <v>1</v>
      </c>
    </row>
    <row r="22" spans="1:29" ht="15">
      <c r="A22" s="518"/>
      <c r="B22" s="903"/>
      <c r="C22" s="854" t="s">
        <v>3730</v>
      </c>
      <c r="D22" s="541"/>
      <c r="E22" s="562" t="s">
        <v>3730</v>
      </c>
      <c r="F22" s="543"/>
      <c r="G22" s="562" t="s">
        <v>3730</v>
      </c>
      <c r="H22" s="541"/>
      <c r="I22" s="562" t="s">
        <v>3730</v>
      </c>
      <c r="J22" s="541"/>
      <c r="K22" s="2429"/>
      <c r="L22" s="2010"/>
      <c r="M22" s="2002"/>
      <c r="N22" s="2002"/>
      <c r="O22" s="2009"/>
      <c r="P22" s="3853"/>
      <c r="Q22" s="2415"/>
      <c r="R22" s="1495"/>
      <c r="S22" s="1496"/>
      <c r="T22" s="1495"/>
      <c r="U22" s="1496"/>
      <c r="V22" s="1495"/>
      <c r="W22" s="1496"/>
      <c r="X22" s="2417"/>
      <c r="Y22" s="3853"/>
      <c r="Z22" s="2416"/>
      <c r="AA22" s="1498">
        <v>1</v>
      </c>
      <c r="AB22" s="1498">
        <v>1</v>
      </c>
      <c r="AC22" s="1498">
        <v>1</v>
      </c>
    </row>
    <row r="23" spans="1:29" ht="57">
      <c r="A23" s="518"/>
      <c r="B23" s="852" t="s">
        <v>297</v>
      </c>
      <c r="C23" s="853" t="str">
        <f>估价对象房地状况!C9</f>
        <v>区域自然环境：；人文环境；综合评价环境状况一般</v>
      </c>
      <c r="D23" s="545">
        <v>100</v>
      </c>
      <c r="E23" s="548"/>
      <c r="F23" s="549">
        <f>SUMIF(84:84,E24,85:85)-SUMIF(84:84,C24,85:85)+100</f>
        <v>100</v>
      </c>
      <c r="G23" s="550"/>
      <c r="H23" s="545">
        <f>SUMIF(84:84,G24,85:85)-SUMIF(84:84,C24,85:85)+100</f>
        <v>100</v>
      </c>
      <c r="I23" s="548"/>
      <c r="J23" s="545">
        <f>SUMIF(84:84,I24,85:85)-SUMIF(84:84,C24,85:85)+100</f>
        <v>100</v>
      </c>
      <c r="K23" s="849">
        <v>5</v>
      </c>
      <c r="L23" s="2010"/>
      <c r="M23" s="2002"/>
      <c r="N23" s="2002"/>
      <c r="O23" s="2009"/>
      <c r="P23" s="3853"/>
      <c r="Q23" s="1494" t="str">
        <f>B23</f>
        <v>自然及人文环境</v>
      </c>
      <c r="R23" s="1495" t="s">
        <v>11</v>
      </c>
      <c r="S23" s="1496">
        <f>F23</f>
        <v>100</v>
      </c>
      <c r="T23" s="1495" t="s">
        <v>11</v>
      </c>
      <c r="U23" s="1496">
        <f>H23</f>
        <v>100</v>
      </c>
      <c r="V23" s="1495" t="s">
        <v>11</v>
      </c>
      <c r="W23" s="1496">
        <f>J23</f>
        <v>100</v>
      </c>
      <c r="X23" s="1489"/>
      <c r="Y23" s="3853"/>
      <c r="Z23" s="1497" t="str">
        <f>Q23</f>
        <v>自然及人文环境</v>
      </c>
      <c r="AA23" s="1498">
        <f t="shared" si="3"/>
        <v>1</v>
      </c>
      <c r="AB23" s="1498">
        <f t="shared" si="4"/>
        <v>1</v>
      </c>
      <c r="AC23" s="1498">
        <f t="shared" si="5"/>
        <v>1</v>
      </c>
    </row>
    <row r="24" spans="1:29" ht="15">
      <c r="A24" s="518"/>
      <c r="B24" s="581"/>
      <c r="C24" s="562" t="s">
        <v>3725</v>
      </c>
      <c r="D24" s="541"/>
      <c r="E24" s="542" t="s">
        <v>3725</v>
      </c>
      <c r="F24" s="543"/>
      <c r="G24" s="544" t="s">
        <v>3725</v>
      </c>
      <c r="H24" s="541"/>
      <c r="I24" s="542" t="s">
        <v>3725</v>
      </c>
      <c r="J24" s="541"/>
      <c r="K24" s="851"/>
      <c r="L24" s="2010"/>
      <c r="M24" s="2002"/>
      <c r="N24" s="2002"/>
      <c r="O24" s="2009"/>
      <c r="P24" s="3853"/>
      <c r="Q24" s="1494"/>
      <c r="R24" s="1495"/>
      <c r="S24" s="1496"/>
      <c r="T24" s="1495"/>
      <c r="U24" s="1496"/>
      <c r="V24" s="1495"/>
      <c r="W24" s="1496"/>
      <c r="X24" s="1489"/>
      <c r="Y24" s="3853"/>
      <c r="Z24" s="1497"/>
      <c r="AA24" s="1498">
        <v>1</v>
      </c>
      <c r="AB24" s="1498">
        <v>1</v>
      </c>
      <c r="AC24" s="1498">
        <v>1</v>
      </c>
    </row>
    <row r="25" spans="1:29" ht="15">
      <c r="A25" s="518"/>
      <c r="B25" s="1795" t="s">
        <v>2242</v>
      </c>
      <c r="C25" s="560"/>
      <c r="D25" s="526">
        <v>100</v>
      </c>
      <c r="E25" s="855"/>
      <c r="F25" s="561">
        <f>SUMIF(86:86,E25,87:87)-SUMIF(86:86,C25,87:87)+100</f>
        <v>100</v>
      </c>
      <c r="G25" s="585"/>
      <c r="H25" s="526">
        <f>SUMIF(86:86,G25,87:87)-SUMIF(86:86,C25,87:87)+100</f>
        <v>100</v>
      </c>
      <c r="I25" s="855"/>
      <c r="J25" s="526">
        <f>SUMIF(86:86,I25,87:87)-SUMIF(86:86,C25,87:87)+100</f>
        <v>100</v>
      </c>
      <c r="K25" s="845"/>
      <c r="L25" s="2010"/>
      <c r="M25" s="2002"/>
      <c r="N25" s="2002"/>
      <c r="O25" s="2009"/>
      <c r="P25" s="3853"/>
      <c r="Q25" s="1494" t="str">
        <f t="shared" ref="Q25:Q46" si="11">B25</f>
        <v>楼层-1</v>
      </c>
      <c r="R25" s="1495" t="s">
        <v>11</v>
      </c>
      <c r="S25" s="1496">
        <f>F25</f>
        <v>100</v>
      </c>
      <c r="T25" s="1495" t="s">
        <v>11</v>
      </c>
      <c r="U25" s="1496">
        <f>H25</f>
        <v>100</v>
      </c>
      <c r="V25" s="1495" t="s">
        <v>11</v>
      </c>
      <c r="W25" s="1496">
        <f>J25</f>
        <v>100</v>
      </c>
      <c r="X25" s="1489"/>
      <c r="Y25" s="3853"/>
      <c r="Z25" s="1497" t="str">
        <f>Q25</f>
        <v>楼层-1</v>
      </c>
      <c r="AA25" s="1498">
        <f t="shared" si="3"/>
        <v>1</v>
      </c>
      <c r="AB25" s="1498">
        <f t="shared" si="4"/>
        <v>1</v>
      </c>
      <c r="AC25" s="1498">
        <f t="shared" si="5"/>
        <v>1</v>
      </c>
    </row>
    <row r="26" spans="1:29" ht="15">
      <c r="A26" s="518"/>
      <c r="B26" s="513" t="s">
        <v>717</v>
      </c>
      <c r="C26" s="560"/>
      <c r="D26" s="526">
        <v>100</v>
      </c>
      <c r="E26" s="855"/>
      <c r="F26" s="561">
        <f>SUMIF(88:88,E26,89:89)-SUMIF(88:88,C26,89:89)+100</f>
        <v>100</v>
      </c>
      <c r="G26" s="585"/>
      <c r="H26" s="526">
        <f>SUMIF(88:88,G26,89:89)-SUMIF(88:88,C26,89:89)+100</f>
        <v>100</v>
      </c>
      <c r="I26" s="855"/>
      <c r="J26" s="526">
        <f>SUMIF(88:88,I26,89:89)-SUMIF(88:88,C26,89:89)+100</f>
        <v>100</v>
      </c>
      <c r="K26" s="845"/>
      <c r="L26" s="2010"/>
      <c r="M26" s="2002"/>
      <c r="N26" s="2002"/>
      <c r="O26" s="2009"/>
      <c r="P26" s="3853"/>
      <c r="Q26" s="1494" t="str">
        <f t="shared" si="11"/>
        <v>朝向</v>
      </c>
      <c r="R26" s="1495" t="s">
        <v>11</v>
      </c>
      <c r="S26" s="1496">
        <f>F26</f>
        <v>100</v>
      </c>
      <c r="T26" s="1495" t="s">
        <v>11</v>
      </c>
      <c r="U26" s="1496">
        <f>H26</f>
        <v>100</v>
      </c>
      <c r="V26" s="1495" t="s">
        <v>11</v>
      </c>
      <c r="W26" s="1496">
        <f>J26</f>
        <v>100</v>
      </c>
      <c r="X26" s="1489"/>
      <c r="Y26" s="3853"/>
      <c r="Z26" s="1497" t="str">
        <f>Q26</f>
        <v>朝向</v>
      </c>
      <c r="AA26" s="1498">
        <f t="shared" si="3"/>
        <v>1</v>
      </c>
      <c r="AB26" s="1498">
        <f t="shared" si="4"/>
        <v>1</v>
      </c>
      <c r="AC26" s="1498">
        <f t="shared" si="5"/>
        <v>1</v>
      </c>
    </row>
    <row r="27" spans="1:29" s="1194" customFormat="1" ht="15">
      <c r="A27" s="522"/>
      <c r="B27" s="523" t="s">
        <v>718</v>
      </c>
      <c r="C27" s="514"/>
      <c r="D27" s="856">
        <v>100</v>
      </c>
      <c r="E27" s="516"/>
      <c r="F27" s="857">
        <f>SUMIF(90:90,E27,91:91)-SUMIF(90:90,C27,91:91)+100</f>
        <v>100</v>
      </c>
      <c r="G27" s="515"/>
      <c r="H27" s="856">
        <f>SUMIF(90:90,G27,91:91)-SUMIF(90:90,C27,91:91)+100</f>
        <v>100</v>
      </c>
      <c r="I27" s="516"/>
      <c r="J27" s="856">
        <f>SUMIF(90:90,I27,91:91)-SUMIF(90:90,C27,91:91)+100</f>
        <v>100</v>
      </c>
      <c r="K27" s="846"/>
      <c r="L27" s="2003"/>
      <c r="M27" s="2004"/>
      <c r="N27" s="2004"/>
      <c r="O27" s="2005"/>
      <c r="P27" s="3853"/>
      <c r="Q27" s="1125" t="str">
        <f t="shared" si="11"/>
        <v>道路级别</v>
      </c>
      <c r="R27" s="1490" t="s">
        <v>11</v>
      </c>
      <c r="S27" s="1491">
        <f>F27</f>
        <v>100</v>
      </c>
      <c r="T27" s="1490" t="s">
        <v>11</v>
      </c>
      <c r="U27" s="1491">
        <f>H27</f>
        <v>100</v>
      </c>
      <c r="V27" s="1490" t="s">
        <v>11</v>
      </c>
      <c r="W27" s="1491">
        <f>J27</f>
        <v>100</v>
      </c>
      <c r="X27" s="1492"/>
      <c r="Y27" s="3853"/>
      <c r="Z27" s="1124" t="str">
        <f>Q27</f>
        <v>道路级别</v>
      </c>
      <c r="AA27" s="1498">
        <f>D27/F27</f>
        <v>1</v>
      </c>
      <c r="AB27" s="1498">
        <f>D27/H27</f>
        <v>1</v>
      </c>
      <c r="AC27" s="1498">
        <f>D27/J27</f>
        <v>1</v>
      </c>
    </row>
    <row r="28" spans="1:29" ht="15">
      <c r="A28" s="518"/>
      <c r="B28" s="858"/>
      <c r="C28" s="525"/>
      <c r="D28" s="526">
        <v>100</v>
      </c>
      <c r="E28" s="525"/>
      <c r="F28" s="561">
        <f>SUMIF(92:92,E28,93:93)-SUMIF(92:92,C28,93:93)+100</f>
        <v>100</v>
      </c>
      <c r="G28" s="525"/>
      <c r="H28" s="526">
        <f>SUMIF(92:92,G28,93:93)-SUMIF(92:92,C28,93:93)+100</f>
        <v>100</v>
      </c>
      <c r="I28" s="525"/>
      <c r="J28" s="526">
        <f>SUMIF(92:92,I28,93:93)-SUMIF(92:92,C28,93:93)+100</f>
        <v>100</v>
      </c>
      <c r="K28" s="846"/>
      <c r="L28" s="2010"/>
      <c r="M28" s="2002"/>
      <c r="N28" s="2002"/>
      <c r="O28" s="2009"/>
      <c r="P28" s="3853"/>
      <c r="Q28" s="1494">
        <f t="shared" si="11"/>
        <v>0</v>
      </c>
      <c r="R28" s="1495" t="s">
        <v>11</v>
      </c>
      <c r="S28" s="1496">
        <f t="shared" ref="S28:S46" si="12">F28</f>
        <v>100</v>
      </c>
      <c r="T28" s="1495" t="s">
        <v>11</v>
      </c>
      <c r="U28" s="1496">
        <f t="shared" ref="U28:U46" si="13">H28</f>
        <v>100</v>
      </c>
      <c r="V28" s="1495" t="s">
        <v>11</v>
      </c>
      <c r="W28" s="1496">
        <f t="shared" ref="W28:W46" si="14">J28</f>
        <v>100</v>
      </c>
      <c r="X28" s="1489"/>
      <c r="Y28" s="3853"/>
      <c r="Z28" s="1497">
        <f t="shared" ref="Z28:Z46" si="15">Q28</f>
        <v>0</v>
      </c>
      <c r="AA28" s="1498">
        <f t="shared" si="3"/>
        <v>1</v>
      </c>
      <c r="AB28" s="1498">
        <f t="shared" si="4"/>
        <v>1</v>
      </c>
      <c r="AC28" s="1498">
        <f t="shared" si="5"/>
        <v>1</v>
      </c>
    </row>
    <row r="29" spans="1:29" ht="15">
      <c r="A29" s="518"/>
      <c r="B29" s="858"/>
      <c r="C29" s="525"/>
      <c r="D29" s="526">
        <v>100</v>
      </c>
      <c r="E29" s="525"/>
      <c r="F29" s="561">
        <f>SUMIF(94:94,E29,95:95)-SUMIF(94:94,C29,95:95)+100</f>
        <v>100</v>
      </c>
      <c r="G29" s="525"/>
      <c r="H29" s="526">
        <f>SUMIF(94:94,G29,95:95)-SUMIF(94:94,C29,95:95)+100</f>
        <v>100</v>
      </c>
      <c r="I29" s="525"/>
      <c r="J29" s="526">
        <f>SUMIF(94:94,I29,95:95)-SUMIF(94:94,C29,95:95)+100</f>
        <v>100</v>
      </c>
      <c r="K29" s="846"/>
      <c r="L29" s="2010"/>
      <c r="M29" s="2002"/>
      <c r="N29" s="2002"/>
      <c r="O29" s="2009"/>
      <c r="P29" s="3853"/>
      <c r="Q29" s="1494">
        <f t="shared" si="11"/>
        <v>0</v>
      </c>
      <c r="R29" s="1495" t="s">
        <v>11</v>
      </c>
      <c r="S29" s="1496">
        <f t="shared" si="12"/>
        <v>100</v>
      </c>
      <c r="T29" s="1495" t="s">
        <v>11</v>
      </c>
      <c r="U29" s="1496">
        <f t="shared" si="13"/>
        <v>100</v>
      </c>
      <c r="V29" s="1495" t="s">
        <v>11</v>
      </c>
      <c r="W29" s="1496">
        <f t="shared" si="14"/>
        <v>100</v>
      </c>
      <c r="X29" s="1489"/>
      <c r="Y29" s="3853"/>
      <c r="Z29" s="1497">
        <f t="shared" si="15"/>
        <v>0</v>
      </c>
      <c r="AA29" s="1498">
        <f t="shared" si="3"/>
        <v>1</v>
      </c>
      <c r="AB29" s="1498">
        <f t="shared" si="4"/>
        <v>1</v>
      </c>
      <c r="AC29" s="1498">
        <f t="shared" si="5"/>
        <v>1</v>
      </c>
    </row>
    <row r="30" spans="1:29" ht="15">
      <c r="A30" s="518"/>
      <c r="B30" s="858"/>
      <c r="C30" s="525"/>
      <c r="D30" s="526">
        <v>100</v>
      </c>
      <c r="E30" s="525"/>
      <c r="F30" s="561">
        <f>SUMIF(96:96,E30,97:97)-SUMIF(96:96,C30,97:97)+100</f>
        <v>100</v>
      </c>
      <c r="G30" s="525"/>
      <c r="H30" s="526">
        <f>SUMIF(96:96,G30,97:97)-SUMIF(96:96,C30,97:97)+100</f>
        <v>100</v>
      </c>
      <c r="I30" s="525"/>
      <c r="J30" s="526">
        <f>SUMIF(96:96,I30,97:97)-SUMIF(96:96,C30,97:97)+100</f>
        <v>100</v>
      </c>
      <c r="K30" s="846"/>
      <c r="L30" s="2010"/>
      <c r="M30" s="2002"/>
      <c r="N30" s="2002"/>
      <c r="O30" s="2009"/>
      <c r="P30" s="3853"/>
      <c r="Q30" s="1494">
        <f t="shared" si="11"/>
        <v>0</v>
      </c>
      <c r="R30" s="1495" t="s">
        <v>11</v>
      </c>
      <c r="S30" s="1496">
        <f t="shared" si="12"/>
        <v>100</v>
      </c>
      <c r="T30" s="1495" t="s">
        <v>11</v>
      </c>
      <c r="U30" s="1496">
        <f t="shared" si="13"/>
        <v>100</v>
      </c>
      <c r="V30" s="1495" t="s">
        <v>11</v>
      </c>
      <c r="W30" s="1496">
        <f t="shared" si="14"/>
        <v>100</v>
      </c>
      <c r="X30" s="1489"/>
      <c r="Y30" s="3853"/>
      <c r="Z30" s="1497">
        <f t="shared" si="15"/>
        <v>0</v>
      </c>
      <c r="AA30" s="1498">
        <f t="shared" si="3"/>
        <v>1</v>
      </c>
      <c r="AB30" s="1498">
        <f t="shared" si="4"/>
        <v>1</v>
      </c>
      <c r="AC30" s="1498">
        <f t="shared" si="5"/>
        <v>1</v>
      </c>
    </row>
    <row r="31" spans="1:29" ht="15.75" thickBot="1">
      <c r="A31" s="529"/>
      <c r="B31" s="858"/>
      <c r="C31" s="531"/>
      <c r="D31" s="532">
        <v>100</v>
      </c>
      <c r="E31" s="531"/>
      <c r="F31" s="847">
        <f>SUMIF(98:98,E31,99:99)-SUMIF(98:98,C31,99:99)+100</f>
        <v>100</v>
      </c>
      <c r="G31" s="531"/>
      <c r="H31" s="532">
        <f>SUMIF(98:98,G31,99:99)-SUMIF(98:98,C31,99:99)+100</f>
        <v>100</v>
      </c>
      <c r="I31" s="531"/>
      <c r="J31" s="532">
        <f>SUMIF(98:98,I31,99:99)-SUMIF(98:98,C31,99:99)+100</f>
        <v>100</v>
      </c>
      <c r="K31" s="846"/>
      <c r="L31" s="2010"/>
      <c r="M31" s="2002"/>
      <c r="N31" s="2002"/>
      <c r="O31" s="2009"/>
      <c r="P31" s="3853"/>
      <c r="Q31" s="1494">
        <f t="shared" si="11"/>
        <v>0</v>
      </c>
      <c r="R31" s="1495" t="s">
        <v>11</v>
      </c>
      <c r="S31" s="1496">
        <f t="shared" si="12"/>
        <v>100</v>
      </c>
      <c r="T31" s="1495" t="s">
        <v>11</v>
      </c>
      <c r="U31" s="1496">
        <f t="shared" si="13"/>
        <v>100</v>
      </c>
      <c r="V31" s="1495" t="s">
        <v>11</v>
      </c>
      <c r="W31" s="1496">
        <f t="shared" si="14"/>
        <v>100</v>
      </c>
      <c r="X31" s="1489"/>
      <c r="Y31" s="3853"/>
      <c r="Z31" s="1497">
        <f t="shared" si="15"/>
        <v>0</v>
      </c>
      <c r="AA31" s="1498">
        <f t="shared" si="3"/>
        <v>1</v>
      </c>
      <c r="AB31" s="1498">
        <f t="shared" si="4"/>
        <v>1</v>
      </c>
      <c r="AC31" s="1498">
        <f t="shared" si="5"/>
        <v>1</v>
      </c>
    </row>
    <row r="32" spans="1:29" ht="15">
      <c r="A32" s="2610" t="s">
        <v>2729</v>
      </c>
      <c r="B32" s="170" t="s">
        <v>719</v>
      </c>
      <c r="C32" s="859" t="s">
        <v>3749</v>
      </c>
      <c r="D32" s="583">
        <v>100</v>
      </c>
      <c r="E32" s="859" t="s">
        <v>3748</v>
      </c>
      <c r="F32" s="583">
        <f>SUMIF(100:100,E32,101:101)-SUMIF(100:100,C32,101:101)+100</f>
        <v>105</v>
      </c>
      <c r="G32" s="860" t="s">
        <v>3749</v>
      </c>
      <c r="H32" s="583">
        <f>SUMIF(100:100,G32,101:101)-SUMIF(100:100,C32,101:101)+100</f>
        <v>100</v>
      </c>
      <c r="I32" s="860" t="s">
        <v>3748</v>
      </c>
      <c r="J32" s="526">
        <f>SUMIF(100:100,I32,101:101)-SUMIF(100:100,C32,101:101)+100</f>
        <v>105</v>
      </c>
      <c r="K32" s="845">
        <v>5</v>
      </c>
      <c r="L32" s="2010"/>
      <c r="M32" s="2002"/>
      <c r="N32" s="2002"/>
      <c r="O32" s="2009"/>
      <c r="P32" s="3854" t="s">
        <v>544</v>
      </c>
      <c r="Q32" s="1494" t="str">
        <f t="shared" si="11"/>
        <v>建筑类型</v>
      </c>
      <c r="R32" s="1495" t="s">
        <v>11</v>
      </c>
      <c r="S32" s="1496">
        <f t="shared" si="12"/>
        <v>105</v>
      </c>
      <c r="T32" s="1495" t="s">
        <v>11</v>
      </c>
      <c r="U32" s="1496">
        <f t="shared" si="13"/>
        <v>100</v>
      </c>
      <c r="V32" s="1495" t="s">
        <v>11</v>
      </c>
      <c r="W32" s="1496">
        <f t="shared" si="14"/>
        <v>105</v>
      </c>
      <c r="X32" s="1489"/>
      <c r="Y32" s="3855" t="s">
        <v>544</v>
      </c>
      <c r="Z32" s="1497" t="str">
        <f t="shared" si="15"/>
        <v>建筑类型</v>
      </c>
      <c r="AA32" s="1498">
        <f t="shared" si="3"/>
        <v>0.95238095238095233</v>
      </c>
      <c r="AB32" s="1498">
        <f t="shared" si="4"/>
        <v>1</v>
      </c>
      <c r="AC32" s="1498">
        <f t="shared" si="5"/>
        <v>0.95238095238095233</v>
      </c>
    </row>
    <row r="33" spans="1:29" s="1283" customFormat="1" ht="15">
      <c r="A33" s="589"/>
      <c r="B33" s="513" t="s">
        <v>720</v>
      </c>
      <c r="C33" s="861"/>
      <c r="D33" s="245">
        <v>100</v>
      </c>
      <c r="E33" s="519"/>
      <c r="F33" s="245">
        <f>LOOKUP(E33,103:103,104:104)-LOOKUP(C33,103:103,104:104)+100</f>
        <v>100</v>
      </c>
      <c r="G33" s="520"/>
      <c r="H33" s="245">
        <f>LOOKUP(G33,103:103,104:104)-LOOKUP(C33,103:103,104:104)+100</f>
        <v>100</v>
      </c>
      <c r="I33" s="520"/>
      <c r="J33" s="245">
        <f>LOOKUP(I33,103:103,104:104)-LOOKUP(C33,103:103,104:104)+100</f>
        <v>100</v>
      </c>
      <c r="K33" s="846"/>
      <c r="L33" s="2008"/>
      <c r="M33" s="2038"/>
      <c r="N33" s="2038"/>
      <c r="O33" s="2011"/>
      <c r="P33" s="3855"/>
      <c r="Q33" s="1523" t="str">
        <f t="shared" si="11"/>
        <v>项目建筑规模</v>
      </c>
      <c r="R33" s="1499" t="s">
        <v>11</v>
      </c>
      <c r="S33" s="1500">
        <f t="shared" si="12"/>
        <v>100</v>
      </c>
      <c r="T33" s="1499" t="s">
        <v>11</v>
      </c>
      <c r="U33" s="1500">
        <f t="shared" si="13"/>
        <v>100</v>
      </c>
      <c r="V33" s="1499" t="s">
        <v>11</v>
      </c>
      <c r="W33" s="1500">
        <f t="shared" si="14"/>
        <v>100</v>
      </c>
      <c r="X33" s="1501"/>
      <c r="Y33" s="3855"/>
      <c r="Z33" s="1502" t="str">
        <f t="shared" si="15"/>
        <v>项目建筑规模</v>
      </c>
      <c r="AA33" s="1498">
        <f t="shared" si="3"/>
        <v>1</v>
      </c>
      <c r="AB33" s="1498">
        <f t="shared" si="4"/>
        <v>1</v>
      </c>
      <c r="AC33" s="1498">
        <f t="shared" si="5"/>
        <v>1</v>
      </c>
    </row>
    <row r="34" spans="1:29" ht="15">
      <c r="A34" s="580"/>
      <c r="B34" s="513" t="s">
        <v>721</v>
      </c>
      <c r="C34" s="863" t="s">
        <v>3755</v>
      </c>
      <c r="D34" s="526">
        <v>100</v>
      </c>
      <c r="E34" s="862" t="s">
        <v>3755</v>
      </c>
      <c r="F34" s="526">
        <f>SUMIF(105:105,E34,106:106)-SUMIF(105:105,C34,106:106)+100</f>
        <v>100</v>
      </c>
      <c r="G34" s="863" t="s">
        <v>3755</v>
      </c>
      <c r="H34" s="526">
        <f>SUMIF(105:105,G34,106:106)-SUMIF(105:105,C34,106:106)+100</f>
        <v>100</v>
      </c>
      <c r="I34" s="863" t="s">
        <v>3755</v>
      </c>
      <c r="J34" s="526">
        <f>SUMIF(105:105,I34,106:106)-SUMIF(105:105,C34,106:106)+100</f>
        <v>100</v>
      </c>
      <c r="K34" s="845"/>
      <c r="L34" s="2010"/>
      <c r="M34" s="2002"/>
      <c r="N34" s="2002"/>
      <c r="O34" s="2009"/>
      <c r="P34" s="3855"/>
      <c r="Q34" s="1494" t="str">
        <f t="shared" si="11"/>
        <v>建筑结构</v>
      </c>
      <c r="R34" s="1495" t="s">
        <v>11</v>
      </c>
      <c r="S34" s="1496">
        <f t="shared" si="12"/>
        <v>100</v>
      </c>
      <c r="T34" s="1495" t="s">
        <v>11</v>
      </c>
      <c r="U34" s="1496">
        <f t="shared" si="13"/>
        <v>100</v>
      </c>
      <c r="V34" s="1495" t="s">
        <v>11</v>
      </c>
      <c r="W34" s="1496">
        <f t="shared" si="14"/>
        <v>100</v>
      </c>
      <c r="X34" s="1489"/>
      <c r="Y34" s="3855"/>
      <c r="Z34" s="1497" t="str">
        <f t="shared" si="15"/>
        <v>建筑结构</v>
      </c>
      <c r="AA34" s="1498">
        <f t="shared" si="3"/>
        <v>1</v>
      </c>
      <c r="AB34" s="1498">
        <f t="shared" si="4"/>
        <v>1</v>
      </c>
      <c r="AC34" s="1498">
        <f t="shared" si="5"/>
        <v>1</v>
      </c>
    </row>
    <row r="35" spans="1:29" ht="15">
      <c r="A35" s="580"/>
      <c r="B35" s="513" t="s">
        <v>722</v>
      </c>
      <c r="C35" s="855" t="s">
        <v>3791</v>
      </c>
      <c r="D35" s="526">
        <v>100</v>
      </c>
      <c r="E35" s="585" t="s">
        <v>3791</v>
      </c>
      <c r="F35" s="526">
        <f>SUMIF(107:107,E35,108:108)-SUMIF(107:107,C35,108:108)+100</f>
        <v>100</v>
      </c>
      <c r="G35" s="855" t="s">
        <v>3791</v>
      </c>
      <c r="H35" s="526">
        <f>SUMIF(107:107,G35,108:108)-SUMIF(107:107,C35,108:108)+100</f>
        <v>100</v>
      </c>
      <c r="I35" s="855" t="s">
        <v>3791</v>
      </c>
      <c r="J35" s="526">
        <f>SUMIF(107:107,I35,108:108)-SUMIF(107:107,C35,108:108)+100</f>
        <v>100</v>
      </c>
      <c r="K35" s="845"/>
      <c r="L35" s="2010"/>
      <c r="M35" s="2002"/>
      <c r="N35" s="2002"/>
      <c r="O35" s="2009"/>
      <c r="P35" s="3855"/>
      <c r="Q35" s="1494" t="str">
        <f t="shared" si="11"/>
        <v>建筑品质</v>
      </c>
      <c r="R35" s="1495" t="s">
        <v>11</v>
      </c>
      <c r="S35" s="1496">
        <f t="shared" si="12"/>
        <v>100</v>
      </c>
      <c r="T35" s="1495" t="s">
        <v>11</v>
      </c>
      <c r="U35" s="1496">
        <f t="shared" si="13"/>
        <v>100</v>
      </c>
      <c r="V35" s="1495" t="s">
        <v>11</v>
      </c>
      <c r="W35" s="1496">
        <f t="shared" si="14"/>
        <v>100</v>
      </c>
      <c r="X35" s="1489"/>
      <c r="Y35" s="3855"/>
      <c r="Z35" s="1497" t="str">
        <f t="shared" si="15"/>
        <v>建筑品质</v>
      </c>
      <c r="AA35" s="1498">
        <f t="shared" si="3"/>
        <v>1</v>
      </c>
      <c r="AB35" s="1498">
        <f t="shared" si="4"/>
        <v>1</v>
      </c>
      <c r="AC35" s="1498">
        <f t="shared" si="5"/>
        <v>1</v>
      </c>
    </row>
    <row r="36" spans="1:29" ht="15">
      <c r="A36" s="580"/>
      <c r="B36" s="513" t="s">
        <v>723</v>
      </c>
      <c r="C36" s="855" t="s">
        <v>3789</v>
      </c>
      <c r="D36" s="526">
        <v>100</v>
      </c>
      <c r="E36" s="585" t="s">
        <v>3789</v>
      </c>
      <c r="F36" s="526">
        <f>SUMIF(109:109,E36,110:110)-SUMIF(109:109,C36,110:110)+100</f>
        <v>100</v>
      </c>
      <c r="G36" s="855" t="s">
        <v>3789</v>
      </c>
      <c r="H36" s="526">
        <f>SUMIF(109:109,G36,110:110)-SUMIF(109:109,C36,110:110)+100</f>
        <v>100</v>
      </c>
      <c r="I36" s="855" t="s">
        <v>3789</v>
      </c>
      <c r="J36" s="526">
        <f>SUMIF(109:109,I36,110:110)-SUMIF(109:109,C36,110:110)+100</f>
        <v>100</v>
      </c>
      <c r="K36" s="845"/>
      <c r="L36" s="2010"/>
      <c r="M36" s="2002"/>
      <c r="N36" s="2002"/>
      <c r="O36" s="2009"/>
      <c r="P36" s="3855"/>
      <c r="Q36" s="1494" t="str">
        <f t="shared" si="11"/>
        <v>公共部分装修</v>
      </c>
      <c r="R36" s="1495" t="s">
        <v>11</v>
      </c>
      <c r="S36" s="1496">
        <f t="shared" si="12"/>
        <v>100</v>
      </c>
      <c r="T36" s="1495" t="s">
        <v>11</v>
      </c>
      <c r="U36" s="1496">
        <f t="shared" si="13"/>
        <v>100</v>
      </c>
      <c r="V36" s="1495" t="s">
        <v>11</v>
      </c>
      <c r="W36" s="1496">
        <f t="shared" si="14"/>
        <v>100</v>
      </c>
      <c r="X36" s="1489"/>
      <c r="Y36" s="3855"/>
      <c r="Z36" s="1497" t="str">
        <f t="shared" si="15"/>
        <v>公共部分装修</v>
      </c>
      <c r="AA36" s="1498">
        <f t="shared" si="3"/>
        <v>1</v>
      </c>
      <c r="AB36" s="1498">
        <f t="shared" si="4"/>
        <v>1</v>
      </c>
      <c r="AC36" s="1498">
        <f t="shared" si="5"/>
        <v>1</v>
      </c>
    </row>
    <row r="37" spans="1:29" s="1194" customFormat="1" ht="15">
      <c r="A37" s="586"/>
      <c r="B37" s="513" t="s">
        <v>724</v>
      </c>
      <c r="C37" s="865">
        <v>1</v>
      </c>
      <c r="D37" s="245">
        <v>100</v>
      </c>
      <c r="E37" s="866">
        <v>1</v>
      </c>
      <c r="F37" s="245">
        <f>LOOKUP(E37,112:112,113:113)-LOOKUP(C37,112:112,113:113)+100</f>
        <v>100</v>
      </c>
      <c r="G37" s="865">
        <v>1</v>
      </c>
      <c r="H37" s="245">
        <f>LOOKUP(G37,112:112,113:113)-LOOKUP(C37,112:112,113:113)+100</f>
        <v>100</v>
      </c>
      <c r="I37" s="865">
        <v>1</v>
      </c>
      <c r="J37" s="245">
        <f>LOOKUP(I37,112:112,113:113)-LOOKUP(C37,112:112,113:113)+100</f>
        <v>100</v>
      </c>
      <c r="K37" s="845"/>
      <c r="L37" s="2003"/>
      <c r="M37" s="2004"/>
      <c r="N37" s="2004"/>
      <c r="O37" s="2005"/>
      <c r="P37" s="3855"/>
      <c r="Q37" s="1125" t="str">
        <f t="shared" si="11"/>
        <v>成新度</v>
      </c>
      <c r="R37" s="1490" t="s">
        <v>11</v>
      </c>
      <c r="S37" s="1491">
        <f t="shared" si="12"/>
        <v>100</v>
      </c>
      <c r="T37" s="1490" t="s">
        <v>11</v>
      </c>
      <c r="U37" s="1491">
        <f t="shared" si="13"/>
        <v>100</v>
      </c>
      <c r="V37" s="1490" t="s">
        <v>11</v>
      </c>
      <c r="W37" s="1491">
        <f t="shared" si="14"/>
        <v>100</v>
      </c>
      <c r="X37" s="1492"/>
      <c r="Y37" s="3855"/>
      <c r="Z37" s="1124" t="str">
        <f t="shared" si="15"/>
        <v>成新度</v>
      </c>
      <c r="AA37" s="1493">
        <f t="shared" si="3"/>
        <v>1</v>
      </c>
      <c r="AB37" s="1493">
        <f t="shared" si="4"/>
        <v>1</v>
      </c>
      <c r="AC37" s="1493">
        <f t="shared" si="5"/>
        <v>1</v>
      </c>
    </row>
    <row r="38" spans="1:29" ht="15">
      <c r="A38" s="580"/>
      <c r="B38" s="513" t="s">
        <v>725</v>
      </c>
      <c r="C38" s="855" t="s">
        <v>3794</v>
      </c>
      <c r="D38" s="526">
        <v>100</v>
      </c>
      <c r="E38" s="585" t="s">
        <v>3794</v>
      </c>
      <c r="F38" s="526">
        <f>SUMIF(114:114,E38,115:115)-SUMIF(114:114,C38,115:115)+100</f>
        <v>100</v>
      </c>
      <c r="G38" s="855" t="s">
        <v>3794</v>
      </c>
      <c r="H38" s="526">
        <f>SUMIF(114:114,G38,115:115)-SUMIF(114:114,C38,115:115)+100</f>
        <v>100</v>
      </c>
      <c r="I38" s="855" t="s">
        <v>3794</v>
      </c>
      <c r="J38" s="526">
        <f>SUMIF(114:114,I38,115:115)-SUMIF(114:114,C38,115:115)+100</f>
        <v>100</v>
      </c>
      <c r="K38" s="845"/>
      <c r="L38" s="2010"/>
      <c r="M38" s="2002"/>
      <c r="N38" s="2002"/>
      <c r="O38" s="2009"/>
      <c r="P38" s="3855" t="s">
        <v>544</v>
      </c>
      <c r="Q38" s="1494" t="str">
        <f t="shared" si="11"/>
        <v>物业管理</v>
      </c>
      <c r="R38" s="1495" t="s">
        <v>11</v>
      </c>
      <c r="S38" s="1496">
        <f t="shared" si="12"/>
        <v>100</v>
      </c>
      <c r="T38" s="1495" t="s">
        <v>11</v>
      </c>
      <c r="U38" s="1496">
        <f t="shared" si="13"/>
        <v>100</v>
      </c>
      <c r="V38" s="1495" t="s">
        <v>11</v>
      </c>
      <c r="W38" s="1496">
        <f t="shared" si="14"/>
        <v>100</v>
      </c>
      <c r="X38" s="1489"/>
      <c r="Y38" s="3855" t="s">
        <v>544</v>
      </c>
      <c r="Z38" s="1497" t="str">
        <f t="shared" si="15"/>
        <v>物业管理</v>
      </c>
      <c r="AA38" s="1498">
        <f t="shared" si="3"/>
        <v>1</v>
      </c>
      <c r="AB38" s="1498">
        <f t="shared" si="4"/>
        <v>1</v>
      </c>
      <c r="AC38" s="1498">
        <f t="shared" si="5"/>
        <v>1</v>
      </c>
    </row>
    <row r="39" spans="1:29" ht="15">
      <c r="A39" s="580"/>
      <c r="B39" s="1795" t="s">
        <v>2540</v>
      </c>
      <c r="C39" s="855" t="s">
        <v>3730</v>
      </c>
      <c r="D39" s="526">
        <v>100</v>
      </c>
      <c r="E39" s="585" t="s">
        <v>3730</v>
      </c>
      <c r="F39" s="526">
        <f>SUMIF(116:116,E39,117:117)-SUMIF(116:116,C39,117:117)+100</f>
        <v>100</v>
      </c>
      <c r="G39" s="855" t="s">
        <v>3730</v>
      </c>
      <c r="H39" s="526">
        <f>SUMIF(116:116,G39,117:117)-SUMIF(116:116,C39,117:117)+100</f>
        <v>100</v>
      </c>
      <c r="I39" s="855" t="s">
        <v>3730</v>
      </c>
      <c r="J39" s="526">
        <f>SUMIF(116:116,I39,117:117)-SUMIF(116:116,C39,117:117)+100</f>
        <v>100</v>
      </c>
      <c r="K39" s="845"/>
      <c r="L39" s="2010"/>
      <c r="M39" s="2002"/>
      <c r="N39" s="2002"/>
      <c r="O39" s="2009"/>
      <c r="P39" s="3855"/>
      <c r="Q39" s="1494" t="str">
        <f t="shared" si="11"/>
        <v>市政基础设施</v>
      </c>
      <c r="R39" s="1495" t="s">
        <v>11</v>
      </c>
      <c r="S39" s="1496">
        <f t="shared" si="12"/>
        <v>100</v>
      </c>
      <c r="T39" s="1495" t="s">
        <v>11</v>
      </c>
      <c r="U39" s="1496">
        <f t="shared" si="13"/>
        <v>100</v>
      </c>
      <c r="V39" s="1495" t="s">
        <v>11</v>
      </c>
      <c r="W39" s="1496">
        <f t="shared" si="14"/>
        <v>100</v>
      </c>
      <c r="X39" s="1489"/>
      <c r="Y39" s="3855"/>
      <c r="Z39" s="1497" t="str">
        <f t="shared" si="15"/>
        <v>市政基础设施</v>
      </c>
      <c r="AA39" s="1498">
        <f t="shared" si="3"/>
        <v>1</v>
      </c>
      <c r="AB39" s="1498">
        <f t="shared" si="4"/>
        <v>1</v>
      </c>
      <c r="AC39" s="1498">
        <f t="shared" si="5"/>
        <v>1</v>
      </c>
    </row>
    <row r="40" spans="1:29" ht="15">
      <c r="A40" s="580"/>
      <c r="B40" s="513" t="s">
        <v>726</v>
      </c>
      <c r="C40" s="855" t="s">
        <v>3797</v>
      </c>
      <c r="D40" s="526">
        <v>100</v>
      </c>
      <c r="E40" s="585" t="s">
        <v>3797</v>
      </c>
      <c r="F40" s="526">
        <f>SUMIF(118:118,E40,119:119)-SUMIF(118:118,C40,119:119)+100</f>
        <v>100</v>
      </c>
      <c r="G40" s="855" t="s">
        <v>3797</v>
      </c>
      <c r="H40" s="526">
        <f>SUMIF(118:118,G40,119:119)-SUMIF(118:118,C40,119:119)+100</f>
        <v>100</v>
      </c>
      <c r="I40" s="855" t="s">
        <v>3797</v>
      </c>
      <c r="J40" s="526">
        <f>SUMIF(118:118,I40,119:119)-SUMIF(118:118,C40,119:119)+100</f>
        <v>100</v>
      </c>
      <c r="K40" s="845"/>
      <c r="L40" s="2010"/>
      <c r="M40" s="2002"/>
      <c r="N40" s="2002"/>
      <c r="O40" s="2009"/>
      <c r="P40" s="3855"/>
      <c r="Q40" s="1494" t="str">
        <f t="shared" si="11"/>
        <v>房型</v>
      </c>
      <c r="R40" s="1495" t="s">
        <v>11</v>
      </c>
      <c r="S40" s="1496">
        <f t="shared" si="12"/>
        <v>100</v>
      </c>
      <c r="T40" s="1495" t="s">
        <v>11</v>
      </c>
      <c r="U40" s="1496">
        <f t="shared" si="13"/>
        <v>100</v>
      </c>
      <c r="V40" s="1495" t="s">
        <v>11</v>
      </c>
      <c r="W40" s="1496">
        <f t="shared" si="14"/>
        <v>100</v>
      </c>
      <c r="X40" s="1489"/>
      <c r="Y40" s="3855"/>
      <c r="Z40" s="1497" t="str">
        <f t="shared" si="15"/>
        <v>房型</v>
      </c>
      <c r="AA40" s="1498">
        <f t="shared" si="3"/>
        <v>1</v>
      </c>
      <c r="AB40" s="1498">
        <f t="shared" si="4"/>
        <v>1</v>
      </c>
      <c r="AC40" s="1498">
        <f t="shared" si="5"/>
        <v>1</v>
      </c>
    </row>
    <row r="41" spans="1:29" s="1283" customFormat="1" ht="28.5">
      <c r="A41" s="589"/>
      <c r="B41" s="513" t="s">
        <v>727</v>
      </c>
      <c r="C41" s="861"/>
      <c r="D41" s="245">
        <v>100</v>
      </c>
      <c r="E41" s="519"/>
      <c r="F41" s="245">
        <f>SUMIF(120:120,E41,121:121)-SUMIF(120:120,C41,121:121)+100</f>
        <v>100</v>
      </c>
      <c r="G41" s="520"/>
      <c r="H41" s="245">
        <f>SUMIF(120:120,G41,121:121)-SUMIF(120:120,C41,121:121)+100</f>
        <v>100</v>
      </c>
      <c r="I41" s="572"/>
      <c r="J41" s="526">
        <f>SUMIF(120:120,I41,121:121)-SUMIF(120:120,C41,121:121)+100</f>
        <v>100</v>
      </c>
      <c r="K41" s="846"/>
      <c r="L41" s="2008"/>
      <c r="M41" s="2038"/>
      <c r="N41" s="2038"/>
      <c r="O41" s="2011"/>
      <c r="P41" s="3855"/>
      <c r="Q41" s="1523" t="str">
        <f t="shared" si="11"/>
        <v>单套/主力户型建筑面积</v>
      </c>
      <c r="R41" s="1499" t="s">
        <v>11</v>
      </c>
      <c r="S41" s="1500">
        <f t="shared" si="12"/>
        <v>100</v>
      </c>
      <c r="T41" s="1499" t="s">
        <v>11</v>
      </c>
      <c r="U41" s="1500">
        <f t="shared" si="13"/>
        <v>100</v>
      </c>
      <c r="V41" s="1499" t="s">
        <v>11</v>
      </c>
      <c r="W41" s="1500">
        <f t="shared" si="14"/>
        <v>100</v>
      </c>
      <c r="X41" s="1501"/>
      <c r="Y41" s="3855"/>
      <c r="Z41" s="1502" t="str">
        <f t="shared" si="15"/>
        <v>单套/主力户型建筑面积</v>
      </c>
      <c r="AA41" s="1498">
        <f t="shared" si="3"/>
        <v>1</v>
      </c>
      <c r="AB41" s="1498">
        <f t="shared" si="4"/>
        <v>1</v>
      </c>
      <c r="AC41" s="1498">
        <f t="shared" si="5"/>
        <v>1</v>
      </c>
    </row>
    <row r="42" spans="1:29" ht="15">
      <c r="A42" s="580"/>
      <c r="B42" s="513" t="s">
        <v>728</v>
      </c>
      <c r="C42" s="585" t="s">
        <v>3784</v>
      </c>
      <c r="D42" s="526">
        <v>100</v>
      </c>
      <c r="E42" s="585" t="s">
        <v>3784</v>
      </c>
      <c r="F42" s="526">
        <f>SUMIF(122:122,E42,123:123)-SUMIF(122:122,C42,123:123)+100</f>
        <v>100</v>
      </c>
      <c r="G42" s="855" t="s">
        <v>3787</v>
      </c>
      <c r="H42" s="526">
        <f>SUMIF(122:122,G42,123:123)-SUMIF(122:122,C42,123:123)+100</f>
        <v>90</v>
      </c>
      <c r="I42" s="855" t="s">
        <v>3787</v>
      </c>
      <c r="J42" s="526">
        <f>SUMIF(122:122,I42,123:123)-SUMIF(122:122,C42,123:123)+100</f>
        <v>90</v>
      </c>
      <c r="K42" s="845">
        <v>5</v>
      </c>
      <c r="L42" s="2010"/>
      <c r="M42" s="2002"/>
      <c r="N42" s="2002"/>
      <c r="O42" s="2009"/>
      <c r="P42" s="3855"/>
      <c r="Q42" s="1494" t="str">
        <f t="shared" si="11"/>
        <v>内部装修</v>
      </c>
      <c r="R42" s="1495" t="s">
        <v>11</v>
      </c>
      <c r="S42" s="1496">
        <f t="shared" si="12"/>
        <v>100</v>
      </c>
      <c r="T42" s="1495" t="s">
        <v>11</v>
      </c>
      <c r="U42" s="1496">
        <f t="shared" si="13"/>
        <v>90</v>
      </c>
      <c r="V42" s="1495" t="s">
        <v>11</v>
      </c>
      <c r="W42" s="1496">
        <f t="shared" si="14"/>
        <v>90</v>
      </c>
      <c r="X42" s="1489"/>
      <c r="Y42" s="3855"/>
      <c r="Z42" s="1497" t="str">
        <f t="shared" si="15"/>
        <v>内部装修</v>
      </c>
      <c r="AA42" s="1498">
        <f t="shared" si="3"/>
        <v>1</v>
      </c>
      <c r="AB42" s="1498">
        <f t="shared" si="4"/>
        <v>1.1111111111111112</v>
      </c>
      <c r="AC42" s="1498">
        <f t="shared" si="5"/>
        <v>1.1111111111111112</v>
      </c>
    </row>
    <row r="43" spans="1:29" ht="27">
      <c r="A43" s="580"/>
      <c r="B43" s="513" t="s">
        <v>729</v>
      </c>
      <c r="C43" s="855" t="s">
        <v>3725</v>
      </c>
      <c r="D43" s="526">
        <v>100</v>
      </c>
      <c r="E43" s="585" t="s">
        <v>3725</v>
      </c>
      <c r="F43" s="526">
        <f>SUMIF(124:124,E43,125:125)-SUMIF(124:124,C43,125:125)+100</f>
        <v>100</v>
      </c>
      <c r="G43" s="855" t="s">
        <v>3725</v>
      </c>
      <c r="H43" s="526">
        <f>SUMIF(124:124,G43,125:125)-SUMIF(124:124,C43,125:125)+100</f>
        <v>100</v>
      </c>
      <c r="I43" s="855" t="s">
        <v>3725</v>
      </c>
      <c r="J43" s="526">
        <f>SUMIF(124:124,I43,125:125)-SUMIF(124:124,C43,125:125)+100</f>
        <v>100</v>
      </c>
      <c r="K43" s="845"/>
      <c r="L43" s="2010"/>
      <c r="M43" s="2002"/>
      <c r="N43" s="2002"/>
      <c r="O43" s="2009"/>
      <c r="P43" s="3855"/>
      <c r="Q43" s="1494" t="str">
        <f t="shared" si="11"/>
        <v>内部装修维护情况</v>
      </c>
      <c r="R43" s="1495" t="s">
        <v>11</v>
      </c>
      <c r="S43" s="1496">
        <f t="shared" si="12"/>
        <v>100</v>
      </c>
      <c r="T43" s="1495" t="s">
        <v>11</v>
      </c>
      <c r="U43" s="1496">
        <f t="shared" si="13"/>
        <v>100</v>
      </c>
      <c r="V43" s="1495" t="s">
        <v>11</v>
      </c>
      <c r="W43" s="1496">
        <f t="shared" si="14"/>
        <v>100</v>
      </c>
      <c r="X43" s="1489"/>
      <c r="Y43" s="3855"/>
      <c r="Z43" s="1497" t="str">
        <f t="shared" si="15"/>
        <v>内部装修维护情况</v>
      </c>
      <c r="AA43" s="1498">
        <f t="shared" si="3"/>
        <v>1</v>
      </c>
      <c r="AB43" s="1498">
        <f t="shared" si="4"/>
        <v>1</v>
      </c>
      <c r="AC43" s="1498">
        <f t="shared" si="5"/>
        <v>1</v>
      </c>
    </row>
    <row r="44" spans="1:29" s="1194" customFormat="1" ht="15">
      <c r="A44" s="586"/>
      <c r="B44" s="858"/>
      <c r="C44" s="861"/>
      <c r="D44" s="245">
        <v>100</v>
      </c>
      <c r="E44" s="861" t="s">
        <v>3782</v>
      </c>
      <c r="F44" s="245">
        <f>SUMIF(126:126,E44,127:127)-SUMIF(126:126,C44,127:127)+100</f>
        <v>100</v>
      </c>
      <c r="G44" s="3341" t="s">
        <v>11215</v>
      </c>
      <c r="H44" s="245">
        <f>SUMIF(126:126,G44,127:127)-SUMIF(126:126,C44,127:127)+100</f>
        <v>100</v>
      </c>
      <c r="I44" s="861" t="s">
        <v>11216</v>
      </c>
      <c r="J44" s="245">
        <f>SUMIF(126:126,I44,127:127)-SUMIF(126:126,C44,127:127)+100</f>
        <v>100</v>
      </c>
      <c r="K44" s="846"/>
      <c r="L44" s="2003"/>
      <c r="M44" s="2004"/>
      <c r="N44" s="2004"/>
      <c r="O44" s="2005"/>
      <c r="P44" s="3855"/>
      <c r="Q44" s="1125">
        <f t="shared" si="11"/>
        <v>0</v>
      </c>
      <c r="R44" s="1490" t="s">
        <v>11</v>
      </c>
      <c r="S44" s="1491">
        <f t="shared" si="12"/>
        <v>100</v>
      </c>
      <c r="T44" s="1490" t="s">
        <v>11</v>
      </c>
      <c r="U44" s="1491">
        <f t="shared" si="13"/>
        <v>100</v>
      </c>
      <c r="V44" s="1490" t="s">
        <v>11</v>
      </c>
      <c r="W44" s="1491">
        <f t="shared" si="14"/>
        <v>100</v>
      </c>
      <c r="X44" s="1492"/>
      <c r="Y44" s="3855"/>
      <c r="Z44" s="1124">
        <f t="shared" si="15"/>
        <v>0</v>
      </c>
      <c r="AA44" s="1493">
        <f t="shared" si="3"/>
        <v>1</v>
      </c>
      <c r="AB44" s="1493">
        <f t="shared" si="4"/>
        <v>1</v>
      </c>
      <c r="AC44" s="1493">
        <f t="shared" si="5"/>
        <v>1</v>
      </c>
    </row>
    <row r="45" spans="1:29" ht="15">
      <c r="A45" s="580"/>
      <c r="B45" s="858"/>
      <c r="C45" s="525"/>
      <c r="D45" s="526">
        <v>100</v>
      </c>
      <c r="E45" s="525"/>
      <c r="F45" s="526">
        <f>SUMIF(128:128,E45,129:129)-SUMIF(128:128,C45,129:129)+100</f>
        <v>100</v>
      </c>
      <c r="G45" s="893"/>
      <c r="H45" s="526">
        <f>SUMIF(128:128,G45,129:129)-SUMIF(128:128,C45,129:129)+100</f>
        <v>100</v>
      </c>
      <c r="I45" s="525"/>
      <c r="J45" s="526">
        <f>SUMIF(128:128,I45,129:129)-SUMIF(128:128,C45,129:129)+100</f>
        <v>100</v>
      </c>
      <c r="K45" s="846"/>
      <c r="L45" s="2010"/>
      <c r="M45" s="2002"/>
      <c r="N45" s="2002"/>
      <c r="O45" s="2009"/>
      <c r="P45" s="3855"/>
      <c r="Q45" s="1494">
        <f t="shared" si="11"/>
        <v>0</v>
      </c>
      <c r="R45" s="1495" t="s">
        <v>11</v>
      </c>
      <c r="S45" s="1496">
        <f t="shared" si="12"/>
        <v>100</v>
      </c>
      <c r="T45" s="1495" t="s">
        <v>11</v>
      </c>
      <c r="U45" s="1496">
        <f t="shared" si="13"/>
        <v>100</v>
      </c>
      <c r="V45" s="1495" t="s">
        <v>11</v>
      </c>
      <c r="W45" s="1496">
        <f t="shared" si="14"/>
        <v>100</v>
      </c>
      <c r="X45" s="1489"/>
      <c r="Y45" s="3855"/>
      <c r="Z45" s="1497">
        <f t="shared" si="15"/>
        <v>0</v>
      </c>
      <c r="AA45" s="1498">
        <f t="shared" si="3"/>
        <v>1</v>
      </c>
      <c r="AB45" s="1498">
        <f t="shared" si="4"/>
        <v>1</v>
      </c>
      <c r="AC45" s="1498">
        <f t="shared" si="5"/>
        <v>1</v>
      </c>
    </row>
    <row r="46" spans="1:29" ht="15.75" thickBot="1">
      <c r="A46" s="867"/>
      <c r="B46" s="530"/>
      <c r="C46" s="531"/>
      <c r="D46" s="532">
        <v>100</v>
      </c>
      <c r="E46" s="531"/>
      <c r="F46" s="532">
        <f>SUMIF(130:130,E46,131:131)-SUMIF(130:130,C46,131:131)+100</f>
        <v>100</v>
      </c>
      <c r="G46" s="896"/>
      <c r="H46" s="532">
        <f>SUMIF(130:130,G46,131:131)-SUMIF(130:130,C46,131:131)+100</f>
        <v>100</v>
      </c>
      <c r="I46" s="531"/>
      <c r="J46" s="532">
        <f>SUMIF(130:130,I46,131:131)-SUMIF(130:130,C46,131:131)+100</f>
        <v>100</v>
      </c>
      <c r="K46" s="846"/>
      <c r="L46" s="2010"/>
      <c r="M46" s="2002"/>
      <c r="N46" s="2002"/>
      <c r="O46" s="2009"/>
      <c r="P46" s="3961"/>
      <c r="Q46" s="1494">
        <f t="shared" si="11"/>
        <v>0</v>
      </c>
      <c r="R46" s="1495" t="s">
        <v>10</v>
      </c>
      <c r="S46" s="1496">
        <f t="shared" si="12"/>
        <v>100</v>
      </c>
      <c r="T46" s="1495" t="s">
        <v>10</v>
      </c>
      <c r="U46" s="1496">
        <f t="shared" si="13"/>
        <v>100</v>
      </c>
      <c r="V46" s="1495" t="s">
        <v>10</v>
      </c>
      <c r="W46" s="1496">
        <f t="shared" si="14"/>
        <v>100</v>
      </c>
      <c r="X46" s="1489"/>
      <c r="Y46" s="3961"/>
      <c r="Z46" s="1497">
        <f t="shared" si="15"/>
        <v>0</v>
      </c>
      <c r="AA46" s="1498">
        <f t="shared" si="3"/>
        <v>1</v>
      </c>
      <c r="AB46" s="1498">
        <f t="shared" si="4"/>
        <v>1</v>
      </c>
      <c r="AC46" s="1498">
        <f t="shared" si="5"/>
        <v>1</v>
      </c>
    </row>
    <row r="47" spans="1:29" ht="15">
      <c r="A47" s="593" t="s">
        <v>730</v>
      </c>
      <c r="B47" s="868"/>
      <c r="C47" s="2456" t="s">
        <v>9</v>
      </c>
      <c r="D47" s="2457"/>
      <c r="E47" s="2458">
        <f>ROUND(11000*$D$50,0)</f>
        <v>10340</v>
      </c>
      <c r="F47" s="2459"/>
      <c r="G47" s="2460">
        <f>ROUND(11500*$D$50,0)</f>
        <v>10810</v>
      </c>
      <c r="H47" s="2461"/>
      <c r="I47" s="2458">
        <f>ROUND(12000*$D$50,0)</f>
        <v>11280</v>
      </c>
      <c r="J47" s="2461"/>
      <c r="K47" s="1524"/>
      <c r="L47" s="2012"/>
      <c r="M47" s="2013"/>
      <c r="N47" s="2002"/>
      <c r="O47" s="2013"/>
      <c r="P47" s="3850" t="str">
        <f>A47</f>
        <v>成交单价（元/平方米）</v>
      </c>
      <c r="Q47" s="3850"/>
      <c r="R47" s="3960">
        <f>E47</f>
        <v>10340</v>
      </c>
      <c r="S47" s="3960"/>
      <c r="T47" s="3960">
        <f>G47</f>
        <v>10810</v>
      </c>
      <c r="U47" s="3960"/>
      <c r="V47" s="3960">
        <f>I47</f>
        <v>11280</v>
      </c>
      <c r="W47" s="3960"/>
      <c r="X47" s="1484"/>
      <c r="Y47" s="1503"/>
      <c r="Z47" s="1484"/>
      <c r="AA47" s="1484"/>
      <c r="AB47" s="1484"/>
      <c r="AC47" s="1484"/>
    </row>
    <row r="48" spans="1:29" ht="15.75" thickBot="1">
      <c r="A48" s="601" t="s">
        <v>2734</v>
      </c>
      <c r="B48" s="869"/>
      <c r="C48" s="2462">
        <f>R49</f>
        <v>9409</v>
      </c>
      <c r="D48" s="2999" t="s">
        <v>2961</v>
      </c>
      <c r="E48" s="2463">
        <f>R48</f>
        <v>9379</v>
      </c>
      <c r="F48" s="3362"/>
      <c r="G48" s="2462">
        <f>T48</f>
        <v>9454</v>
      </c>
      <c r="H48" s="3000"/>
      <c r="I48" s="2463">
        <f>V48</f>
        <v>9395</v>
      </c>
      <c r="J48" s="3000"/>
      <c r="K48" s="3008">
        <f>F48+H48+J48</f>
        <v>0</v>
      </c>
      <c r="L48" s="2012"/>
      <c r="M48" s="2013"/>
      <c r="N48" s="2013"/>
      <c r="O48" s="2013"/>
      <c r="P48" s="3850" t="str">
        <f>A48</f>
        <v>比较价格（元/平方米）</v>
      </c>
      <c r="Q48" s="3850"/>
      <c r="R48" s="3960">
        <f>IF(F1="售价",ROUND(PRODUCT(R47,AA7:AA46),0),ROUND(PRODUCT(R47,AA7:AA46),1))</f>
        <v>9379</v>
      </c>
      <c r="S48" s="3960"/>
      <c r="T48" s="3960">
        <f>IF(F1="售价",ROUND(PRODUCT(T47,AB7:AB46),0),ROUND(PRODUCT(T47,AB7:AB46),1))</f>
        <v>9454</v>
      </c>
      <c r="U48" s="3960"/>
      <c r="V48" s="3960">
        <f>IF(F1="售价",ROUND(PRODUCT(V47,AC7:AC46),0),ROUND(PRODUCT(V47,AC7:AC46),1))</f>
        <v>9395</v>
      </c>
      <c r="W48" s="3960"/>
      <c r="X48" s="1484"/>
      <c r="Y48" s="1484"/>
      <c r="Z48" s="1484"/>
      <c r="AA48" s="1484"/>
      <c r="AB48" s="1484"/>
      <c r="AC48" s="1484"/>
    </row>
    <row r="49" spans="1:29" ht="15.75" thickBot="1">
      <c r="A49" s="605" t="s">
        <v>2893</v>
      </c>
      <c r="B49" s="606"/>
      <c r="C49" s="2464">
        <f>R49</f>
        <v>9409</v>
      </c>
      <c r="D49" s="2464"/>
      <c r="E49" s="2464"/>
      <c r="F49" s="2464"/>
      <c r="G49" s="2464"/>
      <c r="H49" s="2464"/>
      <c r="I49" s="2464"/>
      <c r="J49" s="2464"/>
      <c r="K49" s="1525"/>
      <c r="L49" s="2012"/>
      <c r="M49" s="2013"/>
      <c r="N49" s="2013"/>
      <c r="O49" s="2013"/>
      <c r="P49" s="3871" t="str">
        <f>A49</f>
        <v>估价对象XX用房的比较价格（楼面单价，元/平方米）</v>
      </c>
      <c r="Q49" s="3872"/>
      <c r="R49" s="3959">
        <f>IF(F1="售价",ROUND(IF(D48="简单平均",AVERAGE(R48:V48),R48*F48+T48*H48+V48*J48),0),ROUND(IF(D48="简单平均",AVERAGE(R48:V48),R48*F48+T48*H48+V48*J48),1))</f>
        <v>9409</v>
      </c>
      <c r="S49" s="3959"/>
      <c r="T49" s="3959"/>
      <c r="U49" s="3959"/>
      <c r="V49" s="3959"/>
      <c r="W49" s="3959"/>
      <c r="X49" s="1484"/>
      <c r="Y49" s="1484"/>
      <c r="Z49" s="1484"/>
      <c r="AA49" s="1484"/>
      <c r="AB49" s="1484"/>
      <c r="AC49" s="1484"/>
    </row>
    <row r="50" spans="1:29">
      <c r="A50" s="3199"/>
      <c r="B50" s="3199"/>
      <c r="C50" s="3307" t="s">
        <v>3783</v>
      </c>
      <c r="D50" s="3199">
        <v>0.94</v>
      </c>
      <c r="E50" s="3199"/>
      <c r="F50" s="3199"/>
      <c r="G50" s="3201"/>
      <c r="H50" s="3199"/>
      <c r="I50" s="3199"/>
      <c r="J50" s="3199"/>
      <c r="K50" s="3202"/>
      <c r="L50" s="2017"/>
      <c r="M50" s="2013"/>
      <c r="N50" s="2013"/>
      <c r="O50" s="2013"/>
      <c r="P50" s="2013"/>
      <c r="Q50" s="2013"/>
      <c r="R50" s="2013"/>
      <c r="S50" s="2013"/>
      <c r="T50" s="2013"/>
      <c r="U50" s="2013"/>
      <c r="V50" s="2013"/>
      <c r="W50" s="2013"/>
      <c r="X50" s="2013"/>
      <c r="Y50" s="2013"/>
      <c r="Z50" s="2013"/>
      <c r="AA50" s="2013"/>
      <c r="AB50" s="2013"/>
      <c r="AC50" s="2013"/>
    </row>
    <row r="51" spans="1:29">
      <c r="A51" s="3199"/>
      <c r="B51" s="3199"/>
      <c r="C51" s="3199"/>
      <c r="D51" s="3199"/>
      <c r="E51" s="3199"/>
      <c r="F51" s="3199"/>
      <c r="G51" s="3199"/>
      <c r="H51" s="3199"/>
      <c r="I51" s="3199"/>
      <c r="J51" s="3199"/>
      <c r="K51" s="3202"/>
      <c r="L51" s="2017"/>
      <c r="M51" s="2013"/>
      <c r="N51" s="2013"/>
      <c r="O51" s="2013"/>
      <c r="P51" s="2013"/>
      <c r="Q51" s="2013"/>
      <c r="R51" s="2013"/>
      <c r="S51" s="2013"/>
      <c r="T51" s="2013"/>
      <c r="U51" s="2013"/>
      <c r="V51" s="2013"/>
      <c r="W51" s="2013"/>
      <c r="X51" s="2013"/>
      <c r="Y51" s="2013"/>
      <c r="Z51" s="2013"/>
      <c r="AA51" s="2013"/>
      <c r="AB51" s="2013"/>
      <c r="AC51" s="2013"/>
    </row>
    <row r="52" spans="1:29" ht="13.5" customHeight="1">
      <c r="A52" s="3199"/>
      <c r="B52" s="3199"/>
      <c r="C52" s="608" t="s">
        <v>551</v>
      </c>
      <c r="D52" s="609"/>
      <c r="E52" s="610">
        <f>IF(E47&lt;E48,E48/E47-1,E47/E48-1)</f>
        <v>0.10246294914169951</v>
      </c>
      <c r="F52" s="611" t="str">
        <f>IF(OR(E52&gt;=0.3,E52&lt;=-0.3),"超过30%","")</f>
        <v/>
      </c>
      <c r="G52" s="610">
        <f>IF(G47&lt;G48,G48/G47-1,G47/G48-1)</f>
        <v>0.14343135180875821</v>
      </c>
      <c r="H52" s="611" t="str">
        <f>IF(OR(G52&gt;=0.3,G52&lt;=-0.3),"超过30%","")</f>
        <v/>
      </c>
      <c r="I52" s="610">
        <f>IF(I47&lt;I48,I48/I47-1,I47/I48-1)</f>
        <v>0.20063863757317724</v>
      </c>
      <c r="J52" s="611" t="str">
        <f>IF(OR(I52&gt;=0.3,I52&lt;=-0.3),"超过30%","")</f>
        <v/>
      </c>
      <c r="K52" s="3202"/>
      <c r="L52" s="2017"/>
      <c r="M52" s="2013"/>
      <c r="N52" s="2013"/>
      <c r="O52" s="2013"/>
      <c r="P52" s="2013"/>
      <c r="Q52" s="2013"/>
      <c r="R52" s="2013"/>
      <c r="S52" s="2013"/>
      <c r="T52" s="2013"/>
      <c r="U52" s="2013"/>
      <c r="V52" s="2013"/>
      <c r="W52" s="2013"/>
      <c r="X52" s="2013"/>
      <c r="Y52" s="2013"/>
      <c r="Z52" s="2013"/>
      <c r="AA52" s="2013"/>
      <c r="AB52" s="2013"/>
      <c r="AC52" s="2013"/>
    </row>
    <row r="53" spans="1:29" ht="13.5" customHeight="1">
      <c r="A53" s="3199"/>
      <c r="B53" s="3199"/>
      <c r="C53" s="608" t="s">
        <v>552</v>
      </c>
      <c r="D53" s="612"/>
      <c r="E53" s="610">
        <f>IF(E48&lt;G48,G48/E48-1,E48/G48-1)</f>
        <v>7.9965881224011159E-3</v>
      </c>
      <c r="F53" s="611" t="str">
        <f>IF(OR(E53&gt;=0.2,E53&lt;=-0.2),"超过20%","")</f>
        <v/>
      </c>
      <c r="G53" s="610">
        <f>IF(G48&lt;I48,I48/G48-1,G48/I48-1)</f>
        <v>6.2799361362426698E-3</v>
      </c>
      <c r="H53" s="611" t="str">
        <f>IF(OR(G53&gt;=0.2,G53&lt;=-0.2),"超过20%","")</f>
        <v/>
      </c>
      <c r="I53" s="610">
        <f>IF(I48&lt;E48,E48/I48-1,I48/E48-1)</f>
        <v>1.7059387994455832E-3</v>
      </c>
      <c r="J53" s="611" t="str">
        <f>IF(OR(I53&gt;=0.2,I53&lt;=-0.2),"超过20%","")</f>
        <v/>
      </c>
      <c r="K53" s="3202"/>
      <c r="L53" s="2017"/>
      <c r="M53" s="2013"/>
      <c r="N53" s="2013"/>
      <c r="O53" s="2013"/>
      <c r="P53" s="2013"/>
      <c r="Q53" s="2013"/>
      <c r="R53" s="2013"/>
      <c r="S53" s="2013"/>
      <c r="T53" s="2013"/>
      <c r="U53" s="2013"/>
      <c r="V53" s="2013"/>
      <c r="W53" s="2013"/>
      <c r="X53" s="2013"/>
      <c r="Y53" s="2013"/>
      <c r="Z53" s="2013"/>
      <c r="AA53" s="2013"/>
      <c r="AB53" s="2013"/>
      <c r="AC53" s="2013"/>
    </row>
    <row r="54" spans="1:29" s="1288" customFormat="1" ht="13.5" customHeight="1">
      <c r="A54" s="3200"/>
      <c r="B54" s="3200"/>
      <c r="C54" s="608" t="s">
        <v>553</v>
      </c>
      <c r="D54" s="612"/>
      <c r="E54" s="610">
        <f>IF(E47&lt;G47,G47/E47-1,E47/G47-1)</f>
        <v>4.5454545454545414E-2</v>
      </c>
      <c r="F54" s="611" t="str">
        <f>IF(OR(E54&gt;=0.3,E54&lt;=-0.3),"超过30%","")</f>
        <v/>
      </c>
      <c r="G54" s="610">
        <f>IF(G47&lt;I47,I47/G47-1,G47/I47-1)</f>
        <v>4.3478260869565188E-2</v>
      </c>
      <c r="H54" s="611" t="str">
        <f>IF(OR(G54&gt;=0.3,G54&lt;=-0.3),"超过30%","")</f>
        <v/>
      </c>
      <c r="I54" s="610">
        <f>IF(I47&lt;E47,E47/I47-1,I47/E47-1)</f>
        <v>9.0909090909090828E-2</v>
      </c>
      <c r="J54" s="611" t="str">
        <f>IF(OR(I54&gt;=0.3,I54&lt;=-0.3),"超过30%","")</f>
        <v/>
      </c>
      <c r="K54" s="3203"/>
      <c r="L54" s="2020"/>
      <c r="M54" s="2014"/>
      <c r="N54" s="2014"/>
      <c r="O54" s="2014"/>
      <c r="P54" s="2014"/>
      <c r="Q54" s="2014"/>
      <c r="R54" s="2014"/>
      <c r="S54" s="2014"/>
      <c r="T54" s="2014"/>
      <c r="U54" s="2014"/>
      <c r="V54" s="2014"/>
      <c r="W54" s="2014"/>
      <c r="X54" s="2014"/>
      <c r="Y54" s="2014"/>
      <c r="Z54" s="2014"/>
      <c r="AA54" s="2014"/>
      <c r="AB54" s="2014"/>
      <c r="AC54" s="2014"/>
    </row>
    <row r="55" spans="1:29" s="1288" customFormat="1">
      <c r="A55" s="2014"/>
      <c r="B55" s="2015"/>
      <c r="C55" s="2018"/>
      <c r="D55" s="2014"/>
      <c r="E55" s="2014"/>
      <c r="F55" s="2014"/>
      <c r="G55" s="2014"/>
      <c r="H55" s="2014"/>
      <c r="I55" s="2014"/>
      <c r="J55" s="2014"/>
      <c r="K55" s="2019"/>
      <c r="L55" s="2020"/>
      <c r="M55" s="2014"/>
      <c r="N55" s="2014"/>
      <c r="O55" s="2014"/>
      <c r="P55" s="2014"/>
      <c r="Q55" s="2014"/>
      <c r="R55" s="2014"/>
      <c r="S55" s="2014"/>
      <c r="T55" s="2014"/>
      <c r="U55" s="2014"/>
      <c r="V55" s="2014"/>
      <c r="W55" s="2014"/>
      <c r="X55" s="2014"/>
      <c r="Y55" s="2014"/>
      <c r="Z55" s="2014"/>
      <c r="AA55" s="2014"/>
      <c r="AB55" s="2014"/>
      <c r="AC55" s="2014"/>
    </row>
    <row r="56" spans="1:29">
      <c r="A56" s="2013"/>
      <c r="B56" s="2015"/>
      <c r="C56" s="2018"/>
      <c r="D56" s="2015"/>
      <c r="E56" s="2015"/>
      <c r="F56" s="2015"/>
      <c r="G56" s="2015"/>
      <c r="H56" s="2015"/>
      <c r="I56" s="2015"/>
      <c r="J56" s="2015"/>
      <c r="K56" s="2015"/>
      <c r="L56" s="2015"/>
      <c r="M56" s="2015"/>
      <c r="N56" s="2015"/>
      <c r="O56" s="2015"/>
      <c r="P56" s="2013"/>
      <c r="Q56" s="2013"/>
      <c r="R56" s="2013"/>
      <c r="S56" s="2013"/>
      <c r="T56" s="2013"/>
      <c r="U56" s="2013"/>
      <c r="V56" s="2013"/>
      <c r="W56" s="2013"/>
      <c r="X56" s="2013"/>
      <c r="Y56" s="2013"/>
      <c r="Z56" s="2013"/>
      <c r="AA56" s="2013"/>
      <c r="AB56" s="2013"/>
      <c r="AC56" s="2013"/>
    </row>
    <row r="57" spans="1:29" ht="21.75" thickBot="1">
      <c r="A57" s="1506" t="s">
        <v>568</v>
      </c>
      <c r="B57" s="1484"/>
      <c r="C57" s="1505"/>
      <c r="D57" s="1505"/>
      <c r="E57" s="1505"/>
      <c r="F57" s="1507"/>
      <c r="G57" s="1507"/>
      <c r="H57" s="1505"/>
      <c r="I57" s="1505"/>
      <c r="J57" s="1505"/>
      <c r="K57" s="1508"/>
      <c r="L57" s="1504"/>
      <c r="M57" s="1505"/>
      <c r="N57" s="2024"/>
      <c r="O57" s="2024"/>
      <c r="P57" s="2024"/>
      <c r="Q57" s="2025"/>
      <c r="R57" s="2013"/>
      <c r="S57" s="2013"/>
      <c r="T57" s="2013"/>
      <c r="U57" s="2013"/>
      <c r="V57" s="2013"/>
      <c r="W57" s="2013"/>
      <c r="X57" s="2013"/>
      <c r="Y57" s="2013"/>
      <c r="Z57" s="2013"/>
      <c r="AA57" s="2013"/>
      <c r="AB57" s="2013"/>
      <c r="AC57" s="2013"/>
    </row>
    <row r="58" spans="1:29" s="1290" customFormat="1" ht="15">
      <c r="A58" s="629" t="s">
        <v>523</v>
      </c>
      <c r="B58" s="630"/>
      <c r="C58" s="2507" t="str">
        <f>YEAR(C7)&amp;"-"&amp;MONTH(C7)</f>
        <v>2020-12</v>
      </c>
      <c r="D58" s="2507">
        <f>EDATE(C58,-1)</f>
        <v>44136</v>
      </c>
      <c r="E58" s="2507">
        <f t="shared" ref="E58:O58" si="16">EDATE(D58,-1)</f>
        <v>44105</v>
      </c>
      <c r="F58" s="2507">
        <f t="shared" si="16"/>
        <v>44075</v>
      </c>
      <c r="G58" s="2507">
        <f t="shared" si="16"/>
        <v>44044</v>
      </c>
      <c r="H58" s="2507">
        <f t="shared" si="16"/>
        <v>44013</v>
      </c>
      <c r="I58" s="2507">
        <f t="shared" si="16"/>
        <v>43983</v>
      </c>
      <c r="J58" s="2507">
        <f t="shared" si="16"/>
        <v>43952</v>
      </c>
      <c r="K58" s="2507">
        <f t="shared" si="16"/>
        <v>43922</v>
      </c>
      <c r="L58" s="2507">
        <f t="shared" si="16"/>
        <v>43891</v>
      </c>
      <c r="M58" s="2507">
        <f t="shared" si="16"/>
        <v>43862</v>
      </c>
      <c r="N58" s="2507">
        <f t="shared" si="16"/>
        <v>43831</v>
      </c>
      <c r="O58" s="2507">
        <f t="shared" si="16"/>
        <v>43800</v>
      </c>
      <c r="P58" s="2027"/>
      <c r="Q58" s="2028"/>
      <c r="R58" s="2028"/>
      <c r="S58" s="2028"/>
      <c r="T58" s="2028"/>
      <c r="U58" s="2028"/>
      <c r="V58" s="2028"/>
      <c r="W58" s="2028"/>
      <c r="X58" s="2028"/>
      <c r="Y58" s="2028"/>
      <c r="Z58" s="2028"/>
      <c r="AA58" s="2028"/>
      <c r="AB58" s="2028"/>
      <c r="AC58" s="2028"/>
    </row>
    <row r="59" spans="1:29" s="1194" customFormat="1" ht="15">
      <c r="A59" s="631"/>
      <c r="B59" s="632"/>
      <c r="C59" s="633">
        <v>100</v>
      </c>
      <c r="D59" s="634">
        <v>100</v>
      </c>
      <c r="E59" s="634">
        <v>100</v>
      </c>
      <c r="F59" s="634">
        <v>100</v>
      </c>
      <c r="G59" s="634">
        <v>100</v>
      </c>
      <c r="H59" s="634">
        <v>100</v>
      </c>
      <c r="I59" s="634">
        <v>100</v>
      </c>
      <c r="J59" s="634">
        <v>100</v>
      </c>
      <c r="K59" s="634">
        <v>100</v>
      </c>
      <c r="L59" s="634">
        <v>100</v>
      </c>
      <c r="M59" s="634">
        <v>100</v>
      </c>
      <c r="N59" s="634"/>
      <c r="O59" s="634"/>
      <c r="P59" s="2025"/>
      <c r="Q59" s="1891"/>
      <c r="R59" s="1891"/>
      <c r="S59" s="1891"/>
      <c r="T59" s="1891"/>
      <c r="U59" s="1891"/>
      <c r="V59" s="1891"/>
      <c r="W59" s="1891"/>
      <c r="X59" s="1891"/>
      <c r="Y59" s="1891"/>
      <c r="Z59" s="1891"/>
      <c r="AA59" s="1891"/>
      <c r="AB59" s="1891"/>
      <c r="AC59" s="1891"/>
    </row>
    <row r="60" spans="1:29" s="1194" customFormat="1" ht="15.75" thickBot="1">
      <c r="A60" s="637" t="s">
        <v>569</v>
      </c>
      <c r="B60" s="638"/>
      <c r="C60" s="639"/>
      <c r="D60" s="640"/>
      <c r="E60" s="640"/>
      <c r="F60" s="640"/>
      <c r="G60" s="640"/>
      <c r="H60" s="640"/>
      <c r="I60" s="640"/>
      <c r="J60" s="640"/>
      <c r="K60" s="640"/>
      <c r="L60" s="640"/>
      <c r="M60" s="641"/>
      <c r="N60" s="640"/>
      <c r="O60" s="642"/>
      <c r="P60" s="2025"/>
      <c r="Q60" s="2025"/>
      <c r="R60" s="1891"/>
      <c r="S60" s="1891"/>
      <c r="T60" s="1891"/>
      <c r="U60" s="1891"/>
      <c r="V60" s="1891"/>
      <c r="W60" s="1891"/>
      <c r="X60" s="1891"/>
      <c r="Y60" s="1891"/>
      <c r="Z60" s="1891"/>
      <c r="AA60" s="1891"/>
      <c r="AB60" s="1891"/>
      <c r="AC60" s="1891"/>
    </row>
    <row r="61" spans="1:29" s="1194" customFormat="1" ht="15">
      <c r="A61" s="643" t="s">
        <v>525</v>
      </c>
      <c r="B61" s="632"/>
      <c r="C61" s="644" t="s">
        <v>570</v>
      </c>
      <c r="D61" s="645"/>
      <c r="E61" s="645"/>
      <c r="F61" s="645"/>
      <c r="G61" s="645"/>
      <c r="H61" s="645"/>
      <c r="I61" s="645"/>
      <c r="J61" s="645"/>
      <c r="K61" s="645"/>
      <c r="L61" s="646"/>
      <c r="M61" s="647"/>
      <c r="N61" s="2029"/>
      <c r="O61" s="2029"/>
      <c r="P61" s="2030"/>
      <c r="Q61" s="2025"/>
      <c r="R61" s="1891"/>
      <c r="S61" s="1891"/>
      <c r="T61" s="1891"/>
      <c r="U61" s="1891"/>
      <c r="V61" s="1891"/>
      <c r="W61" s="1891"/>
      <c r="X61" s="1891"/>
      <c r="Y61" s="1891"/>
      <c r="Z61" s="1891"/>
      <c r="AA61" s="1891"/>
      <c r="AB61" s="1891"/>
      <c r="AC61" s="1891"/>
    </row>
    <row r="62" spans="1:29" s="1194" customFormat="1" ht="15.75" thickBot="1">
      <c r="A62" s="643"/>
      <c r="B62" s="632"/>
      <c r="C62" s="870">
        <v>100</v>
      </c>
      <c r="D62" s="634"/>
      <c r="E62" s="634"/>
      <c r="F62" s="634"/>
      <c r="G62" s="634"/>
      <c r="H62" s="634"/>
      <c r="I62" s="634"/>
      <c r="J62" s="634"/>
      <c r="K62" s="634"/>
      <c r="L62" s="634"/>
      <c r="M62" s="636"/>
      <c r="N62" s="2029"/>
      <c r="O62" s="2029"/>
      <c r="P62" s="2025"/>
      <c r="Q62" s="2025"/>
      <c r="R62" s="1891"/>
      <c r="S62" s="1891"/>
      <c r="T62" s="1891"/>
      <c r="U62" s="1891"/>
      <c r="V62" s="1891"/>
      <c r="W62" s="1891"/>
      <c r="X62" s="1891"/>
      <c r="Y62" s="1891"/>
      <c r="Z62" s="1891"/>
      <c r="AA62" s="1891"/>
      <c r="AB62" s="1891"/>
      <c r="AC62" s="1891"/>
    </row>
    <row r="63" spans="1:29">
      <c r="A63" s="648" t="s">
        <v>571</v>
      </c>
      <c r="B63" s="649" t="s">
        <v>528</v>
      </c>
      <c r="C63" s="688" t="str">
        <f>C9</f>
        <v>住宅</v>
      </c>
      <c r="D63" s="584"/>
      <c r="E63" s="584"/>
      <c r="F63" s="584"/>
      <c r="G63" s="584"/>
      <c r="H63" s="584"/>
      <c r="I63" s="584"/>
      <c r="J63" s="584"/>
      <c r="K63" s="650"/>
      <c r="L63" s="651"/>
      <c r="M63" s="652"/>
      <c r="N63" s="2031"/>
      <c r="O63" s="2031"/>
      <c r="P63" s="2032"/>
      <c r="Q63" s="2025"/>
      <c r="R63" s="2013"/>
      <c r="S63" s="2013"/>
      <c r="T63" s="2013"/>
      <c r="U63" s="2013"/>
      <c r="V63" s="2013"/>
      <c r="W63" s="2013"/>
      <c r="X63" s="2013"/>
      <c r="Y63" s="2013"/>
      <c r="Z63" s="2013"/>
      <c r="AA63" s="2013"/>
      <c r="AB63" s="2013"/>
      <c r="AC63" s="2013"/>
    </row>
    <row r="64" spans="1:29" ht="15.75" thickBot="1">
      <c r="A64" s="653"/>
      <c r="B64" s="654"/>
      <c r="C64" s="655"/>
      <c r="D64" s="655"/>
      <c r="E64" s="1526"/>
      <c r="F64" s="1526"/>
      <c r="G64" s="1526"/>
      <c r="H64" s="1526"/>
      <c r="I64" s="1526"/>
      <c r="J64" s="1526"/>
      <c r="K64" s="1526"/>
      <c r="L64" s="1526"/>
      <c r="M64" s="1527"/>
      <c r="N64" s="2033"/>
      <c r="O64" s="2033"/>
      <c r="P64" s="2032"/>
      <c r="Q64" s="2025"/>
      <c r="R64" s="2013"/>
      <c r="S64" s="2013"/>
      <c r="T64" s="2013"/>
      <c r="U64" s="2013"/>
      <c r="V64" s="2013"/>
      <c r="W64" s="2013"/>
      <c r="X64" s="2013"/>
      <c r="Y64" s="2013"/>
      <c r="Z64" s="2013"/>
      <c r="AA64" s="2013"/>
      <c r="AB64" s="2013"/>
      <c r="AC64" s="2013"/>
    </row>
    <row r="65" spans="1:29" ht="27.75" thickTop="1">
      <c r="A65" s="653"/>
      <c r="B65" s="657" t="s">
        <v>531</v>
      </c>
      <c r="C65" s="658" t="s">
        <v>731</v>
      </c>
      <c r="D65" s="658" t="s">
        <v>732</v>
      </c>
      <c r="E65" s="658" t="s">
        <v>733</v>
      </c>
      <c r="F65" s="658" t="s">
        <v>734</v>
      </c>
      <c r="G65" s="658" t="s">
        <v>735</v>
      </c>
      <c r="H65" s="658" t="s">
        <v>736</v>
      </c>
      <c r="I65" s="658" t="s">
        <v>737</v>
      </c>
      <c r="J65" s="658"/>
      <c r="K65" s="659"/>
      <c r="L65" s="660"/>
      <c r="M65" s="661"/>
      <c r="N65" s="2031"/>
      <c r="O65" s="2031"/>
      <c r="P65" s="2032"/>
      <c r="Q65" s="2025"/>
      <c r="R65" s="2013"/>
      <c r="S65" s="2013"/>
      <c r="T65" s="2013"/>
      <c r="U65" s="2013"/>
      <c r="V65" s="2013"/>
      <c r="W65" s="2013"/>
      <c r="X65" s="2013"/>
      <c r="Y65" s="2013"/>
      <c r="Z65" s="2013"/>
      <c r="AA65" s="2013"/>
      <c r="AB65" s="2013"/>
      <c r="AC65" s="2013"/>
    </row>
    <row r="66" spans="1:29" ht="15.75" thickBot="1">
      <c r="A66" s="653"/>
      <c r="B66" s="662"/>
      <c r="C66" s="663">
        <v>100</v>
      </c>
      <c r="D66" s="663">
        <f t="shared" ref="D66:I66" si="17">C66-$K10</f>
        <v>100</v>
      </c>
      <c r="E66" s="663">
        <f t="shared" si="17"/>
        <v>100</v>
      </c>
      <c r="F66" s="663">
        <f t="shared" si="17"/>
        <v>100</v>
      </c>
      <c r="G66" s="663">
        <f t="shared" si="17"/>
        <v>100</v>
      </c>
      <c r="H66" s="663">
        <f t="shared" si="17"/>
        <v>100</v>
      </c>
      <c r="I66" s="663">
        <f t="shared" si="17"/>
        <v>100</v>
      </c>
      <c r="J66" s="663"/>
      <c r="K66" s="663"/>
      <c r="L66" s="663"/>
      <c r="M66" s="664"/>
      <c r="N66" s="2033"/>
      <c r="O66" s="2033"/>
      <c r="P66" s="2032"/>
      <c r="Q66" s="2025"/>
      <c r="R66" s="2013"/>
      <c r="S66" s="2013"/>
      <c r="T66" s="2013"/>
      <c r="U66" s="2013"/>
      <c r="V66" s="2013"/>
      <c r="W66" s="2013"/>
      <c r="X66" s="2013"/>
      <c r="Y66" s="2013"/>
      <c r="Z66" s="2013"/>
      <c r="AA66" s="2013"/>
      <c r="AB66" s="2013"/>
      <c r="AC66" s="2013"/>
    </row>
    <row r="67" spans="1:29" ht="15.75" thickTop="1">
      <c r="A67" s="653"/>
      <c r="B67" s="665" t="s">
        <v>532</v>
      </c>
      <c r="C67" s="666" t="str">
        <f>C68&amp;"（含）"&amp;"-"&amp;D68</f>
        <v>0（含）-</v>
      </c>
      <c r="D67" s="666" t="str">
        <f t="shared" ref="D67:L67" si="18">D68&amp;"（含）"&amp;"-"&amp;E68</f>
        <v>（含）-</v>
      </c>
      <c r="E67" s="666" t="str">
        <f t="shared" si="18"/>
        <v>（含）-</v>
      </c>
      <c r="F67" s="666" t="str">
        <f t="shared" si="18"/>
        <v>（含）-</v>
      </c>
      <c r="G67" s="666" t="str">
        <f t="shared" si="18"/>
        <v>（含）-</v>
      </c>
      <c r="H67" s="666" t="str">
        <f t="shared" si="18"/>
        <v>（含）-</v>
      </c>
      <c r="I67" s="666" t="str">
        <f t="shared" si="18"/>
        <v>（含）-</v>
      </c>
      <c r="J67" s="666" t="str">
        <f t="shared" si="18"/>
        <v>（含）-</v>
      </c>
      <c r="K67" s="666" t="str">
        <f t="shared" si="18"/>
        <v>（含）-</v>
      </c>
      <c r="L67" s="666" t="str">
        <f t="shared" si="18"/>
        <v>（含）-</v>
      </c>
      <c r="M67" s="541" t="str">
        <f>M68&amp;"（含）"&amp;"-"&amp;P68</f>
        <v>（含）-</v>
      </c>
      <c r="N67" s="2033"/>
      <c r="O67" s="2033"/>
      <c r="P67" s="2032"/>
      <c r="Q67" s="2025"/>
      <c r="R67" s="2013"/>
      <c r="S67" s="2013"/>
      <c r="T67" s="2013"/>
      <c r="U67" s="2013"/>
      <c r="V67" s="2013"/>
      <c r="W67" s="2013"/>
      <c r="X67" s="2013"/>
      <c r="Y67" s="2013"/>
      <c r="Z67" s="2013"/>
      <c r="AA67" s="2013"/>
      <c r="AB67" s="2013"/>
      <c r="AC67" s="2013"/>
    </row>
    <row r="68" spans="1:29" ht="15">
      <c r="A68" s="653"/>
      <c r="B68" s="667"/>
      <c r="C68" s="527">
        <v>0</v>
      </c>
      <c r="D68" s="527"/>
      <c r="E68" s="527"/>
      <c r="F68" s="527"/>
      <c r="G68" s="527"/>
      <c r="H68" s="527"/>
      <c r="I68" s="527"/>
      <c r="J68" s="527"/>
      <c r="K68" s="668"/>
      <c r="L68" s="669"/>
      <c r="M68" s="670"/>
      <c r="N68" s="2031"/>
      <c r="O68" s="2031"/>
      <c r="P68" s="2032"/>
      <c r="Q68" s="2025"/>
      <c r="R68" s="2013"/>
      <c r="S68" s="2013"/>
      <c r="T68" s="2013"/>
      <c r="U68" s="2013"/>
      <c r="V68" s="2013"/>
      <c r="W68" s="2013"/>
      <c r="X68" s="2013"/>
      <c r="Y68" s="2013"/>
      <c r="Z68" s="2013"/>
      <c r="AA68" s="2013"/>
      <c r="AB68" s="2013"/>
      <c r="AC68" s="2013"/>
    </row>
    <row r="69" spans="1:29" ht="15.75" thickBot="1">
      <c r="A69" s="653"/>
      <c r="B69" s="654"/>
      <c r="C69" s="663">
        <v>100</v>
      </c>
      <c r="D69" s="663">
        <f t="shared" ref="D69:M69" si="19">C69-$K11</f>
        <v>100</v>
      </c>
      <c r="E69" s="663">
        <f t="shared" si="19"/>
        <v>100</v>
      </c>
      <c r="F69" s="663">
        <f t="shared" si="19"/>
        <v>100</v>
      </c>
      <c r="G69" s="663">
        <f t="shared" si="19"/>
        <v>100</v>
      </c>
      <c r="H69" s="663">
        <f t="shared" si="19"/>
        <v>100</v>
      </c>
      <c r="I69" s="663">
        <f t="shared" si="19"/>
        <v>100</v>
      </c>
      <c r="J69" s="663">
        <f t="shared" si="19"/>
        <v>100</v>
      </c>
      <c r="K69" s="663">
        <f t="shared" si="19"/>
        <v>100</v>
      </c>
      <c r="L69" s="663">
        <f t="shared" si="19"/>
        <v>100</v>
      </c>
      <c r="M69" s="664">
        <f t="shared" si="19"/>
        <v>100</v>
      </c>
      <c r="N69" s="2033"/>
      <c r="O69" s="2033"/>
      <c r="P69" s="2032"/>
      <c r="Q69" s="2025"/>
      <c r="R69" s="2013"/>
      <c r="S69" s="2013"/>
      <c r="T69" s="2013"/>
      <c r="U69" s="2013"/>
      <c r="V69" s="2013"/>
      <c r="W69" s="2013"/>
      <c r="X69" s="2013"/>
      <c r="Y69" s="2013"/>
      <c r="Z69" s="2013"/>
      <c r="AA69" s="2013"/>
      <c r="AB69" s="2013"/>
      <c r="AC69" s="2013"/>
    </row>
    <row r="70" spans="1:29" s="1283" customFormat="1" ht="15.75" thickTop="1">
      <c r="A70" s="671"/>
      <c r="B70" s="657">
        <f>B12</f>
        <v>0</v>
      </c>
      <c r="C70" s="672"/>
      <c r="D70" s="672"/>
      <c r="E70" s="672"/>
      <c r="F70" s="672"/>
      <c r="G70" s="672"/>
      <c r="H70" s="673"/>
      <c r="I70" s="673"/>
      <c r="J70" s="673"/>
      <c r="K70" s="673"/>
      <c r="L70" s="674"/>
      <c r="M70" s="675"/>
      <c r="N70" s="2034"/>
      <c r="O70" s="2034"/>
      <c r="P70" s="2035"/>
      <c r="Q70" s="2036"/>
      <c r="R70" s="2037"/>
      <c r="S70" s="2037"/>
      <c r="T70" s="2037"/>
      <c r="U70" s="2037"/>
      <c r="V70" s="2037"/>
      <c r="W70" s="2037"/>
      <c r="X70" s="2037"/>
      <c r="Y70" s="2037"/>
      <c r="Z70" s="2037"/>
      <c r="AA70" s="2037"/>
      <c r="AB70" s="2037"/>
      <c r="AC70" s="2037"/>
    </row>
    <row r="71" spans="1:29" s="1283" customFormat="1" ht="15.75" thickBot="1">
      <c r="A71" s="671"/>
      <c r="B71" s="662"/>
      <c r="C71" s="676"/>
      <c r="D71" s="655"/>
      <c r="E71" s="655"/>
      <c r="F71" s="655"/>
      <c r="G71" s="655"/>
      <c r="H71" s="655"/>
      <c r="I71" s="655"/>
      <c r="J71" s="655"/>
      <c r="K71" s="655"/>
      <c r="L71" s="655"/>
      <c r="M71" s="656"/>
      <c r="N71" s="2033"/>
      <c r="O71" s="2033"/>
      <c r="P71" s="2035"/>
      <c r="Q71" s="2036"/>
      <c r="R71" s="2037"/>
      <c r="S71" s="2037"/>
      <c r="T71" s="2037"/>
      <c r="U71" s="2037"/>
      <c r="V71" s="2037"/>
      <c r="W71" s="2037"/>
      <c r="X71" s="2037"/>
      <c r="Y71" s="2037"/>
      <c r="Z71" s="2037"/>
      <c r="AA71" s="2037"/>
      <c r="AB71" s="2037"/>
      <c r="AC71" s="2037"/>
    </row>
    <row r="72" spans="1:29" s="1283" customFormat="1" ht="15.75" thickTop="1">
      <c r="A72" s="671"/>
      <c r="B72" s="657">
        <f>B13</f>
        <v>0</v>
      </c>
      <c r="C72" s="672"/>
      <c r="D72" s="672"/>
      <c r="E72" s="672"/>
      <c r="F72" s="672"/>
      <c r="G72" s="672"/>
      <c r="H72" s="673"/>
      <c r="I72" s="673"/>
      <c r="J72" s="673"/>
      <c r="K72" s="673"/>
      <c r="L72" s="674"/>
      <c r="M72" s="675"/>
      <c r="N72" s="2034"/>
      <c r="O72" s="2034"/>
      <c r="P72" s="2038"/>
      <c r="Q72" s="2039"/>
      <c r="R72" s="2037"/>
      <c r="S72" s="2037"/>
      <c r="T72" s="2037"/>
      <c r="U72" s="2037"/>
      <c r="V72" s="2037"/>
      <c r="W72" s="2037"/>
      <c r="X72" s="2037"/>
      <c r="Y72" s="2037"/>
      <c r="Z72" s="2037"/>
      <c r="AA72" s="2037"/>
      <c r="AB72" s="2037"/>
      <c r="AC72" s="2037"/>
    </row>
    <row r="73" spans="1:29" s="1283" customFormat="1" ht="15.75" thickBot="1">
      <c r="A73" s="671"/>
      <c r="B73" s="662"/>
      <c r="C73" s="676"/>
      <c r="D73" s="676"/>
      <c r="E73" s="676"/>
      <c r="F73" s="676"/>
      <c r="G73" s="676"/>
      <c r="H73" s="677"/>
      <c r="I73" s="677"/>
      <c r="J73" s="677"/>
      <c r="K73" s="677"/>
      <c r="L73" s="677"/>
      <c r="M73" s="678"/>
      <c r="N73" s="2034"/>
      <c r="O73" s="2034"/>
      <c r="P73" s="2035"/>
      <c r="Q73" s="2036"/>
      <c r="R73" s="2037"/>
      <c r="S73" s="2037"/>
      <c r="T73" s="2037"/>
      <c r="U73" s="2037"/>
      <c r="V73" s="2037"/>
      <c r="W73" s="2037"/>
      <c r="X73" s="2037"/>
      <c r="Y73" s="2037"/>
      <c r="Z73" s="2037"/>
      <c r="AA73" s="2037"/>
      <c r="AB73" s="2037"/>
      <c r="AC73" s="2037"/>
    </row>
    <row r="74" spans="1:29" s="1283" customFormat="1" ht="15.75" thickTop="1">
      <c r="A74" s="671"/>
      <c r="B74" s="665">
        <f>B14</f>
        <v>0</v>
      </c>
      <c r="C74" s="672"/>
      <c r="D74" s="672"/>
      <c r="E74" s="672"/>
      <c r="F74" s="672"/>
      <c r="G74" s="645"/>
      <c r="H74" s="679"/>
      <c r="I74" s="679"/>
      <c r="J74" s="679"/>
      <c r="K74" s="679"/>
      <c r="L74" s="680"/>
      <c r="M74" s="681"/>
      <c r="N74" s="2034"/>
      <c r="O74" s="2034"/>
      <c r="P74" s="2040"/>
      <c r="Q74" s="2036"/>
      <c r="R74" s="2037"/>
      <c r="S74" s="2037"/>
      <c r="T74" s="2037"/>
      <c r="U74" s="2037"/>
      <c r="V74" s="2037"/>
      <c r="W74" s="2037"/>
      <c r="X74" s="2037"/>
      <c r="Y74" s="2037"/>
      <c r="Z74" s="2037"/>
      <c r="AA74" s="2037"/>
      <c r="AB74" s="2037"/>
      <c r="AC74" s="2037"/>
    </row>
    <row r="75" spans="1:29" s="1283" customFormat="1" ht="15.75" thickBot="1">
      <c r="A75" s="682"/>
      <c r="B75" s="683"/>
      <c r="C75" s="684"/>
      <c r="D75" s="684"/>
      <c r="E75" s="684"/>
      <c r="F75" s="684"/>
      <c r="G75" s="684"/>
      <c r="H75" s="685"/>
      <c r="I75" s="685"/>
      <c r="J75" s="685"/>
      <c r="K75" s="685"/>
      <c r="L75" s="685"/>
      <c r="M75" s="686"/>
      <c r="N75" s="2034"/>
      <c r="O75" s="2034"/>
      <c r="P75" s="2035"/>
      <c r="Q75" s="2036"/>
      <c r="R75" s="2037"/>
      <c r="S75" s="2037"/>
      <c r="T75" s="2037"/>
      <c r="U75" s="2037"/>
      <c r="V75" s="2037"/>
      <c r="W75" s="2037"/>
      <c r="X75" s="2037"/>
      <c r="Y75" s="2037"/>
      <c r="Z75" s="2037"/>
      <c r="AA75" s="2037"/>
      <c r="AB75" s="2037"/>
      <c r="AC75" s="2037"/>
    </row>
    <row r="76" spans="1:29">
      <c r="A76" s="648" t="s">
        <v>533</v>
      </c>
      <c r="B76" s="649" t="s">
        <v>572</v>
      </c>
      <c r="C76" s="687" t="s">
        <v>573</v>
      </c>
      <c r="D76" s="687" t="s">
        <v>574</v>
      </c>
      <c r="E76" s="687" t="s">
        <v>575</v>
      </c>
      <c r="F76" s="687" t="s">
        <v>576</v>
      </c>
      <c r="G76" s="687" t="s">
        <v>577</v>
      </c>
      <c r="H76" s="688"/>
      <c r="I76" s="688"/>
      <c r="J76" s="688"/>
      <c r="K76" s="689"/>
      <c r="L76" s="690"/>
      <c r="M76" s="691"/>
      <c r="N76" s="2031"/>
      <c r="O76" s="2031"/>
      <c r="P76" s="2041"/>
      <c r="Q76" s="2025"/>
      <c r="R76" s="2013"/>
      <c r="S76" s="2013"/>
      <c r="T76" s="2013"/>
      <c r="U76" s="2013"/>
      <c r="V76" s="2013"/>
      <c r="W76" s="2013"/>
      <c r="X76" s="2013"/>
      <c r="Y76" s="2013"/>
      <c r="Z76" s="2013"/>
      <c r="AA76" s="2013"/>
      <c r="AB76" s="2013"/>
      <c r="AC76" s="2013"/>
    </row>
    <row r="77" spans="1:29" ht="15.75" thickBot="1">
      <c r="A77" s="653"/>
      <c r="B77" s="662"/>
      <c r="C77" s="663">
        <v>100</v>
      </c>
      <c r="D77" s="663">
        <f>C77-$K15</f>
        <v>95</v>
      </c>
      <c r="E77" s="663">
        <f>D77-$K15</f>
        <v>90</v>
      </c>
      <c r="F77" s="663">
        <f>E77-$K15</f>
        <v>85</v>
      </c>
      <c r="G77" s="663">
        <f>F77-$K15</f>
        <v>80</v>
      </c>
      <c r="H77" s="663"/>
      <c r="I77" s="663"/>
      <c r="J77" s="663"/>
      <c r="K77" s="663"/>
      <c r="L77" s="663"/>
      <c r="M77" s="664"/>
      <c r="N77" s="2033"/>
      <c r="O77" s="2033"/>
      <c r="P77" s="2032"/>
      <c r="Q77" s="2025"/>
      <c r="R77" s="2013"/>
      <c r="S77" s="2013"/>
      <c r="T77" s="2013"/>
      <c r="U77" s="2013"/>
      <c r="V77" s="2013"/>
      <c r="W77" s="2013"/>
      <c r="X77" s="2013"/>
      <c r="Y77" s="2013"/>
      <c r="Z77" s="2013"/>
      <c r="AA77" s="2013"/>
      <c r="AB77" s="2013"/>
      <c r="AC77" s="2013"/>
    </row>
    <row r="78" spans="1:29" ht="15.75" thickTop="1">
      <c r="A78" s="653"/>
      <c r="B78" s="657" t="s">
        <v>580</v>
      </c>
      <c r="C78" s="692" t="s">
        <v>573</v>
      </c>
      <c r="D78" s="692" t="s">
        <v>574</v>
      </c>
      <c r="E78" s="692" t="s">
        <v>575</v>
      </c>
      <c r="F78" s="692" t="s">
        <v>576</v>
      </c>
      <c r="G78" s="692" t="s">
        <v>577</v>
      </c>
      <c r="H78" s="658"/>
      <c r="I78" s="658"/>
      <c r="J78" s="658"/>
      <c r="K78" s="659"/>
      <c r="L78" s="660"/>
      <c r="M78" s="661"/>
      <c r="N78" s="2031"/>
      <c r="O78" s="2031"/>
      <c r="P78" s="2032"/>
      <c r="Q78" s="2025"/>
      <c r="R78" s="2013"/>
      <c r="S78" s="2013"/>
      <c r="T78" s="2013"/>
      <c r="U78" s="2013"/>
      <c r="V78" s="2013"/>
      <c r="W78" s="2013"/>
      <c r="X78" s="2013"/>
      <c r="Y78" s="2013"/>
      <c r="Z78" s="2013"/>
      <c r="AA78" s="2013"/>
      <c r="AB78" s="2013"/>
      <c r="AC78" s="2013"/>
    </row>
    <row r="79" spans="1:29" ht="15.75" thickBot="1">
      <c r="A79" s="653"/>
      <c r="B79" s="662"/>
      <c r="C79" s="663">
        <v>100</v>
      </c>
      <c r="D79" s="663">
        <f>C79-$K17</f>
        <v>95</v>
      </c>
      <c r="E79" s="663">
        <f>D79-$K17</f>
        <v>90</v>
      </c>
      <c r="F79" s="663">
        <f>E79-$K17</f>
        <v>85</v>
      </c>
      <c r="G79" s="663">
        <f>F79-$K17</f>
        <v>80</v>
      </c>
      <c r="H79" s="663"/>
      <c r="I79" s="663"/>
      <c r="J79" s="663"/>
      <c r="K79" s="663"/>
      <c r="L79" s="663"/>
      <c r="M79" s="664"/>
      <c r="N79" s="2033"/>
      <c r="O79" s="2033"/>
      <c r="P79" s="2032"/>
      <c r="Q79" s="2025"/>
      <c r="R79" s="2013"/>
      <c r="S79" s="2013"/>
      <c r="T79" s="2013"/>
      <c r="U79" s="2013"/>
      <c r="V79" s="2013"/>
      <c r="W79" s="2013"/>
      <c r="X79" s="2013"/>
      <c r="Y79" s="2013"/>
      <c r="Z79" s="2013"/>
      <c r="AA79" s="2013"/>
      <c r="AB79" s="2013"/>
      <c r="AC79" s="2013"/>
    </row>
    <row r="80" spans="1:29" ht="15.75" thickTop="1">
      <c r="A80" s="653"/>
      <c r="B80" s="1796" t="s">
        <v>2533</v>
      </c>
      <c r="C80" s="692" t="s">
        <v>573</v>
      </c>
      <c r="D80" s="692" t="s">
        <v>574</v>
      </c>
      <c r="E80" s="692" t="s">
        <v>575</v>
      </c>
      <c r="F80" s="692" t="s">
        <v>576</v>
      </c>
      <c r="G80" s="692" t="s">
        <v>577</v>
      </c>
      <c r="H80" s="658"/>
      <c r="I80" s="658"/>
      <c r="J80" s="658"/>
      <c r="K80" s="659"/>
      <c r="L80" s="660"/>
      <c r="M80" s="661"/>
      <c r="N80" s="2031"/>
      <c r="O80" s="2031"/>
      <c r="P80" s="2032"/>
      <c r="Q80" s="2025"/>
      <c r="R80" s="2013"/>
      <c r="S80" s="2013"/>
      <c r="T80" s="2013"/>
      <c r="U80" s="2013"/>
      <c r="V80" s="2013"/>
      <c r="W80" s="2013"/>
      <c r="X80" s="2013"/>
      <c r="Y80" s="2013"/>
      <c r="Z80" s="2013"/>
      <c r="AA80" s="2013"/>
      <c r="AB80" s="2013"/>
      <c r="AC80" s="2013"/>
    </row>
    <row r="81" spans="1:29" ht="15.75" thickBot="1">
      <c r="A81" s="653"/>
      <c r="B81" s="662"/>
      <c r="C81" s="663">
        <v>100</v>
      </c>
      <c r="D81" s="663">
        <f>C81-$K19</f>
        <v>95</v>
      </c>
      <c r="E81" s="663">
        <f>D81-$K19</f>
        <v>90</v>
      </c>
      <c r="F81" s="663">
        <f>E81-$K19</f>
        <v>85</v>
      </c>
      <c r="G81" s="663">
        <f>F81-$K19</f>
        <v>80</v>
      </c>
      <c r="H81" s="663"/>
      <c r="I81" s="663"/>
      <c r="J81" s="663"/>
      <c r="K81" s="663"/>
      <c r="L81" s="663"/>
      <c r="M81" s="664"/>
      <c r="N81" s="2033"/>
      <c r="O81" s="2033"/>
      <c r="P81" s="2032"/>
      <c r="Q81" s="2025"/>
      <c r="R81" s="2013"/>
      <c r="S81" s="2013"/>
      <c r="T81" s="2013"/>
      <c r="U81" s="2013"/>
      <c r="V81" s="2013"/>
      <c r="W81" s="2013"/>
      <c r="X81" s="2013"/>
      <c r="Y81" s="2013"/>
      <c r="Z81" s="2013"/>
      <c r="AA81" s="2013"/>
      <c r="AB81" s="2013"/>
      <c r="AC81" s="2013"/>
    </row>
    <row r="82" spans="1:29" ht="15.75" thickTop="1">
      <c r="A82" s="653"/>
      <c r="B82" s="2427" t="s">
        <v>2534</v>
      </c>
      <c r="C82" s="2428" t="s">
        <v>2535</v>
      </c>
      <c r="D82" s="2428" t="s">
        <v>2536</v>
      </c>
      <c r="E82" s="2428" t="s">
        <v>2537</v>
      </c>
      <c r="F82" s="2428" t="s">
        <v>2538</v>
      </c>
      <c r="G82" s="2428" t="s">
        <v>2539</v>
      </c>
      <c r="H82" s="658"/>
      <c r="I82" s="658"/>
      <c r="J82" s="658"/>
      <c r="K82" s="658"/>
      <c r="L82" s="658"/>
      <c r="M82" s="2431"/>
      <c r="N82" s="2033"/>
      <c r="O82" s="2033"/>
      <c r="P82" s="2032"/>
      <c r="Q82" s="2025"/>
      <c r="R82" s="2013"/>
      <c r="S82" s="2013"/>
      <c r="T82" s="2013"/>
      <c r="U82" s="2013"/>
      <c r="V82" s="2013"/>
      <c r="W82" s="2013"/>
      <c r="X82" s="2013"/>
      <c r="Y82" s="2013"/>
      <c r="Z82" s="2013"/>
      <c r="AA82" s="2013"/>
      <c r="AB82" s="2013"/>
      <c r="AC82" s="2013"/>
    </row>
    <row r="83" spans="1:29" ht="15.75" thickBot="1">
      <c r="A83" s="653"/>
      <c r="B83" s="665"/>
      <c r="C83" s="663">
        <v>100</v>
      </c>
      <c r="D83" s="663">
        <f>C83-$K21</f>
        <v>98</v>
      </c>
      <c r="E83" s="663">
        <f>D83-$K21</f>
        <v>96</v>
      </c>
      <c r="F83" s="663">
        <f>E83-$K21</f>
        <v>94</v>
      </c>
      <c r="G83" s="663">
        <f>F83-$K21</f>
        <v>92</v>
      </c>
      <c r="H83" s="916"/>
      <c r="I83" s="916"/>
      <c r="J83" s="916"/>
      <c r="K83" s="916"/>
      <c r="L83" s="916"/>
      <c r="M83" s="545"/>
      <c r="N83" s="2033"/>
      <c r="O83" s="2033"/>
      <c r="P83" s="2032"/>
      <c r="Q83" s="2025"/>
      <c r="R83" s="2013"/>
      <c r="S83" s="2013"/>
      <c r="T83" s="2013"/>
      <c r="U83" s="2013"/>
      <c r="V83" s="2013"/>
      <c r="W83" s="2013"/>
      <c r="X83" s="2013"/>
      <c r="Y83" s="2013"/>
      <c r="Z83" s="2013"/>
      <c r="AA83" s="2013"/>
      <c r="AB83" s="2013"/>
      <c r="AC83" s="2013"/>
    </row>
    <row r="84" spans="1:29" ht="15.75" thickTop="1">
      <c r="A84" s="653"/>
      <c r="B84" s="657" t="s">
        <v>738</v>
      </c>
      <c r="C84" s="692" t="s">
        <v>573</v>
      </c>
      <c r="D84" s="692" t="s">
        <v>574</v>
      </c>
      <c r="E84" s="692" t="s">
        <v>575</v>
      </c>
      <c r="F84" s="692" t="s">
        <v>576</v>
      </c>
      <c r="G84" s="692" t="s">
        <v>577</v>
      </c>
      <c r="H84" s="658"/>
      <c r="I84" s="658"/>
      <c r="J84" s="658"/>
      <c r="K84" s="659"/>
      <c r="L84" s="660"/>
      <c r="M84" s="661"/>
      <c r="N84" s="2031"/>
      <c r="O84" s="2031"/>
      <c r="P84" s="2032"/>
      <c r="Q84" s="2025"/>
      <c r="R84" s="2013"/>
      <c r="S84" s="2013"/>
      <c r="T84" s="2013"/>
      <c r="U84" s="2013"/>
      <c r="V84" s="2013"/>
      <c r="W84" s="2013"/>
      <c r="X84" s="2013"/>
      <c r="Y84" s="2013"/>
      <c r="Z84" s="2013"/>
      <c r="AA84" s="2013"/>
      <c r="AB84" s="2013"/>
      <c r="AC84" s="2013"/>
    </row>
    <row r="85" spans="1:29" ht="15.75" thickBot="1">
      <c r="A85" s="653"/>
      <c r="B85" s="662"/>
      <c r="C85" s="663">
        <v>100</v>
      </c>
      <c r="D85" s="663">
        <f>C85-$K23</f>
        <v>95</v>
      </c>
      <c r="E85" s="663">
        <f>D85-$K23</f>
        <v>90</v>
      </c>
      <c r="F85" s="663">
        <f>E85-$K23</f>
        <v>85</v>
      </c>
      <c r="G85" s="663">
        <f>F85-$K23</f>
        <v>80</v>
      </c>
      <c r="H85" s="663"/>
      <c r="I85" s="663"/>
      <c r="J85" s="663"/>
      <c r="K85" s="663"/>
      <c r="L85" s="663"/>
      <c r="M85" s="664"/>
      <c r="N85" s="2033"/>
      <c r="O85" s="2033"/>
      <c r="P85" s="2032"/>
      <c r="Q85" s="2025"/>
      <c r="R85" s="2013"/>
      <c r="S85" s="2013"/>
      <c r="T85" s="2013"/>
      <c r="U85" s="2013"/>
      <c r="V85" s="2013"/>
      <c r="W85" s="2013"/>
      <c r="X85" s="2013"/>
      <c r="Y85" s="2013"/>
      <c r="Z85" s="2013"/>
      <c r="AA85" s="2013"/>
      <c r="AB85" s="2013"/>
      <c r="AC85" s="2013"/>
    </row>
    <row r="86" spans="1:29" s="1194" customFormat="1" ht="15.75" thickTop="1">
      <c r="A86" s="693"/>
      <c r="B86" s="1796" t="s">
        <v>2243</v>
      </c>
      <c r="C86" s="672"/>
      <c r="D86" s="672"/>
      <c r="E86" s="672"/>
      <c r="F86" s="672"/>
      <c r="G86" s="672"/>
      <c r="H86" s="672"/>
      <c r="I86" s="672"/>
      <c r="J86" s="672"/>
      <c r="K86" s="672"/>
      <c r="L86" s="871"/>
      <c r="M86" s="872"/>
      <c r="N86" s="2029"/>
      <c r="O86" s="2029"/>
      <c r="P86" s="2032"/>
      <c r="Q86" s="2025"/>
      <c r="R86" s="1891"/>
      <c r="S86" s="1891"/>
      <c r="T86" s="1891"/>
      <c r="U86" s="1891"/>
      <c r="V86" s="1891"/>
      <c r="W86" s="1891"/>
      <c r="X86" s="1891"/>
      <c r="Y86" s="1891"/>
      <c r="Z86" s="1891"/>
      <c r="AA86" s="1891"/>
      <c r="AB86" s="1891"/>
      <c r="AC86" s="1891"/>
    </row>
    <row r="87" spans="1:29" s="1194" customFormat="1" ht="15.75" thickBot="1">
      <c r="A87" s="693"/>
      <c r="B87" s="662"/>
      <c r="C87" s="696">
        <v>100</v>
      </c>
      <c r="D87" s="663">
        <f>$C$87-($C$86-D86)*$K$25</f>
        <v>100</v>
      </c>
      <c r="E87" s="663">
        <f t="shared" ref="E87:M87" si="20">$C$87-($C$86-E86)*$K$25</f>
        <v>100</v>
      </c>
      <c r="F87" s="663">
        <f t="shared" si="20"/>
        <v>100</v>
      </c>
      <c r="G87" s="663">
        <f t="shared" si="20"/>
        <v>100</v>
      </c>
      <c r="H87" s="663">
        <f t="shared" si="20"/>
        <v>100</v>
      </c>
      <c r="I87" s="663">
        <f t="shared" si="20"/>
        <v>100</v>
      </c>
      <c r="J87" s="663">
        <f t="shared" si="20"/>
        <v>100</v>
      </c>
      <c r="K87" s="663">
        <f t="shared" si="20"/>
        <v>100</v>
      </c>
      <c r="L87" s="663">
        <f t="shared" si="20"/>
        <v>100</v>
      </c>
      <c r="M87" s="663">
        <f t="shared" si="20"/>
        <v>100</v>
      </c>
      <c r="N87" s="2033"/>
      <c r="O87" s="2033"/>
      <c r="P87" s="2032"/>
      <c r="Q87" s="2025"/>
      <c r="R87" s="1891"/>
      <c r="S87" s="1891"/>
      <c r="T87" s="1891"/>
      <c r="U87" s="1891"/>
      <c r="V87" s="1891"/>
      <c r="W87" s="1891"/>
      <c r="X87" s="1891"/>
      <c r="Y87" s="1891"/>
      <c r="Z87" s="1891"/>
      <c r="AA87" s="1891"/>
      <c r="AB87" s="1891"/>
      <c r="AC87" s="1891"/>
    </row>
    <row r="88" spans="1:29" s="1194" customFormat="1" ht="15.75" thickTop="1">
      <c r="A88" s="693"/>
      <c r="B88" s="657" t="s">
        <v>740</v>
      </c>
      <c r="C88" s="672"/>
      <c r="D88" s="672"/>
      <c r="E88" s="672"/>
      <c r="F88" s="873"/>
      <c r="G88" s="672"/>
      <c r="H88" s="672"/>
      <c r="I88" s="672"/>
      <c r="J88" s="672"/>
      <c r="K88" s="672"/>
      <c r="L88" s="672"/>
      <c r="M88" s="872"/>
      <c r="N88" s="2029"/>
      <c r="O88" s="2029"/>
      <c r="P88" s="2032"/>
      <c r="Q88" s="2025"/>
      <c r="R88" s="1891"/>
      <c r="S88" s="1891"/>
      <c r="T88" s="1891"/>
      <c r="U88" s="1891"/>
      <c r="V88" s="1891"/>
      <c r="W88" s="1891"/>
      <c r="X88" s="1891"/>
      <c r="Y88" s="1891"/>
      <c r="Z88" s="1891"/>
      <c r="AA88" s="1891"/>
      <c r="AB88" s="1891"/>
      <c r="AC88" s="1891"/>
    </row>
    <row r="89" spans="1:29" s="1194" customFormat="1" ht="15.75" thickBot="1">
      <c r="A89" s="693"/>
      <c r="B89" s="662"/>
      <c r="C89" s="696">
        <v>100</v>
      </c>
      <c r="D89" s="663">
        <f t="shared" ref="D89:M89" si="21">C89-$K26</f>
        <v>100</v>
      </c>
      <c r="E89" s="663">
        <f t="shared" si="21"/>
        <v>100</v>
      </c>
      <c r="F89" s="663">
        <f t="shared" si="21"/>
        <v>100</v>
      </c>
      <c r="G89" s="663">
        <f t="shared" si="21"/>
        <v>100</v>
      </c>
      <c r="H89" s="663">
        <f t="shared" si="21"/>
        <v>100</v>
      </c>
      <c r="I89" s="663">
        <f t="shared" si="21"/>
        <v>100</v>
      </c>
      <c r="J89" s="663">
        <f t="shared" si="21"/>
        <v>100</v>
      </c>
      <c r="K89" s="663">
        <f t="shared" si="21"/>
        <v>100</v>
      </c>
      <c r="L89" s="663">
        <f t="shared" si="21"/>
        <v>100</v>
      </c>
      <c r="M89" s="663">
        <f t="shared" si="21"/>
        <v>100</v>
      </c>
      <c r="N89" s="2033"/>
      <c r="O89" s="2033"/>
      <c r="P89" s="2032"/>
      <c r="Q89" s="2025"/>
      <c r="R89" s="1891"/>
      <c r="S89" s="1891"/>
      <c r="T89" s="1891"/>
      <c r="U89" s="1891"/>
      <c r="V89" s="1891"/>
      <c r="W89" s="1891"/>
      <c r="X89" s="1891"/>
      <c r="Y89" s="1891"/>
      <c r="Z89" s="1891"/>
      <c r="AA89" s="1891"/>
      <c r="AB89" s="1891"/>
      <c r="AC89" s="1891"/>
    </row>
    <row r="90" spans="1:29" s="1283" customFormat="1" ht="15.75" thickTop="1">
      <c r="A90" s="671"/>
      <c r="B90" s="657" t="str">
        <f>B27</f>
        <v>道路级别</v>
      </c>
      <c r="C90" s="672"/>
      <c r="D90" s="672"/>
      <c r="E90" s="672"/>
      <c r="F90" s="672"/>
      <c r="G90" s="672"/>
      <c r="H90" s="673"/>
      <c r="I90" s="673"/>
      <c r="J90" s="673"/>
      <c r="K90" s="673"/>
      <c r="L90" s="674"/>
      <c r="M90" s="675"/>
      <c r="N90" s="2034"/>
      <c r="O90" s="2034"/>
      <c r="P90" s="2035"/>
      <c r="Q90" s="2036"/>
      <c r="R90" s="2037"/>
      <c r="S90" s="2037"/>
      <c r="T90" s="2037"/>
      <c r="U90" s="2037"/>
      <c r="V90" s="2037"/>
      <c r="W90" s="2037"/>
      <c r="X90" s="2037"/>
      <c r="Y90" s="2037"/>
      <c r="Z90" s="2037"/>
      <c r="AA90" s="2037"/>
      <c r="AB90" s="2037"/>
      <c r="AC90" s="2037"/>
    </row>
    <row r="91" spans="1:29" s="1283" customFormat="1" ht="15.75" thickBot="1">
      <c r="A91" s="671"/>
      <c r="B91" s="662"/>
      <c r="C91" s="676"/>
      <c r="D91" s="676"/>
      <c r="E91" s="676"/>
      <c r="F91" s="676"/>
      <c r="G91" s="676"/>
      <c r="H91" s="677"/>
      <c r="I91" s="677"/>
      <c r="J91" s="677"/>
      <c r="K91" s="677"/>
      <c r="L91" s="677"/>
      <c r="M91" s="678"/>
      <c r="N91" s="2034"/>
      <c r="O91" s="2034"/>
      <c r="P91" s="2035"/>
      <c r="Q91" s="2036"/>
      <c r="R91" s="2037"/>
      <c r="S91" s="2037"/>
      <c r="T91" s="2037"/>
      <c r="U91" s="2037"/>
      <c r="V91" s="2037"/>
      <c r="W91" s="2037"/>
      <c r="X91" s="2037"/>
      <c r="Y91" s="2037"/>
      <c r="Z91" s="2037"/>
      <c r="AA91" s="2037"/>
      <c r="AB91" s="2037"/>
      <c r="AC91" s="2037"/>
    </row>
    <row r="92" spans="1:29" ht="15.75" thickTop="1">
      <c r="A92" s="653"/>
      <c r="B92" s="657">
        <f>B28</f>
        <v>0</v>
      </c>
      <c r="C92" s="672"/>
      <c r="D92" s="672"/>
      <c r="E92" s="672"/>
      <c r="F92" s="672"/>
      <c r="G92" s="702"/>
      <c r="H92" s="702"/>
      <c r="I92" s="702"/>
      <c r="J92" s="702"/>
      <c r="K92" s="703"/>
      <c r="L92" s="704"/>
      <c r="M92" s="705"/>
      <c r="N92" s="2031"/>
      <c r="O92" s="2031"/>
      <c r="P92" s="2032"/>
      <c r="Q92" s="2025"/>
      <c r="R92" s="2013"/>
      <c r="S92" s="2013"/>
      <c r="T92" s="2013"/>
      <c r="U92" s="2013"/>
      <c r="V92" s="2013"/>
      <c r="W92" s="2013"/>
      <c r="X92" s="2013"/>
      <c r="Y92" s="2013"/>
      <c r="Z92" s="2013"/>
      <c r="AA92" s="2013"/>
      <c r="AB92" s="2013"/>
      <c r="AC92" s="2013"/>
    </row>
    <row r="93" spans="1:29" ht="15.75" thickBot="1">
      <c r="A93" s="653"/>
      <c r="B93" s="662"/>
      <c r="C93" s="676"/>
      <c r="D93" s="655"/>
      <c r="E93" s="655"/>
      <c r="F93" s="655"/>
      <c r="G93" s="655"/>
      <c r="H93" s="655"/>
      <c r="I93" s="655"/>
      <c r="J93" s="655"/>
      <c r="K93" s="655"/>
      <c r="L93" s="655"/>
      <c r="M93" s="656"/>
      <c r="N93" s="2033"/>
      <c r="O93" s="2033"/>
      <c r="P93" s="2032"/>
      <c r="Q93" s="2025"/>
      <c r="R93" s="2013"/>
      <c r="S93" s="2013"/>
      <c r="T93" s="2013"/>
      <c r="U93" s="2013"/>
      <c r="V93" s="2013"/>
      <c r="W93" s="2013"/>
      <c r="X93" s="2013"/>
      <c r="Y93" s="2013"/>
      <c r="Z93" s="2013"/>
      <c r="AA93" s="2013"/>
      <c r="AB93" s="2013"/>
      <c r="AC93" s="2013"/>
    </row>
    <row r="94" spans="1:29" ht="15.75" thickTop="1">
      <c r="A94" s="653"/>
      <c r="B94" s="657">
        <f>B29</f>
        <v>0</v>
      </c>
      <c r="C94" s="672"/>
      <c r="D94" s="672"/>
      <c r="E94" s="672"/>
      <c r="F94" s="672"/>
      <c r="G94" s="702"/>
      <c r="H94" s="702"/>
      <c r="I94" s="702"/>
      <c r="J94" s="702"/>
      <c r="K94" s="703"/>
      <c r="L94" s="704"/>
      <c r="M94" s="705"/>
      <c r="N94" s="2031"/>
      <c r="O94" s="2031"/>
      <c r="P94" s="2032"/>
      <c r="Q94" s="2025"/>
      <c r="R94" s="2013"/>
      <c r="S94" s="2013"/>
      <c r="T94" s="2013"/>
      <c r="U94" s="2013"/>
      <c r="V94" s="2013"/>
      <c r="W94" s="2013"/>
      <c r="X94" s="2013"/>
      <c r="Y94" s="2013"/>
      <c r="Z94" s="2013"/>
      <c r="AA94" s="2013"/>
      <c r="AB94" s="2013"/>
      <c r="AC94" s="2013"/>
    </row>
    <row r="95" spans="1:29" ht="15.75" thickBot="1">
      <c r="A95" s="653"/>
      <c r="B95" s="662"/>
      <c r="C95" s="676"/>
      <c r="D95" s="676"/>
      <c r="E95" s="676"/>
      <c r="F95" s="676"/>
      <c r="G95" s="655"/>
      <c r="H95" s="655"/>
      <c r="I95" s="655"/>
      <c r="J95" s="655"/>
      <c r="K95" s="655"/>
      <c r="L95" s="655"/>
      <c r="M95" s="656"/>
      <c r="N95" s="2033"/>
      <c r="O95" s="2033"/>
      <c r="P95" s="2032"/>
      <c r="Q95" s="2025"/>
      <c r="R95" s="2013"/>
      <c r="S95" s="2013"/>
      <c r="T95" s="2013"/>
      <c r="U95" s="2013"/>
      <c r="V95" s="2013"/>
      <c r="W95" s="2013"/>
      <c r="X95" s="2013"/>
      <c r="Y95" s="2013"/>
      <c r="Z95" s="2013"/>
      <c r="AA95" s="2013"/>
      <c r="AB95" s="2013"/>
      <c r="AC95" s="2013"/>
    </row>
    <row r="96" spans="1:29" ht="15.75" thickTop="1">
      <c r="A96" s="653"/>
      <c r="B96" s="657">
        <f>B30</f>
        <v>0</v>
      </c>
      <c r="C96" s="672"/>
      <c r="D96" s="672"/>
      <c r="E96" s="672"/>
      <c r="F96" s="672"/>
      <c r="G96" s="702"/>
      <c r="H96" s="702"/>
      <c r="I96" s="702"/>
      <c r="J96" s="702"/>
      <c r="K96" s="703"/>
      <c r="L96" s="704"/>
      <c r="M96" s="705"/>
      <c r="N96" s="2031"/>
      <c r="O96" s="2031"/>
      <c r="P96" s="2032"/>
      <c r="Q96" s="2025"/>
      <c r="R96" s="2013"/>
      <c r="S96" s="2013"/>
      <c r="T96" s="2013"/>
      <c r="U96" s="2013"/>
      <c r="V96" s="2013"/>
      <c r="W96" s="2013"/>
      <c r="X96" s="2013"/>
      <c r="Y96" s="2013"/>
      <c r="Z96" s="2013"/>
      <c r="AA96" s="2013"/>
      <c r="AB96" s="2013"/>
      <c r="AC96" s="2013"/>
    </row>
    <row r="97" spans="1:29" ht="15.75" thickBot="1">
      <c r="A97" s="653"/>
      <c r="B97" s="662"/>
      <c r="C97" s="684"/>
      <c r="D97" s="684"/>
      <c r="E97" s="684"/>
      <c r="F97" s="684"/>
      <c r="G97" s="655"/>
      <c r="H97" s="655"/>
      <c r="I97" s="655"/>
      <c r="J97" s="655"/>
      <c r="K97" s="655"/>
      <c r="L97" s="655"/>
      <c r="M97" s="656"/>
      <c r="N97" s="2033"/>
      <c r="O97" s="2033"/>
      <c r="P97" s="2032"/>
      <c r="Q97" s="2025"/>
      <c r="R97" s="2013"/>
      <c r="S97" s="2013"/>
      <c r="T97" s="2013"/>
      <c r="U97" s="2013"/>
      <c r="V97" s="2013"/>
      <c r="W97" s="2013"/>
      <c r="X97" s="2013"/>
      <c r="Y97" s="2013"/>
      <c r="Z97" s="2013"/>
      <c r="AA97" s="2013"/>
      <c r="AB97" s="2013"/>
      <c r="AC97" s="2013"/>
    </row>
    <row r="98" spans="1:29" ht="15.75" thickTop="1">
      <c r="A98" s="653"/>
      <c r="B98" s="665">
        <f>B31</f>
        <v>0</v>
      </c>
      <c r="C98" s="706"/>
      <c r="D98" s="706"/>
      <c r="E98" s="706"/>
      <c r="F98" s="706"/>
      <c r="G98" s="706"/>
      <c r="H98" s="706"/>
      <c r="I98" s="706"/>
      <c r="J98" s="706"/>
      <c r="K98" s="707"/>
      <c r="L98" s="708"/>
      <c r="M98" s="709"/>
      <c r="N98" s="2031"/>
      <c r="O98" s="2031"/>
      <c r="P98" s="2032"/>
      <c r="Q98" s="2025"/>
      <c r="R98" s="2013"/>
      <c r="S98" s="2013"/>
      <c r="T98" s="2013"/>
      <c r="U98" s="2013"/>
      <c r="V98" s="2013"/>
      <c r="W98" s="2013"/>
      <c r="X98" s="2013"/>
      <c r="Y98" s="2013"/>
      <c r="Z98" s="2013"/>
      <c r="AA98" s="2013"/>
      <c r="AB98" s="2013"/>
      <c r="AC98" s="2013"/>
    </row>
    <row r="99" spans="1:29" ht="15.75" thickBot="1">
      <c r="A99" s="874"/>
      <c r="B99" s="683"/>
      <c r="C99" s="710"/>
      <c r="D99" s="710"/>
      <c r="E99" s="710"/>
      <c r="F99" s="710"/>
      <c r="G99" s="710"/>
      <c r="H99" s="710"/>
      <c r="I99" s="710"/>
      <c r="J99" s="710"/>
      <c r="K99" s="710"/>
      <c r="L99" s="710"/>
      <c r="M99" s="711"/>
      <c r="N99" s="2033"/>
      <c r="O99" s="2033"/>
      <c r="P99" s="2032"/>
      <c r="Q99" s="2025"/>
      <c r="R99" s="2013"/>
      <c r="S99" s="2013"/>
      <c r="T99" s="2013"/>
      <c r="U99" s="2013"/>
      <c r="V99" s="2013"/>
      <c r="W99" s="2013"/>
      <c r="X99" s="2013"/>
      <c r="Y99" s="2013"/>
      <c r="Z99" s="2013"/>
      <c r="AA99" s="2013"/>
      <c r="AB99" s="2013"/>
      <c r="AC99" s="2013"/>
    </row>
    <row r="100" spans="1:29">
      <c r="A100" s="648" t="s">
        <v>545</v>
      </c>
      <c r="B100" s="649" t="s">
        <v>741</v>
      </c>
      <c r="C100" s="3306" t="s">
        <v>3781</v>
      </c>
      <c r="D100" s="3306" t="s">
        <v>3780</v>
      </c>
      <c r="E100" s="3306" t="s">
        <v>3779</v>
      </c>
      <c r="F100" s="584"/>
      <c r="G100" s="584"/>
      <c r="H100" s="584"/>
      <c r="I100" s="584"/>
      <c r="J100" s="584"/>
      <c r="K100" s="650"/>
      <c r="L100" s="651"/>
      <c r="M100" s="652"/>
      <c r="N100" s="2031"/>
      <c r="O100" s="2031"/>
      <c r="P100" s="2032"/>
      <c r="Q100" s="2025"/>
      <c r="R100" s="2013"/>
      <c r="S100" s="2013"/>
      <c r="T100" s="2013"/>
      <c r="U100" s="2013"/>
      <c r="V100" s="2013"/>
      <c r="W100" s="2013"/>
      <c r="X100" s="2013"/>
      <c r="Y100" s="2013"/>
      <c r="Z100" s="2013"/>
      <c r="AA100" s="2013"/>
      <c r="AB100" s="2013"/>
      <c r="AC100" s="2013"/>
    </row>
    <row r="101" spans="1:29" ht="15.75" thickBot="1">
      <c r="A101" s="653"/>
      <c r="B101" s="662"/>
      <c r="C101" s="663">
        <v>100</v>
      </c>
      <c r="D101" s="663">
        <f t="shared" ref="D101:M101" si="22">C101-$K32</f>
        <v>95</v>
      </c>
      <c r="E101" s="663">
        <f t="shared" si="22"/>
        <v>90</v>
      </c>
      <c r="F101" s="663">
        <f t="shared" si="22"/>
        <v>85</v>
      </c>
      <c r="G101" s="663">
        <f t="shared" si="22"/>
        <v>80</v>
      </c>
      <c r="H101" s="663">
        <f t="shared" si="22"/>
        <v>75</v>
      </c>
      <c r="I101" s="663">
        <f t="shared" si="22"/>
        <v>70</v>
      </c>
      <c r="J101" s="663">
        <f t="shared" si="22"/>
        <v>65</v>
      </c>
      <c r="K101" s="663">
        <f t="shared" si="22"/>
        <v>60</v>
      </c>
      <c r="L101" s="663">
        <f t="shared" si="22"/>
        <v>55</v>
      </c>
      <c r="M101" s="663">
        <f t="shared" si="22"/>
        <v>50</v>
      </c>
      <c r="N101" s="2033"/>
      <c r="O101" s="2033"/>
      <c r="P101" s="2032"/>
      <c r="Q101" s="2025"/>
      <c r="R101" s="2013"/>
      <c r="S101" s="2013"/>
      <c r="T101" s="2013"/>
      <c r="U101" s="2013"/>
      <c r="V101" s="2013"/>
      <c r="W101" s="2013"/>
      <c r="X101" s="2013"/>
      <c r="Y101" s="2013"/>
      <c r="Z101" s="2013"/>
      <c r="AA101" s="2013"/>
      <c r="AB101" s="2013"/>
      <c r="AC101" s="2013"/>
    </row>
    <row r="102" spans="1:29" ht="15.75" thickTop="1">
      <c r="A102" s="653"/>
      <c r="B102" s="657" t="s">
        <v>742</v>
      </c>
      <c r="C102" s="692" t="str">
        <f>C103&amp;"(含)"&amp;"-"&amp;D103</f>
        <v>0(含)-</v>
      </c>
      <c r="D102" s="692" t="str">
        <f t="shared" ref="D102:L102" si="23">D103&amp;"(含)"&amp;"-"&amp;E103</f>
        <v>(含)-</v>
      </c>
      <c r="E102" s="692" t="str">
        <f t="shared" si="23"/>
        <v>(含)-</v>
      </c>
      <c r="F102" s="692" t="str">
        <f t="shared" si="23"/>
        <v>(含)-</v>
      </c>
      <c r="G102" s="692" t="str">
        <f t="shared" si="23"/>
        <v>(含)-</v>
      </c>
      <c r="H102" s="692" t="str">
        <f t="shared" si="23"/>
        <v>(含)-</v>
      </c>
      <c r="I102" s="692" t="str">
        <f t="shared" si="23"/>
        <v>(含)-</v>
      </c>
      <c r="J102" s="692" t="str">
        <f t="shared" si="23"/>
        <v>(含)-</v>
      </c>
      <c r="K102" s="692" t="str">
        <f t="shared" si="23"/>
        <v>(含)-</v>
      </c>
      <c r="L102" s="692" t="str">
        <f t="shared" si="23"/>
        <v>(含)-</v>
      </c>
      <c r="M102" s="692" t="str">
        <f>M103&amp;"(含)"&amp;"-"&amp;P103</f>
        <v>(含)-</v>
      </c>
      <c r="N102" s="2029"/>
      <c r="O102" s="2029"/>
      <c r="P102" s="2032"/>
      <c r="Q102" s="2025"/>
      <c r="R102" s="2013"/>
      <c r="S102" s="2013"/>
      <c r="T102" s="2013"/>
      <c r="U102" s="2013"/>
      <c r="V102" s="2013"/>
      <c r="W102" s="2013"/>
      <c r="X102" s="2013"/>
      <c r="Y102" s="2013"/>
      <c r="Z102" s="2013"/>
      <c r="AA102" s="2013"/>
      <c r="AB102" s="2013"/>
      <c r="AC102" s="2013"/>
    </row>
    <row r="103" spans="1:29" s="1283" customFormat="1">
      <c r="A103" s="712"/>
      <c r="B103" s="713"/>
      <c r="C103" s="714">
        <v>0</v>
      </c>
      <c r="D103" s="714"/>
      <c r="E103" s="714"/>
      <c r="F103" s="714"/>
      <c r="G103" s="714"/>
      <c r="H103" s="714"/>
      <c r="I103" s="714"/>
      <c r="J103" s="715"/>
      <c r="K103" s="715"/>
      <c r="L103" s="716"/>
      <c r="M103" s="717"/>
      <c r="N103" s="2034"/>
      <c r="O103" s="2034"/>
      <c r="P103" s="2035"/>
      <c r="Q103" s="2036"/>
      <c r="R103" s="2037"/>
      <c r="S103" s="2037"/>
      <c r="T103" s="2037"/>
      <c r="U103" s="2037"/>
      <c r="V103" s="2037"/>
      <c r="W103" s="2037"/>
      <c r="X103" s="2037"/>
      <c r="Y103" s="2037"/>
      <c r="Z103" s="2037"/>
      <c r="AA103" s="2037"/>
      <c r="AB103" s="2037"/>
      <c r="AC103" s="2037"/>
    </row>
    <row r="104" spans="1:29" s="1283" customFormat="1" ht="15.75" thickBot="1">
      <c r="A104" s="671"/>
      <c r="B104" s="662"/>
      <c r="C104" s="676"/>
      <c r="D104" s="655"/>
      <c r="E104" s="655"/>
      <c r="F104" s="655"/>
      <c r="G104" s="655"/>
      <c r="H104" s="655"/>
      <c r="I104" s="655"/>
      <c r="J104" s="655"/>
      <c r="K104" s="655"/>
      <c r="L104" s="655"/>
      <c r="M104" s="655"/>
      <c r="N104" s="2033"/>
      <c r="O104" s="2033"/>
      <c r="P104" s="2035"/>
      <c r="Q104" s="2036"/>
      <c r="R104" s="2037"/>
      <c r="S104" s="2037"/>
      <c r="T104" s="2037"/>
      <c r="U104" s="2037"/>
      <c r="V104" s="2037"/>
      <c r="W104" s="2037"/>
      <c r="X104" s="2037"/>
      <c r="Y104" s="2037"/>
      <c r="Z104" s="2037"/>
      <c r="AA104" s="2037"/>
      <c r="AB104" s="2037"/>
      <c r="AC104" s="2037"/>
    </row>
    <row r="105" spans="1:29" ht="15" thickTop="1">
      <c r="A105" s="719"/>
      <c r="B105" s="657" t="s">
        <v>743</v>
      </c>
      <c r="C105" s="3280" t="s">
        <v>3793</v>
      </c>
      <c r="D105" s="672"/>
      <c r="E105" s="702"/>
      <c r="F105" s="702"/>
      <c r="G105" s="702"/>
      <c r="H105" s="702"/>
      <c r="I105" s="702"/>
      <c r="J105" s="702"/>
      <c r="K105" s="703"/>
      <c r="L105" s="704"/>
      <c r="M105" s="705"/>
      <c r="N105" s="2031"/>
      <c r="O105" s="2031"/>
      <c r="P105" s="2032"/>
      <c r="Q105" s="2025"/>
      <c r="R105" s="2013"/>
      <c r="S105" s="2013"/>
      <c r="T105" s="2013"/>
      <c r="U105" s="2013"/>
      <c r="V105" s="2013"/>
      <c r="W105" s="2013"/>
      <c r="X105" s="2013"/>
      <c r="Y105" s="2013"/>
      <c r="Z105" s="2013"/>
      <c r="AA105" s="2013"/>
      <c r="AB105" s="2013"/>
      <c r="AC105" s="2013"/>
    </row>
    <row r="106" spans="1:29" ht="15.75" thickBot="1">
      <c r="A106" s="653"/>
      <c r="B106" s="662"/>
      <c r="C106" s="663">
        <v>100</v>
      </c>
      <c r="D106" s="663">
        <f t="shared" ref="D106:M106" si="24">C106-$K34</f>
        <v>100</v>
      </c>
      <c r="E106" s="663">
        <f t="shared" si="24"/>
        <v>100</v>
      </c>
      <c r="F106" s="663">
        <f t="shared" si="24"/>
        <v>100</v>
      </c>
      <c r="G106" s="663">
        <f t="shared" si="24"/>
        <v>100</v>
      </c>
      <c r="H106" s="663">
        <f t="shared" si="24"/>
        <v>100</v>
      </c>
      <c r="I106" s="663">
        <f t="shared" si="24"/>
        <v>100</v>
      </c>
      <c r="J106" s="663">
        <f t="shared" si="24"/>
        <v>100</v>
      </c>
      <c r="K106" s="663">
        <f t="shared" si="24"/>
        <v>100</v>
      </c>
      <c r="L106" s="663">
        <f t="shared" si="24"/>
        <v>100</v>
      </c>
      <c r="M106" s="663">
        <f t="shared" si="24"/>
        <v>100</v>
      </c>
      <c r="N106" s="2033"/>
      <c r="O106" s="2033"/>
      <c r="P106" s="2032"/>
      <c r="Q106" s="2025"/>
      <c r="R106" s="2013"/>
      <c r="S106" s="2013"/>
      <c r="T106" s="2013"/>
      <c r="U106" s="2013"/>
      <c r="V106" s="2013"/>
      <c r="W106" s="2013"/>
      <c r="X106" s="2013"/>
      <c r="Y106" s="2013"/>
      <c r="Z106" s="2013"/>
      <c r="AA106" s="2013"/>
      <c r="AB106" s="2013"/>
      <c r="AC106" s="2013"/>
    </row>
    <row r="107" spans="1:29" ht="15" thickTop="1">
      <c r="A107" s="719"/>
      <c r="B107" s="657" t="s">
        <v>744</v>
      </c>
      <c r="C107" s="3279" t="s">
        <v>3792</v>
      </c>
      <c r="D107" s="702"/>
      <c r="E107" s="702"/>
      <c r="F107" s="702"/>
      <c r="G107" s="702"/>
      <c r="H107" s="702"/>
      <c r="I107" s="702"/>
      <c r="J107" s="702"/>
      <c r="K107" s="703"/>
      <c r="L107" s="704"/>
      <c r="M107" s="705"/>
      <c r="N107" s="2031"/>
      <c r="O107" s="2031"/>
      <c r="P107" s="2032"/>
      <c r="Q107" s="2025"/>
      <c r="R107" s="2013"/>
      <c r="S107" s="2013"/>
      <c r="T107" s="2013"/>
      <c r="U107" s="2013"/>
      <c r="V107" s="2013"/>
      <c r="W107" s="2013"/>
      <c r="X107" s="2013"/>
      <c r="Y107" s="2013"/>
      <c r="Z107" s="2013"/>
      <c r="AA107" s="2013"/>
      <c r="AB107" s="2013"/>
      <c r="AC107" s="2013"/>
    </row>
    <row r="108" spans="1:29" ht="15.75" thickBot="1">
      <c r="A108" s="653"/>
      <c r="B108" s="662"/>
      <c r="C108" s="663">
        <v>100</v>
      </c>
      <c r="D108" s="663">
        <f t="shared" ref="D108:M108" si="25">C108-$K35</f>
        <v>100</v>
      </c>
      <c r="E108" s="663">
        <f t="shared" si="25"/>
        <v>100</v>
      </c>
      <c r="F108" s="663">
        <f t="shared" si="25"/>
        <v>100</v>
      </c>
      <c r="G108" s="663">
        <f t="shared" si="25"/>
        <v>100</v>
      </c>
      <c r="H108" s="663">
        <f t="shared" si="25"/>
        <v>100</v>
      </c>
      <c r="I108" s="663">
        <f t="shared" si="25"/>
        <v>100</v>
      </c>
      <c r="J108" s="663">
        <f t="shared" si="25"/>
        <v>100</v>
      </c>
      <c r="K108" s="663">
        <f t="shared" si="25"/>
        <v>100</v>
      </c>
      <c r="L108" s="663">
        <f t="shared" si="25"/>
        <v>100</v>
      </c>
      <c r="M108" s="663">
        <f t="shared" si="25"/>
        <v>100</v>
      </c>
      <c r="N108" s="2033"/>
      <c r="O108" s="2033"/>
      <c r="P108" s="2032"/>
      <c r="Q108" s="2025"/>
      <c r="R108" s="2013"/>
      <c r="S108" s="2013"/>
      <c r="T108" s="2013"/>
      <c r="U108" s="2013"/>
      <c r="V108" s="2013"/>
      <c r="W108" s="2013"/>
      <c r="X108" s="2013"/>
      <c r="Y108" s="2013"/>
      <c r="Z108" s="2013"/>
      <c r="AA108" s="2013"/>
      <c r="AB108" s="2013"/>
      <c r="AC108" s="2013"/>
    </row>
    <row r="109" spans="1:29" ht="15" thickTop="1">
      <c r="A109" s="719"/>
      <c r="B109" s="657" t="s">
        <v>745</v>
      </c>
      <c r="C109" s="3280" t="s">
        <v>3790</v>
      </c>
      <c r="D109" s="672"/>
      <c r="E109" s="672"/>
      <c r="F109" s="702"/>
      <c r="G109" s="702"/>
      <c r="H109" s="702"/>
      <c r="I109" s="702"/>
      <c r="J109" s="702"/>
      <c r="K109" s="703"/>
      <c r="L109" s="704"/>
      <c r="M109" s="705"/>
      <c r="N109" s="2031"/>
      <c r="O109" s="2031"/>
      <c r="P109" s="2032"/>
      <c r="Q109" s="2025"/>
      <c r="R109" s="2013"/>
      <c r="S109" s="2013"/>
      <c r="T109" s="2013"/>
      <c r="U109" s="2013"/>
      <c r="V109" s="2013"/>
      <c r="W109" s="2013"/>
      <c r="X109" s="2013"/>
      <c r="Y109" s="2013"/>
      <c r="Z109" s="2013"/>
      <c r="AA109" s="2013"/>
      <c r="AB109" s="2013"/>
      <c r="AC109" s="2013"/>
    </row>
    <row r="110" spans="1:29" ht="15.75" thickBot="1">
      <c r="A110" s="653"/>
      <c r="B110" s="662"/>
      <c r="C110" s="663">
        <v>100</v>
      </c>
      <c r="D110" s="663">
        <f t="shared" ref="D110:M110" si="26">C110-$K36</f>
        <v>100</v>
      </c>
      <c r="E110" s="663">
        <f t="shared" si="26"/>
        <v>100</v>
      </c>
      <c r="F110" s="663">
        <f t="shared" si="26"/>
        <v>100</v>
      </c>
      <c r="G110" s="663">
        <f t="shared" si="26"/>
        <v>100</v>
      </c>
      <c r="H110" s="663">
        <f t="shared" si="26"/>
        <v>100</v>
      </c>
      <c r="I110" s="663">
        <f t="shared" si="26"/>
        <v>100</v>
      </c>
      <c r="J110" s="663">
        <f t="shared" si="26"/>
        <v>100</v>
      </c>
      <c r="K110" s="663">
        <f t="shared" si="26"/>
        <v>100</v>
      </c>
      <c r="L110" s="663">
        <f t="shared" si="26"/>
        <v>100</v>
      </c>
      <c r="M110" s="663">
        <f t="shared" si="26"/>
        <v>100</v>
      </c>
      <c r="N110" s="2033"/>
      <c r="O110" s="2033"/>
      <c r="P110" s="2032"/>
      <c r="Q110" s="2025"/>
      <c r="R110" s="2013"/>
      <c r="S110" s="2013"/>
      <c r="T110" s="2013"/>
      <c r="U110" s="2013"/>
      <c r="V110" s="2013"/>
      <c r="W110" s="2013"/>
      <c r="X110" s="2013"/>
      <c r="Y110" s="2013"/>
      <c r="Z110" s="2013"/>
      <c r="AA110" s="2013"/>
      <c r="AB110" s="2013"/>
      <c r="AC110" s="2013"/>
    </row>
    <row r="111" spans="1:29" s="1283" customFormat="1" ht="15" thickTop="1">
      <c r="A111" s="712"/>
      <c r="B111" s="657" t="s">
        <v>746</v>
      </c>
      <c r="C111" s="692" t="str">
        <f>C112&amp;"(含)"&amp;"-"&amp;D112</f>
        <v>0.5(含)-0.6</v>
      </c>
      <c r="D111" s="692" t="str">
        <f>D112&amp;"(含)"&amp;"-"&amp;E112</f>
        <v>0.6(含)-0.7</v>
      </c>
      <c r="E111" s="692" t="str">
        <f>E112&amp;"(含)"&amp;"-"&amp;F112</f>
        <v>0.7(含)-0.8</v>
      </c>
      <c r="F111" s="692" t="str">
        <f>F112&amp;"(含)"&amp;"-"&amp;G112</f>
        <v>0.8(含)-0.9</v>
      </c>
      <c r="G111" s="692" t="str">
        <f>G112&amp;"(含)"&amp;"-"&amp;ROUND(H112,0)</f>
        <v>0.9(含)-1</v>
      </c>
      <c r="H111" s="692" t="str">
        <f>ROUND(H112,0)&amp;"(含)"&amp;"-"&amp;I112</f>
        <v>1(含)-</v>
      </c>
      <c r="I111" s="692"/>
      <c r="J111" s="697"/>
      <c r="K111" s="697"/>
      <c r="L111" s="698"/>
      <c r="M111" s="699"/>
      <c r="N111" s="2034"/>
      <c r="O111" s="2034"/>
      <c r="P111" s="2035"/>
      <c r="Q111" s="2036"/>
      <c r="R111" s="2037"/>
      <c r="S111" s="2037"/>
      <c r="T111" s="2037"/>
      <c r="U111" s="2037"/>
      <c r="V111" s="2037"/>
      <c r="W111" s="2037"/>
      <c r="X111" s="2037"/>
      <c r="Y111" s="2037"/>
      <c r="Z111" s="2037"/>
      <c r="AA111" s="2037"/>
      <c r="AB111" s="2037"/>
      <c r="AC111" s="2037"/>
    </row>
    <row r="112" spans="1:29" s="1283" customFormat="1">
      <c r="A112" s="712"/>
      <c r="B112" s="665"/>
      <c r="C112" s="875">
        <v>0.5</v>
      </c>
      <c r="D112" s="875">
        <v>0.6</v>
      </c>
      <c r="E112" s="875">
        <v>0.7</v>
      </c>
      <c r="F112" s="875">
        <v>0.8</v>
      </c>
      <c r="G112" s="875">
        <v>0.9</v>
      </c>
      <c r="H112" s="875">
        <v>1.0001</v>
      </c>
      <c r="I112" s="875"/>
      <c r="J112" s="876"/>
      <c r="K112" s="876"/>
      <c r="L112" s="877"/>
      <c r="M112" s="878"/>
      <c r="N112" s="2034"/>
      <c r="O112" s="2034"/>
      <c r="P112" s="2035"/>
      <c r="Q112" s="2036"/>
      <c r="R112" s="2037"/>
      <c r="S112" s="2037"/>
      <c r="T112" s="2037"/>
      <c r="U112" s="2037"/>
      <c r="V112" s="2037"/>
      <c r="W112" s="2037"/>
      <c r="X112" s="2037"/>
      <c r="Y112" s="2037"/>
      <c r="Z112" s="2037"/>
      <c r="AA112" s="2037"/>
      <c r="AB112" s="2037"/>
      <c r="AC112" s="2037"/>
    </row>
    <row r="113" spans="1:29" s="1283" customFormat="1" ht="15.75" thickBot="1">
      <c r="A113" s="671"/>
      <c r="B113" s="662"/>
      <c r="C113" s="696">
        <v>100</v>
      </c>
      <c r="D113" s="663">
        <f>C113+$K37</f>
        <v>100</v>
      </c>
      <c r="E113" s="663">
        <f>D113+$K37</f>
        <v>100</v>
      </c>
      <c r="F113" s="663">
        <f>E113+$K37</f>
        <v>100</v>
      </c>
      <c r="G113" s="663">
        <f>F113+$K37</f>
        <v>100</v>
      </c>
      <c r="H113" s="663">
        <f>G113+$K37</f>
        <v>100</v>
      </c>
      <c r="I113" s="696"/>
      <c r="J113" s="700"/>
      <c r="K113" s="700"/>
      <c r="L113" s="700"/>
      <c r="M113" s="701"/>
      <c r="N113" s="2034"/>
      <c r="O113" s="2034"/>
      <c r="P113" s="2035"/>
      <c r="Q113" s="2036"/>
      <c r="R113" s="2037"/>
      <c r="S113" s="2037"/>
      <c r="T113" s="2037"/>
      <c r="U113" s="2037"/>
      <c r="V113" s="2037"/>
      <c r="W113" s="2037"/>
      <c r="X113" s="2037"/>
      <c r="Y113" s="2037"/>
      <c r="Z113" s="2037"/>
      <c r="AA113" s="2037"/>
      <c r="AB113" s="2037"/>
      <c r="AC113" s="2037"/>
    </row>
    <row r="114" spans="1:29" ht="15" thickTop="1">
      <c r="A114" s="719"/>
      <c r="B114" s="657" t="s">
        <v>747</v>
      </c>
      <c r="C114" s="3280" t="s">
        <v>3795</v>
      </c>
      <c r="D114" s="672"/>
      <c r="E114" s="702"/>
      <c r="F114" s="702"/>
      <c r="G114" s="702"/>
      <c r="H114" s="702"/>
      <c r="I114" s="702"/>
      <c r="J114" s="702"/>
      <c r="K114" s="703"/>
      <c r="L114" s="704"/>
      <c r="M114" s="705"/>
      <c r="N114" s="2031"/>
      <c r="O114" s="2031"/>
      <c r="P114" s="2032"/>
      <c r="Q114" s="2025"/>
      <c r="R114" s="2013"/>
      <c r="S114" s="2013"/>
      <c r="T114" s="2013"/>
      <c r="U114" s="2013"/>
      <c r="V114" s="2013"/>
      <c r="W114" s="2013"/>
      <c r="X114" s="2013"/>
      <c r="Y114" s="2013"/>
      <c r="Z114" s="2013"/>
      <c r="AA114" s="2013"/>
      <c r="AB114" s="2013"/>
      <c r="AC114" s="2013"/>
    </row>
    <row r="115" spans="1:29" ht="15.75" thickBot="1">
      <c r="A115" s="653"/>
      <c r="B115" s="662"/>
      <c r="C115" s="663">
        <v>100</v>
      </c>
      <c r="D115" s="663">
        <f t="shared" ref="D115:M115" si="27">C115-$K38</f>
        <v>100</v>
      </c>
      <c r="E115" s="663">
        <f t="shared" si="27"/>
        <v>100</v>
      </c>
      <c r="F115" s="663">
        <f t="shared" si="27"/>
        <v>100</v>
      </c>
      <c r="G115" s="663">
        <f t="shared" si="27"/>
        <v>100</v>
      </c>
      <c r="H115" s="663">
        <f t="shared" si="27"/>
        <v>100</v>
      </c>
      <c r="I115" s="663">
        <f t="shared" si="27"/>
        <v>100</v>
      </c>
      <c r="J115" s="663">
        <f t="shared" si="27"/>
        <v>100</v>
      </c>
      <c r="K115" s="663">
        <f t="shared" si="27"/>
        <v>100</v>
      </c>
      <c r="L115" s="663">
        <f t="shared" si="27"/>
        <v>100</v>
      </c>
      <c r="M115" s="663">
        <f t="shared" si="27"/>
        <v>100</v>
      </c>
      <c r="N115" s="2033"/>
      <c r="O115" s="2033"/>
      <c r="P115" s="2032"/>
      <c r="Q115" s="2025"/>
      <c r="R115" s="2013"/>
      <c r="S115" s="2013"/>
      <c r="T115" s="2013"/>
      <c r="U115" s="2013"/>
      <c r="V115" s="2013"/>
      <c r="W115" s="2013"/>
      <c r="X115" s="2013"/>
      <c r="Y115" s="2013"/>
      <c r="Z115" s="2013"/>
      <c r="AA115" s="2013"/>
      <c r="AB115" s="2013"/>
      <c r="AC115" s="2013"/>
    </row>
    <row r="116" spans="1:29" ht="15" thickTop="1">
      <c r="A116" s="719"/>
      <c r="B116" s="1796" t="s">
        <v>2532</v>
      </c>
      <c r="C116" s="3280" t="s">
        <v>3796</v>
      </c>
      <c r="D116" s="672"/>
      <c r="E116" s="672"/>
      <c r="F116" s="672"/>
      <c r="G116" s="672"/>
      <c r="H116" s="702"/>
      <c r="I116" s="702"/>
      <c r="J116" s="702"/>
      <c r="K116" s="703"/>
      <c r="L116" s="704"/>
      <c r="M116" s="705"/>
      <c r="N116" s="2031"/>
      <c r="O116" s="2031"/>
      <c r="P116" s="2032"/>
      <c r="Q116" s="2025"/>
      <c r="R116" s="2013"/>
      <c r="S116" s="2013"/>
      <c r="T116" s="2013"/>
      <c r="U116" s="2013"/>
      <c r="V116" s="2013"/>
      <c r="W116" s="2013"/>
      <c r="X116" s="2013"/>
      <c r="Y116" s="2013"/>
      <c r="Z116" s="2013"/>
      <c r="AA116" s="2013"/>
      <c r="AB116" s="2013"/>
      <c r="AC116" s="2013"/>
    </row>
    <row r="117" spans="1:29" ht="15.75" thickBot="1">
      <c r="A117" s="653"/>
      <c r="B117" s="662"/>
      <c r="C117" s="663">
        <v>100</v>
      </c>
      <c r="D117" s="663">
        <f>C117-$K39</f>
        <v>100</v>
      </c>
      <c r="E117" s="663">
        <f>D117-$K39</f>
        <v>100</v>
      </c>
      <c r="F117" s="663">
        <f>E117-$K39</f>
        <v>100</v>
      </c>
      <c r="G117" s="663">
        <f>F117-$K39</f>
        <v>100</v>
      </c>
      <c r="H117" s="663"/>
      <c r="I117" s="663"/>
      <c r="J117" s="663"/>
      <c r="K117" s="663"/>
      <c r="L117" s="663"/>
      <c r="M117" s="664"/>
      <c r="N117" s="2033"/>
      <c r="O117" s="2033"/>
      <c r="P117" s="2032"/>
      <c r="Q117" s="2025"/>
      <c r="R117" s="2013"/>
      <c r="S117" s="2013"/>
      <c r="T117" s="2013"/>
      <c r="U117" s="2013"/>
      <c r="V117" s="2013"/>
      <c r="W117" s="2013"/>
      <c r="X117" s="2013"/>
      <c r="Y117" s="2013"/>
      <c r="Z117" s="2013"/>
      <c r="AA117" s="2013"/>
      <c r="AB117" s="2013"/>
      <c r="AC117" s="2013"/>
    </row>
    <row r="118" spans="1:29" ht="15" thickTop="1">
      <c r="A118" s="719"/>
      <c r="B118" s="657" t="s">
        <v>748</v>
      </c>
      <c r="C118" s="3279" t="s">
        <v>3798</v>
      </c>
      <c r="D118" s="702"/>
      <c r="E118" s="702"/>
      <c r="F118" s="702"/>
      <c r="G118" s="702"/>
      <c r="H118" s="702"/>
      <c r="I118" s="702"/>
      <c r="J118" s="702"/>
      <c r="K118" s="703"/>
      <c r="L118" s="704"/>
      <c r="M118" s="705"/>
      <c r="N118" s="2031"/>
      <c r="O118" s="2031"/>
      <c r="P118" s="2032"/>
      <c r="Q118" s="2025"/>
      <c r="R118" s="2013"/>
      <c r="S118" s="2013"/>
      <c r="T118" s="2013"/>
      <c r="U118" s="2013"/>
      <c r="V118" s="2013"/>
      <c r="W118" s="2013"/>
      <c r="X118" s="2013"/>
      <c r="Y118" s="2013"/>
      <c r="Z118" s="2013"/>
      <c r="AA118" s="2013"/>
      <c r="AB118" s="2013"/>
      <c r="AC118" s="2013"/>
    </row>
    <row r="119" spans="1:29" ht="15.75" thickBot="1">
      <c r="A119" s="653"/>
      <c r="B119" s="662"/>
      <c r="C119" s="663">
        <v>100</v>
      </c>
      <c r="D119" s="663">
        <f t="shared" ref="D119:M119" si="28">C119-$K40</f>
        <v>100</v>
      </c>
      <c r="E119" s="663">
        <f t="shared" si="28"/>
        <v>100</v>
      </c>
      <c r="F119" s="663">
        <f t="shared" si="28"/>
        <v>100</v>
      </c>
      <c r="G119" s="663">
        <f t="shared" si="28"/>
        <v>100</v>
      </c>
      <c r="H119" s="663">
        <f t="shared" si="28"/>
        <v>100</v>
      </c>
      <c r="I119" s="663">
        <f t="shared" si="28"/>
        <v>100</v>
      </c>
      <c r="J119" s="663">
        <f t="shared" si="28"/>
        <v>100</v>
      </c>
      <c r="K119" s="663">
        <f t="shared" si="28"/>
        <v>100</v>
      </c>
      <c r="L119" s="663">
        <f t="shared" si="28"/>
        <v>100</v>
      </c>
      <c r="M119" s="663">
        <f t="shared" si="28"/>
        <v>100</v>
      </c>
      <c r="N119" s="2033"/>
      <c r="O119" s="2033"/>
      <c r="P119" s="2032"/>
      <c r="Q119" s="2025"/>
      <c r="R119" s="2013"/>
      <c r="S119" s="2013"/>
      <c r="T119" s="2013"/>
      <c r="U119" s="2013"/>
      <c r="V119" s="2013"/>
      <c r="W119" s="2013"/>
      <c r="X119" s="2013"/>
      <c r="Y119" s="2013"/>
      <c r="Z119" s="2013"/>
      <c r="AA119" s="2013"/>
      <c r="AB119" s="2013"/>
      <c r="AC119" s="2013"/>
    </row>
    <row r="120" spans="1:29" s="1283" customFormat="1" ht="28.5" thickTop="1">
      <c r="A120" s="712"/>
      <c r="B120" s="657" t="s">
        <v>727</v>
      </c>
      <c r="C120" s="672"/>
      <c r="D120" s="672"/>
      <c r="E120" s="672"/>
      <c r="F120" s="672"/>
      <c r="G120" s="672"/>
      <c r="H120" s="672"/>
      <c r="I120" s="672"/>
      <c r="J120" s="672"/>
      <c r="K120" s="672"/>
      <c r="L120" s="871"/>
      <c r="M120" s="872"/>
      <c r="N120" s="2034"/>
      <c r="O120" s="2034"/>
      <c r="P120" s="2035"/>
      <c r="Q120" s="2036"/>
      <c r="R120" s="2037"/>
      <c r="S120" s="2037"/>
      <c r="T120" s="2037"/>
      <c r="U120" s="2037"/>
      <c r="V120" s="2037"/>
      <c r="W120" s="2037"/>
      <c r="X120" s="2037"/>
      <c r="Y120" s="2037"/>
      <c r="Z120" s="2037"/>
      <c r="AA120" s="2037"/>
      <c r="AB120" s="2037"/>
      <c r="AC120" s="2037"/>
    </row>
    <row r="121" spans="1:29" s="1283" customFormat="1" ht="15.75" thickBot="1">
      <c r="A121" s="671"/>
      <c r="B121" s="654"/>
      <c r="C121" s="676"/>
      <c r="D121" s="655"/>
      <c r="E121" s="655"/>
      <c r="F121" s="655"/>
      <c r="G121" s="655"/>
      <c r="H121" s="655"/>
      <c r="I121" s="655"/>
      <c r="J121" s="655"/>
      <c r="K121" s="655"/>
      <c r="L121" s="655"/>
      <c r="M121" s="655"/>
      <c r="N121" s="2034"/>
      <c r="O121" s="2034"/>
      <c r="P121" s="2035"/>
      <c r="Q121" s="2036"/>
      <c r="R121" s="2037"/>
      <c r="S121" s="2037"/>
      <c r="T121" s="2037"/>
      <c r="U121" s="2037"/>
      <c r="V121" s="2037"/>
      <c r="W121" s="2037"/>
      <c r="X121" s="2037"/>
      <c r="Y121" s="2037"/>
      <c r="Z121" s="2037"/>
      <c r="AA121" s="2037"/>
      <c r="AB121" s="2037"/>
      <c r="AC121" s="2037"/>
    </row>
    <row r="122" spans="1:29" ht="15" thickTop="1">
      <c r="A122" s="719"/>
      <c r="B122" s="657" t="s">
        <v>749</v>
      </c>
      <c r="C122" s="3280" t="s">
        <v>3785</v>
      </c>
      <c r="D122" s="3280" t="s">
        <v>3786</v>
      </c>
      <c r="E122" s="3280" t="s">
        <v>3788</v>
      </c>
      <c r="F122" s="702"/>
      <c r="G122" s="702"/>
      <c r="H122" s="702"/>
      <c r="I122" s="702"/>
      <c r="J122" s="702"/>
      <c r="K122" s="703"/>
      <c r="L122" s="704"/>
      <c r="M122" s="705"/>
      <c r="N122" s="2031"/>
      <c r="O122" s="2031"/>
      <c r="P122" s="2032"/>
      <c r="Q122" s="2025"/>
      <c r="R122" s="2013"/>
      <c r="S122" s="2013"/>
      <c r="T122" s="2013"/>
      <c r="U122" s="2013"/>
      <c r="V122" s="2013"/>
      <c r="W122" s="2013"/>
      <c r="X122" s="2013"/>
      <c r="Y122" s="2013"/>
      <c r="Z122" s="2013"/>
      <c r="AA122" s="2013"/>
      <c r="AB122" s="2013"/>
      <c r="AC122" s="2013"/>
    </row>
    <row r="123" spans="1:29" ht="15.75" thickBot="1">
      <c r="A123" s="653"/>
      <c r="B123" s="662"/>
      <c r="C123" s="663">
        <v>100</v>
      </c>
      <c r="D123" s="663">
        <f t="shared" ref="D123:M123" si="29">C123-$K42</f>
        <v>95</v>
      </c>
      <c r="E123" s="663">
        <f t="shared" si="29"/>
        <v>90</v>
      </c>
      <c r="F123" s="663">
        <f t="shared" si="29"/>
        <v>85</v>
      </c>
      <c r="G123" s="663">
        <f t="shared" si="29"/>
        <v>80</v>
      </c>
      <c r="H123" s="663">
        <f t="shared" si="29"/>
        <v>75</v>
      </c>
      <c r="I123" s="663">
        <f t="shared" si="29"/>
        <v>70</v>
      </c>
      <c r="J123" s="663">
        <f t="shared" si="29"/>
        <v>65</v>
      </c>
      <c r="K123" s="663">
        <f t="shared" si="29"/>
        <v>60</v>
      </c>
      <c r="L123" s="663">
        <f t="shared" si="29"/>
        <v>55</v>
      </c>
      <c r="M123" s="663">
        <f t="shared" si="29"/>
        <v>50</v>
      </c>
      <c r="N123" s="2033"/>
      <c r="O123" s="2033"/>
      <c r="P123" s="2032"/>
      <c r="Q123" s="2025"/>
      <c r="R123" s="2013"/>
      <c r="S123" s="2013"/>
      <c r="T123" s="2013"/>
      <c r="U123" s="2013"/>
      <c r="V123" s="2013"/>
      <c r="W123" s="2013"/>
      <c r="X123" s="2013"/>
      <c r="Y123" s="2013"/>
      <c r="Z123" s="2013"/>
      <c r="AA123" s="2013"/>
      <c r="AB123" s="2013"/>
      <c r="AC123" s="2013"/>
    </row>
    <row r="124" spans="1:29" ht="27.75" thickTop="1">
      <c r="A124" s="719"/>
      <c r="B124" s="657" t="s">
        <v>750</v>
      </c>
      <c r="C124" s="692" t="s">
        <v>573</v>
      </c>
      <c r="D124" s="692" t="s">
        <v>574</v>
      </c>
      <c r="E124" s="692" t="s">
        <v>575</v>
      </c>
      <c r="F124" s="692" t="s">
        <v>576</v>
      </c>
      <c r="G124" s="692" t="s">
        <v>577</v>
      </c>
      <c r="H124" s="658"/>
      <c r="I124" s="658"/>
      <c r="J124" s="658"/>
      <c r="K124" s="659"/>
      <c r="L124" s="660"/>
      <c r="M124" s="661"/>
      <c r="N124" s="2031"/>
      <c r="O124" s="2031"/>
      <c r="P124" s="2035"/>
      <c r="Q124" s="2025"/>
      <c r="R124" s="2013"/>
      <c r="S124" s="2013"/>
      <c r="T124" s="2013"/>
      <c r="U124" s="2013"/>
      <c r="V124" s="2013"/>
      <c r="W124" s="2013"/>
      <c r="X124" s="2013"/>
      <c r="Y124" s="2013"/>
      <c r="Z124" s="2013"/>
      <c r="AA124" s="2013"/>
      <c r="AB124" s="2013"/>
      <c r="AC124" s="2013"/>
    </row>
    <row r="125" spans="1:29" ht="15.75" thickBot="1">
      <c r="A125" s="653"/>
      <c r="B125" s="662"/>
      <c r="C125" s="663">
        <v>100</v>
      </c>
      <c r="D125" s="663">
        <f>C125-$K43</f>
        <v>100</v>
      </c>
      <c r="E125" s="663">
        <f>D125-$K43</f>
        <v>100</v>
      </c>
      <c r="F125" s="663">
        <f>E125-$K43</f>
        <v>100</v>
      </c>
      <c r="G125" s="663">
        <f>F125-$K43</f>
        <v>100</v>
      </c>
      <c r="H125" s="663"/>
      <c r="I125" s="663"/>
      <c r="J125" s="663"/>
      <c r="K125" s="663"/>
      <c r="L125" s="663"/>
      <c r="M125" s="664"/>
      <c r="N125" s="2033"/>
      <c r="O125" s="2033"/>
      <c r="P125" s="2032"/>
      <c r="Q125" s="2025"/>
      <c r="R125" s="2013"/>
      <c r="S125" s="2013"/>
      <c r="T125" s="2013"/>
      <c r="U125" s="2013"/>
      <c r="V125" s="2013"/>
      <c r="W125" s="2013"/>
      <c r="X125" s="2013"/>
      <c r="Y125" s="2013"/>
      <c r="Z125" s="2013"/>
      <c r="AA125" s="2013"/>
      <c r="AB125" s="2013"/>
      <c r="AC125" s="2013"/>
    </row>
    <row r="126" spans="1:29" s="1283" customFormat="1" ht="15" thickTop="1">
      <c r="A126" s="712"/>
      <c r="B126" s="657">
        <f>B44</f>
        <v>0</v>
      </c>
      <c r="C126" s="672"/>
      <c r="D126" s="672"/>
      <c r="E126" s="672"/>
      <c r="F126" s="672"/>
      <c r="G126" s="672"/>
      <c r="H126" s="673"/>
      <c r="I126" s="673"/>
      <c r="J126" s="673"/>
      <c r="K126" s="673"/>
      <c r="L126" s="674"/>
      <c r="M126" s="675"/>
      <c r="N126" s="2034"/>
      <c r="O126" s="2034"/>
      <c r="P126" s="2035"/>
      <c r="Q126" s="2036"/>
      <c r="R126" s="2037"/>
      <c r="S126" s="2037"/>
      <c r="T126" s="2037"/>
      <c r="U126" s="2037"/>
      <c r="V126" s="2037"/>
      <c r="W126" s="2037"/>
      <c r="X126" s="2037"/>
      <c r="Y126" s="2037"/>
      <c r="Z126" s="2037"/>
      <c r="AA126" s="2037"/>
      <c r="AB126" s="2037"/>
      <c r="AC126" s="2037"/>
    </row>
    <row r="127" spans="1:29" s="1283" customFormat="1" ht="15.75" thickBot="1">
      <c r="A127" s="671"/>
      <c r="B127" s="662"/>
      <c r="C127" s="676"/>
      <c r="D127" s="655"/>
      <c r="E127" s="655"/>
      <c r="F127" s="655"/>
      <c r="G127" s="676"/>
      <c r="H127" s="677"/>
      <c r="I127" s="677"/>
      <c r="J127" s="677"/>
      <c r="K127" s="677"/>
      <c r="L127" s="677"/>
      <c r="M127" s="678"/>
      <c r="N127" s="2034"/>
      <c r="O127" s="2034"/>
      <c r="P127" s="2035"/>
      <c r="Q127" s="2036"/>
      <c r="R127" s="2037"/>
      <c r="S127" s="2037"/>
      <c r="T127" s="2037"/>
      <c r="U127" s="2037"/>
      <c r="V127" s="2037"/>
      <c r="W127" s="2037"/>
      <c r="X127" s="2037"/>
      <c r="Y127" s="2037"/>
      <c r="Z127" s="2037"/>
      <c r="AA127" s="2037"/>
      <c r="AB127" s="2037"/>
      <c r="AC127" s="2037"/>
    </row>
    <row r="128" spans="1:29" ht="15" thickTop="1">
      <c r="A128" s="719"/>
      <c r="B128" s="657">
        <f>B45</f>
        <v>0</v>
      </c>
      <c r="C128" s="672"/>
      <c r="D128" s="672"/>
      <c r="E128" s="672"/>
      <c r="F128" s="672"/>
      <c r="G128" s="702"/>
      <c r="H128" s="702"/>
      <c r="I128" s="702"/>
      <c r="J128" s="702"/>
      <c r="K128" s="703"/>
      <c r="L128" s="704"/>
      <c r="M128" s="705"/>
      <c r="N128" s="2031"/>
      <c r="O128" s="2031"/>
      <c r="P128" s="2032"/>
      <c r="Q128" s="2025"/>
      <c r="R128" s="2013"/>
      <c r="S128" s="2013"/>
      <c r="T128" s="2013"/>
      <c r="U128" s="2013"/>
      <c r="V128" s="2013"/>
      <c r="W128" s="2013"/>
      <c r="X128" s="2013"/>
      <c r="Y128" s="2013"/>
      <c r="Z128" s="2013"/>
      <c r="AA128" s="2013"/>
      <c r="AB128" s="2013"/>
      <c r="AC128" s="2013"/>
    </row>
    <row r="129" spans="1:29" ht="15.75" thickBot="1">
      <c r="A129" s="653"/>
      <c r="B129" s="662"/>
      <c r="C129" s="676"/>
      <c r="D129" s="676"/>
      <c r="E129" s="676"/>
      <c r="F129" s="676"/>
      <c r="G129" s="655"/>
      <c r="H129" s="655"/>
      <c r="I129" s="655"/>
      <c r="J129" s="655"/>
      <c r="K129" s="655"/>
      <c r="L129" s="655"/>
      <c r="M129" s="656"/>
      <c r="N129" s="2033"/>
      <c r="O129" s="2033"/>
      <c r="P129" s="2032"/>
      <c r="Q129" s="2025"/>
      <c r="R129" s="2013"/>
      <c r="S129" s="2013"/>
      <c r="T129" s="2013"/>
      <c r="U129" s="2013"/>
      <c r="V129" s="2013"/>
      <c r="W129" s="2013"/>
      <c r="X129" s="2013"/>
      <c r="Y129" s="2013"/>
      <c r="Z129" s="2013"/>
      <c r="AA129" s="2013"/>
      <c r="AB129" s="2013"/>
      <c r="AC129" s="2013"/>
    </row>
    <row r="130" spans="1:29" ht="15" thickTop="1">
      <c r="A130" s="719"/>
      <c r="B130" s="665">
        <f>B46</f>
        <v>0</v>
      </c>
      <c r="C130" s="672"/>
      <c r="D130" s="672"/>
      <c r="E130" s="672"/>
      <c r="F130" s="672"/>
      <c r="G130" s="706"/>
      <c r="H130" s="706"/>
      <c r="I130" s="706"/>
      <c r="J130" s="706"/>
      <c r="K130" s="645"/>
      <c r="L130" s="646"/>
      <c r="M130" s="709"/>
      <c r="N130" s="2031"/>
      <c r="O130" s="2031"/>
      <c r="P130" s="2032"/>
      <c r="Q130" s="2025"/>
      <c r="R130" s="2013"/>
      <c r="S130" s="2013"/>
      <c r="T130" s="2013"/>
      <c r="U130" s="2013"/>
      <c r="V130" s="2013"/>
      <c r="W130" s="2013"/>
      <c r="X130" s="2013"/>
      <c r="Y130" s="2013"/>
      <c r="Z130" s="2013"/>
      <c r="AA130" s="2013"/>
      <c r="AB130" s="2013"/>
      <c r="AC130" s="2013"/>
    </row>
    <row r="131" spans="1:29" ht="15.75" thickBot="1">
      <c r="A131" s="874"/>
      <c r="B131" s="683"/>
      <c r="C131" s="684"/>
      <c r="D131" s="684"/>
      <c r="E131" s="684"/>
      <c r="F131" s="684"/>
      <c r="G131" s="710"/>
      <c r="H131" s="710"/>
      <c r="I131" s="710"/>
      <c r="J131" s="710"/>
      <c r="K131" s="710"/>
      <c r="L131" s="710"/>
      <c r="M131" s="711"/>
      <c r="N131" s="2033"/>
      <c r="O131" s="2033"/>
      <c r="P131" s="2032"/>
      <c r="Q131" s="2025"/>
      <c r="R131" s="2013"/>
      <c r="S131" s="2013"/>
      <c r="T131" s="2013"/>
      <c r="U131" s="2013"/>
      <c r="V131" s="2013"/>
      <c r="W131" s="2013"/>
      <c r="X131" s="2013"/>
      <c r="Y131" s="2013"/>
      <c r="Z131" s="2013"/>
      <c r="AA131" s="2013"/>
      <c r="AB131" s="2013"/>
      <c r="AC131" s="2013"/>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ht="15" thickBot="1">
      <c r="A136" s="2046"/>
      <c r="B136" s="1815" t="s">
        <v>2244</v>
      </c>
      <c r="C136" s="1816"/>
      <c r="D136" s="1816"/>
      <c r="E136" s="1816"/>
      <c r="F136" s="1816"/>
      <c r="G136" s="1816"/>
      <c r="H136" s="1816"/>
      <c r="I136" s="1816"/>
      <c r="J136" s="1816"/>
      <c r="K136" s="181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1818" t="s">
        <v>2245</v>
      </c>
      <c r="C137" s="1819"/>
      <c r="D137" s="1819"/>
      <c r="E137" s="1819"/>
      <c r="F137" s="1819"/>
      <c r="G137" s="1820"/>
      <c r="H137" s="1821"/>
      <c r="I137" s="1822" t="s">
        <v>2246</v>
      </c>
      <c r="J137" s="1819"/>
      <c r="K137" s="1823"/>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1824"/>
      <c r="C138" s="1825" t="s">
        <v>2247</v>
      </c>
      <c r="D138" s="1825" t="s">
        <v>2248</v>
      </c>
      <c r="E138" s="1826" t="s">
        <v>2249</v>
      </c>
      <c r="F138" s="1827" t="s">
        <v>2250</v>
      </c>
      <c r="G138" s="1825" t="s">
        <v>2251</v>
      </c>
      <c r="H138" s="1828" t="s">
        <v>2252</v>
      </c>
      <c r="I138" s="1829"/>
      <c r="J138" s="1825" t="s">
        <v>2253</v>
      </c>
      <c r="K138" s="1828" t="s">
        <v>2254</v>
      </c>
      <c r="L138" s="2048"/>
      <c r="M138" s="2046"/>
      <c r="N138" s="2046"/>
      <c r="O138" s="2046"/>
      <c r="P138" s="2046"/>
      <c r="Q138" s="2046"/>
      <c r="R138" s="2046"/>
      <c r="S138" s="2046"/>
      <c r="T138" s="2046"/>
      <c r="U138" s="2046"/>
      <c r="V138" s="2046"/>
      <c r="W138" s="2046"/>
      <c r="X138" s="2046"/>
      <c r="Y138" s="2046"/>
      <c r="Z138" s="2046"/>
      <c r="AA138" s="2046"/>
      <c r="AB138" s="2046"/>
      <c r="AC138" s="2046"/>
    </row>
    <row r="139" spans="1:29" ht="15">
      <c r="A139" s="2046"/>
      <c r="B139" s="1797">
        <v>6</v>
      </c>
      <c r="C139" s="1798">
        <v>96</v>
      </c>
      <c r="D139" s="1830" t="s">
        <v>2255</v>
      </c>
      <c r="E139" s="1799">
        <v>100</v>
      </c>
      <c r="F139" s="1800">
        <v>102.5</v>
      </c>
      <c r="G139" s="1830" t="s">
        <v>2256</v>
      </c>
      <c r="H139" s="1801">
        <v>105</v>
      </c>
      <c r="I139" s="1831" t="s">
        <v>2257</v>
      </c>
      <c r="J139" s="1798">
        <v>20</v>
      </c>
      <c r="K139" s="1802">
        <f>C145/(J139-2)</f>
        <v>4.0555555555555553E-3</v>
      </c>
      <c r="L139" s="2048"/>
      <c r="M139" s="2046"/>
      <c r="N139" s="2046"/>
      <c r="O139" s="2046"/>
      <c r="P139" s="2046"/>
      <c r="Q139" s="2046"/>
      <c r="R139" s="2046"/>
      <c r="S139" s="2046"/>
      <c r="T139" s="2046"/>
      <c r="U139" s="2046"/>
      <c r="V139" s="2046"/>
      <c r="W139" s="2046"/>
      <c r="X139" s="2046"/>
      <c r="Y139" s="2046"/>
      <c r="Z139" s="2046"/>
      <c r="AA139" s="2046"/>
      <c r="AB139" s="2046"/>
      <c r="AC139" s="2046"/>
    </row>
    <row r="140" spans="1:29" ht="15">
      <c r="A140" s="2046"/>
      <c r="B140" s="1803">
        <v>5</v>
      </c>
      <c r="C140" s="1804">
        <v>100</v>
      </c>
      <c r="D140" s="1832"/>
      <c r="E140" s="1805"/>
      <c r="F140" s="1806">
        <v>102</v>
      </c>
      <c r="G140" s="1832"/>
      <c r="H140" s="1807"/>
      <c r="I140" s="1833" t="s">
        <v>2258</v>
      </c>
      <c r="J140" s="827">
        <f>ROUNDUP((J139-1)/2,0)</f>
        <v>10</v>
      </c>
      <c r="K140" s="1808">
        <v>100</v>
      </c>
      <c r="L140" s="2048"/>
      <c r="M140" s="2046"/>
      <c r="N140" s="2046"/>
      <c r="O140" s="2046"/>
      <c r="P140" s="2046"/>
      <c r="Q140" s="2046"/>
      <c r="R140" s="2046"/>
      <c r="S140" s="2046"/>
      <c r="T140" s="2046"/>
      <c r="U140" s="2046"/>
      <c r="V140" s="2046"/>
      <c r="W140" s="2046"/>
      <c r="X140" s="2046"/>
      <c r="Y140" s="2046"/>
      <c r="Z140" s="2046"/>
      <c r="AA140" s="2046"/>
      <c r="AB140" s="2046"/>
      <c r="AC140" s="2046"/>
    </row>
    <row r="141" spans="1:29" ht="15">
      <c r="A141" s="2046"/>
      <c r="B141" s="1803">
        <v>4</v>
      </c>
      <c r="C141" s="1804">
        <v>102</v>
      </c>
      <c r="D141" s="1832"/>
      <c r="E141" s="1805"/>
      <c r="F141" s="1806">
        <v>101.5</v>
      </c>
      <c r="G141" s="1832"/>
      <c r="H141" s="1807"/>
      <c r="I141" s="1833" t="s">
        <v>2259</v>
      </c>
      <c r="J141" s="827">
        <v>1</v>
      </c>
      <c r="K141" s="1809">
        <f>ROUND(100+(J141-J140)*K139*100,1)</f>
        <v>96.4</v>
      </c>
      <c r="L141" s="2048"/>
      <c r="M141" s="2046"/>
      <c r="N141" s="2046"/>
      <c r="O141" s="2046"/>
      <c r="P141" s="2046"/>
      <c r="Q141" s="2046"/>
      <c r="R141" s="2046"/>
      <c r="S141" s="2046"/>
      <c r="T141" s="2046"/>
      <c r="U141" s="2046"/>
      <c r="V141" s="2046"/>
      <c r="W141" s="2046"/>
      <c r="X141" s="2046"/>
      <c r="Y141" s="2046"/>
      <c r="Z141" s="2046"/>
      <c r="AA141" s="2046"/>
      <c r="AB141" s="2046"/>
      <c r="AC141" s="2046"/>
    </row>
    <row r="142" spans="1:29" ht="15">
      <c r="A142" s="2046"/>
      <c r="B142" s="1803">
        <v>3</v>
      </c>
      <c r="C142" s="1804">
        <v>103</v>
      </c>
      <c r="D142" s="1832"/>
      <c r="E142" s="1805"/>
      <c r="F142" s="1806">
        <v>101</v>
      </c>
      <c r="G142" s="1832"/>
      <c r="H142" s="1807"/>
      <c r="I142" s="1833" t="s">
        <v>2260</v>
      </c>
      <c r="J142" s="827">
        <f>J139</f>
        <v>20</v>
      </c>
      <c r="K142" s="1810">
        <v>95</v>
      </c>
      <c r="L142" s="2048"/>
      <c r="M142" s="2046"/>
      <c r="N142" s="2046"/>
      <c r="O142" s="2046"/>
      <c r="P142" s="2046"/>
      <c r="Q142" s="2046"/>
      <c r="R142" s="2046"/>
      <c r="S142" s="2046"/>
      <c r="T142" s="2046"/>
      <c r="U142" s="2046"/>
      <c r="V142" s="2046"/>
      <c r="W142" s="2046"/>
      <c r="X142" s="2046"/>
      <c r="Y142" s="2046"/>
      <c r="Z142" s="2046"/>
      <c r="AA142" s="2046"/>
      <c r="AB142" s="2046"/>
      <c r="AC142" s="2046"/>
    </row>
    <row r="143" spans="1:29" ht="15">
      <c r="A143" s="2046"/>
      <c r="B143" s="1803">
        <v>2</v>
      </c>
      <c r="C143" s="1804">
        <v>100</v>
      </c>
      <c r="D143" s="1832"/>
      <c r="E143" s="1805"/>
      <c r="F143" s="1806">
        <v>100.5</v>
      </c>
      <c r="G143" s="1832"/>
      <c r="H143" s="1807"/>
      <c r="I143" s="1833" t="s">
        <v>2261</v>
      </c>
      <c r="J143" s="1804">
        <v>15</v>
      </c>
      <c r="K143" s="1809">
        <f>ROUND(100+(J143-J140)*K139*100,1)</f>
        <v>102</v>
      </c>
      <c r="L143" s="2048"/>
      <c r="M143" s="2046"/>
      <c r="N143" s="2046"/>
      <c r="O143" s="2046"/>
      <c r="P143" s="2046"/>
      <c r="Q143" s="2046"/>
      <c r="R143" s="2046"/>
      <c r="S143" s="2046"/>
      <c r="T143" s="2046"/>
      <c r="U143" s="2046"/>
      <c r="V143" s="2046"/>
      <c r="W143" s="2046"/>
      <c r="X143" s="2046"/>
      <c r="Y143" s="2046"/>
      <c r="Z143" s="2046"/>
      <c r="AA143" s="2046"/>
      <c r="AB143" s="2046"/>
      <c r="AC143" s="2046"/>
    </row>
    <row r="144" spans="1:29" ht="15">
      <c r="A144" s="2046"/>
      <c r="B144" s="1803">
        <v>1</v>
      </c>
      <c r="C144" s="1804">
        <v>98</v>
      </c>
      <c r="D144" s="1834" t="s">
        <v>2262</v>
      </c>
      <c r="E144" s="1805">
        <v>102</v>
      </c>
      <c r="F144" s="1811">
        <v>100</v>
      </c>
      <c r="G144" s="1834" t="s">
        <v>2262</v>
      </c>
      <c r="H144" s="1807">
        <v>105</v>
      </c>
      <c r="I144" s="1833" t="s">
        <v>2261</v>
      </c>
      <c r="J144" s="1804">
        <v>18</v>
      </c>
      <c r="K144" s="1809">
        <f>ROUND(100+(J144-J140)*K139*100,1)</f>
        <v>103.2</v>
      </c>
      <c r="L144" s="2048"/>
      <c r="M144" s="2046"/>
      <c r="N144" s="2046"/>
      <c r="O144" s="2046"/>
      <c r="P144" s="2046"/>
      <c r="Q144" s="2046"/>
      <c r="R144" s="2046"/>
      <c r="S144" s="2046"/>
      <c r="T144" s="2046"/>
      <c r="U144" s="2046"/>
      <c r="V144" s="2046"/>
      <c r="W144" s="2046"/>
      <c r="X144" s="2046"/>
      <c r="Y144" s="2046"/>
      <c r="Z144" s="2046"/>
      <c r="AA144" s="2046"/>
      <c r="AB144" s="2046"/>
      <c r="AC144" s="2046"/>
    </row>
    <row r="145" spans="1:29" ht="15.75" thickBot="1">
      <c r="A145" s="2046"/>
      <c r="B145" s="1835" t="s">
        <v>2263</v>
      </c>
      <c r="C145" s="1812">
        <f>ROUND(MAX(C139:C144)/MIN(C139:C144)-1,3)</f>
        <v>7.2999999999999995E-2</v>
      </c>
      <c r="D145" s="1836"/>
      <c r="E145" s="1836"/>
      <c r="F145" s="1837" t="s">
        <v>2264</v>
      </c>
      <c r="G145" s="1838"/>
      <c r="H145" s="1839"/>
      <c r="I145" s="1840" t="s">
        <v>2261</v>
      </c>
      <c r="J145" s="1813">
        <v>8</v>
      </c>
      <c r="K145" s="1814">
        <f>ROUND(100+(J145-J140)*K139*100,1)</f>
        <v>99.2</v>
      </c>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1859" t="s">
        <v>2272</v>
      </c>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1859" t="s">
        <v>2273</v>
      </c>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row r="236" spans="1:29">
      <c r="A236" s="2046"/>
      <c r="B236" s="2046"/>
      <c r="C236" s="2046"/>
      <c r="D236" s="2046"/>
      <c r="E236" s="2046"/>
      <c r="F236" s="2046"/>
      <c r="G236" s="2046"/>
      <c r="H236" s="2046"/>
      <c r="I236" s="2046"/>
      <c r="J236" s="2046"/>
      <c r="K236" s="2047"/>
      <c r="L236" s="2048"/>
      <c r="M236" s="2046"/>
      <c r="N236" s="2046"/>
      <c r="O236" s="2046"/>
      <c r="P236" s="2046"/>
      <c r="Q236" s="2046"/>
      <c r="R236" s="2046"/>
      <c r="S236" s="2046"/>
      <c r="T236" s="2046"/>
      <c r="U236" s="2046"/>
      <c r="V236" s="2046"/>
      <c r="W236" s="2046"/>
      <c r="X236" s="2046"/>
      <c r="Y236" s="2046"/>
      <c r="Z236" s="2046"/>
      <c r="AA236" s="2046"/>
      <c r="AB236" s="2046"/>
      <c r="AC236" s="2046"/>
    </row>
    <row r="237" spans="1:29">
      <c r="A237" s="2046"/>
      <c r="B237" s="2046"/>
      <c r="C237" s="2046"/>
      <c r="D237" s="2046"/>
      <c r="E237" s="2046"/>
      <c r="F237" s="2046"/>
      <c r="G237" s="2046"/>
      <c r="H237" s="2046"/>
      <c r="I237" s="2046"/>
      <c r="J237" s="2046"/>
      <c r="K237" s="2047"/>
      <c r="L237" s="2048"/>
      <c r="M237" s="2046"/>
      <c r="N237" s="2046"/>
      <c r="O237" s="2046"/>
      <c r="P237" s="2046"/>
      <c r="Q237" s="2046"/>
      <c r="R237" s="2046"/>
      <c r="S237" s="2046"/>
      <c r="T237" s="2046"/>
      <c r="U237" s="2046"/>
      <c r="V237" s="2046"/>
      <c r="W237" s="2046"/>
      <c r="X237" s="2046"/>
      <c r="Y237" s="2046"/>
      <c r="Z237" s="2046"/>
      <c r="AA237" s="2046"/>
      <c r="AB237" s="2046"/>
      <c r="AC237" s="2046"/>
    </row>
    <row r="238" spans="1:29">
      <c r="A238" s="2046"/>
      <c r="B238" s="2046"/>
      <c r="C238" s="2046"/>
      <c r="D238" s="2046"/>
      <c r="E238" s="2046"/>
      <c r="F238" s="2046"/>
      <c r="G238" s="2046"/>
      <c r="H238" s="2046"/>
      <c r="I238" s="2046"/>
      <c r="J238" s="2046"/>
      <c r="K238" s="2047"/>
      <c r="L238" s="2048"/>
      <c r="M238" s="2046"/>
      <c r="N238" s="2046"/>
      <c r="O238" s="2046"/>
      <c r="P238" s="2046"/>
      <c r="Q238" s="2046"/>
      <c r="R238" s="2046"/>
      <c r="S238" s="2046"/>
      <c r="T238" s="2046"/>
      <c r="U238" s="2046"/>
      <c r="V238" s="2046"/>
      <c r="W238" s="2046"/>
      <c r="X238" s="2046"/>
      <c r="Y238" s="2046"/>
      <c r="Z238" s="2046"/>
      <c r="AA238" s="2046"/>
      <c r="AB238" s="2046"/>
      <c r="AC238" s="2046"/>
    </row>
    <row r="239" spans="1:29">
      <c r="A239" s="2046"/>
      <c r="B239" s="2046"/>
      <c r="C239" s="2046"/>
      <c r="D239" s="2046"/>
      <c r="E239" s="2046"/>
      <c r="F239" s="2046"/>
      <c r="G239" s="2046"/>
      <c r="H239" s="2046"/>
      <c r="I239" s="2046"/>
      <c r="J239" s="2046"/>
      <c r="K239" s="2047"/>
      <c r="L239" s="2048"/>
      <c r="M239" s="2046"/>
      <c r="N239" s="2046"/>
      <c r="O239" s="2046"/>
      <c r="P239" s="2046"/>
      <c r="Q239" s="2046"/>
      <c r="R239" s="2046"/>
      <c r="S239" s="2046"/>
      <c r="T239" s="2046"/>
      <c r="U239" s="2046"/>
      <c r="V239" s="2046"/>
      <c r="W239" s="2046"/>
      <c r="X239" s="2046"/>
      <c r="Y239" s="2046"/>
      <c r="Z239" s="2046"/>
      <c r="AA239" s="2046"/>
      <c r="AB239" s="2046"/>
      <c r="AC239" s="2046"/>
    </row>
    <row r="240" spans="1:29">
      <c r="A240" s="2046"/>
      <c r="B240" s="2046"/>
      <c r="C240" s="2046"/>
      <c r="D240" s="2046"/>
      <c r="E240" s="2046"/>
      <c r="F240" s="2046"/>
      <c r="G240" s="2046"/>
      <c r="H240" s="2046"/>
      <c r="I240" s="2046"/>
      <c r="J240" s="2046"/>
      <c r="K240" s="2047"/>
      <c r="L240" s="2048"/>
      <c r="M240" s="2046"/>
      <c r="N240" s="2046"/>
      <c r="O240" s="2046"/>
      <c r="P240" s="2046"/>
      <c r="Q240" s="2046"/>
      <c r="R240" s="2046"/>
      <c r="S240" s="2046"/>
      <c r="T240" s="2046"/>
      <c r="U240" s="2046"/>
      <c r="V240" s="2046"/>
      <c r="W240" s="2046"/>
      <c r="X240" s="2046"/>
      <c r="Y240" s="2046"/>
      <c r="Z240" s="2046"/>
      <c r="AA240" s="2046"/>
      <c r="AB240" s="2046"/>
      <c r="AC240" s="2046"/>
    </row>
    <row r="241" spans="1:29">
      <c r="A241" s="2046"/>
      <c r="B241" s="2046"/>
      <c r="C241" s="2046"/>
      <c r="D241" s="2046"/>
      <c r="E241" s="2046"/>
      <c r="F241" s="2046"/>
      <c r="G241" s="2046"/>
      <c r="H241" s="2046"/>
      <c r="I241" s="2046"/>
      <c r="J241" s="2046"/>
      <c r="K241" s="2047"/>
      <c r="L241" s="2048"/>
      <c r="M241" s="2046"/>
      <c r="N241" s="2046"/>
      <c r="O241" s="2046"/>
      <c r="P241" s="2046"/>
      <c r="Q241" s="2046"/>
      <c r="R241" s="2046"/>
      <c r="S241" s="2046"/>
      <c r="T241" s="2046"/>
      <c r="U241" s="2046"/>
      <c r="V241" s="2046"/>
      <c r="W241" s="2046"/>
      <c r="X241" s="2046"/>
      <c r="Y241" s="2046"/>
      <c r="Z241" s="2046"/>
      <c r="AA241" s="2046"/>
      <c r="AB241" s="2046"/>
      <c r="AC241" s="2046"/>
    </row>
    <row r="242" spans="1:29">
      <c r="A242" s="2046"/>
      <c r="B242" s="2046"/>
      <c r="C242" s="2046"/>
      <c r="D242" s="2046"/>
      <c r="E242" s="2046"/>
      <c r="F242" s="2046"/>
      <c r="G242" s="2046"/>
      <c r="H242" s="2046"/>
      <c r="I242" s="2046"/>
      <c r="J242" s="2046"/>
      <c r="K242" s="2047"/>
      <c r="L242" s="2048"/>
      <c r="M242" s="2046"/>
      <c r="N242" s="2046"/>
      <c r="O242" s="2046"/>
      <c r="P242" s="2046"/>
      <c r="Q242" s="2046"/>
      <c r="R242" s="2046"/>
      <c r="S242" s="2046"/>
      <c r="T242" s="2046"/>
      <c r="U242" s="2046"/>
      <c r="V242" s="2046"/>
      <c r="W242" s="2046"/>
      <c r="X242" s="2046"/>
      <c r="Y242" s="2046"/>
      <c r="Z242" s="2046"/>
      <c r="AA242" s="2046"/>
      <c r="AB242" s="2046"/>
      <c r="AC242" s="2046"/>
    </row>
    <row r="243" spans="1:29">
      <c r="A243" s="2046"/>
      <c r="B243" s="2046"/>
      <c r="C243" s="2046"/>
      <c r="D243" s="2046"/>
      <c r="E243" s="2046"/>
      <c r="F243" s="2046"/>
      <c r="G243" s="2046"/>
      <c r="H243" s="2046"/>
      <c r="I243" s="2046"/>
      <c r="J243" s="2046"/>
      <c r="K243" s="2047"/>
      <c r="L243" s="2048"/>
      <c r="M243" s="2046"/>
      <c r="N243" s="2046"/>
      <c r="O243" s="2046"/>
      <c r="P243" s="2046"/>
      <c r="Q243" s="2046"/>
      <c r="R243" s="2046"/>
      <c r="S243" s="2046"/>
      <c r="T243" s="2046"/>
      <c r="U243" s="2046"/>
      <c r="V243" s="2046"/>
      <c r="W243" s="2046"/>
      <c r="X243" s="2046"/>
      <c r="Y243" s="2046"/>
      <c r="Z243" s="2046"/>
      <c r="AA243" s="2046"/>
      <c r="AB243" s="2046"/>
      <c r="AC243" s="2046"/>
    </row>
    <row r="244" spans="1:29">
      <c r="A244" s="2046"/>
      <c r="B244" s="2046"/>
      <c r="C244" s="2046"/>
      <c r="D244" s="2046"/>
      <c r="E244" s="2046"/>
      <c r="F244" s="2046"/>
      <c r="G244" s="2046"/>
      <c r="H244" s="2046"/>
      <c r="I244" s="2046"/>
      <c r="J244" s="2046"/>
      <c r="K244" s="2047"/>
      <c r="L244" s="2048"/>
      <c r="M244" s="2046"/>
      <c r="N244" s="2046"/>
      <c r="O244" s="2046"/>
      <c r="P244" s="2046"/>
      <c r="Q244" s="2046"/>
      <c r="R244" s="2046"/>
      <c r="S244" s="2046"/>
      <c r="T244" s="2046"/>
      <c r="U244" s="2046"/>
      <c r="V244" s="2046"/>
      <c r="W244" s="2046"/>
      <c r="X244" s="2046"/>
      <c r="Y244" s="2046"/>
      <c r="Z244" s="2046"/>
      <c r="AA244" s="2046"/>
      <c r="AB244" s="2046"/>
      <c r="AC244" s="2046"/>
    </row>
    <row r="245" spans="1:29">
      <c r="A245" s="2046"/>
      <c r="B245" s="2046"/>
      <c r="C245" s="2046"/>
      <c r="D245" s="2046"/>
      <c r="E245" s="2046"/>
      <c r="F245" s="2046"/>
      <c r="G245" s="2046"/>
      <c r="H245" s="2046"/>
      <c r="I245" s="2046"/>
      <c r="J245" s="2046"/>
      <c r="K245" s="2047"/>
      <c r="L245" s="2048"/>
      <c r="M245" s="2046"/>
      <c r="N245" s="2046"/>
      <c r="O245" s="2046"/>
      <c r="P245" s="2046"/>
      <c r="Q245" s="2046"/>
      <c r="R245" s="2046"/>
      <c r="S245" s="2046"/>
      <c r="T245" s="2046"/>
      <c r="U245" s="2046"/>
      <c r="V245" s="2046"/>
      <c r="W245" s="2046"/>
      <c r="X245" s="2046"/>
      <c r="Y245" s="2046"/>
      <c r="Z245" s="2046"/>
      <c r="AA245" s="2046"/>
      <c r="AB245" s="2046"/>
      <c r="AC245" s="2046"/>
    </row>
    <row r="246" spans="1:29">
      <c r="A246" s="2046"/>
      <c r="B246" s="2046"/>
      <c r="C246" s="2046"/>
      <c r="D246" s="2046"/>
      <c r="E246" s="2046"/>
      <c r="F246" s="2046"/>
      <c r="G246" s="2046"/>
      <c r="H246" s="2046"/>
      <c r="I246" s="2046"/>
      <c r="J246" s="2046"/>
      <c r="K246" s="2047"/>
      <c r="L246" s="2048"/>
      <c r="M246" s="2046"/>
      <c r="N246" s="2046"/>
      <c r="O246" s="2046"/>
      <c r="P246" s="2046"/>
      <c r="Q246" s="2046"/>
      <c r="R246" s="2046"/>
      <c r="S246" s="2046"/>
      <c r="T246" s="2046"/>
      <c r="U246" s="2046"/>
      <c r="V246" s="2046"/>
      <c r="W246" s="2046"/>
      <c r="X246" s="2046"/>
      <c r="Y246" s="2046"/>
      <c r="Z246" s="2046"/>
      <c r="AA246" s="2046"/>
      <c r="AB246" s="2046"/>
      <c r="AC246" s="2046"/>
    </row>
    <row r="247" spans="1:29">
      <c r="A247" s="2046"/>
      <c r="B247" s="2046"/>
      <c r="C247" s="2046"/>
      <c r="D247" s="2046"/>
      <c r="E247" s="2046"/>
      <c r="F247" s="2046"/>
      <c r="G247" s="2046"/>
      <c r="H247" s="2046"/>
      <c r="I247" s="2046"/>
      <c r="J247" s="2046"/>
      <c r="K247" s="2047"/>
      <c r="L247" s="2048"/>
      <c r="M247" s="2046"/>
      <c r="N247" s="2046"/>
      <c r="O247" s="2046"/>
      <c r="P247" s="2046"/>
      <c r="Q247" s="2046"/>
      <c r="R247" s="2046"/>
      <c r="S247" s="2046"/>
      <c r="T247" s="2046"/>
      <c r="U247" s="2046"/>
      <c r="V247" s="2046"/>
      <c r="W247" s="2046"/>
      <c r="X247" s="2046"/>
      <c r="Y247" s="2046"/>
      <c r="Z247" s="2046"/>
      <c r="AA247" s="2046"/>
      <c r="AB247" s="2046"/>
      <c r="AC247" s="2046"/>
    </row>
    <row r="248" spans="1:29">
      <c r="A248" s="2046"/>
      <c r="B248" s="2046"/>
      <c r="C248" s="2046"/>
      <c r="D248" s="2046"/>
      <c r="E248" s="2046"/>
      <c r="F248" s="2046"/>
      <c r="G248" s="2046"/>
      <c r="H248" s="2046"/>
      <c r="I248" s="2046"/>
      <c r="J248" s="2046"/>
      <c r="K248" s="2047"/>
      <c r="L248" s="2048"/>
      <c r="M248" s="2046"/>
      <c r="N248" s="2046"/>
      <c r="O248" s="2046"/>
      <c r="P248" s="2046"/>
      <c r="Q248" s="2046"/>
      <c r="R248" s="2046"/>
      <c r="S248" s="2046"/>
      <c r="T248" s="2046"/>
      <c r="U248" s="2046"/>
      <c r="V248" s="2046"/>
      <c r="W248" s="2046"/>
      <c r="X248" s="2046"/>
      <c r="Y248" s="2046"/>
      <c r="Z248" s="2046"/>
      <c r="AA248" s="2046"/>
      <c r="AB248" s="2046"/>
      <c r="AC248" s="2046"/>
    </row>
    <row r="249" spans="1:29">
      <c r="A249" s="2046"/>
      <c r="B249" s="2046"/>
      <c r="C249" s="2046"/>
      <c r="D249" s="2046"/>
      <c r="E249" s="2046"/>
      <c r="F249" s="2046"/>
      <c r="G249" s="2046"/>
      <c r="H249" s="2046"/>
      <c r="I249" s="2046"/>
      <c r="J249" s="2046"/>
      <c r="K249" s="2047"/>
      <c r="L249" s="2048"/>
      <c r="M249" s="2046"/>
      <c r="N249" s="2046"/>
      <c r="O249" s="2046"/>
      <c r="P249" s="2046"/>
      <c r="Q249" s="2046"/>
      <c r="R249" s="2046"/>
      <c r="S249" s="2046"/>
      <c r="T249" s="2046"/>
      <c r="U249" s="2046"/>
      <c r="V249" s="2046"/>
      <c r="W249" s="2046"/>
      <c r="X249" s="2046"/>
      <c r="Y249" s="2046"/>
      <c r="Z249" s="2046"/>
      <c r="AA249" s="2046"/>
      <c r="AB249" s="2046"/>
      <c r="AC249" s="2046"/>
    </row>
    <row r="250" spans="1:29">
      <c r="A250" s="2046"/>
      <c r="B250" s="2046"/>
      <c r="C250" s="2046"/>
      <c r="D250" s="2046"/>
      <c r="E250" s="2046"/>
      <c r="F250" s="2046"/>
      <c r="G250" s="2046"/>
      <c r="H250" s="2046"/>
      <c r="I250" s="2046"/>
      <c r="J250" s="2046"/>
      <c r="K250" s="2047"/>
      <c r="L250" s="2048"/>
      <c r="M250" s="2046"/>
      <c r="N250" s="2046"/>
      <c r="O250" s="2046"/>
      <c r="P250" s="2046"/>
      <c r="Q250" s="2046"/>
      <c r="R250" s="2046"/>
      <c r="S250" s="2046"/>
      <c r="T250" s="2046"/>
      <c r="U250" s="2046"/>
      <c r="V250" s="2046"/>
      <c r="W250" s="2046"/>
      <c r="X250" s="2046"/>
      <c r="Y250" s="2046"/>
      <c r="Z250" s="2046"/>
      <c r="AA250" s="2046"/>
      <c r="AB250" s="2046"/>
      <c r="AC250" s="2046"/>
    </row>
    <row r="251" spans="1:29">
      <c r="A251" s="2046"/>
      <c r="B251" s="2046"/>
      <c r="C251" s="2046"/>
      <c r="D251" s="2046"/>
      <c r="E251" s="2046"/>
      <c r="F251" s="2046"/>
      <c r="G251" s="2046"/>
      <c r="H251" s="2046"/>
      <c r="I251" s="2046"/>
      <c r="J251" s="2046"/>
      <c r="K251" s="2047"/>
      <c r="L251" s="2048"/>
      <c r="M251" s="2046"/>
      <c r="N251" s="2046"/>
      <c r="O251" s="2046"/>
      <c r="P251" s="2046"/>
      <c r="Q251" s="2046"/>
      <c r="R251" s="2046"/>
      <c r="S251" s="2046"/>
      <c r="T251" s="2046"/>
      <c r="U251" s="2046"/>
      <c r="V251" s="2046"/>
      <c r="W251" s="2046"/>
      <c r="X251" s="2046"/>
      <c r="Y251" s="2046"/>
      <c r="Z251" s="2046"/>
      <c r="AA251" s="2046"/>
      <c r="AB251" s="2046"/>
      <c r="AC251" s="2046"/>
    </row>
    <row r="252" spans="1:29">
      <c r="A252" s="2046"/>
      <c r="B252" s="2046"/>
      <c r="C252" s="2046"/>
      <c r="D252" s="2046"/>
      <c r="E252" s="2046"/>
      <c r="F252" s="2046"/>
      <c r="G252" s="2046"/>
      <c r="H252" s="2046"/>
      <c r="I252" s="2046"/>
      <c r="J252" s="2046"/>
      <c r="K252" s="2047"/>
      <c r="L252" s="2048"/>
      <c r="M252" s="2046"/>
      <c r="N252" s="2046"/>
      <c r="O252" s="2046"/>
      <c r="P252" s="2046"/>
      <c r="Q252" s="2046"/>
      <c r="R252" s="2046"/>
      <c r="S252" s="2046"/>
      <c r="T252" s="2046"/>
      <c r="U252" s="2046"/>
      <c r="V252" s="2046"/>
      <c r="W252" s="2046"/>
      <c r="X252" s="2046"/>
      <c r="Y252" s="2046"/>
      <c r="Z252" s="2046"/>
      <c r="AA252" s="2046"/>
      <c r="AB252" s="2046"/>
      <c r="AC252" s="2046"/>
    </row>
    <row r="253" spans="1:29">
      <c r="A253" s="2046"/>
      <c r="B253" s="2046"/>
      <c r="C253" s="2046"/>
      <c r="D253" s="2046"/>
      <c r="E253" s="2046"/>
      <c r="F253" s="2046"/>
      <c r="G253" s="2046"/>
      <c r="H253" s="2046"/>
      <c r="I253" s="2046"/>
      <c r="J253" s="2046"/>
      <c r="K253" s="2047"/>
      <c r="L253" s="2048"/>
      <c r="M253" s="2046"/>
      <c r="N253" s="2046"/>
      <c r="O253" s="2046"/>
      <c r="P253" s="2046"/>
      <c r="Q253" s="2046"/>
      <c r="R253" s="2046"/>
      <c r="S253" s="2046"/>
      <c r="T253" s="2046"/>
      <c r="U253" s="2046"/>
      <c r="V253" s="2046"/>
      <c r="W253" s="2046"/>
      <c r="X253" s="2046"/>
      <c r="Y253" s="2046"/>
      <c r="Z253" s="2046"/>
      <c r="AA253" s="2046"/>
      <c r="AB253" s="2046"/>
      <c r="AC253" s="2046"/>
    </row>
    <row r="254" spans="1:29">
      <c r="A254" s="2046"/>
      <c r="B254" s="2046"/>
      <c r="C254" s="2046"/>
      <c r="D254" s="2046"/>
      <c r="E254" s="2046"/>
      <c r="F254" s="2046"/>
      <c r="G254" s="2046"/>
      <c r="H254" s="2046"/>
      <c r="I254" s="2046"/>
      <c r="J254" s="2046"/>
      <c r="K254" s="2047"/>
      <c r="L254" s="2048"/>
      <c r="M254" s="2046"/>
      <c r="N254" s="2046"/>
      <c r="O254" s="2046"/>
      <c r="P254" s="2046"/>
      <c r="Q254" s="2046"/>
      <c r="R254" s="2046"/>
      <c r="S254" s="2046"/>
      <c r="T254" s="2046"/>
      <c r="U254" s="2046"/>
      <c r="V254" s="2046"/>
      <c r="W254" s="2046"/>
      <c r="X254" s="2046"/>
      <c r="Y254" s="2046"/>
      <c r="Z254" s="2046"/>
      <c r="AA254" s="2046"/>
      <c r="AB254" s="2046"/>
      <c r="AC254" s="2046"/>
    </row>
    <row r="255" spans="1:29">
      <c r="A255" s="2046"/>
      <c r="B255" s="2046"/>
      <c r="C255" s="2046"/>
      <c r="D255" s="2046"/>
      <c r="E255" s="2046"/>
      <c r="F255" s="2046"/>
      <c r="G255" s="2046"/>
      <c r="H255" s="2046"/>
      <c r="I255" s="2046"/>
      <c r="J255" s="2046"/>
      <c r="K255" s="2047"/>
      <c r="L255" s="2048"/>
      <c r="M255" s="2046"/>
      <c r="N255" s="2046"/>
      <c r="O255" s="2046"/>
      <c r="P255" s="2046"/>
      <c r="Q255" s="2046"/>
      <c r="R255" s="2046"/>
      <c r="S255" s="2046"/>
      <c r="T255" s="2046"/>
      <c r="U255" s="2046"/>
      <c r="V255" s="2046"/>
      <c r="W255" s="2046"/>
      <c r="X255" s="2046"/>
      <c r="Y255" s="2046"/>
      <c r="Z255" s="2046"/>
      <c r="AA255" s="2046"/>
      <c r="AB255" s="2046"/>
      <c r="AC255" s="2046"/>
    </row>
    <row r="256" spans="1:29">
      <c r="A256" s="2046"/>
      <c r="B256" s="2046"/>
      <c r="C256" s="2046"/>
      <c r="D256" s="2046"/>
      <c r="E256" s="2046"/>
      <c r="F256" s="2046"/>
      <c r="G256" s="2046"/>
      <c r="H256" s="2046"/>
      <c r="I256" s="2046"/>
      <c r="J256" s="2046"/>
      <c r="K256" s="2047"/>
      <c r="L256" s="2048"/>
      <c r="M256" s="2046"/>
      <c r="N256" s="2046"/>
      <c r="O256" s="2046"/>
      <c r="P256" s="2046"/>
      <c r="Q256" s="2046"/>
      <c r="R256" s="2046"/>
      <c r="S256" s="2046"/>
      <c r="T256" s="2046"/>
      <c r="U256" s="2046"/>
      <c r="V256" s="2046"/>
      <c r="W256" s="2046"/>
      <c r="X256" s="2046"/>
      <c r="Y256" s="2046"/>
      <c r="Z256" s="2046"/>
      <c r="AA256" s="2046"/>
      <c r="AB256" s="2046"/>
      <c r="AC256" s="2046"/>
    </row>
    <row r="257" spans="1:29">
      <c r="A257" s="2046"/>
      <c r="B257" s="2046"/>
      <c r="C257" s="2046"/>
      <c r="D257" s="2046"/>
      <c r="E257" s="2046"/>
      <c r="F257" s="2046"/>
      <c r="G257" s="2046"/>
      <c r="H257" s="2046"/>
      <c r="I257" s="2046"/>
      <c r="J257" s="2046"/>
      <c r="K257" s="2047"/>
      <c r="L257" s="2048"/>
      <c r="M257" s="2046"/>
      <c r="N257" s="2046"/>
      <c r="O257" s="2046"/>
      <c r="P257" s="2046"/>
      <c r="Q257" s="2046"/>
      <c r="R257" s="2046"/>
      <c r="S257" s="2046"/>
      <c r="T257" s="2046"/>
      <c r="U257" s="2046"/>
      <c r="V257" s="2046"/>
      <c r="W257" s="2046"/>
      <c r="X257" s="2046"/>
      <c r="Y257" s="2046"/>
      <c r="Z257" s="2046"/>
      <c r="AA257" s="2046"/>
      <c r="AB257" s="2046"/>
      <c r="AC257" s="2046"/>
    </row>
    <row r="258" spans="1:29">
      <c r="A258" s="2046"/>
      <c r="B258" s="2046"/>
      <c r="C258" s="2046"/>
      <c r="D258" s="2046"/>
      <c r="E258" s="2046"/>
      <c r="F258" s="2046"/>
      <c r="G258" s="2046"/>
      <c r="H258" s="2046"/>
      <c r="I258" s="2046"/>
      <c r="J258" s="2046"/>
      <c r="K258" s="2047"/>
      <c r="L258" s="2048"/>
      <c r="M258" s="2046"/>
      <c r="N258" s="2046"/>
      <c r="O258" s="2046"/>
      <c r="P258" s="2046"/>
      <c r="Q258" s="2046"/>
      <c r="R258" s="2046"/>
      <c r="S258" s="2046"/>
      <c r="T258" s="2046"/>
      <c r="U258" s="2046"/>
      <c r="V258" s="2046"/>
      <c r="W258" s="2046"/>
      <c r="X258" s="2046"/>
      <c r="Y258" s="2046"/>
      <c r="Z258" s="2046"/>
      <c r="AA258" s="2046"/>
      <c r="AB258" s="2046"/>
      <c r="AC258" s="2046"/>
    </row>
    <row r="259" spans="1:29">
      <c r="A259" s="2046"/>
      <c r="B259" s="2046"/>
      <c r="C259" s="2046"/>
      <c r="D259" s="2046"/>
      <c r="E259" s="2046"/>
      <c r="F259" s="2046"/>
      <c r="G259" s="2046"/>
      <c r="H259" s="2046"/>
      <c r="I259" s="2046"/>
      <c r="J259" s="2046"/>
      <c r="K259" s="2047"/>
      <c r="L259" s="2048"/>
      <c r="M259" s="2046"/>
      <c r="N259" s="2046"/>
      <c r="O259" s="2046"/>
      <c r="P259" s="2046"/>
      <c r="Q259" s="2046"/>
      <c r="R259" s="2046"/>
      <c r="S259" s="2046"/>
      <c r="T259" s="2046"/>
      <c r="U259" s="2046"/>
      <c r="V259" s="2046"/>
      <c r="W259" s="2046"/>
      <c r="X259" s="2046"/>
      <c r="Y259" s="2046"/>
      <c r="Z259" s="2046"/>
      <c r="AA259" s="2046"/>
      <c r="AB259" s="2046"/>
      <c r="AC259" s="2046"/>
    </row>
    <row r="260" spans="1:29">
      <c r="A260" s="2046"/>
      <c r="B260" s="2046"/>
      <c r="C260" s="2046"/>
      <c r="D260" s="2046"/>
      <c r="E260" s="2046"/>
      <c r="F260" s="2046"/>
      <c r="G260" s="2046"/>
      <c r="H260" s="2046"/>
      <c r="I260" s="2046"/>
      <c r="J260" s="2046"/>
      <c r="K260" s="2047"/>
      <c r="L260" s="2048"/>
      <c r="M260" s="2046"/>
      <c r="N260" s="2046"/>
      <c r="O260" s="2046"/>
      <c r="P260" s="2046"/>
      <c r="Q260" s="2046"/>
      <c r="R260" s="2046"/>
      <c r="S260" s="2046"/>
      <c r="T260" s="2046"/>
      <c r="U260" s="2046"/>
      <c r="V260" s="2046"/>
      <c r="W260" s="2046"/>
      <c r="X260" s="2046"/>
      <c r="Y260" s="2046"/>
      <c r="Z260" s="2046"/>
      <c r="AA260" s="2046"/>
      <c r="AB260" s="2046"/>
      <c r="AC260" s="2046"/>
    </row>
    <row r="261" spans="1:29">
      <c r="A261" s="2046"/>
      <c r="B261" s="2046"/>
      <c r="C261" s="2046"/>
      <c r="D261" s="2046"/>
      <c r="E261" s="2046"/>
      <c r="F261" s="2046"/>
      <c r="G261" s="2046"/>
      <c r="H261" s="2046"/>
      <c r="I261" s="2046"/>
      <c r="J261" s="2046"/>
      <c r="K261" s="2047"/>
      <c r="L261" s="2048"/>
      <c r="M261" s="2046"/>
      <c r="N261" s="2046"/>
      <c r="O261" s="2046"/>
      <c r="P261" s="2046"/>
      <c r="Q261" s="2046"/>
      <c r="R261" s="2046"/>
      <c r="S261" s="2046"/>
      <c r="T261" s="2046"/>
      <c r="U261" s="2046"/>
      <c r="V261" s="2046"/>
      <c r="W261" s="2046"/>
      <c r="X261" s="2046"/>
      <c r="Y261" s="2046"/>
      <c r="Z261" s="2046"/>
      <c r="AA261" s="2046"/>
      <c r="AB261" s="2046"/>
      <c r="AC261" s="2046"/>
    </row>
    <row r="262" spans="1:29">
      <c r="A262" s="2046"/>
      <c r="B262" s="2046"/>
      <c r="C262" s="2046"/>
      <c r="D262" s="2046"/>
      <c r="E262" s="2046"/>
      <c r="F262" s="2046"/>
      <c r="G262" s="2046"/>
      <c r="H262" s="2046"/>
      <c r="I262" s="2046"/>
      <c r="J262" s="2046"/>
      <c r="K262" s="2047"/>
      <c r="L262" s="2048"/>
      <c r="M262" s="2046"/>
      <c r="N262" s="2046"/>
      <c r="O262" s="2046"/>
      <c r="P262" s="2046"/>
      <c r="Q262" s="2046"/>
      <c r="R262" s="2046"/>
      <c r="S262" s="2046"/>
      <c r="T262" s="2046"/>
      <c r="U262" s="2046"/>
      <c r="V262" s="2046"/>
      <c r="W262" s="2046"/>
      <c r="X262" s="2046"/>
      <c r="Y262" s="2046"/>
      <c r="Z262" s="2046"/>
      <c r="AA262" s="2046"/>
      <c r="AB262" s="2046"/>
      <c r="AC262" s="2046"/>
    </row>
    <row r="263" spans="1:29">
      <c r="A263" s="2046"/>
      <c r="B263" s="2046"/>
      <c r="C263" s="2046"/>
      <c r="D263" s="2046"/>
      <c r="E263" s="2046"/>
      <c r="F263" s="2046"/>
      <c r="G263" s="2046"/>
      <c r="H263" s="2046"/>
      <c r="I263" s="2046"/>
      <c r="J263" s="2046"/>
      <c r="K263" s="2047"/>
      <c r="L263" s="2048"/>
      <c r="M263" s="2046"/>
      <c r="N263" s="2046"/>
      <c r="O263" s="2046"/>
      <c r="P263" s="2046"/>
      <c r="Q263" s="2046"/>
      <c r="R263" s="2046"/>
      <c r="S263" s="2046"/>
      <c r="T263" s="2046"/>
      <c r="U263" s="2046"/>
      <c r="V263" s="2046"/>
      <c r="W263" s="2046"/>
      <c r="X263" s="2046"/>
      <c r="Y263" s="2046"/>
      <c r="Z263" s="2046"/>
      <c r="AA263" s="2046"/>
      <c r="AB263" s="2046"/>
      <c r="AC263" s="2046"/>
    </row>
    <row r="264" spans="1:29">
      <c r="A264" s="2046"/>
      <c r="B264" s="2046"/>
      <c r="C264" s="2046"/>
      <c r="D264" s="2046"/>
      <c r="E264" s="2046"/>
      <c r="F264" s="2046"/>
      <c r="G264" s="2046"/>
      <c r="H264" s="2046"/>
      <c r="I264" s="2046"/>
      <c r="J264" s="2046"/>
      <c r="K264" s="2047"/>
      <c r="L264" s="2048"/>
      <c r="M264" s="2046"/>
      <c r="N264" s="2046"/>
      <c r="O264" s="2046"/>
      <c r="P264" s="2046"/>
      <c r="Q264" s="2046"/>
      <c r="R264" s="2046"/>
      <c r="S264" s="2046"/>
      <c r="T264" s="2046"/>
      <c r="U264" s="2046"/>
      <c r="V264" s="2046"/>
      <c r="W264" s="2046"/>
      <c r="X264" s="2046"/>
      <c r="Y264" s="2046"/>
      <c r="Z264" s="2046"/>
      <c r="AA264" s="2046"/>
      <c r="AB264" s="2046"/>
      <c r="AC264" s="2046"/>
    </row>
    <row r="265" spans="1:29">
      <c r="A265" s="2046"/>
      <c r="B265" s="2046"/>
      <c r="C265" s="2046"/>
      <c r="D265" s="2046"/>
      <c r="E265" s="2046"/>
      <c r="F265" s="2046"/>
      <c r="G265" s="2046"/>
      <c r="H265" s="2046"/>
      <c r="I265" s="2046"/>
      <c r="J265" s="2046"/>
      <c r="K265" s="2047"/>
      <c r="L265" s="2048"/>
      <c r="M265" s="2046"/>
      <c r="N265" s="2046"/>
      <c r="O265" s="2046"/>
      <c r="P265" s="2046"/>
      <c r="Q265" s="2046"/>
      <c r="R265" s="2046"/>
      <c r="S265" s="2046"/>
      <c r="T265" s="2046"/>
      <c r="U265" s="2046"/>
      <c r="V265" s="2046"/>
      <c r="W265" s="2046"/>
      <c r="X265" s="2046"/>
      <c r="Y265" s="2046"/>
      <c r="Z265" s="2046"/>
      <c r="AA265" s="2046"/>
      <c r="AB265" s="2046"/>
      <c r="AC265" s="2046"/>
    </row>
    <row r="266" spans="1:29">
      <c r="A266" s="2046"/>
      <c r="B266" s="2046"/>
      <c r="C266" s="2046"/>
      <c r="D266" s="2046"/>
      <c r="E266" s="2046"/>
      <c r="F266" s="2046"/>
      <c r="G266" s="2046"/>
      <c r="H266" s="2046"/>
      <c r="I266" s="2046"/>
      <c r="J266" s="2046"/>
      <c r="K266" s="2047"/>
      <c r="L266" s="2048"/>
      <c r="M266" s="2046"/>
      <c r="N266" s="2046"/>
      <c r="O266" s="2046"/>
      <c r="P266" s="2046"/>
      <c r="Q266" s="2046"/>
      <c r="R266" s="2046"/>
      <c r="S266" s="2046"/>
      <c r="T266" s="2046"/>
      <c r="U266" s="2046"/>
      <c r="V266" s="2046"/>
      <c r="W266" s="2046"/>
      <c r="X266" s="2046"/>
      <c r="Y266" s="2046"/>
      <c r="Z266" s="2046"/>
      <c r="AA266" s="2046"/>
      <c r="AB266" s="2046"/>
      <c r="AC266" s="2046"/>
    </row>
    <row r="267" spans="1:29">
      <c r="A267" s="2046"/>
      <c r="B267" s="2046"/>
      <c r="C267" s="2046"/>
      <c r="D267" s="2046"/>
      <c r="E267" s="2046"/>
      <c r="F267" s="2046"/>
      <c r="G267" s="2046"/>
      <c r="H267" s="2046"/>
      <c r="I267" s="2046"/>
      <c r="J267" s="2046"/>
      <c r="K267" s="2047"/>
      <c r="L267" s="2048"/>
      <c r="M267" s="2046"/>
      <c r="N267" s="2046"/>
      <c r="O267" s="2046"/>
      <c r="P267" s="2046"/>
      <c r="Q267" s="2046"/>
      <c r="R267" s="2046"/>
      <c r="S267" s="2046"/>
      <c r="T267" s="2046"/>
      <c r="U267" s="2046"/>
      <c r="V267" s="2046"/>
      <c r="W267" s="2046"/>
      <c r="X267" s="2046"/>
      <c r="Y267" s="2046"/>
      <c r="Z267" s="2046"/>
      <c r="AA267" s="2046"/>
      <c r="AB267" s="2046"/>
      <c r="AC267" s="2046"/>
    </row>
    <row r="268" spans="1:29">
      <c r="A268" s="2046"/>
      <c r="B268" s="2046"/>
      <c r="C268" s="2046"/>
      <c r="D268" s="2046"/>
      <c r="E268" s="2046"/>
      <c r="F268" s="2046"/>
      <c r="G268" s="2046"/>
      <c r="H268" s="2046"/>
      <c r="I268" s="2046"/>
      <c r="J268" s="2046"/>
      <c r="K268" s="2047"/>
      <c r="L268" s="2048"/>
      <c r="M268" s="2046"/>
      <c r="N268" s="2046"/>
      <c r="O268" s="2046"/>
      <c r="P268" s="2046"/>
      <c r="Q268" s="2046"/>
      <c r="R268" s="2046"/>
      <c r="S268" s="2046"/>
      <c r="T268" s="2046"/>
      <c r="U268" s="2046"/>
      <c r="V268" s="2046"/>
      <c r="W268" s="2046"/>
      <c r="X268" s="2046"/>
      <c r="Y268" s="2046"/>
      <c r="Z268" s="2046"/>
      <c r="AA268" s="2046"/>
      <c r="AB268" s="2046"/>
      <c r="AC268" s="2046"/>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45" priority="19" stopIfTrue="1" operator="containsText" text="超过">
      <formula>NOT(ISERROR(SEARCH("超过",F52)))</formula>
    </cfRule>
  </conditionalFormatting>
  <conditionalFormatting sqref="J54">
    <cfRule type="containsText" dxfId="144" priority="18" stopIfTrue="1" operator="containsText" text="超过">
      <formula>NOT(ISERROR(SEARCH("超过",J54)))</formula>
    </cfRule>
  </conditionalFormatting>
  <conditionalFormatting sqref="H54">
    <cfRule type="containsText" dxfId="143" priority="17" stopIfTrue="1" operator="containsText" text="超过">
      <formula>NOT(ISERROR(SEARCH("超过",H54)))</formula>
    </cfRule>
  </conditionalFormatting>
  <conditionalFormatting sqref="F54">
    <cfRule type="containsText" dxfId="142" priority="16" stopIfTrue="1" operator="containsText" text="超过">
      <formula>NOT(ISERROR(SEARCH("超过",F54)))</formula>
    </cfRule>
  </conditionalFormatting>
  <conditionalFormatting sqref="F53 H53 J53">
    <cfRule type="containsText" dxfId="141" priority="15" stopIfTrue="1" operator="containsText" text="超过">
      <formula>NOT(ISERROR(SEARCH("超过",F53)))</formula>
    </cfRule>
  </conditionalFormatting>
  <conditionalFormatting sqref="E52">
    <cfRule type="expression" dxfId="140" priority="14" stopIfTrue="1">
      <formula>$F$52="超过30%"</formula>
    </cfRule>
  </conditionalFormatting>
  <conditionalFormatting sqref="G54">
    <cfRule type="expression" dxfId="139" priority="12" stopIfTrue="1">
      <formula>$H$54="超过30%"</formula>
    </cfRule>
  </conditionalFormatting>
  <conditionalFormatting sqref="E53">
    <cfRule type="expression" dxfId="138" priority="11" stopIfTrue="1">
      <formula>$F$53="超过20%"</formula>
    </cfRule>
  </conditionalFormatting>
  <conditionalFormatting sqref="E54">
    <cfRule type="expression" dxfId="137" priority="10" stopIfTrue="1">
      <formula>$F$54="超过30%"</formula>
    </cfRule>
  </conditionalFormatting>
  <conditionalFormatting sqref="G52">
    <cfRule type="expression" dxfId="136" priority="9" stopIfTrue="1">
      <formula>$H$52="超过30%"</formula>
    </cfRule>
  </conditionalFormatting>
  <conditionalFormatting sqref="G53">
    <cfRule type="expression" dxfId="135" priority="8" stopIfTrue="1">
      <formula>$H$53="超过20%"</formula>
    </cfRule>
  </conditionalFormatting>
  <conditionalFormatting sqref="I52">
    <cfRule type="expression" dxfId="134" priority="7" stopIfTrue="1">
      <formula>$J$52="超过30%"</formula>
    </cfRule>
  </conditionalFormatting>
  <conditionalFormatting sqref="I53">
    <cfRule type="expression" dxfId="133" priority="6" stopIfTrue="1">
      <formula>$J$53="超过20%"</formula>
    </cfRule>
  </conditionalFormatting>
  <conditionalFormatting sqref="I54">
    <cfRule type="expression" dxfId="132" priority="5" stopIfTrue="1">
      <formula>$J$54="超过30%"</formula>
    </cfRule>
  </conditionalFormatting>
  <conditionalFormatting sqref="F48">
    <cfRule type="expression" dxfId="131" priority="4">
      <formula>$D$48="简单平均"</formula>
    </cfRule>
  </conditionalFormatting>
  <conditionalFormatting sqref="H48">
    <cfRule type="expression" dxfId="130" priority="3">
      <formula>$D$48="简单平均"</formula>
    </cfRule>
  </conditionalFormatting>
  <conditionalFormatting sqref="J48">
    <cfRule type="expression" dxfId="129" priority="2">
      <formula>$D$48="简单平均"</formula>
    </cfRule>
  </conditionalFormatting>
  <conditionalFormatting sqref="F7:F46 H7:H46 J7:J46">
    <cfRule type="cellIs" dxfId="128"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C24" sqref="C24:C524"/>
    </sheetView>
  </sheetViews>
  <sheetFormatPr defaultColWidth="9" defaultRowHeight="14.25"/>
  <cols>
    <col min="1" max="1" width="10.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489" t="s">
        <v>751</v>
      </c>
      <c r="C1" s="490" t="s">
        <v>714</v>
      </c>
      <c r="D1" s="2211"/>
      <c r="E1" s="492"/>
      <c r="F1" s="2510"/>
      <c r="G1" s="1519" t="s">
        <v>715</v>
      </c>
      <c r="H1" s="492"/>
      <c r="I1" s="492"/>
      <c r="J1" s="492"/>
      <c r="K1" s="493"/>
      <c r="L1" s="3195"/>
      <c r="M1" s="3196"/>
      <c r="N1" s="3196"/>
      <c r="O1" s="3196"/>
      <c r="P1" s="2000"/>
      <c r="Q1" s="2000"/>
      <c r="R1" s="2000"/>
      <c r="S1" s="2000"/>
      <c r="T1" s="2000"/>
      <c r="U1" s="2000"/>
      <c r="V1" s="2000"/>
      <c r="W1" s="2000"/>
      <c r="X1" s="2000"/>
      <c r="Y1" s="2000"/>
      <c r="Z1" s="2000"/>
      <c r="AA1" s="2000"/>
      <c r="AB1" s="2000"/>
      <c r="AC1" s="3197"/>
    </row>
    <row r="2" spans="1:29" s="1280" customFormat="1" ht="28.5" customHeight="1">
      <c r="A2" s="409" t="s">
        <v>461</v>
      </c>
      <c r="B2" s="831" t="e">
        <f>ROUND(B3*D3/10000,0)</f>
        <v>#DIV/0!</v>
      </c>
      <c r="C2" s="1995"/>
      <c r="D2" s="1995"/>
      <c r="E2" s="1930"/>
      <c r="F2" s="1997"/>
      <c r="G2" s="1996"/>
      <c r="H2" s="1996"/>
      <c r="I2" s="1996"/>
      <c r="J2" s="1996"/>
      <c r="K2" s="1996"/>
      <c r="L2" s="1999"/>
      <c r="M2" s="2000"/>
      <c r="N2" s="2000"/>
      <c r="O2" s="2000"/>
      <c r="P2" s="2000"/>
      <c r="Q2" s="2000"/>
      <c r="R2" s="2000"/>
      <c r="S2" s="2000"/>
      <c r="T2" s="2000"/>
      <c r="U2" s="2000"/>
      <c r="V2" s="2000"/>
      <c r="W2" s="2000"/>
      <c r="X2" s="2000"/>
      <c r="Y2" s="2000"/>
      <c r="Z2" s="2000"/>
      <c r="AA2" s="2000"/>
      <c r="AB2" s="2000"/>
      <c r="AC2" s="3197"/>
    </row>
    <row r="3" spans="1:29" s="1280" customFormat="1" ht="28.5" customHeight="1" thickBot="1">
      <c r="A3" s="495" t="s">
        <v>513</v>
      </c>
      <c r="B3" s="496" t="e">
        <f>C49</f>
        <v>#DIV/0!</v>
      </c>
      <c r="C3" s="833" t="s">
        <v>716</v>
      </c>
      <c r="D3" s="832">
        <f>SUMIF('数据-汇总表'!$C19:$C33,D1,'数据-汇总表'!$E19:$E33)</f>
        <v>0</v>
      </c>
      <c r="E3" s="1930"/>
      <c r="F3" s="1997"/>
      <c r="G3" s="1996"/>
      <c r="H3" s="1996"/>
      <c r="I3" s="1996"/>
      <c r="J3" s="1996"/>
      <c r="K3" s="1998"/>
      <c r="L3" s="1999"/>
      <c r="M3" s="2000"/>
      <c r="N3" s="2000"/>
      <c r="O3" s="2000"/>
      <c r="P3" s="2000"/>
      <c r="Q3" s="2000"/>
      <c r="R3" s="2000"/>
      <c r="S3" s="2000"/>
      <c r="T3" s="2000"/>
      <c r="U3" s="2000"/>
      <c r="V3" s="2000"/>
      <c r="W3" s="2000"/>
      <c r="X3" s="2000"/>
      <c r="Y3" s="2000"/>
      <c r="Z3" s="2000"/>
      <c r="AA3" s="2000"/>
      <c r="AB3" s="2000"/>
      <c r="AC3" s="1930"/>
    </row>
    <row r="4" spans="1:29" ht="15">
      <c r="A4" s="498" t="s">
        <v>515</v>
      </c>
      <c r="B4" s="499"/>
      <c r="C4" s="3856" t="s">
        <v>516</v>
      </c>
      <c r="D4" s="3857"/>
      <c r="E4" s="3883" t="s">
        <v>517</v>
      </c>
      <c r="F4" s="3884"/>
      <c r="G4" s="3856" t="s">
        <v>518</v>
      </c>
      <c r="H4" s="3857"/>
      <c r="I4" s="3856" t="s">
        <v>519</v>
      </c>
      <c r="J4" s="3857"/>
      <c r="K4" s="500" t="s">
        <v>520</v>
      </c>
      <c r="L4" s="2001"/>
      <c r="M4" s="2002"/>
      <c r="N4" s="2002"/>
      <c r="O4" s="2002"/>
      <c r="P4" s="3858" t="s">
        <v>521</v>
      </c>
      <c r="Q4" s="3859"/>
      <c r="R4" s="3844" t="s">
        <v>517</v>
      </c>
      <c r="S4" s="3845"/>
      <c r="T4" s="3844" t="s">
        <v>518</v>
      </c>
      <c r="U4" s="3845"/>
      <c r="V4" s="3864" t="s">
        <v>519</v>
      </c>
      <c r="W4" s="3864"/>
      <c r="X4" s="1489"/>
      <c r="Y4" s="3844" t="s">
        <v>521</v>
      </c>
      <c r="Z4" s="3845"/>
      <c r="AA4" s="3839" t="s">
        <v>517</v>
      </c>
      <c r="AB4" s="3864" t="s">
        <v>518</v>
      </c>
      <c r="AC4" s="3839" t="s">
        <v>519</v>
      </c>
    </row>
    <row r="5" spans="1:29" ht="15">
      <c r="A5" s="501"/>
      <c r="B5" s="502"/>
      <c r="C5" s="3867" t="s">
        <v>2887</v>
      </c>
      <c r="D5" s="3868"/>
      <c r="E5" s="3885" t="s">
        <v>2888</v>
      </c>
      <c r="F5" s="3886"/>
      <c r="G5" s="3867" t="s">
        <v>2889</v>
      </c>
      <c r="H5" s="3868"/>
      <c r="I5" s="3867" t="s">
        <v>2890</v>
      </c>
      <c r="J5" s="3868"/>
      <c r="K5" s="500"/>
      <c r="L5" s="2001"/>
      <c r="M5" s="2002"/>
      <c r="N5" s="2002"/>
      <c r="O5" s="2002"/>
      <c r="P5" s="3860"/>
      <c r="Q5" s="3861"/>
      <c r="R5" s="3846"/>
      <c r="S5" s="3847"/>
      <c r="T5" s="3846"/>
      <c r="U5" s="3847"/>
      <c r="V5" s="3864"/>
      <c r="W5" s="3864"/>
      <c r="X5" s="1489"/>
      <c r="Y5" s="3846"/>
      <c r="Z5" s="3847"/>
      <c r="AA5" s="3840"/>
      <c r="AB5" s="3864"/>
      <c r="AC5" s="3840"/>
    </row>
    <row r="6" spans="1:29" ht="15.75" thickBot="1">
      <c r="A6" s="503"/>
      <c r="B6" s="504"/>
      <c r="C6" s="3865" t="s">
        <v>2891</v>
      </c>
      <c r="D6" s="3866"/>
      <c r="E6" s="3887" t="s">
        <v>2891</v>
      </c>
      <c r="F6" s="3888"/>
      <c r="G6" s="3865" t="s">
        <v>2891</v>
      </c>
      <c r="H6" s="3866"/>
      <c r="I6" s="3865" t="s">
        <v>2891</v>
      </c>
      <c r="J6" s="3866"/>
      <c r="K6" s="500" t="s">
        <v>522</v>
      </c>
      <c r="L6" s="2001"/>
      <c r="M6" s="2002"/>
      <c r="N6" s="2002"/>
      <c r="O6" s="2002"/>
      <c r="P6" s="3862"/>
      <c r="Q6" s="3863"/>
      <c r="R6" s="3846"/>
      <c r="S6" s="3847"/>
      <c r="T6" s="3848"/>
      <c r="U6" s="3849"/>
      <c r="V6" s="3864"/>
      <c r="W6" s="3864"/>
      <c r="X6" s="1489"/>
      <c r="Y6" s="3848"/>
      <c r="Z6" s="3849"/>
      <c r="AA6" s="3841"/>
      <c r="AB6" s="3864"/>
      <c r="AC6" s="3841"/>
    </row>
    <row r="7" spans="1:29" s="1194" customFormat="1" ht="15.75" thickBot="1">
      <c r="A7" s="2615"/>
      <c r="B7" s="2622" t="s">
        <v>523</v>
      </c>
      <c r="C7" s="505">
        <f>'数据-取费表'!B2</f>
        <v>44191</v>
      </c>
      <c r="D7" s="506">
        <v>100</v>
      </c>
      <c r="E7" s="507"/>
      <c r="F7" s="508">
        <f>SUMIF(58:58,YEAR(E7)&amp;"-"&amp;MONTH(E7),59:59)</f>
        <v>0</v>
      </c>
      <c r="G7" s="507"/>
      <c r="H7" s="506">
        <f>SUMIF(58:58,YEAR(G7)&amp;"-"&amp;MONTH(G7),59:59)</f>
        <v>0</v>
      </c>
      <c r="I7" s="507"/>
      <c r="J7" s="506">
        <f>SUMIF(58:58,YEAR(I7)&amp;"-"&amp;MONTH(I7),59:59)</f>
        <v>0</v>
      </c>
      <c r="K7" s="510"/>
      <c r="L7" s="2003"/>
      <c r="M7" s="2004"/>
      <c r="N7" s="2004"/>
      <c r="O7" s="2004"/>
      <c r="P7" s="3842" t="s">
        <v>524</v>
      </c>
      <c r="Q7" s="3851"/>
      <c r="R7" s="1490" t="s">
        <v>8</v>
      </c>
      <c r="S7" s="1491">
        <f t="shared" ref="S7:S15" si="0">F7</f>
        <v>0</v>
      </c>
      <c r="T7" s="1490" t="s">
        <v>8</v>
      </c>
      <c r="U7" s="1491">
        <f t="shared" ref="U7:U15" si="1">H7</f>
        <v>0</v>
      </c>
      <c r="V7" s="1490" t="s">
        <v>8</v>
      </c>
      <c r="W7" s="1491">
        <f t="shared" ref="W7:W15" si="2">J7</f>
        <v>0</v>
      </c>
      <c r="X7" s="1492"/>
      <c r="Y7" s="3842" t="s">
        <v>524</v>
      </c>
      <c r="Z7" s="3843"/>
      <c r="AA7" s="1493" t="e">
        <f>D7/F7</f>
        <v>#DIV/0!</v>
      </c>
      <c r="AB7" s="1493" t="e">
        <f>D7/H7</f>
        <v>#DIV/0!</v>
      </c>
      <c r="AC7" s="1493" t="e">
        <f>D7/J7</f>
        <v>#DIV/0!</v>
      </c>
    </row>
    <row r="8" spans="1:29" s="1194" customFormat="1" ht="15.75" thickBot="1">
      <c r="A8" s="2616"/>
      <c r="B8" s="2623" t="s">
        <v>525</v>
      </c>
      <c r="C8" s="511" t="s">
        <v>570</v>
      </c>
      <c r="D8" s="506">
        <v>100</v>
      </c>
      <c r="E8" s="511"/>
      <c r="F8" s="508">
        <f>SUMIF(61:61,E8,62:62)-SUMIF(61:61,C8,62:62)+100</f>
        <v>0</v>
      </c>
      <c r="G8" s="511"/>
      <c r="H8" s="506">
        <f>SUMIF(61:61,G8,62:62)-SUMIF(61:61,C8,62:62)+100</f>
        <v>0</v>
      </c>
      <c r="I8" s="511"/>
      <c r="J8" s="506">
        <f>SUMIF(61:61,I8,62:62)-SUMIF(61:61,C8,62:62)+100</f>
        <v>0</v>
      </c>
      <c r="K8" s="510"/>
      <c r="L8" s="2003"/>
      <c r="M8" s="2004"/>
      <c r="N8" s="2004"/>
      <c r="O8" s="2004"/>
      <c r="P8" s="3842" t="s">
        <v>527</v>
      </c>
      <c r="Q8" s="3843"/>
      <c r="R8" s="1490" t="s">
        <v>8</v>
      </c>
      <c r="S8" s="1491">
        <f t="shared" si="0"/>
        <v>0</v>
      </c>
      <c r="T8" s="1490" t="s">
        <v>8</v>
      </c>
      <c r="U8" s="1491">
        <f t="shared" si="1"/>
        <v>0</v>
      </c>
      <c r="V8" s="1490" t="s">
        <v>8</v>
      </c>
      <c r="W8" s="1491">
        <f t="shared" si="2"/>
        <v>0</v>
      </c>
      <c r="X8" s="1492"/>
      <c r="Y8" s="3842" t="s">
        <v>527</v>
      </c>
      <c r="Z8" s="3843"/>
      <c r="AA8" s="1493" t="e">
        <f t="shared" ref="AA8:AA46" si="3">D8/F8</f>
        <v>#DIV/0!</v>
      </c>
      <c r="AB8" s="1493" t="e">
        <f t="shared" ref="AB8:AB46" si="4">D8/H8</f>
        <v>#DIV/0!</v>
      </c>
      <c r="AC8" s="1493" t="e">
        <f t="shared" ref="AC8:AC46" si="5">D8/J8</f>
        <v>#DIV/0!</v>
      </c>
    </row>
    <row r="9" spans="1:29" s="1194" customFormat="1" ht="15">
      <c r="A9" s="2617"/>
      <c r="B9" s="2624" t="s">
        <v>2730</v>
      </c>
      <c r="C9" s="838"/>
      <c r="D9" s="244">
        <v>100</v>
      </c>
      <c r="E9" s="841"/>
      <c r="F9" s="244">
        <f>SUMIF(63:63,E9,64:64)-SUMIF(63:63,C9,64:64)+100</f>
        <v>100</v>
      </c>
      <c r="G9" s="839"/>
      <c r="H9" s="244">
        <f>SUMIF(63:63,G9,64:64)-SUMIF(63:63,C9,64:64)+100</f>
        <v>100</v>
      </c>
      <c r="I9" s="839"/>
      <c r="J9" s="244">
        <f>SUMIF(63:63,I9,64:64)-SUMIF(63:63,C9,64:64)+100</f>
        <v>100</v>
      </c>
      <c r="K9" s="510"/>
      <c r="L9" s="2003"/>
      <c r="M9" s="2004"/>
      <c r="N9" s="2004"/>
      <c r="O9" s="2005"/>
      <c r="P9" s="3850" t="s">
        <v>529</v>
      </c>
      <c r="Q9" s="1125" t="str">
        <f t="shared" ref="Q9:Q15" si="6">B9</f>
        <v>用途</v>
      </c>
      <c r="R9" s="1490" t="s">
        <v>8</v>
      </c>
      <c r="S9" s="1491">
        <f t="shared" si="0"/>
        <v>100</v>
      </c>
      <c r="T9" s="1490" t="s">
        <v>8</v>
      </c>
      <c r="U9" s="1491">
        <f t="shared" si="1"/>
        <v>100</v>
      </c>
      <c r="V9" s="1490" t="s">
        <v>8</v>
      </c>
      <c r="W9" s="1491">
        <f t="shared" si="2"/>
        <v>100</v>
      </c>
      <c r="X9" s="1492"/>
      <c r="Y9" s="3801" t="s">
        <v>530</v>
      </c>
      <c r="Z9" s="1124" t="str">
        <f t="shared" ref="Z9:Z15" si="7">Q9</f>
        <v>用途</v>
      </c>
      <c r="AA9" s="1493">
        <f t="shared" si="3"/>
        <v>1</v>
      </c>
      <c r="AB9" s="1493">
        <f t="shared" si="4"/>
        <v>1</v>
      </c>
      <c r="AC9" s="1493">
        <f t="shared" si="5"/>
        <v>1</v>
      </c>
    </row>
    <row r="10" spans="1:29" s="1282" customFormat="1" ht="27">
      <c r="A10" s="2618"/>
      <c r="B10" s="2623" t="s">
        <v>2731</v>
      </c>
      <c r="C10" s="842"/>
      <c r="D10" s="245">
        <v>100</v>
      </c>
      <c r="E10" s="842"/>
      <c r="F10" s="245">
        <f>SUMIF(65:65,E10,66:66)-SUMIF(65:65,C10,66:66)+100</f>
        <v>100</v>
      </c>
      <c r="G10" s="843"/>
      <c r="H10" s="245">
        <f>SUMIF(65:65,G10,66:66)-SUMIF(65:65,C10,66:66)+100</f>
        <v>100</v>
      </c>
      <c r="I10" s="842"/>
      <c r="J10" s="245">
        <f>SUMIF(65:65,I10,66:66)-SUMIF(65:65,C10,66:66)+100</f>
        <v>100</v>
      </c>
      <c r="K10" s="570"/>
      <c r="L10" s="2006"/>
      <c r="M10" s="2045"/>
      <c r="N10" s="2045"/>
      <c r="O10" s="2007"/>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19"/>
      <c r="B11" s="2623" t="s">
        <v>2732</v>
      </c>
      <c r="C11" s="519"/>
      <c r="D11" s="245">
        <v>100</v>
      </c>
      <c r="E11" s="519"/>
      <c r="F11" s="245" t="e">
        <f>LOOKUP(E11,68:68,69:69)-LOOKUP(C11,68:68,69:69)+100</f>
        <v>#N/A</v>
      </c>
      <c r="G11" s="520"/>
      <c r="H11" s="245" t="e">
        <f>LOOKUP(G11,68:68,69:69)-LOOKUP(C11,68:68,69:69)+100</f>
        <v>#N/A</v>
      </c>
      <c r="I11" s="519"/>
      <c r="J11" s="245" t="e">
        <f>LOOKUP(I11,68:68,69:69)-LOOKUP(C11,68:68,69:69)+100</f>
        <v>#N/A</v>
      </c>
      <c r="K11" s="570"/>
      <c r="L11" s="2008"/>
      <c r="M11" s="2002"/>
      <c r="N11" s="2002"/>
      <c r="O11" s="2009"/>
      <c r="P11" s="3850"/>
      <c r="Q11" s="1125" t="str">
        <f t="shared" si="6"/>
        <v>容积率</v>
      </c>
      <c r="R11" s="1490" t="s">
        <v>8</v>
      </c>
      <c r="S11" s="1491" t="e">
        <f t="shared" si="0"/>
        <v>#N/A</v>
      </c>
      <c r="T11" s="1490" t="s">
        <v>8</v>
      </c>
      <c r="U11" s="1491" t="e">
        <f t="shared" si="1"/>
        <v>#N/A</v>
      </c>
      <c r="V11" s="1490" t="s">
        <v>8</v>
      </c>
      <c r="W11" s="1491" t="e">
        <f t="shared" si="2"/>
        <v>#N/A</v>
      </c>
      <c r="X11" s="1492"/>
      <c r="Y11" s="3801"/>
      <c r="Z11" s="1124" t="str">
        <f t="shared" si="7"/>
        <v>容积率</v>
      </c>
      <c r="AA11" s="1493" t="e">
        <f t="shared" si="3"/>
        <v>#N/A</v>
      </c>
      <c r="AB11" s="1493" t="e">
        <f t="shared" si="4"/>
        <v>#N/A</v>
      </c>
      <c r="AC11" s="1493" t="e">
        <f t="shared" si="5"/>
        <v>#N/A</v>
      </c>
    </row>
    <row r="12" spans="1:29" s="1194" customFormat="1" ht="15">
      <c r="A12" s="2620"/>
      <c r="B12" s="2626">
        <v>111</v>
      </c>
      <c r="C12" s="514"/>
      <c r="D12" s="524">
        <v>100</v>
      </c>
      <c r="E12" s="525"/>
      <c r="F12" s="245">
        <f>SUMIF(70:70,E12,71:71)-SUMIF(70:70,C12,71:71)+100</f>
        <v>100</v>
      </c>
      <c r="G12" s="893"/>
      <c r="H12" s="245">
        <f>SUMIF(70:70,G12,71:71)-SUMIF(70:70,C12,71:71)+100</f>
        <v>100</v>
      </c>
      <c r="I12" s="525"/>
      <c r="J12" s="245">
        <f>SUMIF(70:70,I12,71:71)-SUMIF(70:70,C12,71:71)+100</f>
        <v>100</v>
      </c>
      <c r="K12" s="567"/>
      <c r="L12" s="2003"/>
      <c r="M12" s="2004"/>
      <c r="N12" s="2004"/>
      <c r="O12" s="2005"/>
      <c r="P12" s="3850"/>
      <c r="Q12" s="1125">
        <f t="shared" si="6"/>
        <v>111</v>
      </c>
      <c r="R12" s="1490" t="s">
        <v>8</v>
      </c>
      <c r="S12" s="1491">
        <f t="shared" si="0"/>
        <v>100</v>
      </c>
      <c r="T12" s="1490" t="s">
        <v>8</v>
      </c>
      <c r="U12" s="1491">
        <f t="shared" si="1"/>
        <v>100</v>
      </c>
      <c r="V12" s="1490" t="s">
        <v>8</v>
      </c>
      <c r="W12" s="1491">
        <f t="shared" si="2"/>
        <v>100</v>
      </c>
      <c r="X12" s="1492"/>
      <c r="Y12" s="3801"/>
      <c r="Z12" s="1124">
        <f t="shared" si="7"/>
        <v>111</v>
      </c>
      <c r="AA12" s="1493">
        <f>D12/F12</f>
        <v>1</v>
      </c>
      <c r="AB12" s="1493">
        <f>D12/H12</f>
        <v>1</v>
      </c>
      <c r="AC12" s="1493">
        <f>D12/J12</f>
        <v>1</v>
      </c>
    </row>
    <row r="13" spans="1:29" ht="15">
      <c r="A13" s="2620"/>
      <c r="B13" s="2626">
        <v>111</v>
      </c>
      <c r="C13" s="525"/>
      <c r="D13" s="526">
        <v>100</v>
      </c>
      <c r="E13" s="525"/>
      <c r="F13" s="245">
        <f>SUMIF(72:72,E13,73:73)-SUMIF(72:72,C13,73:73)+100</f>
        <v>100</v>
      </c>
      <c r="G13" s="893"/>
      <c r="H13" s="526">
        <f>SUMIF(72:72,G13,73:73)-SUMIF(72:72,C13,73:73)+100</f>
        <v>100</v>
      </c>
      <c r="I13" s="525"/>
      <c r="J13" s="526">
        <f>SUMIF(72:72,I13,73:73)-SUMIF(72:72,C13,73:73)+100</f>
        <v>100</v>
      </c>
      <c r="K13" s="567"/>
      <c r="L13" s="2010"/>
      <c r="M13" s="2002"/>
      <c r="N13" s="2002"/>
      <c r="O13" s="2009"/>
      <c r="P13" s="3850"/>
      <c r="Q13" s="1125">
        <f t="shared" si="6"/>
        <v>111</v>
      </c>
      <c r="R13" s="1490" t="s">
        <v>8</v>
      </c>
      <c r="S13" s="1491">
        <f t="shared" si="0"/>
        <v>100</v>
      </c>
      <c r="T13" s="1490" t="s">
        <v>8</v>
      </c>
      <c r="U13" s="1491">
        <f t="shared" si="1"/>
        <v>100</v>
      </c>
      <c r="V13" s="1490" t="s">
        <v>8</v>
      </c>
      <c r="W13" s="1491">
        <f t="shared" si="2"/>
        <v>100</v>
      </c>
      <c r="X13" s="1492"/>
      <c r="Y13" s="3801"/>
      <c r="Z13" s="1124">
        <f t="shared" si="7"/>
        <v>111</v>
      </c>
      <c r="AA13" s="1493">
        <f t="shared" si="3"/>
        <v>1</v>
      </c>
      <c r="AB13" s="1493">
        <f t="shared" si="4"/>
        <v>1</v>
      </c>
      <c r="AC13" s="1493">
        <f t="shared" si="5"/>
        <v>1</v>
      </c>
    </row>
    <row r="14" spans="1:29" ht="15.75" thickBot="1">
      <c r="A14" s="2621"/>
      <c r="B14" s="2627">
        <v>111</v>
      </c>
      <c r="C14" s="531"/>
      <c r="D14" s="532">
        <v>100</v>
      </c>
      <c r="E14" s="531"/>
      <c r="F14" s="532">
        <f>SUMIF(74:74,E14,75:75)-SUMIF(74:74,C14,75:75)+100</f>
        <v>100</v>
      </c>
      <c r="G14" s="893"/>
      <c r="H14" s="532">
        <f>SUMIF(74:74,G14,75:75)-SUMIF(74:74,C14,75:75)+100</f>
        <v>100</v>
      </c>
      <c r="I14" s="525"/>
      <c r="J14" s="532">
        <f>SUMIF(74:74,I14,75:75)-SUMIF(74:74,C14,75:75)+100</f>
        <v>100</v>
      </c>
      <c r="K14" s="567"/>
      <c r="L14" s="2010"/>
      <c r="M14" s="2002"/>
      <c r="N14" s="2002"/>
      <c r="O14" s="2009"/>
      <c r="P14" s="3850"/>
      <c r="Q14" s="1125">
        <f t="shared" si="6"/>
        <v>111</v>
      </c>
      <c r="R14" s="1490" t="s">
        <v>8</v>
      </c>
      <c r="S14" s="1491">
        <f t="shared" si="0"/>
        <v>100</v>
      </c>
      <c r="T14" s="1490" t="s">
        <v>8</v>
      </c>
      <c r="U14" s="1491">
        <f t="shared" si="1"/>
        <v>100</v>
      </c>
      <c r="V14" s="1490" t="s">
        <v>8</v>
      </c>
      <c r="W14" s="1491">
        <f t="shared" si="2"/>
        <v>100</v>
      </c>
      <c r="X14" s="1492"/>
      <c r="Y14" s="3801"/>
      <c r="Z14" s="1124">
        <f t="shared" si="7"/>
        <v>111</v>
      </c>
      <c r="AA14" s="1493">
        <f t="shared" si="3"/>
        <v>1</v>
      </c>
      <c r="AB14" s="1493">
        <f t="shared" si="4"/>
        <v>1</v>
      </c>
      <c r="AC14" s="1493">
        <f t="shared" si="5"/>
        <v>1</v>
      </c>
    </row>
    <row r="15" spans="1:29" ht="71.25">
      <c r="A15" s="2613" t="s">
        <v>2728</v>
      </c>
      <c r="B15" s="164" t="s">
        <v>535</v>
      </c>
      <c r="C15" s="848" t="str">
        <f>估价对象房地状况!C4</f>
        <v>估价对象位于XX商圈，周边商业氛围成熟，人流量大，商业繁华度好</v>
      </c>
      <c r="D15" s="535">
        <v>100</v>
      </c>
      <c r="E15" s="536"/>
      <c r="F15" s="537">
        <f>SUMIF(76:76,E16,77:77)-SUMIF(76:76,C16,77:77)+100</f>
        <v>100</v>
      </c>
      <c r="G15" s="538"/>
      <c r="H15" s="535">
        <f>SUMIF(76:76,G16,77:77)-SUMIF(76:76,C16,77:77)+100</f>
        <v>100</v>
      </c>
      <c r="I15" s="536"/>
      <c r="J15" s="535">
        <f>SUMIF(76:76,I16,77:77)-SUMIF(76:76,C16,77:77)+100</f>
        <v>100</v>
      </c>
      <c r="K15" s="879"/>
      <c r="L15" s="2010"/>
      <c r="M15" s="2002"/>
      <c r="N15" s="2002"/>
      <c r="O15" s="2009"/>
      <c r="P15" s="3852" t="s">
        <v>534</v>
      </c>
      <c r="Q15" s="1494" t="str">
        <f t="shared" si="6"/>
        <v>商业繁华度</v>
      </c>
      <c r="R15" s="1495" t="s">
        <v>8</v>
      </c>
      <c r="S15" s="1496">
        <f t="shared" si="0"/>
        <v>100</v>
      </c>
      <c r="T15" s="1495" t="s">
        <v>8</v>
      </c>
      <c r="U15" s="1496">
        <f t="shared" si="1"/>
        <v>100</v>
      </c>
      <c r="V15" s="1495" t="s">
        <v>8</v>
      </c>
      <c r="W15" s="1496">
        <f t="shared" si="2"/>
        <v>100</v>
      </c>
      <c r="X15" s="1489"/>
      <c r="Y15" s="3852" t="s">
        <v>534</v>
      </c>
      <c r="Z15" s="1497" t="str">
        <f t="shared" si="7"/>
        <v>商业繁华度</v>
      </c>
      <c r="AA15" s="1498">
        <f t="shared" si="3"/>
        <v>1</v>
      </c>
      <c r="AB15" s="1498">
        <f t="shared" si="4"/>
        <v>1</v>
      </c>
      <c r="AC15" s="1498">
        <f t="shared" si="5"/>
        <v>1</v>
      </c>
    </row>
    <row r="16" spans="1:29" ht="15">
      <c r="A16" s="518"/>
      <c r="B16" s="850"/>
      <c r="C16" s="562"/>
      <c r="D16" s="541"/>
      <c r="E16" s="562"/>
      <c r="F16" s="543"/>
      <c r="G16" s="562"/>
      <c r="H16" s="545"/>
      <c r="I16" s="562"/>
      <c r="J16" s="541"/>
      <c r="K16" s="880"/>
      <c r="L16" s="2010"/>
      <c r="M16" s="2002"/>
      <c r="N16" s="2002"/>
      <c r="O16" s="2009"/>
      <c r="P16" s="3853"/>
      <c r="Q16" s="1494"/>
      <c r="R16" s="1495"/>
      <c r="S16" s="1496"/>
      <c r="T16" s="1495"/>
      <c r="U16" s="1496"/>
      <c r="V16" s="1495"/>
      <c r="W16" s="1496"/>
      <c r="X16" s="1489"/>
      <c r="Y16" s="3853"/>
      <c r="Z16" s="1497"/>
      <c r="AA16" s="1498">
        <v>1</v>
      </c>
      <c r="AB16" s="1498">
        <v>1</v>
      </c>
      <c r="AC16" s="1498">
        <v>1</v>
      </c>
    </row>
    <row r="17" spans="1:29" ht="85.5">
      <c r="A17" s="518"/>
      <c r="B17" s="852" t="s">
        <v>296</v>
      </c>
      <c r="C17" s="853" t="str">
        <f>估价对象房地状况!C6</f>
        <v>估价对象周边道路状况、公共交通通达情况、停车便捷程度，综合评价交通便捷度较好</v>
      </c>
      <c r="D17" s="545">
        <v>100</v>
      </c>
      <c r="E17" s="548"/>
      <c r="F17" s="549">
        <f>SUMIF(78:78,E18,79:79)-SUMIF(78:78,C18,79:79)+100</f>
        <v>100</v>
      </c>
      <c r="G17" s="550"/>
      <c r="H17" s="551">
        <f>SUMIF(78:78,G18,79:79)-SUMIF(78:78,C18,79:79)+100</f>
        <v>100</v>
      </c>
      <c r="I17" s="548"/>
      <c r="J17" s="551">
        <f>SUMIF(78:78,I18,79:79)-SUMIF(78:78,C18,79:79)+100</f>
        <v>100</v>
      </c>
      <c r="K17" s="879"/>
      <c r="L17" s="2010"/>
      <c r="M17" s="2002"/>
      <c r="N17" s="2002"/>
      <c r="O17" s="2009"/>
      <c r="P17" s="3853"/>
      <c r="Q17" s="1494" t="str">
        <f>B17</f>
        <v>交通便捷度</v>
      </c>
      <c r="R17" s="1495" t="s">
        <v>8</v>
      </c>
      <c r="S17" s="1496">
        <f>F17</f>
        <v>100</v>
      </c>
      <c r="T17" s="1495" t="s">
        <v>8</v>
      </c>
      <c r="U17" s="1496">
        <f>H17</f>
        <v>100</v>
      </c>
      <c r="V17" s="1495" t="s">
        <v>8</v>
      </c>
      <c r="W17" s="1496">
        <f>J17</f>
        <v>100</v>
      </c>
      <c r="X17" s="1489"/>
      <c r="Y17" s="3853"/>
      <c r="Z17" s="1497" t="str">
        <f>Q17</f>
        <v>交通便捷度</v>
      </c>
      <c r="AA17" s="1498">
        <f t="shared" si="3"/>
        <v>1</v>
      </c>
      <c r="AB17" s="1498">
        <f t="shared" si="4"/>
        <v>1</v>
      </c>
      <c r="AC17" s="1498">
        <f t="shared" si="5"/>
        <v>1</v>
      </c>
    </row>
    <row r="18" spans="1:29" ht="15">
      <c r="A18" s="518"/>
      <c r="B18" s="581"/>
      <c r="C18" s="854"/>
      <c r="D18" s="545"/>
      <c r="E18" s="554"/>
      <c r="F18" s="549"/>
      <c r="G18" s="555"/>
      <c r="H18" s="541"/>
      <c r="I18" s="554"/>
      <c r="J18" s="541"/>
      <c r="K18" s="880"/>
      <c r="L18" s="2010"/>
      <c r="M18" s="2002"/>
      <c r="N18" s="2002"/>
      <c r="O18" s="2009"/>
      <c r="P18" s="3853"/>
      <c r="Q18" s="1494"/>
      <c r="R18" s="1495"/>
      <c r="S18" s="1496"/>
      <c r="T18" s="1495"/>
      <c r="U18" s="1496"/>
      <c r="V18" s="1495"/>
      <c r="W18" s="1496"/>
      <c r="X18" s="1489"/>
      <c r="Y18" s="3853"/>
      <c r="Z18" s="1497"/>
      <c r="AA18" s="1498">
        <v>1</v>
      </c>
      <c r="AB18" s="1498">
        <v>1</v>
      </c>
      <c r="AC18" s="1498">
        <v>1</v>
      </c>
    </row>
    <row r="19" spans="1:29" ht="42.75">
      <c r="A19" s="518"/>
      <c r="B19" s="2430" t="s">
        <v>2522</v>
      </c>
      <c r="C19" s="853" t="str">
        <f>估价对象房地状况!C7</f>
        <v>估价对象所在区域公共配套设施齐备情况</v>
      </c>
      <c r="D19" s="551">
        <v>100</v>
      </c>
      <c r="E19" s="556"/>
      <c r="F19" s="557">
        <f>SUMIF(80:80,E20,81:81)-SUMIF(80:80,C20,81:81)+100</f>
        <v>100</v>
      </c>
      <c r="G19" s="558"/>
      <c r="H19" s="545">
        <f>SUMIF(80:80,G20,81:81)-SUMIF(80:80,C20,81:81)+100</f>
        <v>100</v>
      </c>
      <c r="I19" s="556"/>
      <c r="J19" s="545">
        <f>SUMIF(80:80,I20,81:81)-SUMIF(80:80,C20,81:81)+100</f>
        <v>100</v>
      </c>
      <c r="K19" s="879"/>
      <c r="L19" s="2010"/>
      <c r="M19" s="2002"/>
      <c r="N19" s="2002"/>
      <c r="O19" s="2009"/>
      <c r="P19" s="3853"/>
      <c r="Q19" s="1494" t="str">
        <f>B19</f>
        <v>公共配套设施</v>
      </c>
      <c r="R19" s="1495" t="s">
        <v>8</v>
      </c>
      <c r="S19" s="1496">
        <f>F19</f>
        <v>100</v>
      </c>
      <c r="T19" s="1495" t="s">
        <v>8</v>
      </c>
      <c r="U19" s="1496">
        <f>H19</f>
        <v>100</v>
      </c>
      <c r="V19" s="1495" t="s">
        <v>8</v>
      </c>
      <c r="W19" s="1496">
        <f>J19</f>
        <v>100</v>
      </c>
      <c r="X19" s="1489"/>
      <c r="Y19" s="3853"/>
      <c r="Z19" s="1497" t="str">
        <f>Q19</f>
        <v>公共配套设施</v>
      </c>
      <c r="AA19" s="1498">
        <f t="shared" si="3"/>
        <v>1</v>
      </c>
      <c r="AB19" s="1498">
        <f t="shared" si="4"/>
        <v>1</v>
      </c>
      <c r="AC19" s="1498">
        <f t="shared" si="5"/>
        <v>1</v>
      </c>
    </row>
    <row r="20" spans="1:29" ht="15">
      <c r="A20" s="518"/>
      <c r="B20" s="581"/>
      <c r="C20" s="562"/>
      <c r="D20" s="541"/>
      <c r="E20" s="542"/>
      <c r="F20" s="543"/>
      <c r="G20" s="544"/>
      <c r="H20" s="541"/>
      <c r="I20" s="542"/>
      <c r="J20" s="541"/>
      <c r="K20" s="880"/>
      <c r="L20" s="2010"/>
      <c r="M20" s="2002"/>
      <c r="N20" s="2002"/>
      <c r="O20" s="2009"/>
      <c r="P20" s="3853"/>
      <c r="Q20" s="1494"/>
      <c r="R20" s="1495"/>
      <c r="S20" s="1496"/>
      <c r="T20" s="1495"/>
      <c r="U20" s="1496"/>
      <c r="V20" s="1495"/>
      <c r="W20" s="1496"/>
      <c r="X20" s="1489"/>
      <c r="Y20" s="3853"/>
      <c r="Z20" s="1497"/>
      <c r="AA20" s="1498">
        <v>1</v>
      </c>
      <c r="AB20" s="1498">
        <v>1</v>
      </c>
      <c r="AC20" s="1498">
        <v>1</v>
      </c>
    </row>
    <row r="21" spans="1:29" ht="28.5">
      <c r="A21" s="518"/>
      <c r="B21" s="2423" t="s">
        <v>2534</v>
      </c>
      <c r="C21" s="853" t="str">
        <f>估价对象房地状况!C8</f>
        <v>估价对象所在区域基础设施水平</v>
      </c>
      <c r="D21" s="551">
        <v>100</v>
      </c>
      <c r="E21" s="558"/>
      <c r="F21" s="557">
        <f>SUMIF(82:82,E22,83:83)-SUMIF(82:82,C22,83:83)+100</f>
        <v>100</v>
      </c>
      <c r="G21" s="558"/>
      <c r="H21" s="551">
        <f>SUMIF(82:82,G22,83:83)-SUMIF(82:82,C22,83:83)+100</f>
        <v>100</v>
      </c>
      <c r="I21" s="556"/>
      <c r="J21" s="551">
        <f>SUMIF(82:82,I22,83:83)-SUMIF(82:82,C22,83:83)+100</f>
        <v>100</v>
      </c>
      <c r="K21" s="879"/>
      <c r="L21" s="2010"/>
      <c r="M21" s="2002"/>
      <c r="N21" s="2002"/>
      <c r="O21" s="2009"/>
      <c r="P21" s="3853"/>
      <c r="Q21" s="2415" t="str">
        <f>B21</f>
        <v>基础设施水平</v>
      </c>
      <c r="R21" s="1495" t="s">
        <v>8</v>
      </c>
      <c r="S21" s="1496">
        <f>F21</f>
        <v>100</v>
      </c>
      <c r="T21" s="1495" t="s">
        <v>8</v>
      </c>
      <c r="U21" s="1496">
        <f>H21</f>
        <v>100</v>
      </c>
      <c r="V21" s="1495" t="s">
        <v>8</v>
      </c>
      <c r="W21" s="1496">
        <f>J21</f>
        <v>100</v>
      </c>
      <c r="X21" s="2417"/>
      <c r="Y21" s="3853"/>
      <c r="Z21" s="2416" t="str">
        <f>Q21</f>
        <v>基础设施水平</v>
      </c>
      <c r="AA21" s="1498">
        <f t="shared" ref="AA21" si="8">D21/F21</f>
        <v>1</v>
      </c>
      <c r="AB21" s="1498">
        <f t="shared" ref="AB21" si="9">D21/H21</f>
        <v>1</v>
      </c>
      <c r="AC21" s="1498">
        <f t="shared" ref="AC21" si="10">D21/J21</f>
        <v>1</v>
      </c>
    </row>
    <row r="22" spans="1:29" ht="15">
      <c r="A22" s="518"/>
      <c r="B22" s="903"/>
      <c r="C22" s="854"/>
      <c r="D22" s="541"/>
      <c r="E22" s="562"/>
      <c r="F22" s="543"/>
      <c r="G22" s="562"/>
      <c r="H22" s="541"/>
      <c r="I22" s="562"/>
      <c r="J22" s="541"/>
      <c r="K22" s="2432"/>
      <c r="L22" s="2010"/>
      <c r="M22" s="2002"/>
      <c r="N22" s="2002"/>
      <c r="O22" s="2009"/>
      <c r="P22" s="3853"/>
      <c r="Q22" s="2415"/>
      <c r="R22" s="1495"/>
      <c r="S22" s="1496"/>
      <c r="T22" s="1495"/>
      <c r="U22" s="1496"/>
      <c r="V22" s="1495"/>
      <c r="W22" s="1496"/>
      <c r="X22" s="2417"/>
      <c r="Y22" s="3853"/>
      <c r="Z22" s="2416"/>
      <c r="AA22" s="1498">
        <v>1</v>
      </c>
      <c r="AB22" s="1498">
        <v>1</v>
      </c>
      <c r="AC22" s="1498">
        <v>1</v>
      </c>
    </row>
    <row r="23" spans="1:29" ht="57">
      <c r="A23" s="518"/>
      <c r="B23" s="852" t="s">
        <v>297</v>
      </c>
      <c r="C23" s="881" t="str">
        <f>估价对象房地状况!C9</f>
        <v>区域自然环境：；人文环境；综合评价环境状况一般</v>
      </c>
      <c r="D23" s="545">
        <v>100</v>
      </c>
      <c r="E23" s="548"/>
      <c r="F23" s="549">
        <f>SUMIF(84:84,E24,85:85)-SUMIF(84:84,C24,85:85)+100</f>
        <v>100</v>
      </c>
      <c r="G23" s="550"/>
      <c r="H23" s="545">
        <f>SUMIF(84:84,G24,85:85)-SUMIF(84:84,C24,85:85)+100</f>
        <v>100</v>
      </c>
      <c r="I23" s="548"/>
      <c r="J23" s="545">
        <f>SUMIF(84:84,I24,85:85)-SUMIF(84:84,C24,85:85)+100</f>
        <v>100</v>
      </c>
      <c r="K23" s="879"/>
      <c r="L23" s="2010"/>
      <c r="M23" s="2002"/>
      <c r="N23" s="2002"/>
      <c r="O23" s="2009"/>
      <c r="P23" s="3853"/>
      <c r="Q23" s="1494" t="str">
        <f>B23</f>
        <v>自然及人文环境</v>
      </c>
      <c r="R23" s="1495" t="s">
        <v>8</v>
      </c>
      <c r="S23" s="1496">
        <f>F23</f>
        <v>100</v>
      </c>
      <c r="T23" s="1495" t="s">
        <v>8</v>
      </c>
      <c r="U23" s="1496">
        <f>H23</f>
        <v>100</v>
      </c>
      <c r="V23" s="1495" t="s">
        <v>8</v>
      </c>
      <c r="W23" s="1496">
        <f>J23</f>
        <v>100</v>
      </c>
      <c r="X23" s="1489"/>
      <c r="Y23" s="3853"/>
      <c r="Z23" s="1497" t="str">
        <f>Q23</f>
        <v>自然及人文环境</v>
      </c>
      <c r="AA23" s="1498">
        <f t="shared" si="3"/>
        <v>1</v>
      </c>
      <c r="AB23" s="1498">
        <f t="shared" si="4"/>
        <v>1</v>
      </c>
      <c r="AC23" s="1498">
        <f t="shared" si="5"/>
        <v>1</v>
      </c>
    </row>
    <row r="24" spans="1:29" ht="15">
      <c r="A24" s="518"/>
      <c r="B24" s="581"/>
      <c r="C24" s="562"/>
      <c r="D24" s="541"/>
      <c r="E24" s="542"/>
      <c r="F24" s="543"/>
      <c r="G24" s="544"/>
      <c r="H24" s="541"/>
      <c r="I24" s="542"/>
      <c r="J24" s="541"/>
      <c r="K24" s="880"/>
      <c r="L24" s="2010"/>
      <c r="M24" s="2002"/>
      <c r="N24" s="2002"/>
      <c r="O24" s="2009"/>
      <c r="P24" s="3853"/>
      <c r="Q24" s="1494"/>
      <c r="R24" s="1495"/>
      <c r="S24" s="1496"/>
      <c r="T24" s="1495"/>
      <c r="U24" s="1496"/>
      <c r="V24" s="1495"/>
      <c r="W24" s="1496"/>
      <c r="X24" s="1489"/>
      <c r="Y24" s="3853"/>
      <c r="Z24" s="1497"/>
      <c r="AA24" s="1498">
        <v>1</v>
      </c>
      <c r="AB24" s="1498">
        <v>1</v>
      </c>
      <c r="AC24" s="1498">
        <v>1</v>
      </c>
    </row>
    <row r="25" spans="1:29" ht="15">
      <c r="A25" s="518"/>
      <c r="B25" s="513" t="s">
        <v>541</v>
      </c>
      <c r="C25" s="569"/>
      <c r="D25" s="526">
        <v>100</v>
      </c>
      <c r="E25" s="569"/>
      <c r="F25" s="561">
        <f>SUMIF(86:86,E25,87:87)-SUMIF(86:86,C25,87:87)+100</f>
        <v>100</v>
      </c>
      <c r="G25" s="569"/>
      <c r="H25" s="526">
        <f>SUMIF(86:86,G25,87:87)-SUMIF(86:86,C25,87:87)+100</f>
        <v>100</v>
      </c>
      <c r="I25" s="569"/>
      <c r="J25" s="526">
        <f>SUMIF(86:86,I25,87:87)-SUMIF(86:86,C25,87:87)+100</f>
        <v>100</v>
      </c>
      <c r="K25" s="570"/>
      <c r="L25" s="2010"/>
      <c r="M25" s="2002"/>
      <c r="N25" s="2002"/>
      <c r="O25" s="2009"/>
      <c r="P25" s="3853"/>
      <c r="Q25" s="1494" t="str">
        <f t="shared" ref="Q25:Q46" si="11">B25</f>
        <v>临街状况</v>
      </c>
      <c r="R25" s="1495" t="s">
        <v>8</v>
      </c>
      <c r="S25" s="1496">
        <f>F25</f>
        <v>100</v>
      </c>
      <c r="T25" s="1495" t="s">
        <v>8</v>
      </c>
      <c r="U25" s="1496">
        <f>H25</f>
        <v>100</v>
      </c>
      <c r="V25" s="1495" t="s">
        <v>8</v>
      </c>
      <c r="W25" s="1496">
        <f>J25</f>
        <v>100</v>
      </c>
      <c r="X25" s="1489"/>
      <c r="Y25" s="3853"/>
      <c r="Z25" s="1497" t="str">
        <f>Q25</f>
        <v>临街状况</v>
      </c>
      <c r="AA25" s="1498">
        <f t="shared" si="3"/>
        <v>1</v>
      </c>
      <c r="AB25" s="1498">
        <f t="shared" si="4"/>
        <v>1</v>
      </c>
      <c r="AC25" s="1498">
        <f t="shared" si="5"/>
        <v>1</v>
      </c>
    </row>
    <row r="26" spans="1:29" ht="15">
      <c r="A26" s="518"/>
      <c r="B26" s="858" t="s">
        <v>752</v>
      </c>
      <c r="C26" s="525"/>
      <c r="D26" s="526">
        <v>100</v>
      </c>
      <c r="E26" s="525"/>
      <c r="F26" s="561">
        <f>SUMIF(88:88,E26,89:89)-SUMIF(88:88,C26,89:89)+100</f>
        <v>100</v>
      </c>
      <c r="G26" s="525"/>
      <c r="H26" s="526">
        <f>SUMIF(88:88,G26,89:89)-SUMIF(88:88,C26,89:89)+100</f>
        <v>100</v>
      </c>
      <c r="I26" s="525"/>
      <c r="J26" s="526">
        <f>SUMIF(88:88,I26,89:89)-SUMIF(88:88,C26,89:89)+100</f>
        <v>100</v>
      </c>
      <c r="K26" s="567"/>
      <c r="L26" s="2010"/>
      <c r="M26" s="2002"/>
      <c r="N26" s="2002"/>
      <c r="O26" s="2009"/>
      <c r="P26" s="3853"/>
      <c r="Q26" s="1494" t="str">
        <f t="shared" si="11"/>
        <v>平面位置/可视性</v>
      </c>
      <c r="R26" s="1495" t="s">
        <v>8</v>
      </c>
      <c r="S26" s="1496">
        <f>F26</f>
        <v>100</v>
      </c>
      <c r="T26" s="1495" t="s">
        <v>8</v>
      </c>
      <c r="U26" s="1496">
        <f>H26</f>
        <v>100</v>
      </c>
      <c r="V26" s="1495" t="s">
        <v>8</v>
      </c>
      <c r="W26" s="1496">
        <f>J26</f>
        <v>100</v>
      </c>
      <c r="X26" s="1489"/>
      <c r="Y26" s="3853"/>
      <c r="Z26" s="1497" t="str">
        <f>Q26</f>
        <v>平面位置/可视性</v>
      </c>
      <c r="AA26" s="1498">
        <f t="shared" si="3"/>
        <v>1</v>
      </c>
      <c r="AB26" s="1498">
        <f t="shared" si="4"/>
        <v>1</v>
      </c>
      <c r="AC26" s="1498">
        <f t="shared" si="5"/>
        <v>1</v>
      </c>
    </row>
    <row r="27" spans="1:29" s="1194" customFormat="1" ht="15">
      <c r="A27" s="522"/>
      <c r="B27" s="852" t="s">
        <v>753</v>
      </c>
      <c r="C27" s="882"/>
      <c r="D27" s="856">
        <v>100</v>
      </c>
      <c r="E27" s="882"/>
      <c r="F27" s="857">
        <f>SUMIF(90:90,E27,91:91)-SUMIF(90:90,C27,91:91)+100</f>
        <v>100</v>
      </c>
      <c r="G27" s="882"/>
      <c r="H27" s="856">
        <f>SUMIF(90:90,G27,91:91)-SUMIF(90:90,C27,91:91)+100</f>
        <v>100</v>
      </c>
      <c r="I27" s="882"/>
      <c r="J27" s="856">
        <f>SUMIF(90:90,I27,91:91)-SUMIF(90:90,C27,91:91)+100</f>
        <v>100</v>
      </c>
      <c r="K27" s="570"/>
      <c r="L27" s="2003"/>
      <c r="M27" s="2004"/>
      <c r="N27" s="2004"/>
      <c r="O27" s="2005"/>
      <c r="P27" s="3853"/>
      <c r="Q27" s="1125" t="str">
        <f t="shared" si="11"/>
        <v>人流量</v>
      </c>
      <c r="R27" s="1490" t="s">
        <v>8</v>
      </c>
      <c r="S27" s="1491">
        <f>F27</f>
        <v>100</v>
      </c>
      <c r="T27" s="1490" t="s">
        <v>8</v>
      </c>
      <c r="U27" s="1491">
        <f>H27</f>
        <v>100</v>
      </c>
      <c r="V27" s="1490" t="s">
        <v>8</v>
      </c>
      <c r="W27" s="1491">
        <f>J27</f>
        <v>100</v>
      </c>
      <c r="X27" s="1492"/>
      <c r="Y27" s="3853"/>
      <c r="Z27" s="1124" t="str">
        <f>Q27</f>
        <v>人流量</v>
      </c>
      <c r="AA27" s="1498">
        <f>D27/F27</f>
        <v>1</v>
      </c>
      <c r="AB27" s="1498">
        <f>D27/H27</f>
        <v>1</v>
      </c>
      <c r="AC27" s="1498">
        <f>D27/J27</f>
        <v>1</v>
      </c>
    </row>
    <row r="28" spans="1:29" ht="15">
      <c r="A28" s="518"/>
      <c r="B28" s="513" t="s">
        <v>755</v>
      </c>
      <c r="C28" s="569"/>
      <c r="D28" s="526">
        <v>100</v>
      </c>
      <c r="E28" s="569"/>
      <c r="F28" s="561">
        <f>SUMIF(92:92,E28,93:93)-SUMIF(92:92,C28,93:93)+100</f>
        <v>100</v>
      </c>
      <c r="G28" s="569"/>
      <c r="H28" s="526">
        <f>SUMIF(92:92,G28,93:93)-SUMIF(92:92,C28,93:93)+100</f>
        <v>100</v>
      </c>
      <c r="I28" s="569"/>
      <c r="J28" s="526">
        <f>SUMIF(92:92,I28,93:93)-SUMIF(92:92,C28,93:93)+100</f>
        <v>100</v>
      </c>
      <c r="K28" s="567"/>
      <c r="L28" s="2010"/>
      <c r="M28" s="2002"/>
      <c r="N28" s="2002"/>
      <c r="O28" s="2009"/>
      <c r="P28" s="3853"/>
      <c r="Q28" s="1494" t="str">
        <f t="shared" si="11"/>
        <v>楼层</v>
      </c>
      <c r="R28" s="1495" t="s">
        <v>8</v>
      </c>
      <c r="S28" s="1496">
        <f t="shared" ref="S28:S46" si="12">F28</f>
        <v>100</v>
      </c>
      <c r="T28" s="1495" t="s">
        <v>8</v>
      </c>
      <c r="U28" s="1496">
        <f t="shared" ref="U28:U46" si="13">H28</f>
        <v>100</v>
      </c>
      <c r="V28" s="1495" t="s">
        <v>8</v>
      </c>
      <c r="W28" s="1496">
        <f t="shared" ref="W28:W46" si="14">J28</f>
        <v>100</v>
      </c>
      <c r="X28" s="1489"/>
      <c r="Y28" s="3853"/>
      <c r="Z28" s="1497" t="str">
        <f t="shared" ref="Z28:Z46" si="15">Q28</f>
        <v>楼层</v>
      </c>
      <c r="AA28" s="1498">
        <f t="shared" si="3"/>
        <v>1</v>
      </c>
      <c r="AB28" s="1498">
        <f t="shared" si="4"/>
        <v>1</v>
      </c>
      <c r="AC28" s="1498">
        <f t="shared" si="5"/>
        <v>1</v>
      </c>
    </row>
    <row r="29" spans="1:29" ht="15">
      <c r="A29" s="518"/>
      <c r="B29" s="858">
        <v>111</v>
      </c>
      <c r="C29" s="525"/>
      <c r="D29" s="526">
        <v>100</v>
      </c>
      <c r="E29" s="525"/>
      <c r="F29" s="561">
        <f>SUMIF(94:94,E29,95:95)-SUMIF(94:94,C29,95:95)+100</f>
        <v>100</v>
      </c>
      <c r="G29" s="525"/>
      <c r="H29" s="526">
        <f>SUMIF(94:94,G29,95:95)-SUMIF(94:94,C29,95:95)+100</f>
        <v>100</v>
      </c>
      <c r="I29" s="525"/>
      <c r="J29" s="526">
        <f>SUMIF(94:94,I29,95:95)-SUMIF(94:94,C29,95:95)+100</f>
        <v>100</v>
      </c>
      <c r="K29" s="567"/>
      <c r="L29" s="2010"/>
      <c r="M29" s="2002"/>
      <c r="N29" s="2002"/>
      <c r="O29" s="2009"/>
      <c r="P29" s="3853"/>
      <c r="Q29" s="1494">
        <f t="shared" si="11"/>
        <v>111</v>
      </c>
      <c r="R29" s="1495" t="s">
        <v>8</v>
      </c>
      <c r="S29" s="1496">
        <f t="shared" si="12"/>
        <v>100</v>
      </c>
      <c r="T29" s="1495" t="s">
        <v>8</v>
      </c>
      <c r="U29" s="1496">
        <f t="shared" si="13"/>
        <v>100</v>
      </c>
      <c r="V29" s="1495" t="s">
        <v>8</v>
      </c>
      <c r="W29" s="1496">
        <f t="shared" si="14"/>
        <v>100</v>
      </c>
      <c r="X29" s="1489"/>
      <c r="Y29" s="3853"/>
      <c r="Z29" s="1497">
        <f t="shared" si="15"/>
        <v>111</v>
      </c>
      <c r="AA29" s="1498">
        <f t="shared" si="3"/>
        <v>1</v>
      </c>
      <c r="AB29" s="1498">
        <f t="shared" si="4"/>
        <v>1</v>
      </c>
      <c r="AC29" s="1498">
        <f t="shared" si="5"/>
        <v>1</v>
      </c>
    </row>
    <row r="30" spans="1:29" ht="15">
      <c r="A30" s="518"/>
      <c r="B30" s="858">
        <v>111</v>
      </c>
      <c r="C30" s="525"/>
      <c r="D30" s="526">
        <v>100</v>
      </c>
      <c r="E30" s="525"/>
      <c r="F30" s="561">
        <f>SUMIF(96:96,E30,97:97)-SUMIF(96:96,C30,97:97)+100</f>
        <v>100</v>
      </c>
      <c r="G30" s="525"/>
      <c r="H30" s="526">
        <f>SUMIF(96:96,G30,97:97)-SUMIF(96:96,C30,97:97)+100</f>
        <v>100</v>
      </c>
      <c r="I30" s="525"/>
      <c r="J30" s="526">
        <f>SUMIF(96:96,I30,97:97)-SUMIF(96:96,C30,97:97)+100</f>
        <v>100</v>
      </c>
      <c r="K30" s="567"/>
      <c r="L30" s="2010"/>
      <c r="M30" s="2002"/>
      <c r="N30" s="2002"/>
      <c r="O30" s="2009"/>
      <c r="P30" s="3853"/>
      <c r="Q30" s="1494">
        <f t="shared" si="11"/>
        <v>111</v>
      </c>
      <c r="R30" s="1495" t="s">
        <v>8</v>
      </c>
      <c r="S30" s="1496">
        <f t="shared" si="12"/>
        <v>100</v>
      </c>
      <c r="T30" s="1495" t="s">
        <v>8</v>
      </c>
      <c r="U30" s="1496">
        <f t="shared" si="13"/>
        <v>100</v>
      </c>
      <c r="V30" s="1495" t="s">
        <v>8</v>
      </c>
      <c r="W30" s="1496">
        <f t="shared" si="14"/>
        <v>100</v>
      </c>
      <c r="X30" s="1489"/>
      <c r="Y30" s="3853"/>
      <c r="Z30" s="1497">
        <f t="shared" si="15"/>
        <v>111</v>
      </c>
      <c r="AA30" s="1498">
        <f t="shared" si="3"/>
        <v>1</v>
      </c>
      <c r="AB30" s="1498">
        <f t="shared" si="4"/>
        <v>1</v>
      </c>
      <c r="AC30" s="1498">
        <f t="shared" si="5"/>
        <v>1</v>
      </c>
    </row>
    <row r="31" spans="1:29" ht="15.75" thickBot="1">
      <c r="A31" s="529"/>
      <c r="B31" s="858">
        <v>111</v>
      </c>
      <c r="C31" s="531"/>
      <c r="D31" s="532">
        <v>100</v>
      </c>
      <c r="E31" s="525"/>
      <c r="F31" s="847">
        <f>SUMIF(98:98,E31,99:99)-SUMIF(98:98,C31,99:99)+100</f>
        <v>100</v>
      </c>
      <c r="G31" s="525"/>
      <c r="H31" s="532">
        <f>SUMIF(98:98,G31,99:99)-SUMIF(98:98,C31,99:99)+100</f>
        <v>100</v>
      </c>
      <c r="I31" s="525"/>
      <c r="J31" s="532">
        <f>SUMIF(98:98,I31,99:99)-SUMIF(98:98,C31,99:99)+100</f>
        <v>100</v>
      </c>
      <c r="K31" s="567"/>
      <c r="L31" s="2010"/>
      <c r="M31" s="2002"/>
      <c r="N31" s="2002"/>
      <c r="O31" s="2009"/>
      <c r="P31" s="3853"/>
      <c r="Q31" s="1494">
        <f t="shared" si="11"/>
        <v>111</v>
      </c>
      <c r="R31" s="1495" t="s">
        <v>8</v>
      </c>
      <c r="S31" s="1496">
        <f t="shared" si="12"/>
        <v>100</v>
      </c>
      <c r="T31" s="1495" t="s">
        <v>8</v>
      </c>
      <c r="U31" s="1496">
        <f t="shared" si="13"/>
        <v>100</v>
      </c>
      <c r="V31" s="1495" t="s">
        <v>8</v>
      </c>
      <c r="W31" s="1496">
        <f t="shared" si="14"/>
        <v>100</v>
      </c>
      <c r="X31" s="1489"/>
      <c r="Y31" s="3853"/>
      <c r="Z31" s="1497">
        <f t="shared" si="15"/>
        <v>111</v>
      </c>
      <c r="AA31" s="1498">
        <f t="shared" si="3"/>
        <v>1</v>
      </c>
      <c r="AB31" s="1498">
        <f t="shared" si="4"/>
        <v>1</v>
      </c>
      <c r="AC31" s="1498">
        <f t="shared" si="5"/>
        <v>1</v>
      </c>
    </row>
    <row r="32" spans="1:29" ht="15">
      <c r="A32" s="2610" t="s">
        <v>2729</v>
      </c>
      <c r="B32" s="170" t="s">
        <v>756</v>
      </c>
      <c r="C32" s="859"/>
      <c r="D32" s="583">
        <v>100</v>
      </c>
      <c r="E32" s="859"/>
      <c r="F32" s="561">
        <f>SUMIF(100:100,E32,101:101)-SUMIF(100:100,C32,101:101)+100</f>
        <v>100</v>
      </c>
      <c r="G32" s="859"/>
      <c r="H32" s="526">
        <f>SUMIF(100:100,G32,101:101)-SUMIF(100:100,C32,101:101)+100</f>
        <v>100</v>
      </c>
      <c r="I32" s="859"/>
      <c r="J32" s="583">
        <f>SUMIF(100:100,I32,101:101)-SUMIF(100:100,C32,101:101)+100</f>
        <v>100</v>
      </c>
      <c r="K32" s="570"/>
      <c r="L32" s="2010"/>
      <c r="M32" s="2002"/>
      <c r="N32" s="2002"/>
      <c r="O32" s="2009"/>
      <c r="P32" s="3854" t="s">
        <v>544</v>
      </c>
      <c r="Q32" s="1494" t="str">
        <f t="shared" si="11"/>
        <v>商业类型</v>
      </c>
      <c r="R32" s="1495" t="s">
        <v>8</v>
      </c>
      <c r="S32" s="1496">
        <f t="shared" si="12"/>
        <v>100</v>
      </c>
      <c r="T32" s="1495" t="s">
        <v>8</v>
      </c>
      <c r="U32" s="1496">
        <f t="shared" si="13"/>
        <v>100</v>
      </c>
      <c r="V32" s="1495" t="s">
        <v>8</v>
      </c>
      <c r="W32" s="1496">
        <f t="shared" si="14"/>
        <v>100</v>
      </c>
      <c r="X32" s="1489"/>
      <c r="Y32" s="3855" t="s">
        <v>544</v>
      </c>
      <c r="Z32" s="1497" t="str">
        <f t="shared" si="15"/>
        <v>商业类型</v>
      </c>
      <c r="AA32" s="1498">
        <f t="shared" si="3"/>
        <v>1</v>
      </c>
      <c r="AB32" s="1498">
        <f t="shared" si="4"/>
        <v>1</v>
      </c>
      <c r="AC32" s="1498">
        <f t="shared" si="5"/>
        <v>1</v>
      </c>
    </row>
    <row r="33" spans="1:29" s="1283" customFormat="1" ht="15">
      <c r="A33" s="589"/>
      <c r="B33" s="513" t="s">
        <v>720</v>
      </c>
      <c r="C33" s="861"/>
      <c r="D33" s="245">
        <v>100</v>
      </c>
      <c r="E33" s="520"/>
      <c r="F33" s="844" t="e">
        <f>LOOKUP(E33,103:103,104:104)-LOOKUP(C33,103:103,104:104)+100</f>
        <v>#N/A</v>
      </c>
      <c r="G33" s="519"/>
      <c r="H33" s="245" t="e">
        <f>LOOKUP(G33,103:103,104:104)-LOOKUP(C33,103:103,104:104)+100</f>
        <v>#N/A</v>
      </c>
      <c r="I33" s="519"/>
      <c r="J33" s="245" t="e">
        <f>LOOKUP(I33,103:103,104:104)-LOOKUP(C33,103:103,104:104)+100</f>
        <v>#N/A</v>
      </c>
      <c r="K33" s="567"/>
      <c r="L33" s="2008"/>
      <c r="M33" s="2038"/>
      <c r="N33" s="2038"/>
      <c r="O33" s="2011"/>
      <c r="P33" s="3855"/>
      <c r="Q33" s="1523" t="str">
        <f t="shared" si="11"/>
        <v>项目建筑规模</v>
      </c>
      <c r="R33" s="1499" t="s">
        <v>8</v>
      </c>
      <c r="S33" s="1500" t="e">
        <f t="shared" si="12"/>
        <v>#N/A</v>
      </c>
      <c r="T33" s="1499" t="s">
        <v>8</v>
      </c>
      <c r="U33" s="1500" t="e">
        <f t="shared" si="13"/>
        <v>#N/A</v>
      </c>
      <c r="V33" s="1499" t="s">
        <v>8</v>
      </c>
      <c r="W33" s="1500" t="e">
        <f t="shared" si="14"/>
        <v>#N/A</v>
      </c>
      <c r="X33" s="1501"/>
      <c r="Y33" s="3855"/>
      <c r="Z33" s="1502" t="str">
        <f t="shared" si="15"/>
        <v>项目建筑规模</v>
      </c>
      <c r="AA33" s="1498" t="e">
        <f t="shared" si="3"/>
        <v>#N/A</v>
      </c>
      <c r="AB33" s="1498" t="e">
        <f t="shared" si="4"/>
        <v>#N/A</v>
      </c>
      <c r="AC33" s="1498" t="e">
        <f t="shared" si="5"/>
        <v>#N/A</v>
      </c>
    </row>
    <row r="34" spans="1:29" ht="15">
      <c r="A34" s="580"/>
      <c r="B34" s="513" t="s">
        <v>721</v>
      </c>
      <c r="C34" s="862"/>
      <c r="D34" s="526">
        <v>100</v>
      </c>
      <c r="E34" s="863"/>
      <c r="F34" s="561">
        <f>SUMIF(105:105,E34,106:106)-SUMIF(105:105,C34,106:106)+100</f>
        <v>100</v>
      </c>
      <c r="G34" s="862"/>
      <c r="H34" s="526">
        <f>SUMIF(105:105,G34,106:106)-SUMIF(105:105,C34,106:106)+100</f>
        <v>100</v>
      </c>
      <c r="I34" s="862"/>
      <c r="J34" s="526">
        <f>SUMIF(105:105,I34,106:106)-SUMIF(105:105,C34,106:106)+100</f>
        <v>100</v>
      </c>
      <c r="K34" s="570"/>
      <c r="L34" s="2010"/>
      <c r="M34" s="2002"/>
      <c r="N34" s="2002"/>
      <c r="O34" s="2009"/>
      <c r="P34" s="3855"/>
      <c r="Q34" s="1494" t="str">
        <f t="shared" si="11"/>
        <v>建筑结构</v>
      </c>
      <c r="R34" s="1495" t="s">
        <v>8</v>
      </c>
      <c r="S34" s="1496">
        <f t="shared" si="12"/>
        <v>100</v>
      </c>
      <c r="T34" s="1495" t="s">
        <v>8</v>
      </c>
      <c r="U34" s="1496">
        <f t="shared" si="13"/>
        <v>100</v>
      </c>
      <c r="V34" s="1495" t="s">
        <v>8</v>
      </c>
      <c r="W34" s="1496">
        <f t="shared" si="14"/>
        <v>100</v>
      </c>
      <c r="X34" s="1489"/>
      <c r="Y34" s="3855"/>
      <c r="Z34" s="1497" t="str">
        <f t="shared" si="15"/>
        <v>建筑结构</v>
      </c>
      <c r="AA34" s="1498">
        <f t="shared" si="3"/>
        <v>1</v>
      </c>
      <c r="AB34" s="1498">
        <f t="shared" si="4"/>
        <v>1</v>
      </c>
      <c r="AC34" s="1498">
        <f t="shared" si="5"/>
        <v>1</v>
      </c>
    </row>
    <row r="35" spans="1:29" ht="15">
      <c r="A35" s="580"/>
      <c r="B35" s="513" t="s">
        <v>757</v>
      </c>
      <c r="C35" s="585"/>
      <c r="D35" s="526">
        <v>100</v>
      </c>
      <c r="E35" s="585"/>
      <c r="F35" s="561">
        <f>SUMIF(107:107,E35,108:108)-SUMIF(107:107,C35,108:108)+100</f>
        <v>100</v>
      </c>
      <c r="G35" s="585"/>
      <c r="H35" s="526">
        <f>SUMIF(107:107,G35,108:108)-SUMIF(107:107,C35,108:108)+100</f>
        <v>100</v>
      </c>
      <c r="I35" s="585"/>
      <c r="J35" s="526">
        <f>SUMIF(107:107,I35,108:108)-SUMIF(107:107,C35,108:108)+100</f>
        <v>100</v>
      </c>
      <c r="K35" s="570"/>
      <c r="L35" s="2010"/>
      <c r="M35" s="2002"/>
      <c r="N35" s="2002"/>
      <c r="O35" s="2009"/>
      <c r="P35" s="3855"/>
      <c r="Q35" s="1494" t="str">
        <f t="shared" si="11"/>
        <v>公共部分装修</v>
      </c>
      <c r="R35" s="1495" t="s">
        <v>8</v>
      </c>
      <c r="S35" s="1496">
        <f t="shared" si="12"/>
        <v>100</v>
      </c>
      <c r="T35" s="1495" t="s">
        <v>8</v>
      </c>
      <c r="U35" s="1496">
        <f t="shared" si="13"/>
        <v>100</v>
      </c>
      <c r="V35" s="1495" t="s">
        <v>8</v>
      </c>
      <c r="W35" s="1496">
        <f t="shared" si="14"/>
        <v>100</v>
      </c>
      <c r="X35" s="1489"/>
      <c r="Y35" s="3855"/>
      <c r="Z35" s="1497" t="str">
        <f t="shared" si="15"/>
        <v>公共部分装修</v>
      </c>
      <c r="AA35" s="1498">
        <f t="shared" si="3"/>
        <v>1</v>
      </c>
      <c r="AB35" s="1498">
        <f t="shared" si="4"/>
        <v>1</v>
      </c>
      <c r="AC35" s="1498">
        <f t="shared" si="5"/>
        <v>1</v>
      </c>
    </row>
    <row r="36" spans="1:29" ht="15">
      <c r="A36" s="580"/>
      <c r="B36" s="513" t="s">
        <v>758</v>
      </c>
      <c r="C36" s="864"/>
      <c r="D36" s="526">
        <v>100</v>
      </c>
      <c r="E36" s="864"/>
      <c r="F36" s="561" t="e">
        <f>LOOKUP(E36,110:110,111:111)-LOOKUP(C36,110:110,111:111)+100</f>
        <v>#N/A</v>
      </c>
      <c r="G36" s="864"/>
      <c r="H36" s="561" t="e">
        <f>LOOKUP(G36,110:110,111:111)-LOOKUP(C36,110:110,111:111)+100</f>
        <v>#N/A</v>
      </c>
      <c r="I36" s="864"/>
      <c r="J36" s="526" t="e">
        <f>LOOKUP(I36,110:110,111:111)-LOOKUP(C36,110:110,111:111)+100</f>
        <v>#N/A</v>
      </c>
      <c r="K36" s="570"/>
      <c r="L36" s="2010"/>
      <c r="M36" s="2002"/>
      <c r="N36" s="2002"/>
      <c r="O36" s="2009"/>
      <c r="P36" s="3855"/>
      <c r="Q36" s="1494" t="str">
        <f t="shared" si="11"/>
        <v>成新度</v>
      </c>
      <c r="R36" s="1495" t="s">
        <v>8</v>
      </c>
      <c r="S36" s="1496" t="e">
        <f t="shared" si="12"/>
        <v>#N/A</v>
      </c>
      <c r="T36" s="1495" t="s">
        <v>8</v>
      </c>
      <c r="U36" s="1496" t="e">
        <f t="shared" si="13"/>
        <v>#N/A</v>
      </c>
      <c r="V36" s="1495" t="s">
        <v>8</v>
      </c>
      <c r="W36" s="1496" t="e">
        <f t="shared" si="14"/>
        <v>#N/A</v>
      </c>
      <c r="X36" s="1489"/>
      <c r="Y36" s="3855"/>
      <c r="Z36" s="1497" t="str">
        <f t="shared" si="15"/>
        <v>成新度</v>
      </c>
      <c r="AA36" s="1498" t="e">
        <f t="shared" si="3"/>
        <v>#N/A</v>
      </c>
      <c r="AB36" s="1498" t="e">
        <f t="shared" si="4"/>
        <v>#N/A</v>
      </c>
      <c r="AC36" s="1498" t="e">
        <f t="shared" si="5"/>
        <v>#N/A</v>
      </c>
    </row>
    <row r="37" spans="1:29" s="1194" customFormat="1" ht="15">
      <c r="A37" s="586"/>
      <c r="B37" s="1795" t="s">
        <v>2541</v>
      </c>
      <c r="C37" s="585"/>
      <c r="D37" s="245">
        <v>100</v>
      </c>
      <c r="E37" s="585"/>
      <c r="F37" s="561">
        <f>SUMIF(112:112,E37,113:113)-SUMIF(112:112,C37,113:113)+100</f>
        <v>100</v>
      </c>
      <c r="G37" s="585"/>
      <c r="H37" s="526">
        <f>SUMIF(112:112,G37,113:113)-SUMIF(112:112,C37,113:113)+100</f>
        <v>100</v>
      </c>
      <c r="I37" s="585"/>
      <c r="J37" s="526">
        <f>SUMIF(112:112,I37,113:113)-SUMIF(112:112,C37,113:113)+100</f>
        <v>100</v>
      </c>
      <c r="K37" s="570"/>
      <c r="L37" s="2003"/>
      <c r="M37" s="2004"/>
      <c r="N37" s="2004"/>
      <c r="O37" s="2005"/>
      <c r="P37" s="3855"/>
      <c r="Q37" s="1125" t="str">
        <f t="shared" si="11"/>
        <v>市政基础设施</v>
      </c>
      <c r="R37" s="1490" t="s">
        <v>8</v>
      </c>
      <c r="S37" s="1491">
        <f t="shared" si="12"/>
        <v>100</v>
      </c>
      <c r="T37" s="1490" t="s">
        <v>8</v>
      </c>
      <c r="U37" s="1491">
        <f t="shared" si="13"/>
        <v>100</v>
      </c>
      <c r="V37" s="1490" t="s">
        <v>8</v>
      </c>
      <c r="W37" s="1491">
        <f t="shared" si="14"/>
        <v>100</v>
      </c>
      <c r="X37" s="1492"/>
      <c r="Y37" s="3855"/>
      <c r="Z37" s="1124" t="str">
        <f t="shared" si="15"/>
        <v>市政基础设施</v>
      </c>
      <c r="AA37" s="1493">
        <f t="shared" si="3"/>
        <v>1</v>
      </c>
      <c r="AB37" s="1493">
        <f t="shared" si="4"/>
        <v>1</v>
      </c>
      <c r="AC37" s="1493">
        <f t="shared" si="5"/>
        <v>1</v>
      </c>
    </row>
    <row r="38" spans="1:29" ht="15">
      <c r="A38" s="580"/>
      <c r="B38" s="513" t="s">
        <v>759</v>
      </c>
      <c r="C38" s="585"/>
      <c r="D38" s="526">
        <v>100</v>
      </c>
      <c r="E38" s="585"/>
      <c r="F38" s="561">
        <f>SUMIF(114:114,E38,115:115)-SUMIF(114:114,C38,115:115)+100</f>
        <v>100</v>
      </c>
      <c r="G38" s="585"/>
      <c r="H38" s="526">
        <f>SUMIF(114:114,G38,115:115)-SUMIF(114:114,C38,115:115)+100</f>
        <v>100</v>
      </c>
      <c r="I38" s="585"/>
      <c r="J38" s="526">
        <f>SUMIF(114:114,I38,115:115)-SUMIF(114:114,C38,115:115)+100</f>
        <v>100</v>
      </c>
      <c r="K38" s="570"/>
      <c r="L38" s="2010"/>
      <c r="M38" s="2002"/>
      <c r="N38" s="2002"/>
      <c r="O38" s="2009"/>
      <c r="P38" s="3855" t="s">
        <v>760</v>
      </c>
      <c r="Q38" s="1494" t="str">
        <f t="shared" si="11"/>
        <v>业态</v>
      </c>
      <c r="R38" s="1495" t="s">
        <v>8</v>
      </c>
      <c r="S38" s="1496">
        <f t="shared" si="12"/>
        <v>100</v>
      </c>
      <c r="T38" s="1495" t="s">
        <v>8</v>
      </c>
      <c r="U38" s="1496">
        <f t="shared" si="13"/>
        <v>100</v>
      </c>
      <c r="V38" s="1495" t="s">
        <v>8</v>
      </c>
      <c r="W38" s="1496">
        <f t="shared" si="14"/>
        <v>100</v>
      </c>
      <c r="X38" s="1489"/>
      <c r="Y38" s="3855" t="s">
        <v>760</v>
      </c>
      <c r="Z38" s="1497" t="str">
        <f t="shared" si="15"/>
        <v>业态</v>
      </c>
      <c r="AA38" s="1498">
        <f t="shared" si="3"/>
        <v>1</v>
      </c>
      <c r="AB38" s="1498">
        <f t="shared" si="4"/>
        <v>1</v>
      </c>
      <c r="AC38" s="1498">
        <f t="shared" si="5"/>
        <v>1</v>
      </c>
    </row>
    <row r="39" spans="1:29" ht="15">
      <c r="A39" s="580"/>
      <c r="B39" s="513" t="s">
        <v>761</v>
      </c>
      <c r="C39" s="585"/>
      <c r="D39" s="526">
        <v>100</v>
      </c>
      <c r="E39" s="585"/>
      <c r="F39" s="561">
        <f>SUMIF(116:116,E39,117:117)-SUMIF(116:116,C39,117:117)+100</f>
        <v>100</v>
      </c>
      <c r="G39" s="585"/>
      <c r="H39" s="526">
        <f>SUMIF(116:116,G39,117:117)-SUMIF(116:116,C39,117:117)+100</f>
        <v>100</v>
      </c>
      <c r="I39" s="585"/>
      <c r="J39" s="526">
        <f>SUMIF(116:116,I39,117:117)-SUMIF(116:116,C39,117:117)+100</f>
        <v>100</v>
      </c>
      <c r="K39" s="570"/>
      <c r="L39" s="2010"/>
      <c r="M39" s="2002"/>
      <c r="N39" s="2002"/>
      <c r="O39" s="2009"/>
      <c r="P39" s="3855"/>
      <c r="Q39" s="1494" t="str">
        <f t="shared" si="11"/>
        <v>层高</v>
      </c>
      <c r="R39" s="1495" t="s">
        <v>8</v>
      </c>
      <c r="S39" s="1496">
        <f t="shared" si="12"/>
        <v>100</v>
      </c>
      <c r="T39" s="1495" t="s">
        <v>8</v>
      </c>
      <c r="U39" s="1496">
        <f t="shared" si="13"/>
        <v>100</v>
      </c>
      <c r="V39" s="1495" t="s">
        <v>8</v>
      </c>
      <c r="W39" s="1496">
        <f t="shared" si="14"/>
        <v>100</v>
      </c>
      <c r="X39" s="1489"/>
      <c r="Y39" s="3855"/>
      <c r="Z39" s="1497" t="str">
        <f t="shared" si="15"/>
        <v>层高</v>
      </c>
      <c r="AA39" s="1498">
        <f t="shared" si="3"/>
        <v>1</v>
      </c>
      <c r="AB39" s="1498">
        <f t="shared" si="4"/>
        <v>1</v>
      </c>
      <c r="AC39" s="1498">
        <f t="shared" si="5"/>
        <v>1</v>
      </c>
    </row>
    <row r="40" spans="1:29" ht="15">
      <c r="A40" s="580"/>
      <c r="B40" s="513" t="s">
        <v>762</v>
      </c>
      <c r="C40" s="883"/>
      <c r="D40" s="526">
        <v>100</v>
      </c>
      <c r="E40" s="884"/>
      <c r="F40" s="561">
        <f>SUMIF(118:118,E40,119:119)-SUMIF(118:118,C40,119:119)+100</f>
        <v>100</v>
      </c>
      <c r="G40" s="884"/>
      <c r="H40" s="526">
        <f>SUMIF(118:118,G40,119:119)-SUMIF(118:118,C40,119:119)+100</f>
        <v>100</v>
      </c>
      <c r="I40" s="884"/>
      <c r="J40" s="526">
        <f>SUMIF(118:118,I40,119:119)-SUMIF(118:118,C40,119:119)+100</f>
        <v>100</v>
      </c>
      <c r="K40" s="567"/>
      <c r="L40" s="2010"/>
      <c r="M40" s="2002"/>
      <c r="N40" s="2002"/>
      <c r="O40" s="2009"/>
      <c r="P40" s="3855"/>
      <c r="Q40" s="1494" t="str">
        <f t="shared" si="11"/>
        <v>单套建筑面积</v>
      </c>
      <c r="R40" s="1495" t="s">
        <v>8</v>
      </c>
      <c r="S40" s="1496">
        <f t="shared" si="12"/>
        <v>100</v>
      </c>
      <c r="T40" s="1495" t="s">
        <v>8</v>
      </c>
      <c r="U40" s="1496">
        <f t="shared" si="13"/>
        <v>100</v>
      </c>
      <c r="V40" s="1495" t="s">
        <v>8</v>
      </c>
      <c r="W40" s="1496">
        <f t="shared" si="14"/>
        <v>100</v>
      </c>
      <c r="X40" s="1489"/>
      <c r="Y40" s="3855"/>
      <c r="Z40" s="1497" t="str">
        <f t="shared" si="15"/>
        <v>单套建筑面积</v>
      </c>
      <c r="AA40" s="1498">
        <f t="shared" si="3"/>
        <v>1</v>
      </c>
      <c r="AB40" s="1498">
        <f t="shared" si="4"/>
        <v>1</v>
      </c>
      <c r="AC40" s="1498">
        <f t="shared" si="5"/>
        <v>1</v>
      </c>
    </row>
    <row r="41" spans="1:29" s="1283" customFormat="1" ht="15">
      <c r="A41" s="589"/>
      <c r="B41" s="885" t="s">
        <v>763</v>
      </c>
      <c r="C41" s="569"/>
      <c r="D41" s="526">
        <v>100</v>
      </c>
      <c r="E41" s="569"/>
      <c r="F41" s="561">
        <f>SUMIF(120:120,E41,121:121)-SUMIF(120:120,C41,121:121)+100</f>
        <v>100</v>
      </c>
      <c r="G41" s="569"/>
      <c r="H41" s="526">
        <f>SUMIF(120:120,G41,121:121)-SUMIF(120:120,C41,121:121)+100</f>
        <v>100</v>
      </c>
      <c r="I41" s="569"/>
      <c r="J41" s="526">
        <f>SUMIF(120:120,I41,121:121)-SUMIF(120:120,C41,121:121)+100</f>
        <v>100</v>
      </c>
      <c r="K41" s="570"/>
      <c r="L41" s="2008"/>
      <c r="M41" s="2038"/>
      <c r="N41" s="2038"/>
      <c r="O41" s="2011"/>
      <c r="P41" s="3855"/>
      <c r="Q41" s="1523" t="str">
        <f t="shared" si="11"/>
        <v>进深比</v>
      </c>
      <c r="R41" s="1499" t="s">
        <v>8</v>
      </c>
      <c r="S41" s="1500">
        <f t="shared" si="12"/>
        <v>100</v>
      </c>
      <c r="T41" s="1499" t="s">
        <v>8</v>
      </c>
      <c r="U41" s="1500">
        <f t="shared" si="13"/>
        <v>100</v>
      </c>
      <c r="V41" s="1499" t="s">
        <v>8</v>
      </c>
      <c r="W41" s="1500">
        <f t="shared" si="14"/>
        <v>100</v>
      </c>
      <c r="X41" s="1501"/>
      <c r="Y41" s="3855"/>
      <c r="Z41" s="1502" t="str">
        <f t="shared" si="15"/>
        <v>进深比</v>
      </c>
      <c r="AA41" s="1498">
        <f t="shared" si="3"/>
        <v>1</v>
      </c>
      <c r="AB41" s="1498">
        <f t="shared" si="4"/>
        <v>1</v>
      </c>
      <c r="AC41" s="1498">
        <f t="shared" si="5"/>
        <v>1</v>
      </c>
    </row>
    <row r="42" spans="1:29" ht="15">
      <c r="A42" s="580"/>
      <c r="B42" s="513" t="s">
        <v>764</v>
      </c>
      <c r="C42" s="585"/>
      <c r="D42" s="526">
        <v>100</v>
      </c>
      <c r="E42" s="585"/>
      <c r="F42" s="561">
        <f>SUMIF(122:122,E42,123:123)-SUMIF(122:122,C42,123:123)+100</f>
        <v>100</v>
      </c>
      <c r="G42" s="585"/>
      <c r="H42" s="526">
        <f>SUMIF(122:122,G42,123:123)-SUMIF(122:122,C42,123:123)+100</f>
        <v>100</v>
      </c>
      <c r="I42" s="585"/>
      <c r="J42" s="526">
        <f>SUMIF(122:122,I42,123:123)-SUMIF(122:122,C42,123:123)+100</f>
        <v>100</v>
      </c>
      <c r="K42" s="570"/>
      <c r="L42" s="2010"/>
      <c r="M42" s="2002"/>
      <c r="N42" s="2002"/>
      <c r="O42" s="2009"/>
      <c r="P42" s="3855"/>
      <c r="Q42" s="1494" t="str">
        <f t="shared" si="11"/>
        <v>内部装修</v>
      </c>
      <c r="R42" s="1495" t="s">
        <v>8</v>
      </c>
      <c r="S42" s="1496">
        <f t="shared" si="12"/>
        <v>100</v>
      </c>
      <c r="T42" s="1495" t="s">
        <v>8</v>
      </c>
      <c r="U42" s="1496">
        <f t="shared" si="13"/>
        <v>100</v>
      </c>
      <c r="V42" s="1495" t="s">
        <v>8</v>
      </c>
      <c r="W42" s="1496">
        <f t="shared" si="14"/>
        <v>100</v>
      </c>
      <c r="X42" s="1489"/>
      <c r="Y42" s="3855"/>
      <c r="Z42" s="1497" t="str">
        <f t="shared" si="15"/>
        <v>内部装修</v>
      </c>
      <c r="AA42" s="1498">
        <f t="shared" si="3"/>
        <v>1</v>
      </c>
      <c r="AB42" s="1498">
        <f t="shared" si="4"/>
        <v>1</v>
      </c>
      <c r="AC42" s="1498">
        <f t="shared" si="5"/>
        <v>1</v>
      </c>
    </row>
    <row r="43" spans="1:29" ht="27">
      <c r="A43" s="580"/>
      <c r="B43" s="513" t="s">
        <v>729</v>
      </c>
      <c r="C43" s="585"/>
      <c r="D43" s="526">
        <v>100</v>
      </c>
      <c r="E43" s="585"/>
      <c r="F43" s="561">
        <f>SUMIF(124:124,E43,125:125)-SUMIF(124:124,C43,125:125)+100</f>
        <v>100</v>
      </c>
      <c r="G43" s="585"/>
      <c r="H43" s="526">
        <f>SUMIF(124:124,G43,125:125)-SUMIF(124:124,C43,125:125)+100</f>
        <v>100</v>
      </c>
      <c r="I43" s="585"/>
      <c r="J43" s="526">
        <f>SUMIF(124:124,I43,125:125)-SUMIF(124:124,C43,125:125)+100</f>
        <v>100</v>
      </c>
      <c r="K43" s="570"/>
      <c r="L43" s="2010"/>
      <c r="M43" s="2002"/>
      <c r="N43" s="2002"/>
      <c r="O43" s="2009"/>
      <c r="P43" s="3855"/>
      <c r="Q43" s="1494" t="str">
        <f t="shared" si="11"/>
        <v>内部装修维护情况</v>
      </c>
      <c r="R43" s="1495" t="s">
        <v>8</v>
      </c>
      <c r="S43" s="1496">
        <f t="shared" si="12"/>
        <v>100</v>
      </c>
      <c r="T43" s="1495" t="s">
        <v>8</v>
      </c>
      <c r="U43" s="1496">
        <f t="shared" si="13"/>
        <v>100</v>
      </c>
      <c r="V43" s="1495" t="s">
        <v>8</v>
      </c>
      <c r="W43" s="1496">
        <f t="shared" si="14"/>
        <v>100</v>
      </c>
      <c r="X43" s="1489"/>
      <c r="Y43" s="3855"/>
      <c r="Z43" s="1497" t="str">
        <f t="shared" si="15"/>
        <v>内部装修维护情况</v>
      </c>
      <c r="AA43" s="1498">
        <f t="shared" si="3"/>
        <v>1</v>
      </c>
      <c r="AB43" s="1498">
        <f t="shared" si="4"/>
        <v>1</v>
      </c>
      <c r="AC43" s="1498">
        <f t="shared" si="5"/>
        <v>1</v>
      </c>
    </row>
    <row r="44" spans="1:29" s="1194" customFormat="1" ht="15">
      <c r="A44" s="586"/>
      <c r="B44" s="858">
        <v>111</v>
      </c>
      <c r="C44" s="861"/>
      <c r="D44" s="245">
        <v>100</v>
      </c>
      <c r="E44" s="525"/>
      <c r="F44" s="844">
        <f>SUMIF(126:126,E44,127:127)-SUMIF(126:126,C44,127:127)+100</f>
        <v>100</v>
      </c>
      <c r="G44" s="525"/>
      <c r="H44" s="245">
        <f>SUMIF(126:126,G44,127:127)-SUMIF(126:126,C44,127:127)+100</f>
        <v>100</v>
      </c>
      <c r="I44" s="525"/>
      <c r="J44" s="245">
        <f>SUMIF(126:126,I44,127:127)-SUMIF(126:126,C44,127:127)+100</f>
        <v>100</v>
      </c>
      <c r="K44" s="567"/>
      <c r="L44" s="2003"/>
      <c r="M44" s="2004"/>
      <c r="N44" s="2004"/>
      <c r="O44" s="2005"/>
      <c r="P44" s="3855"/>
      <c r="Q44" s="1125">
        <f t="shared" si="11"/>
        <v>111</v>
      </c>
      <c r="R44" s="1490" t="s">
        <v>8</v>
      </c>
      <c r="S44" s="1491">
        <f t="shared" si="12"/>
        <v>100</v>
      </c>
      <c r="T44" s="1490" t="s">
        <v>8</v>
      </c>
      <c r="U44" s="1491">
        <f t="shared" si="13"/>
        <v>100</v>
      </c>
      <c r="V44" s="1490" t="s">
        <v>8</v>
      </c>
      <c r="W44" s="1491">
        <f t="shared" si="14"/>
        <v>100</v>
      </c>
      <c r="X44" s="1492"/>
      <c r="Y44" s="3855"/>
      <c r="Z44" s="1124">
        <f t="shared" si="15"/>
        <v>111</v>
      </c>
      <c r="AA44" s="1493">
        <f t="shared" si="3"/>
        <v>1</v>
      </c>
      <c r="AB44" s="1493">
        <f t="shared" si="4"/>
        <v>1</v>
      </c>
      <c r="AC44" s="1493">
        <f t="shared" si="5"/>
        <v>1</v>
      </c>
    </row>
    <row r="45" spans="1:29" ht="15">
      <c r="A45" s="580"/>
      <c r="B45" s="858">
        <v>111</v>
      </c>
      <c r="C45" s="525"/>
      <c r="D45" s="526">
        <v>100</v>
      </c>
      <c r="E45" s="525"/>
      <c r="F45" s="561">
        <f>SUMIF(128:128,E45,129:129)-SUMIF(128:128,C45,129:129)+100</f>
        <v>100</v>
      </c>
      <c r="G45" s="525"/>
      <c r="H45" s="526">
        <f>SUMIF(128:128,G45,129:129)-SUMIF(128:128,C45,129:129)+100</f>
        <v>100</v>
      </c>
      <c r="I45" s="525"/>
      <c r="J45" s="526">
        <f>SUMIF(128:128,I45,129:129)-SUMIF(128:128,C45,129:129)+100</f>
        <v>100</v>
      </c>
      <c r="K45" s="567"/>
      <c r="L45" s="2010"/>
      <c r="M45" s="2002"/>
      <c r="N45" s="2002"/>
      <c r="O45" s="2009"/>
      <c r="P45" s="3855"/>
      <c r="Q45" s="1494">
        <f t="shared" si="11"/>
        <v>111</v>
      </c>
      <c r="R45" s="1495" t="s">
        <v>8</v>
      </c>
      <c r="S45" s="1496">
        <f t="shared" si="12"/>
        <v>100</v>
      </c>
      <c r="T45" s="1495" t="s">
        <v>8</v>
      </c>
      <c r="U45" s="1496">
        <f t="shared" si="13"/>
        <v>100</v>
      </c>
      <c r="V45" s="1495" t="s">
        <v>8</v>
      </c>
      <c r="W45" s="1496">
        <f t="shared" si="14"/>
        <v>100</v>
      </c>
      <c r="X45" s="1489"/>
      <c r="Y45" s="3855"/>
      <c r="Z45" s="1497">
        <f t="shared" si="15"/>
        <v>111</v>
      </c>
      <c r="AA45" s="1498">
        <f t="shared" si="3"/>
        <v>1</v>
      </c>
      <c r="AB45" s="1498">
        <f t="shared" si="4"/>
        <v>1</v>
      </c>
      <c r="AC45" s="1498">
        <f t="shared" si="5"/>
        <v>1</v>
      </c>
    </row>
    <row r="46" spans="1:29" ht="15.75" thickBot="1">
      <c r="A46" s="867"/>
      <c r="B46" s="530">
        <v>111</v>
      </c>
      <c r="C46" s="531"/>
      <c r="D46" s="532">
        <v>100</v>
      </c>
      <c r="E46" s="525"/>
      <c r="F46" s="847">
        <f>SUMIF(130:130,E46,131:131)-SUMIF(130:130,C46,131:131)+100</f>
        <v>100</v>
      </c>
      <c r="G46" s="525"/>
      <c r="H46" s="532">
        <f>SUMIF(130:130,G46,131:131)-SUMIF(130:130,C46,131:131)+100</f>
        <v>100</v>
      </c>
      <c r="I46" s="525"/>
      <c r="J46" s="532">
        <f>SUMIF(130:130,I46,131:131)-SUMIF(130:130,C46,131:131)+100</f>
        <v>100</v>
      </c>
      <c r="K46" s="567"/>
      <c r="L46" s="2010"/>
      <c r="M46" s="2002"/>
      <c r="N46" s="2002"/>
      <c r="O46" s="2009"/>
      <c r="P46" s="3961"/>
      <c r="Q46" s="1494">
        <f t="shared" si="11"/>
        <v>111</v>
      </c>
      <c r="R46" s="1495" t="s">
        <v>8</v>
      </c>
      <c r="S46" s="1496">
        <f t="shared" si="12"/>
        <v>100</v>
      </c>
      <c r="T46" s="1495" t="s">
        <v>8</v>
      </c>
      <c r="U46" s="1496">
        <f t="shared" si="13"/>
        <v>100</v>
      </c>
      <c r="V46" s="1495" t="s">
        <v>8</v>
      </c>
      <c r="W46" s="1496">
        <f t="shared" si="14"/>
        <v>100</v>
      </c>
      <c r="X46" s="1489"/>
      <c r="Y46" s="3961"/>
      <c r="Z46" s="1497">
        <f t="shared" si="15"/>
        <v>111</v>
      </c>
      <c r="AA46" s="1498">
        <f t="shared" si="3"/>
        <v>1</v>
      </c>
      <c r="AB46" s="1498">
        <f t="shared" si="4"/>
        <v>1</v>
      </c>
      <c r="AC46" s="1498">
        <f t="shared" si="5"/>
        <v>1</v>
      </c>
    </row>
    <row r="47" spans="1:29" ht="15">
      <c r="A47" s="593" t="s">
        <v>730</v>
      </c>
      <c r="B47" s="868"/>
      <c r="C47" s="2456" t="s">
        <v>1</v>
      </c>
      <c r="D47" s="2457"/>
      <c r="E47" s="2458"/>
      <c r="F47" s="2459"/>
      <c r="G47" s="2460"/>
      <c r="H47" s="2461"/>
      <c r="I47" s="2458"/>
      <c r="J47" s="2461"/>
      <c r="K47" s="1528"/>
      <c r="L47" s="2012"/>
      <c r="M47" s="2013"/>
      <c r="N47" s="2002"/>
      <c r="O47" s="2013"/>
      <c r="P47" s="3850" t="str">
        <f>A47</f>
        <v>成交单价（元/平方米）</v>
      </c>
      <c r="Q47" s="3850"/>
      <c r="R47" s="3960">
        <f>E47</f>
        <v>0</v>
      </c>
      <c r="S47" s="3960"/>
      <c r="T47" s="3960">
        <f>G47</f>
        <v>0</v>
      </c>
      <c r="U47" s="3960"/>
      <c r="V47" s="3960">
        <f>I47</f>
        <v>0</v>
      </c>
      <c r="W47" s="3960"/>
      <c r="X47" s="1484"/>
      <c r="Y47" s="1503"/>
      <c r="Z47" s="1484"/>
      <c r="AA47" s="1484"/>
      <c r="AB47" s="1484"/>
      <c r="AC47" s="1484"/>
    </row>
    <row r="48" spans="1:29" ht="15.75" thickBot="1">
      <c r="A48" s="601" t="s">
        <v>2734</v>
      </c>
      <c r="B48" s="869"/>
      <c r="C48" s="2462" t="e">
        <f>R49</f>
        <v>#DIV/0!</v>
      </c>
      <c r="D48" s="2999" t="s">
        <v>2961</v>
      </c>
      <c r="E48" s="2463" t="e">
        <f>R48</f>
        <v>#DIV/0!</v>
      </c>
      <c r="F48" s="3000"/>
      <c r="G48" s="2462" t="e">
        <f>T48</f>
        <v>#DIV/0!</v>
      </c>
      <c r="H48" s="3000"/>
      <c r="I48" s="2463" t="e">
        <f>V48</f>
        <v>#DIV/0!</v>
      </c>
      <c r="J48" s="3000"/>
      <c r="K48" s="3008">
        <f>F48+H48+J48</f>
        <v>0</v>
      </c>
      <c r="L48" s="2012"/>
      <c r="M48" s="2013"/>
      <c r="N48" s="2002"/>
      <c r="O48" s="2013"/>
      <c r="P48" s="3850" t="str">
        <f>A48</f>
        <v>比较价格（元/平方米）</v>
      </c>
      <c r="Q48" s="3850"/>
      <c r="R48" s="3960" t="e">
        <f>IF(F1="售价",ROUND(PRODUCT(R47,AA7:AA46),0),ROUND(PRODUCT(R47,AA7:AA46),1))</f>
        <v>#DIV/0!</v>
      </c>
      <c r="S48" s="3960"/>
      <c r="T48" s="3960" t="e">
        <f>IF(F1="售价",ROUND(PRODUCT(T47,AB7:AB46),0),ROUND(PRODUCT(T47,AB7:AB46),1))</f>
        <v>#DIV/0!</v>
      </c>
      <c r="U48" s="3960"/>
      <c r="V48" s="3960" t="e">
        <f>IF(F1="售价",ROUND(PRODUCT(V47,AC7:AC46),0),ROUND(PRODUCT(V47,AC7:AC46),1))</f>
        <v>#DIV/0!</v>
      </c>
      <c r="W48" s="3960"/>
      <c r="X48" s="1484"/>
      <c r="Y48" s="1484"/>
      <c r="Z48" s="1484"/>
      <c r="AA48" s="1484"/>
      <c r="AB48" s="1484"/>
      <c r="AC48" s="1484"/>
    </row>
    <row r="49" spans="1:29" ht="15.75" thickBot="1">
      <c r="A49" s="605" t="s">
        <v>2893</v>
      </c>
      <c r="B49" s="606"/>
      <c r="C49" s="2464" t="e">
        <f>R49</f>
        <v>#DIV/0!</v>
      </c>
      <c r="D49" s="2464"/>
      <c r="E49" s="2464"/>
      <c r="F49" s="2464"/>
      <c r="G49" s="2464"/>
      <c r="H49" s="2464"/>
      <c r="I49" s="2464"/>
      <c r="J49" s="2464"/>
      <c r="K49" s="1529"/>
      <c r="L49" s="2012"/>
      <c r="M49" s="2013"/>
      <c r="N49" s="2002"/>
      <c r="O49" s="2013"/>
      <c r="P49" s="3871" t="str">
        <f>A49</f>
        <v>估价对象XX用房的比较价格（楼面单价，元/平方米）</v>
      </c>
      <c r="Q49" s="3872"/>
      <c r="R49" s="3959" t="e">
        <f>IF(F1="售价",ROUND(IF(D48="简单平均",AVERAGE(R48:V48),R48*F48+T48*H48+V48*J48),0),ROUND(IF(D48="简单平均",AVERAGE(R48:V48),R48*F48+T48*H48+V48*J48),1))</f>
        <v>#DIV/0!</v>
      </c>
      <c r="S49" s="3959"/>
      <c r="T49" s="3959"/>
      <c r="U49" s="3959"/>
      <c r="V49" s="3959"/>
      <c r="W49" s="3959"/>
      <c r="X49" s="1484"/>
      <c r="Y49" s="1484"/>
      <c r="Z49" s="1484"/>
      <c r="AA49" s="1484"/>
      <c r="AB49" s="1484"/>
      <c r="AC49" s="1484"/>
    </row>
    <row r="50" spans="1:29">
      <c r="A50" s="3199"/>
      <c r="B50" s="3199"/>
      <c r="C50" s="3199"/>
      <c r="D50" s="3199"/>
      <c r="E50" s="3199"/>
      <c r="F50" s="3199"/>
      <c r="G50" s="3201"/>
      <c r="H50" s="3199"/>
      <c r="I50" s="3199"/>
      <c r="J50" s="3199"/>
      <c r="K50" s="3202"/>
      <c r="L50" s="2017"/>
      <c r="M50" s="2013"/>
      <c r="N50" s="2013"/>
      <c r="O50" s="2013"/>
      <c r="P50" s="2013"/>
      <c r="Q50" s="2013"/>
      <c r="R50" s="2013"/>
      <c r="S50" s="2013"/>
      <c r="T50" s="2013"/>
      <c r="U50" s="2013"/>
      <c r="V50" s="2013"/>
      <c r="W50" s="2013"/>
      <c r="X50" s="2013"/>
      <c r="Y50" s="2013"/>
      <c r="Z50" s="2013"/>
      <c r="AA50" s="2013"/>
      <c r="AB50" s="2013"/>
      <c r="AC50" s="2013"/>
    </row>
    <row r="51" spans="1:29">
      <c r="A51" s="3199"/>
      <c r="B51" s="3199"/>
      <c r="C51" s="3199"/>
      <c r="D51" s="3199"/>
      <c r="E51" s="3199"/>
      <c r="F51" s="3199"/>
      <c r="G51" s="3199"/>
      <c r="H51" s="3199"/>
      <c r="I51" s="3199"/>
      <c r="J51" s="3199"/>
      <c r="K51" s="3202"/>
      <c r="L51" s="2017"/>
      <c r="M51" s="2013"/>
      <c r="N51" s="2013"/>
      <c r="O51" s="2013"/>
      <c r="P51" s="2013"/>
      <c r="Q51" s="2013"/>
      <c r="R51" s="2013"/>
      <c r="S51" s="2013"/>
      <c r="T51" s="2013"/>
      <c r="U51" s="2013"/>
      <c r="V51" s="2013"/>
      <c r="W51" s="2013"/>
      <c r="X51" s="2013"/>
      <c r="Y51" s="2013"/>
      <c r="Z51" s="2013"/>
      <c r="AA51" s="2013"/>
      <c r="AB51" s="2013"/>
      <c r="AC51" s="2013"/>
    </row>
    <row r="52" spans="1:29" ht="13.5" customHeight="1">
      <c r="A52" s="3199"/>
      <c r="B52" s="3199"/>
      <c r="C52" s="608" t="s">
        <v>551</v>
      </c>
      <c r="D52" s="609"/>
      <c r="E52" s="610" t="e">
        <f>IF(E47&lt;E48,E48/E47-1,E47/E48-1)</f>
        <v>#DIV/0!</v>
      </c>
      <c r="F52" s="611" t="e">
        <f>IF(OR(E52&gt;=0.3,E52&lt;=-0.3),"超过30%","")</f>
        <v>#DIV/0!</v>
      </c>
      <c r="G52" s="610" t="e">
        <f>IF(G47&lt;G48,G48/G47-1,G47/G48-1)</f>
        <v>#DIV/0!</v>
      </c>
      <c r="H52" s="611" t="e">
        <f>IF(OR(G52&gt;=0.3,G52&lt;=-0.3),"超过30%","")</f>
        <v>#DIV/0!</v>
      </c>
      <c r="I52" s="610" t="e">
        <f>IF(I47&lt;I48,I48/I47-1,I47/I48-1)</f>
        <v>#DIV/0!</v>
      </c>
      <c r="J52" s="611" t="e">
        <f>IF(OR(I52&gt;=0.3,I52&lt;=-0.3),"超过30%","")</f>
        <v>#DIV/0!</v>
      </c>
      <c r="K52" s="3202"/>
      <c r="L52" s="2017"/>
      <c r="M52" s="2013"/>
      <c r="N52" s="2013"/>
      <c r="O52" s="2013"/>
      <c r="P52" s="2013"/>
      <c r="Q52" s="2013"/>
      <c r="R52" s="2013"/>
      <c r="S52" s="2013"/>
      <c r="T52" s="2013"/>
      <c r="U52" s="2013"/>
      <c r="V52" s="2013"/>
      <c r="W52" s="2013"/>
      <c r="X52" s="2013"/>
      <c r="Y52" s="2013"/>
      <c r="Z52" s="2013"/>
      <c r="AA52" s="2013"/>
      <c r="AB52" s="2013"/>
      <c r="AC52" s="2013"/>
    </row>
    <row r="53" spans="1:29" ht="13.5" customHeight="1">
      <c r="A53" s="3199"/>
      <c r="B53" s="3199"/>
      <c r="C53" s="608" t="s">
        <v>552</v>
      </c>
      <c r="D53" s="612"/>
      <c r="E53" s="610" t="e">
        <f>IF(E48&lt;G48,G48/E48-1,E48/G48-1)</f>
        <v>#DIV/0!</v>
      </c>
      <c r="F53" s="611" t="e">
        <f>IF(OR(E53&gt;=0.2,E53&lt;=-0.2),"超过20%","")</f>
        <v>#DIV/0!</v>
      </c>
      <c r="G53" s="610" t="e">
        <f>IF(G48&lt;I48,I48/G48-1,G48/I48-1)</f>
        <v>#DIV/0!</v>
      </c>
      <c r="H53" s="611" t="e">
        <f>IF(OR(G53&gt;=0.2,G53&lt;=-0.2),"超过20%","")</f>
        <v>#DIV/0!</v>
      </c>
      <c r="I53" s="610" t="e">
        <f>IF(I48&lt;E48,E48/I48-1,I48/E48-1)</f>
        <v>#DIV/0!</v>
      </c>
      <c r="J53" s="611" t="e">
        <f>IF(OR(I53&gt;=0.2,I53&lt;=-0.2),"超过20%","")</f>
        <v>#DIV/0!</v>
      </c>
      <c r="K53" s="3202"/>
      <c r="L53" s="2017"/>
      <c r="M53" s="2013"/>
      <c r="N53" s="2013"/>
      <c r="O53" s="2013"/>
      <c r="P53" s="2013"/>
      <c r="Q53" s="2013"/>
      <c r="R53" s="2013"/>
      <c r="S53" s="2013"/>
      <c r="T53" s="2013"/>
      <c r="U53" s="2013"/>
      <c r="V53" s="2013"/>
      <c r="W53" s="2013"/>
      <c r="X53" s="2013"/>
      <c r="Y53" s="2013"/>
      <c r="Z53" s="2013"/>
      <c r="AA53" s="2013"/>
      <c r="AB53" s="2013"/>
      <c r="AC53" s="2013"/>
    </row>
    <row r="54" spans="1:29" s="1288" customFormat="1" ht="13.5" customHeight="1">
      <c r="A54" s="3200"/>
      <c r="B54" s="3200"/>
      <c r="C54" s="608" t="s">
        <v>553</v>
      </c>
      <c r="D54" s="612"/>
      <c r="E54" s="610" t="e">
        <f>IF(E47&lt;G47,G47/E47-1,E47/G47-1)</f>
        <v>#DIV/0!</v>
      </c>
      <c r="F54" s="611" t="e">
        <f>IF(OR(E54&gt;=0.3,E54&lt;=-0.3),"超过30%","")</f>
        <v>#DIV/0!</v>
      </c>
      <c r="G54" s="610" t="e">
        <f>IF(G47&lt;I47,I47/G47-1,G47/I47-1)</f>
        <v>#DIV/0!</v>
      </c>
      <c r="H54" s="611" t="e">
        <f>IF(OR(G54&gt;=0.3,G54&lt;=-0.3),"超过30%","")</f>
        <v>#DIV/0!</v>
      </c>
      <c r="I54" s="610" t="e">
        <f>IF(I47&lt;E47,E47/I47-1,I47/E47-1)</f>
        <v>#DIV/0!</v>
      </c>
      <c r="J54" s="611" t="e">
        <f>IF(OR(I54&gt;=0.3,I54&lt;=-0.3),"超过30%","")</f>
        <v>#DIV/0!</v>
      </c>
      <c r="K54" s="3203"/>
      <c r="L54" s="2020"/>
      <c r="M54" s="2014"/>
      <c r="N54" s="2014"/>
      <c r="O54" s="2014"/>
      <c r="P54" s="2014"/>
      <c r="Q54" s="2014"/>
      <c r="R54" s="2014"/>
      <c r="S54" s="2014"/>
      <c r="T54" s="2014"/>
      <c r="U54" s="2014"/>
      <c r="V54" s="2014"/>
      <c r="W54" s="2014"/>
      <c r="X54" s="2014"/>
      <c r="Y54" s="2014"/>
      <c r="Z54" s="2014"/>
      <c r="AA54" s="2014"/>
      <c r="AB54" s="2014"/>
      <c r="AC54" s="2014"/>
    </row>
    <row r="55" spans="1:29" s="1288" customFormat="1">
      <c r="A55" s="2014"/>
      <c r="B55" s="2015"/>
      <c r="C55" s="2018"/>
      <c r="D55" s="2014"/>
      <c r="E55" s="2014"/>
      <c r="F55" s="2014"/>
      <c r="G55" s="2014"/>
      <c r="H55" s="2014"/>
      <c r="I55" s="2014"/>
      <c r="J55" s="2014"/>
      <c r="K55" s="2019"/>
      <c r="L55" s="2020"/>
      <c r="M55" s="2014"/>
      <c r="N55" s="2014"/>
      <c r="O55" s="2014"/>
      <c r="P55" s="2014"/>
      <c r="Q55" s="2014"/>
      <c r="R55" s="2014"/>
      <c r="S55" s="2014"/>
      <c r="T55" s="2014"/>
      <c r="U55" s="2014"/>
      <c r="V55" s="2014"/>
      <c r="W55" s="2014"/>
      <c r="X55" s="2014"/>
      <c r="Y55" s="2014"/>
      <c r="Z55" s="2014"/>
      <c r="AA55" s="2014"/>
      <c r="AB55" s="2014"/>
      <c r="AC55" s="2014"/>
    </row>
    <row r="56" spans="1:29">
      <c r="A56" s="2013"/>
      <c r="B56" s="2015"/>
      <c r="C56" s="2018"/>
      <c r="D56" s="2013"/>
      <c r="E56" s="2013"/>
      <c r="F56" s="2013"/>
      <c r="G56" s="2013"/>
      <c r="H56" s="2013"/>
      <c r="I56" s="2013"/>
      <c r="J56" s="2013"/>
      <c r="K56" s="2016"/>
      <c r="L56" s="2017"/>
      <c r="M56" s="2013"/>
      <c r="N56" s="2013"/>
      <c r="O56" s="2013"/>
      <c r="P56" s="2013"/>
      <c r="Q56" s="2013"/>
      <c r="R56" s="2013"/>
      <c r="S56" s="2013"/>
      <c r="T56" s="2013"/>
      <c r="U56" s="2013"/>
      <c r="V56" s="2013"/>
      <c r="W56" s="2013"/>
      <c r="X56" s="2013"/>
      <c r="Y56" s="2013"/>
      <c r="Z56" s="2013"/>
      <c r="AA56" s="2013"/>
      <c r="AB56" s="2013"/>
      <c r="AC56" s="2013"/>
    </row>
    <row r="57" spans="1:29" ht="21.75" thickBot="1">
      <c r="A57" s="1506" t="s">
        <v>568</v>
      </c>
      <c r="B57" s="1484"/>
      <c r="C57" s="1505"/>
      <c r="D57" s="1505"/>
      <c r="E57" s="1505"/>
      <c r="F57" s="1507"/>
      <c r="G57" s="1507"/>
      <c r="H57" s="1505"/>
      <c r="I57" s="1505"/>
      <c r="J57" s="1505"/>
      <c r="K57" s="1508"/>
      <c r="L57" s="1504"/>
      <c r="M57" s="1505"/>
      <c r="N57" s="2024"/>
      <c r="O57" s="2024"/>
      <c r="P57" s="2024"/>
      <c r="Q57" s="2025"/>
      <c r="R57" s="2013"/>
      <c r="S57" s="2013"/>
      <c r="T57" s="2013"/>
      <c r="U57" s="2013"/>
      <c r="V57" s="2013"/>
      <c r="W57" s="2013"/>
      <c r="X57" s="2013"/>
      <c r="Y57" s="2013"/>
      <c r="Z57" s="2013"/>
      <c r="AA57" s="2013"/>
      <c r="AB57" s="2013"/>
      <c r="AC57" s="2013"/>
    </row>
    <row r="58" spans="1:29" s="1290" customFormat="1" ht="15">
      <c r="A58" s="629" t="s">
        <v>523</v>
      </c>
      <c r="B58" s="630"/>
      <c r="C58" s="2505" t="str">
        <f>YEAR(C7)&amp;"-"&amp;MONTH(C7)</f>
        <v>2020-12</v>
      </c>
      <c r="D58" s="2507">
        <f>EDATE(C58,-1)</f>
        <v>44136</v>
      </c>
      <c r="E58" s="2507">
        <f t="shared" ref="E58:O58" si="16">EDATE(D58,-1)</f>
        <v>44105</v>
      </c>
      <c r="F58" s="2507">
        <f t="shared" si="16"/>
        <v>44075</v>
      </c>
      <c r="G58" s="2507">
        <f t="shared" si="16"/>
        <v>44044</v>
      </c>
      <c r="H58" s="2507">
        <f t="shared" si="16"/>
        <v>44013</v>
      </c>
      <c r="I58" s="2507">
        <f t="shared" si="16"/>
        <v>43983</v>
      </c>
      <c r="J58" s="2507">
        <f t="shared" si="16"/>
        <v>43952</v>
      </c>
      <c r="K58" s="2507">
        <f t="shared" si="16"/>
        <v>43922</v>
      </c>
      <c r="L58" s="2507">
        <f t="shared" si="16"/>
        <v>43891</v>
      </c>
      <c r="M58" s="2507">
        <f t="shared" si="16"/>
        <v>43862</v>
      </c>
      <c r="N58" s="2507">
        <f t="shared" si="16"/>
        <v>43831</v>
      </c>
      <c r="O58" s="2507">
        <f t="shared" si="16"/>
        <v>43800</v>
      </c>
      <c r="P58" s="2027"/>
      <c r="Q58" s="2028"/>
      <c r="R58" s="2028"/>
      <c r="S58" s="2028"/>
      <c r="T58" s="2028"/>
      <c r="U58" s="2028"/>
      <c r="V58" s="2028"/>
      <c r="W58" s="2028"/>
      <c r="X58" s="2028"/>
      <c r="Y58" s="2028"/>
      <c r="Z58" s="2028"/>
      <c r="AA58" s="2028"/>
      <c r="AB58" s="2028"/>
      <c r="AC58" s="2028"/>
    </row>
    <row r="59" spans="1:29" s="1194" customFormat="1" ht="15">
      <c r="A59" s="631"/>
      <c r="B59" s="632"/>
      <c r="C59" s="633">
        <v>100</v>
      </c>
      <c r="D59" s="634"/>
      <c r="E59" s="634"/>
      <c r="F59" s="634"/>
      <c r="G59" s="634"/>
      <c r="H59" s="634"/>
      <c r="I59" s="634"/>
      <c r="J59" s="634"/>
      <c r="K59" s="634"/>
      <c r="L59" s="634"/>
      <c r="M59" s="635"/>
      <c r="N59" s="634"/>
      <c r="O59" s="636"/>
      <c r="P59" s="2025"/>
      <c r="Q59" s="1891"/>
      <c r="R59" s="1891"/>
      <c r="S59" s="1891"/>
      <c r="T59" s="1891"/>
      <c r="U59" s="1891"/>
      <c r="V59" s="1891"/>
      <c r="W59" s="1891"/>
      <c r="X59" s="1891"/>
      <c r="Y59" s="1891"/>
      <c r="Z59" s="1891"/>
      <c r="AA59" s="1891"/>
      <c r="AB59" s="1891"/>
      <c r="AC59" s="1891"/>
    </row>
    <row r="60" spans="1:29" s="1194" customFormat="1" ht="15.75" thickBot="1">
      <c r="A60" s="637" t="s">
        <v>569</v>
      </c>
      <c r="B60" s="638"/>
      <c r="C60" s="639"/>
      <c r="D60" s="640"/>
      <c r="E60" s="640"/>
      <c r="F60" s="640"/>
      <c r="G60" s="640"/>
      <c r="H60" s="640"/>
      <c r="I60" s="640"/>
      <c r="J60" s="640"/>
      <c r="K60" s="640"/>
      <c r="L60" s="640"/>
      <c r="M60" s="641"/>
      <c r="N60" s="640"/>
      <c r="O60" s="642"/>
      <c r="P60" s="2025"/>
      <c r="Q60" s="2025"/>
      <c r="R60" s="1891"/>
      <c r="S60" s="1891"/>
      <c r="T60" s="1891"/>
      <c r="U60" s="1891"/>
      <c r="V60" s="1891"/>
      <c r="W60" s="1891"/>
      <c r="X60" s="1891"/>
      <c r="Y60" s="1891"/>
      <c r="Z60" s="1891"/>
      <c r="AA60" s="1891"/>
      <c r="AB60" s="1891"/>
      <c r="AC60" s="1891"/>
    </row>
    <row r="61" spans="1:29" s="1194" customFormat="1" ht="15">
      <c r="A61" s="643" t="s">
        <v>525</v>
      </c>
      <c r="B61" s="632"/>
      <c r="C61" s="644" t="s">
        <v>570</v>
      </c>
      <c r="D61" s="645"/>
      <c r="E61" s="645"/>
      <c r="F61" s="645"/>
      <c r="G61" s="645"/>
      <c r="H61" s="645"/>
      <c r="I61" s="645"/>
      <c r="J61" s="645"/>
      <c r="K61" s="645"/>
      <c r="L61" s="646"/>
      <c r="M61" s="647"/>
      <c r="N61" s="2029"/>
      <c r="O61" s="2029"/>
      <c r="P61" s="2030"/>
      <c r="Q61" s="2025"/>
      <c r="R61" s="1891"/>
      <c r="S61" s="1891"/>
      <c r="T61" s="1891"/>
      <c r="U61" s="1891"/>
      <c r="V61" s="1891"/>
      <c r="W61" s="1891"/>
      <c r="X61" s="1891"/>
      <c r="Y61" s="1891"/>
      <c r="Z61" s="1891"/>
      <c r="AA61" s="1891"/>
      <c r="AB61" s="1891"/>
      <c r="AC61" s="1891"/>
    </row>
    <row r="62" spans="1:29" s="1194" customFormat="1" ht="15.75" thickBot="1">
      <c r="A62" s="643"/>
      <c r="B62" s="632"/>
      <c r="C62" s="870">
        <v>100</v>
      </c>
      <c r="D62" s="634"/>
      <c r="E62" s="634"/>
      <c r="F62" s="634"/>
      <c r="G62" s="634"/>
      <c r="H62" s="634"/>
      <c r="I62" s="634"/>
      <c r="J62" s="634"/>
      <c r="K62" s="634"/>
      <c r="L62" s="634"/>
      <c r="M62" s="636"/>
      <c r="N62" s="2029"/>
      <c r="O62" s="2029"/>
      <c r="P62" s="2025"/>
      <c r="Q62" s="2025"/>
      <c r="R62" s="1891"/>
      <c r="S62" s="1891"/>
      <c r="T62" s="1891"/>
      <c r="U62" s="1891"/>
      <c r="V62" s="1891"/>
      <c r="W62" s="1891"/>
      <c r="X62" s="1891"/>
      <c r="Y62" s="1891"/>
      <c r="Z62" s="1891"/>
      <c r="AA62" s="1891"/>
      <c r="AB62" s="1891"/>
      <c r="AC62" s="1179"/>
    </row>
    <row r="63" spans="1:29">
      <c r="A63" s="648" t="s">
        <v>571</v>
      </c>
      <c r="B63" s="649" t="s">
        <v>528</v>
      </c>
      <c r="C63" s="688">
        <f>C9</f>
        <v>0</v>
      </c>
      <c r="D63" s="584"/>
      <c r="E63" s="584"/>
      <c r="F63" s="584"/>
      <c r="G63" s="584"/>
      <c r="H63" s="584"/>
      <c r="I63" s="584"/>
      <c r="J63" s="584"/>
      <c r="K63" s="650"/>
      <c r="L63" s="651"/>
      <c r="M63" s="652"/>
      <c r="N63" s="2031"/>
      <c r="O63" s="2031"/>
      <c r="P63" s="2032"/>
      <c r="Q63" s="2025"/>
      <c r="R63" s="2013"/>
      <c r="S63" s="2013"/>
      <c r="T63" s="2013"/>
      <c r="U63" s="2013"/>
      <c r="V63" s="2013"/>
      <c r="W63" s="2013"/>
      <c r="X63" s="2013"/>
      <c r="Y63" s="2013"/>
      <c r="Z63" s="2013"/>
      <c r="AA63" s="2013"/>
      <c r="AB63" s="2013"/>
      <c r="AC63" s="2013"/>
    </row>
    <row r="64" spans="1:29" ht="15.75" thickBot="1">
      <c r="A64" s="653"/>
      <c r="B64" s="654"/>
      <c r="C64" s="655"/>
      <c r="D64" s="655"/>
      <c r="E64" s="655"/>
      <c r="F64" s="655"/>
      <c r="G64" s="655"/>
      <c r="H64" s="655"/>
      <c r="I64" s="655"/>
      <c r="J64" s="655"/>
      <c r="K64" s="655"/>
      <c r="L64" s="655"/>
      <c r="M64" s="656"/>
      <c r="N64" s="2033"/>
      <c r="O64" s="2033"/>
      <c r="P64" s="2032"/>
      <c r="Q64" s="2025"/>
      <c r="R64" s="2013"/>
      <c r="S64" s="2013"/>
      <c r="T64" s="2013"/>
      <c r="U64" s="2013"/>
      <c r="V64" s="2013"/>
      <c r="W64" s="2013"/>
      <c r="X64" s="2013"/>
      <c r="Y64" s="2013"/>
      <c r="Z64" s="2013"/>
      <c r="AA64" s="2013"/>
      <c r="AB64" s="2013"/>
      <c r="AC64" s="2013"/>
    </row>
    <row r="65" spans="1:29" ht="27.75" thickTop="1">
      <c r="A65" s="653"/>
      <c r="B65" s="657" t="s">
        <v>531</v>
      </c>
      <c r="C65" s="658" t="s">
        <v>731</v>
      </c>
      <c r="D65" s="658" t="s">
        <v>732</v>
      </c>
      <c r="E65" s="658" t="s">
        <v>733</v>
      </c>
      <c r="F65" s="658" t="s">
        <v>734</v>
      </c>
      <c r="G65" s="658" t="s">
        <v>735</v>
      </c>
      <c r="H65" s="658" t="s">
        <v>736</v>
      </c>
      <c r="I65" s="658" t="s">
        <v>737</v>
      </c>
      <c r="J65" s="658"/>
      <c r="K65" s="659"/>
      <c r="L65" s="660"/>
      <c r="M65" s="661"/>
      <c r="N65" s="2031"/>
      <c r="O65" s="2031"/>
      <c r="P65" s="2032"/>
      <c r="Q65" s="2025"/>
      <c r="R65" s="2013"/>
      <c r="S65" s="2013"/>
      <c r="T65" s="2013"/>
      <c r="U65" s="2013"/>
      <c r="V65" s="2013"/>
      <c r="W65" s="2013"/>
      <c r="X65" s="2013"/>
      <c r="Y65" s="2013"/>
      <c r="Z65" s="2013"/>
      <c r="AA65" s="2013"/>
      <c r="AB65" s="2013"/>
      <c r="AC65" s="2013"/>
    </row>
    <row r="66" spans="1:29" ht="15.75" thickBot="1">
      <c r="A66" s="653"/>
      <c r="B66" s="662"/>
      <c r="C66" s="663" t="s">
        <v>14</v>
      </c>
      <c r="D66" s="663" t="s">
        <v>15</v>
      </c>
      <c r="E66" s="663" t="s">
        <v>16</v>
      </c>
      <c r="F66" s="663">
        <v>100</v>
      </c>
      <c r="G66" s="663">
        <f>F66-$K10</f>
        <v>100</v>
      </c>
      <c r="H66" s="663">
        <f>G66-$K10</f>
        <v>100</v>
      </c>
      <c r="I66" s="663">
        <f>H66-$K10</f>
        <v>100</v>
      </c>
      <c r="J66" s="663"/>
      <c r="K66" s="663"/>
      <c r="L66" s="663"/>
      <c r="M66" s="664"/>
      <c r="N66" s="2033"/>
      <c r="O66" s="2033"/>
      <c r="P66" s="2032"/>
      <c r="Q66" s="2025"/>
      <c r="R66" s="2013"/>
      <c r="S66" s="2013"/>
      <c r="T66" s="2013"/>
      <c r="U66" s="2013"/>
      <c r="V66" s="2013"/>
      <c r="W66" s="2013"/>
      <c r="X66" s="2013"/>
      <c r="Y66" s="2013"/>
      <c r="Z66" s="2013"/>
      <c r="AA66" s="2013"/>
      <c r="AB66" s="2013"/>
      <c r="AC66" s="2013"/>
    </row>
    <row r="67" spans="1:29" ht="15.75" thickTop="1">
      <c r="A67" s="653"/>
      <c r="B67" s="665" t="s">
        <v>532</v>
      </c>
      <c r="C67" s="666" t="str">
        <f>C68&amp;"（含）"&amp;"-"&amp;D68</f>
        <v>（含）-</v>
      </c>
      <c r="D67" s="666" t="str">
        <f t="shared" ref="D67:L67" si="17">D68&amp;"（含）"&amp;"-"&amp;E68</f>
        <v>（含）-</v>
      </c>
      <c r="E67" s="666" t="str">
        <f t="shared" si="17"/>
        <v>（含）-</v>
      </c>
      <c r="F67" s="666" t="str">
        <f t="shared" si="17"/>
        <v>（含）-</v>
      </c>
      <c r="G67" s="666" t="str">
        <f t="shared" si="17"/>
        <v>（含）-</v>
      </c>
      <c r="H67" s="666" t="str">
        <f t="shared" si="17"/>
        <v>（含）-</v>
      </c>
      <c r="I67" s="666" t="str">
        <f t="shared" si="17"/>
        <v>（含）-</v>
      </c>
      <c r="J67" s="666" t="str">
        <f t="shared" si="17"/>
        <v>（含）-</v>
      </c>
      <c r="K67" s="666" t="str">
        <f t="shared" si="17"/>
        <v>（含）-</v>
      </c>
      <c r="L67" s="666" t="str">
        <f t="shared" si="17"/>
        <v>（含）-</v>
      </c>
      <c r="M67" s="541" t="str">
        <f>M68&amp;"（含）"&amp;"-"&amp;P68</f>
        <v>（含）-</v>
      </c>
      <c r="N67" s="2033"/>
      <c r="O67" s="2033"/>
      <c r="P67" s="2032"/>
      <c r="Q67" s="2025"/>
      <c r="R67" s="2013"/>
      <c r="S67" s="2013"/>
      <c r="T67" s="2013"/>
      <c r="U67" s="2013"/>
      <c r="V67" s="2013"/>
      <c r="W67" s="2013"/>
      <c r="X67" s="2013"/>
      <c r="Y67" s="2013"/>
      <c r="Z67" s="2013"/>
      <c r="AA67" s="2013"/>
      <c r="AB67" s="2013"/>
      <c r="AC67" s="2013"/>
    </row>
    <row r="68" spans="1:29" ht="15">
      <c r="A68" s="653"/>
      <c r="B68" s="667"/>
      <c r="C68" s="527"/>
      <c r="D68" s="527"/>
      <c r="E68" s="527"/>
      <c r="F68" s="527"/>
      <c r="G68" s="527"/>
      <c r="H68" s="527"/>
      <c r="I68" s="527"/>
      <c r="J68" s="527"/>
      <c r="K68" s="668"/>
      <c r="L68" s="669"/>
      <c r="M68" s="670"/>
      <c r="N68" s="2031"/>
      <c r="O68" s="2031"/>
      <c r="P68" s="2032"/>
      <c r="Q68" s="2025"/>
      <c r="R68" s="2013"/>
      <c r="S68" s="2013"/>
      <c r="T68" s="2013"/>
      <c r="U68" s="2013"/>
      <c r="V68" s="2013"/>
      <c r="W68" s="2013"/>
      <c r="X68" s="2013"/>
      <c r="Y68" s="2013"/>
      <c r="Z68" s="2013"/>
      <c r="AA68" s="2013"/>
      <c r="AB68" s="2013"/>
      <c r="AC68" s="2013"/>
    </row>
    <row r="69" spans="1:29" ht="15.75" thickBot="1">
      <c r="A69" s="653"/>
      <c r="B69" s="654"/>
      <c r="C69" s="663">
        <v>100</v>
      </c>
      <c r="D69" s="663">
        <f t="shared" ref="D69:M69" si="18">C69-$K11</f>
        <v>100</v>
      </c>
      <c r="E69" s="663">
        <f t="shared" si="18"/>
        <v>100</v>
      </c>
      <c r="F69" s="663">
        <f t="shared" si="18"/>
        <v>100</v>
      </c>
      <c r="G69" s="663">
        <f t="shared" si="18"/>
        <v>100</v>
      </c>
      <c r="H69" s="663">
        <f t="shared" si="18"/>
        <v>100</v>
      </c>
      <c r="I69" s="663">
        <f t="shared" si="18"/>
        <v>100</v>
      </c>
      <c r="J69" s="663">
        <f t="shared" si="18"/>
        <v>100</v>
      </c>
      <c r="K69" s="663">
        <f t="shared" si="18"/>
        <v>100</v>
      </c>
      <c r="L69" s="663">
        <f t="shared" si="18"/>
        <v>100</v>
      </c>
      <c r="M69" s="664">
        <f t="shared" si="18"/>
        <v>100</v>
      </c>
      <c r="N69" s="2033"/>
      <c r="O69" s="2033"/>
      <c r="P69" s="2032"/>
      <c r="Q69" s="2025"/>
      <c r="R69" s="2013"/>
      <c r="S69" s="2013"/>
      <c r="T69" s="2013"/>
      <c r="U69" s="2013"/>
      <c r="V69" s="2013"/>
      <c r="W69" s="2013"/>
      <c r="X69" s="2013"/>
      <c r="Y69" s="2013"/>
      <c r="Z69" s="2013"/>
      <c r="AA69" s="2013"/>
      <c r="AB69" s="2013"/>
      <c r="AC69" s="2013"/>
    </row>
    <row r="70" spans="1:29" s="1283" customFormat="1" ht="15.75" thickTop="1">
      <c r="A70" s="671"/>
      <c r="B70" s="657">
        <f>B12</f>
        <v>111</v>
      </c>
      <c r="C70" s="672"/>
      <c r="D70" s="672"/>
      <c r="E70" s="672"/>
      <c r="F70" s="672"/>
      <c r="G70" s="672"/>
      <c r="H70" s="673"/>
      <c r="I70" s="673"/>
      <c r="J70" s="673"/>
      <c r="K70" s="673"/>
      <c r="L70" s="674"/>
      <c r="M70" s="675"/>
      <c r="N70" s="2034"/>
      <c r="O70" s="2034"/>
      <c r="P70" s="2035"/>
      <c r="Q70" s="2036"/>
      <c r="R70" s="2037"/>
      <c r="S70" s="2037"/>
      <c r="T70" s="2037"/>
      <c r="U70" s="2037"/>
      <c r="V70" s="2037"/>
      <c r="W70" s="2037"/>
      <c r="X70" s="2037"/>
      <c r="Y70" s="2037"/>
      <c r="Z70" s="2037"/>
      <c r="AA70" s="2037"/>
      <c r="AB70" s="2037"/>
      <c r="AC70" s="2037"/>
    </row>
    <row r="71" spans="1:29" s="1283" customFormat="1" ht="15.75" thickBot="1">
      <c r="A71" s="671"/>
      <c r="B71" s="662"/>
      <c r="C71" s="676"/>
      <c r="D71" s="655"/>
      <c r="E71" s="655"/>
      <c r="F71" s="655"/>
      <c r="G71" s="655"/>
      <c r="H71" s="655"/>
      <c r="I71" s="655"/>
      <c r="J71" s="655"/>
      <c r="K71" s="655"/>
      <c r="L71" s="655"/>
      <c r="M71" s="656"/>
      <c r="N71" s="2033"/>
      <c r="O71" s="2033"/>
      <c r="P71" s="2035"/>
      <c r="Q71" s="2036"/>
      <c r="R71" s="2037"/>
      <c r="S71" s="2037"/>
      <c r="T71" s="2037"/>
      <c r="U71" s="2037"/>
      <c r="V71" s="2037"/>
      <c r="W71" s="2037"/>
      <c r="X71" s="2037"/>
      <c r="Y71" s="2037"/>
      <c r="Z71" s="2037"/>
      <c r="AA71" s="2037"/>
      <c r="AB71" s="2037"/>
      <c r="AC71" s="2037"/>
    </row>
    <row r="72" spans="1:29" s="1283" customFormat="1" ht="15.75" thickTop="1">
      <c r="A72" s="671"/>
      <c r="B72" s="657">
        <f>B13</f>
        <v>111</v>
      </c>
      <c r="C72" s="672"/>
      <c r="D72" s="672"/>
      <c r="E72" s="672"/>
      <c r="F72" s="672"/>
      <c r="G72" s="672"/>
      <c r="H72" s="673"/>
      <c r="I72" s="673"/>
      <c r="J72" s="673"/>
      <c r="K72" s="673"/>
      <c r="L72" s="674"/>
      <c r="M72" s="675"/>
      <c r="N72" s="2034"/>
      <c r="O72" s="2034"/>
      <c r="P72" s="2038"/>
      <c r="Q72" s="2039"/>
      <c r="R72" s="2037"/>
      <c r="S72" s="2037"/>
      <c r="T72" s="2037"/>
      <c r="U72" s="2037"/>
      <c r="V72" s="2037"/>
      <c r="W72" s="2037"/>
      <c r="X72" s="2037"/>
      <c r="Y72" s="2037"/>
      <c r="Z72" s="2037"/>
      <c r="AA72" s="2037"/>
      <c r="AB72" s="2037"/>
      <c r="AC72" s="2037"/>
    </row>
    <row r="73" spans="1:29" s="1283" customFormat="1" ht="15.75" thickBot="1">
      <c r="A73" s="671"/>
      <c r="B73" s="662"/>
      <c r="C73" s="676"/>
      <c r="D73" s="655"/>
      <c r="E73" s="655"/>
      <c r="F73" s="655"/>
      <c r="G73" s="676"/>
      <c r="H73" s="677"/>
      <c r="I73" s="677"/>
      <c r="J73" s="677"/>
      <c r="K73" s="677"/>
      <c r="L73" s="677"/>
      <c r="M73" s="678"/>
      <c r="N73" s="2034"/>
      <c r="O73" s="2034"/>
      <c r="P73" s="2035"/>
      <c r="Q73" s="2036"/>
      <c r="R73" s="2037"/>
      <c r="S73" s="2037"/>
      <c r="T73" s="2037"/>
      <c r="U73" s="2037"/>
      <c r="V73" s="2037"/>
      <c r="W73" s="2037"/>
      <c r="X73" s="2037"/>
      <c r="Y73" s="2037"/>
      <c r="Z73" s="2037"/>
      <c r="AA73" s="2037"/>
      <c r="AB73" s="2037"/>
      <c r="AC73" s="2037"/>
    </row>
    <row r="74" spans="1:29" s="1283" customFormat="1" ht="15.75" thickTop="1">
      <c r="A74" s="671"/>
      <c r="B74" s="665">
        <f>B14</f>
        <v>111</v>
      </c>
      <c r="C74" s="672"/>
      <c r="D74" s="672"/>
      <c r="E74" s="672"/>
      <c r="F74" s="672"/>
      <c r="G74" s="645"/>
      <c r="H74" s="679"/>
      <c r="I74" s="679"/>
      <c r="J74" s="679"/>
      <c r="K74" s="679"/>
      <c r="L74" s="680"/>
      <c r="M74" s="681"/>
      <c r="N74" s="2034"/>
      <c r="O74" s="2034"/>
      <c r="P74" s="2040"/>
      <c r="Q74" s="2036"/>
      <c r="R74" s="2037"/>
      <c r="S74" s="2037"/>
      <c r="T74" s="2037"/>
      <c r="U74" s="2037"/>
      <c r="V74" s="2037"/>
      <c r="W74" s="2037"/>
      <c r="X74" s="2037"/>
      <c r="Y74" s="2037"/>
      <c r="Z74" s="2037"/>
      <c r="AA74" s="2037"/>
      <c r="AB74" s="2037"/>
      <c r="AC74" s="2037"/>
    </row>
    <row r="75" spans="1:29" s="1283" customFormat="1" ht="15.75" thickBot="1">
      <c r="A75" s="682"/>
      <c r="B75" s="683"/>
      <c r="C75" s="684"/>
      <c r="D75" s="684"/>
      <c r="E75" s="684"/>
      <c r="F75" s="684"/>
      <c r="G75" s="684"/>
      <c r="H75" s="685"/>
      <c r="I75" s="685"/>
      <c r="J75" s="685"/>
      <c r="K75" s="685"/>
      <c r="L75" s="685"/>
      <c r="M75" s="686"/>
      <c r="N75" s="2034"/>
      <c r="O75" s="2034"/>
      <c r="P75" s="2035"/>
      <c r="Q75" s="2036"/>
      <c r="R75" s="2037"/>
      <c r="S75" s="2037"/>
      <c r="T75" s="2037"/>
      <c r="U75" s="2037"/>
      <c r="V75" s="2037"/>
      <c r="W75" s="2037"/>
      <c r="X75" s="2037"/>
      <c r="Y75" s="2037"/>
      <c r="Z75" s="2037"/>
      <c r="AA75" s="2037"/>
      <c r="AB75" s="2037"/>
      <c r="AC75" s="2037"/>
    </row>
    <row r="76" spans="1:29">
      <c r="A76" s="648" t="s">
        <v>533</v>
      </c>
      <c r="B76" s="649" t="s">
        <v>572</v>
      </c>
      <c r="C76" s="687" t="s">
        <v>573</v>
      </c>
      <c r="D76" s="687" t="s">
        <v>574</v>
      </c>
      <c r="E76" s="687" t="s">
        <v>575</v>
      </c>
      <c r="F76" s="687" t="s">
        <v>576</v>
      </c>
      <c r="G76" s="687" t="s">
        <v>577</v>
      </c>
      <c r="H76" s="688"/>
      <c r="I76" s="688"/>
      <c r="J76" s="688"/>
      <c r="K76" s="689"/>
      <c r="L76" s="690"/>
      <c r="M76" s="691"/>
      <c r="N76" s="2031"/>
      <c r="O76" s="2031"/>
      <c r="P76" s="2041"/>
      <c r="Q76" s="2025"/>
      <c r="R76" s="2013"/>
      <c r="S76" s="2013"/>
      <c r="T76" s="2013"/>
      <c r="U76" s="2013"/>
      <c r="V76" s="2013"/>
      <c r="W76" s="2013"/>
      <c r="X76" s="2013"/>
      <c r="Y76" s="2013"/>
      <c r="Z76" s="2013"/>
      <c r="AA76" s="2013"/>
      <c r="AB76" s="2013"/>
      <c r="AC76" s="2013"/>
    </row>
    <row r="77" spans="1:29" ht="15.75" thickBot="1">
      <c r="A77" s="653"/>
      <c r="B77" s="662"/>
      <c r="C77" s="663">
        <v>100</v>
      </c>
      <c r="D77" s="663">
        <f>C77-$K15</f>
        <v>100</v>
      </c>
      <c r="E77" s="663">
        <f>D77-$K15</f>
        <v>100</v>
      </c>
      <c r="F77" s="663">
        <f>E77-$K15</f>
        <v>100</v>
      </c>
      <c r="G77" s="663">
        <f>F77-$K15</f>
        <v>100</v>
      </c>
      <c r="H77" s="663"/>
      <c r="I77" s="663"/>
      <c r="J77" s="663"/>
      <c r="K77" s="663"/>
      <c r="L77" s="663"/>
      <c r="M77" s="664"/>
      <c r="N77" s="2033"/>
      <c r="O77" s="2033"/>
      <c r="P77" s="2032"/>
      <c r="Q77" s="2025"/>
      <c r="R77" s="2013"/>
      <c r="S77" s="2013"/>
      <c r="T77" s="2013"/>
      <c r="U77" s="2013"/>
      <c r="V77" s="2013"/>
      <c r="W77" s="2013"/>
      <c r="X77" s="2013"/>
      <c r="Y77" s="2013"/>
      <c r="Z77" s="2013"/>
      <c r="AA77" s="2013"/>
      <c r="AB77" s="2013"/>
      <c r="AC77" s="2013"/>
    </row>
    <row r="78" spans="1:29" ht="15.75" thickTop="1">
      <c r="A78" s="653"/>
      <c r="B78" s="657" t="s">
        <v>580</v>
      </c>
      <c r="C78" s="692" t="s">
        <v>573</v>
      </c>
      <c r="D78" s="692" t="s">
        <v>574</v>
      </c>
      <c r="E78" s="692" t="s">
        <v>575</v>
      </c>
      <c r="F78" s="692" t="s">
        <v>576</v>
      </c>
      <c r="G78" s="692" t="s">
        <v>577</v>
      </c>
      <c r="H78" s="658"/>
      <c r="I78" s="658"/>
      <c r="J78" s="658"/>
      <c r="K78" s="659"/>
      <c r="L78" s="660"/>
      <c r="M78" s="661"/>
      <c r="N78" s="2031"/>
      <c r="O78" s="2031"/>
      <c r="P78" s="2032"/>
      <c r="Q78" s="2025"/>
      <c r="R78" s="2013"/>
      <c r="S78" s="2013"/>
      <c r="T78" s="2013"/>
      <c r="U78" s="2013"/>
      <c r="V78" s="2013"/>
      <c r="W78" s="2013"/>
      <c r="X78" s="2013"/>
      <c r="Y78" s="2013"/>
      <c r="Z78" s="2013"/>
      <c r="AA78" s="2013"/>
      <c r="AB78" s="2013"/>
      <c r="AC78" s="2013"/>
    </row>
    <row r="79" spans="1:29" ht="15.75" thickBot="1">
      <c r="A79" s="653"/>
      <c r="B79" s="662"/>
      <c r="C79" s="663">
        <v>100</v>
      </c>
      <c r="D79" s="663">
        <f>C79-$K17</f>
        <v>100</v>
      </c>
      <c r="E79" s="663">
        <f>D79-$K17</f>
        <v>100</v>
      </c>
      <c r="F79" s="663">
        <f>E79-$K17</f>
        <v>100</v>
      </c>
      <c r="G79" s="663">
        <f>F79-$K17</f>
        <v>100</v>
      </c>
      <c r="H79" s="663"/>
      <c r="I79" s="663"/>
      <c r="J79" s="663"/>
      <c r="K79" s="663"/>
      <c r="L79" s="663"/>
      <c r="M79" s="664"/>
      <c r="N79" s="2033"/>
      <c r="O79" s="2033"/>
      <c r="P79" s="2032"/>
      <c r="Q79" s="2025"/>
      <c r="R79" s="2013"/>
      <c r="S79" s="2013"/>
      <c r="T79" s="2013"/>
      <c r="U79" s="2013"/>
      <c r="V79" s="2013"/>
      <c r="W79" s="2013"/>
      <c r="X79" s="2013"/>
      <c r="Y79" s="2013"/>
      <c r="Z79" s="2013"/>
      <c r="AA79" s="2013"/>
      <c r="AB79" s="2013"/>
      <c r="AC79" s="2013"/>
    </row>
    <row r="80" spans="1:29" ht="15.75" thickTop="1">
      <c r="A80" s="653"/>
      <c r="B80" s="1796" t="s">
        <v>2533</v>
      </c>
      <c r="C80" s="692" t="s">
        <v>573</v>
      </c>
      <c r="D80" s="692" t="s">
        <v>574</v>
      </c>
      <c r="E80" s="692" t="s">
        <v>575</v>
      </c>
      <c r="F80" s="692" t="s">
        <v>576</v>
      </c>
      <c r="G80" s="692" t="s">
        <v>577</v>
      </c>
      <c r="H80" s="658"/>
      <c r="I80" s="658"/>
      <c r="J80" s="658"/>
      <c r="K80" s="659"/>
      <c r="L80" s="660"/>
      <c r="M80" s="661"/>
      <c r="N80" s="2031"/>
      <c r="O80" s="2031"/>
      <c r="P80" s="2032"/>
      <c r="Q80" s="2025"/>
      <c r="R80" s="2013"/>
      <c r="S80" s="2013"/>
      <c r="T80" s="2013"/>
      <c r="U80" s="2013"/>
      <c r="V80" s="2013"/>
      <c r="W80" s="2013"/>
      <c r="X80" s="2013"/>
      <c r="Y80" s="2013"/>
      <c r="Z80" s="2013"/>
      <c r="AA80" s="2013"/>
      <c r="AB80" s="2013"/>
      <c r="AC80" s="2013"/>
    </row>
    <row r="81" spans="1:29" ht="15.75" thickBot="1">
      <c r="A81" s="653"/>
      <c r="B81" s="662"/>
      <c r="C81" s="663">
        <v>100</v>
      </c>
      <c r="D81" s="663">
        <f>C81-$K19</f>
        <v>100</v>
      </c>
      <c r="E81" s="663">
        <f>D81-$K19</f>
        <v>100</v>
      </c>
      <c r="F81" s="663">
        <f>E81-$K19</f>
        <v>100</v>
      </c>
      <c r="G81" s="663">
        <f>F81-$K19</f>
        <v>100</v>
      </c>
      <c r="H81" s="663"/>
      <c r="I81" s="663"/>
      <c r="J81" s="663"/>
      <c r="K81" s="663"/>
      <c r="L81" s="663"/>
      <c r="M81" s="664"/>
      <c r="N81" s="2033"/>
      <c r="O81" s="2033"/>
      <c r="P81" s="2032"/>
      <c r="Q81" s="2025"/>
      <c r="R81" s="2013"/>
      <c r="S81" s="2013"/>
      <c r="T81" s="2013"/>
      <c r="U81" s="2013"/>
      <c r="V81" s="2013"/>
      <c r="W81" s="2013"/>
      <c r="X81" s="2013"/>
      <c r="Y81" s="2013"/>
      <c r="Z81" s="2013"/>
      <c r="AA81" s="2013"/>
      <c r="AB81" s="2013"/>
      <c r="AC81" s="2013"/>
    </row>
    <row r="82" spans="1:29" ht="15.75" thickTop="1">
      <c r="A82" s="653"/>
      <c r="B82" s="2427" t="s">
        <v>2534</v>
      </c>
      <c r="C82" s="2428" t="s">
        <v>2535</v>
      </c>
      <c r="D82" s="2428" t="s">
        <v>2536</v>
      </c>
      <c r="E82" s="2428" t="s">
        <v>2537</v>
      </c>
      <c r="F82" s="2428" t="s">
        <v>2538</v>
      </c>
      <c r="G82" s="2428" t="s">
        <v>2539</v>
      </c>
      <c r="H82" s="658"/>
      <c r="I82" s="658"/>
      <c r="J82" s="658"/>
      <c r="K82" s="658"/>
      <c r="L82" s="658"/>
      <c r="M82" s="2431"/>
      <c r="N82" s="2033"/>
      <c r="O82" s="2033"/>
      <c r="P82" s="2032"/>
      <c r="Q82" s="2025"/>
      <c r="R82" s="2013"/>
      <c r="S82" s="2013"/>
      <c r="T82" s="2013"/>
      <c r="U82" s="2013"/>
      <c r="V82" s="2013"/>
      <c r="W82" s="2013"/>
      <c r="X82" s="2013"/>
      <c r="Y82" s="2013"/>
      <c r="Z82" s="2013"/>
      <c r="AA82" s="2013"/>
      <c r="AB82" s="2013"/>
      <c r="AC82" s="2013"/>
    </row>
    <row r="83" spans="1:29" ht="15.75" thickBot="1">
      <c r="A83" s="653"/>
      <c r="B83" s="665"/>
      <c r="C83" s="663">
        <v>100</v>
      </c>
      <c r="D83" s="663">
        <f>C83-$K21</f>
        <v>100</v>
      </c>
      <c r="E83" s="663">
        <f>D83-$K21</f>
        <v>100</v>
      </c>
      <c r="F83" s="663">
        <f>E83-$K21</f>
        <v>100</v>
      </c>
      <c r="G83" s="663">
        <f>F83-$K21</f>
        <v>100</v>
      </c>
      <c r="H83" s="916"/>
      <c r="I83" s="916"/>
      <c r="J83" s="916"/>
      <c r="K83" s="916"/>
      <c r="L83" s="916"/>
      <c r="M83" s="545"/>
      <c r="N83" s="2033"/>
      <c r="O83" s="2033"/>
      <c r="P83" s="2032"/>
      <c r="Q83" s="2025"/>
      <c r="R83" s="2013"/>
      <c r="S83" s="2013"/>
      <c r="T83" s="2013"/>
      <c r="U83" s="2013"/>
      <c r="V83" s="2013"/>
      <c r="W83" s="2013"/>
      <c r="X83" s="2013"/>
      <c r="Y83" s="2013"/>
      <c r="Z83" s="2013"/>
      <c r="AA83" s="2013"/>
      <c r="AB83" s="2013"/>
      <c r="AC83" s="2013"/>
    </row>
    <row r="84" spans="1:29" ht="15.75" thickTop="1">
      <c r="A84" s="653"/>
      <c r="B84" s="657" t="s">
        <v>738</v>
      </c>
      <c r="C84" s="692" t="s">
        <v>573</v>
      </c>
      <c r="D84" s="692" t="s">
        <v>574</v>
      </c>
      <c r="E84" s="692" t="s">
        <v>575</v>
      </c>
      <c r="F84" s="692" t="s">
        <v>576</v>
      </c>
      <c r="G84" s="692" t="s">
        <v>577</v>
      </c>
      <c r="H84" s="658"/>
      <c r="I84" s="658"/>
      <c r="J84" s="658"/>
      <c r="K84" s="659"/>
      <c r="L84" s="660"/>
      <c r="M84" s="661"/>
      <c r="N84" s="2031"/>
      <c r="O84" s="2031"/>
      <c r="P84" s="2032"/>
      <c r="Q84" s="2025"/>
      <c r="R84" s="2013"/>
      <c r="S84" s="2013"/>
      <c r="T84" s="2013"/>
      <c r="U84" s="2013"/>
      <c r="V84" s="2013"/>
      <c r="W84" s="2013"/>
      <c r="X84" s="2013"/>
      <c r="Y84" s="2013"/>
      <c r="Z84" s="2013"/>
      <c r="AA84" s="2013"/>
      <c r="AB84" s="2013"/>
      <c r="AC84" s="2013"/>
    </row>
    <row r="85" spans="1:29" ht="15.75" thickBot="1">
      <c r="A85" s="653"/>
      <c r="B85" s="662"/>
      <c r="C85" s="663">
        <v>100</v>
      </c>
      <c r="D85" s="663">
        <f>C85-$K23</f>
        <v>100</v>
      </c>
      <c r="E85" s="663">
        <f>D85-$K23</f>
        <v>100</v>
      </c>
      <c r="F85" s="663">
        <f>E85-$K23</f>
        <v>100</v>
      </c>
      <c r="G85" s="663">
        <f>F85-$K23</f>
        <v>100</v>
      </c>
      <c r="H85" s="663"/>
      <c r="I85" s="663"/>
      <c r="J85" s="663"/>
      <c r="K85" s="663"/>
      <c r="L85" s="663"/>
      <c r="M85" s="664"/>
      <c r="N85" s="2033"/>
      <c r="O85" s="2033"/>
      <c r="P85" s="2032"/>
      <c r="Q85" s="2025"/>
      <c r="R85" s="2013"/>
      <c r="S85" s="2013"/>
      <c r="T85" s="2013"/>
      <c r="U85" s="2013"/>
      <c r="V85" s="2013"/>
      <c r="W85" s="2013"/>
      <c r="X85" s="2013"/>
      <c r="Y85" s="2013"/>
      <c r="Z85" s="2013"/>
      <c r="AA85" s="2013"/>
      <c r="AB85" s="2013"/>
      <c r="AC85" s="2013"/>
    </row>
    <row r="86" spans="1:29" s="1194" customFormat="1" ht="15.75" thickTop="1">
      <c r="A86" s="693"/>
      <c r="B86" s="657" t="s">
        <v>765</v>
      </c>
      <c r="C86" s="672"/>
      <c r="D86" s="672"/>
      <c r="E86" s="672"/>
      <c r="F86" s="672"/>
      <c r="G86" s="672"/>
      <c r="H86" s="672"/>
      <c r="I86" s="672"/>
      <c r="J86" s="672"/>
      <c r="K86" s="672"/>
      <c r="L86" s="871"/>
      <c r="M86" s="872"/>
      <c r="N86" s="2029"/>
      <c r="O86" s="2029"/>
      <c r="P86" s="2032"/>
      <c r="Q86" s="2025"/>
      <c r="R86" s="1891"/>
      <c r="S86" s="1891"/>
      <c r="T86" s="1891"/>
      <c r="U86" s="1891"/>
      <c r="V86" s="1891"/>
      <c r="W86" s="1891"/>
      <c r="X86" s="1891"/>
      <c r="Y86" s="1891"/>
      <c r="Z86" s="1891"/>
      <c r="AA86" s="1891"/>
      <c r="AB86" s="1891"/>
      <c r="AC86" s="1891"/>
    </row>
    <row r="87" spans="1:29" s="1194" customFormat="1" ht="15.75" thickBot="1">
      <c r="A87" s="693"/>
      <c r="B87" s="662"/>
      <c r="C87" s="696">
        <v>100</v>
      </c>
      <c r="D87" s="663">
        <f t="shared" ref="D87:M87" si="19">C87-$K25</f>
        <v>100</v>
      </c>
      <c r="E87" s="663">
        <f t="shared" si="19"/>
        <v>100</v>
      </c>
      <c r="F87" s="663">
        <f t="shared" si="19"/>
        <v>100</v>
      </c>
      <c r="G87" s="663">
        <f t="shared" si="19"/>
        <v>100</v>
      </c>
      <c r="H87" s="663">
        <f t="shared" si="19"/>
        <v>100</v>
      </c>
      <c r="I87" s="663">
        <f t="shared" si="19"/>
        <v>100</v>
      </c>
      <c r="J87" s="663">
        <f t="shared" si="19"/>
        <v>100</v>
      </c>
      <c r="K87" s="663">
        <f t="shared" si="19"/>
        <v>100</v>
      </c>
      <c r="L87" s="663">
        <f t="shared" si="19"/>
        <v>100</v>
      </c>
      <c r="M87" s="663">
        <f t="shared" si="19"/>
        <v>100</v>
      </c>
      <c r="N87" s="2033"/>
      <c r="O87" s="2033"/>
      <c r="P87" s="2032"/>
      <c r="Q87" s="2025"/>
      <c r="R87" s="1891"/>
      <c r="S87" s="1891"/>
      <c r="T87" s="1891"/>
      <c r="U87" s="1891"/>
      <c r="V87" s="1891"/>
      <c r="W87" s="1891"/>
      <c r="X87" s="1891"/>
      <c r="Y87" s="1891"/>
      <c r="Z87" s="1891"/>
      <c r="AA87" s="1891"/>
      <c r="AB87" s="1891"/>
      <c r="AC87" s="1891"/>
    </row>
    <row r="88" spans="1:29" s="1194" customFormat="1" ht="15.75" thickTop="1">
      <c r="A88" s="693"/>
      <c r="B88" s="657" t="str">
        <f>B26</f>
        <v>平面位置/可视性</v>
      </c>
      <c r="C88" s="672"/>
      <c r="D88" s="672"/>
      <c r="E88" s="672"/>
      <c r="F88" s="873"/>
      <c r="G88" s="672"/>
      <c r="H88" s="672"/>
      <c r="I88" s="672"/>
      <c r="J88" s="672"/>
      <c r="K88" s="672"/>
      <c r="L88" s="672"/>
      <c r="M88" s="872"/>
      <c r="N88" s="2029"/>
      <c r="O88" s="2029"/>
      <c r="P88" s="2032"/>
      <c r="Q88" s="2025"/>
      <c r="R88" s="1891"/>
      <c r="S88" s="1891"/>
      <c r="T88" s="1891"/>
      <c r="U88" s="1891"/>
      <c r="V88" s="1891"/>
      <c r="W88" s="1891"/>
      <c r="X88" s="1891"/>
      <c r="Y88" s="1891"/>
      <c r="Z88" s="1891"/>
      <c r="AA88" s="1891"/>
      <c r="AB88" s="1891"/>
      <c r="AC88" s="1891"/>
    </row>
    <row r="89" spans="1:29" s="1194" customFormat="1" ht="15.75" thickBot="1">
      <c r="A89" s="693"/>
      <c r="B89" s="662"/>
      <c r="C89" s="676"/>
      <c r="D89" s="655"/>
      <c r="E89" s="655"/>
      <c r="F89" s="655"/>
      <c r="G89" s="655"/>
      <c r="H89" s="655"/>
      <c r="I89" s="655"/>
      <c r="J89" s="655"/>
      <c r="K89" s="655"/>
      <c r="L89" s="655"/>
      <c r="M89" s="655"/>
      <c r="N89" s="2033"/>
      <c r="O89" s="2033"/>
      <c r="P89" s="2032"/>
      <c r="Q89" s="2025"/>
      <c r="R89" s="1891"/>
      <c r="S89" s="1891"/>
      <c r="T89" s="1891"/>
      <c r="U89" s="1891"/>
      <c r="V89" s="1891"/>
      <c r="W89" s="1891"/>
      <c r="X89" s="1891"/>
      <c r="Y89" s="1891"/>
      <c r="Z89" s="1891"/>
      <c r="AA89" s="1891"/>
      <c r="AB89" s="1891"/>
      <c r="AC89" s="1891"/>
    </row>
    <row r="90" spans="1:29" s="1283" customFormat="1" ht="15.75" thickTop="1">
      <c r="A90" s="671"/>
      <c r="B90" s="657" t="str">
        <f>B27</f>
        <v>人流量</v>
      </c>
      <c r="C90" s="672"/>
      <c r="D90" s="672"/>
      <c r="E90" s="672"/>
      <c r="F90" s="672"/>
      <c r="G90" s="672"/>
      <c r="H90" s="673"/>
      <c r="I90" s="673"/>
      <c r="J90" s="673"/>
      <c r="K90" s="673"/>
      <c r="L90" s="674"/>
      <c r="M90" s="675"/>
      <c r="N90" s="2034"/>
      <c r="O90" s="2034"/>
      <c r="P90" s="2035"/>
      <c r="Q90" s="2036"/>
      <c r="R90" s="2037"/>
      <c r="S90" s="2037"/>
      <c r="T90" s="2037"/>
      <c r="U90" s="2037"/>
      <c r="V90" s="2037"/>
      <c r="W90" s="2037"/>
      <c r="X90" s="2037"/>
      <c r="Y90" s="2037"/>
      <c r="Z90" s="2037"/>
      <c r="AA90" s="2037"/>
      <c r="AB90" s="2037"/>
      <c r="AC90" s="2037"/>
    </row>
    <row r="91" spans="1:29" s="1283" customFormat="1" ht="15.75" thickBot="1">
      <c r="A91" s="671"/>
      <c r="B91" s="662"/>
      <c r="C91" s="696">
        <v>100</v>
      </c>
      <c r="D91" s="663">
        <f>C91-$K27</f>
        <v>100</v>
      </c>
      <c r="E91" s="663">
        <f t="shared" ref="E91:M91" si="20">D91-$K27</f>
        <v>100</v>
      </c>
      <c r="F91" s="663">
        <f t="shared" si="20"/>
        <v>100</v>
      </c>
      <c r="G91" s="663">
        <f t="shared" si="20"/>
        <v>100</v>
      </c>
      <c r="H91" s="663">
        <f t="shared" si="20"/>
        <v>100</v>
      </c>
      <c r="I91" s="663">
        <f t="shared" si="20"/>
        <v>100</v>
      </c>
      <c r="J91" s="663">
        <f t="shared" si="20"/>
        <v>100</v>
      </c>
      <c r="K91" s="663">
        <f t="shared" si="20"/>
        <v>100</v>
      </c>
      <c r="L91" s="663">
        <f t="shared" si="20"/>
        <v>100</v>
      </c>
      <c r="M91" s="663">
        <f t="shared" si="20"/>
        <v>100</v>
      </c>
      <c r="N91" s="2034"/>
      <c r="O91" s="2034"/>
      <c r="P91" s="2035"/>
      <c r="Q91" s="2036"/>
      <c r="R91" s="2037"/>
      <c r="S91" s="2037"/>
      <c r="T91" s="2037"/>
      <c r="U91" s="2037"/>
      <c r="V91" s="2037"/>
      <c r="W91" s="2037"/>
      <c r="X91" s="2037"/>
      <c r="Y91" s="2037"/>
      <c r="Z91" s="2037"/>
      <c r="AA91" s="2037"/>
      <c r="AB91" s="2037"/>
      <c r="AC91" s="2037"/>
    </row>
    <row r="92" spans="1:29" ht="15.75" thickTop="1">
      <c r="A92" s="653"/>
      <c r="B92" s="657" t="str">
        <f>B28</f>
        <v>楼层</v>
      </c>
      <c r="C92" s="672"/>
      <c r="D92" s="672"/>
      <c r="E92" s="672"/>
      <c r="F92" s="672"/>
      <c r="G92" s="672"/>
      <c r="H92" s="672"/>
      <c r="I92" s="672"/>
      <c r="J92" s="672"/>
      <c r="K92" s="672"/>
      <c r="L92" s="871"/>
      <c r="M92" s="872"/>
      <c r="N92" s="2031"/>
      <c r="O92" s="2031"/>
      <c r="P92" s="2032"/>
      <c r="Q92" s="2025"/>
      <c r="R92" s="2013"/>
      <c r="S92" s="2013"/>
      <c r="T92" s="2013"/>
      <c r="U92" s="2013"/>
      <c r="V92" s="2013"/>
      <c r="W92" s="2013"/>
      <c r="X92" s="2013"/>
      <c r="Y92" s="2013"/>
      <c r="Z92" s="2013"/>
      <c r="AA92" s="2013"/>
      <c r="AB92" s="2013"/>
      <c r="AC92" s="2013"/>
    </row>
    <row r="93" spans="1:29" ht="15.75" thickBot="1">
      <c r="A93" s="653"/>
      <c r="B93" s="662"/>
      <c r="C93" s="655"/>
      <c r="D93" s="655"/>
      <c r="E93" s="655"/>
      <c r="F93" s="655"/>
      <c r="G93" s="655"/>
      <c r="H93" s="655"/>
      <c r="I93" s="655"/>
      <c r="J93" s="655"/>
      <c r="K93" s="655"/>
      <c r="L93" s="655"/>
      <c r="M93" s="656"/>
      <c r="N93" s="2033"/>
      <c r="O93" s="2033"/>
      <c r="P93" s="2032"/>
      <c r="Q93" s="2025"/>
      <c r="R93" s="2013"/>
      <c r="S93" s="2013"/>
      <c r="T93" s="2013"/>
      <c r="U93" s="2013"/>
      <c r="V93" s="2013"/>
      <c r="W93" s="2013"/>
      <c r="X93" s="2013"/>
      <c r="Y93" s="2013"/>
      <c r="Z93" s="2013"/>
      <c r="AA93" s="2013"/>
      <c r="AB93" s="2013"/>
      <c r="AC93" s="2013"/>
    </row>
    <row r="94" spans="1:29" ht="15.75" thickTop="1">
      <c r="A94" s="653"/>
      <c r="B94" s="657">
        <f>B29</f>
        <v>111</v>
      </c>
      <c r="C94" s="672"/>
      <c r="D94" s="672"/>
      <c r="E94" s="672"/>
      <c r="F94" s="672"/>
      <c r="G94" s="702"/>
      <c r="H94" s="702"/>
      <c r="I94" s="702"/>
      <c r="J94" s="702"/>
      <c r="K94" s="703"/>
      <c r="L94" s="704"/>
      <c r="M94" s="705"/>
      <c r="N94" s="2031"/>
      <c r="O94" s="2031"/>
      <c r="P94" s="2032"/>
      <c r="Q94" s="2025"/>
      <c r="R94" s="2013"/>
      <c r="S94" s="2013"/>
      <c r="T94" s="2013"/>
      <c r="U94" s="2013"/>
      <c r="V94" s="2013"/>
      <c r="W94" s="2013"/>
      <c r="X94" s="2013"/>
      <c r="Y94" s="2013"/>
      <c r="Z94" s="2013"/>
      <c r="AA94" s="2013"/>
      <c r="AB94" s="2013"/>
      <c r="AC94" s="2013"/>
    </row>
    <row r="95" spans="1:29" ht="15.75" thickBot="1">
      <c r="A95" s="653"/>
      <c r="B95" s="662"/>
      <c r="C95" s="676"/>
      <c r="D95" s="655"/>
      <c r="E95" s="655"/>
      <c r="F95" s="655"/>
      <c r="G95" s="655"/>
      <c r="H95" s="655"/>
      <c r="I95" s="655"/>
      <c r="J95" s="655"/>
      <c r="K95" s="655"/>
      <c r="L95" s="655"/>
      <c r="M95" s="656"/>
      <c r="N95" s="2033"/>
      <c r="O95" s="2033"/>
      <c r="P95" s="2032"/>
      <c r="Q95" s="2025"/>
      <c r="R95" s="2013"/>
      <c r="S95" s="2013"/>
      <c r="T95" s="2013"/>
      <c r="U95" s="2013"/>
      <c r="V95" s="2013"/>
      <c r="W95" s="2013"/>
      <c r="X95" s="2013"/>
      <c r="Y95" s="2013"/>
      <c r="Z95" s="2013"/>
      <c r="AA95" s="2013"/>
      <c r="AB95" s="2013"/>
      <c r="AC95" s="2013"/>
    </row>
    <row r="96" spans="1:29" ht="15.75" thickTop="1">
      <c r="A96" s="653"/>
      <c r="B96" s="657">
        <f>B30</f>
        <v>111</v>
      </c>
      <c r="C96" s="672"/>
      <c r="D96" s="672"/>
      <c r="E96" s="672"/>
      <c r="F96" s="672"/>
      <c r="G96" s="702"/>
      <c r="H96" s="702"/>
      <c r="I96" s="702"/>
      <c r="J96" s="702"/>
      <c r="K96" s="703"/>
      <c r="L96" s="704"/>
      <c r="M96" s="705"/>
      <c r="N96" s="2031"/>
      <c r="O96" s="2031"/>
      <c r="P96" s="2032"/>
      <c r="Q96" s="2025"/>
      <c r="R96" s="2013"/>
      <c r="S96" s="2013"/>
      <c r="T96" s="2013"/>
      <c r="U96" s="2013"/>
      <c r="V96" s="2013"/>
      <c r="W96" s="2013"/>
      <c r="X96" s="2013"/>
      <c r="Y96" s="2013"/>
      <c r="Z96" s="2013"/>
      <c r="AA96" s="2013"/>
      <c r="AB96" s="2013"/>
      <c r="AC96" s="2013"/>
    </row>
    <row r="97" spans="1:29" ht="15.75" thickBot="1">
      <c r="A97" s="653"/>
      <c r="B97" s="662"/>
      <c r="C97" s="676"/>
      <c r="D97" s="655"/>
      <c r="E97" s="655"/>
      <c r="F97" s="655"/>
      <c r="G97" s="655"/>
      <c r="H97" s="655"/>
      <c r="I97" s="655"/>
      <c r="J97" s="655"/>
      <c r="K97" s="655"/>
      <c r="L97" s="655"/>
      <c r="M97" s="656"/>
      <c r="N97" s="2033"/>
      <c r="O97" s="2033"/>
      <c r="P97" s="2032"/>
      <c r="Q97" s="2025"/>
      <c r="R97" s="2013"/>
      <c r="S97" s="2013"/>
      <c r="T97" s="2013"/>
      <c r="U97" s="2013"/>
      <c r="V97" s="2013"/>
      <c r="W97" s="2013"/>
      <c r="X97" s="2013"/>
      <c r="Y97" s="2013"/>
      <c r="Z97" s="2013"/>
      <c r="AA97" s="2013"/>
      <c r="AB97" s="2013"/>
      <c r="AC97" s="2013"/>
    </row>
    <row r="98" spans="1:29" ht="15.75" thickTop="1">
      <c r="A98" s="653"/>
      <c r="B98" s="665">
        <f>B31</f>
        <v>111</v>
      </c>
      <c r="C98" s="672"/>
      <c r="D98" s="672"/>
      <c r="E98" s="672"/>
      <c r="F98" s="672"/>
      <c r="G98" s="706"/>
      <c r="H98" s="706"/>
      <c r="I98" s="706"/>
      <c r="J98" s="706"/>
      <c r="K98" s="707"/>
      <c r="L98" s="708"/>
      <c r="M98" s="709"/>
      <c r="N98" s="2031"/>
      <c r="O98" s="2031"/>
      <c r="P98" s="2032"/>
      <c r="Q98" s="2025"/>
      <c r="R98" s="2013"/>
      <c r="S98" s="2013"/>
      <c r="T98" s="2013"/>
      <c r="U98" s="2013"/>
      <c r="V98" s="2013"/>
      <c r="W98" s="2013"/>
      <c r="X98" s="2013"/>
      <c r="Y98" s="2013"/>
      <c r="Z98" s="2013"/>
      <c r="AA98" s="2013"/>
      <c r="AB98" s="2013"/>
      <c r="AC98" s="2013"/>
    </row>
    <row r="99" spans="1:29" ht="15.75" thickBot="1">
      <c r="A99" s="874"/>
      <c r="B99" s="683"/>
      <c r="C99" s="684"/>
      <c r="D99" s="684"/>
      <c r="E99" s="684"/>
      <c r="F99" s="684"/>
      <c r="G99" s="710"/>
      <c r="H99" s="710"/>
      <c r="I99" s="710"/>
      <c r="J99" s="710"/>
      <c r="K99" s="710"/>
      <c r="L99" s="710"/>
      <c r="M99" s="711"/>
      <c r="N99" s="2033"/>
      <c r="O99" s="2033"/>
      <c r="P99" s="2032"/>
      <c r="Q99" s="2025"/>
      <c r="R99" s="2013"/>
      <c r="S99" s="2013"/>
      <c r="T99" s="2013"/>
      <c r="U99" s="2013"/>
      <c r="V99" s="2013"/>
      <c r="W99" s="2013"/>
      <c r="X99" s="2013"/>
      <c r="Y99" s="2013"/>
      <c r="Z99" s="2013"/>
      <c r="AA99" s="2013"/>
      <c r="AB99" s="2013"/>
      <c r="AC99" s="2013"/>
    </row>
    <row r="100" spans="1:29">
      <c r="A100" s="648" t="s">
        <v>545</v>
      </c>
      <c r="B100" s="649" t="s">
        <v>766</v>
      </c>
      <c r="C100" s="584"/>
      <c r="D100" s="584"/>
      <c r="E100" s="584"/>
      <c r="F100" s="584"/>
      <c r="G100" s="584"/>
      <c r="H100" s="584"/>
      <c r="I100" s="584"/>
      <c r="J100" s="584"/>
      <c r="K100" s="650"/>
      <c r="L100" s="651"/>
      <c r="M100" s="652"/>
      <c r="N100" s="2031"/>
      <c r="O100" s="2031"/>
      <c r="P100" s="2032"/>
      <c r="Q100" s="2025"/>
      <c r="R100" s="2013"/>
      <c r="S100" s="2013"/>
      <c r="T100" s="2013"/>
      <c r="U100" s="2013"/>
      <c r="V100" s="2013"/>
      <c r="W100" s="2013"/>
      <c r="X100" s="2013"/>
      <c r="Y100" s="2013"/>
      <c r="Z100" s="2013"/>
      <c r="AA100" s="2013"/>
      <c r="AB100" s="2013"/>
      <c r="AC100" s="2013"/>
    </row>
    <row r="101" spans="1:29" ht="15.75" thickBot="1">
      <c r="A101" s="653"/>
      <c r="B101" s="662"/>
      <c r="C101" s="663">
        <v>100</v>
      </c>
      <c r="D101" s="663">
        <f t="shared" ref="D101:M101" si="21">C101-$K32</f>
        <v>100</v>
      </c>
      <c r="E101" s="663">
        <f t="shared" si="21"/>
        <v>100</v>
      </c>
      <c r="F101" s="663">
        <f t="shared" si="21"/>
        <v>100</v>
      </c>
      <c r="G101" s="663">
        <f t="shared" si="21"/>
        <v>100</v>
      </c>
      <c r="H101" s="663">
        <f t="shared" si="21"/>
        <v>100</v>
      </c>
      <c r="I101" s="663">
        <f t="shared" si="21"/>
        <v>100</v>
      </c>
      <c r="J101" s="663">
        <f t="shared" si="21"/>
        <v>100</v>
      </c>
      <c r="K101" s="663">
        <f t="shared" si="21"/>
        <v>100</v>
      </c>
      <c r="L101" s="663">
        <f t="shared" si="21"/>
        <v>100</v>
      </c>
      <c r="M101" s="664">
        <f t="shared" si="21"/>
        <v>100</v>
      </c>
      <c r="N101" s="2033"/>
      <c r="O101" s="2033"/>
      <c r="P101" s="2032"/>
      <c r="Q101" s="2025"/>
      <c r="R101" s="2013"/>
      <c r="S101" s="2013"/>
      <c r="T101" s="2013"/>
      <c r="U101" s="2013"/>
      <c r="V101" s="2013"/>
      <c r="W101" s="2013"/>
      <c r="X101" s="2013"/>
      <c r="Y101" s="2013"/>
      <c r="Z101" s="2013"/>
      <c r="AA101" s="2013"/>
      <c r="AB101" s="2013"/>
      <c r="AC101" s="2013"/>
    </row>
    <row r="102" spans="1:29" ht="15.75" thickTop="1">
      <c r="A102" s="653"/>
      <c r="B102" s="657" t="s">
        <v>742</v>
      </c>
      <c r="C102" s="692" t="str">
        <f>C103&amp;"(含)"&amp;"-"&amp;D103</f>
        <v>(含)-</v>
      </c>
      <c r="D102" s="692" t="str">
        <f t="shared" ref="D102:L102" si="22">D103&amp;"(含)"&amp;"-"&amp;E103</f>
        <v>(含)-</v>
      </c>
      <c r="E102" s="692" t="str">
        <f t="shared" si="22"/>
        <v>(含)-</v>
      </c>
      <c r="F102" s="692" t="str">
        <f t="shared" si="22"/>
        <v>(含)-</v>
      </c>
      <c r="G102" s="692" t="str">
        <f t="shared" si="22"/>
        <v>(含)-</v>
      </c>
      <c r="H102" s="692" t="str">
        <f t="shared" si="22"/>
        <v>(含)-</v>
      </c>
      <c r="I102" s="692" t="str">
        <f t="shared" si="22"/>
        <v>(含)-</v>
      </c>
      <c r="J102" s="692" t="str">
        <f t="shared" si="22"/>
        <v>(含)-</v>
      </c>
      <c r="K102" s="692" t="str">
        <f t="shared" si="22"/>
        <v>(含)-</v>
      </c>
      <c r="L102" s="692" t="str">
        <f t="shared" si="22"/>
        <v>(含)-</v>
      </c>
      <c r="M102" s="695" t="str">
        <f>M103&amp;"(含)"&amp;"-"&amp;P103</f>
        <v>(含)-</v>
      </c>
      <c r="N102" s="2029"/>
      <c r="O102" s="2029"/>
      <c r="P102" s="2032"/>
      <c r="Q102" s="2025"/>
      <c r="R102" s="2013"/>
      <c r="S102" s="2013"/>
      <c r="T102" s="2013"/>
      <c r="U102" s="2013"/>
      <c r="V102" s="2013"/>
      <c r="W102" s="2013"/>
      <c r="X102" s="2013"/>
      <c r="Y102" s="2013"/>
      <c r="Z102" s="2013"/>
      <c r="AA102" s="2013"/>
      <c r="AB102" s="2013"/>
      <c r="AC102" s="2013"/>
    </row>
    <row r="103" spans="1:29" s="1283" customFormat="1">
      <c r="A103" s="712"/>
      <c r="B103" s="713"/>
      <c r="C103" s="714"/>
      <c r="D103" s="714"/>
      <c r="E103" s="714"/>
      <c r="F103" s="714"/>
      <c r="G103" s="714"/>
      <c r="H103" s="714"/>
      <c r="I103" s="714"/>
      <c r="J103" s="715"/>
      <c r="K103" s="715"/>
      <c r="L103" s="716"/>
      <c r="M103" s="717"/>
      <c r="N103" s="2034"/>
      <c r="O103" s="2034"/>
      <c r="P103" s="2035"/>
      <c r="Q103" s="2036"/>
      <c r="R103" s="2037"/>
      <c r="S103" s="2037"/>
      <c r="T103" s="2037"/>
      <c r="U103" s="2037"/>
      <c r="V103" s="2037"/>
      <c r="W103" s="2037"/>
      <c r="X103" s="2037"/>
      <c r="Y103" s="2037"/>
      <c r="Z103" s="2037"/>
      <c r="AA103" s="2037"/>
      <c r="AB103" s="2037"/>
      <c r="AC103" s="2037"/>
    </row>
    <row r="104" spans="1:29" s="1283" customFormat="1" ht="15.75" thickBot="1">
      <c r="A104" s="671"/>
      <c r="B104" s="662"/>
      <c r="C104" s="676"/>
      <c r="D104" s="655"/>
      <c r="E104" s="655"/>
      <c r="F104" s="655"/>
      <c r="G104" s="655"/>
      <c r="H104" s="655"/>
      <c r="I104" s="655"/>
      <c r="J104" s="655"/>
      <c r="K104" s="655"/>
      <c r="L104" s="655"/>
      <c r="M104" s="656"/>
      <c r="N104" s="2033"/>
      <c r="O104" s="2033"/>
      <c r="P104" s="2035"/>
      <c r="Q104" s="2036"/>
      <c r="R104" s="2037"/>
      <c r="S104" s="2037"/>
      <c r="T104" s="2037"/>
      <c r="U104" s="2037"/>
      <c r="V104" s="2037"/>
      <c r="W104" s="2037"/>
      <c r="X104" s="2037"/>
      <c r="Y104" s="2037"/>
      <c r="Z104" s="2037"/>
      <c r="AA104" s="2037"/>
      <c r="AB104" s="2037"/>
      <c r="AC104" s="2037"/>
    </row>
    <row r="105" spans="1:29" ht="15" thickTop="1">
      <c r="A105" s="719"/>
      <c r="B105" s="657" t="s">
        <v>743</v>
      </c>
      <c r="C105" s="672"/>
      <c r="D105" s="672"/>
      <c r="E105" s="702"/>
      <c r="F105" s="702"/>
      <c r="G105" s="702"/>
      <c r="H105" s="702"/>
      <c r="I105" s="702"/>
      <c r="J105" s="702"/>
      <c r="K105" s="703"/>
      <c r="L105" s="704"/>
      <c r="M105" s="705"/>
      <c r="N105" s="2031"/>
      <c r="O105" s="2031"/>
      <c r="P105" s="2032"/>
      <c r="Q105" s="2025"/>
      <c r="R105" s="2013"/>
      <c r="S105" s="2013"/>
      <c r="T105" s="2013"/>
      <c r="U105" s="2013"/>
      <c r="V105" s="2013"/>
      <c r="W105" s="2013"/>
      <c r="X105" s="2013"/>
      <c r="Y105" s="2013"/>
      <c r="Z105" s="2013"/>
      <c r="AA105" s="2013"/>
      <c r="AB105" s="2013"/>
      <c r="AC105" s="2013"/>
    </row>
    <row r="106" spans="1:29" ht="15.75" thickBot="1">
      <c r="A106" s="653"/>
      <c r="B106" s="662"/>
      <c r="C106" s="663">
        <v>100</v>
      </c>
      <c r="D106" s="663">
        <f t="shared" ref="D106:M106" si="23">C106-$K34</f>
        <v>100</v>
      </c>
      <c r="E106" s="663">
        <f t="shared" si="23"/>
        <v>100</v>
      </c>
      <c r="F106" s="663">
        <f t="shared" si="23"/>
        <v>100</v>
      </c>
      <c r="G106" s="663">
        <f t="shared" si="23"/>
        <v>100</v>
      </c>
      <c r="H106" s="663">
        <f t="shared" si="23"/>
        <v>100</v>
      </c>
      <c r="I106" s="663">
        <f t="shared" si="23"/>
        <v>100</v>
      </c>
      <c r="J106" s="663">
        <f t="shared" si="23"/>
        <v>100</v>
      </c>
      <c r="K106" s="663">
        <f t="shared" si="23"/>
        <v>100</v>
      </c>
      <c r="L106" s="663">
        <f t="shared" si="23"/>
        <v>100</v>
      </c>
      <c r="M106" s="664">
        <f t="shared" si="23"/>
        <v>100</v>
      </c>
      <c r="N106" s="2033"/>
      <c r="O106" s="2033"/>
      <c r="P106" s="2032"/>
      <c r="Q106" s="2025"/>
      <c r="R106" s="2013"/>
      <c r="S106" s="2013"/>
      <c r="T106" s="2013"/>
      <c r="U106" s="2013"/>
      <c r="V106" s="2013"/>
      <c r="W106" s="2013"/>
      <c r="X106" s="2013"/>
      <c r="Y106" s="2013"/>
      <c r="Z106" s="2013"/>
      <c r="AA106" s="2013"/>
      <c r="AB106" s="2013"/>
      <c r="AC106" s="2013"/>
    </row>
    <row r="107" spans="1:29" ht="15" thickTop="1">
      <c r="A107" s="719"/>
      <c r="B107" s="657" t="s">
        <v>745</v>
      </c>
      <c r="C107" s="672"/>
      <c r="D107" s="672"/>
      <c r="E107" s="672"/>
      <c r="F107" s="702"/>
      <c r="G107" s="702"/>
      <c r="H107" s="702"/>
      <c r="I107" s="702"/>
      <c r="J107" s="702"/>
      <c r="K107" s="703"/>
      <c r="L107" s="704"/>
      <c r="M107" s="705"/>
      <c r="N107" s="2031"/>
      <c r="O107" s="2031"/>
      <c r="P107" s="2032"/>
      <c r="Q107" s="2025"/>
      <c r="R107" s="2013"/>
      <c r="S107" s="2013"/>
      <c r="T107" s="2013"/>
      <c r="U107" s="2013"/>
      <c r="V107" s="2013"/>
      <c r="W107" s="2013"/>
      <c r="X107" s="2013"/>
      <c r="Y107" s="2013"/>
      <c r="Z107" s="2013"/>
      <c r="AA107" s="2013"/>
      <c r="AB107" s="2013"/>
      <c r="AC107" s="2013"/>
    </row>
    <row r="108" spans="1:29" ht="15.75" thickBot="1">
      <c r="A108" s="653"/>
      <c r="B108" s="662"/>
      <c r="C108" s="663">
        <v>100</v>
      </c>
      <c r="D108" s="663">
        <f t="shared" ref="D108:M108" si="24">C108-$K35</f>
        <v>100</v>
      </c>
      <c r="E108" s="663">
        <f t="shared" si="24"/>
        <v>100</v>
      </c>
      <c r="F108" s="663">
        <f t="shared" si="24"/>
        <v>100</v>
      </c>
      <c r="G108" s="663">
        <f t="shared" si="24"/>
        <v>100</v>
      </c>
      <c r="H108" s="663">
        <f t="shared" si="24"/>
        <v>100</v>
      </c>
      <c r="I108" s="663">
        <f t="shared" si="24"/>
        <v>100</v>
      </c>
      <c r="J108" s="663">
        <f t="shared" si="24"/>
        <v>100</v>
      </c>
      <c r="K108" s="663">
        <f t="shared" si="24"/>
        <v>100</v>
      </c>
      <c r="L108" s="663">
        <f t="shared" si="24"/>
        <v>100</v>
      </c>
      <c r="M108" s="664">
        <f t="shared" si="24"/>
        <v>100</v>
      </c>
      <c r="N108" s="2033"/>
      <c r="O108" s="2033"/>
      <c r="P108" s="2032"/>
      <c r="Q108" s="2025"/>
      <c r="R108" s="2013"/>
      <c r="S108" s="2013"/>
      <c r="T108" s="2013"/>
      <c r="U108" s="2013"/>
      <c r="V108" s="2013"/>
      <c r="W108" s="2013"/>
      <c r="X108" s="2013"/>
      <c r="Y108" s="2013"/>
      <c r="Z108" s="2013"/>
      <c r="AA108" s="2013"/>
      <c r="AB108" s="2013"/>
      <c r="AC108" s="2013"/>
    </row>
    <row r="109" spans="1:29" ht="15" thickTop="1">
      <c r="A109" s="719"/>
      <c r="B109" s="657" t="s">
        <v>746</v>
      </c>
      <c r="C109" s="692" t="str">
        <f>C110&amp;"(含)"&amp;"-"&amp;D110</f>
        <v>0.5(含)-0.6</v>
      </c>
      <c r="D109" s="692" t="str">
        <f>D110&amp;"(含)"&amp;"-"&amp;E110</f>
        <v>0.6(含)-0.7</v>
      </c>
      <c r="E109" s="692" t="str">
        <f>E110&amp;"(含)"&amp;"-"&amp;F110</f>
        <v>0.7(含)-0.8</v>
      </c>
      <c r="F109" s="692" t="str">
        <f>F110&amp;"(含)"&amp;"-"&amp;G110</f>
        <v>0.8(含)-0.9</v>
      </c>
      <c r="G109" s="692" t="str">
        <f>G110&amp;"(含)"&amp;"-"&amp;ROUND(H110,0)</f>
        <v>0.9(含)-1</v>
      </c>
      <c r="H109" s="692"/>
      <c r="I109" s="702"/>
      <c r="J109" s="702"/>
      <c r="K109" s="703"/>
      <c r="L109" s="704"/>
      <c r="M109" s="705"/>
      <c r="N109" s="2031"/>
      <c r="O109" s="2031"/>
      <c r="P109" s="2032"/>
      <c r="Q109" s="2025"/>
      <c r="R109" s="2013"/>
      <c r="S109" s="2013"/>
      <c r="T109" s="2013"/>
      <c r="U109" s="2013"/>
      <c r="V109" s="2013"/>
      <c r="W109" s="2013"/>
      <c r="X109" s="2013"/>
      <c r="Y109" s="2013"/>
      <c r="Z109" s="2013"/>
      <c r="AA109" s="2013"/>
      <c r="AB109" s="2013"/>
      <c r="AC109" s="2013"/>
    </row>
    <row r="110" spans="1:29">
      <c r="A110" s="719"/>
      <c r="B110" s="665"/>
      <c r="C110" s="875">
        <v>0.5</v>
      </c>
      <c r="D110" s="875">
        <v>0.6</v>
      </c>
      <c r="E110" s="875">
        <v>0.7</v>
      </c>
      <c r="F110" s="875">
        <v>0.8</v>
      </c>
      <c r="G110" s="875">
        <v>0.9</v>
      </c>
      <c r="H110" s="875">
        <v>1.0001</v>
      </c>
      <c r="I110" s="886"/>
      <c r="J110" s="886"/>
      <c r="K110" s="887"/>
      <c r="L110" s="888"/>
      <c r="M110" s="889"/>
      <c r="N110" s="2031"/>
      <c r="O110" s="2031"/>
      <c r="P110" s="2032"/>
      <c r="Q110" s="2025"/>
      <c r="R110" s="2013"/>
      <c r="S110" s="2013"/>
      <c r="T110" s="2013"/>
      <c r="U110" s="2013"/>
      <c r="V110" s="2013"/>
      <c r="W110" s="2013"/>
      <c r="X110" s="2013"/>
      <c r="Y110" s="2013"/>
      <c r="Z110" s="2013"/>
      <c r="AA110" s="2013"/>
      <c r="AB110" s="2013"/>
      <c r="AC110" s="2013"/>
    </row>
    <row r="111" spans="1:29" ht="15.75" thickBot="1">
      <c r="A111" s="653"/>
      <c r="B111" s="662"/>
      <c r="C111" s="696">
        <v>100</v>
      </c>
      <c r="D111" s="663">
        <f>C111+$K36</f>
        <v>100</v>
      </c>
      <c r="E111" s="663">
        <f t="shared" ref="E111:M111" si="25">D111+$K36</f>
        <v>100</v>
      </c>
      <c r="F111" s="663">
        <f t="shared" si="25"/>
        <v>100</v>
      </c>
      <c r="G111" s="663">
        <f t="shared" si="25"/>
        <v>100</v>
      </c>
      <c r="H111" s="663">
        <f t="shared" si="25"/>
        <v>100</v>
      </c>
      <c r="I111" s="663">
        <f t="shared" si="25"/>
        <v>100</v>
      </c>
      <c r="J111" s="663">
        <f t="shared" si="25"/>
        <v>100</v>
      </c>
      <c r="K111" s="663">
        <f t="shared" si="25"/>
        <v>100</v>
      </c>
      <c r="L111" s="663">
        <f t="shared" si="25"/>
        <v>100</v>
      </c>
      <c r="M111" s="663">
        <f t="shared" si="25"/>
        <v>100</v>
      </c>
      <c r="N111" s="2033"/>
      <c r="O111" s="2033"/>
      <c r="P111" s="2032"/>
      <c r="Q111" s="2025"/>
      <c r="R111" s="2013"/>
      <c r="S111" s="2013"/>
      <c r="T111" s="2013"/>
      <c r="U111" s="2013"/>
      <c r="V111" s="2013"/>
      <c r="W111" s="2013"/>
      <c r="X111" s="2013"/>
      <c r="Y111" s="2013"/>
      <c r="Z111" s="2013"/>
      <c r="AA111" s="2013"/>
      <c r="AB111" s="2013"/>
      <c r="AC111" s="2013"/>
    </row>
    <row r="112" spans="1:29" s="1283" customFormat="1" ht="15" thickTop="1">
      <c r="A112" s="712"/>
      <c r="B112" s="1796" t="s">
        <v>2532</v>
      </c>
      <c r="C112" s="672"/>
      <c r="D112" s="672"/>
      <c r="E112" s="672"/>
      <c r="F112" s="672"/>
      <c r="G112" s="672"/>
      <c r="H112" s="702"/>
      <c r="I112" s="702"/>
      <c r="J112" s="702"/>
      <c r="K112" s="703"/>
      <c r="L112" s="704"/>
      <c r="M112" s="705"/>
      <c r="N112" s="2034"/>
      <c r="O112" s="2034"/>
      <c r="P112" s="2035"/>
      <c r="Q112" s="2036"/>
      <c r="R112" s="2037"/>
      <c r="S112" s="2037"/>
      <c r="T112" s="2037"/>
      <c r="U112" s="2037"/>
      <c r="V112" s="2037"/>
      <c r="W112" s="2037"/>
      <c r="X112" s="2037"/>
      <c r="Y112" s="2037"/>
      <c r="Z112" s="2037"/>
      <c r="AA112" s="2037"/>
      <c r="AB112" s="2037"/>
      <c r="AC112" s="2037"/>
    </row>
    <row r="113" spans="1:29" s="1283" customFormat="1" ht="15.75" thickBot="1">
      <c r="A113" s="671"/>
      <c r="B113" s="662"/>
      <c r="C113" s="663">
        <v>100</v>
      </c>
      <c r="D113" s="663">
        <f>C113-$K37</f>
        <v>100</v>
      </c>
      <c r="E113" s="663">
        <f t="shared" ref="E113:M113" si="26">D113-$K37</f>
        <v>100</v>
      </c>
      <c r="F113" s="663">
        <f t="shared" si="26"/>
        <v>100</v>
      </c>
      <c r="G113" s="663">
        <f t="shared" si="26"/>
        <v>100</v>
      </c>
      <c r="H113" s="663">
        <f t="shared" si="26"/>
        <v>100</v>
      </c>
      <c r="I113" s="663">
        <f t="shared" si="26"/>
        <v>100</v>
      </c>
      <c r="J113" s="663">
        <f t="shared" si="26"/>
        <v>100</v>
      </c>
      <c r="K113" s="663">
        <f t="shared" si="26"/>
        <v>100</v>
      </c>
      <c r="L113" s="663">
        <f t="shared" si="26"/>
        <v>100</v>
      </c>
      <c r="M113" s="663">
        <f t="shared" si="26"/>
        <v>100</v>
      </c>
      <c r="N113" s="2034"/>
      <c r="O113" s="2034"/>
      <c r="P113" s="2035"/>
      <c r="Q113" s="2036"/>
      <c r="R113" s="2037"/>
      <c r="S113" s="2037"/>
      <c r="T113" s="2037"/>
      <c r="U113" s="2037"/>
      <c r="V113" s="2037"/>
      <c r="W113" s="2037"/>
      <c r="X113" s="2037"/>
      <c r="Y113" s="2037"/>
      <c r="Z113" s="2037"/>
      <c r="AA113" s="2037"/>
      <c r="AB113" s="2037"/>
      <c r="AC113" s="2037"/>
    </row>
    <row r="114" spans="1:29" ht="15" thickTop="1">
      <c r="A114" s="719"/>
      <c r="B114" s="657" t="s">
        <v>767</v>
      </c>
      <c r="C114" s="672"/>
      <c r="D114" s="672"/>
      <c r="E114" s="702"/>
      <c r="F114" s="702"/>
      <c r="G114" s="702"/>
      <c r="H114" s="702"/>
      <c r="I114" s="702"/>
      <c r="J114" s="702"/>
      <c r="K114" s="703"/>
      <c r="L114" s="704"/>
      <c r="M114" s="705"/>
      <c r="N114" s="2031"/>
      <c r="O114" s="2031"/>
      <c r="P114" s="2032"/>
      <c r="Q114" s="2025"/>
      <c r="R114" s="2013"/>
      <c r="S114" s="2013"/>
      <c r="T114" s="2013"/>
      <c r="U114" s="2013"/>
      <c r="V114" s="2013"/>
      <c r="W114" s="2013"/>
      <c r="X114" s="2013"/>
      <c r="Y114" s="2013"/>
      <c r="Z114" s="2013"/>
      <c r="AA114" s="2013"/>
      <c r="AB114" s="2013"/>
      <c r="AC114" s="2013"/>
    </row>
    <row r="115" spans="1:29" ht="15.75" thickBot="1">
      <c r="A115" s="653"/>
      <c r="B115" s="662"/>
      <c r="C115" s="663">
        <v>100</v>
      </c>
      <c r="D115" s="663">
        <f t="shared" ref="D115:M115" si="27">C115-$K38</f>
        <v>100</v>
      </c>
      <c r="E115" s="663">
        <f t="shared" si="27"/>
        <v>100</v>
      </c>
      <c r="F115" s="663">
        <f t="shared" si="27"/>
        <v>100</v>
      </c>
      <c r="G115" s="663">
        <f t="shared" si="27"/>
        <v>100</v>
      </c>
      <c r="H115" s="663">
        <f t="shared" si="27"/>
        <v>100</v>
      </c>
      <c r="I115" s="663">
        <f t="shared" si="27"/>
        <v>100</v>
      </c>
      <c r="J115" s="663">
        <f t="shared" si="27"/>
        <v>100</v>
      </c>
      <c r="K115" s="663">
        <f t="shared" si="27"/>
        <v>100</v>
      </c>
      <c r="L115" s="663">
        <f t="shared" si="27"/>
        <v>100</v>
      </c>
      <c r="M115" s="664">
        <f t="shared" si="27"/>
        <v>100</v>
      </c>
      <c r="N115" s="2033"/>
      <c r="O115" s="2033"/>
      <c r="P115" s="2032"/>
      <c r="Q115" s="2025"/>
      <c r="R115" s="2013"/>
      <c r="S115" s="2013"/>
      <c r="T115" s="2013"/>
      <c r="U115" s="2013"/>
      <c r="V115" s="2013"/>
      <c r="W115" s="2013"/>
      <c r="X115" s="2013"/>
      <c r="Y115" s="2013"/>
      <c r="Z115" s="2013"/>
      <c r="AA115" s="2013"/>
      <c r="AB115" s="2013"/>
      <c r="AC115" s="2013"/>
    </row>
    <row r="116" spans="1:29" ht="15" thickTop="1">
      <c r="A116" s="719"/>
      <c r="B116" s="657" t="s">
        <v>768</v>
      </c>
      <c r="C116" s="672"/>
      <c r="D116" s="672"/>
      <c r="E116" s="672"/>
      <c r="F116" s="672"/>
      <c r="G116" s="672"/>
      <c r="H116" s="702"/>
      <c r="I116" s="702"/>
      <c r="J116" s="702"/>
      <c r="K116" s="703"/>
      <c r="L116" s="704"/>
      <c r="M116" s="705"/>
      <c r="N116" s="2031"/>
      <c r="O116" s="2031"/>
      <c r="P116" s="2032"/>
      <c r="Q116" s="2025"/>
      <c r="R116" s="2013"/>
      <c r="S116" s="2013"/>
      <c r="T116" s="2013"/>
      <c r="U116" s="2013"/>
      <c r="V116" s="2013"/>
      <c r="W116" s="2013"/>
      <c r="X116" s="2013"/>
      <c r="Y116" s="2013"/>
      <c r="Z116" s="2013"/>
      <c r="AA116" s="2013"/>
      <c r="AB116" s="2013"/>
      <c r="AC116" s="2013"/>
    </row>
    <row r="117" spans="1:29" ht="15.75" thickBot="1">
      <c r="A117" s="653"/>
      <c r="B117" s="662"/>
      <c r="C117" s="663">
        <v>100</v>
      </c>
      <c r="D117" s="663">
        <f>C117-$K39</f>
        <v>100</v>
      </c>
      <c r="E117" s="663">
        <f>D117-$K39</f>
        <v>100</v>
      </c>
      <c r="F117" s="663">
        <f>E117-$K39</f>
        <v>100</v>
      </c>
      <c r="G117" s="663">
        <f>F117-$K39</f>
        <v>100</v>
      </c>
      <c r="H117" s="663"/>
      <c r="I117" s="663"/>
      <c r="J117" s="663"/>
      <c r="K117" s="663"/>
      <c r="L117" s="663"/>
      <c r="M117" s="664"/>
      <c r="N117" s="2033"/>
      <c r="O117" s="2033"/>
      <c r="P117" s="2032"/>
      <c r="Q117" s="2025"/>
      <c r="R117" s="2013"/>
      <c r="S117" s="2013"/>
      <c r="T117" s="2013"/>
      <c r="U117" s="2013"/>
      <c r="V117" s="2013"/>
      <c r="W117" s="2013"/>
      <c r="X117" s="2013"/>
      <c r="Y117" s="2013"/>
      <c r="Z117" s="2013"/>
      <c r="AA117" s="2013"/>
      <c r="AB117" s="2013"/>
      <c r="AC117" s="2013"/>
    </row>
    <row r="118" spans="1:29" ht="15" thickTop="1">
      <c r="A118" s="719"/>
      <c r="B118" s="657" t="s">
        <v>769</v>
      </c>
      <c r="C118" s="890"/>
      <c r="D118" s="890"/>
      <c r="E118" s="890"/>
      <c r="F118" s="890"/>
      <c r="G118" s="890"/>
      <c r="H118" s="673"/>
      <c r="I118" s="673"/>
      <c r="J118" s="673"/>
      <c r="K118" s="673"/>
      <c r="L118" s="674"/>
      <c r="M118" s="675"/>
      <c r="N118" s="2031"/>
      <c r="O118" s="2031"/>
      <c r="P118" s="2032"/>
      <c r="Q118" s="2025"/>
      <c r="R118" s="2013"/>
      <c r="S118" s="2013"/>
      <c r="T118" s="2013"/>
      <c r="U118" s="2013"/>
      <c r="V118" s="2013"/>
      <c r="W118" s="2013"/>
      <c r="X118" s="2013"/>
      <c r="Y118" s="2013"/>
      <c r="Z118" s="2013"/>
      <c r="AA118" s="2013"/>
      <c r="AB118" s="2013"/>
      <c r="AC118" s="2013"/>
    </row>
    <row r="119" spans="1:29" ht="15.75" thickBot="1">
      <c r="A119" s="653"/>
      <c r="B119" s="662"/>
      <c r="C119" s="676"/>
      <c r="D119" s="655"/>
      <c r="E119" s="655"/>
      <c r="F119" s="655"/>
      <c r="G119" s="655"/>
      <c r="H119" s="655"/>
      <c r="I119" s="655"/>
      <c r="J119" s="655"/>
      <c r="K119" s="655"/>
      <c r="L119" s="655"/>
      <c r="M119" s="656"/>
      <c r="N119" s="2033"/>
      <c r="O119" s="2033"/>
      <c r="P119" s="2032"/>
      <c r="Q119" s="2025"/>
      <c r="R119" s="2013"/>
      <c r="S119" s="2013"/>
      <c r="T119" s="2013"/>
      <c r="U119" s="2013"/>
      <c r="V119" s="2013"/>
      <c r="W119" s="2013"/>
      <c r="X119" s="2013"/>
      <c r="Y119" s="2013"/>
      <c r="Z119" s="2013"/>
      <c r="AA119" s="2013"/>
      <c r="AB119" s="2013"/>
      <c r="AC119" s="2013"/>
    </row>
    <row r="120" spans="1:29" s="1283" customFormat="1" ht="15" thickTop="1">
      <c r="A120" s="712"/>
      <c r="B120" s="657" t="s">
        <v>770</v>
      </c>
      <c r="C120" s="702"/>
      <c r="D120" s="702"/>
      <c r="E120" s="702"/>
      <c r="F120" s="702"/>
      <c r="G120" s="673"/>
      <c r="H120" s="673"/>
      <c r="I120" s="673"/>
      <c r="J120" s="673"/>
      <c r="K120" s="673"/>
      <c r="L120" s="674"/>
      <c r="M120" s="675"/>
      <c r="N120" s="2034"/>
      <c r="O120" s="2034"/>
      <c r="P120" s="2035"/>
      <c r="Q120" s="2036"/>
      <c r="R120" s="2037"/>
      <c r="S120" s="2037"/>
      <c r="T120" s="2037"/>
      <c r="U120" s="2037"/>
      <c r="V120" s="2037"/>
      <c r="W120" s="2037"/>
      <c r="X120" s="2037"/>
      <c r="Y120" s="2037"/>
      <c r="Z120" s="2037"/>
      <c r="AA120" s="2037"/>
      <c r="AB120" s="2037"/>
      <c r="AC120" s="2037"/>
    </row>
    <row r="121" spans="1:29" s="1283" customFormat="1" ht="15.75" thickBot="1">
      <c r="A121" s="671"/>
      <c r="B121" s="654"/>
      <c r="C121" s="696">
        <v>100</v>
      </c>
      <c r="D121" s="663">
        <f>C121-$K41</f>
        <v>100</v>
      </c>
      <c r="E121" s="663">
        <f t="shared" ref="E121:M121" si="28">D121-$K41</f>
        <v>100</v>
      </c>
      <c r="F121" s="663">
        <f t="shared" si="28"/>
        <v>100</v>
      </c>
      <c r="G121" s="663">
        <f t="shared" si="28"/>
        <v>100</v>
      </c>
      <c r="H121" s="663">
        <f t="shared" si="28"/>
        <v>100</v>
      </c>
      <c r="I121" s="663">
        <f t="shared" si="28"/>
        <v>100</v>
      </c>
      <c r="J121" s="663">
        <f t="shared" si="28"/>
        <v>100</v>
      </c>
      <c r="K121" s="663">
        <f t="shared" si="28"/>
        <v>100</v>
      </c>
      <c r="L121" s="663">
        <f t="shared" si="28"/>
        <v>100</v>
      </c>
      <c r="M121" s="664">
        <f t="shared" si="28"/>
        <v>100</v>
      </c>
      <c r="N121" s="2034"/>
      <c r="O121" s="2034"/>
      <c r="P121" s="2035"/>
      <c r="Q121" s="2036"/>
      <c r="R121" s="2037"/>
      <c r="S121" s="2037"/>
      <c r="T121" s="2037"/>
      <c r="U121" s="2037"/>
      <c r="V121" s="2037"/>
      <c r="W121" s="2037"/>
      <c r="X121" s="2037"/>
      <c r="Y121" s="2037"/>
      <c r="Z121" s="2037"/>
      <c r="AA121" s="2037"/>
      <c r="AB121" s="2037"/>
      <c r="AC121" s="2037"/>
    </row>
    <row r="122" spans="1:29" ht="15" thickTop="1">
      <c r="A122" s="719"/>
      <c r="B122" s="657" t="s">
        <v>749</v>
      </c>
      <c r="C122" s="672"/>
      <c r="D122" s="672"/>
      <c r="E122" s="672"/>
      <c r="F122" s="702"/>
      <c r="G122" s="702"/>
      <c r="H122" s="702"/>
      <c r="I122" s="702"/>
      <c r="J122" s="702"/>
      <c r="K122" s="703"/>
      <c r="L122" s="704"/>
      <c r="M122" s="705"/>
      <c r="N122" s="2031"/>
      <c r="O122" s="2031"/>
      <c r="P122" s="2032"/>
      <c r="Q122" s="2025"/>
      <c r="R122" s="2013"/>
      <c r="S122" s="2013"/>
      <c r="T122" s="2013"/>
      <c r="U122" s="2013"/>
      <c r="V122" s="2013"/>
      <c r="W122" s="2013"/>
      <c r="X122" s="2013"/>
      <c r="Y122" s="2013"/>
      <c r="Z122" s="2013"/>
      <c r="AA122" s="2013"/>
      <c r="AB122" s="2013"/>
      <c r="AC122" s="2013"/>
    </row>
    <row r="123" spans="1:29" ht="15.75" thickBot="1">
      <c r="A123" s="653"/>
      <c r="B123" s="662"/>
      <c r="C123" s="663">
        <v>100</v>
      </c>
      <c r="D123" s="663">
        <f t="shared" ref="D123:M123" si="29">C123-$K42</f>
        <v>100</v>
      </c>
      <c r="E123" s="663">
        <f t="shared" si="29"/>
        <v>100</v>
      </c>
      <c r="F123" s="663">
        <f t="shared" si="29"/>
        <v>100</v>
      </c>
      <c r="G123" s="663">
        <f t="shared" si="29"/>
        <v>100</v>
      </c>
      <c r="H123" s="663">
        <f t="shared" si="29"/>
        <v>100</v>
      </c>
      <c r="I123" s="663">
        <f t="shared" si="29"/>
        <v>100</v>
      </c>
      <c r="J123" s="663">
        <f t="shared" si="29"/>
        <v>100</v>
      </c>
      <c r="K123" s="663">
        <f t="shared" si="29"/>
        <v>100</v>
      </c>
      <c r="L123" s="663">
        <f t="shared" si="29"/>
        <v>100</v>
      </c>
      <c r="M123" s="664">
        <f t="shared" si="29"/>
        <v>100</v>
      </c>
      <c r="N123" s="2033"/>
      <c r="O123" s="2033"/>
      <c r="P123" s="2032"/>
      <c r="Q123" s="2025"/>
      <c r="R123" s="2013"/>
      <c r="S123" s="2013"/>
      <c r="T123" s="2013"/>
      <c r="U123" s="2013"/>
      <c r="V123" s="2013"/>
      <c r="W123" s="2013"/>
      <c r="X123" s="2013"/>
      <c r="Y123" s="2013"/>
      <c r="Z123" s="2013"/>
      <c r="AA123" s="2013"/>
      <c r="AB123" s="2013"/>
      <c r="AC123" s="2013"/>
    </row>
    <row r="124" spans="1:29" ht="27.75" thickTop="1">
      <c r="A124" s="719"/>
      <c r="B124" s="657" t="s">
        <v>750</v>
      </c>
      <c r="C124" s="692" t="s">
        <v>573</v>
      </c>
      <c r="D124" s="692" t="s">
        <v>574</v>
      </c>
      <c r="E124" s="692" t="s">
        <v>575</v>
      </c>
      <c r="F124" s="692" t="s">
        <v>576</v>
      </c>
      <c r="G124" s="692" t="s">
        <v>577</v>
      </c>
      <c r="H124" s="658"/>
      <c r="I124" s="658"/>
      <c r="J124" s="658"/>
      <c r="K124" s="659"/>
      <c r="L124" s="660"/>
      <c r="M124" s="661"/>
      <c r="N124" s="2031"/>
      <c r="O124" s="2031"/>
      <c r="P124" s="2035"/>
      <c r="Q124" s="2025"/>
      <c r="R124" s="2013"/>
      <c r="S124" s="2013"/>
      <c r="T124" s="2013"/>
      <c r="U124" s="2013"/>
      <c r="V124" s="2013"/>
      <c r="W124" s="2013"/>
      <c r="X124" s="2013"/>
      <c r="Y124" s="2013"/>
      <c r="Z124" s="2013"/>
      <c r="AA124" s="2013"/>
      <c r="AB124" s="2013"/>
      <c r="AC124" s="2013"/>
    </row>
    <row r="125" spans="1:29" ht="15.75" thickBot="1">
      <c r="A125" s="653"/>
      <c r="B125" s="662"/>
      <c r="C125" s="663">
        <v>100</v>
      </c>
      <c r="D125" s="663">
        <f>C125-$K43</f>
        <v>100</v>
      </c>
      <c r="E125" s="663">
        <f>D125-$K43</f>
        <v>100</v>
      </c>
      <c r="F125" s="663">
        <f>E125-$K43</f>
        <v>100</v>
      </c>
      <c r="G125" s="663">
        <f>F125-$K43</f>
        <v>100</v>
      </c>
      <c r="H125" s="663"/>
      <c r="I125" s="663"/>
      <c r="J125" s="663"/>
      <c r="K125" s="663"/>
      <c r="L125" s="663"/>
      <c r="M125" s="664"/>
      <c r="N125" s="2033"/>
      <c r="O125" s="2033"/>
      <c r="P125" s="2032"/>
      <c r="Q125" s="2025"/>
      <c r="R125" s="2013"/>
      <c r="S125" s="2013"/>
      <c r="T125" s="2013"/>
      <c r="U125" s="2013"/>
      <c r="V125" s="2013"/>
      <c r="W125" s="2013"/>
      <c r="X125" s="2013"/>
      <c r="Y125" s="2013"/>
      <c r="Z125" s="2013"/>
      <c r="AA125" s="2013"/>
      <c r="AB125" s="2013"/>
      <c r="AC125" s="2013"/>
    </row>
    <row r="126" spans="1:29" s="1283" customFormat="1" ht="15" thickTop="1">
      <c r="A126" s="712"/>
      <c r="B126" s="657">
        <f>B44</f>
        <v>111</v>
      </c>
      <c r="C126" s="672"/>
      <c r="D126" s="672"/>
      <c r="E126" s="672"/>
      <c r="F126" s="672"/>
      <c r="G126" s="672"/>
      <c r="H126" s="673"/>
      <c r="I126" s="673"/>
      <c r="J126" s="673"/>
      <c r="K126" s="673"/>
      <c r="L126" s="674"/>
      <c r="M126" s="675"/>
      <c r="N126" s="2034"/>
      <c r="O126" s="2034"/>
      <c r="P126" s="2035"/>
      <c r="Q126" s="2036"/>
      <c r="R126" s="2037"/>
      <c r="S126" s="2037"/>
      <c r="T126" s="2037"/>
      <c r="U126" s="2037"/>
      <c r="V126" s="2037"/>
      <c r="W126" s="2037"/>
      <c r="X126" s="2037"/>
      <c r="Y126" s="2037"/>
      <c r="Z126" s="2037"/>
      <c r="AA126" s="2037"/>
      <c r="AB126" s="2037"/>
      <c r="AC126" s="2037"/>
    </row>
    <row r="127" spans="1:29" s="1283" customFormat="1" ht="15.75" thickBot="1">
      <c r="A127" s="671"/>
      <c r="B127" s="662"/>
      <c r="C127" s="676"/>
      <c r="D127" s="655"/>
      <c r="E127" s="655"/>
      <c r="F127" s="655"/>
      <c r="G127" s="676"/>
      <c r="H127" s="677"/>
      <c r="I127" s="677"/>
      <c r="J127" s="677"/>
      <c r="K127" s="677"/>
      <c r="L127" s="677"/>
      <c r="M127" s="678"/>
      <c r="N127" s="2034"/>
      <c r="O127" s="2034"/>
      <c r="P127" s="2035"/>
      <c r="Q127" s="2036"/>
      <c r="R127" s="2037"/>
      <c r="S127" s="2037"/>
      <c r="T127" s="2037"/>
      <c r="U127" s="2037"/>
      <c r="V127" s="2037"/>
      <c r="W127" s="2037"/>
      <c r="X127" s="2037"/>
      <c r="Y127" s="2037"/>
      <c r="Z127" s="2037"/>
      <c r="AA127" s="2037"/>
      <c r="AB127" s="2037"/>
      <c r="AC127" s="2037"/>
    </row>
    <row r="128" spans="1:29" ht="15" thickTop="1">
      <c r="A128" s="719"/>
      <c r="B128" s="657">
        <f>B45</f>
        <v>111</v>
      </c>
      <c r="C128" s="672"/>
      <c r="D128" s="672"/>
      <c r="E128" s="672"/>
      <c r="F128" s="672"/>
      <c r="G128" s="702"/>
      <c r="H128" s="702"/>
      <c r="I128" s="702"/>
      <c r="J128" s="702"/>
      <c r="K128" s="703"/>
      <c r="L128" s="704"/>
      <c r="M128" s="705"/>
      <c r="N128" s="2031"/>
      <c r="O128" s="2031"/>
      <c r="P128" s="2032"/>
      <c r="Q128" s="2025"/>
      <c r="R128" s="2013"/>
      <c r="S128" s="2013"/>
      <c r="T128" s="2013"/>
      <c r="U128" s="2013"/>
      <c r="V128" s="2013"/>
      <c r="W128" s="2013"/>
      <c r="X128" s="2013"/>
      <c r="Y128" s="2013"/>
      <c r="Z128" s="2013"/>
      <c r="AA128" s="2013"/>
      <c r="AB128" s="2013"/>
      <c r="AC128" s="2013"/>
    </row>
    <row r="129" spans="1:29" ht="15.75" thickBot="1">
      <c r="A129" s="653"/>
      <c r="B129" s="662"/>
      <c r="C129" s="676"/>
      <c r="D129" s="655"/>
      <c r="E129" s="655"/>
      <c r="F129" s="655"/>
      <c r="G129" s="655"/>
      <c r="H129" s="655"/>
      <c r="I129" s="655"/>
      <c r="J129" s="655"/>
      <c r="K129" s="655"/>
      <c r="L129" s="655"/>
      <c r="M129" s="656"/>
      <c r="N129" s="2033"/>
      <c r="O129" s="2033"/>
      <c r="P129" s="2032"/>
      <c r="Q129" s="2025"/>
      <c r="R129" s="2013"/>
      <c r="S129" s="2013"/>
      <c r="T129" s="2013"/>
      <c r="U129" s="2013"/>
      <c r="V129" s="2013"/>
      <c r="W129" s="2013"/>
      <c r="X129" s="2013"/>
      <c r="Y129" s="2013"/>
      <c r="Z129" s="2013"/>
      <c r="AA129" s="2013"/>
      <c r="AB129" s="2013"/>
      <c r="AC129" s="2013"/>
    </row>
    <row r="130" spans="1:29" ht="15" thickTop="1">
      <c r="A130" s="719"/>
      <c r="B130" s="665">
        <f>B46</f>
        <v>111</v>
      </c>
      <c r="C130" s="672"/>
      <c r="D130" s="672"/>
      <c r="E130" s="672"/>
      <c r="F130" s="672"/>
      <c r="G130" s="706"/>
      <c r="H130" s="706"/>
      <c r="I130" s="706"/>
      <c r="J130" s="706"/>
      <c r="K130" s="645"/>
      <c r="L130" s="646"/>
      <c r="M130" s="709"/>
      <c r="N130" s="2031"/>
      <c r="O130" s="2031"/>
      <c r="P130" s="2032"/>
      <c r="Q130" s="2025"/>
      <c r="R130" s="2013"/>
      <c r="S130" s="2013"/>
      <c r="T130" s="2013"/>
      <c r="U130" s="2013"/>
      <c r="V130" s="2013"/>
      <c r="W130" s="2013"/>
      <c r="X130" s="2013"/>
      <c r="Y130" s="2013"/>
      <c r="Z130" s="2013"/>
      <c r="AA130" s="2013"/>
      <c r="AB130" s="2013"/>
      <c r="AC130" s="2013"/>
    </row>
    <row r="131" spans="1:29" ht="15.75" thickBot="1">
      <c r="A131" s="874"/>
      <c r="B131" s="683"/>
      <c r="C131" s="684"/>
      <c r="D131" s="684"/>
      <c r="E131" s="684"/>
      <c r="F131" s="684"/>
      <c r="G131" s="710"/>
      <c r="H131" s="710"/>
      <c r="I131" s="710"/>
      <c r="J131" s="710"/>
      <c r="K131" s="710"/>
      <c r="L131" s="710"/>
      <c r="M131" s="711"/>
      <c r="N131" s="2033"/>
      <c r="O131" s="2033"/>
      <c r="P131" s="2032"/>
      <c r="Q131" s="2025"/>
      <c r="R131" s="2013"/>
      <c r="S131" s="2013"/>
      <c r="T131" s="2013"/>
      <c r="U131" s="2013"/>
      <c r="V131" s="2013"/>
      <c r="W131" s="2013"/>
      <c r="X131" s="2013"/>
      <c r="Y131" s="2013"/>
      <c r="Z131" s="2013"/>
      <c r="AA131" s="2013"/>
      <c r="AB131" s="2013"/>
      <c r="AC131" s="2013"/>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4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4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4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4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4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4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4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row r="236" spans="1:29">
      <c r="A236" s="2046"/>
      <c r="B236" s="2046"/>
      <c r="C236" s="2046"/>
      <c r="D236" s="2046"/>
      <c r="E236" s="2046"/>
      <c r="F236" s="2046"/>
      <c r="G236" s="2046"/>
      <c r="H236" s="2046"/>
      <c r="I236" s="2046"/>
      <c r="J236" s="2046"/>
      <c r="K236" s="2047"/>
      <c r="L236" s="2048"/>
      <c r="M236" s="2046"/>
      <c r="N236" s="2046"/>
      <c r="O236" s="2046"/>
      <c r="P236" s="2046"/>
      <c r="Q236" s="2046"/>
      <c r="R236" s="2046"/>
      <c r="S236" s="2046"/>
      <c r="T236" s="2046"/>
      <c r="U236" s="2046"/>
      <c r="V236" s="2046"/>
      <c r="W236" s="2046"/>
      <c r="X236" s="2046"/>
      <c r="Y236" s="2046"/>
      <c r="Z236" s="2046"/>
      <c r="AA236" s="2046"/>
      <c r="AB236" s="2046"/>
      <c r="AC236" s="2046"/>
    </row>
    <row r="237" spans="1:29">
      <c r="A237" s="2046"/>
      <c r="B237" s="2046"/>
      <c r="C237" s="2046"/>
      <c r="D237" s="2046"/>
      <c r="E237" s="2046"/>
      <c r="F237" s="2046"/>
      <c r="G237" s="2046"/>
      <c r="H237" s="2046"/>
      <c r="I237" s="2046"/>
      <c r="J237" s="2046"/>
      <c r="K237" s="2047"/>
      <c r="L237" s="2048"/>
      <c r="M237" s="2046"/>
      <c r="N237" s="2046"/>
      <c r="O237" s="2046"/>
      <c r="P237" s="2046"/>
      <c r="Q237" s="2046"/>
      <c r="R237" s="2046"/>
      <c r="S237" s="2046"/>
      <c r="T237" s="2046"/>
      <c r="U237" s="2046"/>
      <c r="V237" s="2046"/>
      <c r="W237" s="2046"/>
      <c r="X237" s="2046"/>
      <c r="Y237" s="2046"/>
      <c r="Z237" s="2046"/>
      <c r="AA237" s="2046"/>
      <c r="AB237" s="2046"/>
      <c r="AC237" s="2046"/>
    </row>
    <row r="238" spans="1:29">
      <c r="A238" s="2046"/>
      <c r="B238" s="2046"/>
      <c r="C238" s="2046"/>
      <c r="D238" s="2046"/>
      <c r="E238" s="2046"/>
      <c r="F238" s="2046"/>
      <c r="G238" s="2046"/>
      <c r="H238" s="2046"/>
      <c r="I238" s="2046"/>
      <c r="J238" s="2046"/>
      <c r="K238" s="2047"/>
      <c r="L238" s="2048"/>
      <c r="M238" s="2046"/>
      <c r="N238" s="2046"/>
      <c r="O238" s="2046"/>
      <c r="P238" s="2046"/>
      <c r="Q238" s="2046"/>
      <c r="R238" s="2046"/>
      <c r="S238" s="2046"/>
      <c r="T238" s="2046"/>
      <c r="U238" s="2046"/>
      <c r="V238" s="2046"/>
      <c r="W238" s="2046"/>
      <c r="X238" s="2046"/>
      <c r="Y238" s="2046"/>
      <c r="Z238" s="2046"/>
      <c r="AA238" s="2046"/>
      <c r="AB238" s="2046"/>
      <c r="AC238" s="2046"/>
    </row>
    <row r="239" spans="1:29">
      <c r="A239" s="2046"/>
      <c r="B239" s="2046"/>
      <c r="C239" s="2046"/>
      <c r="D239" s="2046"/>
      <c r="E239" s="2046"/>
      <c r="F239" s="2046"/>
      <c r="G239" s="2046"/>
      <c r="H239" s="2046"/>
      <c r="I239" s="2046"/>
      <c r="J239" s="2046"/>
      <c r="K239" s="2047"/>
      <c r="L239" s="2048"/>
      <c r="M239" s="2046"/>
      <c r="N239" s="2046"/>
      <c r="O239" s="2046"/>
      <c r="P239" s="2046"/>
      <c r="Q239" s="2046"/>
      <c r="R239" s="2046"/>
      <c r="S239" s="2046"/>
      <c r="T239" s="2046"/>
      <c r="U239" s="2046"/>
      <c r="V239" s="2046"/>
      <c r="W239" s="2046"/>
      <c r="X239" s="2046"/>
      <c r="Y239" s="2046"/>
      <c r="Z239" s="2046"/>
      <c r="AA239" s="2046"/>
      <c r="AB239" s="2046"/>
      <c r="AC239" s="2046"/>
    </row>
    <row r="240" spans="1:29">
      <c r="A240" s="2046"/>
      <c r="B240" s="2046"/>
      <c r="C240" s="2046"/>
      <c r="D240" s="2046"/>
      <c r="E240" s="2046"/>
      <c r="F240" s="2046"/>
      <c r="G240" s="2046"/>
      <c r="H240" s="2046"/>
      <c r="I240" s="2046"/>
      <c r="J240" s="2046"/>
      <c r="K240" s="2047"/>
      <c r="L240" s="2048"/>
      <c r="M240" s="2046"/>
      <c r="N240" s="2046"/>
      <c r="O240" s="2046"/>
      <c r="P240" s="2046"/>
      <c r="Q240" s="2046"/>
      <c r="R240" s="2046"/>
      <c r="S240" s="2046"/>
      <c r="T240" s="2046"/>
      <c r="U240" s="2046"/>
      <c r="V240" s="2046"/>
      <c r="W240" s="2046"/>
      <c r="X240" s="2046"/>
      <c r="Y240" s="2046"/>
      <c r="Z240" s="2046"/>
      <c r="AA240" s="2046"/>
      <c r="AB240" s="2046"/>
      <c r="AC240" s="2046"/>
    </row>
    <row r="241" spans="1:29">
      <c r="A241" s="2046"/>
      <c r="B241" s="2046"/>
      <c r="C241" s="2046"/>
      <c r="D241" s="2046"/>
      <c r="E241" s="2046"/>
      <c r="F241" s="2046"/>
      <c r="G241" s="2046"/>
      <c r="H241" s="2046"/>
      <c r="I241" s="2046"/>
      <c r="J241" s="2046"/>
      <c r="K241" s="2047"/>
      <c r="L241" s="2048"/>
      <c r="M241" s="2046"/>
      <c r="N241" s="2046"/>
      <c r="O241" s="2046"/>
      <c r="P241" s="2046"/>
      <c r="Q241" s="2046"/>
      <c r="R241" s="2046"/>
      <c r="S241" s="2046"/>
      <c r="T241" s="2046"/>
      <c r="U241" s="2046"/>
      <c r="V241" s="2046"/>
      <c r="W241" s="2046"/>
      <c r="X241" s="2046"/>
      <c r="Y241" s="2046"/>
      <c r="Z241" s="2046"/>
      <c r="AA241" s="2046"/>
      <c r="AB241" s="2046"/>
      <c r="AC241" s="2046"/>
    </row>
    <row r="242" spans="1:29">
      <c r="A242" s="2046"/>
      <c r="B242" s="2046"/>
      <c r="C242" s="2046"/>
      <c r="D242" s="2046"/>
      <c r="E242" s="2046"/>
      <c r="F242" s="2046"/>
      <c r="G242" s="2046"/>
      <c r="H242" s="2046"/>
      <c r="I242" s="2046"/>
      <c r="J242" s="2046"/>
      <c r="K242" s="2047"/>
      <c r="L242" s="2048"/>
      <c r="M242" s="2046"/>
      <c r="N242" s="2046"/>
      <c r="O242" s="2046"/>
      <c r="P242" s="2046"/>
      <c r="Q242" s="2046"/>
      <c r="R242" s="2046"/>
      <c r="S242" s="2046"/>
      <c r="T242" s="2046"/>
      <c r="U242" s="2046"/>
      <c r="V242" s="2046"/>
      <c r="W242" s="2046"/>
      <c r="X242" s="2046"/>
      <c r="Y242" s="2046"/>
      <c r="Z242" s="2046"/>
      <c r="AA242" s="2046"/>
      <c r="AB242" s="2046"/>
      <c r="AC242" s="2046"/>
    </row>
    <row r="243" spans="1:29">
      <c r="A243" s="2046"/>
      <c r="B243" s="2046"/>
      <c r="C243" s="2046"/>
      <c r="D243" s="2046"/>
      <c r="E243" s="2046"/>
      <c r="F243" s="2046"/>
      <c r="G243" s="2046"/>
      <c r="H243" s="2046"/>
      <c r="I243" s="2046"/>
      <c r="J243" s="2046"/>
      <c r="K243" s="2047"/>
      <c r="L243" s="2048"/>
      <c r="M243" s="2046"/>
      <c r="N243" s="2046"/>
      <c r="O243" s="2046"/>
      <c r="P243" s="2046"/>
      <c r="Q243" s="2046"/>
      <c r="R243" s="2046"/>
      <c r="S243" s="2046"/>
      <c r="T243" s="2046"/>
      <c r="U243" s="2046"/>
      <c r="V243" s="2046"/>
      <c r="W243" s="2046"/>
      <c r="X243" s="2046"/>
      <c r="Y243" s="2046"/>
      <c r="Z243" s="2046"/>
      <c r="AA243" s="2046"/>
      <c r="AB243" s="2046"/>
      <c r="AC243" s="2046"/>
    </row>
    <row r="244" spans="1:29">
      <c r="A244" s="2046"/>
      <c r="B244" s="2046"/>
      <c r="C244" s="2046"/>
      <c r="D244" s="2046"/>
      <c r="E244" s="2046"/>
      <c r="F244" s="2046"/>
      <c r="G244" s="2046"/>
      <c r="H244" s="2046"/>
      <c r="I244" s="2046"/>
      <c r="J244" s="2046"/>
      <c r="K244" s="2047"/>
      <c r="L244" s="2048"/>
      <c r="M244" s="2046"/>
      <c r="N244" s="2046"/>
      <c r="O244" s="2046"/>
      <c r="P244" s="2046"/>
      <c r="Q244" s="2046"/>
      <c r="R244" s="2046"/>
      <c r="S244" s="2046"/>
      <c r="T244" s="2046"/>
      <c r="U244" s="2046"/>
      <c r="V244" s="2046"/>
      <c r="W244" s="2046"/>
      <c r="X244" s="2046"/>
      <c r="Y244" s="2046"/>
      <c r="Z244" s="2046"/>
      <c r="AA244" s="2046"/>
      <c r="AB244" s="2046"/>
      <c r="AC244" s="2046"/>
    </row>
    <row r="245" spans="1:29">
      <c r="A245" s="2046"/>
      <c r="B245" s="2046"/>
      <c r="C245" s="2046"/>
      <c r="D245" s="2046"/>
      <c r="E245" s="2046"/>
      <c r="F245" s="2046"/>
      <c r="G245" s="2046"/>
      <c r="H245" s="2046"/>
      <c r="I245" s="2046"/>
      <c r="J245" s="2046"/>
      <c r="K245" s="2047"/>
      <c r="L245" s="2048"/>
      <c r="M245" s="2046"/>
      <c r="N245" s="2046"/>
      <c r="O245" s="2046"/>
      <c r="P245" s="2046"/>
      <c r="Q245" s="2046"/>
      <c r="R245" s="2046"/>
      <c r="S245" s="2046"/>
      <c r="T245" s="2046"/>
      <c r="U245" s="2046"/>
      <c r="V245" s="2046"/>
      <c r="W245" s="2046"/>
      <c r="X245" s="2046"/>
      <c r="Y245" s="2046"/>
      <c r="Z245" s="2046"/>
      <c r="AA245" s="2046"/>
      <c r="AB245" s="2046"/>
      <c r="AC245" s="2046"/>
    </row>
    <row r="246" spans="1:29">
      <c r="A246" s="2046"/>
      <c r="B246" s="2046"/>
      <c r="C246" s="2046"/>
      <c r="D246" s="2046"/>
      <c r="E246" s="2046"/>
      <c r="F246" s="2046"/>
      <c r="G246" s="2046"/>
      <c r="H246" s="2046"/>
      <c r="I246" s="2046"/>
      <c r="J246" s="2046"/>
      <c r="K246" s="2047"/>
      <c r="L246" s="2048"/>
      <c r="M246" s="2046"/>
      <c r="N246" s="2046"/>
      <c r="O246" s="2046"/>
      <c r="P246" s="2046"/>
      <c r="Q246" s="2046"/>
      <c r="R246" s="2046"/>
      <c r="S246" s="2046"/>
      <c r="T246" s="2046"/>
      <c r="U246" s="2046"/>
      <c r="V246" s="2046"/>
      <c r="W246" s="2046"/>
      <c r="X246" s="2046"/>
      <c r="Y246" s="2046"/>
      <c r="Z246" s="2046"/>
      <c r="AA246" s="2046"/>
      <c r="AB246" s="2046"/>
      <c r="AC246" s="2046"/>
    </row>
    <row r="247" spans="1:29">
      <c r="A247" s="2046"/>
      <c r="B247" s="2046"/>
      <c r="C247" s="2046"/>
      <c r="D247" s="2046"/>
      <c r="E247" s="2046"/>
      <c r="F247" s="2046"/>
      <c r="G247" s="2046"/>
      <c r="H247" s="2046"/>
      <c r="I247" s="2046"/>
      <c r="J247" s="2046"/>
      <c r="K247" s="2047"/>
      <c r="L247" s="2048"/>
      <c r="M247" s="2046"/>
      <c r="N247" s="2046"/>
      <c r="O247" s="2046"/>
      <c r="P247" s="2046"/>
      <c r="Q247" s="2046"/>
      <c r="R247" s="2046"/>
      <c r="S247" s="2046"/>
      <c r="T247" s="2046"/>
      <c r="U247" s="2046"/>
      <c r="V247" s="2046"/>
      <c r="W247" s="2046"/>
      <c r="X247" s="2046"/>
      <c r="Y247" s="2046"/>
      <c r="Z247" s="2046"/>
      <c r="AA247" s="2046"/>
      <c r="AB247" s="2046"/>
      <c r="AC247" s="2046"/>
    </row>
    <row r="248" spans="1:29">
      <c r="A248" s="2046"/>
      <c r="B248" s="2046"/>
      <c r="C248" s="2046"/>
      <c r="D248" s="2046"/>
      <c r="E248" s="2046"/>
      <c r="F248" s="2046"/>
      <c r="G248" s="2046"/>
      <c r="H248" s="2046"/>
      <c r="I248" s="2046"/>
      <c r="J248" s="2046"/>
      <c r="K248" s="2047"/>
      <c r="L248" s="2048"/>
      <c r="M248" s="2046"/>
      <c r="N248" s="2046"/>
      <c r="O248" s="2046"/>
      <c r="P248" s="2046"/>
      <c r="Q248" s="2046"/>
      <c r="R248" s="2046"/>
      <c r="S248" s="2046"/>
      <c r="T248" s="2046"/>
      <c r="U248" s="2046"/>
      <c r="V248" s="2046"/>
      <c r="W248" s="2046"/>
      <c r="X248" s="2046"/>
      <c r="Y248" s="2046"/>
      <c r="Z248" s="2046"/>
      <c r="AA248" s="2046"/>
      <c r="AB248" s="2046"/>
      <c r="AC248" s="2046"/>
    </row>
    <row r="249" spans="1:29">
      <c r="A249" s="2046"/>
      <c r="B249" s="2046"/>
      <c r="C249" s="2046"/>
      <c r="D249" s="2046"/>
      <c r="E249" s="2046"/>
      <c r="F249" s="2046"/>
      <c r="G249" s="2046"/>
      <c r="H249" s="2046"/>
      <c r="I249" s="2046"/>
      <c r="J249" s="2046"/>
      <c r="K249" s="2047"/>
      <c r="L249" s="2048"/>
      <c r="M249" s="2046"/>
      <c r="N249" s="2046"/>
      <c r="O249" s="2046"/>
      <c r="P249" s="2046"/>
      <c r="Q249" s="2046"/>
      <c r="R249" s="2046"/>
      <c r="S249" s="2046"/>
      <c r="T249" s="2046"/>
      <c r="U249" s="2046"/>
      <c r="V249" s="2046"/>
      <c r="W249" s="2046"/>
      <c r="X249" s="2046"/>
      <c r="Y249" s="2046"/>
      <c r="Z249" s="2046"/>
      <c r="AA249" s="2046"/>
      <c r="AB249" s="2046"/>
      <c r="AC249" s="2046"/>
    </row>
    <row r="250" spans="1:29">
      <c r="A250" s="2046"/>
      <c r="B250" s="2046"/>
      <c r="C250" s="2046"/>
      <c r="D250" s="2046"/>
      <c r="E250" s="2046"/>
      <c r="F250" s="2046"/>
      <c r="G250" s="2046"/>
      <c r="H250" s="2046"/>
      <c r="I250" s="2046"/>
      <c r="J250" s="2046"/>
      <c r="K250" s="2047"/>
      <c r="L250" s="2048"/>
      <c r="M250" s="2046"/>
      <c r="N250" s="2046"/>
      <c r="O250" s="2046"/>
      <c r="P250" s="2046"/>
      <c r="Q250" s="2046"/>
      <c r="R250" s="2046"/>
      <c r="S250" s="2046"/>
      <c r="T250" s="2046"/>
      <c r="U250" s="2046"/>
      <c r="V250" s="2046"/>
      <c r="W250" s="2046"/>
      <c r="X250" s="2046"/>
      <c r="Y250" s="2046"/>
      <c r="Z250" s="2046"/>
      <c r="AA250" s="2046"/>
      <c r="AB250" s="2046"/>
      <c r="AC250" s="2046"/>
    </row>
    <row r="251" spans="1:29">
      <c r="A251" s="2046"/>
      <c r="B251" s="2046"/>
      <c r="C251" s="2046"/>
      <c r="D251" s="2046"/>
      <c r="E251" s="2046"/>
      <c r="F251" s="2046"/>
      <c r="G251" s="2046"/>
      <c r="H251" s="2046"/>
      <c r="I251" s="2046"/>
      <c r="J251" s="2046"/>
      <c r="K251" s="2047"/>
      <c r="L251" s="2048"/>
      <c r="M251" s="2046"/>
      <c r="N251" s="2046"/>
      <c r="O251" s="2046"/>
      <c r="P251" s="2046"/>
      <c r="Q251" s="2046"/>
      <c r="R251" s="2046"/>
      <c r="S251" s="2046"/>
      <c r="T251" s="2046"/>
      <c r="U251" s="2046"/>
      <c r="V251" s="2046"/>
      <c r="W251" s="2046"/>
      <c r="X251" s="2046"/>
      <c r="Y251" s="2046"/>
      <c r="Z251" s="2046"/>
      <c r="AA251" s="2046"/>
      <c r="AB251" s="2046"/>
      <c r="AC251" s="2046"/>
    </row>
    <row r="252" spans="1:29">
      <c r="A252" s="2046"/>
      <c r="B252" s="2046"/>
      <c r="C252" s="2046"/>
      <c r="D252" s="2046"/>
      <c r="E252" s="2046"/>
      <c r="F252" s="2046"/>
      <c r="G252" s="2046"/>
      <c r="H252" s="2046"/>
      <c r="I252" s="2046"/>
      <c r="J252" s="2046"/>
      <c r="K252" s="2047"/>
      <c r="L252" s="2048"/>
      <c r="M252" s="2046"/>
      <c r="N252" s="2046"/>
      <c r="O252" s="2046"/>
      <c r="P252" s="2046"/>
      <c r="Q252" s="2046"/>
      <c r="R252" s="2046"/>
      <c r="S252" s="2046"/>
      <c r="T252" s="2046"/>
      <c r="U252" s="2046"/>
      <c r="V252" s="2046"/>
      <c r="W252" s="2046"/>
      <c r="X252" s="2046"/>
      <c r="Y252" s="2046"/>
      <c r="Z252" s="2046"/>
      <c r="AA252" s="2046"/>
      <c r="AB252" s="2046"/>
      <c r="AC252" s="2046"/>
    </row>
    <row r="253" spans="1:29">
      <c r="A253" s="2046"/>
      <c r="B253" s="2046"/>
      <c r="C253" s="2046"/>
      <c r="D253" s="2046"/>
      <c r="E253" s="2046"/>
      <c r="F253" s="2046"/>
      <c r="G253" s="2046"/>
      <c r="H253" s="2046"/>
      <c r="I253" s="2046"/>
      <c r="J253" s="2046"/>
      <c r="K253" s="2047"/>
      <c r="L253" s="2048"/>
      <c r="M253" s="2046"/>
      <c r="N253" s="2046"/>
      <c r="O253" s="2046"/>
      <c r="P253" s="2046"/>
      <c r="Q253" s="2046"/>
      <c r="R253" s="2046"/>
      <c r="S253" s="2046"/>
      <c r="T253" s="2046"/>
      <c r="U253" s="2046"/>
      <c r="V253" s="2046"/>
      <c r="W253" s="2046"/>
      <c r="X253" s="2046"/>
      <c r="Y253" s="2046"/>
      <c r="Z253" s="2046"/>
      <c r="AA253" s="2046"/>
      <c r="AB253" s="2046"/>
      <c r="AC253" s="2046"/>
    </row>
    <row r="254" spans="1:29">
      <c r="A254" s="2046"/>
      <c r="B254" s="2046"/>
      <c r="C254" s="2046"/>
      <c r="D254" s="2046"/>
      <c r="E254" s="2046"/>
      <c r="F254" s="2046"/>
      <c r="G254" s="2046"/>
      <c r="H254" s="2046"/>
      <c r="I254" s="2046"/>
      <c r="J254" s="2046"/>
      <c r="K254" s="2047"/>
      <c r="L254" s="2048"/>
      <c r="M254" s="2046"/>
      <c r="N254" s="2046"/>
      <c r="O254" s="2046"/>
      <c r="P254" s="2046"/>
      <c r="Q254" s="2046"/>
      <c r="R254" s="2046"/>
      <c r="S254" s="2046"/>
      <c r="T254" s="2046"/>
      <c r="U254" s="2046"/>
      <c r="V254" s="2046"/>
      <c r="W254" s="2046"/>
      <c r="X254" s="2046"/>
      <c r="Y254" s="2046"/>
      <c r="Z254" s="2046"/>
      <c r="AA254" s="2046"/>
      <c r="AB254" s="2046"/>
      <c r="AC254" s="2046"/>
    </row>
    <row r="255" spans="1:29">
      <c r="A255" s="2046"/>
      <c r="B255" s="2046"/>
      <c r="C255" s="2046"/>
      <c r="D255" s="2046"/>
      <c r="E255" s="2046"/>
      <c r="F255" s="2046"/>
      <c r="G255" s="2046"/>
      <c r="H255" s="2046"/>
      <c r="I255" s="2046"/>
      <c r="J255" s="2046"/>
      <c r="K255" s="2047"/>
      <c r="L255" s="2048"/>
      <c r="M255" s="2046"/>
      <c r="N255" s="2046"/>
      <c r="O255" s="2046"/>
      <c r="P255" s="2046"/>
      <c r="Q255" s="2046"/>
      <c r="R255" s="2046"/>
      <c r="S255" s="2046"/>
      <c r="T255" s="2046"/>
      <c r="U255" s="2046"/>
      <c r="V255" s="2046"/>
      <c r="W255" s="2046"/>
      <c r="X255" s="2046"/>
      <c r="Y255" s="2046"/>
      <c r="Z255" s="2046"/>
      <c r="AA255" s="2046"/>
      <c r="AB255" s="2046"/>
      <c r="AC255" s="2046"/>
    </row>
    <row r="256" spans="1:29">
      <c r="A256" s="2046"/>
      <c r="B256" s="2046"/>
      <c r="C256" s="2046"/>
      <c r="D256" s="2046"/>
      <c r="E256" s="2046"/>
      <c r="F256" s="2046"/>
      <c r="G256" s="2046"/>
      <c r="H256" s="2046"/>
      <c r="I256" s="2046"/>
      <c r="J256" s="2046"/>
      <c r="K256" s="2047"/>
      <c r="L256" s="2048"/>
      <c r="M256" s="2046"/>
      <c r="N256" s="2046"/>
      <c r="O256" s="2046"/>
      <c r="P256" s="2046"/>
      <c r="Q256" s="2046"/>
      <c r="R256" s="2046"/>
      <c r="S256" s="2046"/>
      <c r="T256" s="2046"/>
      <c r="U256" s="2046"/>
      <c r="V256" s="2046"/>
      <c r="W256" s="2046"/>
      <c r="X256" s="2046"/>
      <c r="Y256" s="2046"/>
      <c r="Z256" s="2046"/>
      <c r="AA256" s="2046"/>
      <c r="AB256" s="2046"/>
      <c r="AC256" s="2046"/>
    </row>
    <row r="257" spans="1:29">
      <c r="A257" s="2046"/>
      <c r="B257" s="2046"/>
      <c r="C257" s="2046"/>
      <c r="D257" s="2046"/>
      <c r="E257" s="2046"/>
      <c r="F257" s="2046"/>
      <c r="G257" s="2046"/>
      <c r="H257" s="2046"/>
      <c r="I257" s="2046"/>
      <c r="J257" s="2046"/>
      <c r="K257" s="2047"/>
      <c r="L257" s="2048"/>
      <c r="M257" s="2046"/>
      <c r="N257" s="2046"/>
      <c r="O257" s="2046"/>
      <c r="P257" s="2046"/>
      <c r="Q257" s="2046"/>
      <c r="R257" s="2046"/>
      <c r="S257" s="2046"/>
      <c r="T257" s="2046"/>
      <c r="U257" s="2046"/>
      <c r="V257" s="2046"/>
      <c r="W257" s="2046"/>
      <c r="X257" s="2046"/>
      <c r="Y257" s="2046"/>
      <c r="Z257" s="2046"/>
      <c r="AA257" s="2046"/>
      <c r="AB257" s="2046"/>
      <c r="AC257" s="2046"/>
    </row>
    <row r="258" spans="1:29">
      <c r="A258" s="2046"/>
      <c r="B258" s="2046"/>
      <c r="C258" s="2046"/>
      <c r="D258" s="2046"/>
      <c r="E258" s="2046"/>
      <c r="F258" s="2046"/>
      <c r="G258" s="2046"/>
      <c r="H258" s="2046"/>
      <c r="I258" s="2046"/>
      <c r="J258" s="2046"/>
      <c r="K258" s="2047"/>
      <c r="L258" s="2048"/>
      <c r="M258" s="2046"/>
      <c r="N258" s="2046"/>
      <c r="O258" s="2046"/>
      <c r="P258" s="2046"/>
      <c r="Q258" s="2046"/>
      <c r="R258" s="2046"/>
      <c r="S258" s="2046"/>
      <c r="T258" s="2046"/>
      <c r="U258" s="2046"/>
      <c r="V258" s="2046"/>
      <c r="W258" s="2046"/>
      <c r="X258" s="2046"/>
      <c r="Y258" s="2046"/>
      <c r="Z258" s="2046"/>
      <c r="AA258" s="2046"/>
      <c r="AB258" s="2046"/>
      <c r="AC258" s="2046"/>
    </row>
    <row r="259" spans="1:29">
      <c r="A259" s="2046"/>
      <c r="B259" s="2046"/>
      <c r="C259" s="2046"/>
      <c r="D259" s="2046"/>
      <c r="E259" s="2046"/>
      <c r="F259" s="2046"/>
      <c r="G259" s="2046"/>
      <c r="H259" s="2046"/>
      <c r="I259" s="2046"/>
      <c r="J259" s="2046"/>
      <c r="K259" s="2047"/>
      <c r="L259" s="2048"/>
      <c r="M259" s="2046"/>
      <c r="N259" s="2046"/>
      <c r="O259" s="2046"/>
      <c r="P259" s="2046"/>
      <c r="Q259" s="2046"/>
      <c r="R259" s="2046"/>
      <c r="S259" s="2046"/>
      <c r="T259" s="2046"/>
      <c r="U259" s="2046"/>
      <c r="V259" s="2046"/>
      <c r="W259" s="2046"/>
      <c r="X259" s="2046"/>
      <c r="Y259" s="2046"/>
      <c r="Z259" s="2046"/>
      <c r="AA259" s="2046"/>
      <c r="AB259" s="2046"/>
      <c r="AC259" s="2046"/>
    </row>
    <row r="260" spans="1:29">
      <c r="A260" s="2046"/>
      <c r="B260" s="2046"/>
      <c r="C260" s="2046"/>
      <c r="D260" s="2046"/>
      <c r="E260" s="2046"/>
      <c r="F260" s="2046"/>
      <c r="G260" s="2046"/>
      <c r="H260" s="2046"/>
      <c r="I260" s="2046"/>
      <c r="J260" s="2046"/>
      <c r="K260" s="2047"/>
      <c r="L260" s="2048"/>
      <c r="M260" s="2046"/>
      <c r="N260" s="2046"/>
      <c r="O260" s="2046"/>
      <c r="P260" s="2046"/>
      <c r="Q260" s="2046"/>
      <c r="R260" s="2046"/>
      <c r="S260" s="2046"/>
      <c r="T260" s="2046"/>
      <c r="U260" s="2046"/>
      <c r="V260" s="2046"/>
      <c r="W260" s="2046"/>
      <c r="X260" s="2046"/>
      <c r="Y260" s="2046"/>
      <c r="Z260" s="2046"/>
      <c r="AA260" s="2046"/>
      <c r="AB260" s="2046"/>
      <c r="AC260" s="2046"/>
    </row>
    <row r="261" spans="1:29">
      <c r="A261" s="2046"/>
      <c r="B261" s="2046"/>
      <c r="C261" s="2046"/>
      <c r="D261" s="2046"/>
      <c r="E261" s="2046"/>
      <c r="F261" s="2046"/>
      <c r="G261" s="2046"/>
      <c r="H261" s="2046"/>
      <c r="I261" s="2046"/>
      <c r="J261" s="2046"/>
      <c r="K261" s="2047"/>
      <c r="L261" s="2048"/>
      <c r="M261" s="2046"/>
      <c r="N261" s="2046"/>
      <c r="O261" s="2046"/>
      <c r="P261" s="2046"/>
      <c r="Q261" s="2046"/>
      <c r="R261" s="2046"/>
      <c r="S261" s="2046"/>
      <c r="T261" s="2046"/>
      <c r="U261" s="2046"/>
      <c r="V261" s="2046"/>
      <c r="W261" s="2046"/>
      <c r="X261" s="2046"/>
      <c r="Y261" s="2046"/>
      <c r="Z261" s="2046"/>
      <c r="AA261" s="2046"/>
      <c r="AB261" s="2046"/>
      <c r="AC261" s="2046"/>
    </row>
    <row r="262" spans="1:29">
      <c r="A262" s="2046"/>
      <c r="B262" s="2046"/>
      <c r="C262" s="2046"/>
      <c r="D262" s="2046"/>
      <c r="E262" s="2046"/>
      <c r="F262" s="2046"/>
      <c r="G262" s="2046"/>
      <c r="H262" s="2046"/>
      <c r="I262" s="2046"/>
      <c r="J262" s="2046"/>
      <c r="K262" s="2047"/>
      <c r="L262" s="2048"/>
      <c r="M262" s="2046"/>
      <c r="N262" s="2046"/>
      <c r="O262" s="2046"/>
      <c r="P262" s="2046"/>
      <c r="Q262" s="2046"/>
      <c r="R262" s="2046"/>
      <c r="S262" s="2046"/>
      <c r="T262" s="2046"/>
      <c r="U262" s="2046"/>
      <c r="V262" s="2046"/>
      <c r="W262" s="2046"/>
      <c r="X262" s="2046"/>
      <c r="Y262" s="2046"/>
      <c r="Z262" s="2046"/>
      <c r="AA262" s="2046"/>
      <c r="AB262" s="2046"/>
      <c r="AC262" s="2046"/>
    </row>
    <row r="263" spans="1:29">
      <c r="A263" s="2046"/>
      <c r="B263" s="2046"/>
      <c r="C263" s="2046"/>
      <c r="D263" s="2046"/>
      <c r="E263" s="2046"/>
      <c r="F263" s="2046"/>
      <c r="G263" s="2046"/>
      <c r="H263" s="2046"/>
      <c r="I263" s="2046"/>
      <c r="J263" s="2046"/>
      <c r="K263" s="2047"/>
      <c r="L263" s="2048"/>
      <c r="M263" s="2046"/>
      <c r="N263" s="2046"/>
      <c r="O263" s="2046"/>
      <c r="P263" s="2046"/>
      <c r="Q263" s="2046"/>
      <c r="R263" s="2046"/>
      <c r="S263" s="2046"/>
      <c r="T263" s="2046"/>
      <c r="U263" s="2046"/>
      <c r="V263" s="2046"/>
      <c r="W263" s="2046"/>
      <c r="X263" s="2046"/>
      <c r="Y263" s="2046"/>
      <c r="Z263" s="2046"/>
      <c r="AA263" s="2046"/>
      <c r="AB263" s="2046"/>
      <c r="AC263" s="2046"/>
    </row>
    <row r="264" spans="1:29">
      <c r="A264" s="2046"/>
      <c r="B264" s="2046"/>
      <c r="C264" s="2046"/>
      <c r="D264" s="2046"/>
      <c r="E264" s="2046"/>
      <c r="F264" s="2046"/>
      <c r="G264" s="2046"/>
      <c r="H264" s="2046"/>
      <c r="I264" s="2046"/>
      <c r="J264" s="2046"/>
      <c r="K264" s="2047"/>
      <c r="L264" s="2048"/>
      <c r="M264" s="2046"/>
      <c r="N264" s="2046"/>
      <c r="O264" s="2046"/>
      <c r="P264" s="2046"/>
      <c r="Q264" s="2046"/>
      <c r="R264" s="2046"/>
      <c r="S264" s="2046"/>
      <c r="T264" s="2046"/>
      <c r="U264" s="2046"/>
      <c r="V264" s="2046"/>
      <c r="W264" s="2046"/>
      <c r="X264" s="2046"/>
      <c r="Y264" s="2046"/>
      <c r="Z264" s="2046"/>
      <c r="AA264" s="2046"/>
      <c r="AB264" s="2046"/>
      <c r="AC264" s="2046"/>
    </row>
    <row r="265" spans="1:29">
      <c r="A265" s="2046"/>
      <c r="B265" s="2046"/>
      <c r="C265" s="2046"/>
      <c r="D265" s="2046"/>
      <c r="E265" s="2046"/>
      <c r="F265" s="2046"/>
      <c r="G265" s="2046"/>
      <c r="H265" s="2046"/>
      <c r="I265" s="2046"/>
      <c r="J265" s="2046"/>
      <c r="K265" s="2047"/>
      <c r="L265" s="2048"/>
      <c r="M265" s="2046"/>
      <c r="N265" s="2046"/>
      <c r="O265" s="2046"/>
      <c r="P265" s="2046"/>
      <c r="Q265" s="2046"/>
      <c r="R265" s="2046"/>
      <c r="S265" s="2046"/>
      <c r="T265" s="2046"/>
      <c r="U265" s="2046"/>
      <c r="V265" s="2046"/>
      <c r="W265" s="2046"/>
      <c r="X265" s="2046"/>
      <c r="Y265" s="2046"/>
      <c r="Z265" s="2046"/>
      <c r="AA265" s="2046"/>
      <c r="AB265" s="2046"/>
      <c r="AC265" s="2046"/>
    </row>
    <row r="266" spans="1:29">
      <c r="A266" s="2046"/>
      <c r="B266" s="2046"/>
      <c r="C266" s="2046"/>
      <c r="D266" s="2046"/>
      <c r="E266" s="2046"/>
      <c r="F266" s="2046"/>
      <c r="G266" s="2046"/>
      <c r="H266" s="2046"/>
      <c r="I266" s="2046"/>
      <c r="J266" s="2046"/>
      <c r="K266" s="2047"/>
      <c r="L266" s="2048"/>
      <c r="M266" s="2046"/>
      <c r="N266" s="2046"/>
      <c r="O266" s="2046"/>
      <c r="P266" s="2046"/>
      <c r="Q266" s="2046"/>
      <c r="R266" s="2046"/>
      <c r="S266" s="2046"/>
      <c r="T266" s="2046"/>
      <c r="U266" s="2046"/>
      <c r="V266" s="2046"/>
      <c r="W266" s="2046"/>
      <c r="X266" s="2046"/>
      <c r="Y266" s="2046"/>
      <c r="Z266" s="2046"/>
      <c r="AA266" s="2046"/>
      <c r="AB266" s="2046"/>
      <c r="AC266" s="2046"/>
    </row>
    <row r="267" spans="1:29">
      <c r="A267" s="2046"/>
      <c r="B267" s="2046"/>
      <c r="C267" s="2046"/>
      <c r="D267" s="2046"/>
      <c r="E267" s="2046"/>
      <c r="F267" s="2046"/>
      <c r="G267" s="2046"/>
      <c r="H267" s="2046"/>
      <c r="I267" s="2046"/>
      <c r="J267" s="2046"/>
      <c r="K267" s="2047"/>
      <c r="L267" s="2048"/>
      <c r="M267" s="2046"/>
      <c r="N267" s="2046"/>
      <c r="O267" s="2046"/>
      <c r="P267" s="2046"/>
      <c r="Q267" s="2046"/>
      <c r="R267" s="2046"/>
      <c r="S267" s="2046"/>
      <c r="T267" s="2046"/>
      <c r="U267" s="2046"/>
      <c r="V267" s="2046"/>
      <c r="W267" s="2046"/>
      <c r="X267" s="2046"/>
      <c r="Y267" s="2046"/>
      <c r="Z267" s="2046"/>
      <c r="AA267" s="2046"/>
      <c r="AB267" s="2046"/>
      <c r="AC267" s="2046"/>
    </row>
    <row r="268" spans="1:29">
      <c r="A268" s="2046"/>
      <c r="B268" s="2046"/>
      <c r="C268" s="2046"/>
      <c r="D268" s="2046"/>
      <c r="E268" s="2046"/>
      <c r="F268" s="2046"/>
      <c r="G268" s="2046"/>
      <c r="H268" s="2046"/>
      <c r="I268" s="2046"/>
      <c r="J268" s="2046"/>
      <c r="K268" s="2047"/>
      <c r="L268" s="2048"/>
      <c r="M268" s="2046"/>
      <c r="N268" s="2046"/>
      <c r="O268" s="2046"/>
      <c r="P268" s="2046"/>
      <c r="Q268" s="2046"/>
      <c r="R268" s="2046"/>
      <c r="S268" s="2046"/>
      <c r="T268" s="2046"/>
      <c r="U268" s="2046"/>
      <c r="V268" s="2046"/>
      <c r="W268" s="2046"/>
      <c r="X268" s="2046"/>
      <c r="Y268" s="2046"/>
      <c r="Z268" s="2046"/>
      <c r="AA268" s="2046"/>
      <c r="AB268" s="2046"/>
      <c r="AC268" s="2046"/>
    </row>
    <row r="269" spans="1:29">
      <c r="A269" s="2046"/>
      <c r="B269" s="2046"/>
      <c r="C269" s="2046"/>
      <c r="D269" s="2046"/>
      <c r="E269" s="2046"/>
      <c r="F269" s="2046"/>
      <c r="G269" s="2046"/>
      <c r="H269" s="2046"/>
      <c r="I269" s="2046"/>
      <c r="J269" s="2046"/>
      <c r="K269" s="2047"/>
      <c r="L269" s="2048"/>
      <c r="M269" s="2046"/>
      <c r="N269" s="2046"/>
      <c r="O269" s="2046"/>
      <c r="P269" s="2046"/>
      <c r="Q269" s="2046"/>
      <c r="R269" s="2046"/>
      <c r="S269" s="2046"/>
      <c r="T269" s="2046"/>
      <c r="U269" s="2046"/>
      <c r="V269" s="2046"/>
      <c r="W269" s="2046"/>
      <c r="X269" s="2046"/>
      <c r="Y269" s="2046"/>
      <c r="Z269" s="2046"/>
      <c r="AA269" s="2046"/>
      <c r="AB269" s="2046"/>
      <c r="AC269" s="2046"/>
    </row>
    <row r="270" spans="1:29">
      <c r="A270" s="2046"/>
      <c r="B270" s="2046"/>
      <c r="C270" s="2046"/>
      <c r="D270" s="2046"/>
      <c r="E270" s="2046"/>
      <c r="F270" s="2046"/>
      <c r="G270" s="2046"/>
      <c r="H270" s="2046"/>
      <c r="I270" s="2046"/>
      <c r="J270" s="2046"/>
      <c r="K270" s="2047"/>
      <c r="L270" s="2048"/>
      <c r="M270" s="2046"/>
      <c r="N270" s="2046"/>
      <c r="O270" s="2046"/>
      <c r="P270" s="2046"/>
      <c r="Q270" s="2046"/>
      <c r="R270" s="2046"/>
      <c r="S270" s="2046"/>
      <c r="T270" s="2046"/>
      <c r="U270" s="2046"/>
      <c r="V270" s="2046"/>
      <c r="W270" s="2046"/>
      <c r="X270" s="2046"/>
      <c r="Y270" s="2046"/>
      <c r="Z270" s="2046"/>
      <c r="AA270" s="2046"/>
      <c r="AB270" s="2046"/>
      <c r="AC270" s="2046"/>
    </row>
    <row r="271" spans="1:29">
      <c r="A271" s="2046"/>
      <c r="B271" s="2046"/>
      <c r="C271" s="2046"/>
      <c r="D271" s="2046"/>
      <c r="E271" s="2046"/>
      <c r="F271" s="2046"/>
      <c r="G271" s="2046"/>
      <c r="H271" s="2046"/>
      <c r="I271" s="2046"/>
      <c r="J271" s="2046"/>
      <c r="K271" s="2047"/>
      <c r="L271" s="2048"/>
      <c r="M271" s="2046"/>
      <c r="N271" s="2046"/>
      <c r="O271" s="2046"/>
      <c r="P271" s="2046"/>
      <c r="Q271" s="2046"/>
      <c r="R271" s="2046"/>
      <c r="S271" s="2046"/>
      <c r="T271" s="2046"/>
      <c r="U271" s="2046"/>
      <c r="V271" s="2046"/>
      <c r="W271" s="2046"/>
      <c r="X271" s="2046"/>
      <c r="Y271" s="2046"/>
      <c r="Z271" s="2046"/>
      <c r="AA271" s="2046"/>
      <c r="AB271" s="2046"/>
      <c r="AC271" s="2046"/>
    </row>
    <row r="272" spans="1:29">
      <c r="A272" s="2046"/>
      <c r="B272" s="2046"/>
      <c r="C272" s="2046"/>
      <c r="D272" s="2046"/>
      <c r="E272" s="2046"/>
      <c r="F272" s="2046"/>
      <c r="G272" s="2046"/>
      <c r="H272" s="2046"/>
      <c r="I272" s="2046"/>
      <c r="J272" s="2046"/>
      <c r="K272" s="2047"/>
      <c r="L272" s="2048"/>
      <c r="M272" s="2046"/>
      <c r="N272" s="2046"/>
      <c r="O272" s="2046"/>
      <c r="P272" s="2046"/>
      <c r="Q272" s="2046"/>
      <c r="R272" s="2046"/>
      <c r="S272" s="2046"/>
      <c r="T272" s="2046"/>
      <c r="U272" s="2046"/>
      <c r="V272" s="2046"/>
      <c r="W272" s="2046"/>
      <c r="X272" s="2046"/>
      <c r="Y272" s="2046"/>
      <c r="Z272" s="2046"/>
      <c r="AA272" s="2046"/>
      <c r="AB272" s="2046"/>
      <c r="AC272" s="2046"/>
    </row>
    <row r="273" spans="1:29">
      <c r="A273" s="2046"/>
      <c r="B273" s="2046"/>
      <c r="C273" s="2046"/>
      <c r="D273" s="2046"/>
      <c r="E273" s="2046"/>
      <c r="F273" s="2046"/>
      <c r="G273" s="2046"/>
      <c r="H273" s="2046"/>
      <c r="I273" s="2046"/>
      <c r="J273" s="2046"/>
      <c r="K273" s="2047"/>
      <c r="L273" s="2048"/>
      <c r="M273" s="2046"/>
      <c r="N273" s="2046"/>
      <c r="O273" s="2046"/>
      <c r="P273" s="2046"/>
      <c r="Q273" s="2046"/>
      <c r="R273" s="2046"/>
      <c r="S273" s="2046"/>
      <c r="T273" s="2046"/>
      <c r="U273" s="2046"/>
      <c r="V273" s="2046"/>
      <c r="W273" s="2046"/>
      <c r="X273" s="2046"/>
      <c r="Y273" s="2046"/>
      <c r="Z273" s="2046"/>
      <c r="AA273" s="2046"/>
      <c r="AB273" s="2046"/>
      <c r="AC273" s="2046"/>
    </row>
    <row r="274" spans="1:29">
      <c r="A274" s="2046"/>
      <c r="B274" s="2046"/>
      <c r="C274" s="2046"/>
      <c r="D274" s="2046"/>
      <c r="E274" s="2046"/>
      <c r="F274" s="2046"/>
      <c r="G274" s="2046"/>
      <c r="H274" s="2046"/>
      <c r="I274" s="2046"/>
      <c r="J274" s="2046"/>
      <c r="K274" s="2047"/>
      <c r="L274" s="2048"/>
      <c r="M274" s="2046"/>
      <c r="N274" s="2046"/>
      <c r="O274" s="2046"/>
      <c r="P274" s="2046"/>
      <c r="Q274" s="2046"/>
      <c r="R274" s="2046"/>
      <c r="S274" s="2046"/>
      <c r="T274" s="2046"/>
      <c r="U274" s="2046"/>
      <c r="V274" s="2046"/>
      <c r="W274" s="2046"/>
      <c r="X274" s="2046"/>
      <c r="Y274" s="2046"/>
      <c r="Z274" s="2046"/>
      <c r="AA274" s="2046"/>
      <c r="AB274" s="2046"/>
      <c r="AC274" s="2046"/>
    </row>
    <row r="275" spans="1:29">
      <c r="A275" s="2046"/>
      <c r="B275" s="2046"/>
      <c r="C275" s="2046"/>
      <c r="D275" s="2046"/>
      <c r="E275" s="2046"/>
      <c r="F275" s="2046"/>
      <c r="G275" s="2046"/>
      <c r="H275" s="2046"/>
      <c r="I275" s="2046"/>
      <c r="J275" s="2046"/>
      <c r="K275" s="2047"/>
      <c r="L275" s="2048"/>
      <c r="M275" s="2046"/>
      <c r="N275" s="2046"/>
      <c r="O275" s="2046"/>
      <c r="P275" s="2046"/>
      <c r="Q275" s="2046"/>
      <c r="R275" s="2046"/>
      <c r="S275" s="2046"/>
      <c r="T275" s="2046"/>
      <c r="U275" s="2046"/>
      <c r="V275" s="2046"/>
      <c r="W275" s="2046"/>
      <c r="X275" s="2046"/>
      <c r="Y275" s="2046"/>
      <c r="Z275" s="2046"/>
      <c r="AA275" s="2046"/>
      <c r="AB275" s="2046"/>
      <c r="AC275" s="2046"/>
    </row>
    <row r="276" spans="1:29">
      <c r="A276" s="2046"/>
      <c r="B276" s="2046"/>
      <c r="C276" s="2046"/>
      <c r="D276" s="2046"/>
      <c r="E276" s="2046"/>
      <c r="F276" s="2046"/>
      <c r="G276" s="2046"/>
      <c r="H276" s="2046"/>
      <c r="I276" s="2046"/>
      <c r="J276" s="2046"/>
      <c r="K276" s="2047"/>
      <c r="L276" s="2048"/>
      <c r="M276" s="2046"/>
      <c r="N276" s="2046"/>
      <c r="O276" s="2046"/>
      <c r="P276" s="2046"/>
      <c r="Q276" s="2046"/>
      <c r="R276" s="2046"/>
      <c r="S276" s="2046"/>
      <c r="T276" s="2046"/>
      <c r="U276" s="2046"/>
      <c r="V276" s="2046"/>
      <c r="W276" s="2046"/>
      <c r="X276" s="2046"/>
      <c r="Y276" s="2046"/>
      <c r="Z276" s="2046"/>
      <c r="AA276" s="2046"/>
      <c r="AB276" s="2046"/>
      <c r="AC276" s="2046"/>
    </row>
    <row r="277" spans="1:29">
      <c r="A277" s="2046"/>
      <c r="B277" s="2046"/>
      <c r="C277" s="2046"/>
      <c r="D277" s="2046"/>
      <c r="E277" s="2046"/>
      <c r="F277" s="2046"/>
      <c r="G277" s="2046"/>
      <c r="H277" s="2046"/>
      <c r="I277" s="2046"/>
      <c r="J277" s="2046"/>
      <c r="K277" s="2047"/>
      <c r="L277" s="2048"/>
      <c r="M277" s="2046"/>
      <c r="N277" s="2046"/>
      <c r="O277" s="2046"/>
      <c r="P277" s="2046"/>
      <c r="Q277" s="2046"/>
      <c r="R277" s="2046"/>
      <c r="S277" s="2046"/>
      <c r="T277" s="2046"/>
      <c r="U277" s="2046"/>
      <c r="V277" s="2046"/>
      <c r="W277" s="2046"/>
      <c r="X277" s="2046"/>
      <c r="Y277" s="2046"/>
      <c r="Z277" s="2046"/>
      <c r="AA277" s="2046"/>
      <c r="AB277" s="2046"/>
      <c r="AC277" s="2046"/>
    </row>
    <row r="278" spans="1:29">
      <c r="A278" s="2046"/>
      <c r="B278" s="2046"/>
      <c r="C278" s="2046"/>
      <c r="D278" s="2046"/>
      <c r="E278" s="2046"/>
      <c r="F278" s="2046"/>
      <c r="G278" s="2046"/>
      <c r="H278" s="2046"/>
      <c r="I278" s="2046"/>
      <c r="J278" s="2046"/>
      <c r="K278" s="2047"/>
      <c r="L278" s="2048"/>
      <c r="M278" s="2046"/>
      <c r="N278" s="2046"/>
      <c r="O278" s="2046"/>
      <c r="P278" s="2046"/>
      <c r="Q278" s="2046"/>
      <c r="R278" s="2046"/>
      <c r="S278" s="2046"/>
      <c r="T278" s="2046"/>
      <c r="U278" s="2046"/>
      <c r="V278" s="2046"/>
      <c r="W278" s="2046"/>
      <c r="X278" s="2046"/>
      <c r="Y278" s="2046"/>
      <c r="Z278" s="2046"/>
      <c r="AA278" s="2046"/>
      <c r="AB278" s="2046"/>
      <c r="AC278" s="2046"/>
    </row>
    <row r="279" spans="1:29">
      <c r="A279" s="2046"/>
      <c r="B279" s="2046"/>
      <c r="C279" s="2046"/>
      <c r="D279" s="2046"/>
      <c r="E279" s="2046"/>
      <c r="F279" s="2046"/>
      <c r="G279" s="2046"/>
      <c r="H279" s="2046"/>
      <c r="I279" s="2046"/>
      <c r="J279" s="2046"/>
      <c r="K279" s="2047"/>
      <c r="L279" s="2048"/>
      <c r="M279" s="2046"/>
      <c r="N279" s="2046"/>
      <c r="O279" s="2046"/>
      <c r="P279" s="2046"/>
      <c r="Q279" s="2046"/>
      <c r="R279" s="2046"/>
      <c r="S279" s="2046"/>
      <c r="T279" s="2046"/>
      <c r="U279" s="2046"/>
      <c r="V279" s="2046"/>
      <c r="W279" s="2046"/>
      <c r="X279" s="2046"/>
      <c r="Y279" s="2046"/>
      <c r="Z279" s="2046"/>
      <c r="AA279" s="2046"/>
      <c r="AB279" s="2046"/>
      <c r="AC279" s="2046"/>
    </row>
    <row r="280" spans="1:29">
      <c r="A280" s="2046"/>
      <c r="B280" s="2046"/>
      <c r="C280" s="2046"/>
      <c r="D280" s="2046"/>
      <c r="E280" s="2046"/>
      <c r="F280" s="2046"/>
      <c r="G280" s="2046"/>
      <c r="H280" s="2046"/>
      <c r="I280" s="2046"/>
      <c r="J280" s="2046"/>
      <c r="K280" s="2047"/>
      <c r="L280" s="2048"/>
      <c r="M280" s="2046"/>
      <c r="N280" s="2046"/>
      <c r="O280" s="2046"/>
      <c r="P280" s="2046"/>
      <c r="Q280" s="2046"/>
      <c r="R280" s="2046"/>
      <c r="S280" s="2046"/>
      <c r="T280" s="2046"/>
      <c r="U280" s="2046"/>
      <c r="V280" s="2046"/>
      <c r="W280" s="2046"/>
      <c r="X280" s="2046"/>
      <c r="Y280" s="2046"/>
      <c r="Z280" s="2046"/>
      <c r="AA280" s="2046"/>
      <c r="AB280" s="2046"/>
      <c r="AC280" s="2046"/>
    </row>
    <row r="281" spans="1:29">
      <c r="A281" s="2046"/>
      <c r="B281" s="2046"/>
      <c r="C281" s="2046"/>
      <c r="D281" s="2046"/>
      <c r="E281" s="2046"/>
      <c r="F281" s="2046"/>
      <c r="G281" s="2046"/>
      <c r="H281" s="2046"/>
      <c r="I281" s="2046"/>
      <c r="J281" s="2046"/>
      <c r="K281" s="2047"/>
      <c r="L281" s="2048"/>
      <c r="M281" s="2046"/>
      <c r="N281" s="2046"/>
      <c r="O281" s="2046"/>
      <c r="P281" s="2046"/>
      <c r="Q281" s="2046"/>
      <c r="R281" s="2046"/>
      <c r="S281" s="2046"/>
      <c r="T281" s="2046"/>
      <c r="U281" s="2046"/>
      <c r="V281" s="2046"/>
      <c r="W281" s="2046"/>
      <c r="X281" s="2046"/>
      <c r="Y281" s="2046"/>
      <c r="Z281" s="2046"/>
      <c r="AA281" s="2046"/>
      <c r="AB281" s="2046"/>
      <c r="AC281" s="2046"/>
    </row>
    <row r="282" spans="1:29">
      <c r="A282" s="2046"/>
      <c r="B282" s="2046"/>
      <c r="C282" s="2046"/>
      <c r="D282" s="2046"/>
      <c r="E282" s="2046"/>
      <c r="F282" s="2046"/>
      <c r="G282" s="2046"/>
      <c r="H282" s="2046"/>
      <c r="I282" s="2046"/>
      <c r="J282" s="2046"/>
      <c r="K282" s="2047"/>
      <c r="L282" s="2048"/>
      <c r="M282" s="2046"/>
      <c r="N282" s="2046"/>
      <c r="O282" s="2046"/>
      <c r="P282" s="2046"/>
      <c r="Q282" s="2046"/>
      <c r="R282" s="2046"/>
      <c r="S282" s="2046"/>
      <c r="T282" s="2046"/>
      <c r="U282" s="2046"/>
      <c r="V282" s="2046"/>
      <c r="W282" s="2046"/>
      <c r="X282" s="2046"/>
      <c r="Y282" s="2046"/>
      <c r="Z282" s="2046"/>
      <c r="AA282" s="2046"/>
      <c r="AB282" s="2046"/>
      <c r="AC282" s="2046"/>
    </row>
    <row r="283" spans="1:29">
      <c r="A283" s="2046"/>
      <c r="B283" s="2046"/>
      <c r="C283" s="2046"/>
      <c r="D283" s="2046"/>
      <c r="E283" s="2046"/>
      <c r="F283" s="2046"/>
      <c r="G283" s="2046"/>
      <c r="H283" s="2046"/>
      <c r="I283" s="2046"/>
      <c r="J283" s="2046"/>
      <c r="K283" s="2047"/>
      <c r="L283" s="2048"/>
      <c r="M283" s="2046"/>
      <c r="N283" s="2046"/>
      <c r="O283" s="2046"/>
      <c r="P283" s="2046"/>
      <c r="Q283" s="2046"/>
      <c r="R283" s="2046"/>
      <c r="S283" s="2046"/>
      <c r="T283" s="2046"/>
      <c r="U283" s="2046"/>
      <c r="V283" s="2046"/>
      <c r="W283" s="2046"/>
      <c r="X283" s="2046"/>
      <c r="Y283" s="2046"/>
      <c r="Z283" s="2046"/>
      <c r="AA283" s="2046"/>
      <c r="AB283" s="2046"/>
      <c r="AC283" s="2046"/>
    </row>
    <row r="284" spans="1:29">
      <c r="A284" s="2046"/>
      <c r="B284" s="2046"/>
      <c r="C284" s="2046"/>
      <c r="D284" s="2046"/>
      <c r="E284" s="2046"/>
      <c r="F284" s="2046"/>
      <c r="G284" s="2046"/>
      <c r="H284" s="2046"/>
      <c r="I284" s="2046"/>
      <c r="J284" s="2046"/>
      <c r="K284" s="2047"/>
      <c r="L284" s="2048"/>
      <c r="M284" s="2046"/>
      <c r="N284" s="2046"/>
      <c r="O284" s="2046"/>
      <c r="P284" s="2046"/>
      <c r="Q284" s="2046"/>
      <c r="R284" s="2046"/>
      <c r="S284" s="2046"/>
      <c r="T284" s="2046"/>
      <c r="U284" s="2046"/>
      <c r="V284" s="2046"/>
      <c r="W284" s="2046"/>
      <c r="X284" s="2046"/>
      <c r="Y284" s="2046"/>
      <c r="Z284" s="2046"/>
      <c r="AA284" s="2046"/>
      <c r="AB284" s="2046"/>
      <c r="AC284" s="2046"/>
    </row>
    <row r="285" spans="1:29">
      <c r="A285" s="2046"/>
      <c r="B285" s="2046"/>
      <c r="C285" s="2046"/>
      <c r="D285" s="2046"/>
      <c r="E285" s="2046"/>
      <c r="F285" s="2046"/>
      <c r="G285" s="2046"/>
      <c r="H285" s="2046"/>
      <c r="I285" s="2046"/>
      <c r="J285" s="2046"/>
      <c r="K285" s="2047"/>
      <c r="L285" s="2048"/>
      <c r="M285" s="2046"/>
      <c r="N285" s="2046"/>
      <c r="O285" s="2046"/>
      <c r="P285" s="2046"/>
      <c r="Q285" s="2046"/>
      <c r="R285" s="2046"/>
      <c r="S285" s="2046"/>
      <c r="T285" s="2046"/>
      <c r="U285" s="2046"/>
      <c r="V285" s="2046"/>
      <c r="W285" s="2046"/>
      <c r="X285" s="2046"/>
      <c r="Y285" s="2046"/>
      <c r="Z285" s="2046"/>
      <c r="AA285" s="2046"/>
      <c r="AB285" s="2046"/>
      <c r="AC285" s="2046"/>
    </row>
    <row r="286" spans="1:29">
      <c r="A286" s="2046"/>
      <c r="B286" s="2046"/>
      <c r="C286" s="2046"/>
      <c r="D286" s="2046"/>
      <c r="E286" s="2046"/>
      <c r="F286" s="2046"/>
      <c r="G286" s="2046"/>
      <c r="H286" s="2046"/>
      <c r="I286" s="2046"/>
      <c r="J286" s="2046"/>
      <c r="K286" s="2047"/>
      <c r="L286" s="2048"/>
      <c r="M286" s="2046"/>
      <c r="N286" s="2046"/>
      <c r="O286" s="2046"/>
      <c r="P286" s="2046"/>
      <c r="Q286" s="2046"/>
      <c r="R286" s="2046"/>
      <c r="S286" s="2046"/>
      <c r="T286" s="2046"/>
      <c r="U286" s="2046"/>
      <c r="V286" s="2046"/>
      <c r="W286" s="2046"/>
      <c r="X286" s="2046"/>
      <c r="Y286" s="2046"/>
      <c r="Z286" s="2046"/>
      <c r="AA286" s="2046"/>
      <c r="AB286" s="2046"/>
      <c r="AC286" s="2046"/>
    </row>
    <row r="287" spans="1:29">
      <c r="A287" s="2046"/>
      <c r="B287" s="2046"/>
      <c r="C287" s="2046"/>
      <c r="D287" s="2046"/>
      <c r="E287" s="2046"/>
      <c r="F287" s="2046"/>
      <c r="G287" s="2046"/>
      <c r="H287" s="2046"/>
      <c r="I287" s="2046"/>
      <c r="J287" s="2046"/>
      <c r="K287" s="2047"/>
      <c r="L287" s="2048"/>
      <c r="M287" s="2046"/>
      <c r="N287" s="2046"/>
      <c r="O287" s="2046"/>
      <c r="P287" s="2046"/>
      <c r="Q287" s="2046"/>
      <c r="R287" s="2046"/>
      <c r="S287" s="2046"/>
      <c r="T287" s="2046"/>
      <c r="U287" s="2046"/>
      <c r="V287" s="2046"/>
      <c r="W287" s="2046"/>
      <c r="X287" s="2046"/>
      <c r="Y287" s="2046"/>
      <c r="Z287" s="2046"/>
      <c r="AA287" s="2046"/>
      <c r="AB287" s="2046"/>
      <c r="AC287" s="2046"/>
    </row>
    <row r="288" spans="1:29">
      <c r="A288" s="2046"/>
      <c r="B288" s="2046"/>
      <c r="C288" s="2046"/>
      <c r="D288" s="2046"/>
      <c r="E288" s="2046"/>
      <c r="F288" s="2046"/>
      <c r="G288" s="2046"/>
      <c r="H288" s="2046"/>
      <c r="I288" s="2046"/>
      <c r="J288" s="2046"/>
      <c r="K288" s="2047"/>
      <c r="L288" s="2048"/>
      <c r="M288" s="2046"/>
      <c r="N288" s="2046"/>
      <c r="O288" s="2046"/>
      <c r="P288" s="2046"/>
      <c r="Q288" s="2046"/>
      <c r="R288" s="2046"/>
      <c r="S288" s="2046"/>
      <c r="T288" s="2046"/>
      <c r="U288" s="2046"/>
      <c r="V288" s="2046"/>
      <c r="W288" s="2046"/>
      <c r="X288" s="2046"/>
      <c r="Y288" s="2046"/>
      <c r="Z288" s="2046"/>
      <c r="AA288" s="2046"/>
      <c r="AB288" s="2046"/>
      <c r="AC288" s="2046"/>
    </row>
    <row r="289" spans="1:29">
      <c r="A289" s="2046"/>
      <c r="B289" s="2046"/>
      <c r="C289" s="2046"/>
      <c r="D289" s="2046"/>
      <c r="E289" s="2046"/>
      <c r="F289" s="2046"/>
      <c r="G289" s="2046"/>
      <c r="H289" s="2046"/>
      <c r="I289" s="2046"/>
      <c r="J289" s="2046"/>
      <c r="K289" s="2047"/>
      <c r="L289" s="2048"/>
      <c r="M289" s="2046"/>
      <c r="N289" s="2046"/>
      <c r="O289" s="2046"/>
      <c r="P289" s="2046"/>
      <c r="Q289" s="2046"/>
      <c r="R289" s="2046"/>
      <c r="S289" s="2046"/>
      <c r="T289" s="2046"/>
      <c r="U289" s="2046"/>
      <c r="V289" s="2046"/>
      <c r="W289" s="2046"/>
      <c r="X289" s="2046"/>
      <c r="Y289" s="2046"/>
      <c r="Z289" s="2046"/>
      <c r="AA289" s="2046"/>
      <c r="AB289" s="2046"/>
      <c r="AC289" s="2046"/>
    </row>
    <row r="290" spans="1:29">
      <c r="A290" s="2046"/>
      <c r="B290" s="2046"/>
      <c r="C290" s="2046"/>
      <c r="D290" s="2046"/>
      <c r="E290" s="2046"/>
      <c r="F290" s="2046"/>
      <c r="G290" s="2046"/>
      <c r="H290" s="2046"/>
      <c r="I290" s="2046"/>
      <c r="J290" s="2046"/>
      <c r="K290" s="2047"/>
      <c r="L290" s="2048"/>
      <c r="M290" s="2046"/>
      <c r="N290" s="2046"/>
      <c r="O290" s="2046"/>
      <c r="P290" s="2046"/>
      <c r="Q290" s="2046"/>
      <c r="R290" s="2046"/>
      <c r="S290" s="2046"/>
      <c r="T290" s="2046"/>
      <c r="U290" s="2046"/>
      <c r="V290" s="2046"/>
      <c r="W290" s="2046"/>
      <c r="X290" s="2046"/>
      <c r="Y290" s="2046"/>
      <c r="Z290" s="2046"/>
      <c r="AA290" s="2046"/>
      <c r="AB290" s="2046"/>
      <c r="AC290" s="2046"/>
    </row>
    <row r="291" spans="1:29">
      <c r="A291" s="2046"/>
      <c r="B291" s="2046"/>
      <c r="C291" s="2046"/>
      <c r="D291" s="2046"/>
      <c r="E291" s="2046"/>
      <c r="F291" s="2046"/>
      <c r="G291" s="2046"/>
      <c r="H291" s="2046"/>
      <c r="I291" s="2046"/>
      <c r="J291" s="2046"/>
      <c r="K291" s="2047"/>
      <c r="L291" s="2048"/>
      <c r="M291" s="2046"/>
      <c r="N291" s="2046"/>
      <c r="O291" s="2046"/>
      <c r="P291" s="2046"/>
      <c r="Q291" s="2046"/>
      <c r="R291" s="2046"/>
      <c r="S291" s="2046"/>
      <c r="T291" s="2046"/>
      <c r="U291" s="2046"/>
      <c r="V291" s="2046"/>
      <c r="W291" s="2046"/>
      <c r="X291" s="2046"/>
      <c r="Y291" s="2046"/>
      <c r="Z291" s="2046"/>
      <c r="AA291" s="2046"/>
      <c r="AB291" s="2046"/>
      <c r="AC291" s="2046"/>
    </row>
    <row r="292" spans="1:29">
      <c r="A292" s="2046"/>
      <c r="B292" s="2046"/>
      <c r="C292" s="2046"/>
      <c r="D292" s="2046"/>
      <c r="E292" s="2046"/>
      <c r="F292" s="2046"/>
      <c r="G292" s="2046"/>
      <c r="H292" s="2046"/>
      <c r="I292" s="2046"/>
      <c r="J292" s="2046"/>
      <c r="K292" s="2047"/>
      <c r="L292" s="2048"/>
      <c r="M292" s="2046"/>
      <c r="N292" s="2046"/>
      <c r="O292" s="2046"/>
      <c r="P292" s="2046"/>
      <c r="Q292" s="2046"/>
      <c r="R292" s="2046"/>
      <c r="S292" s="2046"/>
      <c r="T292" s="2046"/>
      <c r="U292" s="2046"/>
      <c r="V292" s="2046"/>
      <c r="W292" s="2046"/>
      <c r="X292" s="2046"/>
      <c r="Y292" s="2046"/>
      <c r="Z292" s="2046"/>
      <c r="AA292" s="2046"/>
      <c r="AB292" s="2046"/>
      <c r="AC292" s="2046"/>
    </row>
    <row r="293" spans="1:29">
      <c r="A293" s="2046"/>
      <c r="B293" s="2046"/>
      <c r="C293" s="2046"/>
      <c r="D293" s="2046"/>
      <c r="E293" s="2046"/>
      <c r="F293" s="2046"/>
      <c r="G293" s="2046"/>
      <c r="H293" s="2046"/>
      <c r="I293" s="2046"/>
      <c r="J293" s="2046"/>
      <c r="K293" s="2047"/>
      <c r="L293" s="2048"/>
      <c r="M293" s="2046"/>
      <c r="N293" s="2046"/>
      <c r="O293" s="2046"/>
      <c r="P293" s="2046"/>
      <c r="Q293" s="2046"/>
      <c r="R293" s="2046"/>
      <c r="S293" s="2046"/>
      <c r="T293" s="2046"/>
      <c r="U293" s="2046"/>
      <c r="V293" s="2046"/>
      <c r="W293" s="2046"/>
      <c r="X293" s="2046"/>
      <c r="Y293" s="2046"/>
      <c r="Z293" s="2046"/>
      <c r="AA293" s="2046"/>
      <c r="AB293" s="2046"/>
      <c r="AC293" s="2046"/>
    </row>
    <row r="294" spans="1:29">
      <c r="A294" s="2046"/>
      <c r="B294" s="2046"/>
      <c r="C294" s="2046"/>
      <c r="D294" s="2046"/>
      <c r="E294" s="2046"/>
      <c r="F294" s="2046"/>
      <c r="G294" s="2046"/>
      <c r="H294" s="2046"/>
      <c r="I294" s="2046"/>
      <c r="J294" s="2046"/>
      <c r="K294" s="2047"/>
      <c r="L294" s="2048"/>
      <c r="M294" s="2046"/>
      <c r="N294" s="2046"/>
      <c r="O294" s="2046"/>
      <c r="P294" s="2046"/>
      <c r="Q294" s="2046"/>
      <c r="R294" s="2046"/>
      <c r="S294" s="2046"/>
      <c r="T294" s="2046"/>
      <c r="U294" s="2046"/>
      <c r="V294" s="2046"/>
      <c r="W294" s="2046"/>
      <c r="X294" s="2046"/>
      <c r="Y294" s="2046"/>
      <c r="Z294" s="2046"/>
      <c r="AA294" s="2046"/>
      <c r="AB294" s="2046"/>
      <c r="AC294" s="2046"/>
    </row>
    <row r="295" spans="1:29">
      <c r="A295" s="2046"/>
      <c r="B295" s="2046"/>
      <c r="C295" s="2046"/>
      <c r="D295" s="2046"/>
      <c r="E295" s="2046"/>
      <c r="F295" s="2046"/>
      <c r="G295" s="2046"/>
      <c r="H295" s="2046"/>
      <c r="I295" s="2046"/>
      <c r="J295" s="2046"/>
      <c r="K295" s="2047"/>
      <c r="L295" s="2048"/>
      <c r="M295" s="2046"/>
      <c r="N295" s="2046"/>
      <c r="O295" s="2046"/>
      <c r="P295" s="2046"/>
      <c r="Q295" s="2046"/>
      <c r="R295" s="2046"/>
      <c r="S295" s="2046"/>
      <c r="T295" s="2046"/>
      <c r="U295" s="2046"/>
      <c r="V295" s="2046"/>
      <c r="W295" s="2046"/>
      <c r="X295" s="2046"/>
      <c r="Y295" s="2046"/>
      <c r="Z295" s="2046"/>
      <c r="AA295" s="2046"/>
      <c r="AB295" s="2046"/>
      <c r="AC295" s="2046"/>
    </row>
    <row r="296" spans="1:29">
      <c r="A296" s="2046"/>
      <c r="B296" s="2046"/>
      <c r="C296" s="2046"/>
      <c r="D296" s="2046"/>
      <c r="E296" s="2046"/>
      <c r="F296" s="2046"/>
      <c r="G296" s="2046"/>
      <c r="H296" s="2046"/>
      <c r="I296" s="2046"/>
      <c r="J296" s="2046"/>
      <c r="K296" s="2047"/>
      <c r="L296" s="2048"/>
      <c r="M296" s="2046"/>
      <c r="N296" s="2046"/>
      <c r="O296" s="2046"/>
      <c r="P296" s="2046"/>
      <c r="Q296" s="2046"/>
      <c r="R296" s="2046"/>
      <c r="S296" s="2046"/>
      <c r="T296" s="2046"/>
      <c r="U296" s="2046"/>
      <c r="V296" s="2046"/>
      <c r="W296" s="2046"/>
      <c r="X296" s="2046"/>
      <c r="Y296" s="2046"/>
      <c r="Z296" s="2046"/>
      <c r="AA296" s="2046"/>
      <c r="AB296" s="2046"/>
      <c r="AC296" s="2046"/>
    </row>
    <row r="297" spans="1:29">
      <c r="A297" s="2046"/>
      <c r="B297" s="2046"/>
      <c r="C297" s="2046"/>
      <c r="D297" s="2046"/>
      <c r="E297" s="2046"/>
      <c r="F297" s="2046"/>
      <c r="G297" s="2046"/>
      <c r="H297" s="2046"/>
      <c r="I297" s="2046"/>
      <c r="J297" s="2046"/>
      <c r="K297" s="2047"/>
      <c r="L297" s="2048"/>
      <c r="M297" s="2046"/>
      <c r="N297" s="2046"/>
      <c r="O297" s="2046"/>
      <c r="P297" s="2046"/>
      <c r="Q297" s="2046"/>
      <c r="R297" s="2046"/>
      <c r="S297" s="2046"/>
      <c r="T297" s="2046"/>
      <c r="U297" s="2046"/>
      <c r="V297" s="2046"/>
      <c r="W297" s="2046"/>
      <c r="X297" s="2046"/>
      <c r="Y297" s="2046"/>
      <c r="Z297" s="2046"/>
      <c r="AA297" s="2046"/>
      <c r="AB297" s="2046"/>
      <c r="AC297" s="2046"/>
    </row>
    <row r="298" spans="1:29">
      <c r="A298" s="2046"/>
      <c r="B298" s="2046"/>
      <c r="C298" s="2046"/>
      <c r="D298" s="2046"/>
      <c r="E298" s="2046"/>
      <c r="F298" s="2046"/>
      <c r="G298" s="2046"/>
      <c r="H298" s="2046"/>
      <c r="I298" s="2046"/>
      <c r="J298" s="2046"/>
      <c r="K298" s="2047"/>
      <c r="L298" s="2048"/>
      <c r="M298" s="2046"/>
      <c r="N298" s="2046"/>
      <c r="O298" s="2046"/>
      <c r="P298" s="2046"/>
      <c r="Q298" s="2046"/>
      <c r="R298" s="2046"/>
      <c r="S298" s="2046"/>
      <c r="T298" s="2046"/>
      <c r="U298" s="2046"/>
      <c r="V298" s="2046"/>
      <c r="W298" s="2046"/>
      <c r="X298" s="2046"/>
      <c r="Y298" s="2046"/>
      <c r="Z298" s="2046"/>
      <c r="AA298" s="2046"/>
      <c r="AB298" s="2046"/>
      <c r="AC298" s="2046"/>
    </row>
    <row r="299" spans="1:29">
      <c r="A299" s="2046"/>
      <c r="B299" s="2046"/>
      <c r="C299" s="2046"/>
      <c r="D299" s="2046"/>
      <c r="E299" s="2046"/>
      <c r="F299" s="2046"/>
      <c r="G299" s="2046"/>
      <c r="H299" s="2046"/>
      <c r="I299" s="2046"/>
      <c r="J299" s="2046"/>
      <c r="K299" s="2047"/>
      <c r="L299" s="2048"/>
      <c r="M299" s="2046"/>
      <c r="N299" s="2046"/>
      <c r="O299" s="2046"/>
      <c r="P299" s="2046"/>
      <c r="Q299" s="2046"/>
      <c r="R299" s="2046"/>
      <c r="S299" s="2046"/>
      <c r="T299" s="2046"/>
      <c r="U299" s="2046"/>
      <c r="V299" s="2046"/>
      <c r="W299" s="2046"/>
      <c r="X299" s="2046"/>
      <c r="Y299" s="2046"/>
      <c r="Z299" s="2046"/>
      <c r="AA299" s="2046"/>
      <c r="AB299" s="2046"/>
      <c r="AC299" s="2046"/>
    </row>
    <row r="300" spans="1:29">
      <c r="A300" s="2046"/>
      <c r="B300" s="2046"/>
      <c r="C300" s="2046"/>
      <c r="D300" s="2046"/>
      <c r="E300" s="2046"/>
      <c r="F300" s="2046"/>
      <c r="G300" s="2046"/>
      <c r="H300" s="2046"/>
      <c r="I300" s="2046"/>
      <c r="J300" s="2046"/>
      <c r="K300" s="2047"/>
      <c r="L300" s="2048"/>
      <c r="M300" s="2046"/>
      <c r="N300" s="2046"/>
      <c r="O300" s="2046"/>
      <c r="P300" s="2046"/>
      <c r="Q300" s="2046"/>
      <c r="R300" s="2046"/>
      <c r="S300" s="2046"/>
      <c r="T300" s="2046"/>
      <c r="U300" s="2046"/>
      <c r="V300" s="2046"/>
      <c r="W300" s="2046"/>
      <c r="X300" s="2046"/>
      <c r="Y300" s="2046"/>
      <c r="Z300" s="2046"/>
      <c r="AA300" s="2046"/>
      <c r="AB300" s="2046"/>
      <c r="AC300" s="2046"/>
    </row>
    <row r="301" spans="1:29">
      <c r="A301" s="2046"/>
      <c r="B301" s="2046"/>
      <c r="C301" s="2046"/>
      <c r="D301" s="2046"/>
      <c r="E301" s="2046"/>
      <c r="F301" s="2046"/>
      <c r="G301" s="2046"/>
      <c r="H301" s="2046"/>
      <c r="I301" s="2046"/>
      <c r="J301" s="2046"/>
      <c r="K301" s="2047"/>
      <c r="L301" s="2048"/>
      <c r="M301" s="2046"/>
      <c r="N301" s="2046"/>
      <c r="O301" s="2046"/>
      <c r="P301" s="2046"/>
      <c r="Q301" s="2046"/>
      <c r="R301" s="2046"/>
      <c r="S301" s="2046"/>
      <c r="T301" s="2046"/>
      <c r="U301" s="2046"/>
      <c r="V301" s="2046"/>
      <c r="W301" s="2046"/>
      <c r="X301" s="2046"/>
      <c r="Y301" s="2046"/>
      <c r="Z301" s="2046"/>
      <c r="AA301" s="2046"/>
      <c r="AB301" s="2046"/>
      <c r="AC301" s="2046"/>
    </row>
    <row r="302" spans="1:29">
      <c r="A302" s="2046"/>
      <c r="B302" s="2046"/>
      <c r="C302" s="2046"/>
      <c r="D302" s="2046"/>
      <c r="E302" s="2046"/>
      <c r="F302" s="2046"/>
      <c r="G302" s="2046"/>
      <c r="H302" s="2046"/>
      <c r="I302" s="2046"/>
      <c r="J302" s="2046"/>
      <c r="K302" s="2047"/>
      <c r="L302" s="2048"/>
      <c r="M302" s="2046"/>
      <c r="N302" s="2046"/>
      <c r="O302" s="2046"/>
      <c r="P302" s="2046"/>
      <c r="Q302" s="2046"/>
      <c r="R302" s="2046"/>
      <c r="S302" s="2046"/>
      <c r="T302" s="2046"/>
      <c r="U302" s="2046"/>
      <c r="V302" s="2046"/>
      <c r="W302" s="2046"/>
      <c r="X302" s="2046"/>
      <c r="Y302" s="2046"/>
      <c r="Z302" s="2046"/>
      <c r="AA302" s="2046"/>
      <c r="AB302" s="2046"/>
      <c r="AC302" s="2046"/>
    </row>
    <row r="303" spans="1:29">
      <c r="A303" s="2046"/>
      <c r="B303" s="2046"/>
      <c r="C303" s="2046"/>
      <c r="D303" s="2046"/>
      <c r="E303" s="2046"/>
      <c r="F303" s="2046"/>
      <c r="G303" s="2046"/>
      <c r="H303" s="2046"/>
      <c r="I303" s="2046"/>
      <c r="J303" s="2046"/>
      <c r="K303" s="2047"/>
      <c r="L303" s="2048"/>
      <c r="M303" s="2046"/>
      <c r="N303" s="2046"/>
      <c r="O303" s="2046"/>
      <c r="P303" s="2046"/>
      <c r="Q303" s="2046"/>
      <c r="R303" s="2046"/>
      <c r="S303" s="2046"/>
      <c r="T303" s="2046"/>
      <c r="U303" s="2046"/>
      <c r="V303" s="2046"/>
      <c r="W303" s="2046"/>
      <c r="X303" s="2046"/>
      <c r="Y303" s="2046"/>
      <c r="Z303" s="2046"/>
      <c r="AA303" s="2046"/>
      <c r="AB303" s="2046"/>
      <c r="AC303" s="2046"/>
    </row>
    <row r="304" spans="1:29">
      <c r="A304" s="2046"/>
      <c r="B304" s="2046"/>
      <c r="C304" s="2046"/>
      <c r="D304" s="2046"/>
      <c r="E304" s="2046"/>
      <c r="F304" s="2046"/>
      <c r="G304" s="2046"/>
      <c r="H304" s="2046"/>
      <c r="I304" s="2046"/>
      <c r="J304" s="2046"/>
      <c r="K304" s="2047"/>
      <c r="L304" s="2048"/>
      <c r="M304" s="2046"/>
      <c r="N304" s="2046"/>
      <c r="O304" s="2046"/>
      <c r="P304" s="2046"/>
      <c r="Q304" s="2046"/>
      <c r="R304" s="2046"/>
      <c r="S304" s="2046"/>
      <c r="T304" s="2046"/>
      <c r="U304" s="2046"/>
      <c r="V304" s="2046"/>
      <c r="W304" s="2046"/>
      <c r="X304" s="2046"/>
      <c r="Y304" s="2046"/>
      <c r="Z304" s="2046"/>
      <c r="AA304" s="2046"/>
      <c r="AB304" s="2046"/>
      <c r="AC304" s="2046"/>
    </row>
    <row r="305" spans="1:29">
      <c r="A305" s="2046"/>
      <c r="B305" s="2046"/>
      <c r="C305" s="2046"/>
      <c r="D305" s="2046"/>
      <c r="E305" s="2046"/>
      <c r="F305" s="2046"/>
      <c r="G305" s="2046"/>
      <c r="H305" s="2046"/>
      <c r="I305" s="2046"/>
      <c r="J305" s="2046"/>
      <c r="K305" s="2047"/>
      <c r="L305" s="2048"/>
      <c r="M305" s="2046"/>
      <c r="N305" s="2046"/>
      <c r="O305" s="2046"/>
      <c r="P305" s="2046"/>
      <c r="Q305" s="2046"/>
      <c r="R305" s="2046"/>
      <c r="S305" s="2046"/>
      <c r="T305" s="2046"/>
      <c r="U305" s="2046"/>
      <c r="V305" s="2046"/>
      <c r="W305" s="2046"/>
      <c r="X305" s="2046"/>
      <c r="Y305" s="2046"/>
      <c r="Z305" s="2046"/>
      <c r="AA305" s="2046"/>
      <c r="AB305" s="2046"/>
      <c r="AC305" s="2046"/>
    </row>
    <row r="306" spans="1:29">
      <c r="A306" s="2046"/>
      <c r="B306" s="2046"/>
      <c r="C306" s="2046"/>
      <c r="D306" s="2046"/>
      <c r="E306" s="2046"/>
      <c r="F306" s="2046"/>
      <c r="G306" s="2046"/>
      <c r="H306" s="2046"/>
      <c r="I306" s="2046"/>
      <c r="J306" s="2046"/>
      <c r="K306" s="2047"/>
      <c r="L306" s="2048"/>
      <c r="M306" s="2046"/>
      <c r="N306" s="2046"/>
      <c r="O306" s="2046"/>
      <c r="P306" s="2046"/>
      <c r="Q306" s="2046"/>
      <c r="R306" s="2046"/>
      <c r="S306" s="2046"/>
      <c r="T306" s="2046"/>
      <c r="U306" s="2046"/>
      <c r="V306" s="2046"/>
      <c r="W306" s="2046"/>
      <c r="X306" s="2046"/>
      <c r="Y306" s="2046"/>
      <c r="Z306" s="2046"/>
      <c r="AA306" s="2046"/>
      <c r="AB306" s="2046"/>
      <c r="AC306" s="2046"/>
    </row>
    <row r="307" spans="1:29">
      <c r="A307" s="2046"/>
      <c r="B307" s="2046"/>
      <c r="C307" s="2046"/>
      <c r="D307" s="2046"/>
      <c r="E307" s="2046"/>
      <c r="F307" s="2046"/>
      <c r="G307" s="2046"/>
      <c r="H307" s="2046"/>
      <c r="I307" s="2046"/>
      <c r="J307" s="2046"/>
      <c r="K307" s="2047"/>
      <c r="L307" s="2048"/>
      <c r="M307" s="2046"/>
      <c r="N307" s="2046"/>
      <c r="O307" s="2046"/>
      <c r="P307" s="2046"/>
      <c r="Q307" s="2046"/>
      <c r="R307" s="2046"/>
      <c r="S307" s="2046"/>
      <c r="T307" s="2046"/>
      <c r="U307" s="2046"/>
      <c r="V307" s="2046"/>
      <c r="W307" s="2046"/>
      <c r="X307" s="2046"/>
      <c r="Y307" s="2046"/>
      <c r="Z307" s="2046"/>
      <c r="AA307" s="2046"/>
      <c r="AB307" s="2046"/>
      <c r="AC307" s="2046"/>
    </row>
    <row r="308" spans="1:29">
      <c r="A308" s="2046"/>
      <c r="B308" s="2046"/>
      <c r="C308" s="2046"/>
      <c r="D308" s="2046"/>
      <c r="E308" s="2046"/>
      <c r="F308" s="2046"/>
      <c r="G308" s="2046"/>
      <c r="H308" s="2046"/>
      <c r="I308" s="2046"/>
      <c r="J308" s="2046"/>
      <c r="K308" s="2047"/>
      <c r="L308" s="2048"/>
      <c r="M308" s="2046"/>
      <c r="N308" s="2046"/>
      <c r="O308" s="2046"/>
      <c r="P308" s="2046"/>
      <c r="Q308" s="2046"/>
      <c r="R308" s="2046"/>
      <c r="S308" s="2046"/>
      <c r="T308" s="2046"/>
      <c r="U308" s="2046"/>
      <c r="V308" s="2046"/>
      <c r="W308" s="2046"/>
      <c r="X308" s="2046"/>
      <c r="Y308" s="2046"/>
      <c r="Z308" s="2046"/>
      <c r="AA308" s="2046"/>
      <c r="AB308" s="2046"/>
      <c r="AC308" s="2046"/>
    </row>
    <row r="309" spans="1:29">
      <c r="A309" s="2046"/>
      <c r="B309" s="2046"/>
      <c r="C309" s="2046"/>
      <c r="D309" s="2046"/>
      <c r="E309" s="2046"/>
      <c r="F309" s="2046"/>
      <c r="G309" s="2046"/>
      <c r="H309" s="2046"/>
      <c r="I309" s="2046"/>
      <c r="J309" s="2046"/>
      <c r="K309" s="2047"/>
      <c r="L309" s="2048"/>
      <c r="M309" s="2046"/>
      <c r="N309" s="2046"/>
      <c r="O309" s="2046"/>
      <c r="P309" s="2046"/>
      <c r="Q309" s="2046"/>
      <c r="R309" s="2046"/>
      <c r="S309" s="2046"/>
      <c r="T309" s="2046"/>
      <c r="U309" s="2046"/>
      <c r="V309" s="2046"/>
      <c r="W309" s="2046"/>
      <c r="X309" s="2046"/>
      <c r="Y309" s="2046"/>
      <c r="Z309" s="2046"/>
      <c r="AA309" s="2046"/>
      <c r="AB309" s="2046"/>
      <c r="AC309" s="2046"/>
    </row>
    <row r="310" spans="1:29">
      <c r="A310" s="2046"/>
      <c r="B310" s="2046"/>
      <c r="C310" s="2046"/>
      <c r="D310" s="2046"/>
      <c r="E310" s="2046"/>
      <c r="F310" s="2046"/>
      <c r="G310" s="2046"/>
      <c r="H310" s="2046"/>
      <c r="I310" s="2046"/>
      <c r="J310" s="2046"/>
      <c r="K310" s="2047"/>
      <c r="L310" s="2048"/>
      <c r="M310" s="2046"/>
      <c r="N310" s="2046"/>
      <c r="O310" s="2046"/>
      <c r="P310" s="2046"/>
      <c r="Q310" s="2046"/>
      <c r="R310" s="2046"/>
      <c r="S310" s="2046"/>
      <c r="T310" s="2046"/>
      <c r="U310" s="2046"/>
      <c r="V310" s="2046"/>
      <c r="W310" s="2046"/>
      <c r="X310" s="2046"/>
      <c r="Y310" s="2046"/>
      <c r="Z310" s="2046"/>
      <c r="AA310" s="2046"/>
      <c r="AB310" s="2046"/>
      <c r="AC310" s="2046"/>
    </row>
    <row r="311" spans="1:29">
      <c r="A311" s="2046"/>
      <c r="B311" s="2046"/>
      <c r="C311" s="2046"/>
      <c r="D311" s="2046"/>
      <c r="E311" s="2046"/>
      <c r="F311" s="2046"/>
      <c r="G311" s="2046"/>
      <c r="H311" s="2046"/>
      <c r="I311" s="2046"/>
      <c r="J311" s="2046"/>
      <c r="K311" s="2047"/>
      <c r="L311" s="2048"/>
      <c r="M311" s="2046"/>
      <c r="N311" s="2046"/>
      <c r="O311" s="2046"/>
      <c r="P311" s="2046"/>
      <c r="Q311" s="2046"/>
      <c r="R311" s="2046"/>
      <c r="S311" s="2046"/>
      <c r="T311" s="2046"/>
      <c r="U311" s="2046"/>
      <c r="V311" s="2046"/>
      <c r="W311" s="2046"/>
      <c r="X311" s="2046"/>
      <c r="Y311" s="2046"/>
      <c r="Z311" s="2046"/>
      <c r="AA311" s="2046"/>
      <c r="AB311" s="2046"/>
      <c r="AC311" s="2046"/>
    </row>
    <row r="312" spans="1:29">
      <c r="A312" s="2046"/>
      <c r="B312" s="2046"/>
      <c r="C312" s="2046"/>
      <c r="D312" s="2046"/>
      <c r="E312" s="2046"/>
      <c r="F312" s="2046"/>
      <c r="G312" s="2046"/>
      <c r="H312" s="2046"/>
      <c r="I312" s="2046"/>
      <c r="J312" s="2046"/>
      <c r="K312" s="2047"/>
      <c r="L312" s="2048"/>
      <c r="M312" s="2046"/>
      <c r="N312" s="2046"/>
      <c r="O312" s="2046"/>
      <c r="P312" s="2046"/>
      <c r="Q312" s="2046"/>
      <c r="R312" s="2046"/>
      <c r="S312" s="2046"/>
      <c r="T312" s="2046"/>
      <c r="U312" s="2046"/>
      <c r="V312" s="2046"/>
      <c r="W312" s="2046"/>
      <c r="X312" s="2046"/>
      <c r="Y312" s="2046"/>
      <c r="Z312" s="2046"/>
      <c r="AA312" s="2046"/>
      <c r="AB312" s="2046"/>
      <c r="AC312" s="2046"/>
    </row>
    <row r="313" spans="1:29">
      <c r="A313" s="2046"/>
      <c r="B313" s="2046"/>
      <c r="C313" s="2046"/>
      <c r="D313" s="2046"/>
      <c r="E313" s="2046"/>
      <c r="F313" s="2046"/>
      <c r="G313" s="2046"/>
      <c r="H313" s="2046"/>
      <c r="I313" s="2046"/>
      <c r="J313" s="2046"/>
      <c r="K313" s="2047"/>
      <c r="L313" s="2048"/>
      <c r="M313" s="2046"/>
      <c r="N313" s="2046"/>
      <c r="O313" s="2046"/>
      <c r="P313" s="2046"/>
      <c r="Q313" s="2046"/>
      <c r="R313" s="2046"/>
      <c r="S313" s="2046"/>
      <c r="T313" s="2046"/>
      <c r="U313" s="2046"/>
      <c r="V313" s="2046"/>
      <c r="W313" s="2046"/>
      <c r="X313" s="2046"/>
      <c r="Y313" s="2046"/>
      <c r="Z313" s="2046"/>
      <c r="AA313" s="2046"/>
      <c r="AB313" s="2046"/>
      <c r="AC313" s="2046"/>
    </row>
    <row r="314" spans="1:29">
      <c r="A314" s="2046"/>
      <c r="B314" s="2046"/>
      <c r="C314" s="2046"/>
      <c r="D314" s="2046"/>
      <c r="E314" s="2046"/>
      <c r="F314" s="2046"/>
      <c r="G314" s="2046"/>
      <c r="H314" s="2046"/>
      <c r="I314" s="2046"/>
      <c r="J314" s="2046"/>
      <c r="K314" s="2047"/>
      <c r="L314" s="2048"/>
      <c r="M314" s="2046"/>
      <c r="N314" s="2046"/>
      <c r="O314" s="2046"/>
      <c r="P314" s="2046"/>
      <c r="Q314" s="2046"/>
      <c r="R314" s="2046"/>
      <c r="S314" s="2046"/>
      <c r="T314" s="2046"/>
      <c r="U314" s="2046"/>
      <c r="V314" s="2046"/>
      <c r="W314" s="2046"/>
      <c r="X314" s="2046"/>
      <c r="Y314" s="2046"/>
      <c r="Z314" s="2046"/>
      <c r="AA314" s="2046"/>
      <c r="AB314" s="2046"/>
      <c r="AC314" s="2046"/>
    </row>
    <row r="315" spans="1:29">
      <c r="A315" s="2046"/>
      <c r="B315" s="2046"/>
      <c r="C315" s="2046"/>
      <c r="D315" s="2046"/>
      <c r="E315" s="2046"/>
      <c r="F315" s="2046"/>
      <c r="G315" s="2046"/>
      <c r="H315" s="2046"/>
      <c r="I315" s="2046"/>
      <c r="J315" s="2046"/>
      <c r="K315" s="2047"/>
      <c r="L315" s="2048"/>
      <c r="M315" s="2046"/>
      <c r="N315" s="2046"/>
      <c r="O315" s="2046"/>
      <c r="P315" s="2046"/>
      <c r="Q315" s="2046"/>
      <c r="R315" s="2046"/>
      <c r="S315" s="2046"/>
      <c r="T315" s="2046"/>
      <c r="U315" s="2046"/>
      <c r="V315" s="2046"/>
      <c r="W315" s="2046"/>
      <c r="X315" s="2046"/>
      <c r="Y315" s="2046"/>
      <c r="Z315" s="2046"/>
      <c r="AA315" s="2046"/>
      <c r="AB315" s="2046"/>
      <c r="AC315" s="2046"/>
    </row>
    <row r="316" spans="1:29">
      <c r="A316" s="2046"/>
      <c r="B316" s="2046"/>
      <c r="C316" s="2046"/>
      <c r="D316" s="2046"/>
      <c r="E316" s="2046"/>
      <c r="F316" s="2046"/>
      <c r="G316" s="2046"/>
      <c r="H316" s="2046"/>
      <c r="I316" s="2046"/>
      <c r="J316" s="2046"/>
      <c r="K316" s="2047"/>
      <c r="L316" s="2048"/>
      <c r="M316" s="2046"/>
      <c r="N316" s="2046"/>
      <c r="O316" s="2046"/>
      <c r="P316" s="2046"/>
      <c r="Q316" s="2046"/>
      <c r="R316" s="2046"/>
      <c r="S316" s="2046"/>
      <c r="T316" s="2046"/>
      <c r="U316" s="2046"/>
      <c r="V316" s="2046"/>
      <c r="W316" s="2046"/>
      <c r="X316" s="2046"/>
      <c r="Y316" s="2046"/>
      <c r="Z316" s="2046"/>
      <c r="AA316" s="2046"/>
      <c r="AB316" s="2046"/>
      <c r="AC316" s="2046"/>
    </row>
    <row r="317" spans="1:29">
      <c r="A317" s="2046"/>
      <c r="B317" s="2046"/>
      <c r="C317" s="2046"/>
      <c r="D317" s="2046"/>
      <c r="E317" s="2046"/>
      <c r="F317" s="2046"/>
      <c r="G317" s="2046"/>
      <c r="H317" s="2046"/>
      <c r="I317" s="2046"/>
      <c r="J317" s="2046"/>
      <c r="K317" s="2047"/>
      <c r="L317" s="2048"/>
      <c r="M317" s="2046"/>
      <c r="N317" s="2046"/>
      <c r="O317" s="2046"/>
      <c r="P317" s="2046"/>
      <c r="Q317" s="2046"/>
      <c r="R317" s="2046"/>
      <c r="S317" s="2046"/>
      <c r="T317" s="2046"/>
      <c r="U317" s="2046"/>
      <c r="V317" s="2046"/>
      <c r="W317" s="2046"/>
      <c r="X317" s="2046"/>
      <c r="Y317" s="2046"/>
      <c r="Z317" s="2046"/>
      <c r="AA317" s="2046"/>
      <c r="AB317" s="2046"/>
      <c r="AC317" s="2046"/>
    </row>
    <row r="318" spans="1:29">
      <c r="A318" s="2046"/>
      <c r="B318" s="2046"/>
      <c r="C318" s="2046"/>
      <c r="D318" s="2046"/>
      <c r="E318" s="2046"/>
      <c r="F318" s="2046"/>
      <c r="G318" s="2046"/>
      <c r="H318" s="2046"/>
      <c r="I318" s="2046"/>
      <c r="J318" s="2046"/>
      <c r="K318" s="2047"/>
      <c r="L318" s="2048"/>
      <c r="M318" s="2046"/>
      <c r="N318" s="2046"/>
      <c r="O318" s="2046"/>
      <c r="P318" s="2046"/>
      <c r="Q318" s="2046"/>
      <c r="R318" s="2046"/>
      <c r="S318" s="2046"/>
      <c r="T318" s="2046"/>
      <c r="U318" s="2046"/>
      <c r="V318" s="2046"/>
      <c r="W318" s="2046"/>
      <c r="X318" s="2046"/>
      <c r="Y318" s="2046"/>
      <c r="Z318" s="2046"/>
      <c r="AA318" s="2046"/>
      <c r="AB318" s="2046"/>
      <c r="AC318" s="2046"/>
    </row>
    <row r="319" spans="1:29">
      <c r="N319" s="2046"/>
      <c r="O319" s="2046"/>
      <c r="P319" s="2046"/>
      <c r="Q319" s="2046"/>
      <c r="R319" s="2046"/>
      <c r="S319" s="2046"/>
      <c r="T319" s="2046"/>
      <c r="U319" s="2046"/>
      <c r="V319" s="2046"/>
      <c r="W319" s="2046"/>
      <c r="X319" s="2046"/>
      <c r="Y319" s="2046"/>
      <c r="Z319" s="2046"/>
      <c r="AA319" s="2046"/>
      <c r="AB319" s="2046"/>
      <c r="AC319" s="2046"/>
    </row>
    <row r="320" spans="1:29">
      <c r="AC320" s="2046"/>
    </row>
    <row r="321" spans="29:29">
      <c r="AC321" s="2046"/>
    </row>
    <row r="322" spans="29:29">
      <c r="AC322" s="2046"/>
    </row>
    <row r="323" spans="29:29">
      <c r="AC323" s="2046"/>
    </row>
    <row r="324" spans="29:29">
      <c r="AC324" s="2046"/>
    </row>
    <row r="325" spans="29:29">
      <c r="AC325" s="2046"/>
    </row>
    <row r="326" spans="29:29">
      <c r="AC326" s="2046"/>
    </row>
    <row r="327" spans="29:29">
      <c r="AC327" s="2046"/>
    </row>
    <row r="328" spans="29:29">
      <c r="AC328" s="2046"/>
    </row>
    <row r="329" spans="29:29">
      <c r="AC329" s="2046"/>
    </row>
    <row r="330" spans="29:29">
      <c r="AC330" s="2046"/>
    </row>
    <row r="331" spans="29:29">
      <c r="AC331" s="2046"/>
    </row>
    <row r="332" spans="29:29">
      <c r="AC332" s="2046"/>
    </row>
    <row r="333" spans="29:29">
      <c r="AC333" s="2046"/>
    </row>
    <row r="334" spans="29:29">
      <c r="AC334" s="2046"/>
    </row>
    <row r="335" spans="29:29">
      <c r="AC335" s="2046"/>
    </row>
    <row r="336" spans="29:29">
      <c r="AC336" s="2046"/>
    </row>
    <row r="337" spans="29:29">
      <c r="AC337" s="2046"/>
    </row>
    <row r="338" spans="29:29">
      <c r="AC338" s="2046"/>
    </row>
    <row r="339" spans="29:29">
      <c r="AC339" s="2046"/>
    </row>
    <row r="340" spans="29:29">
      <c r="AC340" s="2046"/>
    </row>
    <row r="341" spans="29:29">
      <c r="AC341" s="2046"/>
    </row>
    <row r="342" spans="29:29">
      <c r="AC342" s="2046"/>
    </row>
    <row r="343" spans="29:29">
      <c r="AC343" s="2046"/>
    </row>
    <row r="344" spans="29:29">
      <c r="AC344" s="2046"/>
    </row>
    <row r="345" spans="29:29">
      <c r="AC345" s="2046"/>
    </row>
    <row r="346" spans="29:29">
      <c r="AC346" s="2046"/>
    </row>
    <row r="347" spans="29:29">
      <c r="AC347" s="2046"/>
    </row>
    <row r="348" spans="29:29">
      <c r="AC348" s="2046"/>
    </row>
    <row r="349" spans="29:29">
      <c r="AC349" s="2046"/>
    </row>
    <row r="350" spans="29:29">
      <c r="AC350" s="2046"/>
    </row>
    <row r="351" spans="29:29">
      <c r="AC351" s="2046"/>
    </row>
    <row r="352" spans="29:29">
      <c r="AC352" s="2046"/>
    </row>
    <row r="353" spans="29:29">
      <c r="AC353" s="2046"/>
    </row>
    <row r="354" spans="29:29">
      <c r="AC354" s="2046"/>
    </row>
    <row r="355" spans="29:29">
      <c r="AC355" s="2046"/>
    </row>
    <row r="356" spans="29:29">
      <c r="AC356" s="2046"/>
    </row>
    <row r="357" spans="29:29">
      <c r="AC357" s="2046"/>
    </row>
    <row r="358" spans="29:29">
      <c r="AC358" s="2046"/>
    </row>
    <row r="359" spans="29:29">
      <c r="AC359" s="2046"/>
    </row>
    <row r="360" spans="29:29">
      <c r="AC360" s="2046"/>
    </row>
    <row r="361" spans="29:29">
      <c r="AC361" s="2046"/>
    </row>
    <row r="362" spans="29:29">
      <c r="AC362" s="2046"/>
    </row>
    <row r="363" spans="29:29">
      <c r="AC363" s="2046"/>
    </row>
    <row r="364" spans="29:29">
      <c r="AC364" s="2046"/>
    </row>
    <row r="365" spans="29:29">
      <c r="AC365" s="2046"/>
    </row>
    <row r="366" spans="29:29">
      <c r="AC366" s="2046"/>
    </row>
    <row r="367" spans="29:29">
      <c r="AC367" s="2046"/>
    </row>
    <row r="368" spans="29:29">
      <c r="AC368" s="2046"/>
    </row>
    <row r="369" spans="29:29">
      <c r="AC369" s="2046"/>
    </row>
    <row r="370" spans="29:29">
      <c r="AC370" s="2046"/>
    </row>
    <row r="371" spans="29:29">
      <c r="AC371" s="2046"/>
    </row>
    <row r="372" spans="29:29">
      <c r="AC372" s="2046"/>
    </row>
    <row r="373" spans="29:29">
      <c r="AC373" s="2046"/>
    </row>
    <row r="374" spans="29:29">
      <c r="AC374" s="2046"/>
    </row>
    <row r="375" spans="29:29">
      <c r="AC375" s="2046"/>
    </row>
    <row r="376" spans="29:29">
      <c r="AC376" s="2046"/>
    </row>
    <row r="377" spans="29:29">
      <c r="AC377" s="2046"/>
    </row>
    <row r="378" spans="29:29">
      <c r="AC378" s="2046"/>
    </row>
    <row r="379" spans="29:29">
      <c r="AC379" s="2046"/>
    </row>
    <row r="380" spans="29:29">
      <c r="AC380" s="2046"/>
    </row>
    <row r="381" spans="29:29">
      <c r="AC381" s="2046"/>
    </row>
    <row r="382" spans="29:29">
      <c r="AC382" s="2046"/>
    </row>
    <row r="383" spans="29:29">
      <c r="AC383" s="2046"/>
    </row>
    <row r="384" spans="29:29">
      <c r="AC384" s="2046"/>
    </row>
    <row r="385" spans="29:29">
      <c r="AC385" s="2046"/>
    </row>
    <row r="386" spans="29:29">
      <c r="AC386" s="2046"/>
    </row>
    <row r="387" spans="29:29">
      <c r="AC387" s="2046"/>
    </row>
    <row r="388" spans="29:29">
      <c r="AC388" s="2046"/>
    </row>
    <row r="389" spans="29:29">
      <c r="AC389" s="2046"/>
    </row>
    <row r="390" spans="29:29">
      <c r="AC390" s="2046"/>
    </row>
    <row r="391" spans="29:29">
      <c r="AC391" s="2046"/>
    </row>
    <row r="392" spans="29:29">
      <c r="AC392" s="2046"/>
    </row>
    <row r="393" spans="29:29">
      <c r="AC393" s="2046"/>
    </row>
    <row r="394" spans="29:29">
      <c r="AC394" s="2046"/>
    </row>
    <row r="395" spans="29:29">
      <c r="AC395" s="2046"/>
    </row>
    <row r="396" spans="29:29">
      <c r="AC396" s="2046"/>
    </row>
    <row r="397" spans="29:29">
      <c r="AC397" s="2046"/>
    </row>
    <row r="398" spans="29:29">
      <c r="AC398" s="2046"/>
    </row>
    <row r="399" spans="29:29">
      <c r="AC399" s="2046"/>
    </row>
    <row r="400" spans="29:29">
      <c r="AC400" s="2046"/>
    </row>
    <row r="401" spans="29:29">
      <c r="AC401" s="2046"/>
    </row>
    <row r="402" spans="29:29">
      <c r="AC402" s="2046"/>
    </row>
    <row r="403" spans="29:29">
      <c r="AC403" s="2046"/>
    </row>
    <row r="404" spans="29:29">
      <c r="AC404" s="2046"/>
    </row>
    <row r="405" spans="29:29">
      <c r="AC405" s="2046"/>
    </row>
    <row r="406" spans="29:29">
      <c r="AC406" s="2046"/>
    </row>
    <row r="407" spans="29:29">
      <c r="AC407" s="2046"/>
    </row>
    <row r="408" spans="29:29">
      <c r="AC408" s="2046"/>
    </row>
    <row r="409" spans="29:29">
      <c r="AC409" s="2046"/>
    </row>
    <row r="410" spans="29:29">
      <c r="AC410" s="2046"/>
    </row>
    <row r="411" spans="29:29">
      <c r="AC411" s="2046"/>
    </row>
    <row r="412" spans="29:29">
      <c r="AC412" s="2046"/>
    </row>
    <row r="413" spans="29:29">
      <c r="AC413" s="2046"/>
    </row>
    <row r="414" spans="29:29">
      <c r="AC414" s="2046"/>
    </row>
    <row r="415" spans="29:29">
      <c r="AC415" s="2046"/>
    </row>
    <row r="416" spans="29:29">
      <c r="AC416" s="2046"/>
    </row>
    <row r="417" spans="29:29">
      <c r="AC417" s="2046"/>
    </row>
    <row r="418" spans="29:29">
      <c r="AC418" s="2046"/>
    </row>
    <row r="419" spans="29:29">
      <c r="AC419" s="2046"/>
    </row>
    <row r="420" spans="29:29">
      <c r="AC420" s="2046"/>
    </row>
    <row r="421" spans="29:29">
      <c r="AC421" s="2046"/>
    </row>
    <row r="422" spans="29:29">
      <c r="AC422" s="2046"/>
    </row>
    <row r="423" spans="29:29">
      <c r="AC423" s="2046"/>
    </row>
    <row r="424" spans="29:29">
      <c r="AC424" s="2046"/>
    </row>
    <row r="425" spans="29:29">
      <c r="AC425" s="2046"/>
    </row>
    <row r="426" spans="29:29">
      <c r="AC426" s="2046"/>
    </row>
    <row r="427" spans="29:29">
      <c r="AC427" s="2046"/>
    </row>
    <row r="428" spans="29:29">
      <c r="AC428" s="2046"/>
    </row>
    <row r="429" spans="29:29">
      <c r="AC429" s="2046"/>
    </row>
    <row r="430" spans="29:29">
      <c r="AC430" s="2046"/>
    </row>
    <row r="431" spans="29:29">
      <c r="AC431" s="2046"/>
    </row>
    <row r="432" spans="29:29">
      <c r="AC432" s="2046"/>
    </row>
    <row r="433" spans="29:29">
      <c r="AC433" s="2046"/>
    </row>
    <row r="434" spans="29:29">
      <c r="AC434" s="2046"/>
    </row>
    <row r="435" spans="29:29">
      <c r="AC435" s="2046"/>
    </row>
    <row r="436" spans="29:29">
      <c r="AC436" s="2046"/>
    </row>
    <row r="437" spans="29:29">
      <c r="AC437" s="2046"/>
    </row>
    <row r="438" spans="29:29">
      <c r="AC438" s="2046"/>
    </row>
    <row r="439" spans="29:29">
      <c r="AC439" s="2046"/>
    </row>
    <row r="440" spans="29:29">
      <c r="AC440" s="2046"/>
    </row>
    <row r="441" spans="29:29">
      <c r="AC441" s="2046"/>
    </row>
    <row r="442" spans="29:29">
      <c r="AC442" s="2046"/>
    </row>
    <row r="443" spans="29:29">
      <c r="AC443" s="2046"/>
    </row>
    <row r="444" spans="29:29">
      <c r="AC444" s="2046"/>
    </row>
    <row r="445" spans="29:29">
      <c r="AC445" s="2046"/>
    </row>
    <row r="446" spans="29:29">
      <c r="AC446" s="2046"/>
    </row>
    <row r="447" spans="29:29">
      <c r="AC447" s="2046"/>
    </row>
    <row r="448" spans="29:29">
      <c r="AC448" s="2046"/>
    </row>
    <row r="449" spans="29:29">
      <c r="AC449" s="2046"/>
    </row>
    <row r="450" spans="29:29">
      <c r="AC450" s="2046"/>
    </row>
    <row r="451" spans="29:29">
      <c r="AC451" s="2046"/>
    </row>
    <row r="452" spans="29:29">
      <c r="AC452" s="2046"/>
    </row>
    <row r="453" spans="29:29">
      <c r="AC453" s="2046"/>
    </row>
    <row r="454" spans="29:29">
      <c r="AC454" s="2046"/>
    </row>
    <row r="455" spans="29:29">
      <c r="AC455" s="2046"/>
    </row>
    <row r="456" spans="29:29">
      <c r="AC456" s="2046"/>
    </row>
    <row r="457" spans="29:29">
      <c r="AC457" s="2046"/>
    </row>
    <row r="458" spans="29:29">
      <c r="AC458" s="2046"/>
    </row>
    <row r="459" spans="29:29">
      <c r="AC459" s="2046"/>
    </row>
    <row r="460" spans="29:29">
      <c r="AC460" s="2046"/>
    </row>
    <row r="461" spans="29:29">
      <c r="AC461" s="2046"/>
    </row>
    <row r="462" spans="29:29">
      <c r="AC462" s="2046"/>
    </row>
    <row r="463" spans="29:29">
      <c r="AC463" s="2046"/>
    </row>
    <row r="464" spans="29:29">
      <c r="AC464" s="2046"/>
    </row>
    <row r="465" spans="29:29">
      <c r="AC465" s="2046"/>
    </row>
    <row r="466" spans="29:29">
      <c r="AC466" s="2046"/>
    </row>
    <row r="467" spans="29:29">
      <c r="AC467" s="2046"/>
    </row>
    <row r="468" spans="29:29">
      <c r="AC468" s="2046"/>
    </row>
    <row r="469" spans="29:29">
      <c r="AC469" s="2046"/>
    </row>
    <row r="470" spans="29:29">
      <c r="AC470" s="2046"/>
    </row>
    <row r="471" spans="29:29">
      <c r="AC471" s="2046"/>
    </row>
    <row r="472" spans="29:29">
      <c r="AC472" s="2046"/>
    </row>
    <row r="473" spans="29:29">
      <c r="AC473" s="2046"/>
    </row>
    <row r="474" spans="29:29">
      <c r="AC474" s="2046"/>
    </row>
    <row r="475" spans="29:29">
      <c r="AC475" s="2046"/>
    </row>
    <row r="476" spans="29:29">
      <c r="AC476" s="2046"/>
    </row>
    <row r="477" spans="29:29">
      <c r="AC477" s="2046"/>
    </row>
    <row r="478" spans="29:29">
      <c r="AC478" s="2046"/>
    </row>
    <row r="479" spans="29:29">
      <c r="AC479" s="2046"/>
    </row>
    <row r="480" spans="29:29">
      <c r="AC480" s="2046"/>
    </row>
    <row r="481" spans="29:29">
      <c r="AC481" s="2046"/>
    </row>
    <row r="482" spans="29:29">
      <c r="AC482" s="2046"/>
    </row>
    <row r="483" spans="29:29">
      <c r="AC483" s="2046"/>
    </row>
    <row r="484" spans="29:29">
      <c r="AC484" s="2046"/>
    </row>
    <row r="485" spans="29:29">
      <c r="AC485" s="2046"/>
    </row>
    <row r="486" spans="29:29">
      <c r="AC486" s="2046"/>
    </row>
    <row r="487" spans="29:29">
      <c r="AC487" s="2046"/>
    </row>
    <row r="488" spans="29:29">
      <c r="AC488" s="2046"/>
    </row>
    <row r="489" spans="29:29">
      <c r="AC489" s="2046"/>
    </row>
    <row r="490" spans="29:29">
      <c r="AC490" s="2046"/>
    </row>
    <row r="491" spans="29:29">
      <c r="AC491" s="2046"/>
    </row>
    <row r="492" spans="29:29">
      <c r="AC492" s="2046"/>
    </row>
    <row r="493" spans="29:29">
      <c r="AC493" s="2046"/>
    </row>
    <row r="494" spans="29:29">
      <c r="AC494" s="2046"/>
    </row>
    <row r="495" spans="29:29">
      <c r="AC495" s="2046"/>
    </row>
    <row r="496" spans="29:29">
      <c r="AC496" s="2046"/>
    </row>
    <row r="497" spans="29:29">
      <c r="AC497" s="2046"/>
    </row>
    <row r="498" spans="29:29">
      <c r="AC498" s="2046"/>
    </row>
    <row r="499" spans="29:29">
      <c r="AC499" s="2046"/>
    </row>
    <row r="500" spans="29:29">
      <c r="AC500" s="2046"/>
    </row>
    <row r="501" spans="29:29">
      <c r="AC501" s="2046"/>
    </row>
    <row r="502" spans="29:29">
      <c r="AC502" s="2046"/>
    </row>
    <row r="503" spans="29:29">
      <c r="AC503" s="2046"/>
    </row>
    <row r="504" spans="29:29">
      <c r="AC504" s="2046"/>
    </row>
    <row r="505" spans="29:29">
      <c r="AC505" s="2046"/>
    </row>
    <row r="506" spans="29:29">
      <c r="AC506" s="2046"/>
    </row>
    <row r="507" spans="29:29">
      <c r="AC507" s="2046"/>
    </row>
    <row r="508" spans="29:29">
      <c r="AC508" s="2046"/>
    </row>
    <row r="509" spans="29:29">
      <c r="AC509" s="2046"/>
    </row>
    <row r="510" spans="29:29">
      <c r="AC510" s="2046"/>
    </row>
    <row r="511" spans="29:29">
      <c r="AC511" s="2046"/>
    </row>
    <row r="512" spans="29:29">
      <c r="AC512" s="2046"/>
    </row>
    <row r="513" spans="29:29">
      <c r="AC513" s="2046"/>
    </row>
    <row r="514" spans="29:29">
      <c r="AC514" s="2046"/>
    </row>
    <row r="515" spans="29:29">
      <c r="AC515" s="2046"/>
    </row>
    <row r="516" spans="29:29">
      <c r="AC516" s="2046"/>
    </row>
    <row r="517" spans="29:29">
      <c r="AC517" s="2046"/>
    </row>
    <row r="518" spans="29:29">
      <c r="AC518" s="2046"/>
    </row>
    <row r="519" spans="29:29">
      <c r="AC519" s="2046"/>
    </row>
    <row r="520" spans="29:29">
      <c r="AC520" s="2046"/>
    </row>
    <row r="521" spans="29:29">
      <c r="AC521" s="2046"/>
    </row>
    <row r="522" spans="29:29">
      <c r="AC522" s="2046"/>
    </row>
    <row r="523" spans="29:29">
      <c r="AC523" s="2046"/>
    </row>
    <row r="524" spans="29:29">
      <c r="AC524" s="2046"/>
    </row>
    <row r="525" spans="29:29">
      <c r="AC525" s="2046"/>
    </row>
    <row r="526" spans="29:29">
      <c r="AC526" s="2046"/>
    </row>
    <row r="527" spans="29:29">
      <c r="AC527" s="2046"/>
    </row>
    <row r="528" spans="29:29">
      <c r="AC528" s="2046"/>
    </row>
    <row r="529" spans="29:29">
      <c r="AC529" s="2046"/>
    </row>
    <row r="530" spans="29:29">
      <c r="AC530" s="2046"/>
    </row>
    <row r="531" spans="29:29">
      <c r="AC531" s="2046"/>
    </row>
    <row r="532" spans="29:29">
      <c r="AC532" s="2046"/>
    </row>
    <row r="533" spans="29:29">
      <c r="AC533" s="2046"/>
    </row>
    <row r="534" spans="29:29">
      <c r="AC534" s="2046"/>
    </row>
    <row r="535" spans="29:29">
      <c r="AC535" s="2046"/>
    </row>
    <row r="536" spans="29:29">
      <c r="AC536" s="2046"/>
    </row>
    <row r="537" spans="29:29">
      <c r="AC537" s="2046"/>
    </row>
    <row r="538" spans="29:29">
      <c r="AC538" s="2046"/>
    </row>
    <row r="539" spans="29:29">
      <c r="AC539" s="2046"/>
    </row>
    <row r="540" spans="29:29">
      <c r="AC540" s="2046"/>
    </row>
    <row r="541" spans="29:29">
      <c r="AC541" s="2046"/>
    </row>
    <row r="542" spans="29:29">
      <c r="AC542" s="2046"/>
    </row>
    <row r="543" spans="29:29">
      <c r="AC543" s="2046"/>
    </row>
    <row r="544" spans="29:29">
      <c r="AC544" s="2046"/>
    </row>
    <row r="545" spans="29:29">
      <c r="AC545" s="2046"/>
    </row>
    <row r="546" spans="29:29">
      <c r="AC546" s="2046"/>
    </row>
    <row r="547" spans="29:29">
      <c r="AC547" s="2046"/>
    </row>
    <row r="548" spans="29:29">
      <c r="AC548" s="2046"/>
    </row>
    <row r="549" spans="29:29">
      <c r="AC549" s="2046"/>
    </row>
    <row r="550" spans="29:29">
      <c r="AC550" s="2046"/>
    </row>
    <row r="551" spans="29:29">
      <c r="AC551" s="2046"/>
    </row>
    <row r="552" spans="29:29">
      <c r="AC552" s="2046"/>
    </row>
    <row r="553" spans="29:29">
      <c r="AC553" s="2046"/>
    </row>
    <row r="554" spans="29:29">
      <c r="AC554" s="2046"/>
    </row>
    <row r="555" spans="29:29">
      <c r="AC555" s="2046"/>
    </row>
    <row r="556" spans="29:29">
      <c r="AC556" s="2046"/>
    </row>
    <row r="557" spans="29:29">
      <c r="AC557" s="2046"/>
    </row>
    <row r="558" spans="29:29">
      <c r="AC558" s="2046"/>
    </row>
    <row r="559" spans="29:29">
      <c r="AC559" s="2046"/>
    </row>
    <row r="560" spans="29:29">
      <c r="AC560" s="2046"/>
    </row>
    <row r="561" spans="29:29">
      <c r="AC561" s="2046"/>
    </row>
    <row r="562" spans="29:29">
      <c r="AC562" s="2046"/>
    </row>
    <row r="563" spans="29:29">
      <c r="AC563" s="2046"/>
    </row>
    <row r="564" spans="29:29">
      <c r="AC564" s="2046"/>
    </row>
    <row r="565" spans="29:29">
      <c r="AC565" s="2046"/>
    </row>
    <row r="566" spans="29:29">
      <c r="AC566" s="2046"/>
    </row>
    <row r="567" spans="29:29">
      <c r="AC567" s="2046"/>
    </row>
    <row r="568" spans="29:29">
      <c r="AC568" s="2046"/>
    </row>
    <row r="569" spans="29:29">
      <c r="AC569" s="2046"/>
    </row>
    <row r="570" spans="29:29">
      <c r="AC570" s="2046"/>
    </row>
    <row r="571" spans="29:29">
      <c r="AC571" s="2046"/>
    </row>
    <row r="572" spans="29:29">
      <c r="AC572" s="2046"/>
    </row>
    <row r="573" spans="29:29">
      <c r="AC573" s="2046"/>
    </row>
    <row r="574" spans="29:29">
      <c r="AC574" s="2046"/>
    </row>
    <row r="575" spans="29:29">
      <c r="AC575" s="2046"/>
    </row>
    <row r="576" spans="29:29">
      <c r="AC576" s="2046"/>
    </row>
    <row r="577" spans="29:29">
      <c r="AC577" s="2046"/>
    </row>
    <row r="578" spans="29:29">
      <c r="AC578" s="2046"/>
    </row>
    <row r="579" spans="29:29">
      <c r="AC579" s="2046"/>
    </row>
    <row r="580" spans="29:29">
      <c r="AC580" s="2046"/>
    </row>
    <row r="581" spans="29:29">
      <c r="AC581" s="2046"/>
    </row>
    <row r="582" spans="29:29">
      <c r="AC582" s="2046"/>
    </row>
    <row r="583" spans="29:29">
      <c r="AC583" s="2046"/>
    </row>
    <row r="584" spans="29:29">
      <c r="AC584" s="2046"/>
    </row>
    <row r="585" spans="29:29">
      <c r="AC585" s="2046"/>
    </row>
    <row r="586" spans="29:29">
      <c r="AC586" s="2046"/>
    </row>
    <row r="587" spans="29:29">
      <c r="AC587" s="2046"/>
    </row>
    <row r="588" spans="29:29">
      <c r="AC588" s="2046"/>
    </row>
    <row r="589" spans="29:29">
      <c r="AC589" s="2046"/>
    </row>
    <row r="590" spans="29:29">
      <c r="AC590" s="2046"/>
    </row>
    <row r="591" spans="29:29">
      <c r="AC591" s="2046"/>
    </row>
    <row r="592" spans="29:29">
      <c r="AC592" s="2046"/>
    </row>
    <row r="593" spans="29:29">
      <c r="AC593" s="2046"/>
    </row>
    <row r="594" spans="29:29">
      <c r="AC594" s="2046"/>
    </row>
    <row r="595" spans="29:29">
      <c r="AC595" s="2046"/>
    </row>
    <row r="596" spans="29:29">
      <c r="AC596" s="2046"/>
    </row>
    <row r="597" spans="29:29">
      <c r="AC597" s="2046"/>
    </row>
    <row r="598" spans="29:29">
      <c r="AC598" s="2046"/>
    </row>
    <row r="599" spans="29:29">
      <c r="AC599" s="2046"/>
    </row>
    <row r="600" spans="29:29">
      <c r="AC600" s="2046"/>
    </row>
    <row r="601" spans="29:29">
      <c r="AC601" s="2046"/>
    </row>
    <row r="602" spans="29:29">
      <c r="AC602" s="2046"/>
    </row>
    <row r="603" spans="29:29">
      <c r="AC603" s="2046"/>
    </row>
    <row r="604" spans="29:29">
      <c r="AC604" s="2046"/>
    </row>
    <row r="605" spans="29:29">
      <c r="AC605" s="2046"/>
    </row>
    <row r="606" spans="29:29">
      <c r="AC606" s="2046"/>
    </row>
    <row r="607" spans="29:29">
      <c r="AC607" s="2046"/>
    </row>
    <row r="608" spans="29:29">
      <c r="AC608" s="2046"/>
    </row>
    <row r="609" spans="29:29">
      <c r="AC609" s="2046"/>
    </row>
    <row r="610" spans="29:29">
      <c r="AC610" s="2046"/>
    </row>
    <row r="611" spans="29:29">
      <c r="AC611" s="2046"/>
    </row>
    <row r="612" spans="29:29">
      <c r="AC612" s="2046"/>
    </row>
    <row r="613" spans="29:29">
      <c r="AC613" s="2046"/>
    </row>
    <row r="614" spans="29:29">
      <c r="AC614" s="2046"/>
    </row>
    <row r="615" spans="29:29">
      <c r="AC615" s="2046"/>
    </row>
    <row r="616" spans="29:29">
      <c r="AC616" s="2046"/>
    </row>
    <row r="617" spans="29:29">
      <c r="AC617" s="2046"/>
    </row>
    <row r="618" spans="29:29">
      <c r="AC618" s="2046"/>
    </row>
    <row r="619" spans="29:29">
      <c r="AC619" s="2046"/>
    </row>
    <row r="620" spans="29:29">
      <c r="AC620" s="2046"/>
    </row>
    <row r="621" spans="29:29">
      <c r="AC621" s="2046"/>
    </row>
    <row r="622" spans="29:29">
      <c r="AC622" s="2046"/>
    </row>
    <row r="623" spans="29:29">
      <c r="AC623" s="2046"/>
    </row>
    <row r="624" spans="29:29">
      <c r="AC624" s="2046"/>
    </row>
    <row r="625" spans="29:29">
      <c r="AC625" s="2046"/>
    </row>
    <row r="626" spans="29:29">
      <c r="AC626" s="2046"/>
    </row>
    <row r="627" spans="29:29">
      <c r="AC627" s="2046"/>
    </row>
    <row r="628" spans="29:29">
      <c r="AC628" s="2046"/>
    </row>
    <row r="629" spans="29:29">
      <c r="AC629" s="2046"/>
    </row>
    <row r="630" spans="29:29">
      <c r="AC630" s="2046"/>
    </row>
    <row r="631" spans="29:29">
      <c r="AC631" s="2046"/>
    </row>
    <row r="632" spans="29:29">
      <c r="AC632" s="2046"/>
    </row>
    <row r="633" spans="29:29">
      <c r="AC633" s="2046"/>
    </row>
    <row r="634" spans="29:29">
      <c r="AC634" s="2046"/>
    </row>
    <row r="635" spans="29:29">
      <c r="AC635" s="2046"/>
    </row>
    <row r="636" spans="29:29">
      <c r="AC636" s="2046"/>
    </row>
    <row r="637" spans="29:29">
      <c r="AC637" s="2046"/>
    </row>
    <row r="638" spans="29:29">
      <c r="AC638" s="2046"/>
    </row>
    <row r="639" spans="29:29">
      <c r="AC639" s="2046"/>
    </row>
    <row r="640" spans="29:29">
      <c r="AC640" s="2046"/>
    </row>
    <row r="641" spans="29:29">
      <c r="AC641" s="2046"/>
    </row>
    <row r="642" spans="29:29">
      <c r="AC642" s="2046"/>
    </row>
    <row r="643" spans="29:29">
      <c r="AC643" s="2046"/>
    </row>
    <row r="644" spans="29:29">
      <c r="AC644" s="2046"/>
    </row>
    <row r="645" spans="29:29">
      <c r="AC645" s="2046"/>
    </row>
    <row r="646" spans="29:29">
      <c r="AC646" s="2046"/>
    </row>
    <row r="647" spans="29:29">
      <c r="AC647" s="2046"/>
    </row>
    <row r="648" spans="29:29">
      <c r="AC648" s="2046"/>
    </row>
    <row r="649" spans="29:29">
      <c r="AC649" s="2046"/>
    </row>
    <row r="650" spans="29:29">
      <c r="AC650" s="2046"/>
    </row>
    <row r="651" spans="29:29">
      <c r="AC651" s="2046"/>
    </row>
    <row r="652" spans="29:29">
      <c r="AC652" s="2046"/>
    </row>
    <row r="653" spans="29:29">
      <c r="AC653" s="2046"/>
    </row>
    <row r="654" spans="29:29">
      <c r="AC654" s="2046"/>
    </row>
    <row r="655" spans="29:29">
      <c r="AC655" s="2046"/>
    </row>
    <row r="656" spans="29:29">
      <c r="AC656" s="2046"/>
    </row>
    <row r="657" spans="29:29">
      <c r="AC657" s="2046"/>
    </row>
    <row r="658" spans="29:29">
      <c r="AC658" s="2046"/>
    </row>
    <row r="659" spans="29:29">
      <c r="AC659" s="2046"/>
    </row>
    <row r="660" spans="29:29">
      <c r="AC660" s="2046"/>
    </row>
    <row r="661" spans="29:29">
      <c r="AC661" s="2046"/>
    </row>
    <row r="662" spans="29:29">
      <c r="AC662" s="2046"/>
    </row>
    <row r="663" spans="29:29">
      <c r="AC663" s="2046"/>
    </row>
    <row r="664" spans="29:29">
      <c r="AC664" s="2046"/>
    </row>
    <row r="665" spans="29:29">
      <c r="AC665" s="2046"/>
    </row>
    <row r="666" spans="29:29">
      <c r="AC666" s="2046"/>
    </row>
    <row r="667" spans="29:29">
      <c r="AC667" s="2046"/>
    </row>
    <row r="668" spans="29:29">
      <c r="AC668" s="2046"/>
    </row>
    <row r="669" spans="29:29">
      <c r="AC669" s="2046"/>
    </row>
    <row r="670" spans="29:29">
      <c r="AC670" s="2046"/>
    </row>
    <row r="671" spans="29:29">
      <c r="AC671" s="2046"/>
    </row>
    <row r="672" spans="29:29">
      <c r="AC672" s="2046"/>
    </row>
    <row r="673" spans="29:29">
      <c r="AC673" s="2046"/>
    </row>
    <row r="674" spans="29:29">
      <c r="AC674" s="2046"/>
    </row>
    <row r="675" spans="29:29">
      <c r="AC675" s="2046"/>
    </row>
    <row r="676" spans="29:29">
      <c r="AC676" s="2046"/>
    </row>
    <row r="677" spans="29:29">
      <c r="AC677" s="2046"/>
    </row>
    <row r="678" spans="29:29">
      <c r="AC678" s="2046"/>
    </row>
    <row r="679" spans="29:29">
      <c r="AC679" s="2046"/>
    </row>
    <row r="680" spans="29:29">
      <c r="AC680" s="2046"/>
    </row>
    <row r="681" spans="29:29">
      <c r="AC681" s="2046"/>
    </row>
    <row r="682" spans="29:29">
      <c r="AC682" s="2046"/>
    </row>
    <row r="683" spans="29:29">
      <c r="AC683" s="2046"/>
    </row>
    <row r="684" spans="29:29">
      <c r="AC684" s="2046"/>
    </row>
    <row r="685" spans="29:29">
      <c r="AC685" s="2046"/>
    </row>
    <row r="686" spans="29:29">
      <c r="AC686" s="2046"/>
    </row>
    <row r="687" spans="29:29">
      <c r="AC687" s="2046"/>
    </row>
    <row r="688" spans="29:29">
      <c r="AC688" s="2046"/>
    </row>
    <row r="689" spans="29:29">
      <c r="AC689" s="2046"/>
    </row>
    <row r="690" spans="29:29">
      <c r="AC690" s="2046"/>
    </row>
    <row r="691" spans="29:29">
      <c r="AC691" s="2046"/>
    </row>
    <row r="692" spans="29:29">
      <c r="AC692" s="2046"/>
    </row>
    <row r="693" spans="29:29">
      <c r="AC693" s="2046"/>
    </row>
    <row r="694" spans="29:29">
      <c r="AC694" s="2046"/>
    </row>
    <row r="695" spans="29:29">
      <c r="AC695" s="2046"/>
    </row>
    <row r="696" spans="29:29">
      <c r="AC696" s="2046"/>
    </row>
    <row r="697" spans="29:29">
      <c r="AC697" s="2046"/>
    </row>
    <row r="698" spans="29:29">
      <c r="AC698" s="2046"/>
    </row>
    <row r="699" spans="29:29">
      <c r="AC699" s="2046"/>
    </row>
    <row r="700" spans="29:29">
      <c r="AC700" s="2046"/>
    </row>
    <row r="701" spans="29:29">
      <c r="AC701" s="2046"/>
    </row>
    <row r="702" spans="29:29">
      <c r="AC702" s="2046"/>
    </row>
    <row r="703" spans="29:29">
      <c r="AC703" s="2046"/>
    </row>
    <row r="704" spans="29:29">
      <c r="AC704" s="2046"/>
    </row>
    <row r="705" spans="29:29">
      <c r="AC705" s="2046"/>
    </row>
    <row r="706" spans="29:29">
      <c r="AC706" s="2046"/>
    </row>
    <row r="707" spans="29:29">
      <c r="AC707" s="2046"/>
    </row>
    <row r="708" spans="29:29">
      <c r="AC708" s="2046"/>
    </row>
    <row r="709" spans="29:29">
      <c r="AC709" s="2046"/>
    </row>
    <row r="710" spans="29:29">
      <c r="AC710" s="2046"/>
    </row>
    <row r="711" spans="29:29">
      <c r="AC711" s="2046"/>
    </row>
    <row r="712" spans="29:29">
      <c r="AC712" s="2046"/>
    </row>
    <row r="713" spans="29:29">
      <c r="AC713" s="2046"/>
    </row>
    <row r="714" spans="29:29">
      <c r="AC714" s="2046"/>
    </row>
    <row r="715" spans="29:29">
      <c r="AC715" s="2046"/>
    </row>
    <row r="716" spans="29:29">
      <c r="AC716" s="2046"/>
    </row>
    <row r="717" spans="29:29">
      <c r="AC717" s="2046"/>
    </row>
    <row r="718" spans="29:29">
      <c r="AC718" s="2046"/>
    </row>
    <row r="719" spans="29:29">
      <c r="AC719" s="2046"/>
    </row>
    <row r="720" spans="29:29">
      <c r="AC720" s="2046"/>
    </row>
    <row r="721" spans="29:29">
      <c r="AC721" s="2046"/>
    </row>
    <row r="722" spans="29:29">
      <c r="AC722" s="2046"/>
    </row>
    <row r="723" spans="29:29">
      <c r="AC723" s="2046"/>
    </row>
    <row r="724" spans="29:29">
      <c r="AC724" s="2046"/>
    </row>
    <row r="725" spans="29:29">
      <c r="AC725" s="2046"/>
    </row>
    <row r="726" spans="29:29">
      <c r="AC726" s="2046"/>
    </row>
    <row r="727" spans="29:29">
      <c r="AC727" s="2046"/>
    </row>
    <row r="728" spans="29:29">
      <c r="AC728" s="2046"/>
    </row>
    <row r="729" spans="29:29">
      <c r="AC729" s="2046"/>
    </row>
    <row r="730" spans="29:29">
      <c r="AC730" s="2046"/>
    </row>
    <row r="731" spans="29:29">
      <c r="AC731" s="2046"/>
    </row>
    <row r="732" spans="29:29">
      <c r="AC732" s="2046"/>
    </row>
    <row r="733" spans="29:29">
      <c r="AC733" s="2046"/>
    </row>
    <row r="734" spans="29:29">
      <c r="AC734" s="2046"/>
    </row>
    <row r="735" spans="29:29">
      <c r="AC735" s="2046"/>
    </row>
    <row r="736" spans="29:29">
      <c r="AC736" s="2046"/>
    </row>
    <row r="737" spans="29:29">
      <c r="AC737" s="2046"/>
    </row>
    <row r="738" spans="29:29">
      <c r="AC738" s="2046"/>
    </row>
    <row r="739" spans="29:29">
      <c r="AC739" s="2046"/>
    </row>
    <row r="740" spans="29:29">
      <c r="AC740" s="2046"/>
    </row>
    <row r="741" spans="29:29">
      <c r="AC741" s="2046"/>
    </row>
    <row r="742" spans="29:29">
      <c r="AC742" s="2046"/>
    </row>
    <row r="743" spans="29:29">
      <c r="AC743" s="2046"/>
    </row>
    <row r="744" spans="29:29">
      <c r="AC744" s="2046"/>
    </row>
    <row r="745" spans="29:29">
      <c r="AC745" s="2046"/>
    </row>
    <row r="746" spans="29:29">
      <c r="AC746" s="2046"/>
    </row>
    <row r="747" spans="29:29">
      <c r="AC747" s="2046"/>
    </row>
    <row r="748" spans="29:29">
      <c r="AC748" s="2046"/>
    </row>
    <row r="749" spans="29:29">
      <c r="AC749" s="2046"/>
    </row>
    <row r="750" spans="29:29">
      <c r="AC750" s="2046"/>
    </row>
    <row r="751" spans="29:29">
      <c r="AC751" s="2046"/>
    </row>
    <row r="752" spans="29:29">
      <c r="AC752" s="2046"/>
    </row>
    <row r="753" spans="29:29">
      <c r="AC753" s="2046"/>
    </row>
    <row r="754" spans="29:29">
      <c r="AC754" s="2046"/>
    </row>
    <row r="755" spans="29:29">
      <c r="AC755" s="2046"/>
    </row>
    <row r="756" spans="29:29">
      <c r="AC756" s="2046"/>
    </row>
    <row r="757" spans="29:29">
      <c r="AC757" s="2046"/>
    </row>
    <row r="758" spans="29:29">
      <c r="AC758" s="2046"/>
    </row>
    <row r="759" spans="29:29">
      <c r="AC759" s="2046"/>
    </row>
    <row r="760" spans="29:29">
      <c r="AC760" s="2046"/>
    </row>
    <row r="761" spans="29:29">
      <c r="AC761" s="2046"/>
    </row>
    <row r="762" spans="29:29">
      <c r="AC762" s="2046"/>
    </row>
    <row r="763" spans="29:29">
      <c r="AC763" s="2046"/>
    </row>
    <row r="764" spans="29:29">
      <c r="AC764" s="2046"/>
    </row>
    <row r="765" spans="29:29">
      <c r="AC765" s="2046"/>
    </row>
    <row r="766" spans="29:29">
      <c r="AC766" s="2046"/>
    </row>
    <row r="767" spans="29:29">
      <c r="AC767" s="2046"/>
    </row>
    <row r="768" spans="29:29">
      <c r="AC768" s="2046"/>
    </row>
    <row r="769" spans="29:29">
      <c r="AC769" s="2046"/>
    </row>
    <row r="770" spans="29:29">
      <c r="AC770" s="2046"/>
    </row>
    <row r="771" spans="29:29">
      <c r="AC771" s="2046"/>
    </row>
    <row r="772" spans="29:29">
      <c r="AC772" s="2046"/>
    </row>
    <row r="773" spans="29:29">
      <c r="AC773" s="2046"/>
    </row>
    <row r="774" spans="29:29">
      <c r="AC774" s="2046"/>
    </row>
    <row r="775" spans="29:29">
      <c r="AC775" s="2046"/>
    </row>
    <row r="776" spans="29:29">
      <c r="AC776" s="2046"/>
    </row>
    <row r="777" spans="29:29">
      <c r="AC777" s="2046"/>
    </row>
    <row r="778" spans="29:29">
      <c r="AC778" s="2046"/>
    </row>
    <row r="779" spans="29:29">
      <c r="AC779" s="2046"/>
    </row>
    <row r="780" spans="29:29">
      <c r="AC780" s="2046"/>
    </row>
    <row r="781" spans="29:29">
      <c r="AC781" s="2046"/>
    </row>
    <row r="782" spans="29:29">
      <c r="AC782" s="2046"/>
    </row>
    <row r="783" spans="29:29">
      <c r="AC783" s="2046"/>
    </row>
    <row r="784" spans="29:29">
      <c r="AC784" s="2046"/>
    </row>
    <row r="785" spans="29:29">
      <c r="AC785" s="2046"/>
    </row>
    <row r="786" spans="29:29">
      <c r="AC786" s="2046"/>
    </row>
    <row r="787" spans="29:29">
      <c r="AC787" s="2046"/>
    </row>
    <row r="788" spans="29:29">
      <c r="AC788" s="2046"/>
    </row>
    <row r="789" spans="29:29">
      <c r="AC789" s="2046"/>
    </row>
    <row r="790" spans="29:29">
      <c r="AC790" s="2046"/>
    </row>
    <row r="791" spans="29:29">
      <c r="AC791" s="2046"/>
    </row>
    <row r="792" spans="29:29">
      <c r="AC792" s="2046"/>
    </row>
    <row r="793" spans="29:29">
      <c r="AC793" s="2046"/>
    </row>
    <row r="794" spans="29:29">
      <c r="AC794" s="204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27" priority="21" stopIfTrue="1" operator="containsText" text="超过">
      <formula>NOT(ISERROR(SEARCH("超过",F52)))</formula>
    </cfRule>
  </conditionalFormatting>
  <conditionalFormatting sqref="H54">
    <cfRule type="containsText" dxfId="126" priority="19" stopIfTrue="1" operator="containsText" text="超过">
      <formula>NOT(ISERROR(SEARCH("超过",H54)))</formula>
    </cfRule>
  </conditionalFormatting>
  <conditionalFormatting sqref="F54">
    <cfRule type="containsText" dxfId="125" priority="18" stopIfTrue="1" operator="containsText" text="超过">
      <formula>NOT(ISERROR(SEARCH("超过",F54)))</formula>
    </cfRule>
  </conditionalFormatting>
  <conditionalFormatting sqref="F53 H53">
    <cfRule type="containsText" dxfId="124" priority="17" stopIfTrue="1" operator="containsText" text="超过">
      <formula>NOT(ISERROR(SEARCH("超过",F53)))</formula>
    </cfRule>
  </conditionalFormatting>
  <conditionalFormatting sqref="E52">
    <cfRule type="expression" dxfId="123" priority="16" stopIfTrue="1">
      <formula>$F$52="超过30%"</formula>
    </cfRule>
  </conditionalFormatting>
  <conditionalFormatting sqref="E53">
    <cfRule type="expression" dxfId="122" priority="15" stopIfTrue="1">
      <formula>$F$53="超过20%"</formula>
    </cfRule>
  </conditionalFormatting>
  <conditionalFormatting sqref="E54">
    <cfRule type="expression" dxfId="121" priority="14" stopIfTrue="1">
      <formula>$F$54="超过30%"</formula>
    </cfRule>
  </conditionalFormatting>
  <conditionalFormatting sqref="G54">
    <cfRule type="expression" dxfId="120" priority="13" stopIfTrue="1">
      <formula>$H$54="超过30%"</formula>
    </cfRule>
  </conditionalFormatting>
  <conditionalFormatting sqref="G52">
    <cfRule type="expression" dxfId="119" priority="12" stopIfTrue="1">
      <formula>$H$52="超过30%"</formula>
    </cfRule>
  </conditionalFormatting>
  <conditionalFormatting sqref="G53">
    <cfRule type="expression" dxfId="118" priority="11" stopIfTrue="1">
      <formula>$H$53="超过20%"</formula>
    </cfRule>
  </conditionalFormatting>
  <conditionalFormatting sqref="J52">
    <cfRule type="containsText" dxfId="117" priority="10" stopIfTrue="1" operator="containsText" text="超过">
      <formula>NOT(ISERROR(SEARCH("超过",J52)))</formula>
    </cfRule>
  </conditionalFormatting>
  <conditionalFormatting sqref="J54">
    <cfRule type="containsText" dxfId="116" priority="9" stopIfTrue="1" operator="containsText" text="超过">
      <formula>NOT(ISERROR(SEARCH("超过",J54)))</formula>
    </cfRule>
  </conditionalFormatting>
  <conditionalFormatting sqref="J53">
    <cfRule type="containsText" dxfId="115" priority="8" stopIfTrue="1" operator="containsText" text="超过">
      <formula>NOT(ISERROR(SEARCH("超过",J53)))</formula>
    </cfRule>
  </conditionalFormatting>
  <conditionalFormatting sqref="I52">
    <cfRule type="expression" dxfId="114" priority="7" stopIfTrue="1">
      <formula>$J$52="超过30%"</formula>
    </cfRule>
  </conditionalFormatting>
  <conditionalFormatting sqref="I53">
    <cfRule type="expression" dxfId="113" priority="6" stopIfTrue="1">
      <formula>$J$53="超过20%"</formula>
    </cfRule>
  </conditionalFormatting>
  <conditionalFormatting sqref="I54">
    <cfRule type="expression" dxfId="112" priority="5" stopIfTrue="1">
      <formula>$J$54="超过30%"</formula>
    </cfRule>
  </conditionalFormatting>
  <conditionalFormatting sqref="F48">
    <cfRule type="expression" dxfId="111" priority="4">
      <formula>$D$48="简单平均"</formula>
    </cfRule>
  </conditionalFormatting>
  <conditionalFormatting sqref="H48">
    <cfRule type="expression" dxfId="110" priority="3">
      <formula>$D$48="简单平均"</formula>
    </cfRule>
  </conditionalFormatting>
  <conditionalFormatting sqref="J48">
    <cfRule type="expression" dxfId="109" priority="2">
      <formula>$D$48="简单平均"</formula>
    </cfRule>
  </conditionalFormatting>
  <conditionalFormatting sqref="F7:F46 H7:H46 J7:J46">
    <cfRule type="cellIs" dxfId="108"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C24" sqref="C24:C524"/>
    </sheetView>
  </sheetViews>
  <sheetFormatPr defaultColWidth="9" defaultRowHeight="14.25"/>
  <cols>
    <col min="1" max="1" width="10.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2087"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489" t="s">
        <v>771</v>
      </c>
      <c r="C1" s="490" t="s">
        <v>714</v>
      </c>
      <c r="D1" s="830"/>
      <c r="E1" s="492"/>
      <c r="F1" s="2510"/>
      <c r="G1" s="1519" t="s">
        <v>715</v>
      </c>
      <c r="H1" s="492"/>
      <c r="I1" s="492"/>
      <c r="J1" s="492"/>
      <c r="K1" s="493"/>
      <c r="L1" s="3195"/>
      <c r="M1" s="3196"/>
      <c r="N1" s="3196"/>
      <c r="O1" s="3196"/>
      <c r="P1" s="3259"/>
      <c r="Q1" s="2000"/>
      <c r="R1" s="2000"/>
      <c r="S1" s="2000"/>
      <c r="T1" s="2000"/>
      <c r="U1" s="2000"/>
      <c r="V1" s="2000"/>
      <c r="W1" s="2000"/>
      <c r="X1" s="2000"/>
      <c r="Y1" s="2000"/>
      <c r="Z1" s="2000"/>
      <c r="AA1" s="2000"/>
      <c r="AB1" s="2000"/>
      <c r="AC1" s="3197"/>
    </row>
    <row r="2" spans="1:29" s="1280" customFormat="1" ht="28.5" customHeight="1">
      <c r="A2" s="409" t="s">
        <v>461</v>
      </c>
      <c r="B2" s="831" t="e">
        <f>ROUND(B3*D3/10000,0)</f>
        <v>#DIV/0!</v>
      </c>
      <c r="C2" s="1995"/>
      <c r="D2" s="1995"/>
      <c r="E2" s="1930"/>
      <c r="F2" s="1997"/>
      <c r="G2" s="1996"/>
      <c r="H2" s="1996"/>
      <c r="I2" s="1996"/>
      <c r="J2" s="1996"/>
      <c r="K2" s="1996"/>
      <c r="L2" s="1999"/>
      <c r="M2" s="2000"/>
      <c r="N2" s="2000"/>
      <c r="O2" s="2000"/>
      <c r="P2" s="3259"/>
      <c r="Q2" s="2000"/>
      <c r="R2" s="2000"/>
      <c r="S2" s="2000"/>
      <c r="T2" s="2000"/>
      <c r="U2" s="2000"/>
      <c r="V2" s="2000"/>
      <c r="W2" s="2000"/>
      <c r="X2" s="2000"/>
      <c r="Y2" s="2000"/>
      <c r="Z2" s="2000"/>
      <c r="AA2" s="2000"/>
      <c r="AB2" s="2000"/>
      <c r="AC2" s="3197"/>
    </row>
    <row r="3" spans="1:29" s="1280" customFormat="1" ht="28.5" customHeight="1" thickBot="1">
      <c r="A3" s="495" t="s">
        <v>513</v>
      </c>
      <c r="B3" s="496" t="e">
        <f>C50</f>
        <v>#DIV/0!</v>
      </c>
      <c r="C3" s="833" t="s">
        <v>716</v>
      </c>
      <c r="D3" s="832">
        <f>SUMIF('数据-汇总表'!$C19:$C33,D1,'数据-汇总表'!$E19:$E33)</f>
        <v>0</v>
      </c>
      <c r="E3" s="1930"/>
      <c r="F3" s="1997"/>
      <c r="G3" s="1996"/>
      <c r="H3" s="1996"/>
      <c r="I3" s="1996"/>
      <c r="J3" s="1996"/>
      <c r="K3" s="1998"/>
      <c r="L3" s="1999"/>
      <c r="M3" s="2000"/>
      <c r="N3" s="2000"/>
      <c r="O3" s="2000"/>
      <c r="P3" s="3259"/>
      <c r="Q3" s="2000"/>
      <c r="R3" s="2000"/>
      <c r="S3" s="2000"/>
      <c r="T3" s="2000"/>
      <c r="U3" s="2000"/>
      <c r="V3" s="2000"/>
      <c r="W3" s="2000"/>
      <c r="X3" s="2000"/>
      <c r="Y3" s="2000"/>
      <c r="Z3" s="2000"/>
      <c r="AA3" s="2000"/>
      <c r="AB3" s="2000"/>
      <c r="AC3" s="3197"/>
    </row>
    <row r="4" spans="1:29" ht="15">
      <c r="A4" s="498" t="s">
        <v>515</v>
      </c>
      <c r="B4" s="499"/>
      <c r="C4" s="3856" t="s">
        <v>516</v>
      </c>
      <c r="D4" s="3857"/>
      <c r="E4" s="3883" t="s">
        <v>517</v>
      </c>
      <c r="F4" s="3884"/>
      <c r="G4" s="3856" t="s">
        <v>518</v>
      </c>
      <c r="H4" s="3857"/>
      <c r="I4" s="3856" t="s">
        <v>519</v>
      </c>
      <c r="J4" s="3857"/>
      <c r="K4" s="500" t="s">
        <v>520</v>
      </c>
      <c r="L4" s="2001"/>
      <c r="M4" s="2002"/>
      <c r="N4" s="2002"/>
      <c r="O4" s="2002"/>
      <c r="P4" s="3962" t="s">
        <v>521</v>
      </c>
      <c r="Q4" s="3859"/>
      <c r="R4" s="3844" t="s">
        <v>517</v>
      </c>
      <c r="S4" s="3845"/>
      <c r="T4" s="3844" t="s">
        <v>518</v>
      </c>
      <c r="U4" s="3845"/>
      <c r="V4" s="3864" t="s">
        <v>519</v>
      </c>
      <c r="W4" s="3864"/>
      <c r="X4" s="1489"/>
      <c r="Y4" s="3844" t="s">
        <v>521</v>
      </c>
      <c r="Z4" s="3845"/>
      <c r="AA4" s="3839" t="s">
        <v>517</v>
      </c>
      <c r="AB4" s="3839" t="s">
        <v>518</v>
      </c>
      <c r="AC4" s="3839" t="s">
        <v>519</v>
      </c>
    </row>
    <row r="5" spans="1:29" ht="15">
      <c r="A5" s="501"/>
      <c r="B5" s="502"/>
      <c r="C5" s="3867" t="s">
        <v>2887</v>
      </c>
      <c r="D5" s="3868"/>
      <c r="E5" s="3885" t="s">
        <v>2888</v>
      </c>
      <c r="F5" s="3886"/>
      <c r="G5" s="3867" t="s">
        <v>2889</v>
      </c>
      <c r="H5" s="3868"/>
      <c r="I5" s="3867" t="s">
        <v>2890</v>
      </c>
      <c r="J5" s="3868"/>
      <c r="K5" s="500"/>
      <c r="L5" s="2001"/>
      <c r="M5" s="2002"/>
      <c r="N5" s="2002"/>
      <c r="O5" s="2002"/>
      <c r="P5" s="3963"/>
      <c r="Q5" s="3861"/>
      <c r="R5" s="3846"/>
      <c r="S5" s="3847"/>
      <c r="T5" s="3846"/>
      <c r="U5" s="3847"/>
      <c r="V5" s="3864"/>
      <c r="W5" s="3864"/>
      <c r="X5" s="1489"/>
      <c r="Y5" s="3846"/>
      <c r="Z5" s="3847"/>
      <c r="AA5" s="3840"/>
      <c r="AB5" s="3840"/>
      <c r="AC5" s="3840"/>
    </row>
    <row r="6" spans="1:29" ht="15.75" thickBot="1">
      <c r="A6" s="503"/>
      <c r="B6" s="504"/>
      <c r="C6" s="3865" t="s">
        <v>2891</v>
      </c>
      <c r="D6" s="3866"/>
      <c r="E6" s="3887" t="s">
        <v>2891</v>
      </c>
      <c r="F6" s="3888"/>
      <c r="G6" s="3865" t="s">
        <v>2891</v>
      </c>
      <c r="H6" s="3866"/>
      <c r="I6" s="3865" t="s">
        <v>2891</v>
      </c>
      <c r="J6" s="3866"/>
      <c r="K6" s="500" t="s">
        <v>522</v>
      </c>
      <c r="L6" s="2001"/>
      <c r="M6" s="2002"/>
      <c r="N6" s="2002"/>
      <c r="O6" s="2002"/>
      <c r="P6" s="3964"/>
      <c r="Q6" s="3863"/>
      <c r="R6" s="3846"/>
      <c r="S6" s="3847"/>
      <c r="T6" s="3848"/>
      <c r="U6" s="3849"/>
      <c r="V6" s="3864"/>
      <c r="W6" s="3864"/>
      <c r="X6" s="1489"/>
      <c r="Y6" s="3848"/>
      <c r="Z6" s="3849"/>
      <c r="AA6" s="3841"/>
      <c r="AB6" s="3841"/>
      <c r="AC6" s="3841"/>
    </row>
    <row r="7" spans="1:29" s="1194" customFormat="1" ht="15.75" thickBot="1">
      <c r="A7" s="2615"/>
      <c r="B7" s="2622" t="s">
        <v>523</v>
      </c>
      <c r="C7" s="505">
        <f>'数据-取费表'!B2</f>
        <v>44191</v>
      </c>
      <c r="D7" s="506">
        <v>100</v>
      </c>
      <c r="E7" s="507"/>
      <c r="F7" s="508">
        <f>SUMIF(59:59,YEAR(E7)&amp;"-"&amp;MONTH(E7),60:60)</f>
        <v>0</v>
      </c>
      <c r="G7" s="507"/>
      <c r="H7" s="506">
        <f>SUMIF(59:59,YEAR(G7)&amp;"-"&amp;MONTH(G7),60:60)</f>
        <v>0</v>
      </c>
      <c r="I7" s="507"/>
      <c r="J7" s="506">
        <f>SUMIF(59:59,YEAR(I7)&amp;"-"&amp;MONTH(I7),60:60)</f>
        <v>0</v>
      </c>
      <c r="K7" s="510"/>
      <c r="L7" s="2003"/>
      <c r="M7" s="2004"/>
      <c r="N7" s="2004"/>
      <c r="O7" s="2004"/>
      <c r="P7" s="3851" t="s">
        <v>524</v>
      </c>
      <c r="Q7" s="3851"/>
      <c r="R7" s="1490" t="s">
        <v>8</v>
      </c>
      <c r="S7" s="1491">
        <f t="shared" ref="S7:S15" si="0">F7</f>
        <v>0</v>
      </c>
      <c r="T7" s="1490" t="s">
        <v>8</v>
      </c>
      <c r="U7" s="1491">
        <f t="shared" ref="U7:U15" si="1">H7</f>
        <v>0</v>
      </c>
      <c r="V7" s="1490" t="s">
        <v>8</v>
      </c>
      <c r="W7" s="1491">
        <f t="shared" ref="W7:W15" si="2">J7</f>
        <v>0</v>
      </c>
      <c r="X7" s="1492"/>
      <c r="Y7" s="3842" t="s">
        <v>524</v>
      </c>
      <c r="Z7" s="3843"/>
      <c r="AA7" s="1493" t="e">
        <f>D7/F7</f>
        <v>#DIV/0!</v>
      </c>
      <c r="AB7" s="1493" t="e">
        <f>D7/H7</f>
        <v>#DIV/0!</v>
      </c>
      <c r="AC7" s="1493" t="e">
        <f>D7/J7</f>
        <v>#DIV/0!</v>
      </c>
    </row>
    <row r="8" spans="1:29" s="1194" customFormat="1" ht="15.75" thickBot="1">
      <c r="A8" s="2616"/>
      <c r="B8" s="2623" t="s">
        <v>525</v>
      </c>
      <c r="C8" s="511" t="s">
        <v>570</v>
      </c>
      <c r="D8" s="506">
        <v>100</v>
      </c>
      <c r="E8" s="511"/>
      <c r="F8" s="508">
        <f>SUMIF(62:62,E8,63:63)-SUMIF(62:62,C8,63:63)+100</f>
        <v>0</v>
      </c>
      <c r="G8" s="511"/>
      <c r="H8" s="506">
        <f>SUMIF(62:62,G8,63:63)-SUMIF(62:62,C8,63:63)+100</f>
        <v>0</v>
      </c>
      <c r="I8" s="511"/>
      <c r="J8" s="506">
        <f>SUMIF(62:62,I8,63:63)-SUMIF(62:62,C8,63:63)+100</f>
        <v>0</v>
      </c>
      <c r="K8" s="510"/>
      <c r="L8" s="2003"/>
      <c r="M8" s="2004"/>
      <c r="N8" s="2004"/>
      <c r="O8" s="2004"/>
      <c r="P8" s="3851" t="s">
        <v>527</v>
      </c>
      <c r="Q8" s="3843"/>
      <c r="R8" s="1490" t="s">
        <v>8</v>
      </c>
      <c r="S8" s="1491">
        <f t="shared" si="0"/>
        <v>0</v>
      </c>
      <c r="T8" s="1490" t="s">
        <v>8</v>
      </c>
      <c r="U8" s="1491">
        <f t="shared" si="1"/>
        <v>0</v>
      </c>
      <c r="V8" s="1490" t="s">
        <v>8</v>
      </c>
      <c r="W8" s="1491">
        <f t="shared" si="2"/>
        <v>0</v>
      </c>
      <c r="X8" s="1492"/>
      <c r="Y8" s="3842" t="s">
        <v>527</v>
      </c>
      <c r="Z8" s="3843"/>
      <c r="AA8" s="1493" t="e">
        <f t="shared" ref="AA8:AA47" si="3">D8/F8</f>
        <v>#DIV/0!</v>
      </c>
      <c r="AB8" s="1493" t="e">
        <f t="shared" ref="AB8:AB47" si="4">D8/H8</f>
        <v>#DIV/0!</v>
      </c>
      <c r="AC8" s="1493" t="e">
        <f t="shared" ref="AC8:AC47" si="5">D8/J8</f>
        <v>#DIV/0!</v>
      </c>
    </row>
    <row r="9" spans="1:29" s="1194" customFormat="1" ht="15">
      <c r="A9" s="2617"/>
      <c r="B9" s="2624" t="s">
        <v>2730</v>
      </c>
      <c r="C9" s="838"/>
      <c r="D9" s="244">
        <v>100</v>
      </c>
      <c r="E9" s="841"/>
      <c r="F9" s="244">
        <f>SUMIF(64:64,E9,65:65)-SUMIF(64:64,C9,65:65)+100</f>
        <v>100</v>
      </c>
      <c r="G9" s="839"/>
      <c r="H9" s="244">
        <f>SUMIF(64:64,G9,65:65)-SUMIF(64:64,C9,65:65)+100</f>
        <v>100</v>
      </c>
      <c r="I9" s="839"/>
      <c r="J9" s="244">
        <f>SUMIF(64:64,I9,65:65)-SUMIF(64:64,C9,65:65)+100</f>
        <v>100</v>
      </c>
      <c r="K9" s="510"/>
      <c r="L9" s="2003"/>
      <c r="M9" s="2004"/>
      <c r="N9" s="2004"/>
      <c r="O9" s="2004"/>
      <c r="P9" s="3850" t="s">
        <v>529</v>
      </c>
      <c r="Q9" s="1125" t="str">
        <f t="shared" ref="Q9:Q15" si="6">B9</f>
        <v>用途</v>
      </c>
      <c r="R9" s="1490" t="s">
        <v>8</v>
      </c>
      <c r="S9" s="1491">
        <f t="shared" si="0"/>
        <v>100</v>
      </c>
      <c r="T9" s="1490" t="s">
        <v>8</v>
      </c>
      <c r="U9" s="1491">
        <f t="shared" si="1"/>
        <v>100</v>
      </c>
      <c r="V9" s="1490" t="s">
        <v>8</v>
      </c>
      <c r="W9" s="1491">
        <f t="shared" si="2"/>
        <v>100</v>
      </c>
      <c r="X9" s="1492"/>
      <c r="Y9" s="3801" t="s">
        <v>530</v>
      </c>
      <c r="Z9" s="1124" t="str">
        <f t="shared" ref="Z9:Z15" si="7">Q9</f>
        <v>用途</v>
      </c>
      <c r="AA9" s="1493">
        <f t="shared" si="3"/>
        <v>1</v>
      </c>
      <c r="AB9" s="1493">
        <f t="shared" si="4"/>
        <v>1</v>
      </c>
      <c r="AC9" s="1493">
        <f t="shared" si="5"/>
        <v>1</v>
      </c>
    </row>
    <row r="10" spans="1:29" s="1282" customFormat="1" ht="27">
      <c r="A10" s="2618"/>
      <c r="B10" s="2623" t="s">
        <v>2731</v>
      </c>
      <c r="C10" s="842"/>
      <c r="D10" s="245">
        <v>100</v>
      </c>
      <c r="E10" s="842"/>
      <c r="F10" s="245">
        <f>SUMIF(66:66,E10,67:67)-SUMIF(66:66,C10,67:67)+100</f>
        <v>100</v>
      </c>
      <c r="G10" s="843"/>
      <c r="H10" s="245">
        <f>SUMIF(66:66,G10,67:67)-SUMIF(66:66,C10,67:67)+100</f>
        <v>100</v>
      </c>
      <c r="I10" s="842"/>
      <c r="J10" s="245">
        <f>SUMIF(66:66,I10,67:67)-SUMIF(66:66,C10,67:67)+100</f>
        <v>100</v>
      </c>
      <c r="K10" s="570"/>
      <c r="L10" s="2006"/>
      <c r="M10" s="2045"/>
      <c r="N10" s="2045"/>
      <c r="O10" s="2045"/>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19"/>
      <c r="B11" s="2623" t="s">
        <v>2732</v>
      </c>
      <c r="C11" s="519"/>
      <c r="D11" s="245">
        <v>100</v>
      </c>
      <c r="E11" s="519"/>
      <c r="F11" s="245" t="e">
        <f>LOOKUP(E11,69:69,70:70)-LOOKUP(C11,69:69,70:70)+100</f>
        <v>#N/A</v>
      </c>
      <c r="G11" s="520"/>
      <c r="H11" s="245" t="e">
        <f>LOOKUP(G11,69:69,70:70)-LOOKUP(C11,69:69,70:70)+100</f>
        <v>#N/A</v>
      </c>
      <c r="I11" s="519"/>
      <c r="J11" s="245" t="e">
        <f>LOOKUP(I11,69:69,70:70)-LOOKUP(C11,69:69,70:70)+100</f>
        <v>#N/A</v>
      </c>
      <c r="K11" s="570"/>
      <c r="L11" s="2008"/>
      <c r="M11" s="2002"/>
      <c r="N11" s="2002"/>
      <c r="O11" s="2002"/>
      <c r="P11" s="3850"/>
      <c r="Q11" s="1125" t="str">
        <f t="shared" si="6"/>
        <v>容积率</v>
      </c>
      <c r="R11" s="1490" t="s">
        <v>8</v>
      </c>
      <c r="S11" s="1491" t="e">
        <f t="shared" si="0"/>
        <v>#N/A</v>
      </c>
      <c r="T11" s="1490" t="s">
        <v>8</v>
      </c>
      <c r="U11" s="1491" t="e">
        <f t="shared" si="1"/>
        <v>#N/A</v>
      </c>
      <c r="V11" s="1490" t="s">
        <v>8</v>
      </c>
      <c r="W11" s="1491" t="e">
        <f t="shared" si="2"/>
        <v>#N/A</v>
      </c>
      <c r="X11" s="1492"/>
      <c r="Y11" s="3801"/>
      <c r="Z11" s="1124" t="str">
        <f t="shared" si="7"/>
        <v>容积率</v>
      </c>
      <c r="AA11" s="1493" t="e">
        <f t="shared" si="3"/>
        <v>#N/A</v>
      </c>
      <c r="AB11" s="1493" t="e">
        <f t="shared" si="4"/>
        <v>#N/A</v>
      </c>
      <c r="AC11" s="1493" t="e">
        <f t="shared" si="5"/>
        <v>#N/A</v>
      </c>
    </row>
    <row r="12" spans="1:29" s="1194" customFormat="1" ht="15">
      <c r="A12" s="2620"/>
      <c r="B12" s="2626">
        <v>111</v>
      </c>
      <c r="C12" s="514"/>
      <c r="D12" s="524">
        <v>100</v>
      </c>
      <c r="E12" s="514"/>
      <c r="F12" s="245">
        <f>SUMIF(71:71,E12,72:72)-SUMIF(71:71,C12,72:72)+100</f>
        <v>100</v>
      </c>
      <c r="G12" s="891"/>
      <c r="H12" s="245">
        <f>SUMIF(71:71,G12,72:72)-SUMIF(71:71,C12,72:72)+100</f>
        <v>100</v>
      </c>
      <c r="I12" s="514"/>
      <c r="J12" s="245">
        <f>SUMIF(71:71,I12,72:72)-SUMIF(71:71,C12,72:72)+100</f>
        <v>100</v>
      </c>
      <c r="K12" s="567"/>
      <c r="L12" s="2003"/>
      <c r="M12" s="2004"/>
      <c r="N12" s="2004"/>
      <c r="O12" s="2004"/>
      <c r="P12" s="3850"/>
      <c r="Q12" s="1125">
        <f t="shared" si="6"/>
        <v>111</v>
      </c>
      <c r="R12" s="1490" t="s">
        <v>8</v>
      </c>
      <c r="S12" s="1491">
        <f t="shared" si="0"/>
        <v>100</v>
      </c>
      <c r="T12" s="1490" t="s">
        <v>8</v>
      </c>
      <c r="U12" s="1491">
        <f t="shared" si="1"/>
        <v>100</v>
      </c>
      <c r="V12" s="1490" t="s">
        <v>8</v>
      </c>
      <c r="W12" s="1491">
        <f t="shared" si="2"/>
        <v>100</v>
      </c>
      <c r="X12" s="1492"/>
      <c r="Y12" s="3801"/>
      <c r="Z12" s="1124">
        <f t="shared" si="7"/>
        <v>111</v>
      </c>
      <c r="AA12" s="1493">
        <f>D12/F12</f>
        <v>1</v>
      </c>
      <c r="AB12" s="1493">
        <f>D12/H12</f>
        <v>1</v>
      </c>
      <c r="AC12" s="1493">
        <f>D12/J12</f>
        <v>1</v>
      </c>
    </row>
    <row r="13" spans="1:29" ht="15">
      <c r="A13" s="2620"/>
      <c r="B13" s="2626">
        <v>111</v>
      </c>
      <c r="C13" s="525"/>
      <c r="D13" s="526">
        <v>100</v>
      </c>
      <c r="E13" s="514"/>
      <c r="F13" s="245">
        <f>SUMIF(73:73,E13,74:74)-SUMIF(73:73,C13,74:74)+100</f>
        <v>100</v>
      </c>
      <c r="G13" s="891"/>
      <c r="H13" s="526">
        <f>SUMIF(73:73,G13,74:74)-SUMIF(73:73,C13,74:74)+100</f>
        <v>100</v>
      </c>
      <c r="I13" s="514"/>
      <c r="J13" s="526">
        <f>SUMIF(73:73,I13,74:74)-SUMIF(73:73,C13,74:74)+100</f>
        <v>100</v>
      </c>
      <c r="K13" s="567"/>
      <c r="L13" s="2010"/>
      <c r="M13" s="2002"/>
      <c r="N13" s="2002"/>
      <c r="O13" s="2002"/>
      <c r="P13" s="3850"/>
      <c r="Q13" s="1125">
        <f t="shared" si="6"/>
        <v>111</v>
      </c>
      <c r="R13" s="1490" t="s">
        <v>8</v>
      </c>
      <c r="S13" s="1491">
        <f t="shared" si="0"/>
        <v>100</v>
      </c>
      <c r="T13" s="1490" t="s">
        <v>8</v>
      </c>
      <c r="U13" s="1491">
        <f t="shared" si="1"/>
        <v>100</v>
      </c>
      <c r="V13" s="1490" t="s">
        <v>8</v>
      </c>
      <c r="W13" s="1491">
        <f t="shared" si="2"/>
        <v>100</v>
      </c>
      <c r="X13" s="1492"/>
      <c r="Y13" s="3801"/>
      <c r="Z13" s="1124">
        <f t="shared" si="7"/>
        <v>111</v>
      </c>
      <c r="AA13" s="1493">
        <f t="shared" si="3"/>
        <v>1</v>
      </c>
      <c r="AB13" s="1493">
        <f t="shared" si="4"/>
        <v>1</v>
      </c>
      <c r="AC13" s="1493">
        <f t="shared" si="5"/>
        <v>1</v>
      </c>
    </row>
    <row r="14" spans="1:29" ht="15.75" thickBot="1">
      <c r="A14" s="2621"/>
      <c r="B14" s="2627">
        <v>111</v>
      </c>
      <c r="C14" s="531"/>
      <c r="D14" s="532">
        <v>100</v>
      </c>
      <c r="E14" s="892"/>
      <c r="F14" s="532">
        <f>SUMIF(75:75,E14,76:76)-SUMIF(75:75,C14,76:76)+100</f>
        <v>100</v>
      </c>
      <c r="G14" s="891"/>
      <c r="H14" s="532">
        <f>SUMIF(75:75,G14,76:76)-SUMIF(75:75,C14,76:76)+100</f>
        <v>100</v>
      </c>
      <c r="I14" s="514"/>
      <c r="J14" s="532">
        <f>SUMIF(75:75,I14,76:76)-SUMIF(75:75,C14,76:76)+100</f>
        <v>100</v>
      </c>
      <c r="K14" s="567"/>
      <c r="L14" s="2010"/>
      <c r="M14" s="2002"/>
      <c r="N14" s="2002"/>
      <c r="O14" s="2002"/>
      <c r="P14" s="3850"/>
      <c r="Q14" s="1125">
        <f t="shared" si="6"/>
        <v>111</v>
      </c>
      <c r="R14" s="1490" t="s">
        <v>8</v>
      </c>
      <c r="S14" s="1491">
        <f t="shared" si="0"/>
        <v>100</v>
      </c>
      <c r="T14" s="1490" t="s">
        <v>8</v>
      </c>
      <c r="U14" s="1491">
        <f t="shared" si="1"/>
        <v>100</v>
      </c>
      <c r="V14" s="1490" t="s">
        <v>8</v>
      </c>
      <c r="W14" s="1491">
        <f t="shared" si="2"/>
        <v>100</v>
      </c>
      <c r="X14" s="1492"/>
      <c r="Y14" s="3801"/>
      <c r="Z14" s="1124">
        <f t="shared" si="7"/>
        <v>111</v>
      </c>
      <c r="AA14" s="1493">
        <f t="shared" si="3"/>
        <v>1</v>
      </c>
      <c r="AB14" s="1493">
        <f t="shared" si="4"/>
        <v>1</v>
      </c>
      <c r="AC14" s="1493">
        <f t="shared" si="5"/>
        <v>1</v>
      </c>
    </row>
    <row r="15" spans="1:29" ht="71.25">
      <c r="A15" s="2613" t="s">
        <v>2728</v>
      </c>
      <c r="B15" s="533" t="s">
        <v>536</v>
      </c>
      <c r="C15" s="534" t="str">
        <f>估价对象房地状况!C5</f>
        <v>估价对象位于XX商圈，周边办公楼项目较多，入驻率高，办公集聚程度较好</v>
      </c>
      <c r="D15" s="535">
        <v>100</v>
      </c>
      <c r="E15" s="538"/>
      <c r="F15" s="535">
        <f>SUMIF(77:77,E16,78:78)-SUMIF(77:77,C16,78:78)+100</f>
        <v>100</v>
      </c>
      <c r="G15" s="536"/>
      <c r="H15" s="535">
        <f>SUMIF(77:77,G16,78:78)-SUMIF(77:77,C16,78:78)+100</f>
        <v>100</v>
      </c>
      <c r="I15" s="536"/>
      <c r="J15" s="535">
        <f>SUMIF(77:77,I16,78:78)-SUMIF(77:77,C16,78:78)+100</f>
        <v>100</v>
      </c>
      <c r="K15" s="879"/>
      <c r="L15" s="2010"/>
      <c r="M15" s="2002"/>
      <c r="N15" s="2002"/>
      <c r="O15" s="2002"/>
      <c r="P15" s="3852" t="s">
        <v>534</v>
      </c>
      <c r="Q15" s="1494" t="str">
        <f t="shared" si="6"/>
        <v>办公集聚程度</v>
      </c>
      <c r="R15" s="1495" t="s">
        <v>8</v>
      </c>
      <c r="S15" s="1496">
        <f t="shared" si="0"/>
        <v>100</v>
      </c>
      <c r="T15" s="1495" t="s">
        <v>8</v>
      </c>
      <c r="U15" s="1496">
        <f t="shared" si="1"/>
        <v>100</v>
      </c>
      <c r="V15" s="1495" t="s">
        <v>8</v>
      </c>
      <c r="W15" s="1496">
        <f t="shared" si="2"/>
        <v>100</v>
      </c>
      <c r="X15" s="1489"/>
      <c r="Y15" s="3852" t="s">
        <v>534</v>
      </c>
      <c r="Z15" s="1497" t="str">
        <f t="shared" si="7"/>
        <v>办公集聚程度</v>
      </c>
      <c r="AA15" s="1498">
        <f t="shared" si="3"/>
        <v>1</v>
      </c>
      <c r="AB15" s="1498">
        <f t="shared" si="4"/>
        <v>1</v>
      </c>
      <c r="AC15" s="1498">
        <f t="shared" si="5"/>
        <v>1</v>
      </c>
    </row>
    <row r="16" spans="1:29" ht="15">
      <c r="A16" s="518"/>
      <c r="B16" s="539"/>
      <c r="C16" s="540"/>
      <c r="D16" s="541"/>
      <c r="E16" s="562"/>
      <c r="F16" s="541"/>
      <c r="G16" s="540"/>
      <c r="H16" s="545"/>
      <c r="I16" s="562"/>
      <c r="J16" s="541"/>
      <c r="K16" s="880"/>
      <c r="L16" s="2010"/>
      <c r="M16" s="2002"/>
      <c r="N16" s="2002"/>
      <c r="O16" s="2002"/>
      <c r="P16" s="3853"/>
      <c r="Q16" s="1494"/>
      <c r="R16" s="1495"/>
      <c r="S16" s="1496"/>
      <c r="T16" s="1495"/>
      <c r="U16" s="1496"/>
      <c r="V16" s="1495"/>
      <c r="W16" s="1496"/>
      <c r="X16" s="1489"/>
      <c r="Y16" s="3853"/>
      <c r="Z16" s="1497"/>
      <c r="AA16" s="1498">
        <v>1</v>
      </c>
      <c r="AB16" s="1498">
        <v>1</v>
      </c>
      <c r="AC16" s="1498">
        <v>1</v>
      </c>
    </row>
    <row r="17" spans="1:29" ht="85.5">
      <c r="A17" s="518"/>
      <c r="B17" s="546" t="s">
        <v>296</v>
      </c>
      <c r="C17" s="559" t="str">
        <f>估价对象房地状况!C6</f>
        <v>估价对象周边道路状况、公共交通通达情况、停车便捷程度，综合评价交通便捷度较好</v>
      </c>
      <c r="D17" s="545">
        <v>100</v>
      </c>
      <c r="E17" s="550"/>
      <c r="F17" s="545">
        <f>SUMIF(79:79,E18,80:80)-SUMIF(79:79,C18,80:80)+100</f>
        <v>100</v>
      </c>
      <c r="G17" s="548"/>
      <c r="H17" s="551">
        <f>SUMIF(79:79,G18,80:80)-SUMIF(79:79,C18,80:80)+100</f>
        <v>100</v>
      </c>
      <c r="I17" s="548"/>
      <c r="J17" s="551">
        <f>SUMIF(79:79,I18,80:80)-SUMIF(79:79,C18,80:80)+100</f>
        <v>100</v>
      </c>
      <c r="K17" s="879"/>
      <c r="L17" s="2010"/>
      <c r="M17" s="2002"/>
      <c r="N17" s="2002"/>
      <c r="O17" s="2002"/>
      <c r="P17" s="3853"/>
      <c r="Q17" s="1494" t="str">
        <f>B17</f>
        <v>交通便捷度</v>
      </c>
      <c r="R17" s="1495" t="s">
        <v>8</v>
      </c>
      <c r="S17" s="1496">
        <f>F17</f>
        <v>100</v>
      </c>
      <c r="T17" s="1495" t="s">
        <v>8</v>
      </c>
      <c r="U17" s="1496">
        <f>H17</f>
        <v>100</v>
      </c>
      <c r="V17" s="1495" t="s">
        <v>8</v>
      </c>
      <c r="W17" s="1496">
        <f>J17</f>
        <v>100</v>
      </c>
      <c r="X17" s="1489"/>
      <c r="Y17" s="3853"/>
      <c r="Z17" s="1497" t="str">
        <f>Q17</f>
        <v>交通便捷度</v>
      </c>
      <c r="AA17" s="1498">
        <f t="shared" si="3"/>
        <v>1</v>
      </c>
      <c r="AB17" s="1498">
        <f t="shared" si="4"/>
        <v>1</v>
      </c>
      <c r="AC17" s="1498">
        <f t="shared" si="5"/>
        <v>1</v>
      </c>
    </row>
    <row r="18" spans="1:29" ht="15">
      <c r="A18" s="518"/>
      <c r="B18" s="552"/>
      <c r="C18" s="553"/>
      <c r="D18" s="545"/>
      <c r="E18" s="555"/>
      <c r="F18" s="545"/>
      <c r="G18" s="554"/>
      <c r="H18" s="541"/>
      <c r="I18" s="554"/>
      <c r="J18" s="541"/>
      <c r="K18" s="880"/>
      <c r="L18" s="2010"/>
      <c r="M18" s="2002"/>
      <c r="N18" s="2002"/>
      <c r="O18" s="2002"/>
      <c r="P18" s="3853"/>
      <c r="Q18" s="1494"/>
      <c r="R18" s="1495"/>
      <c r="S18" s="1496"/>
      <c r="T18" s="1495"/>
      <c r="U18" s="1496"/>
      <c r="V18" s="1495"/>
      <c r="W18" s="1496"/>
      <c r="X18" s="1489"/>
      <c r="Y18" s="3853"/>
      <c r="Z18" s="1497"/>
      <c r="AA18" s="1498">
        <v>1</v>
      </c>
      <c r="AB18" s="1498">
        <v>1</v>
      </c>
      <c r="AC18" s="1498">
        <v>1</v>
      </c>
    </row>
    <row r="19" spans="1:29" ht="42.75">
      <c r="A19" s="518"/>
      <c r="B19" s="2433" t="s">
        <v>2522</v>
      </c>
      <c r="C19" s="559" t="str">
        <f>估价对象房地状况!C7</f>
        <v>估价对象所在区域公共配套设施齐备情况</v>
      </c>
      <c r="D19" s="551">
        <v>100</v>
      </c>
      <c r="E19" s="558"/>
      <c r="F19" s="551">
        <f>SUMIF(81:81,E20,82:82)-SUMIF(81:81,C20,82:82)+100</f>
        <v>100</v>
      </c>
      <c r="G19" s="556"/>
      <c r="H19" s="545">
        <f>SUMIF(81:81,G20,82:82)-SUMIF(81:81,C20,82:82)+100</f>
        <v>100</v>
      </c>
      <c r="I19" s="556"/>
      <c r="J19" s="545">
        <f>SUMIF(81:81,I20,82:82)-SUMIF(81:81,C20,82:82)+100</f>
        <v>100</v>
      </c>
      <c r="K19" s="879"/>
      <c r="L19" s="2010"/>
      <c r="M19" s="2002"/>
      <c r="N19" s="2002"/>
      <c r="O19" s="2002"/>
      <c r="P19" s="3853"/>
      <c r="Q19" s="1494" t="str">
        <f>B19</f>
        <v>公共配套设施</v>
      </c>
      <c r="R19" s="1495" t="s">
        <v>8</v>
      </c>
      <c r="S19" s="1496">
        <f>F19</f>
        <v>100</v>
      </c>
      <c r="T19" s="1495" t="s">
        <v>8</v>
      </c>
      <c r="U19" s="1496">
        <f>H19</f>
        <v>100</v>
      </c>
      <c r="V19" s="1495" t="s">
        <v>8</v>
      </c>
      <c r="W19" s="1496">
        <f>J19</f>
        <v>100</v>
      </c>
      <c r="X19" s="1489"/>
      <c r="Y19" s="3853"/>
      <c r="Z19" s="1497" t="str">
        <f>Q19</f>
        <v>公共配套设施</v>
      </c>
      <c r="AA19" s="1498">
        <f t="shared" si="3"/>
        <v>1</v>
      </c>
      <c r="AB19" s="1498">
        <f t="shared" si="4"/>
        <v>1</v>
      </c>
      <c r="AC19" s="1498">
        <f t="shared" si="5"/>
        <v>1</v>
      </c>
    </row>
    <row r="20" spans="1:29" ht="15">
      <c r="A20" s="518"/>
      <c r="B20" s="552"/>
      <c r="C20" s="540"/>
      <c r="D20" s="541"/>
      <c r="E20" s="544"/>
      <c r="F20" s="541"/>
      <c r="G20" s="542"/>
      <c r="H20" s="541"/>
      <c r="I20" s="542"/>
      <c r="J20" s="541"/>
      <c r="K20" s="880"/>
      <c r="L20" s="2010"/>
      <c r="M20" s="2002"/>
      <c r="N20" s="2002"/>
      <c r="O20" s="2002"/>
      <c r="P20" s="3853"/>
      <c r="Q20" s="1494"/>
      <c r="R20" s="1495"/>
      <c r="S20" s="1496"/>
      <c r="T20" s="1495"/>
      <c r="U20" s="1496"/>
      <c r="V20" s="1495"/>
      <c r="W20" s="1496"/>
      <c r="X20" s="1489"/>
      <c r="Y20" s="3853"/>
      <c r="Z20" s="1497"/>
      <c r="AA20" s="1498">
        <v>1</v>
      </c>
      <c r="AB20" s="1498">
        <v>1</v>
      </c>
      <c r="AC20" s="1498">
        <v>1</v>
      </c>
    </row>
    <row r="21" spans="1:29" ht="28.5">
      <c r="A21" s="518"/>
      <c r="B21" s="2421" t="s">
        <v>2534</v>
      </c>
      <c r="C21" s="559" t="str">
        <f>估价对象房地状况!C8</f>
        <v>估价对象所在区域基础设施水平</v>
      </c>
      <c r="D21" s="551">
        <v>100</v>
      </c>
      <c r="E21" s="558"/>
      <c r="F21" s="551">
        <f>SUMIF(83:83,E22,84:84)-SUMIF(83:83,C22,84:84)+100</f>
        <v>100</v>
      </c>
      <c r="G21" s="556"/>
      <c r="H21" s="551">
        <f>SUMIF(83:83,G22,84:84)-SUMIF(83:83,C22,84:84)+100</f>
        <v>100</v>
      </c>
      <c r="I21" s="556"/>
      <c r="J21" s="551">
        <f>SUMIF(83:83,I22,84:84)-SUMIF(83:83,C22,84:84)+100</f>
        <v>100</v>
      </c>
      <c r="K21" s="879"/>
      <c r="L21" s="2010"/>
      <c r="M21" s="2002"/>
      <c r="N21" s="2002"/>
      <c r="O21" s="2002"/>
      <c r="P21" s="3853"/>
      <c r="Q21" s="2415" t="str">
        <f>B21</f>
        <v>基础设施水平</v>
      </c>
      <c r="R21" s="1495" t="s">
        <v>8</v>
      </c>
      <c r="S21" s="1496">
        <f>F21</f>
        <v>100</v>
      </c>
      <c r="T21" s="1495" t="s">
        <v>8</v>
      </c>
      <c r="U21" s="1496">
        <f>H21</f>
        <v>100</v>
      </c>
      <c r="V21" s="1495" t="s">
        <v>8</v>
      </c>
      <c r="W21" s="1496">
        <f>J21</f>
        <v>100</v>
      </c>
      <c r="X21" s="2417"/>
      <c r="Y21" s="3853"/>
      <c r="Z21" s="2416" t="str">
        <f>Q21</f>
        <v>基础设施水平</v>
      </c>
      <c r="AA21" s="1498">
        <f t="shared" ref="AA21" si="8">D21/F21</f>
        <v>1</v>
      </c>
      <c r="AB21" s="1498">
        <f t="shared" ref="AB21" si="9">D21/H21</f>
        <v>1</v>
      </c>
      <c r="AC21" s="1498">
        <f t="shared" ref="AC21" si="10">D21/J21</f>
        <v>1</v>
      </c>
    </row>
    <row r="22" spans="1:29" ht="15">
      <c r="A22" s="518"/>
      <c r="B22" s="564"/>
      <c r="C22" s="553"/>
      <c r="D22" s="541"/>
      <c r="E22" s="562"/>
      <c r="F22" s="541"/>
      <c r="G22" s="540"/>
      <c r="H22" s="541"/>
      <c r="I22" s="540"/>
      <c r="J22" s="541"/>
      <c r="K22" s="2432"/>
      <c r="L22" s="2010"/>
      <c r="M22" s="2002"/>
      <c r="N22" s="2002"/>
      <c r="O22" s="2002"/>
      <c r="P22" s="3853"/>
      <c r="Q22" s="2415"/>
      <c r="R22" s="1495"/>
      <c r="S22" s="1496"/>
      <c r="T22" s="1495"/>
      <c r="U22" s="1496"/>
      <c r="V22" s="1495"/>
      <c r="W22" s="1496"/>
      <c r="X22" s="2417"/>
      <c r="Y22" s="3853"/>
      <c r="Z22" s="2416"/>
      <c r="AA22" s="1498">
        <v>1</v>
      </c>
      <c r="AB22" s="1498">
        <v>1</v>
      </c>
      <c r="AC22" s="1498">
        <v>1</v>
      </c>
    </row>
    <row r="23" spans="1:29" ht="57">
      <c r="A23" s="518"/>
      <c r="B23" s="546" t="s">
        <v>772</v>
      </c>
      <c r="C23" s="559" t="str">
        <f>估价对象房地状况!C9</f>
        <v>区域自然环境：；人文环境；综合评价环境状况一般</v>
      </c>
      <c r="D23" s="545">
        <v>100</v>
      </c>
      <c r="E23" s="550"/>
      <c r="F23" s="545">
        <f>SUMIF(85:85,E24,86:86)-SUMIF(85:85,C24,86:86)+100</f>
        <v>100</v>
      </c>
      <c r="G23" s="548"/>
      <c r="H23" s="545">
        <f>SUMIF(85:85,G24,86:86)-SUMIF(85:85,C24,86:86)+100</f>
        <v>100</v>
      </c>
      <c r="I23" s="548"/>
      <c r="J23" s="545">
        <f>SUMIF(85:85,I24,86:86)-SUMIF(85:85,C24,86:86)+100</f>
        <v>100</v>
      </c>
      <c r="K23" s="879"/>
      <c r="L23" s="2010"/>
      <c r="M23" s="2002"/>
      <c r="N23" s="2002"/>
      <c r="O23" s="2002"/>
      <c r="P23" s="3853"/>
      <c r="Q23" s="1494" t="str">
        <f>B23</f>
        <v>环境质量</v>
      </c>
      <c r="R23" s="1495" t="s">
        <v>8</v>
      </c>
      <c r="S23" s="1496">
        <f>F23</f>
        <v>100</v>
      </c>
      <c r="T23" s="1495" t="s">
        <v>8</v>
      </c>
      <c r="U23" s="1496">
        <f>H23</f>
        <v>100</v>
      </c>
      <c r="V23" s="1495" t="s">
        <v>8</v>
      </c>
      <c r="W23" s="1496">
        <f>J23</f>
        <v>100</v>
      </c>
      <c r="X23" s="1489"/>
      <c r="Y23" s="3853"/>
      <c r="Z23" s="1497" t="str">
        <f>Q23</f>
        <v>环境质量</v>
      </c>
      <c r="AA23" s="1498">
        <f t="shared" si="3"/>
        <v>1</v>
      </c>
      <c r="AB23" s="1498">
        <f t="shared" si="4"/>
        <v>1</v>
      </c>
      <c r="AC23" s="1498">
        <f t="shared" si="5"/>
        <v>1</v>
      </c>
    </row>
    <row r="24" spans="1:29" ht="15">
      <c r="A24" s="518"/>
      <c r="B24" s="564"/>
      <c r="C24" s="540"/>
      <c r="D24" s="541"/>
      <c r="E24" s="544"/>
      <c r="F24" s="541"/>
      <c r="G24" s="542"/>
      <c r="H24" s="541"/>
      <c r="I24" s="542"/>
      <c r="J24" s="541"/>
      <c r="K24" s="880"/>
      <c r="L24" s="2010"/>
      <c r="M24" s="2002"/>
      <c r="N24" s="2002"/>
      <c r="O24" s="2002"/>
      <c r="P24" s="3853"/>
      <c r="Q24" s="1494"/>
      <c r="R24" s="1495"/>
      <c r="S24" s="1496"/>
      <c r="T24" s="1495"/>
      <c r="U24" s="1496"/>
      <c r="V24" s="1495"/>
      <c r="W24" s="1496"/>
      <c r="X24" s="1489"/>
      <c r="Y24" s="3853"/>
      <c r="Z24" s="1497"/>
      <c r="AA24" s="1498">
        <v>1</v>
      </c>
      <c r="AB24" s="1498">
        <v>1</v>
      </c>
      <c r="AC24" s="1498">
        <v>1</v>
      </c>
    </row>
    <row r="25" spans="1:29" ht="27">
      <c r="A25" s="501"/>
      <c r="B25" s="546" t="s">
        <v>542</v>
      </c>
      <c r="C25" s="893"/>
      <c r="D25" s="526">
        <v>100</v>
      </c>
      <c r="E25" s="525"/>
      <c r="F25" s="526">
        <f>SUMIF(87:87,E26,88:88)-SUMIF(87:87,C26,88:88)+100</f>
        <v>100</v>
      </c>
      <c r="G25" s="893"/>
      <c r="H25" s="526">
        <f>SUMIF(87:87,G26,88:88)-SUMIF(87:87,C26,88:88)+100</f>
        <v>100</v>
      </c>
      <c r="I25" s="525"/>
      <c r="J25" s="526">
        <f>SUMIF(87:87,I26,88:88)-SUMIF(87:87,C26,88:88)+100</f>
        <v>100</v>
      </c>
      <c r="K25" s="879"/>
      <c r="L25" s="2010"/>
      <c r="M25" s="2002"/>
      <c r="N25" s="2002"/>
      <c r="O25" s="2002"/>
      <c r="P25" s="3853"/>
      <c r="Q25" s="1494" t="str">
        <f>B25</f>
        <v>毗邻道路的类型与等级</v>
      </c>
      <c r="R25" s="1495" t="s">
        <v>8</v>
      </c>
      <c r="S25" s="1496">
        <f>F25</f>
        <v>100</v>
      </c>
      <c r="T25" s="1495" t="s">
        <v>8</v>
      </c>
      <c r="U25" s="1496">
        <f>H25</f>
        <v>100</v>
      </c>
      <c r="V25" s="1495" t="s">
        <v>8</v>
      </c>
      <c r="W25" s="1496">
        <f>J25</f>
        <v>100</v>
      </c>
      <c r="X25" s="1489"/>
      <c r="Y25" s="3853"/>
      <c r="Z25" s="1497" t="str">
        <f>Q25</f>
        <v>毗邻道路的类型与等级</v>
      </c>
      <c r="AA25" s="1498">
        <f t="shared" si="3"/>
        <v>1</v>
      </c>
      <c r="AB25" s="1498">
        <f t="shared" si="4"/>
        <v>1</v>
      </c>
      <c r="AC25" s="1498">
        <f t="shared" si="5"/>
        <v>1</v>
      </c>
    </row>
    <row r="26" spans="1:29" ht="15">
      <c r="A26" s="501"/>
      <c r="B26" s="552"/>
      <c r="C26" s="566"/>
      <c r="D26" s="526"/>
      <c r="E26" s="569"/>
      <c r="F26" s="526"/>
      <c r="G26" s="566"/>
      <c r="H26" s="526"/>
      <c r="I26" s="569"/>
      <c r="J26" s="526"/>
      <c r="K26" s="880"/>
      <c r="L26" s="2010"/>
      <c r="M26" s="2002"/>
      <c r="N26" s="2002"/>
      <c r="O26" s="2002"/>
      <c r="P26" s="3853"/>
      <c r="Q26" s="1494"/>
      <c r="R26" s="1495"/>
      <c r="S26" s="1496"/>
      <c r="T26" s="1495"/>
      <c r="U26" s="1496"/>
      <c r="V26" s="1495"/>
      <c r="W26" s="1496"/>
      <c r="X26" s="1489"/>
      <c r="Y26" s="3853"/>
      <c r="Z26" s="1497"/>
      <c r="AA26" s="1498">
        <v>1</v>
      </c>
      <c r="AB26" s="1498">
        <v>1</v>
      </c>
      <c r="AC26" s="1498">
        <v>1</v>
      </c>
    </row>
    <row r="27" spans="1:29" ht="15">
      <c r="A27" s="518"/>
      <c r="B27" s="552" t="s">
        <v>755</v>
      </c>
      <c r="C27" s="566"/>
      <c r="D27" s="526">
        <v>100</v>
      </c>
      <c r="E27" s="569"/>
      <c r="F27" s="526">
        <f>SUMIF(89:89,E27,90:90)-SUMIF(89:89,C27,90:90)+100</f>
        <v>100</v>
      </c>
      <c r="G27" s="566"/>
      <c r="H27" s="526">
        <f>SUMIF(89:89,G27,90:90)-SUMIF(89:89,C27,90:90)+100</f>
        <v>100</v>
      </c>
      <c r="I27" s="569"/>
      <c r="J27" s="526">
        <f>SUMIF(89:89,I27,90:90)-SUMIF(89:89,C27,90:90)+100</f>
        <v>100</v>
      </c>
      <c r="K27" s="570"/>
      <c r="L27" s="2010"/>
      <c r="M27" s="2002"/>
      <c r="N27" s="2002"/>
      <c r="O27" s="2002"/>
      <c r="P27" s="3853"/>
      <c r="Q27" s="1494" t="str">
        <f t="shared" ref="Q27:Q47" si="11">B27</f>
        <v>楼层</v>
      </c>
      <c r="R27" s="1495" t="s">
        <v>8</v>
      </c>
      <c r="S27" s="1496">
        <f>F27</f>
        <v>100</v>
      </c>
      <c r="T27" s="1495" t="s">
        <v>8</v>
      </c>
      <c r="U27" s="1496">
        <f>H27</f>
        <v>100</v>
      </c>
      <c r="V27" s="1495" t="s">
        <v>8</v>
      </c>
      <c r="W27" s="1496">
        <f>J27</f>
        <v>100</v>
      </c>
      <c r="X27" s="1489"/>
      <c r="Y27" s="3853"/>
      <c r="Z27" s="1497" t="str">
        <f>Q27</f>
        <v>楼层</v>
      </c>
      <c r="AA27" s="1498">
        <f t="shared" si="3"/>
        <v>1</v>
      </c>
      <c r="AB27" s="1498">
        <f t="shared" si="4"/>
        <v>1</v>
      </c>
      <c r="AC27" s="1498">
        <f t="shared" si="5"/>
        <v>1</v>
      </c>
    </row>
    <row r="28" spans="1:29" s="1194" customFormat="1" ht="15">
      <c r="A28" s="522"/>
      <c r="B28" s="546" t="s">
        <v>773</v>
      </c>
      <c r="C28" s="894"/>
      <c r="D28" s="856">
        <v>100</v>
      </c>
      <c r="E28" s="882"/>
      <c r="F28" s="856">
        <f>SUMIF(91:91,E28,92:92)-SUMIF(91:91,C28,92:92)+100</f>
        <v>100</v>
      </c>
      <c r="G28" s="894"/>
      <c r="H28" s="856">
        <f>SUMIF(91:91,G28,92:92)-SUMIF(91:91,C28,92:92)+100</f>
        <v>100</v>
      </c>
      <c r="I28" s="882"/>
      <c r="J28" s="856">
        <f>SUMIF(91:91,I28,92:92)-SUMIF(91:91,C28,92:92)+100</f>
        <v>100</v>
      </c>
      <c r="K28" s="570"/>
      <c r="L28" s="2003"/>
      <c r="M28" s="2004"/>
      <c r="N28" s="2004"/>
      <c r="O28" s="2004"/>
      <c r="P28" s="3853"/>
      <c r="Q28" s="1125" t="str">
        <f t="shared" si="11"/>
        <v>朝向</v>
      </c>
      <c r="R28" s="1490" t="s">
        <v>8</v>
      </c>
      <c r="S28" s="1491">
        <f>F28</f>
        <v>100</v>
      </c>
      <c r="T28" s="1490" t="s">
        <v>8</v>
      </c>
      <c r="U28" s="1491">
        <f>H28</f>
        <v>100</v>
      </c>
      <c r="V28" s="1490" t="s">
        <v>8</v>
      </c>
      <c r="W28" s="1491">
        <f>J28</f>
        <v>100</v>
      </c>
      <c r="X28" s="1492"/>
      <c r="Y28" s="3853"/>
      <c r="Z28" s="1124" t="str">
        <f>Q28</f>
        <v>朝向</v>
      </c>
      <c r="AA28" s="1498">
        <f>D28/F28</f>
        <v>1</v>
      </c>
      <c r="AB28" s="1498">
        <f>D28/H28</f>
        <v>1</v>
      </c>
      <c r="AC28" s="1498">
        <f>D28/J28</f>
        <v>1</v>
      </c>
    </row>
    <row r="29" spans="1:29" ht="15">
      <c r="A29" s="518"/>
      <c r="B29" s="571">
        <v>111</v>
      </c>
      <c r="C29" s="893"/>
      <c r="D29" s="526">
        <v>100</v>
      </c>
      <c r="E29" s="514"/>
      <c r="F29" s="526">
        <f>SUMIF(93:93,E29,94:94)-SUMIF(93:93,C29,94:94)+100</f>
        <v>100</v>
      </c>
      <c r="G29" s="891"/>
      <c r="H29" s="526">
        <f>SUMIF(93:93,G29,94:94)-SUMIF(93:93,C29,94:94)+100</f>
        <v>100</v>
      </c>
      <c r="I29" s="514"/>
      <c r="J29" s="526">
        <f>SUMIF(93:93,I29,94:94)-SUMIF(93:93,C29,94:94)+100</f>
        <v>100</v>
      </c>
      <c r="K29" s="567"/>
      <c r="L29" s="2010"/>
      <c r="M29" s="2002"/>
      <c r="N29" s="2002"/>
      <c r="O29" s="2002"/>
      <c r="P29" s="3853"/>
      <c r="Q29" s="1494">
        <f t="shared" si="11"/>
        <v>111</v>
      </c>
      <c r="R29" s="1495" t="s">
        <v>8</v>
      </c>
      <c r="S29" s="1496">
        <f t="shared" ref="S29:S47" si="12">F29</f>
        <v>100</v>
      </c>
      <c r="T29" s="1495" t="s">
        <v>8</v>
      </c>
      <c r="U29" s="1496">
        <f t="shared" ref="U29:U47" si="13">H29</f>
        <v>100</v>
      </c>
      <c r="V29" s="1495" t="s">
        <v>8</v>
      </c>
      <c r="W29" s="1496">
        <f t="shared" ref="W29:W47" si="14">J29</f>
        <v>100</v>
      </c>
      <c r="X29" s="1489"/>
      <c r="Y29" s="3853"/>
      <c r="Z29" s="1497">
        <f t="shared" ref="Z29:Z47" si="15">Q29</f>
        <v>111</v>
      </c>
      <c r="AA29" s="1498">
        <f t="shared" si="3"/>
        <v>1</v>
      </c>
      <c r="AB29" s="1498">
        <f t="shared" si="4"/>
        <v>1</v>
      </c>
      <c r="AC29" s="1498">
        <f t="shared" si="5"/>
        <v>1</v>
      </c>
    </row>
    <row r="30" spans="1:29" ht="15">
      <c r="A30" s="518"/>
      <c r="B30" s="571">
        <v>111</v>
      </c>
      <c r="C30" s="893"/>
      <c r="D30" s="526">
        <v>100</v>
      </c>
      <c r="E30" s="514"/>
      <c r="F30" s="526">
        <f>SUMIF(95:95,E30,96:96)-SUMIF(95:95,C30,96:96)+100</f>
        <v>100</v>
      </c>
      <c r="G30" s="891"/>
      <c r="H30" s="526">
        <f>SUMIF(95:95,G30,96:96)-SUMIF(95:95,C30,96:96)+100</f>
        <v>100</v>
      </c>
      <c r="I30" s="514"/>
      <c r="J30" s="526">
        <f>SUMIF(95:95,I30,96:96)-SUMIF(95:95,C30,96:96)+100</f>
        <v>100</v>
      </c>
      <c r="K30" s="567"/>
      <c r="L30" s="2010"/>
      <c r="M30" s="2002"/>
      <c r="N30" s="2002"/>
      <c r="O30" s="2002"/>
      <c r="P30" s="3853"/>
      <c r="Q30" s="1494">
        <f t="shared" si="11"/>
        <v>111</v>
      </c>
      <c r="R30" s="1495" t="s">
        <v>8</v>
      </c>
      <c r="S30" s="1496">
        <f t="shared" si="12"/>
        <v>100</v>
      </c>
      <c r="T30" s="1495" t="s">
        <v>8</v>
      </c>
      <c r="U30" s="1496">
        <f t="shared" si="13"/>
        <v>100</v>
      </c>
      <c r="V30" s="1495" t="s">
        <v>8</v>
      </c>
      <c r="W30" s="1496">
        <f t="shared" si="14"/>
        <v>100</v>
      </c>
      <c r="X30" s="1489"/>
      <c r="Y30" s="3853"/>
      <c r="Z30" s="1497">
        <f t="shared" si="15"/>
        <v>111</v>
      </c>
      <c r="AA30" s="1498">
        <f t="shared" si="3"/>
        <v>1</v>
      </c>
      <c r="AB30" s="1498">
        <f t="shared" si="4"/>
        <v>1</v>
      </c>
      <c r="AC30" s="1498">
        <f t="shared" si="5"/>
        <v>1</v>
      </c>
    </row>
    <row r="31" spans="1:29" ht="15">
      <c r="A31" s="518"/>
      <c r="B31" s="571">
        <v>111</v>
      </c>
      <c r="C31" s="893"/>
      <c r="D31" s="526">
        <v>100</v>
      </c>
      <c r="E31" s="514"/>
      <c r="F31" s="526">
        <f>SUMIF(97:97,E31,98:98)-SUMIF(97:97,C31,98:98)+100</f>
        <v>100</v>
      </c>
      <c r="G31" s="891"/>
      <c r="H31" s="526">
        <f>SUMIF(97:97,G31,98:98)-SUMIF(97:97,C31,98:98)+100</f>
        <v>100</v>
      </c>
      <c r="I31" s="514"/>
      <c r="J31" s="526">
        <f>SUMIF(97:97,I31,98:98)-SUMIF(97:97,C31,98:98)+100</f>
        <v>100</v>
      </c>
      <c r="K31" s="567"/>
      <c r="L31" s="2010"/>
      <c r="M31" s="2002"/>
      <c r="N31" s="2002"/>
      <c r="O31" s="2002"/>
      <c r="P31" s="3853"/>
      <c r="Q31" s="1494">
        <f t="shared" si="11"/>
        <v>111</v>
      </c>
      <c r="R31" s="1495" t="s">
        <v>8</v>
      </c>
      <c r="S31" s="1496">
        <f t="shared" si="12"/>
        <v>100</v>
      </c>
      <c r="T31" s="1495" t="s">
        <v>8</v>
      </c>
      <c r="U31" s="1496">
        <f t="shared" si="13"/>
        <v>100</v>
      </c>
      <c r="V31" s="1495" t="s">
        <v>8</v>
      </c>
      <c r="W31" s="1496">
        <f t="shared" si="14"/>
        <v>100</v>
      </c>
      <c r="X31" s="1489"/>
      <c r="Y31" s="3853"/>
      <c r="Z31" s="1497">
        <f t="shared" si="15"/>
        <v>111</v>
      </c>
      <c r="AA31" s="1498">
        <f t="shared" si="3"/>
        <v>1</v>
      </c>
      <c r="AB31" s="1498">
        <f t="shared" si="4"/>
        <v>1</v>
      </c>
      <c r="AC31" s="1498">
        <f t="shared" si="5"/>
        <v>1</v>
      </c>
    </row>
    <row r="32" spans="1:29" ht="15.75" thickBot="1">
      <c r="A32" s="529"/>
      <c r="B32" s="895">
        <v>111</v>
      </c>
      <c r="C32" s="896"/>
      <c r="D32" s="532">
        <v>100</v>
      </c>
      <c r="E32" s="892"/>
      <c r="F32" s="532">
        <f>SUMIF(99:99,E32,100:100)-SUMIF(99:99,C32,100:100)+100</f>
        <v>100</v>
      </c>
      <c r="G32" s="891"/>
      <c r="H32" s="532">
        <f>SUMIF(99:99,G32,100:100)-SUMIF(99:99,C32,100:100)+100</f>
        <v>100</v>
      </c>
      <c r="I32" s="514"/>
      <c r="J32" s="532">
        <f>SUMIF(99:99,I32,100:100)-SUMIF(99:99,C32,100:100)+100</f>
        <v>100</v>
      </c>
      <c r="K32" s="567"/>
      <c r="L32" s="2010"/>
      <c r="M32" s="2002"/>
      <c r="N32" s="2002"/>
      <c r="O32" s="2002"/>
      <c r="P32" s="3853"/>
      <c r="Q32" s="1494">
        <f t="shared" si="11"/>
        <v>111</v>
      </c>
      <c r="R32" s="1495" t="s">
        <v>8</v>
      </c>
      <c r="S32" s="1496">
        <f t="shared" si="12"/>
        <v>100</v>
      </c>
      <c r="T32" s="1495" t="s">
        <v>8</v>
      </c>
      <c r="U32" s="1496">
        <f t="shared" si="13"/>
        <v>100</v>
      </c>
      <c r="V32" s="1495" t="s">
        <v>8</v>
      </c>
      <c r="W32" s="1496">
        <f t="shared" si="14"/>
        <v>100</v>
      </c>
      <c r="X32" s="1489"/>
      <c r="Y32" s="3853"/>
      <c r="Z32" s="1497">
        <f t="shared" si="15"/>
        <v>111</v>
      </c>
      <c r="AA32" s="1498">
        <f t="shared" si="3"/>
        <v>1</v>
      </c>
      <c r="AB32" s="1498">
        <f t="shared" si="4"/>
        <v>1</v>
      </c>
      <c r="AC32" s="1498">
        <f t="shared" si="5"/>
        <v>1</v>
      </c>
    </row>
    <row r="33" spans="1:29" ht="15">
      <c r="A33" s="2610" t="s">
        <v>2729</v>
      </c>
      <c r="B33" s="170" t="s">
        <v>774</v>
      </c>
      <c r="C33" s="897"/>
      <c r="D33" s="583">
        <v>100</v>
      </c>
      <c r="E33" s="897"/>
      <c r="F33" s="561">
        <f>SUMIF(101:101,E33,102:102)-SUMIF(101:101,C33,102:102)+100</f>
        <v>100</v>
      </c>
      <c r="G33" s="897"/>
      <c r="H33" s="526">
        <f>SUMIF(101:101,G33,102:102)-SUMIF(101:101,C33,102:102)+100</f>
        <v>100</v>
      </c>
      <c r="I33" s="897"/>
      <c r="J33" s="583">
        <f>SUMIF(101:101,I33,102:102)-SUMIF(101:101,C33,102:102)+100</f>
        <v>100</v>
      </c>
      <c r="K33" s="570"/>
      <c r="L33" s="2010"/>
      <c r="M33" s="2002"/>
      <c r="N33" s="2002"/>
      <c r="O33" s="2002"/>
      <c r="P33" s="3854" t="s">
        <v>544</v>
      </c>
      <c r="Q33" s="1494" t="str">
        <f t="shared" si="11"/>
        <v>建筑类型</v>
      </c>
      <c r="R33" s="1495" t="s">
        <v>8</v>
      </c>
      <c r="S33" s="1496">
        <f t="shared" si="12"/>
        <v>100</v>
      </c>
      <c r="T33" s="1495" t="s">
        <v>8</v>
      </c>
      <c r="U33" s="1496">
        <f t="shared" si="13"/>
        <v>100</v>
      </c>
      <c r="V33" s="1495" t="s">
        <v>8</v>
      </c>
      <c r="W33" s="1496">
        <f t="shared" si="14"/>
        <v>100</v>
      </c>
      <c r="X33" s="1489"/>
      <c r="Y33" s="3855" t="s">
        <v>544</v>
      </c>
      <c r="Z33" s="1497" t="str">
        <f t="shared" si="15"/>
        <v>建筑类型</v>
      </c>
      <c r="AA33" s="1498">
        <f t="shared" si="3"/>
        <v>1</v>
      </c>
      <c r="AB33" s="1498">
        <f t="shared" si="4"/>
        <v>1</v>
      </c>
      <c r="AC33" s="1498">
        <f t="shared" si="5"/>
        <v>1</v>
      </c>
    </row>
    <row r="34" spans="1:29" s="1283" customFormat="1" ht="15">
      <c r="A34" s="589"/>
      <c r="B34" s="513" t="s">
        <v>720</v>
      </c>
      <c r="C34" s="861"/>
      <c r="D34" s="245">
        <v>100</v>
      </c>
      <c r="E34" s="520"/>
      <c r="F34" s="844" t="e">
        <f>LOOKUP(E34,104:104,105:105)-LOOKUP(C34,104:104,105:105)+100</f>
        <v>#N/A</v>
      </c>
      <c r="G34" s="519"/>
      <c r="H34" s="245" t="e">
        <f>LOOKUP(G34,104:104,105:105)-LOOKUP(C34,104:104,105:105)+100</f>
        <v>#N/A</v>
      </c>
      <c r="I34" s="519"/>
      <c r="J34" s="245" t="e">
        <f>LOOKUP(I34,104:104,105:105)-LOOKUP(C34,104:104,105:105)+100</f>
        <v>#N/A</v>
      </c>
      <c r="K34" s="567"/>
      <c r="L34" s="2008"/>
      <c r="M34" s="2038"/>
      <c r="N34" s="2038"/>
      <c r="O34" s="2038"/>
      <c r="P34" s="3855"/>
      <c r="Q34" s="1523" t="str">
        <f t="shared" si="11"/>
        <v>项目建筑规模</v>
      </c>
      <c r="R34" s="1499" t="s">
        <v>8</v>
      </c>
      <c r="S34" s="1500" t="e">
        <f t="shared" si="12"/>
        <v>#N/A</v>
      </c>
      <c r="T34" s="1499" t="s">
        <v>8</v>
      </c>
      <c r="U34" s="1500" t="e">
        <f t="shared" si="13"/>
        <v>#N/A</v>
      </c>
      <c r="V34" s="1499" t="s">
        <v>8</v>
      </c>
      <c r="W34" s="1500" t="e">
        <f t="shared" si="14"/>
        <v>#N/A</v>
      </c>
      <c r="X34" s="1501"/>
      <c r="Y34" s="3855"/>
      <c r="Z34" s="1502" t="str">
        <f t="shared" si="15"/>
        <v>项目建筑规模</v>
      </c>
      <c r="AA34" s="1498" t="e">
        <f t="shared" si="3"/>
        <v>#N/A</v>
      </c>
      <c r="AB34" s="1498" t="e">
        <f t="shared" si="4"/>
        <v>#N/A</v>
      </c>
      <c r="AC34" s="1498" t="e">
        <f t="shared" si="5"/>
        <v>#N/A</v>
      </c>
    </row>
    <row r="35" spans="1:29" ht="15">
      <c r="A35" s="580"/>
      <c r="B35" s="513" t="s">
        <v>721</v>
      </c>
      <c r="C35" s="560"/>
      <c r="D35" s="526">
        <v>100</v>
      </c>
      <c r="E35" s="560"/>
      <c r="F35" s="561">
        <f>SUMIF(106:106,E35,107:107)-SUMIF(106:106,C35,107:107)+100</f>
        <v>100</v>
      </c>
      <c r="G35" s="560"/>
      <c r="H35" s="526">
        <f>SUMIF(106:106,G35,107:107)-SUMIF(106:106,C35,107:107)+100</f>
        <v>100</v>
      </c>
      <c r="I35" s="560"/>
      <c r="J35" s="526">
        <f>SUMIF(106:106,I35,107:107)-SUMIF(106:106,C35,107:107)+100</f>
        <v>100</v>
      </c>
      <c r="K35" s="570"/>
      <c r="L35" s="2010"/>
      <c r="M35" s="2002"/>
      <c r="N35" s="2002"/>
      <c r="O35" s="2002"/>
      <c r="P35" s="3855"/>
      <c r="Q35" s="1494" t="str">
        <f t="shared" si="11"/>
        <v>建筑结构</v>
      </c>
      <c r="R35" s="1495" t="s">
        <v>8</v>
      </c>
      <c r="S35" s="1496">
        <f t="shared" si="12"/>
        <v>100</v>
      </c>
      <c r="T35" s="1495" t="s">
        <v>8</v>
      </c>
      <c r="U35" s="1496">
        <f t="shared" si="13"/>
        <v>100</v>
      </c>
      <c r="V35" s="1495" t="s">
        <v>8</v>
      </c>
      <c r="W35" s="1496">
        <f t="shared" si="14"/>
        <v>100</v>
      </c>
      <c r="X35" s="1489"/>
      <c r="Y35" s="3855"/>
      <c r="Z35" s="1497" t="str">
        <f t="shared" si="15"/>
        <v>建筑结构</v>
      </c>
      <c r="AA35" s="1498">
        <f t="shared" si="3"/>
        <v>1</v>
      </c>
      <c r="AB35" s="1498">
        <f t="shared" si="4"/>
        <v>1</v>
      </c>
      <c r="AC35" s="1498">
        <f t="shared" si="5"/>
        <v>1</v>
      </c>
    </row>
    <row r="36" spans="1:29" ht="15">
      <c r="A36" s="580"/>
      <c r="B36" s="513" t="s">
        <v>757</v>
      </c>
      <c r="C36" s="560"/>
      <c r="D36" s="526">
        <v>100</v>
      </c>
      <c r="E36" s="560"/>
      <c r="F36" s="561">
        <f>SUMIF(108:108,E36,109:109)-SUMIF(108:108,C36,109:109)+100</f>
        <v>100</v>
      </c>
      <c r="G36" s="560"/>
      <c r="H36" s="526">
        <f>SUMIF(108:108,G36,109:109)-SUMIF(108:108,C36,109:109)+100</f>
        <v>100</v>
      </c>
      <c r="I36" s="560"/>
      <c r="J36" s="526">
        <f>SUMIF(108:108,I36,109:109)-SUMIF(108:108,C36,109:109)+100</f>
        <v>100</v>
      </c>
      <c r="K36" s="570"/>
      <c r="L36" s="2010"/>
      <c r="M36" s="2002"/>
      <c r="N36" s="2002"/>
      <c r="O36" s="2002"/>
      <c r="P36" s="3855"/>
      <c r="Q36" s="1494" t="str">
        <f t="shared" si="11"/>
        <v>公共部分装修</v>
      </c>
      <c r="R36" s="1495" t="s">
        <v>8</v>
      </c>
      <c r="S36" s="1496">
        <f t="shared" si="12"/>
        <v>100</v>
      </c>
      <c r="T36" s="1495" t="s">
        <v>8</v>
      </c>
      <c r="U36" s="1496">
        <f t="shared" si="13"/>
        <v>100</v>
      </c>
      <c r="V36" s="1495" t="s">
        <v>8</v>
      </c>
      <c r="W36" s="1496">
        <f t="shared" si="14"/>
        <v>100</v>
      </c>
      <c r="X36" s="1489"/>
      <c r="Y36" s="3855"/>
      <c r="Z36" s="1497" t="str">
        <f t="shared" si="15"/>
        <v>公共部分装修</v>
      </c>
      <c r="AA36" s="1498">
        <f t="shared" si="3"/>
        <v>1</v>
      </c>
      <c r="AB36" s="1498">
        <f t="shared" si="4"/>
        <v>1</v>
      </c>
      <c r="AC36" s="1498">
        <f t="shared" si="5"/>
        <v>1</v>
      </c>
    </row>
    <row r="37" spans="1:29" ht="15">
      <c r="A37" s="580"/>
      <c r="B37" s="513" t="s">
        <v>758</v>
      </c>
      <c r="C37" s="864"/>
      <c r="D37" s="526">
        <v>100</v>
      </c>
      <c r="E37" s="864"/>
      <c r="F37" s="561" t="e">
        <f>LOOKUP(E37,111:111,112:112)-LOOKUP(C37,111:111,112:112)+100</f>
        <v>#N/A</v>
      </c>
      <c r="G37" s="864"/>
      <c r="H37" s="561" t="e">
        <f>LOOKUP(G37,111:111,112:112)-LOOKUP(C37,111:111,112:112)+100</f>
        <v>#N/A</v>
      </c>
      <c r="I37" s="864"/>
      <c r="J37" s="526" t="e">
        <f>LOOKUP(I37,111:111,112:112)-LOOKUP(C37,111:111,112:112)+100</f>
        <v>#N/A</v>
      </c>
      <c r="K37" s="570"/>
      <c r="L37" s="2010"/>
      <c r="M37" s="2002"/>
      <c r="N37" s="2002"/>
      <c r="O37" s="2002"/>
      <c r="P37" s="3855"/>
      <c r="Q37" s="1494" t="str">
        <f t="shared" si="11"/>
        <v>成新度</v>
      </c>
      <c r="R37" s="1495" t="s">
        <v>8</v>
      </c>
      <c r="S37" s="1496" t="e">
        <f t="shared" si="12"/>
        <v>#N/A</v>
      </c>
      <c r="T37" s="1495" t="s">
        <v>8</v>
      </c>
      <c r="U37" s="1496" t="e">
        <f t="shared" si="13"/>
        <v>#N/A</v>
      </c>
      <c r="V37" s="1495" t="s">
        <v>8</v>
      </c>
      <c r="W37" s="1496" t="e">
        <f t="shared" si="14"/>
        <v>#N/A</v>
      </c>
      <c r="X37" s="1489"/>
      <c r="Y37" s="3855"/>
      <c r="Z37" s="1497" t="str">
        <f t="shared" si="15"/>
        <v>成新度</v>
      </c>
      <c r="AA37" s="1498" t="e">
        <f t="shared" si="3"/>
        <v>#N/A</v>
      </c>
      <c r="AB37" s="1498" t="e">
        <f t="shared" si="4"/>
        <v>#N/A</v>
      </c>
      <c r="AC37" s="1498" t="e">
        <f t="shared" si="5"/>
        <v>#N/A</v>
      </c>
    </row>
    <row r="38" spans="1:29" s="1194" customFormat="1" ht="15">
      <c r="A38" s="586"/>
      <c r="B38" s="513" t="s">
        <v>775</v>
      </c>
      <c r="C38" s="560"/>
      <c r="D38" s="245">
        <v>100</v>
      </c>
      <c r="E38" s="560"/>
      <c r="F38" s="561">
        <f>SUMIF(113:113,E38,114:114)-SUMIF(113:113,C38,114:114)+100</f>
        <v>100</v>
      </c>
      <c r="G38" s="560"/>
      <c r="H38" s="526">
        <f>SUMIF(113:113,G38,114:114)-SUMIF(113:113,C38,114:114)+100</f>
        <v>100</v>
      </c>
      <c r="I38" s="560"/>
      <c r="J38" s="526">
        <f>SUMIF(113:113,I38,114:114)-SUMIF(113:113,C38,114:114)+100</f>
        <v>100</v>
      </c>
      <c r="K38" s="570"/>
      <c r="L38" s="2003"/>
      <c r="M38" s="2004"/>
      <c r="N38" s="2004"/>
      <c r="O38" s="2004"/>
      <c r="P38" s="3855"/>
      <c r="Q38" s="1125" t="str">
        <f t="shared" si="11"/>
        <v>写字楼等级</v>
      </c>
      <c r="R38" s="1490" t="s">
        <v>8</v>
      </c>
      <c r="S38" s="1491">
        <f t="shared" si="12"/>
        <v>100</v>
      </c>
      <c r="T38" s="1490" t="s">
        <v>8</v>
      </c>
      <c r="U38" s="1491">
        <f t="shared" si="13"/>
        <v>100</v>
      </c>
      <c r="V38" s="1490" t="s">
        <v>8</v>
      </c>
      <c r="W38" s="1491">
        <f t="shared" si="14"/>
        <v>100</v>
      </c>
      <c r="X38" s="1492"/>
      <c r="Y38" s="3855"/>
      <c r="Z38" s="1124" t="str">
        <f t="shared" si="15"/>
        <v>写字楼等级</v>
      </c>
      <c r="AA38" s="1493">
        <f t="shared" si="3"/>
        <v>1</v>
      </c>
      <c r="AB38" s="1493">
        <f t="shared" si="4"/>
        <v>1</v>
      </c>
      <c r="AC38" s="1493">
        <f t="shared" si="5"/>
        <v>1</v>
      </c>
    </row>
    <row r="39" spans="1:29" ht="15">
      <c r="A39" s="580"/>
      <c r="B39" s="513" t="s">
        <v>776</v>
      </c>
      <c r="C39" s="560"/>
      <c r="D39" s="526">
        <v>100</v>
      </c>
      <c r="E39" s="560"/>
      <c r="F39" s="561">
        <f>SUMIF(115:115,E39,116:116)-SUMIF(115:115,C39,116:116)+100</f>
        <v>100</v>
      </c>
      <c r="G39" s="560"/>
      <c r="H39" s="526">
        <f>SUMIF(115:115,G39,116:116)-SUMIF(115:115,C39,116:116)+100</f>
        <v>100</v>
      </c>
      <c r="I39" s="560"/>
      <c r="J39" s="526">
        <f>SUMIF(115:115,I39,116:116)-SUMIF(115:115,C39,116:116)+100</f>
        <v>100</v>
      </c>
      <c r="K39" s="570"/>
      <c r="L39" s="2010"/>
      <c r="M39" s="2002"/>
      <c r="N39" s="2002"/>
      <c r="O39" s="2002"/>
      <c r="P39" s="3855" t="s">
        <v>544</v>
      </c>
      <c r="Q39" s="1494" t="str">
        <f t="shared" si="11"/>
        <v>物业管理</v>
      </c>
      <c r="R39" s="1495" t="s">
        <v>8</v>
      </c>
      <c r="S39" s="1496">
        <f t="shared" si="12"/>
        <v>100</v>
      </c>
      <c r="T39" s="1495" t="s">
        <v>8</v>
      </c>
      <c r="U39" s="1496">
        <f t="shared" si="13"/>
        <v>100</v>
      </c>
      <c r="V39" s="1495" t="s">
        <v>8</v>
      </c>
      <c r="W39" s="1496">
        <f t="shared" si="14"/>
        <v>100</v>
      </c>
      <c r="X39" s="1489"/>
      <c r="Y39" s="3855" t="s">
        <v>544</v>
      </c>
      <c r="Z39" s="1497" t="str">
        <f t="shared" si="15"/>
        <v>物业管理</v>
      </c>
      <c r="AA39" s="1498">
        <f t="shared" si="3"/>
        <v>1</v>
      </c>
      <c r="AB39" s="1498">
        <f t="shared" si="4"/>
        <v>1</v>
      </c>
      <c r="AC39" s="1498">
        <f t="shared" si="5"/>
        <v>1</v>
      </c>
    </row>
    <row r="40" spans="1:29" ht="15">
      <c r="A40" s="580"/>
      <c r="B40" s="1795" t="s">
        <v>2541</v>
      </c>
      <c r="C40" s="560"/>
      <c r="D40" s="526">
        <v>100</v>
      </c>
      <c r="E40" s="560"/>
      <c r="F40" s="561">
        <f>SUMIF(117:117,E40,118:118)-SUMIF(117:117,C40,118:118)+100</f>
        <v>100</v>
      </c>
      <c r="G40" s="560"/>
      <c r="H40" s="526">
        <f>SUMIF(117:117,G40,118:118)-SUMIF(117:117,C40,118:118)+100</f>
        <v>100</v>
      </c>
      <c r="I40" s="560"/>
      <c r="J40" s="526">
        <f>SUMIF(117:117,I40,118:118)-SUMIF(117:117,C40,118:118)+100</f>
        <v>100</v>
      </c>
      <c r="K40" s="570"/>
      <c r="L40" s="2010"/>
      <c r="M40" s="2002"/>
      <c r="N40" s="2002"/>
      <c r="O40" s="2002"/>
      <c r="P40" s="3855"/>
      <c r="Q40" s="1494" t="str">
        <f t="shared" si="11"/>
        <v>市政基础设施</v>
      </c>
      <c r="R40" s="1495" t="s">
        <v>8</v>
      </c>
      <c r="S40" s="1496">
        <f t="shared" si="12"/>
        <v>100</v>
      </c>
      <c r="T40" s="1495" t="s">
        <v>8</v>
      </c>
      <c r="U40" s="1496">
        <f t="shared" si="13"/>
        <v>100</v>
      </c>
      <c r="V40" s="1495" t="s">
        <v>8</v>
      </c>
      <c r="W40" s="1496">
        <f t="shared" si="14"/>
        <v>100</v>
      </c>
      <c r="X40" s="1489"/>
      <c r="Y40" s="3855"/>
      <c r="Z40" s="1497" t="str">
        <f t="shared" si="15"/>
        <v>市政基础设施</v>
      </c>
      <c r="AA40" s="1498">
        <f t="shared" si="3"/>
        <v>1</v>
      </c>
      <c r="AB40" s="1498">
        <f t="shared" si="4"/>
        <v>1</v>
      </c>
      <c r="AC40" s="1498">
        <f t="shared" si="5"/>
        <v>1</v>
      </c>
    </row>
    <row r="41" spans="1:29" ht="15">
      <c r="A41" s="580"/>
      <c r="B41" s="513" t="s">
        <v>761</v>
      </c>
      <c r="C41" s="569"/>
      <c r="D41" s="526">
        <v>100</v>
      </c>
      <c r="E41" s="569"/>
      <c r="F41" s="561">
        <f>SUMIF(119:119,E41,120:120)-SUMIF(119:119,C41,120:120)+100</f>
        <v>100</v>
      </c>
      <c r="G41" s="569"/>
      <c r="H41" s="526">
        <f>SUMIF(119:119,G41,120:120)-SUMIF(119:119,C41,120:120)+100</f>
        <v>100</v>
      </c>
      <c r="I41" s="569"/>
      <c r="J41" s="526">
        <f>SUMIF(119:119,I41,120:120)-SUMIF(119:119,C41,120:120)+100</f>
        <v>100</v>
      </c>
      <c r="K41" s="570"/>
      <c r="L41" s="2010"/>
      <c r="M41" s="2002"/>
      <c r="N41" s="2002"/>
      <c r="O41" s="2002"/>
      <c r="P41" s="3855"/>
      <c r="Q41" s="1494" t="str">
        <f t="shared" si="11"/>
        <v>层高</v>
      </c>
      <c r="R41" s="1495" t="s">
        <v>8</v>
      </c>
      <c r="S41" s="1496">
        <f t="shared" si="12"/>
        <v>100</v>
      </c>
      <c r="T41" s="1495" t="s">
        <v>8</v>
      </c>
      <c r="U41" s="1496">
        <f t="shared" si="13"/>
        <v>100</v>
      </c>
      <c r="V41" s="1495" t="s">
        <v>8</v>
      </c>
      <c r="W41" s="1496">
        <f t="shared" si="14"/>
        <v>100</v>
      </c>
      <c r="X41" s="1489"/>
      <c r="Y41" s="3855"/>
      <c r="Z41" s="1497" t="str">
        <f t="shared" si="15"/>
        <v>层高</v>
      </c>
      <c r="AA41" s="1498">
        <f t="shared" si="3"/>
        <v>1</v>
      </c>
      <c r="AB41" s="1498">
        <f t="shared" si="4"/>
        <v>1</v>
      </c>
      <c r="AC41" s="1498">
        <f t="shared" si="5"/>
        <v>1</v>
      </c>
    </row>
    <row r="42" spans="1:29" s="1283" customFormat="1" ht="15">
      <c r="A42" s="589"/>
      <c r="B42" s="885" t="s">
        <v>777</v>
      </c>
      <c r="C42" s="525"/>
      <c r="D42" s="526">
        <v>100</v>
      </c>
      <c r="E42" s="525"/>
      <c r="F42" s="561">
        <f>SUMIF(121:121,E42,122:122)-SUMIF(121:121,C42,122:122)+100</f>
        <v>100</v>
      </c>
      <c r="G42" s="525"/>
      <c r="H42" s="526">
        <f>SUMIF(121:121,G42,122:122)-SUMIF(121:121,C42,122:122)+100</f>
        <v>100</v>
      </c>
      <c r="I42" s="525"/>
      <c r="J42" s="526">
        <f>SUMIF(121:121,I42,122:122)-SUMIF(121:121,C42,122:122)+100</f>
        <v>100</v>
      </c>
      <c r="K42" s="567"/>
      <c r="L42" s="2008"/>
      <c r="M42" s="2038"/>
      <c r="N42" s="2038"/>
      <c r="O42" s="2038"/>
      <c r="P42" s="3855"/>
      <c r="Q42" s="1523" t="str">
        <f t="shared" si="11"/>
        <v>单套建筑面积</v>
      </c>
      <c r="R42" s="1499" t="s">
        <v>8</v>
      </c>
      <c r="S42" s="1500">
        <f t="shared" si="12"/>
        <v>100</v>
      </c>
      <c r="T42" s="1499" t="s">
        <v>8</v>
      </c>
      <c r="U42" s="1500">
        <f t="shared" si="13"/>
        <v>100</v>
      </c>
      <c r="V42" s="1499" t="s">
        <v>8</v>
      </c>
      <c r="W42" s="1500">
        <f t="shared" si="14"/>
        <v>100</v>
      </c>
      <c r="X42" s="1501"/>
      <c r="Y42" s="3855"/>
      <c r="Z42" s="1502" t="str">
        <f t="shared" si="15"/>
        <v>单套建筑面积</v>
      </c>
      <c r="AA42" s="1498">
        <f t="shared" si="3"/>
        <v>1</v>
      </c>
      <c r="AB42" s="1498">
        <f t="shared" si="4"/>
        <v>1</v>
      </c>
      <c r="AC42" s="1498">
        <f t="shared" si="5"/>
        <v>1</v>
      </c>
    </row>
    <row r="43" spans="1:29" ht="15">
      <c r="A43" s="580"/>
      <c r="B43" s="513" t="s">
        <v>764</v>
      </c>
      <c r="C43" s="560"/>
      <c r="D43" s="526">
        <v>100</v>
      </c>
      <c r="E43" s="560"/>
      <c r="F43" s="561">
        <f>SUMIF(123:123,E43,124:124)-SUMIF(123:123,C43,124:124)+100</f>
        <v>100</v>
      </c>
      <c r="G43" s="560"/>
      <c r="H43" s="526">
        <f>SUMIF(123:123,G43,124:124)-SUMIF(123:123,C43,124:124)+100</f>
        <v>100</v>
      </c>
      <c r="I43" s="560"/>
      <c r="J43" s="526">
        <f>SUMIF(123:123,I43,124:124)-SUMIF(123:123,C43,124:124)+100</f>
        <v>100</v>
      </c>
      <c r="K43" s="570"/>
      <c r="L43" s="2010"/>
      <c r="M43" s="2002"/>
      <c r="N43" s="2002"/>
      <c r="O43" s="2002"/>
      <c r="P43" s="3855"/>
      <c r="Q43" s="1494" t="str">
        <f t="shared" si="11"/>
        <v>内部装修</v>
      </c>
      <c r="R43" s="1495" t="s">
        <v>8</v>
      </c>
      <c r="S43" s="1496">
        <f t="shared" si="12"/>
        <v>100</v>
      </c>
      <c r="T43" s="1495" t="s">
        <v>8</v>
      </c>
      <c r="U43" s="1496">
        <f t="shared" si="13"/>
        <v>100</v>
      </c>
      <c r="V43" s="1495" t="s">
        <v>8</v>
      </c>
      <c r="W43" s="1496">
        <f t="shared" si="14"/>
        <v>100</v>
      </c>
      <c r="X43" s="1489"/>
      <c r="Y43" s="3855"/>
      <c r="Z43" s="1497" t="str">
        <f t="shared" si="15"/>
        <v>内部装修</v>
      </c>
      <c r="AA43" s="1498">
        <f t="shared" si="3"/>
        <v>1</v>
      </c>
      <c r="AB43" s="1498">
        <f t="shared" si="4"/>
        <v>1</v>
      </c>
      <c r="AC43" s="1498">
        <f t="shared" si="5"/>
        <v>1</v>
      </c>
    </row>
    <row r="44" spans="1:29" ht="27">
      <c r="A44" s="580"/>
      <c r="B44" s="513" t="s">
        <v>729</v>
      </c>
      <c r="C44" s="560"/>
      <c r="D44" s="526">
        <v>100</v>
      </c>
      <c r="E44" s="585"/>
      <c r="F44" s="561">
        <f>SUMIF(125:125,E44,126:126)-SUMIF(125:125,C44,126:126)+100</f>
        <v>100</v>
      </c>
      <c r="G44" s="585"/>
      <c r="H44" s="526">
        <f>SUMIF(125:125,G44,126:126)-SUMIF(125:125,C44,126:126)+100</f>
        <v>100</v>
      </c>
      <c r="I44" s="585"/>
      <c r="J44" s="526">
        <f>SUMIF(125:125,I44,126:126)-SUMIF(125:125,C44,126:126)+100</f>
        <v>100</v>
      </c>
      <c r="K44" s="570"/>
      <c r="L44" s="2010"/>
      <c r="M44" s="2002"/>
      <c r="N44" s="2002"/>
      <c r="O44" s="2002"/>
      <c r="P44" s="3855"/>
      <c r="Q44" s="1494" t="str">
        <f t="shared" si="11"/>
        <v>内部装修维护情况</v>
      </c>
      <c r="R44" s="1495" t="s">
        <v>8</v>
      </c>
      <c r="S44" s="1496">
        <f t="shared" si="12"/>
        <v>100</v>
      </c>
      <c r="T44" s="1495" t="s">
        <v>8</v>
      </c>
      <c r="U44" s="1496">
        <f t="shared" si="13"/>
        <v>100</v>
      </c>
      <c r="V44" s="1495" t="s">
        <v>8</v>
      </c>
      <c r="W44" s="1496">
        <f t="shared" si="14"/>
        <v>100</v>
      </c>
      <c r="X44" s="1489"/>
      <c r="Y44" s="3855"/>
      <c r="Z44" s="1497" t="str">
        <f t="shared" si="15"/>
        <v>内部装修维护情况</v>
      </c>
      <c r="AA44" s="1498">
        <f t="shared" si="3"/>
        <v>1</v>
      </c>
      <c r="AB44" s="1498">
        <f t="shared" si="4"/>
        <v>1</v>
      </c>
      <c r="AC44" s="1498">
        <f t="shared" si="5"/>
        <v>1</v>
      </c>
    </row>
    <row r="45" spans="1:29" s="1194" customFormat="1" ht="15">
      <c r="A45" s="586"/>
      <c r="B45" s="858">
        <v>111</v>
      </c>
      <c r="C45" s="861"/>
      <c r="D45" s="245">
        <v>100</v>
      </c>
      <c r="E45" s="514"/>
      <c r="F45" s="844">
        <f>SUMIF(127:127,E45,128:128)-SUMIF(127:127,C45,128:128)+100</f>
        <v>100</v>
      </c>
      <c r="G45" s="514"/>
      <c r="H45" s="245">
        <f>SUMIF(127:127,G45,128:128)-SUMIF(127:127,C45,128:128)+100</f>
        <v>100</v>
      </c>
      <c r="I45" s="514"/>
      <c r="J45" s="245">
        <f>SUMIF(127:127,I45,128:128)-SUMIF(127:127,C45,128:128)+100</f>
        <v>100</v>
      </c>
      <c r="K45" s="567"/>
      <c r="L45" s="2003"/>
      <c r="M45" s="2004"/>
      <c r="N45" s="2004"/>
      <c r="O45" s="2004"/>
      <c r="P45" s="3855"/>
      <c r="Q45" s="1125">
        <f t="shared" si="11"/>
        <v>111</v>
      </c>
      <c r="R45" s="1490" t="s">
        <v>8</v>
      </c>
      <c r="S45" s="1491">
        <f t="shared" si="12"/>
        <v>100</v>
      </c>
      <c r="T45" s="1490" t="s">
        <v>8</v>
      </c>
      <c r="U45" s="1491">
        <f t="shared" si="13"/>
        <v>100</v>
      </c>
      <c r="V45" s="1490" t="s">
        <v>8</v>
      </c>
      <c r="W45" s="1491">
        <f t="shared" si="14"/>
        <v>100</v>
      </c>
      <c r="X45" s="1492"/>
      <c r="Y45" s="3855"/>
      <c r="Z45" s="1124">
        <f t="shared" si="15"/>
        <v>111</v>
      </c>
      <c r="AA45" s="1493">
        <f t="shared" si="3"/>
        <v>1</v>
      </c>
      <c r="AB45" s="1493">
        <f t="shared" si="4"/>
        <v>1</v>
      </c>
      <c r="AC45" s="1493">
        <f t="shared" si="5"/>
        <v>1</v>
      </c>
    </row>
    <row r="46" spans="1:29" ht="15">
      <c r="A46" s="580"/>
      <c r="B46" s="858">
        <v>111</v>
      </c>
      <c r="C46" s="525"/>
      <c r="D46" s="526">
        <v>100</v>
      </c>
      <c r="E46" s="514"/>
      <c r="F46" s="561">
        <f>SUMIF(129:129,E46,130:130)-SUMIF(129:129,C46,130:130)+100</f>
        <v>100</v>
      </c>
      <c r="G46" s="514"/>
      <c r="H46" s="526">
        <f>SUMIF(129:129,G46,130:130)-SUMIF(129:129,C46,130:130)+100</f>
        <v>100</v>
      </c>
      <c r="I46" s="514"/>
      <c r="J46" s="526">
        <f>SUMIF(129:129,I46,130:130)-SUMIF(129:129,C46,130:130)+100</f>
        <v>100</v>
      </c>
      <c r="K46" s="567"/>
      <c r="L46" s="2010"/>
      <c r="M46" s="2002"/>
      <c r="N46" s="2002"/>
      <c r="O46" s="2002"/>
      <c r="P46" s="3855"/>
      <c r="Q46" s="1494">
        <f t="shared" si="11"/>
        <v>111</v>
      </c>
      <c r="R46" s="1495" t="s">
        <v>8</v>
      </c>
      <c r="S46" s="1496">
        <f t="shared" si="12"/>
        <v>100</v>
      </c>
      <c r="T46" s="1495" t="s">
        <v>8</v>
      </c>
      <c r="U46" s="1496">
        <f t="shared" si="13"/>
        <v>100</v>
      </c>
      <c r="V46" s="1495" t="s">
        <v>8</v>
      </c>
      <c r="W46" s="1496">
        <f t="shared" si="14"/>
        <v>100</v>
      </c>
      <c r="X46" s="1489"/>
      <c r="Y46" s="3855"/>
      <c r="Z46" s="1497">
        <f t="shared" si="15"/>
        <v>111</v>
      </c>
      <c r="AA46" s="1498">
        <f t="shared" si="3"/>
        <v>1</v>
      </c>
      <c r="AB46" s="1498">
        <f t="shared" si="4"/>
        <v>1</v>
      </c>
      <c r="AC46" s="1498">
        <f t="shared" si="5"/>
        <v>1</v>
      </c>
    </row>
    <row r="47" spans="1:29" ht="15.75" thickBot="1">
      <c r="A47" s="867"/>
      <c r="B47" s="530">
        <v>111</v>
      </c>
      <c r="C47" s="531"/>
      <c r="D47" s="532">
        <v>100</v>
      </c>
      <c r="E47" s="514"/>
      <c r="F47" s="847">
        <f>SUMIF(131:131,E47,132:132)-SUMIF(131:131,C47,132:132)+100</f>
        <v>100</v>
      </c>
      <c r="G47" s="514"/>
      <c r="H47" s="532">
        <f>SUMIF(131:131,G47,132:132)-SUMIF(131:131,C47,132:132)+100</f>
        <v>100</v>
      </c>
      <c r="I47" s="514"/>
      <c r="J47" s="532">
        <f>SUMIF(131:131,I47,132:132)-SUMIF(131:131,C47,132:132)+100</f>
        <v>100</v>
      </c>
      <c r="K47" s="567"/>
      <c r="L47" s="2010"/>
      <c r="M47" s="2002"/>
      <c r="N47" s="2002"/>
      <c r="O47" s="2002"/>
      <c r="P47" s="3961"/>
      <c r="Q47" s="1494">
        <f t="shared" si="11"/>
        <v>111</v>
      </c>
      <c r="R47" s="1495" t="s">
        <v>8</v>
      </c>
      <c r="S47" s="1496">
        <f t="shared" si="12"/>
        <v>100</v>
      </c>
      <c r="T47" s="1495" t="s">
        <v>8</v>
      </c>
      <c r="U47" s="1496">
        <f t="shared" si="13"/>
        <v>100</v>
      </c>
      <c r="V47" s="1495" t="s">
        <v>8</v>
      </c>
      <c r="W47" s="1496">
        <f t="shared" si="14"/>
        <v>100</v>
      </c>
      <c r="X47" s="1489"/>
      <c r="Y47" s="3961"/>
      <c r="Z47" s="1497">
        <f t="shared" si="15"/>
        <v>111</v>
      </c>
      <c r="AA47" s="1498">
        <f t="shared" si="3"/>
        <v>1</v>
      </c>
      <c r="AB47" s="1498">
        <f t="shared" si="4"/>
        <v>1</v>
      </c>
      <c r="AC47" s="1498">
        <f t="shared" si="5"/>
        <v>1</v>
      </c>
    </row>
    <row r="48" spans="1:29" ht="15">
      <c r="A48" s="593" t="s">
        <v>730</v>
      </c>
      <c r="B48" s="868"/>
      <c r="C48" s="2456" t="s">
        <v>1</v>
      </c>
      <c r="D48" s="2457"/>
      <c r="E48" s="2458"/>
      <c r="F48" s="2459"/>
      <c r="G48" s="2460"/>
      <c r="H48" s="2461"/>
      <c r="I48" s="2458"/>
      <c r="J48" s="2461"/>
      <c r="K48" s="1528"/>
      <c r="L48" s="2012"/>
      <c r="M48" s="2002"/>
      <c r="N48" s="2002"/>
      <c r="O48" s="2002"/>
      <c r="P48" s="3872" t="str">
        <f>A48</f>
        <v>成交单价（元/平方米）</v>
      </c>
      <c r="Q48" s="3850"/>
      <c r="R48" s="3960">
        <f>E48</f>
        <v>0</v>
      </c>
      <c r="S48" s="3960"/>
      <c r="T48" s="3960">
        <f>G48</f>
        <v>0</v>
      </c>
      <c r="U48" s="3960"/>
      <c r="V48" s="3960">
        <f>I48</f>
        <v>0</v>
      </c>
      <c r="W48" s="3960"/>
      <c r="X48" s="1484"/>
      <c r="Y48" s="1503"/>
      <c r="Z48" s="1484"/>
      <c r="AA48" s="1484"/>
      <c r="AB48" s="1484"/>
      <c r="AC48" s="1484"/>
    </row>
    <row r="49" spans="1:29" ht="15.75" thickBot="1">
      <c r="A49" s="601" t="s">
        <v>2734</v>
      </c>
      <c r="B49" s="869"/>
      <c r="C49" s="2462" t="e">
        <f>R50</f>
        <v>#DIV/0!</v>
      </c>
      <c r="D49" s="2999" t="s">
        <v>2961</v>
      </c>
      <c r="E49" s="2463" t="e">
        <f>R49</f>
        <v>#DIV/0!</v>
      </c>
      <c r="F49" s="3000"/>
      <c r="G49" s="2462" t="e">
        <f>T49</f>
        <v>#DIV/0!</v>
      </c>
      <c r="H49" s="3000"/>
      <c r="I49" s="2463" t="e">
        <f>V49</f>
        <v>#DIV/0!</v>
      </c>
      <c r="J49" s="3000"/>
      <c r="K49" s="3008">
        <f>F49+H49+J49</f>
        <v>0</v>
      </c>
      <c r="L49" s="2012"/>
      <c r="M49" s="2002"/>
      <c r="N49" s="2002"/>
      <c r="O49" s="2002"/>
      <c r="P49" s="3872" t="str">
        <f>A49</f>
        <v>比较价格（元/平方米）</v>
      </c>
      <c r="Q49" s="3850"/>
      <c r="R49" s="3960" t="e">
        <f>IF(F1="售价",ROUND(PRODUCT(R48,AA7:AA47),0),ROUND(PRODUCT(R48,AA7:AA47),1))</f>
        <v>#DIV/0!</v>
      </c>
      <c r="S49" s="3960"/>
      <c r="T49" s="3960" t="e">
        <f>IF(F1="售价",ROUND(PRODUCT(T48,AB7:AB47),0),ROUND(PRODUCT(T48,AB7:AB47),1))</f>
        <v>#DIV/0!</v>
      </c>
      <c r="U49" s="3960"/>
      <c r="V49" s="3960" t="e">
        <f>IF(F1="售价",ROUND(PRODUCT(V48,AC7:AC47),0),ROUND(PRODUCT(V48,AC7:AC47),1))</f>
        <v>#DIV/0!</v>
      </c>
      <c r="W49" s="3960"/>
      <c r="X49" s="1484"/>
      <c r="Y49" s="1484"/>
      <c r="Z49" s="1484"/>
      <c r="AA49" s="1484"/>
      <c r="AB49" s="1484"/>
      <c r="AC49" s="1484"/>
    </row>
    <row r="50" spans="1:29" ht="15.75" thickBot="1">
      <c r="A50" s="605" t="s">
        <v>2893</v>
      </c>
      <c r="B50" s="606"/>
      <c r="C50" s="2464" t="e">
        <f>R50</f>
        <v>#DIV/0!</v>
      </c>
      <c r="D50" s="2464"/>
      <c r="E50" s="2464"/>
      <c r="F50" s="2464"/>
      <c r="G50" s="2464"/>
      <c r="H50" s="2464"/>
      <c r="I50" s="2464"/>
      <c r="J50" s="2464"/>
      <c r="K50" s="1529"/>
      <c r="L50" s="2012"/>
      <c r="M50" s="2002"/>
      <c r="N50" s="2002"/>
      <c r="O50" s="2002"/>
      <c r="P50" s="3965" t="str">
        <f>A50</f>
        <v>估价对象XX用房的比较价格（楼面单价，元/平方米）</v>
      </c>
      <c r="Q50" s="3872"/>
      <c r="R50" s="3959" t="e">
        <f>IF(F1="售价",ROUND(IF(D49="简单平均",AVERAGE(R49:V49),R49*F49+T49*H49+V49*J49),0),ROUND(IF(D49="简单平均",AVERAGE(R49:V49),R49*F49+T49*H49+V49*J49),1))</f>
        <v>#DIV/0!</v>
      </c>
      <c r="S50" s="3959"/>
      <c r="T50" s="3959"/>
      <c r="U50" s="3959"/>
      <c r="V50" s="3959"/>
      <c r="W50" s="3959"/>
      <c r="X50" s="1484"/>
      <c r="Y50" s="1484"/>
      <c r="Z50" s="1484"/>
      <c r="AA50" s="1484"/>
      <c r="AB50" s="1484"/>
      <c r="AC50" s="1484"/>
    </row>
    <row r="51" spans="1:29">
      <c r="A51" s="3199"/>
      <c r="B51" s="3199"/>
      <c r="C51" s="3199"/>
      <c r="D51" s="3199"/>
      <c r="E51" s="3199"/>
      <c r="F51" s="3199"/>
      <c r="G51" s="3201"/>
      <c r="H51" s="3199"/>
      <c r="I51" s="3199"/>
      <c r="J51" s="3199"/>
      <c r="K51" s="3202"/>
      <c r="L51" s="2017"/>
      <c r="M51" s="2013"/>
      <c r="N51" s="2013"/>
      <c r="O51" s="2013"/>
      <c r="P51" s="2074"/>
      <c r="Q51" s="2013"/>
      <c r="R51" s="2013"/>
      <c r="S51" s="2013"/>
      <c r="T51" s="2013"/>
      <c r="U51" s="2013"/>
      <c r="V51" s="2013"/>
      <c r="W51" s="2013"/>
      <c r="X51" s="2013"/>
      <c r="Y51" s="2013"/>
      <c r="Z51" s="2013"/>
      <c r="AA51" s="2013"/>
      <c r="AB51" s="2013"/>
      <c r="AC51" s="2013"/>
    </row>
    <row r="52" spans="1:29">
      <c r="A52" s="3199"/>
      <c r="B52" s="3199"/>
      <c r="C52" s="3199"/>
      <c r="D52" s="3199"/>
      <c r="E52" s="3199"/>
      <c r="F52" s="3199"/>
      <c r="G52" s="3199"/>
      <c r="H52" s="3199"/>
      <c r="I52" s="3199"/>
      <c r="J52" s="3199"/>
      <c r="K52" s="3202"/>
      <c r="L52" s="2017"/>
      <c r="M52" s="2013"/>
      <c r="N52" s="2013"/>
      <c r="O52" s="2013"/>
      <c r="P52" s="2074"/>
      <c r="Q52" s="2013"/>
      <c r="R52" s="2013"/>
      <c r="S52" s="2013"/>
      <c r="T52" s="2013"/>
      <c r="U52" s="2013"/>
      <c r="V52" s="2013"/>
      <c r="W52" s="2013"/>
      <c r="X52" s="2013"/>
      <c r="Y52" s="2013"/>
      <c r="Z52" s="2013"/>
      <c r="AA52" s="2013"/>
      <c r="AB52" s="2013"/>
      <c r="AC52" s="2013"/>
    </row>
    <row r="53" spans="1:29" ht="13.5" customHeight="1">
      <c r="A53" s="3199"/>
      <c r="B53" s="3199"/>
      <c r="C53" s="608" t="s">
        <v>551</v>
      </c>
      <c r="D53" s="609"/>
      <c r="E53" s="610" t="e">
        <f>IF(E48&lt;E49,E49/E48-1,E48/E49-1)</f>
        <v>#DIV/0!</v>
      </c>
      <c r="F53" s="611" t="e">
        <f>IF(OR(E53&gt;=0.3,E53&lt;=-0.3),"超过30%","")</f>
        <v>#DIV/0!</v>
      </c>
      <c r="G53" s="610" t="e">
        <f>IF(G48&lt;G49,G49/G48-1,G48/G49-1)</f>
        <v>#DIV/0!</v>
      </c>
      <c r="H53" s="611" t="e">
        <f>IF(OR(G53&gt;=0.3,G53&lt;=-0.3),"超过30%","")</f>
        <v>#DIV/0!</v>
      </c>
      <c r="I53" s="610" t="e">
        <f>IF(I48&lt;I49,I49/I48-1,I48/I49-1)</f>
        <v>#DIV/0!</v>
      </c>
      <c r="J53" s="611" t="e">
        <f>IF(OR(I53&gt;=0.3,I53&lt;=-0.3),"超过30%","")</f>
        <v>#DIV/0!</v>
      </c>
      <c r="K53" s="3202"/>
      <c r="L53" s="2017"/>
      <c r="M53" s="2013"/>
      <c r="N53" s="2013"/>
      <c r="O53" s="2013"/>
      <c r="P53" s="2074"/>
      <c r="Q53" s="2013"/>
      <c r="R53" s="2013"/>
      <c r="S53" s="2013"/>
      <c r="T53" s="2013"/>
      <c r="U53" s="2013"/>
      <c r="V53" s="2013"/>
      <c r="W53" s="2013"/>
      <c r="X53" s="2013"/>
      <c r="Y53" s="2013"/>
      <c r="Z53" s="2013"/>
      <c r="AA53" s="2013"/>
      <c r="AB53" s="2013"/>
      <c r="AC53" s="2013"/>
    </row>
    <row r="54" spans="1:29" ht="13.5" customHeight="1">
      <c r="A54" s="3199"/>
      <c r="B54" s="3199"/>
      <c r="C54" s="608" t="s">
        <v>552</v>
      </c>
      <c r="D54" s="612"/>
      <c r="E54" s="610" t="e">
        <f>IF(E49&lt;G49,G49/E49-1,E49/G49-1)</f>
        <v>#DIV/0!</v>
      </c>
      <c r="F54" s="611" t="e">
        <f>IF(OR(E54&gt;=0.2,E54&lt;=-0.2),"超过20%","")</f>
        <v>#DIV/0!</v>
      </c>
      <c r="G54" s="610" t="e">
        <f>IF(G49&lt;I49,I49/G49-1,G49/I49-1)</f>
        <v>#DIV/0!</v>
      </c>
      <c r="H54" s="611" t="e">
        <f>IF(OR(G54&gt;=0.2,G54&lt;=-0.2),"超过20%","")</f>
        <v>#DIV/0!</v>
      </c>
      <c r="I54" s="610" t="e">
        <f>IF(I49&lt;E49,E49/I49-1,I49/E49-1)</f>
        <v>#DIV/0!</v>
      </c>
      <c r="J54" s="611" t="e">
        <f>IF(OR(I54&gt;=0.2,I54&lt;=-0.2),"超过20%","")</f>
        <v>#DIV/0!</v>
      </c>
      <c r="K54" s="3202"/>
      <c r="L54" s="2017"/>
      <c r="M54" s="2013"/>
      <c r="N54" s="2013"/>
      <c r="O54" s="2013"/>
      <c r="P54" s="2074"/>
      <c r="Q54" s="2013"/>
      <c r="R54" s="2013"/>
      <c r="S54" s="2013"/>
      <c r="T54" s="2013"/>
      <c r="U54" s="2013"/>
      <c r="V54" s="2013"/>
      <c r="W54" s="2013"/>
      <c r="X54" s="2013"/>
      <c r="Y54" s="2013"/>
      <c r="Z54" s="2013"/>
      <c r="AA54" s="2013"/>
      <c r="AB54" s="2013"/>
      <c r="AC54" s="2013"/>
    </row>
    <row r="55" spans="1:29" s="1288" customFormat="1" ht="13.5" customHeight="1">
      <c r="A55" s="3200"/>
      <c r="B55" s="3200"/>
      <c r="C55" s="608" t="s">
        <v>553</v>
      </c>
      <c r="D55" s="612"/>
      <c r="E55" s="610" t="e">
        <f>IF(E48&lt;G48,G48/E48-1,E48/G48-1)</f>
        <v>#DIV/0!</v>
      </c>
      <c r="F55" s="611" t="e">
        <f>IF(OR(E55&gt;=0.3,E55&lt;=-0.3),"超过30%","")</f>
        <v>#DIV/0!</v>
      </c>
      <c r="G55" s="610" t="e">
        <f>IF(G48&lt;I48,I48/G48-1,G48/I48-1)</f>
        <v>#DIV/0!</v>
      </c>
      <c r="H55" s="611" t="e">
        <f>IF(OR(G55&gt;=0.3,G55&lt;=-0.3),"超过30%","")</f>
        <v>#DIV/0!</v>
      </c>
      <c r="I55" s="610" t="e">
        <f>IF(I48&lt;E48,E48/I48-1,I48/E48-1)</f>
        <v>#DIV/0!</v>
      </c>
      <c r="J55" s="611" t="e">
        <f>IF(OR(I55&gt;=0.3,I55&lt;=-0.3),"超过30%","")</f>
        <v>#DIV/0!</v>
      </c>
      <c r="K55" s="3203"/>
      <c r="L55" s="2020"/>
      <c r="M55" s="2014"/>
      <c r="N55" s="2014"/>
      <c r="O55" s="2014"/>
      <c r="P55" s="2075"/>
      <c r="Q55" s="2014"/>
      <c r="R55" s="2014"/>
      <c r="S55" s="2014"/>
      <c r="T55" s="2014"/>
      <c r="U55" s="2014"/>
      <c r="V55" s="2014"/>
      <c r="W55" s="2014"/>
      <c r="X55" s="2014"/>
      <c r="Y55" s="2014"/>
      <c r="Z55" s="2014"/>
      <c r="AA55" s="2014"/>
      <c r="AB55" s="2014"/>
      <c r="AC55" s="2014"/>
    </row>
    <row r="56" spans="1:29" s="1288" customFormat="1">
      <c r="A56" s="2014"/>
      <c r="B56" s="2015"/>
      <c r="C56" s="2018"/>
      <c r="D56" s="2014"/>
      <c r="E56" s="2014"/>
      <c r="F56" s="2014"/>
      <c r="G56" s="2014"/>
      <c r="H56" s="2014"/>
      <c r="I56" s="2014"/>
      <c r="J56" s="2014"/>
      <c r="K56" s="2019"/>
      <c r="L56" s="2020"/>
      <c r="M56" s="2014"/>
      <c r="N56" s="2014"/>
      <c r="O56" s="2014"/>
      <c r="P56" s="2075"/>
      <c r="Q56" s="2014"/>
      <c r="R56" s="2014"/>
      <c r="S56" s="2014"/>
      <c r="T56" s="2014"/>
      <c r="U56" s="2014"/>
      <c r="V56" s="2014"/>
      <c r="W56" s="2014"/>
      <c r="X56" s="2014"/>
      <c r="Y56" s="2014"/>
      <c r="Z56" s="2014"/>
      <c r="AA56" s="2014"/>
      <c r="AB56" s="2014"/>
      <c r="AC56" s="2014"/>
    </row>
    <row r="57" spans="1:29">
      <c r="A57" s="2013"/>
      <c r="B57" s="2015"/>
      <c r="C57" s="2018"/>
      <c r="D57" s="2013"/>
      <c r="E57" s="2013"/>
      <c r="F57" s="2013"/>
      <c r="G57" s="2013"/>
      <c r="H57" s="2013"/>
      <c r="I57" s="2013"/>
      <c r="J57" s="2013"/>
      <c r="K57" s="2016"/>
      <c r="L57" s="2017"/>
      <c r="M57" s="2013"/>
      <c r="N57" s="2013"/>
      <c r="O57" s="2013"/>
      <c r="P57" s="2074"/>
      <c r="Q57" s="2013"/>
      <c r="R57" s="2013"/>
      <c r="S57" s="2013"/>
      <c r="T57" s="2013"/>
      <c r="U57" s="2013"/>
      <c r="V57" s="2013"/>
      <c r="W57" s="2013"/>
      <c r="X57" s="2013"/>
      <c r="Y57" s="2013"/>
      <c r="Z57" s="2013"/>
      <c r="AA57" s="2013"/>
      <c r="AB57" s="2013"/>
      <c r="AC57" s="2013"/>
    </row>
    <row r="58" spans="1:29" ht="21.75" thickBot="1">
      <c r="A58" s="1506" t="s">
        <v>568</v>
      </c>
      <c r="B58" s="1484"/>
      <c r="C58" s="1505"/>
      <c r="D58" s="1505"/>
      <c r="E58" s="1505"/>
      <c r="F58" s="1507"/>
      <c r="G58" s="1507"/>
      <c r="H58" s="1505"/>
      <c r="I58" s="1505"/>
      <c r="J58" s="1505"/>
      <c r="K58" s="1508"/>
      <c r="L58" s="1504"/>
      <c r="M58" s="1505"/>
      <c r="N58" s="2024"/>
      <c r="O58" s="2024"/>
      <c r="P58" s="2076"/>
      <c r="Q58" s="2025"/>
      <c r="R58" s="2013"/>
      <c r="S58" s="2013"/>
      <c r="T58" s="2013"/>
      <c r="U58" s="2013"/>
      <c r="V58" s="2013"/>
      <c r="W58" s="2013"/>
      <c r="X58" s="2013"/>
      <c r="Y58" s="2013"/>
      <c r="Z58" s="2013"/>
      <c r="AA58" s="2013"/>
      <c r="AB58" s="2013"/>
      <c r="AC58" s="2013"/>
    </row>
    <row r="59" spans="1:29" s="1290" customFormat="1" ht="15">
      <c r="A59" s="629" t="s">
        <v>523</v>
      </c>
      <c r="B59" s="630"/>
      <c r="C59" s="2505" t="str">
        <f>YEAR(C7)&amp;"-"&amp;MONTH(C7)</f>
        <v>2020-12</v>
      </c>
      <c r="D59" s="2507">
        <f>EDATE(C59,-1)</f>
        <v>44136</v>
      </c>
      <c r="E59" s="2507">
        <f t="shared" ref="E59:O59" si="16">EDATE(D59,-1)</f>
        <v>44105</v>
      </c>
      <c r="F59" s="2507">
        <f t="shared" si="16"/>
        <v>44075</v>
      </c>
      <c r="G59" s="2507">
        <f t="shared" si="16"/>
        <v>44044</v>
      </c>
      <c r="H59" s="2507">
        <f t="shared" si="16"/>
        <v>44013</v>
      </c>
      <c r="I59" s="2507">
        <f t="shared" si="16"/>
        <v>43983</v>
      </c>
      <c r="J59" s="2507">
        <f t="shared" si="16"/>
        <v>43952</v>
      </c>
      <c r="K59" s="2507">
        <f t="shared" si="16"/>
        <v>43922</v>
      </c>
      <c r="L59" s="2507">
        <f t="shared" si="16"/>
        <v>43891</v>
      </c>
      <c r="M59" s="2507">
        <f t="shared" si="16"/>
        <v>43862</v>
      </c>
      <c r="N59" s="2507">
        <f t="shared" si="16"/>
        <v>43831</v>
      </c>
      <c r="O59" s="2507">
        <f t="shared" si="16"/>
        <v>43800</v>
      </c>
      <c r="P59" s="2077"/>
      <c r="Q59" s="2028"/>
      <c r="R59" s="2028"/>
      <c r="S59" s="2028"/>
      <c r="T59" s="2028"/>
      <c r="U59" s="2028"/>
      <c r="V59" s="2028"/>
      <c r="W59" s="2028"/>
      <c r="X59" s="2028"/>
      <c r="Y59" s="2028"/>
      <c r="Z59" s="2028"/>
      <c r="AA59" s="2028"/>
      <c r="AB59" s="2028"/>
      <c r="AC59" s="2028"/>
    </row>
    <row r="60" spans="1:29" s="1194" customFormat="1" ht="15">
      <c r="A60" s="631"/>
      <c r="B60" s="632"/>
      <c r="C60" s="633">
        <v>100</v>
      </c>
      <c r="D60" s="634"/>
      <c r="E60" s="634"/>
      <c r="F60" s="634"/>
      <c r="G60" s="634"/>
      <c r="H60" s="634"/>
      <c r="I60" s="634"/>
      <c r="J60" s="634"/>
      <c r="K60" s="634"/>
      <c r="L60" s="634"/>
      <c r="M60" s="635"/>
      <c r="N60" s="634"/>
      <c r="O60" s="635"/>
      <c r="P60" s="2078"/>
      <c r="Q60" s="1891"/>
      <c r="R60" s="1891"/>
      <c r="S60" s="1891"/>
      <c r="T60" s="1891"/>
      <c r="U60" s="1891"/>
      <c r="V60" s="1891"/>
      <c r="W60" s="1891"/>
      <c r="X60" s="1891"/>
      <c r="Y60" s="1891"/>
      <c r="Z60" s="1891"/>
      <c r="AA60" s="1891"/>
      <c r="AB60" s="1891"/>
      <c r="AC60" s="1891"/>
    </row>
    <row r="61" spans="1:29" s="1194" customFormat="1" ht="15.75" thickBot="1">
      <c r="A61" s="637" t="s">
        <v>569</v>
      </c>
      <c r="B61" s="638"/>
      <c r="C61" s="639"/>
      <c r="D61" s="640"/>
      <c r="E61" s="640"/>
      <c r="F61" s="640"/>
      <c r="G61" s="640"/>
      <c r="H61" s="640"/>
      <c r="I61" s="640"/>
      <c r="J61" s="640"/>
      <c r="K61" s="640"/>
      <c r="L61" s="640"/>
      <c r="M61" s="641"/>
      <c r="N61" s="640"/>
      <c r="O61" s="641"/>
      <c r="P61" s="2078"/>
      <c r="Q61" s="2025"/>
      <c r="R61" s="1891"/>
      <c r="S61" s="1891"/>
      <c r="T61" s="1891"/>
      <c r="U61" s="1891"/>
      <c r="V61" s="1891"/>
      <c r="W61" s="1891"/>
      <c r="X61" s="1891"/>
      <c r="Y61" s="1891"/>
      <c r="Z61" s="1891"/>
      <c r="AA61" s="1891"/>
      <c r="AB61" s="1891"/>
      <c r="AC61" s="1891"/>
    </row>
    <row r="62" spans="1:29" s="1194" customFormat="1" ht="15">
      <c r="A62" s="643" t="s">
        <v>525</v>
      </c>
      <c r="B62" s="632"/>
      <c r="C62" s="644" t="s">
        <v>570</v>
      </c>
      <c r="D62" s="645"/>
      <c r="E62" s="645"/>
      <c r="F62" s="645"/>
      <c r="G62" s="645"/>
      <c r="H62" s="645"/>
      <c r="I62" s="645"/>
      <c r="J62" s="645"/>
      <c r="K62" s="645"/>
      <c r="L62" s="646"/>
      <c r="M62" s="647"/>
      <c r="N62" s="2029"/>
      <c r="O62" s="2029"/>
      <c r="P62" s="2079"/>
      <c r="Q62" s="2025"/>
      <c r="R62" s="1891"/>
      <c r="S62" s="1891"/>
      <c r="T62" s="1891"/>
      <c r="U62" s="1891"/>
      <c r="V62" s="1891"/>
      <c r="W62" s="1891"/>
      <c r="X62" s="1891"/>
      <c r="Y62" s="1891"/>
      <c r="Z62" s="1891"/>
      <c r="AA62" s="1891"/>
      <c r="AB62" s="1891"/>
      <c r="AC62" s="1891"/>
    </row>
    <row r="63" spans="1:29" s="1194" customFormat="1" ht="15.75" thickBot="1">
      <c r="A63" s="643"/>
      <c r="B63" s="632"/>
      <c r="C63" s="870">
        <v>100</v>
      </c>
      <c r="D63" s="634"/>
      <c r="E63" s="634"/>
      <c r="F63" s="634"/>
      <c r="G63" s="634"/>
      <c r="H63" s="634"/>
      <c r="I63" s="634"/>
      <c r="J63" s="634"/>
      <c r="K63" s="634"/>
      <c r="L63" s="634"/>
      <c r="M63" s="636"/>
      <c r="N63" s="2029"/>
      <c r="O63" s="2029"/>
      <c r="P63" s="2078"/>
      <c r="Q63" s="2025"/>
      <c r="R63" s="1891"/>
      <c r="S63" s="1891"/>
      <c r="T63" s="1891"/>
      <c r="U63" s="1891"/>
      <c r="V63" s="1891"/>
      <c r="W63" s="1891"/>
      <c r="X63" s="1891"/>
      <c r="Y63" s="1891"/>
      <c r="Z63" s="1891"/>
      <c r="AA63" s="1891"/>
      <c r="AB63" s="1891"/>
      <c r="AC63" s="1891"/>
    </row>
    <row r="64" spans="1:29">
      <c r="A64" s="648" t="s">
        <v>571</v>
      </c>
      <c r="B64" s="649" t="s">
        <v>528</v>
      </c>
      <c r="C64" s="688">
        <f>C9</f>
        <v>0</v>
      </c>
      <c r="D64" s="584"/>
      <c r="E64" s="584"/>
      <c r="F64" s="584"/>
      <c r="G64" s="584"/>
      <c r="H64" s="584"/>
      <c r="I64" s="584"/>
      <c r="J64" s="584"/>
      <c r="K64" s="650"/>
      <c r="L64" s="651"/>
      <c r="M64" s="652"/>
      <c r="N64" s="2031"/>
      <c r="O64" s="2031"/>
      <c r="P64" s="2080"/>
      <c r="Q64" s="2025"/>
      <c r="R64" s="2013"/>
      <c r="S64" s="2013"/>
      <c r="T64" s="2013"/>
      <c r="U64" s="2013"/>
      <c r="V64" s="2013"/>
      <c r="W64" s="2013"/>
      <c r="X64" s="2013"/>
      <c r="Y64" s="2013"/>
      <c r="Z64" s="2013"/>
      <c r="AA64" s="2013"/>
      <c r="AB64" s="2013"/>
      <c r="AC64" s="2013"/>
    </row>
    <row r="65" spans="1:29" ht="15.75" thickBot="1">
      <c r="A65" s="653"/>
      <c r="B65" s="654"/>
      <c r="C65" s="655"/>
      <c r="D65" s="655"/>
      <c r="E65" s="655"/>
      <c r="F65" s="655"/>
      <c r="G65" s="655"/>
      <c r="H65" s="655"/>
      <c r="I65" s="655"/>
      <c r="J65" s="655"/>
      <c r="K65" s="655"/>
      <c r="L65" s="655"/>
      <c r="M65" s="656"/>
      <c r="N65" s="2033"/>
      <c r="O65" s="2033"/>
      <c r="P65" s="2080"/>
      <c r="Q65" s="2025"/>
      <c r="R65" s="2013"/>
      <c r="S65" s="2013"/>
      <c r="T65" s="2013"/>
      <c r="U65" s="2013"/>
      <c r="V65" s="2013"/>
      <c r="W65" s="2013"/>
      <c r="X65" s="2013"/>
      <c r="Y65" s="2013"/>
      <c r="Z65" s="2013"/>
      <c r="AA65" s="2013"/>
      <c r="AB65" s="2013"/>
      <c r="AC65" s="2013"/>
    </row>
    <row r="66" spans="1:29" ht="27.75" thickTop="1">
      <c r="A66" s="653"/>
      <c r="B66" s="657" t="s">
        <v>531</v>
      </c>
      <c r="C66" s="658" t="s">
        <v>731</v>
      </c>
      <c r="D66" s="658" t="s">
        <v>732</v>
      </c>
      <c r="E66" s="658" t="s">
        <v>733</v>
      </c>
      <c r="F66" s="658" t="s">
        <v>734</v>
      </c>
      <c r="G66" s="658" t="s">
        <v>735</v>
      </c>
      <c r="H66" s="658" t="s">
        <v>736</v>
      </c>
      <c r="I66" s="658" t="s">
        <v>737</v>
      </c>
      <c r="J66" s="658"/>
      <c r="K66" s="659"/>
      <c r="L66" s="660"/>
      <c r="M66" s="661"/>
      <c r="N66" s="2031"/>
      <c r="O66" s="2031"/>
      <c r="P66" s="2080"/>
      <c r="Q66" s="2025"/>
      <c r="R66" s="2013"/>
      <c r="S66" s="2013"/>
      <c r="T66" s="2013"/>
      <c r="U66" s="2013"/>
      <c r="V66" s="2013"/>
      <c r="W66" s="2013"/>
      <c r="X66" s="2013"/>
      <c r="Y66" s="2013"/>
      <c r="Z66" s="2013"/>
      <c r="AA66" s="2013"/>
      <c r="AB66" s="2013"/>
      <c r="AC66" s="2013"/>
    </row>
    <row r="67" spans="1:29" ht="15.75" thickBot="1">
      <c r="A67" s="653"/>
      <c r="B67" s="662"/>
      <c r="C67" s="663" t="s">
        <v>14</v>
      </c>
      <c r="D67" s="663" t="s">
        <v>15</v>
      </c>
      <c r="E67" s="663">
        <v>100</v>
      </c>
      <c r="F67" s="663">
        <f>E67-$K10</f>
        <v>100</v>
      </c>
      <c r="G67" s="663">
        <f>F67-$K10</f>
        <v>100</v>
      </c>
      <c r="H67" s="663">
        <f>G67-$K10</f>
        <v>100</v>
      </c>
      <c r="I67" s="663">
        <f>H67-$K10</f>
        <v>100</v>
      </c>
      <c r="J67" s="663"/>
      <c r="K67" s="663"/>
      <c r="L67" s="663"/>
      <c r="M67" s="664"/>
      <c r="N67" s="2033"/>
      <c r="O67" s="2033"/>
      <c r="P67" s="2080"/>
      <c r="Q67" s="2025"/>
      <c r="R67" s="2013"/>
      <c r="S67" s="2013"/>
      <c r="T67" s="2013"/>
      <c r="U67" s="2013"/>
      <c r="V67" s="2013"/>
      <c r="W67" s="2013"/>
      <c r="X67" s="2013"/>
      <c r="Y67" s="2013"/>
      <c r="Z67" s="2013"/>
      <c r="AA67" s="2013"/>
      <c r="AB67" s="2013"/>
      <c r="AC67" s="2013"/>
    </row>
    <row r="68" spans="1:29" ht="15.75" thickTop="1">
      <c r="A68" s="653"/>
      <c r="B68" s="665" t="s">
        <v>532</v>
      </c>
      <c r="C68" s="666" t="str">
        <f>C69&amp;"（含）"&amp;"-"&amp;D69</f>
        <v>（含）-</v>
      </c>
      <c r="D68" s="666" t="str">
        <f t="shared" ref="D68:L68" si="17">D69&amp;"（含）"&amp;"-"&amp;E69</f>
        <v>（含）-</v>
      </c>
      <c r="E68" s="666" t="str">
        <f t="shared" si="17"/>
        <v>（含）-</v>
      </c>
      <c r="F68" s="666" t="str">
        <f t="shared" si="17"/>
        <v>（含）-</v>
      </c>
      <c r="G68" s="666" t="str">
        <f t="shared" si="17"/>
        <v>（含）-</v>
      </c>
      <c r="H68" s="666" t="str">
        <f t="shared" si="17"/>
        <v>（含）-</v>
      </c>
      <c r="I68" s="666" t="str">
        <f t="shared" si="17"/>
        <v>（含）-</v>
      </c>
      <c r="J68" s="666" t="str">
        <f t="shared" si="17"/>
        <v>（含）-</v>
      </c>
      <c r="K68" s="666" t="str">
        <f t="shared" si="17"/>
        <v>（含）-</v>
      </c>
      <c r="L68" s="666" t="str">
        <f t="shared" si="17"/>
        <v>（含）-</v>
      </c>
      <c r="M68" s="541" t="str">
        <f>M69&amp;"（含）"&amp;"-"&amp;P69</f>
        <v>（含）-</v>
      </c>
      <c r="N68" s="2033"/>
      <c r="O68" s="2033"/>
      <c r="P68" s="2080"/>
      <c r="Q68" s="2025"/>
      <c r="R68" s="2013"/>
      <c r="S68" s="2013"/>
      <c r="T68" s="2013"/>
      <c r="U68" s="2013"/>
      <c r="V68" s="2013"/>
      <c r="W68" s="2013"/>
      <c r="X68" s="2013"/>
      <c r="Y68" s="2013"/>
      <c r="Z68" s="2013"/>
      <c r="AA68" s="2013"/>
      <c r="AB68" s="2013"/>
      <c r="AC68" s="2013"/>
    </row>
    <row r="69" spans="1:29" ht="15">
      <c r="A69" s="653"/>
      <c r="B69" s="667"/>
      <c r="C69" s="527"/>
      <c r="D69" s="527"/>
      <c r="E69" s="527"/>
      <c r="F69" s="527"/>
      <c r="G69" s="527"/>
      <c r="H69" s="527"/>
      <c r="I69" s="527"/>
      <c r="J69" s="527"/>
      <c r="K69" s="668"/>
      <c r="L69" s="669"/>
      <c r="M69" s="670"/>
      <c r="N69" s="2031"/>
      <c r="O69" s="2031"/>
      <c r="P69" s="2080"/>
      <c r="Q69" s="2025"/>
      <c r="R69" s="2013"/>
      <c r="S69" s="2013"/>
      <c r="T69" s="2013"/>
      <c r="U69" s="2013"/>
      <c r="V69" s="2013"/>
      <c r="W69" s="2013"/>
      <c r="X69" s="2013"/>
      <c r="Y69" s="2013"/>
      <c r="Z69" s="2013"/>
      <c r="AA69" s="2013"/>
      <c r="AB69" s="2013"/>
      <c r="AC69" s="2013"/>
    </row>
    <row r="70" spans="1:29" ht="15.75" thickBot="1">
      <c r="A70" s="653"/>
      <c r="B70" s="654"/>
      <c r="C70" s="663">
        <v>100</v>
      </c>
      <c r="D70" s="663">
        <f t="shared" ref="D70:M70" si="18">C70-$K11</f>
        <v>100</v>
      </c>
      <c r="E70" s="663">
        <f t="shared" si="18"/>
        <v>100</v>
      </c>
      <c r="F70" s="663">
        <f t="shared" si="18"/>
        <v>100</v>
      </c>
      <c r="G70" s="663">
        <f t="shared" si="18"/>
        <v>100</v>
      </c>
      <c r="H70" s="663">
        <f t="shared" si="18"/>
        <v>100</v>
      </c>
      <c r="I70" s="663">
        <f t="shared" si="18"/>
        <v>100</v>
      </c>
      <c r="J70" s="663">
        <f t="shared" si="18"/>
        <v>100</v>
      </c>
      <c r="K70" s="663">
        <f t="shared" si="18"/>
        <v>100</v>
      </c>
      <c r="L70" s="663">
        <f t="shared" si="18"/>
        <v>100</v>
      </c>
      <c r="M70" s="664">
        <f t="shared" si="18"/>
        <v>100</v>
      </c>
      <c r="N70" s="2033"/>
      <c r="O70" s="2033"/>
      <c r="P70" s="2080"/>
      <c r="Q70" s="2025"/>
      <c r="R70" s="2013"/>
      <c r="S70" s="2013"/>
      <c r="T70" s="2013"/>
      <c r="U70" s="2013"/>
      <c r="V70" s="2013"/>
      <c r="W70" s="2013"/>
      <c r="X70" s="2013"/>
      <c r="Y70" s="2013"/>
      <c r="Z70" s="2013"/>
      <c r="AA70" s="2013"/>
      <c r="AB70" s="2013"/>
      <c r="AC70" s="2013"/>
    </row>
    <row r="71" spans="1:29" s="1283" customFormat="1" ht="15.75" thickTop="1">
      <c r="A71" s="671"/>
      <c r="B71" s="657">
        <f>B12</f>
        <v>111</v>
      </c>
      <c r="C71" s="672"/>
      <c r="D71" s="672"/>
      <c r="E71" s="672"/>
      <c r="F71" s="672"/>
      <c r="G71" s="672"/>
      <c r="H71" s="673"/>
      <c r="I71" s="673"/>
      <c r="J71" s="673"/>
      <c r="K71" s="673"/>
      <c r="L71" s="674"/>
      <c r="M71" s="675"/>
      <c r="N71" s="2034"/>
      <c r="O71" s="2034"/>
      <c r="P71" s="2081"/>
      <c r="Q71" s="2036"/>
      <c r="R71" s="2037"/>
      <c r="S71" s="2037"/>
      <c r="T71" s="2037"/>
      <c r="U71" s="2037"/>
      <c r="V71" s="2037"/>
      <c r="W71" s="2037"/>
      <c r="X71" s="2037"/>
      <c r="Y71" s="2037"/>
      <c r="Z71" s="2037"/>
      <c r="AA71" s="2037"/>
      <c r="AB71" s="2037"/>
      <c r="AC71" s="2037"/>
    </row>
    <row r="72" spans="1:29" s="1283" customFormat="1" ht="15.75" thickBot="1">
      <c r="A72" s="671"/>
      <c r="B72" s="662"/>
      <c r="C72" s="676"/>
      <c r="D72" s="655"/>
      <c r="E72" s="655"/>
      <c r="F72" s="655"/>
      <c r="G72" s="655"/>
      <c r="H72" s="655"/>
      <c r="I72" s="655"/>
      <c r="J72" s="655"/>
      <c r="K72" s="655"/>
      <c r="L72" s="655"/>
      <c r="M72" s="656"/>
      <c r="N72" s="2033"/>
      <c r="O72" s="2033"/>
      <c r="P72" s="2081"/>
      <c r="Q72" s="2036"/>
      <c r="R72" s="2037"/>
      <c r="S72" s="2037"/>
      <c r="T72" s="2037"/>
      <c r="U72" s="2037"/>
      <c r="V72" s="2037"/>
      <c r="W72" s="2037"/>
      <c r="X72" s="2037"/>
      <c r="Y72" s="2037"/>
      <c r="Z72" s="2037"/>
      <c r="AA72" s="2037"/>
      <c r="AB72" s="2037"/>
      <c r="AC72" s="2037"/>
    </row>
    <row r="73" spans="1:29" s="1283" customFormat="1" ht="15.75" thickTop="1">
      <c r="A73" s="671"/>
      <c r="B73" s="657">
        <f>B13</f>
        <v>111</v>
      </c>
      <c r="C73" s="672"/>
      <c r="D73" s="672"/>
      <c r="E73" s="672"/>
      <c r="F73" s="672"/>
      <c r="G73" s="672"/>
      <c r="H73" s="673"/>
      <c r="I73" s="673"/>
      <c r="J73" s="673"/>
      <c r="K73" s="673"/>
      <c r="L73" s="674"/>
      <c r="M73" s="675"/>
      <c r="N73" s="2034"/>
      <c r="O73" s="2034"/>
      <c r="P73" s="2082"/>
      <c r="Q73" s="2039"/>
      <c r="R73" s="2037"/>
      <c r="S73" s="2037"/>
      <c r="T73" s="2037"/>
      <c r="U73" s="2037"/>
      <c r="V73" s="2037"/>
      <c r="W73" s="2037"/>
      <c r="X73" s="2037"/>
      <c r="Y73" s="2037"/>
      <c r="Z73" s="2037"/>
      <c r="AA73" s="2037"/>
      <c r="AB73" s="2037"/>
      <c r="AC73" s="2037"/>
    </row>
    <row r="74" spans="1:29" s="1283" customFormat="1" ht="15.75" thickBot="1">
      <c r="A74" s="671"/>
      <c r="B74" s="662"/>
      <c r="C74" s="676"/>
      <c r="D74" s="676"/>
      <c r="E74" s="676"/>
      <c r="F74" s="676"/>
      <c r="G74" s="676"/>
      <c r="H74" s="677"/>
      <c r="I74" s="677"/>
      <c r="J74" s="677"/>
      <c r="K74" s="677"/>
      <c r="L74" s="677"/>
      <c r="M74" s="678"/>
      <c r="N74" s="2034"/>
      <c r="O74" s="2034"/>
      <c r="P74" s="2081"/>
      <c r="Q74" s="2036"/>
      <c r="R74" s="2037"/>
      <c r="S74" s="2037"/>
      <c r="T74" s="2037"/>
      <c r="U74" s="2037"/>
      <c r="V74" s="2037"/>
      <c r="W74" s="2037"/>
      <c r="X74" s="2037"/>
      <c r="Y74" s="2037"/>
      <c r="Z74" s="2037"/>
      <c r="AA74" s="2037"/>
      <c r="AB74" s="2037"/>
      <c r="AC74" s="2037"/>
    </row>
    <row r="75" spans="1:29" s="1283" customFormat="1" ht="15.75" thickTop="1">
      <c r="A75" s="671"/>
      <c r="B75" s="665">
        <f>B14</f>
        <v>111</v>
      </c>
      <c r="C75" s="645"/>
      <c r="D75" s="645"/>
      <c r="E75" s="645"/>
      <c r="F75" s="645"/>
      <c r="G75" s="645"/>
      <c r="H75" s="679"/>
      <c r="I75" s="679"/>
      <c r="J75" s="679"/>
      <c r="K75" s="679"/>
      <c r="L75" s="680"/>
      <c r="M75" s="681"/>
      <c r="N75" s="2034"/>
      <c r="O75" s="2034"/>
      <c r="P75" s="2083"/>
      <c r="Q75" s="2036"/>
      <c r="R75" s="2037"/>
      <c r="S75" s="2037"/>
      <c r="T75" s="2037"/>
      <c r="U75" s="2037"/>
      <c r="V75" s="2037"/>
      <c r="W75" s="2037"/>
      <c r="X75" s="2037"/>
      <c r="Y75" s="2037"/>
      <c r="Z75" s="2037"/>
      <c r="AA75" s="2037"/>
      <c r="AB75" s="2037"/>
      <c r="AC75" s="2037"/>
    </row>
    <row r="76" spans="1:29" s="1283" customFormat="1" ht="15.75" thickBot="1">
      <c r="A76" s="682"/>
      <c r="B76" s="683"/>
      <c r="C76" s="684"/>
      <c r="D76" s="684"/>
      <c r="E76" s="684"/>
      <c r="F76" s="684"/>
      <c r="G76" s="684"/>
      <c r="H76" s="685"/>
      <c r="I76" s="685"/>
      <c r="J76" s="685"/>
      <c r="K76" s="685"/>
      <c r="L76" s="685"/>
      <c r="M76" s="686"/>
      <c r="N76" s="2034"/>
      <c r="O76" s="2034"/>
      <c r="P76" s="2081"/>
      <c r="Q76" s="2036"/>
      <c r="R76" s="2037"/>
      <c r="S76" s="2037"/>
      <c r="T76" s="2037"/>
      <c r="U76" s="2037"/>
      <c r="V76" s="2037"/>
      <c r="W76" s="2037"/>
      <c r="X76" s="2037"/>
      <c r="Y76" s="2037"/>
      <c r="Z76" s="2037"/>
      <c r="AA76" s="2037"/>
      <c r="AB76" s="2037"/>
      <c r="AC76" s="2037"/>
    </row>
    <row r="77" spans="1:29">
      <c r="A77" s="648" t="s">
        <v>533</v>
      </c>
      <c r="B77" s="649" t="s">
        <v>579</v>
      </c>
      <c r="C77" s="687" t="s">
        <v>573</v>
      </c>
      <c r="D77" s="687" t="s">
        <v>574</v>
      </c>
      <c r="E77" s="687" t="s">
        <v>575</v>
      </c>
      <c r="F77" s="687" t="s">
        <v>576</v>
      </c>
      <c r="G77" s="687" t="s">
        <v>577</v>
      </c>
      <c r="H77" s="688"/>
      <c r="I77" s="688"/>
      <c r="J77" s="688"/>
      <c r="K77" s="689"/>
      <c r="L77" s="690"/>
      <c r="M77" s="691"/>
      <c r="N77" s="2031"/>
      <c r="O77" s="2031"/>
      <c r="P77" s="2084"/>
      <c r="Q77" s="2025"/>
      <c r="R77" s="2013"/>
      <c r="S77" s="2013"/>
      <c r="T77" s="2013"/>
      <c r="U77" s="2013"/>
      <c r="V77" s="2013"/>
      <c r="W77" s="2013"/>
      <c r="X77" s="2013"/>
      <c r="Y77" s="2013"/>
      <c r="Z77" s="2013"/>
      <c r="AA77" s="2013"/>
      <c r="AB77" s="2013"/>
      <c r="AC77" s="2013"/>
    </row>
    <row r="78" spans="1:29" ht="15.75" thickBot="1">
      <c r="A78" s="653"/>
      <c r="B78" s="662"/>
      <c r="C78" s="663">
        <v>100</v>
      </c>
      <c r="D78" s="663">
        <f>C78-$K15</f>
        <v>100</v>
      </c>
      <c r="E78" s="663">
        <f>D78-$K15</f>
        <v>100</v>
      </c>
      <c r="F78" s="663">
        <f>E78-$K15</f>
        <v>100</v>
      </c>
      <c r="G78" s="663">
        <f>F78-$K15</f>
        <v>100</v>
      </c>
      <c r="H78" s="663"/>
      <c r="I78" s="663"/>
      <c r="J78" s="663"/>
      <c r="K78" s="663"/>
      <c r="L78" s="663"/>
      <c r="M78" s="664"/>
      <c r="N78" s="2033"/>
      <c r="O78" s="2033"/>
      <c r="P78" s="2080"/>
      <c r="Q78" s="2025"/>
      <c r="R78" s="2013"/>
      <c r="S78" s="2013"/>
      <c r="T78" s="2013"/>
      <c r="U78" s="2013"/>
      <c r="V78" s="2013"/>
      <c r="W78" s="2013"/>
      <c r="X78" s="2013"/>
      <c r="Y78" s="2013"/>
      <c r="Z78" s="2013"/>
      <c r="AA78" s="2013"/>
      <c r="AB78" s="2013"/>
      <c r="AC78" s="2013"/>
    </row>
    <row r="79" spans="1:29" ht="15.75" thickTop="1">
      <c r="A79" s="653"/>
      <c r="B79" s="657" t="s">
        <v>580</v>
      </c>
      <c r="C79" s="692" t="s">
        <v>573</v>
      </c>
      <c r="D79" s="692" t="s">
        <v>574</v>
      </c>
      <c r="E79" s="692" t="s">
        <v>575</v>
      </c>
      <c r="F79" s="692" t="s">
        <v>576</v>
      </c>
      <c r="G79" s="692" t="s">
        <v>577</v>
      </c>
      <c r="H79" s="658"/>
      <c r="I79" s="658"/>
      <c r="J79" s="658"/>
      <c r="K79" s="659"/>
      <c r="L79" s="660"/>
      <c r="M79" s="661"/>
      <c r="N79" s="2031"/>
      <c r="O79" s="2031"/>
      <c r="P79" s="2080"/>
      <c r="Q79" s="2025"/>
      <c r="R79" s="2013"/>
      <c r="S79" s="2013"/>
      <c r="T79" s="2013"/>
      <c r="U79" s="2013"/>
      <c r="V79" s="2013"/>
      <c r="W79" s="2013"/>
      <c r="X79" s="2013"/>
      <c r="Y79" s="2013"/>
      <c r="Z79" s="2013"/>
      <c r="AA79" s="2013"/>
      <c r="AB79" s="2013"/>
      <c r="AC79" s="2013"/>
    </row>
    <row r="80" spans="1:29" ht="15.75" thickBot="1">
      <c r="A80" s="653"/>
      <c r="B80" s="662"/>
      <c r="C80" s="663">
        <v>100</v>
      </c>
      <c r="D80" s="663">
        <f>C80-$K17</f>
        <v>100</v>
      </c>
      <c r="E80" s="663">
        <f>D80-$K17</f>
        <v>100</v>
      </c>
      <c r="F80" s="663">
        <f>E80-$K17</f>
        <v>100</v>
      </c>
      <c r="G80" s="663">
        <f>F80-$K17</f>
        <v>100</v>
      </c>
      <c r="H80" s="663"/>
      <c r="I80" s="663"/>
      <c r="J80" s="663"/>
      <c r="K80" s="663"/>
      <c r="L80" s="663"/>
      <c r="M80" s="664"/>
      <c r="N80" s="2033"/>
      <c r="O80" s="2033"/>
      <c r="P80" s="2080"/>
      <c r="Q80" s="2025"/>
      <c r="R80" s="2013"/>
      <c r="S80" s="2013"/>
      <c r="T80" s="2013"/>
      <c r="U80" s="2013"/>
      <c r="V80" s="2013"/>
      <c r="W80" s="2013"/>
      <c r="X80" s="2013"/>
      <c r="Y80" s="2013"/>
      <c r="Z80" s="2013"/>
      <c r="AA80" s="2013"/>
      <c r="AB80" s="2013"/>
      <c r="AC80" s="2013"/>
    </row>
    <row r="81" spans="1:29" ht="15.75" thickTop="1">
      <c r="A81" s="653"/>
      <c r="B81" s="1796" t="s">
        <v>2533</v>
      </c>
      <c r="C81" s="692" t="s">
        <v>573</v>
      </c>
      <c r="D81" s="692" t="s">
        <v>574</v>
      </c>
      <c r="E81" s="692" t="s">
        <v>575</v>
      </c>
      <c r="F81" s="692" t="s">
        <v>576</v>
      </c>
      <c r="G81" s="692" t="s">
        <v>577</v>
      </c>
      <c r="H81" s="658"/>
      <c r="I81" s="658"/>
      <c r="J81" s="658"/>
      <c r="K81" s="659"/>
      <c r="L81" s="660"/>
      <c r="M81" s="661"/>
      <c r="N81" s="2031"/>
      <c r="O81" s="2031"/>
      <c r="P81" s="2080"/>
      <c r="Q81" s="2025"/>
      <c r="R81" s="2013"/>
      <c r="S81" s="2013"/>
      <c r="T81" s="2013"/>
      <c r="U81" s="2013"/>
      <c r="V81" s="2013"/>
      <c r="W81" s="2013"/>
      <c r="X81" s="2013"/>
      <c r="Y81" s="2013"/>
      <c r="Z81" s="2013"/>
      <c r="AA81" s="2013"/>
      <c r="AB81" s="2013"/>
      <c r="AC81" s="2013"/>
    </row>
    <row r="82" spans="1:29" ht="15.75" thickBot="1">
      <c r="A82" s="653"/>
      <c r="B82" s="662"/>
      <c r="C82" s="663">
        <v>100</v>
      </c>
      <c r="D82" s="663">
        <f>C82-$K19</f>
        <v>100</v>
      </c>
      <c r="E82" s="663">
        <f>D82-$K19</f>
        <v>100</v>
      </c>
      <c r="F82" s="663">
        <f>E82-$K19</f>
        <v>100</v>
      </c>
      <c r="G82" s="663">
        <f>F82-$K19</f>
        <v>100</v>
      </c>
      <c r="H82" s="663"/>
      <c r="I82" s="663"/>
      <c r="J82" s="663"/>
      <c r="K82" s="663"/>
      <c r="L82" s="663"/>
      <c r="M82" s="664"/>
      <c r="N82" s="2033"/>
      <c r="O82" s="2033"/>
      <c r="P82" s="2080"/>
      <c r="Q82" s="2025"/>
      <c r="R82" s="2013"/>
      <c r="S82" s="2013"/>
      <c r="T82" s="2013"/>
      <c r="U82" s="2013"/>
      <c r="V82" s="2013"/>
      <c r="W82" s="2013"/>
      <c r="X82" s="2013"/>
      <c r="Y82" s="2013"/>
      <c r="Z82" s="2013"/>
      <c r="AA82" s="2013"/>
      <c r="AB82" s="2013"/>
      <c r="AC82" s="2013"/>
    </row>
    <row r="83" spans="1:29" ht="15.75" thickTop="1">
      <c r="A83" s="653"/>
      <c r="B83" s="2427" t="s">
        <v>2534</v>
      </c>
      <c r="C83" s="2428" t="s">
        <v>2535</v>
      </c>
      <c r="D83" s="2428" t="s">
        <v>2536</v>
      </c>
      <c r="E83" s="2428" t="s">
        <v>2537</v>
      </c>
      <c r="F83" s="2428" t="s">
        <v>2538</v>
      </c>
      <c r="G83" s="2428" t="s">
        <v>2539</v>
      </c>
      <c r="H83" s="658"/>
      <c r="I83" s="658"/>
      <c r="J83" s="658"/>
      <c r="K83" s="658"/>
      <c r="L83" s="658"/>
      <c r="M83" s="2431"/>
      <c r="N83" s="2033"/>
      <c r="O83" s="2033"/>
      <c r="P83" s="2080"/>
      <c r="Q83" s="2025"/>
      <c r="R83" s="2013"/>
      <c r="S83" s="2013"/>
      <c r="T83" s="2013"/>
      <c r="U83" s="2013"/>
      <c r="V83" s="2013"/>
      <c r="W83" s="2013"/>
      <c r="X83" s="2013"/>
      <c r="Y83" s="2013"/>
      <c r="Z83" s="2013"/>
      <c r="AA83" s="2013"/>
      <c r="AB83" s="2013"/>
      <c r="AC83" s="2013"/>
    </row>
    <row r="84" spans="1:29" ht="15.75" thickBot="1">
      <c r="A84" s="653"/>
      <c r="B84" s="665"/>
      <c r="C84" s="663">
        <v>100</v>
      </c>
      <c r="D84" s="663">
        <f>C84-$K21</f>
        <v>100</v>
      </c>
      <c r="E84" s="663">
        <f>D84-$K21</f>
        <v>100</v>
      </c>
      <c r="F84" s="663">
        <f>E84-$K21</f>
        <v>100</v>
      </c>
      <c r="G84" s="663">
        <f>F84-$K21</f>
        <v>100</v>
      </c>
      <c r="H84" s="916"/>
      <c r="I84" s="916"/>
      <c r="J84" s="916"/>
      <c r="K84" s="916"/>
      <c r="L84" s="916"/>
      <c r="M84" s="545"/>
      <c r="N84" s="2033"/>
      <c r="O84" s="2033"/>
      <c r="P84" s="2080"/>
      <c r="Q84" s="2025"/>
      <c r="R84" s="2013"/>
      <c r="S84" s="2013"/>
      <c r="T84" s="2013"/>
      <c r="U84" s="2013"/>
      <c r="V84" s="2013"/>
      <c r="W84" s="2013"/>
      <c r="X84" s="2013"/>
      <c r="Y84" s="2013"/>
      <c r="Z84" s="2013"/>
      <c r="AA84" s="2013"/>
      <c r="AB84" s="2013"/>
      <c r="AC84" s="2013"/>
    </row>
    <row r="85" spans="1:29" ht="15.75" thickTop="1">
      <c r="A85" s="653"/>
      <c r="B85" s="657" t="s">
        <v>778</v>
      </c>
      <c r="C85" s="692" t="s">
        <v>573</v>
      </c>
      <c r="D85" s="692" t="s">
        <v>574</v>
      </c>
      <c r="E85" s="692" t="s">
        <v>575</v>
      </c>
      <c r="F85" s="692" t="s">
        <v>576</v>
      </c>
      <c r="G85" s="692" t="s">
        <v>577</v>
      </c>
      <c r="H85" s="658"/>
      <c r="I85" s="658"/>
      <c r="J85" s="658"/>
      <c r="K85" s="659"/>
      <c r="L85" s="660"/>
      <c r="M85" s="661"/>
      <c r="N85" s="2031"/>
      <c r="O85" s="2031"/>
      <c r="P85" s="2080"/>
      <c r="Q85" s="2025"/>
      <c r="R85" s="2013"/>
      <c r="S85" s="2013"/>
      <c r="T85" s="2013"/>
      <c r="U85" s="2013"/>
      <c r="V85" s="2013"/>
      <c r="W85" s="2013"/>
      <c r="X85" s="2013"/>
      <c r="Y85" s="2013"/>
      <c r="Z85" s="2013"/>
      <c r="AA85" s="2013"/>
      <c r="AB85" s="2013"/>
      <c r="AC85" s="2013"/>
    </row>
    <row r="86" spans="1:29" ht="15.75" thickBot="1">
      <c r="A86" s="653"/>
      <c r="B86" s="662"/>
      <c r="C86" s="663">
        <v>100</v>
      </c>
      <c r="D86" s="663">
        <f>C86-$K23</f>
        <v>100</v>
      </c>
      <c r="E86" s="663">
        <f>D86-$K23</f>
        <v>100</v>
      </c>
      <c r="F86" s="663">
        <f>E86-$K23</f>
        <v>100</v>
      </c>
      <c r="G86" s="663">
        <f>F86-$K23</f>
        <v>100</v>
      </c>
      <c r="H86" s="663"/>
      <c r="I86" s="663"/>
      <c r="J86" s="663"/>
      <c r="K86" s="663"/>
      <c r="L86" s="663"/>
      <c r="M86" s="664"/>
      <c r="N86" s="2033"/>
      <c r="O86" s="2033"/>
      <c r="P86" s="2080"/>
      <c r="Q86" s="2025"/>
      <c r="R86" s="2013"/>
      <c r="S86" s="2013"/>
      <c r="T86" s="2013"/>
      <c r="U86" s="2013"/>
      <c r="V86" s="2013"/>
      <c r="W86" s="2013"/>
      <c r="X86" s="2013"/>
      <c r="Y86" s="2013"/>
      <c r="Z86" s="2013"/>
      <c r="AA86" s="2013"/>
      <c r="AB86" s="2013"/>
      <c r="AC86" s="2013"/>
    </row>
    <row r="87" spans="1:29" s="1194" customFormat="1" ht="27.75" thickTop="1">
      <c r="A87" s="693"/>
      <c r="B87" s="657" t="s">
        <v>779</v>
      </c>
      <c r="C87" s="672"/>
      <c r="D87" s="672"/>
      <c r="E87" s="672"/>
      <c r="F87" s="672"/>
      <c r="G87" s="672"/>
      <c r="H87" s="672"/>
      <c r="I87" s="672"/>
      <c r="J87" s="672"/>
      <c r="K87" s="672"/>
      <c r="L87" s="871"/>
      <c r="M87" s="872"/>
      <c r="N87" s="2029"/>
      <c r="O87" s="2029"/>
      <c r="P87" s="2080"/>
      <c r="Q87" s="2025"/>
      <c r="R87" s="1891"/>
      <c r="S87" s="1891"/>
      <c r="T87" s="1891"/>
      <c r="U87" s="1891"/>
      <c r="V87" s="1891"/>
      <c r="W87" s="1891"/>
      <c r="X87" s="1891"/>
      <c r="Y87" s="1891"/>
      <c r="Z87" s="1891"/>
      <c r="AA87" s="1891"/>
      <c r="AB87" s="1891"/>
      <c r="AC87" s="1891"/>
    </row>
    <row r="88" spans="1:29" s="1194" customFormat="1" ht="15.75" thickBot="1">
      <c r="A88" s="693"/>
      <c r="B88" s="662"/>
      <c r="C88" s="696">
        <v>100</v>
      </c>
      <c r="D88" s="663">
        <f t="shared" ref="D88:M88" si="19">C88-$K25</f>
        <v>100</v>
      </c>
      <c r="E88" s="663">
        <f t="shared" si="19"/>
        <v>100</v>
      </c>
      <c r="F88" s="663">
        <f t="shared" si="19"/>
        <v>100</v>
      </c>
      <c r="G88" s="663">
        <f t="shared" si="19"/>
        <v>100</v>
      </c>
      <c r="H88" s="663">
        <f t="shared" si="19"/>
        <v>100</v>
      </c>
      <c r="I88" s="663">
        <f t="shared" si="19"/>
        <v>100</v>
      </c>
      <c r="J88" s="663">
        <f t="shared" si="19"/>
        <v>100</v>
      </c>
      <c r="K88" s="663">
        <f t="shared" si="19"/>
        <v>100</v>
      </c>
      <c r="L88" s="663">
        <f t="shared" si="19"/>
        <v>100</v>
      </c>
      <c r="M88" s="663">
        <f t="shared" si="19"/>
        <v>100</v>
      </c>
      <c r="N88" s="2033"/>
      <c r="O88" s="2033"/>
      <c r="P88" s="2080"/>
      <c r="Q88" s="2025"/>
      <c r="R88" s="1891"/>
      <c r="S88" s="1891"/>
      <c r="T88" s="1891"/>
      <c r="U88" s="1891"/>
      <c r="V88" s="1891"/>
      <c r="W88" s="1891"/>
      <c r="X88" s="1891"/>
      <c r="Y88" s="1891"/>
      <c r="Z88" s="1891"/>
      <c r="AA88" s="1891"/>
      <c r="AB88" s="1891"/>
      <c r="AC88" s="1891"/>
    </row>
    <row r="89" spans="1:29" s="1194" customFormat="1" ht="15.75" thickTop="1">
      <c r="A89" s="693"/>
      <c r="B89" s="657" t="str">
        <f>B27</f>
        <v>楼层</v>
      </c>
      <c r="C89" s="672"/>
      <c r="D89" s="672"/>
      <c r="E89" s="672"/>
      <c r="F89" s="873"/>
      <c r="G89" s="672"/>
      <c r="H89" s="672"/>
      <c r="I89" s="672"/>
      <c r="J89" s="672"/>
      <c r="K89" s="672"/>
      <c r="L89" s="672"/>
      <c r="M89" s="872"/>
      <c r="N89" s="2029"/>
      <c r="O89" s="2029"/>
      <c r="P89" s="2080"/>
      <c r="Q89" s="2025"/>
      <c r="R89" s="1891"/>
      <c r="S89" s="1891"/>
      <c r="T89" s="1891"/>
      <c r="U89" s="1891"/>
      <c r="V89" s="1891"/>
      <c r="W89" s="1891"/>
      <c r="X89" s="1891"/>
      <c r="Y89" s="1891"/>
      <c r="Z89" s="1891"/>
      <c r="AA89" s="1891"/>
      <c r="AB89" s="1891"/>
      <c r="AC89" s="1891"/>
    </row>
    <row r="90" spans="1:29" s="1194" customFormat="1" ht="15.75" thickBot="1">
      <c r="A90" s="693"/>
      <c r="B90" s="662"/>
      <c r="C90" s="696">
        <v>100</v>
      </c>
      <c r="D90" s="663">
        <f>C90-$K27</f>
        <v>100</v>
      </c>
      <c r="E90" s="663">
        <f t="shared" ref="E90:M90" si="20">D90-$K27</f>
        <v>100</v>
      </c>
      <c r="F90" s="663">
        <f t="shared" si="20"/>
        <v>100</v>
      </c>
      <c r="G90" s="663">
        <f t="shared" si="20"/>
        <v>100</v>
      </c>
      <c r="H90" s="663">
        <f t="shared" si="20"/>
        <v>100</v>
      </c>
      <c r="I90" s="663">
        <f t="shared" si="20"/>
        <v>100</v>
      </c>
      <c r="J90" s="663">
        <f t="shared" si="20"/>
        <v>100</v>
      </c>
      <c r="K90" s="663">
        <f t="shared" si="20"/>
        <v>100</v>
      </c>
      <c r="L90" s="663">
        <f t="shared" si="20"/>
        <v>100</v>
      </c>
      <c r="M90" s="663">
        <f t="shared" si="20"/>
        <v>100</v>
      </c>
      <c r="N90" s="2033"/>
      <c r="O90" s="2033"/>
      <c r="P90" s="2080"/>
      <c r="Q90" s="2025"/>
      <c r="R90" s="1891"/>
      <c r="S90" s="1891"/>
      <c r="T90" s="1891"/>
      <c r="U90" s="1891"/>
      <c r="V90" s="1891"/>
      <c r="W90" s="1891"/>
      <c r="X90" s="1891"/>
      <c r="Y90" s="1891"/>
      <c r="Z90" s="1891"/>
      <c r="AA90" s="1891"/>
      <c r="AB90" s="1891"/>
      <c r="AC90" s="1891"/>
    </row>
    <row r="91" spans="1:29" s="1283" customFormat="1" ht="15.75" thickTop="1">
      <c r="A91" s="671"/>
      <c r="B91" s="657" t="str">
        <f>B28</f>
        <v>朝向</v>
      </c>
      <c r="C91" s="672"/>
      <c r="D91" s="672"/>
      <c r="E91" s="672"/>
      <c r="F91" s="672"/>
      <c r="G91" s="672"/>
      <c r="H91" s="673"/>
      <c r="I91" s="673"/>
      <c r="J91" s="673"/>
      <c r="K91" s="673"/>
      <c r="L91" s="674"/>
      <c r="M91" s="675"/>
      <c r="N91" s="2034"/>
      <c r="O91" s="2034"/>
      <c r="P91" s="2081"/>
      <c r="Q91" s="2036"/>
      <c r="R91" s="2037"/>
      <c r="S91" s="2037"/>
      <c r="T91" s="2037"/>
      <c r="U91" s="2037"/>
      <c r="V91" s="2037"/>
      <c r="W91" s="2037"/>
      <c r="X91" s="2037"/>
      <c r="Y91" s="2037"/>
      <c r="Z91" s="2037"/>
      <c r="AA91" s="2037"/>
      <c r="AB91" s="2037"/>
      <c r="AC91" s="2037"/>
    </row>
    <row r="92" spans="1:29" s="1283" customFormat="1" ht="15.75" thickBot="1">
      <c r="A92" s="671"/>
      <c r="B92" s="662"/>
      <c r="C92" s="696">
        <v>100</v>
      </c>
      <c r="D92" s="663">
        <f t="shared" ref="D92:M92" si="21">C92-$K28</f>
        <v>100</v>
      </c>
      <c r="E92" s="663">
        <f t="shared" si="21"/>
        <v>100</v>
      </c>
      <c r="F92" s="663">
        <f t="shared" si="21"/>
        <v>100</v>
      </c>
      <c r="G92" s="663">
        <f t="shared" si="21"/>
        <v>100</v>
      </c>
      <c r="H92" s="663">
        <f t="shared" si="21"/>
        <v>100</v>
      </c>
      <c r="I92" s="663">
        <f t="shared" si="21"/>
        <v>100</v>
      </c>
      <c r="J92" s="663">
        <f t="shared" si="21"/>
        <v>100</v>
      </c>
      <c r="K92" s="663">
        <f t="shared" si="21"/>
        <v>100</v>
      </c>
      <c r="L92" s="663">
        <f t="shared" si="21"/>
        <v>100</v>
      </c>
      <c r="M92" s="663">
        <f t="shared" si="21"/>
        <v>100</v>
      </c>
      <c r="N92" s="2034"/>
      <c r="O92" s="2034"/>
      <c r="P92" s="2081"/>
      <c r="Q92" s="2036"/>
      <c r="R92" s="2037"/>
      <c r="S92" s="2037"/>
      <c r="T92" s="2037"/>
      <c r="U92" s="2037"/>
      <c r="V92" s="2037"/>
      <c r="W92" s="2037"/>
      <c r="X92" s="2037"/>
      <c r="Y92" s="2037"/>
      <c r="Z92" s="2037"/>
      <c r="AA92" s="2037"/>
      <c r="AB92" s="2037"/>
      <c r="AC92" s="2037"/>
    </row>
    <row r="93" spans="1:29" ht="15.75" thickTop="1">
      <c r="A93" s="653"/>
      <c r="B93" s="657">
        <f>B29</f>
        <v>111</v>
      </c>
      <c r="C93" s="672"/>
      <c r="D93" s="672"/>
      <c r="E93" s="672"/>
      <c r="F93" s="672"/>
      <c r="G93" s="672"/>
      <c r="H93" s="672"/>
      <c r="I93" s="672"/>
      <c r="J93" s="672"/>
      <c r="K93" s="672"/>
      <c r="L93" s="871"/>
      <c r="M93" s="872"/>
      <c r="N93" s="2031"/>
      <c r="O93" s="2031"/>
      <c r="P93" s="2080"/>
      <c r="Q93" s="2025"/>
      <c r="R93" s="2013"/>
      <c r="S93" s="2013"/>
      <c r="T93" s="2013"/>
      <c r="U93" s="2013"/>
      <c r="V93" s="2013"/>
      <c r="W93" s="2013"/>
      <c r="X93" s="2013"/>
      <c r="Y93" s="2013"/>
      <c r="Z93" s="2013"/>
      <c r="AA93" s="2013"/>
      <c r="AB93" s="2013"/>
      <c r="AC93" s="2013"/>
    </row>
    <row r="94" spans="1:29" ht="15.75" thickBot="1">
      <c r="A94" s="653"/>
      <c r="B94" s="662"/>
      <c r="C94" s="676"/>
      <c r="D94" s="655"/>
      <c r="E94" s="655"/>
      <c r="F94" s="655"/>
      <c r="G94" s="655"/>
      <c r="H94" s="655"/>
      <c r="I94" s="655"/>
      <c r="J94" s="655"/>
      <c r="K94" s="655"/>
      <c r="L94" s="655"/>
      <c r="M94" s="656"/>
      <c r="N94" s="2033"/>
      <c r="O94" s="2033"/>
      <c r="P94" s="2080"/>
      <c r="Q94" s="2025"/>
      <c r="R94" s="2013"/>
      <c r="S94" s="2013"/>
      <c r="T94" s="2013"/>
      <c r="U94" s="2013"/>
      <c r="V94" s="2013"/>
      <c r="W94" s="2013"/>
      <c r="X94" s="2013"/>
      <c r="Y94" s="2013"/>
      <c r="Z94" s="2013"/>
      <c r="AA94" s="2013"/>
      <c r="AB94" s="2013"/>
      <c r="AC94" s="2013"/>
    </row>
    <row r="95" spans="1:29" ht="15.75" thickTop="1">
      <c r="A95" s="653"/>
      <c r="B95" s="657">
        <f>B30</f>
        <v>111</v>
      </c>
      <c r="C95" s="672"/>
      <c r="D95" s="672"/>
      <c r="E95" s="672"/>
      <c r="F95" s="672"/>
      <c r="G95" s="702"/>
      <c r="H95" s="702"/>
      <c r="I95" s="702"/>
      <c r="J95" s="702"/>
      <c r="K95" s="703"/>
      <c r="L95" s="704"/>
      <c r="M95" s="705"/>
      <c r="N95" s="2031"/>
      <c r="O95" s="2031"/>
      <c r="P95" s="2080"/>
      <c r="Q95" s="2025"/>
      <c r="R95" s="2013"/>
      <c r="S95" s="2013"/>
      <c r="T95" s="2013"/>
      <c r="U95" s="2013"/>
      <c r="V95" s="2013"/>
      <c r="W95" s="2013"/>
      <c r="X95" s="2013"/>
      <c r="Y95" s="2013"/>
      <c r="Z95" s="2013"/>
      <c r="AA95" s="2013"/>
      <c r="AB95" s="2013"/>
      <c r="AC95" s="2013"/>
    </row>
    <row r="96" spans="1:29" ht="15.75" thickBot="1">
      <c r="A96" s="653"/>
      <c r="B96" s="662"/>
      <c r="C96" s="676"/>
      <c r="D96" s="676"/>
      <c r="E96" s="676"/>
      <c r="F96" s="676"/>
      <c r="G96" s="655"/>
      <c r="H96" s="655"/>
      <c r="I96" s="655"/>
      <c r="J96" s="655"/>
      <c r="K96" s="655"/>
      <c r="L96" s="655"/>
      <c r="M96" s="656"/>
      <c r="N96" s="2033"/>
      <c r="O96" s="2033"/>
      <c r="P96" s="2080"/>
      <c r="Q96" s="2025"/>
      <c r="R96" s="2013"/>
      <c r="S96" s="2013"/>
      <c r="T96" s="2013"/>
      <c r="U96" s="2013"/>
      <c r="V96" s="2013"/>
      <c r="W96" s="2013"/>
      <c r="X96" s="2013"/>
      <c r="Y96" s="2013"/>
      <c r="Z96" s="2013"/>
      <c r="AA96" s="2013"/>
      <c r="AB96" s="2013"/>
      <c r="AC96" s="2013"/>
    </row>
    <row r="97" spans="1:29" ht="15.75" thickTop="1">
      <c r="A97" s="653"/>
      <c r="B97" s="657">
        <f>B31</f>
        <v>111</v>
      </c>
      <c r="C97" s="672"/>
      <c r="D97" s="672"/>
      <c r="E97" s="672"/>
      <c r="F97" s="672"/>
      <c r="G97" s="702"/>
      <c r="H97" s="702"/>
      <c r="I97" s="702"/>
      <c r="J97" s="702"/>
      <c r="K97" s="703"/>
      <c r="L97" s="704"/>
      <c r="M97" s="705"/>
      <c r="N97" s="2031"/>
      <c r="O97" s="2031"/>
      <c r="P97" s="2080"/>
      <c r="Q97" s="2025"/>
      <c r="R97" s="2013"/>
      <c r="S97" s="2013"/>
      <c r="T97" s="2013"/>
      <c r="U97" s="2013"/>
      <c r="V97" s="2013"/>
      <c r="W97" s="2013"/>
      <c r="X97" s="2013"/>
      <c r="Y97" s="2013"/>
      <c r="Z97" s="2013"/>
      <c r="AA97" s="2013"/>
      <c r="AB97" s="2013"/>
      <c r="AC97" s="2013"/>
    </row>
    <row r="98" spans="1:29" ht="15.75" thickBot="1">
      <c r="A98" s="653"/>
      <c r="B98" s="662"/>
      <c r="C98" s="676"/>
      <c r="D98" s="655"/>
      <c r="E98" s="655"/>
      <c r="F98" s="655"/>
      <c r="G98" s="655"/>
      <c r="H98" s="655"/>
      <c r="I98" s="655"/>
      <c r="J98" s="655"/>
      <c r="K98" s="655"/>
      <c r="L98" s="655"/>
      <c r="M98" s="656"/>
      <c r="N98" s="2033"/>
      <c r="O98" s="2033"/>
      <c r="P98" s="2080"/>
      <c r="Q98" s="2025"/>
      <c r="R98" s="2013"/>
      <c r="S98" s="2013"/>
      <c r="T98" s="2013"/>
      <c r="U98" s="2013"/>
      <c r="V98" s="2013"/>
      <c r="W98" s="2013"/>
      <c r="X98" s="2013"/>
      <c r="Y98" s="2013"/>
      <c r="Z98" s="2013"/>
      <c r="AA98" s="2013"/>
      <c r="AB98" s="2013"/>
      <c r="AC98" s="2013"/>
    </row>
    <row r="99" spans="1:29" ht="15.75" thickTop="1">
      <c r="A99" s="653"/>
      <c r="B99" s="665">
        <f>B32</f>
        <v>111</v>
      </c>
      <c r="C99" s="645"/>
      <c r="D99" s="645"/>
      <c r="E99" s="645"/>
      <c r="F99" s="645"/>
      <c r="G99" s="706"/>
      <c r="H99" s="706"/>
      <c r="I99" s="706"/>
      <c r="J99" s="706"/>
      <c r="K99" s="707"/>
      <c r="L99" s="708"/>
      <c r="M99" s="709"/>
      <c r="N99" s="2031"/>
      <c r="O99" s="2031"/>
      <c r="P99" s="2080"/>
      <c r="Q99" s="2025"/>
      <c r="R99" s="2013"/>
      <c r="S99" s="2013"/>
      <c r="T99" s="2013"/>
      <c r="U99" s="2013"/>
      <c r="V99" s="2013"/>
      <c r="W99" s="2013"/>
      <c r="X99" s="2013"/>
      <c r="Y99" s="2013"/>
      <c r="Z99" s="2013"/>
      <c r="AA99" s="2013"/>
      <c r="AB99" s="2013"/>
      <c r="AC99" s="2013"/>
    </row>
    <row r="100" spans="1:29" ht="15.75" thickBot="1">
      <c r="A100" s="874"/>
      <c r="B100" s="683"/>
      <c r="C100" s="684"/>
      <c r="D100" s="684"/>
      <c r="E100" s="684"/>
      <c r="F100" s="684"/>
      <c r="G100" s="710"/>
      <c r="H100" s="710"/>
      <c r="I100" s="710"/>
      <c r="J100" s="710"/>
      <c r="K100" s="710"/>
      <c r="L100" s="710"/>
      <c r="M100" s="711"/>
      <c r="N100" s="2033"/>
      <c r="O100" s="2033"/>
      <c r="P100" s="2080"/>
      <c r="Q100" s="2025"/>
      <c r="R100" s="2013"/>
      <c r="S100" s="2013"/>
      <c r="T100" s="2013"/>
      <c r="U100" s="2013"/>
      <c r="V100" s="2013"/>
      <c r="W100" s="2013"/>
      <c r="X100" s="2013"/>
      <c r="Y100" s="2013"/>
      <c r="Z100" s="2013"/>
      <c r="AA100" s="2013"/>
      <c r="AB100" s="2013"/>
      <c r="AC100" s="2013"/>
    </row>
    <row r="101" spans="1:29">
      <c r="A101" s="648" t="s">
        <v>545</v>
      </c>
      <c r="B101" s="649" t="s">
        <v>741</v>
      </c>
      <c r="C101" s="584"/>
      <c r="D101" s="584"/>
      <c r="E101" s="584"/>
      <c r="F101" s="584"/>
      <c r="G101" s="584"/>
      <c r="H101" s="584"/>
      <c r="I101" s="584"/>
      <c r="J101" s="584"/>
      <c r="K101" s="650"/>
      <c r="L101" s="651"/>
      <c r="M101" s="652"/>
      <c r="N101" s="2031"/>
      <c r="O101" s="2031"/>
      <c r="P101" s="2080"/>
      <c r="Q101" s="2025"/>
      <c r="R101" s="2013"/>
      <c r="S101" s="2013"/>
      <c r="T101" s="2013"/>
      <c r="U101" s="2013"/>
      <c r="V101" s="2013"/>
      <c r="W101" s="2013"/>
      <c r="X101" s="2013"/>
      <c r="Y101" s="2013"/>
      <c r="Z101" s="2013"/>
      <c r="AA101" s="2013"/>
      <c r="AB101" s="2013"/>
      <c r="AC101" s="2013"/>
    </row>
    <row r="102" spans="1:29" ht="15.75" thickBot="1">
      <c r="A102" s="653"/>
      <c r="B102" s="662"/>
      <c r="C102" s="663">
        <v>100</v>
      </c>
      <c r="D102" s="663">
        <f t="shared" ref="D102:M102" si="22">C102-$K33</f>
        <v>100</v>
      </c>
      <c r="E102" s="663">
        <f t="shared" si="22"/>
        <v>100</v>
      </c>
      <c r="F102" s="663">
        <f t="shared" si="22"/>
        <v>100</v>
      </c>
      <c r="G102" s="663">
        <f t="shared" si="22"/>
        <v>100</v>
      </c>
      <c r="H102" s="663">
        <f t="shared" si="22"/>
        <v>100</v>
      </c>
      <c r="I102" s="663">
        <f t="shared" si="22"/>
        <v>100</v>
      </c>
      <c r="J102" s="663">
        <f t="shared" si="22"/>
        <v>100</v>
      </c>
      <c r="K102" s="663">
        <f t="shared" si="22"/>
        <v>100</v>
      </c>
      <c r="L102" s="663">
        <f t="shared" si="22"/>
        <v>100</v>
      </c>
      <c r="M102" s="664">
        <f t="shared" si="22"/>
        <v>100</v>
      </c>
      <c r="N102" s="2033"/>
      <c r="O102" s="2033"/>
      <c r="P102" s="2080"/>
      <c r="Q102" s="2025"/>
      <c r="R102" s="2013"/>
      <c r="S102" s="2013"/>
      <c r="T102" s="2013"/>
      <c r="U102" s="2013"/>
      <c r="V102" s="2013"/>
      <c r="W102" s="2013"/>
      <c r="X102" s="2013"/>
      <c r="Y102" s="2013"/>
      <c r="Z102" s="2013"/>
      <c r="AA102" s="2013"/>
      <c r="AB102" s="2013"/>
      <c r="AC102" s="2013"/>
    </row>
    <row r="103" spans="1:29" ht="15.75" thickTop="1">
      <c r="A103" s="653"/>
      <c r="B103" s="657" t="s">
        <v>742</v>
      </c>
      <c r="C103" s="692" t="str">
        <f>C104&amp;"(含)"&amp;"-"&amp;D104</f>
        <v>(含)-</v>
      </c>
      <c r="D103" s="692" t="str">
        <f t="shared" ref="D103:L103" si="23">D104&amp;"(含)"&amp;"-"&amp;E104</f>
        <v>(含)-</v>
      </c>
      <c r="E103" s="692" t="str">
        <f t="shared" si="23"/>
        <v>(含)-</v>
      </c>
      <c r="F103" s="692" t="str">
        <f t="shared" si="23"/>
        <v>(含)-</v>
      </c>
      <c r="G103" s="692" t="str">
        <f t="shared" si="23"/>
        <v>(含)-</v>
      </c>
      <c r="H103" s="692" t="str">
        <f t="shared" si="23"/>
        <v>(含)-</v>
      </c>
      <c r="I103" s="692" t="str">
        <f t="shared" si="23"/>
        <v>(含)-</v>
      </c>
      <c r="J103" s="692" t="str">
        <f t="shared" si="23"/>
        <v>(含)-</v>
      </c>
      <c r="K103" s="692" t="str">
        <f t="shared" si="23"/>
        <v>(含)-</v>
      </c>
      <c r="L103" s="692" t="str">
        <f t="shared" si="23"/>
        <v>(含)-</v>
      </c>
      <c r="M103" s="695" t="str">
        <f>M104&amp;"(含)"&amp;"-"&amp;P104</f>
        <v>(含)-</v>
      </c>
      <c r="N103" s="2029"/>
      <c r="O103" s="2029"/>
      <c r="P103" s="2080"/>
      <c r="Q103" s="2025"/>
      <c r="R103" s="2013"/>
      <c r="S103" s="2013"/>
      <c r="T103" s="2013"/>
      <c r="U103" s="2013"/>
      <c r="V103" s="2013"/>
      <c r="W103" s="2013"/>
      <c r="X103" s="2013"/>
      <c r="Y103" s="2013"/>
      <c r="Z103" s="2013"/>
      <c r="AA103" s="2013"/>
      <c r="AB103" s="2013"/>
      <c r="AC103" s="2013"/>
    </row>
    <row r="104" spans="1:29" s="1283" customFormat="1">
      <c r="A104" s="712"/>
      <c r="B104" s="713"/>
      <c r="C104" s="714"/>
      <c r="D104" s="714"/>
      <c r="E104" s="714"/>
      <c r="F104" s="714"/>
      <c r="G104" s="714"/>
      <c r="H104" s="714"/>
      <c r="I104" s="714"/>
      <c r="J104" s="715"/>
      <c r="K104" s="715"/>
      <c r="L104" s="716"/>
      <c r="M104" s="717"/>
      <c r="N104" s="2034"/>
      <c r="O104" s="2034"/>
      <c r="P104" s="2081"/>
      <c r="Q104" s="2036"/>
      <c r="R104" s="2037"/>
      <c r="S104" s="2037"/>
      <c r="T104" s="2037"/>
      <c r="U104" s="2037"/>
      <c r="V104" s="2037"/>
      <c r="W104" s="2037"/>
      <c r="X104" s="2037"/>
      <c r="Y104" s="2037"/>
      <c r="Z104" s="2037"/>
      <c r="AA104" s="2037"/>
      <c r="AB104" s="2037"/>
      <c r="AC104" s="2037"/>
    </row>
    <row r="105" spans="1:29" s="1283" customFormat="1" ht="15.75" thickBot="1">
      <c r="A105" s="671"/>
      <c r="B105" s="662"/>
      <c r="C105" s="676"/>
      <c r="D105" s="655"/>
      <c r="E105" s="655"/>
      <c r="F105" s="655"/>
      <c r="G105" s="655"/>
      <c r="H105" s="655"/>
      <c r="I105" s="655"/>
      <c r="J105" s="655"/>
      <c r="K105" s="655"/>
      <c r="L105" s="655"/>
      <c r="M105" s="656"/>
      <c r="N105" s="2033"/>
      <c r="O105" s="2033"/>
      <c r="P105" s="2081"/>
      <c r="Q105" s="2036"/>
      <c r="R105" s="2037"/>
      <c r="S105" s="2037"/>
      <c r="T105" s="2037"/>
      <c r="U105" s="2037"/>
      <c r="V105" s="2037"/>
      <c r="W105" s="2037"/>
      <c r="X105" s="2037"/>
      <c r="Y105" s="2037"/>
      <c r="Z105" s="2037"/>
      <c r="AA105" s="2037"/>
      <c r="AB105" s="2037"/>
      <c r="AC105" s="2037"/>
    </row>
    <row r="106" spans="1:29" ht="15" thickTop="1">
      <c r="A106" s="719"/>
      <c r="B106" s="657" t="s">
        <v>743</v>
      </c>
      <c r="C106" s="672"/>
      <c r="D106" s="672"/>
      <c r="E106" s="702"/>
      <c r="F106" s="702"/>
      <c r="G106" s="702"/>
      <c r="H106" s="702"/>
      <c r="I106" s="702"/>
      <c r="J106" s="702"/>
      <c r="K106" s="703"/>
      <c r="L106" s="704"/>
      <c r="M106" s="705"/>
      <c r="N106" s="2031"/>
      <c r="O106" s="2031"/>
      <c r="P106" s="2080"/>
      <c r="Q106" s="2025"/>
      <c r="R106" s="2013"/>
      <c r="S106" s="2013"/>
      <c r="T106" s="2013"/>
      <c r="U106" s="2013"/>
      <c r="V106" s="2013"/>
      <c r="W106" s="2013"/>
      <c r="X106" s="2013"/>
      <c r="Y106" s="2013"/>
      <c r="Z106" s="2013"/>
      <c r="AA106" s="2013"/>
      <c r="AB106" s="2013"/>
      <c r="AC106" s="2013"/>
    </row>
    <row r="107" spans="1:29" ht="15.75" thickBot="1">
      <c r="A107" s="653"/>
      <c r="B107" s="662"/>
      <c r="C107" s="663">
        <v>100</v>
      </c>
      <c r="D107" s="663">
        <f t="shared" ref="D107:M107" si="24">C107-$K35</f>
        <v>100</v>
      </c>
      <c r="E107" s="663">
        <f t="shared" si="24"/>
        <v>100</v>
      </c>
      <c r="F107" s="663">
        <f t="shared" si="24"/>
        <v>100</v>
      </c>
      <c r="G107" s="663">
        <f t="shared" si="24"/>
        <v>100</v>
      </c>
      <c r="H107" s="663">
        <f t="shared" si="24"/>
        <v>100</v>
      </c>
      <c r="I107" s="663">
        <f t="shared" si="24"/>
        <v>100</v>
      </c>
      <c r="J107" s="663">
        <f t="shared" si="24"/>
        <v>100</v>
      </c>
      <c r="K107" s="663">
        <f t="shared" si="24"/>
        <v>100</v>
      </c>
      <c r="L107" s="663">
        <f t="shared" si="24"/>
        <v>100</v>
      </c>
      <c r="M107" s="664">
        <f t="shared" si="24"/>
        <v>100</v>
      </c>
      <c r="N107" s="2033"/>
      <c r="O107" s="2033"/>
      <c r="P107" s="2080"/>
      <c r="Q107" s="2025"/>
      <c r="R107" s="2013"/>
      <c r="S107" s="2013"/>
      <c r="T107" s="2013"/>
      <c r="U107" s="2013"/>
      <c r="V107" s="2013"/>
      <c r="W107" s="2013"/>
      <c r="X107" s="2013"/>
      <c r="Y107" s="2013"/>
      <c r="Z107" s="2013"/>
      <c r="AA107" s="2013"/>
      <c r="AB107" s="2013"/>
      <c r="AC107" s="2013"/>
    </row>
    <row r="108" spans="1:29" ht="15" thickTop="1">
      <c r="A108" s="719"/>
      <c r="B108" s="657" t="s">
        <v>745</v>
      </c>
      <c r="C108" s="672"/>
      <c r="D108" s="672"/>
      <c r="E108" s="672"/>
      <c r="F108" s="702"/>
      <c r="G108" s="702"/>
      <c r="H108" s="702"/>
      <c r="I108" s="702"/>
      <c r="J108" s="702"/>
      <c r="K108" s="703"/>
      <c r="L108" s="704"/>
      <c r="M108" s="705"/>
      <c r="N108" s="2031"/>
      <c r="O108" s="2031"/>
      <c r="P108" s="2080"/>
      <c r="Q108" s="2025"/>
      <c r="R108" s="2013"/>
      <c r="S108" s="2013"/>
      <c r="T108" s="2013"/>
      <c r="U108" s="2013"/>
      <c r="V108" s="2013"/>
      <c r="W108" s="2013"/>
      <c r="X108" s="2013"/>
      <c r="Y108" s="2013"/>
      <c r="Z108" s="2013"/>
      <c r="AA108" s="2013"/>
      <c r="AB108" s="2013"/>
      <c r="AC108" s="2013"/>
    </row>
    <row r="109" spans="1:29" ht="15.75" thickBot="1">
      <c r="A109" s="653"/>
      <c r="B109" s="662"/>
      <c r="C109" s="663">
        <v>100</v>
      </c>
      <c r="D109" s="663">
        <f t="shared" ref="D109:M109" si="25">C109-$K36</f>
        <v>100</v>
      </c>
      <c r="E109" s="663">
        <f t="shared" si="25"/>
        <v>100</v>
      </c>
      <c r="F109" s="663">
        <f t="shared" si="25"/>
        <v>100</v>
      </c>
      <c r="G109" s="663">
        <f t="shared" si="25"/>
        <v>100</v>
      </c>
      <c r="H109" s="663">
        <f t="shared" si="25"/>
        <v>100</v>
      </c>
      <c r="I109" s="663">
        <f t="shared" si="25"/>
        <v>100</v>
      </c>
      <c r="J109" s="663">
        <f t="shared" si="25"/>
        <v>100</v>
      </c>
      <c r="K109" s="663">
        <f t="shared" si="25"/>
        <v>100</v>
      </c>
      <c r="L109" s="663">
        <f t="shared" si="25"/>
        <v>100</v>
      </c>
      <c r="M109" s="664">
        <f t="shared" si="25"/>
        <v>100</v>
      </c>
      <c r="N109" s="2033"/>
      <c r="O109" s="2033"/>
      <c r="P109" s="2080"/>
      <c r="Q109" s="2025"/>
      <c r="R109" s="2013"/>
      <c r="S109" s="2013"/>
      <c r="T109" s="2013"/>
      <c r="U109" s="2013"/>
      <c r="V109" s="2013"/>
      <c r="W109" s="2013"/>
      <c r="X109" s="2013"/>
      <c r="Y109" s="2013"/>
      <c r="Z109" s="2013"/>
      <c r="AA109" s="2013"/>
      <c r="AB109" s="2013"/>
      <c r="AC109" s="2013"/>
    </row>
    <row r="110" spans="1:29" ht="15" thickTop="1">
      <c r="A110" s="719"/>
      <c r="B110" s="657" t="s">
        <v>746</v>
      </c>
      <c r="C110" s="692" t="str">
        <f>C111&amp;"(含)"&amp;"-"&amp;D111</f>
        <v>0.5(含)-0.6</v>
      </c>
      <c r="D110" s="692" t="str">
        <f>D111&amp;"(含)"&amp;"-"&amp;E111</f>
        <v>0.6(含)-0.7</v>
      </c>
      <c r="E110" s="692" t="str">
        <f>E111&amp;"(含)"&amp;"-"&amp;F111</f>
        <v>0.7(含)-0.8</v>
      </c>
      <c r="F110" s="692" t="str">
        <f>F111&amp;"(含)"&amp;"-"&amp;G111</f>
        <v>0.8(含)-0.9</v>
      </c>
      <c r="G110" s="692" t="str">
        <f>G111&amp;"(含)"&amp;"-"&amp;ROUND(H111,0)</f>
        <v>0.9(含)-1</v>
      </c>
      <c r="H110" s="692"/>
      <c r="I110" s="702"/>
      <c r="J110" s="702"/>
      <c r="K110" s="703"/>
      <c r="L110" s="704"/>
      <c r="M110" s="705"/>
      <c r="N110" s="2031"/>
      <c r="O110" s="2031"/>
      <c r="P110" s="2080"/>
      <c r="Q110" s="2025"/>
      <c r="R110" s="2013"/>
      <c r="S110" s="2013"/>
      <c r="T110" s="2013"/>
      <c r="U110" s="2013"/>
      <c r="V110" s="2013"/>
      <c r="W110" s="2013"/>
      <c r="X110" s="2013"/>
      <c r="Y110" s="2013"/>
      <c r="Z110" s="2013"/>
      <c r="AA110" s="2013"/>
      <c r="AB110" s="2013"/>
      <c r="AC110" s="2013"/>
    </row>
    <row r="111" spans="1:29">
      <c r="A111" s="719"/>
      <c r="B111" s="665"/>
      <c r="C111" s="875">
        <v>0.5</v>
      </c>
      <c r="D111" s="875">
        <v>0.6</v>
      </c>
      <c r="E111" s="875">
        <v>0.7</v>
      </c>
      <c r="F111" s="875">
        <v>0.8</v>
      </c>
      <c r="G111" s="875">
        <v>0.9</v>
      </c>
      <c r="H111" s="875">
        <v>1.0001</v>
      </c>
      <c r="I111" s="886"/>
      <c r="J111" s="886"/>
      <c r="K111" s="887"/>
      <c r="L111" s="888"/>
      <c r="M111" s="889"/>
      <c r="N111" s="2031"/>
      <c r="O111" s="2031"/>
      <c r="P111" s="2080"/>
      <c r="Q111" s="2025"/>
      <c r="R111" s="2013"/>
      <c r="S111" s="2013"/>
      <c r="T111" s="2013"/>
      <c r="U111" s="2013"/>
      <c r="V111" s="2013"/>
      <c r="W111" s="2013"/>
      <c r="X111" s="2013"/>
      <c r="Y111" s="2013"/>
      <c r="Z111" s="2013"/>
      <c r="AA111" s="2013"/>
      <c r="AB111" s="2013"/>
      <c r="AC111" s="2013"/>
    </row>
    <row r="112" spans="1:29" ht="15.75" thickBot="1">
      <c r="A112" s="653"/>
      <c r="B112" s="662"/>
      <c r="C112" s="696">
        <v>100</v>
      </c>
      <c r="D112" s="663">
        <f>C112+$K37</f>
        <v>100</v>
      </c>
      <c r="E112" s="663">
        <f t="shared" ref="E112:M112" si="26">D112+$K37</f>
        <v>100</v>
      </c>
      <c r="F112" s="663">
        <f t="shared" si="26"/>
        <v>100</v>
      </c>
      <c r="G112" s="663">
        <f t="shared" si="26"/>
        <v>100</v>
      </c>
      <c r="H112" s="663">
        <f t="shared" si="26"/>
        <v>100</v>
      </c>
      <c r="I112" s="663">
        <f t="shared" si="26"/>
        <v>100</v>
      </c>
      <c r="J112" s="663">
        <f t="shared" si="26"/>
        <v>100</v>
      </c>
      <c r="K112" s="663">
        <f t="shared" si="26"/>
        <v>100</v>
      </c>
      <c r="L112" s="663">
        <f t="shared" si="26"/>
        <v>100</v>
      </c>
      <c r="M112" s="663">
        <f t="shared" si="26"/>
        <v>100</v>
      </c>
      <c r="N112" s="2033"/>
      <c r="O112" s="2033"/>
      <c r="P112" s="2080"/>
      <c r="Q112" s="2025"/>
      <c r="R112" s="2013"/>
      <c r="S112" s="2013"/>
      <c r="T112" s="2013"/>
      <c r="U112" s="2013"/>
      <c r="V112" s="2013"/>
      <c r="W112" s="2013"/>
      <c r="X112" s="2013"/>
      <c r="Y112" s="2013"/>
      <c r="Z112" s="2013"/>
      <c r="AA112" s="2013"/>
      <c r="AB112" s="2013"/>
      <c r="AC112" s="2013"/>
    </row>
    <row r="113" spans="1:29" s="1283" customFormat="1" ht="15" thickTop="1">
      <c r="A113" s="712"/>
      <c r="B113" s="657" t="s">
        <v>780</v>
      </c>
      <c r="C113" s="672"/>
      <c r="D113" s="672"/>
      <c r="E113" s="672"/>
      <c r="F113" s="672"/>
      <c r="G113" s="672"/>
      <c r="H113" s="702"/>
      <c r="I113" s="702"/>
      <c r="J113" s="702"/>
      <c r="K113" s="703"/>
      <c r="L113" s="704"/>
      <c r="M113" s="705"/>
      <c r="N113" s="2034"/>
      <c r="O113" s="2034"/>
      <c r="P113" s="2081"/>
      <c r="Q113" s="2036"/>
      <c r="R113" s="2037"/>
      <c r="S113" s="2037"/>
      <c r="T113" s="2037"/>
      <c r="U113" s="2037"/>
      <c r="V113" s="2037"/>
      <c r="W113" s="2037"/>
      <c r="X113" s="2037"/>
      <c r="Y113" s="2037"/>
      <c r="Z113" s="2037"/>
      <c r="AA113" s="2037"/>
      <c r="AB113" s="2037"/>
      <c r="AC113" s="2037"/>
    </row>
    <row r="114" spans="1:29" s="1283" customFormat="1" ht="15.75" thickBot="1">
      <c r="A114" s="671"/>
      <c r="B114" s="662"/>
      <c r="C114" s="663">
        <v>100</v>
      </c>
      <c r="D114" s="663">
        <f>C114-$K38</f>
        <v>100</v>
      </c>
      <c r="E114" s="663">
        <f t="shared" ref="E114:M114" si="27">D114-$K38</f>
        <v>100</v>
      </c>
      <c r="F114" s="663">
        <f t="shared" si="27"/>
        <v>100</v>
      </c>
      <c r="G114" s="663">
        <f t="shared" si="27"/>
        <v>100</v>
      </c>
      <c r="H114" s="663">
        <f t="shared" si="27"/>
        <v>100</v>
      </c>
      <c r="I114" s="663">
        <f t="shared" si="27"/>
        <v>100</v>
      </c>
      <c r="J114" s="663">
        <f t="shared" si="27"/>
        <v>100</v>
      </c>
      <c r="K114" s="663">
        <f t="shared" si="27"/>
        <v>100</v>
      </c>
      <c r="L114" s="663">
        <f t="shared" si="27"/>
        <v>100</v>
      </c>
      <c r="M114" s="663">
        <f t="shared" si="27"/>
        <v>100</v>
      </c>
      <c r="N114" s="2034"/>
      <c r="O114" s="2034"/>
      <c r="P114" s="2081"/>
      <c r="Q114" s="2036"/>
      <c r="R114" s="2037"/>
      <c r="S114" s="2037"/>
      <c r="T114" s="2037"/>
      <c r="U114" s="2037"/>
      <c r="V114" s="2037"/>
      <c r="W114" s="2037"/>
      <c r="X114" s="2037"/>
      <c r="Y114" s="2037"/>
      <c r="Z114" s="2037"/>
      <c r="AA114" s="2037"/>
      <c r="AB114" s="2037"/>
      <c r="AC114" s="2037"/>
    </row>
    <row r="115" spans="1:29" ht="15" thickTop="1">
      <c r="A115" s="719"/>
      <c r="B115" s="657" t="s">
        <v>747</v>
      </c>
      <c r="C115" s="672"/>
      <c r="D115" s="672"/>
      <c r="E115" s="702"/>
      <c r="F115" s="702"/>
      <c r="G115" s="702"/>
      <c r="H115" s="702"/>
      <c r="I115" s="702"/>
      <c r="J115" s="702"/>
      <c r="K115" s="703"/>
      <c r="L115" s="704"/>
      <c r="M115" s="705"/>
      <c r="N115" s="2031"/>
      <c r="O115" s="2031"/>
      <c r="P115" s="2080"/>
      <c r="Q115" s="2025"/>
      <c r="R115" s="2013"/>
      <c r="S115" s="2013"/>
      <c r="T115" s="2013"/>
      <c r="U115" s="2013"/>
      <c r="V115" s="2013"/>
      <c r="W115" s="2013"/>
      <c r="X115" s="2013"/>
      <c r="Y115" s="2013"/>
      <c r="Z115" s="2013"/>
      <c r="AA115" s="2013"/>
      <c r="AB115" s="2013"/>
      <c r="AC115" s="2013"/>
    </row>
    <row r="116" spans="1:29" ht="15.75" thickBot="1">
      <c r="A116" s="653"/>
      <c r="B116" s="662"/>
      <c r="C116" s="663">
        <v>100</v>
      </c>
      <c r="D116" s="663">
        <f t="shared" ref="D116:M116" si="28">C116-$K39</f>
        <v>100</v>
      </c>
      <c r="E116" s="663">
        <f t="shared" si="28"/>
        <v>100</v>
      </c>
      <c r="F116" s="663">
        <f t="shared" si="28"/>
        <v>100</v>
      </c>
      <c r="G116" s="663">
        <f t="shared" si="28"/>
        <v>100</v>
      </c>
      <c r="H116" s="663">
        <f t="shared" si="28"/>
        <v>100</v>
      </c>
      <c r="I116" s="663">
        <f t="shared" si="28"/>
        <v>100</v>
      </c>
      <c r="J116" s="663">
        <f t="shared" si="28"/>
        <v>100</v>
      </c>
      <c r="K116" s="663">
        <f t="shared" si="28"/>
        <v>100</v>
      </c>
      <c r="L116" s="663">
        <f t="shared" si="28"/>
        <v>100</v>
      </c>
      <c r="M116" s="664">
        <f t="shared" si="28"/>
        <v>100</v>
      </c>
      <c r="N116" s="2033"/>
      <c r="O116" s="2033"/>
      <c r="P116" s="2080"/>
      <c r="Q116" s="2025"/>
      <c r="R116" s="2013"/>
      <c r="S116" s="2013"/>
      <c r="T116" s="2013"/>
      <c r="U116" s="2013"/>
      <c r="V116" s="2013"/>
      <c r="W116" s="2013"/>
      <c r="X116" s="2013"/>
      <c r="Y116" s="2013"/>
      <c r="Z116" s="2013"/>
      <c r="AA116" s="2013"/>
      <c r="AB116" s="2013"/>
      <c r="AC116" s="2013"/>
    </row>
    <row r="117" spans="1:29" ht="15" thickTop="1">
      <c r="A117" s="719"/>
      <c r="B117" s="1796" t="s">
        <v>2532</v>
      </c>
      <c r="C117" s="672"/>
      <c r="D117" s="672"/>
      <c r="E117" s="672"/>
      <c r="F117" s="672"/>
      <c r="G117" s="672"/>
      <c r="H117" s="702"/>
      <c r="I117" s="702"/>
      <c r="J117" s="702"/>
      <c r="K117" s="703"/>
      <c r="L117" s="704"/>
      <c r="M117" s="705"/>
      <c r="N117" s="2031"/>
      <c r="O117" s="2031"/>
      <c r="P117" s="2080"/>
      <c r="Q117" s="2025"/>
      <c r="R117" s="2013"/>
      <c r="S117" s="2013"/>
      <c r="T117" s="2013"/>
      <c r="U117" s="2013"/>
      <c r="V117" s="2013"/>
      <c r="W117" s="2013"/>
      <c r="X117" s="2013"/>
      <c r="Y117" s="2013"/>
      <c r="Z117" s="2013"/>
      <c r="AA117" s="2013"/>
      <c r="AB117" s="2013"/>
      <c r="AC117" s="2013"/>
    </row>
    <row r="118" spans="1:29" ht="15.75" thickBot="1">
      <c r="A118" s="653"/>
      <c r="B118" s="662"/>
      <c r="C118" s="663">
        <v>100</v>
      </c>
      <c r="D118" s="663">
        <f>C118-$K40</f>
        <v>100</v>
      </c>
      <c r="E118" s="663">
        <f>D118-$K40</f>
        <v>100</v>
      </c>
      <c r="F118" s="663">
        <f>E118-$K40</f>
        <v>100</v>
      </c>
      <c r="G118" s="663">
        <f>F118-$K40</f>
        <v>100</v>
      </c>
      <c r="H118" s="663"/>
      <c r="I118" s="663"/>
      <c r="J118" s="663"/>
      <c r="K118" s="663"/>
      <c r="L118" s="663"/>
      <c r="M118" s="664"/>
      <c r="N118" s="2033"/>
      <c r="O118" s="2033"/>
      <c r="P118" s="2080"/>
      <c r="Q118" s="2025"/>
      <c r="R118" s="2013"/>
      <c r="S118" s="2013"/>
      <c r="T118" s="2013"/>
      <c r="U118" s="2013"/>
      <c r="V118" s="2013"/>
      <c r="W118" s="2013"/>
      <c r="X118" s="2013"/>
      <c r="Y118" s="2013"/>
      <c r="Z118" s="2013"/>
      <c r="AA118" s="2013"/>
      <c r="AB118" s="2013"/>
      <c r="AC118" s="2013"/>
    </row>
    <row r="119" spans="1:29" ht="15" thickTop="1">
      <c r="A119" s="719"/>
      <c r="B119" s="898" t="s">
        <v>781</v>
      </c>
      <c r="C119" s="702"/>
      <c r="D119" s="702"/>
      <c r="E119" s="702"/>
      <c r="F119" s="702"/>
      <c r="G119" s="702"/>
      <c r="H119" s="702"/>
      <c r="I119" s="702"/>
      <c r="J119" s="702"/>
      <c r="K119" s="702"/>
      <c r="L119" s="899"/>
      <c r="M119" s="900"/>
      <c r="N119" s="2033"/>
      <c r="O119" s="2033"/>
      <c r="P119" s="2085"/>
      <c r="Q119" s="2073"/>
      <c r="R119" s="2013"/>
      <c r="S119" s="2013"/>
      <c r="T119" s="2013"/>
      <c r="U119" s="2013"/>
      <c r="V119" s="2013"/>
      <c r="W119" s="2013"/>
      <c r="X119" s="2013"/>
      <c r="Y119" s="2013"/>
      <c r="Z119" s="2013"/>
      <c r="AA119" s="2013"/>
      <c r="AB119" s="2013"/>
      <c r="AC119" s="2013"/>
    </row>
    <row r="120" spans="1:29" ht="15.75" thickBot="1">
      <c r="A120" s="653"/>
      <c r="B120" s="662"/>
      <c r="C120" s="696">
        <v>100</v>
      </c>
      <c r="D120" s="663">
        <f>C120-$K41</f>
        <v>100</v>
      </c>
      <c r="E120" s="663">
        <f t="shared" ref="E120:M120" si="29">D120-$K41</f>
        <v>100</v>
      </c>
      <c r="F120" s="663">
        <f t="shared" si="29"/>
        <v>100</v>
      </c>
      <c r="G120" s="663">
        <f t="shared" si="29"/>
        <v>100</v>
      </c>
      <c r="H120" s="663">
        <f t="shared" si="29"/>
        <v>100</v>
      </c>
      <c r="I120" s="663">
        <f t="shared" si="29"/>
        <v>100</v>
      </c>
      <c r="J120" s="663">
        <f t="shared" si="29"/>
        <v>100</v>
      </c>
      <c r="K120" s="663">
        <f t="shared" si="29"/>
        <v>100</v>
      </c>
      <c r="L120" s="663">
        <f t="shared" si="29"/>
        <v>100</v>
      </c>
      <c r="M120" s="663">
        <f t="shared" si="29"/>
        <v>100</v>
      </c>
      <c r="N120" s="2033"/>
      <c r="O120" s="2033"/>
      <c r="P120" s="2080"/>
      <c r="Q120" s="2025"/>
      <c r="R120" s="2013"/>
      <c r="S120" s="2013"/>
      <c r="T120" s="2013"/>
      <c r="U120" s="2013"/>
      <c r="V120" s="2013"/>
      <c r="W120" s="2013"/>
      <c r="X120" s="2013"/>
      <c r="Y120" s="2013"/>
      <c r="Z120" s="2013"/>
      <c r="AA120" s="2013"/>
      <c r="AB120" s="2013"/>
      <c r="AC120" s="2013"/>
    </row>
    <row r="121" spans="1:29" s="1283" customFormat="1" ht="15" thickTop="1">
      <c r="A121" s="712"/>
      <c r="B121" s="657" t="s">
        <v>769</v>
      </c>
      <c r="C121" s="672"/>
      <c r="D121" s="672"/>
      <c r="E121" s="672"/>
      <c r="F121" s="702"/>
      <c r="G121" s="673"/>
      <c r="H121" s="673"/>
      <c r="I121" s="673"/>
      <c r="J121" s="673"/>
      <c r="K121" s="673"/>
      <c r="L121" s="674"/>
      <c r="M121" s="675"/>
      <c r="N121" s="2034"/>
      <c r="O121" s="2034"/>
      <c r="P121" s="2081"/>
      <c r="Q121" s="2036"/>
      <c r="R121" s="2037"/>
      <c r="S121" s="2037"/>
      <c r="T121" s="2037"/>
      <c r="U121" s="2037"/>
      <c r="V121" s="2037"/>
      <c r="W121" s="2037"/>
      <c r="X121" s="2037"/>
      <c r="Y121" s="2037"/>
      <c r="Z121" s="2037"/>
      <c r="AA121" s="2037"/>
      <c r="AB121" s="2037"/>
      <c r="AC121" s="2037"/>
    </row>
    <row r="122" spans="1:29" s="1283" customFormat="1" ht="15.75" thickBot="1">
      <c r="A122" s="671"/>
      <c r="B122" s="654"/>
      <c r="C122" s="676"/>
      <c r="D122" s="676"/>
      <c r="E122" s="676"/>
      <c r="F122" s="676"/>
      <c r="G122" s="676"/>
      <c r="H122" s="676"/>
      <c r="I122" s="676"/>
      <c r="J122" s="676"/>
      <c r="K122" s="676"/>
      <c r="L122" s="676"/>
      <c r="M122" s="676"/>
      <c r="N122" s="2034"/>
      <c r="O122" s="2034"/>
      <c r="P122" s="2081"/>
      <c r="Q122" s="2036"/>
      <c r="R122" s="2037"/>
      <c r="S122" s="2037"/>
      <c r="T122" s="2037"/>
      <c r="U122" s="2037"/>
      <c r="V122" s="2037"/>
      <c r="W122" s="2037"/>
      <c r="X122" s="2037"/>
      <c r="Y122" s="2037"/>
      <c r="Z122" s="2037"/>
      <c r="AA122" s="2037"/>
      <c r="AB122" s="2037"/>
      <c r="AC122" s="2037"/>
    </row>
    <row r="123" spans="1:29" ht="15" thickTop="1">
      <c r="A123" s="719"/>
      <c r="B123" s="657" t="s">
        <v>749</v>
      </c>
      <c r="C123" s="672"/>
      <c r="D123" s="672"/>
      <c r="E123" s="672"/>
      <c r="F123" s="702"/>
      <c r="G123" s="702"/>
      <c r="H123" s="702"/>
      <c r="I123" s="702"/>
      <c r="J123" s="702"/>
      <c r="K123" s="703"/>
      <c r="L123" s="704"/>
      <c r="M123" s="705"/>
      <c r="N123" s="2031"/>
      <c r="O123" s="2031"/>
      <c r="P123" s="2080"/>
      <c r="Q123" s="2025"/>
      <c r="R123" s="2013"/>
      <c r="S123" s="2013"/>
      <c r="T123" s="2013"/>
      <c r="U123" s="2013"/>
      <c r="V123" s="2013"/>
      <c r="W123" s="2013"/>
      <c r="X123" s="2013"/>
      <c r="Y123" s="2013"/>
      <c r="Z123" s="2013"/>
      <c r="AA123" s="2013"/>
      <c r="AB123" s="2013"/>
      <c r="AC123" s="2013"/>
    </row>
    <row r="124" spans="1:29" ht="15.75" thickBot="1">
      <c r="A124" s="653"/>
      <c r="B124" s="662"/>
      <c r="C124" s="663">
        <v>100</v>
      </c>
      <c r="D124" s="663">
        <f t="shared" ref="D124:M124" si="30">C124-$K43</f>
        <v>100</v>
      </c>
      <c r="E124" s="663">
        <f t="shared" si="30"/>
        <v>100</v>
      </c>
      <c r="F124" s="663">
        <f t="shared" si="30"/>
        <v>100</v>
      </c>
      <c r="G124" s="663">
        <f t="shared" si="30"/>
        <v>100</v>
      </c>
      <c r="H124" s="663">
        <f t="shared" si="30"/>
        <v>100</v>
      </c>
      <c r="I124" s="663">
        <f t="shared" si="30"/>
        <v>100</v>
      </c>
      <c r="J124" s="663">
        <f t="shared" si="30"/>
        <v>100</v>
      </c>
      <c r="K124" s="663">
        <f t="shared" si="30"/>
        <v>100</v>
      </c>
      <c r="L124" s="663">
        <f t="shared" si="30"/>
        <v>100</v>
      </c>
      <c r="M124" s="664">
        <f t="shared" si="30"/>
        <v>100</v>
      </c>
      <c r="N124" s="2033"/>
      <c r="O124" s="2033"/>
      <c r="P124" s="2080"/>
      <c r="Q124" s="2025"/>
      <c r="R124" s="2013"/>
      <c r="S124" s="2013"/>
      <c r="T124" s="2013"/>
      <c r="U124" s="2013"/>
      <c r="V124" s="2013"/>
      <c r="W124" s="2013"/>
      <c r="X124" s="2013"/>
      <c r="Y124" s="2013"/>
      <c r="Z124" s="2013"/>
      <c r="AA124" s="2013"/>
      <c r="AB124" s="2013"/>
      <c r="AC124" s="2013"/>
    </row>
    <row r="125" spans="1:29" ht="27.75" thickTop="1">
      <c r="A125" s="719"/>
      <c r="B125" s="657" t="s">
        <v>750</v>
      </c>
      <c r="C125" s="692" t="s">
        <v>573</v>
      </c>
      <c r="D125" s="692" t="s">
        <v>574</v>
      </c>
      <c r="E125" s="692" t="s">
        <v>575</v>
      </c>
      <c r="F125" s="692" t="s">
        <v>576</v>
      </c>
      <c r="G125" s="692" t="s">
        <v>577</v>
      </c>
      <c r="H125" s="658"/>
      <c r="I125" s="658"/>
      <c r="J125" s="658"/>
      <c r="K125" s="659"/>
      <c r="L125" s="660"/>
      <c r="M125" s="661"/>
      <c r="N125" s="2031"/>
      <c r="O125" s="2031"/>
      <c r="P125" s="2081"/>
      <c r="Q125" s="2025"/>
      <c r="R125" s="2013"/>
      <c r="S125" s="2013"/>
      <c r="T125" s="2013"/>
      <c r="U125" s="2013"/>
      <c r="V125" s="2013"/>
      <c r="W125" s="2013"/>
      <c r="X125" s="2013"/>
      <c r="Y125" s="2013"/>
      <c r="Z125" s="2013"/>
      <c r="AA125" s="2013"/>
      <c r="AB125" s="2013"/>
      <c r="AC125" s="2013"/>
    </row>
    <row r="126" spans="1:29" ht="15.75" thickBot="1">
      <c r="A126" s="653"/>
      <c r="B126" s="662"/>
      <c r="C126" s="663">
        <v>100</v>
      </c>
      <c r="D126" s="663">
        <f>C126-$K44</f>
        <v>100</v>
      </c>
      <c r="E126" s="663">
        <f>D126-$K44</f>
        <v>100</v>
      </c>
      <c r="F126" s="663">
        <f>E126-$K44</f>
        <v>100</v>
      </c>
      <c r="G126" s="663">
        <f>F126-$K44</f>
        <v>100</v>
      </c>
      <c r="H126" s="663"/>
      <c r="I126" s="663"/>
      <c r="J126" s="663"/>
      <c r="K126" s="663"/>
      <c r="L126" s="663"/>
      <c r="M126" s="664"/>
      <c r="N126" s="2033"/>
      <c r="O126" s="2033"/>
      <c r="P126" s="2080"/>
      <c r="Q126" s="2025"/>
      <c r="R126" s="2013"/>
      <c r="S126" s="2013"/>
      <c r="T126" s="2013"/>
      <c r="U126" s="2013"/>
      <c r="V126" s="2013"/>
      <c r="W126" s="2013"/>
      <c r="X126" s="2013"/>
      <c r="Y126" s="2013"/>
      <c r="Z126" s="2013"/>
      <c r="AA126" s="2013"/>
      <c r="AB126" s="2013"/>
      <c r="AC126" s="2013"/>
    </row>
    <row r="127" spans="1:29" s="1283" customFormat="1" ht="15" thickTop="1">
      <c r="A127" s="712"/>
      <c r="B127" s="657">
        <f>B45</f>
        <v>111</v>
      </c>
      <c r="C127" s="672"/>
      <c r="D127" s="672"/>
      <c r="E127" s="672"/>
      <c r="F127" s="672"/>
      <c r="G127" s="672"/>
      <c r="H127" s="673"/>
      <c r="I127" s="673"/>
      <c r="J127" s="673"/>
      <c r="K127" s="673"/>
      <c r="L127" s="674"/>
      <c r="M127" s="675"/>
      <c r="N127" s="2034"/>
      <c r="O127" s="2034"/>
      <c r="P127" s="2081"/>
      <c r="Q127" s="2036"/>
      <c r="R127" s="2037"/>
      <c r="S127" s="2037"/>
      <c r="T127" s="2037"/>
      <c r="U127" s="2037"/>
      <c r="V127" s="2037"/>
      <c r="W127" s="2037"/>
      <c r="X127" s="2037"/>
      <c r="Y127" s="2037"/>
      <c r="Z127" s="2037"/>
      <c r="AA127" s="2037"/>
      <c r="AB127" s="2037"/>
      <c r="AC127" s="2037"/>
    </row>
    <row r="128" spans="1:29" s="1283" customFormat="1" ht="15.75" thickBot="1">
      <c r="A128" s="671"/>
      <c r="B128" s="662"/>
      <c r="C128" s="676"/>
      <c r="D128" s="655"/>
      <c r="E128" s="655"/>
      <c r="F128" s="655"/>
      <c r="G128" s="676"/>
      <c r="H128" s="677"/>
      <c r="I128" s="677"/>
      <c r="J128" s="677"/>
      <c r="K128" s="677"/>
      <c r="L128" s="677"/>
      <c r="M128" s="678"/>
      <c r="N128" s="2034"/>
      <c r="O128" s="2034"/>
      <c r="P128" s="2081"/>
      <c r="Q128" s="2036"/>
      <c r="R128" s="2037"/>
      <c r="S128" s="2037"/>
      <c r="T128" s="2037"/>
      <c r="U128" s="2037"/>
      <c r="V128" s="2037"/>
      <c r="W128" s="2037"/>
      <c r="X128" s="2037"/>
      <c r="Y128" s="2037"/>
      <c r="Z128" s="2037"/>
      <c r="AA128" s="2037"/>
      <c r="AB128" s="2037"/>
      <c r="AC128" s="2037"/>
    </row>
    <row r="129" spans="1:29" ht="15" thickTop="1">
      <c r="A129" s="719"/>
      <c r="B129" s="657">
        <f>B46</f>
        <v>111</v>
      </c>
      <c r="C129" s="672"/>
      <c r="D129" s="672"/>
      <c r="E129" s="672"/>
      <c r="F129" s="672"/>
      <c r="G129" s="702"/>
      <c r="H129" s="702"/>
      <c r="I129" s="702"/>
      <c r="J129" s="702"/>
      <c r="K129" s="703"/>
      <c r="L129" s="704"/>
      <c r="M129" s="705"/>
      <c r="N129" s="2031"/>
      <c r="O129" s="2031"/>
      <c r="P129" s="2080"/>
      <c r="Q129" s="2025"/>
      <c r="R129" s="2013"/>
      <c r="S129" s="2013"/>
      <c r="T129" s="2013"/>
      <c r="U129" s="2013"/>
      <c r="V129" s="2013"/>
      <c r="W129" s="2013"/>
      <c r="X129" s="2013"/>
      <c r="Y129" s="2013"/>
      <c r="Z129" s="2013"/>
      <c r="AA129" s="2013"/>
      <c r="AB129" s="2013"/>
      <c r="AC129" s="2013"/>
    </row>
    <row r="130" spans="1:29" ht="15.75" thickBot="1">
      <c r="A130" s="653"/>
      <c r="B130" s="662"/>
      <c r="C130" s="676"/>
      <c r="D130" s="676"/>
      <c r="E130" s="676"/>
      <c r="F130" s="676"/>
      <c r="G130" s="655"/>
      <c r="H130" s="655"/>
      <c r="I130" s="655"/>
      <c r="J130" s="655"/>
      <c r="K130" s="655"/>
      <c r="L130" s="655"/>
      <c r="M130" s="656"/>
      <c r="N130" s="2033"/>
      <c r="O130" s="2033"/>
      <c r="P130" s="2080"/>
      <c r="Q130" s="2025"/>
      <c r="R130" s="2013"/>
      <c r="S130" s="2013"/>
      <c r="T130" s="2013"/>
      <c r="U130" s="2013"/>
      <c r="V130" s="2013"/>
      <c r="W130" s="2013"/>
      <c r="X130" s="2013"/>
      <c r="Y130" s="2013"/>
      <c r="Z130" s="2013"/>
      <c r="AA130" s="2013"/>
      <c r="AB130" s="2013"/>
      <c r="AC130" s="2013"/>
    </row>
    <row r="131" spans="1:29" ht="15" thickTop="1">
      <c r="A131" s="719"/>
      <c r="B131" s="665">
        <f>B47</f>
        <v>111</v>
      </c>
      <c r="C131" s="645"/>
      <c r="D131" s="645"/>
      <c r="E131" s="645"/>
      <c r="F131" s="645"/>
      <c r="G131" s="706"/>
      <c r="H131" s="706"/>
      <c r="I131" s="706"/>
      <c r="J131" s="706"/>
      <c r="K131" s="645"/>
      <c r="L131" s="646"/>
      <c r="M131" s="709"/>
      <c r="N131" s="2031"/>
      <c r="O131" s="2031"/>
      <c r="P131" s="2080"/>
      <c r="Q131" s="2025"/>
      <c r="R131" s="2013"/>
      <c r="S131" s="2013"/>
      <c r="T131" s="2013"/>
      <c r="U131" s="2013"/>
      <c r="V131" s="2013"/>
      <c r="W131" s="2013"/>
      <c r="X131" s="2013"/>
      <c r="Y131" s="2013"/>
      <c r="Z131" s="2013"/>
      <c r="AA131" s="2013"/>
      <c r="AB131" s="2013"/>
      <c r="AC131" s="2013"/>
    </row>
    <row r="132" spans="1:29" ht="15.75" thickBot="1">
      <c r="A132" s="874"/>
      <c r="B132" s="683"/>
      <c r="C132" s="684"/>
      <c r="D132" s="684"/>
      <c r="E132" s="684"/>
      <c r="F132" s="684"/>
      <c r="G132" s="710"/>
      <c r="H132" s="710"/>
      <c r="I132" s="710"/>
      <c r="J132" s="710"/>
      <c r="K132" s="710"/>
      <c r="L132" s="710"/>
      <c r="M132" s="711"/>
      <c r="N132" s="2033"/>
      <c r="O132" s="2033"/>
      <c r="P132" s="2080"/>
      <c r="Q132" s="2025"/>
      <c r="R132" s="2013"/>
      <c r="S132" s="2013"/>
      <c r="T132" s="2013"/>
      <c r="U132" s="2013"/>
      <c r="V132" s="2013"/>
      <c r="W132" s="2013"/>
      <c r="X132" s="2013"/>
      <c r="Y132" s="2013"/>
      <c r="Z132" s="2013"/>
      <c r="AA132" s="2013"/>
      <c r="AB132" s="2013"/>
      <c r="AC132" s="2013"/>
    </row>
    <row r="133" spans="1:29">
      <c r="A133" s="2046"/>
      <c r="B133" s="2046"/>
      <c r="C133" s="2046"/>
      <c r="D133" s="2046"/>
      <c r="E133" s="2046"/>
      <c r="F133" s="2046"/>
      <c r="G133" s="2046"/>
      <c r="H133" s="2046"/>
      <c r="I133" s="2046"/>
      <c r="J133" s="2046"/>
      <c r="K133" s="2047"/>
      <c r="L133" s="2048"/>
      <c r="M133" s="2046"/>
      <c r="N133" s="2046"/>
      <c r="O133" s="2046"/>
      <c r="P133" s="208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8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8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8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8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8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8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8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8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8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8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8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8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8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8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8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8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8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8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8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8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8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8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8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8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8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8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8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8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8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8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8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8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8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8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8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8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8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8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8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8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8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8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8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8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8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8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8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8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8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8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8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8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8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8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8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8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8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8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8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8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8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8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8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8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8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8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8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8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8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8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8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8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8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8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8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8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8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8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8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8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8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8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8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8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8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8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8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8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8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8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8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8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8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8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8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8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8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8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8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8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8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86"/>
      <c r="Q235" s="2046"/>
      <c r="R235" s="2046"/>
      <c r="S235" s="2046"/>
      <c r="T235" s="2046"/>
      <c r="U235" s="2046"/>
      <c r="V235" s="2046"/>
      <c r="W235" s="2046"/>
      <c r="X235" s="2046"/>
      <c r="Y235" s="2046"/>
      <c r="Z235" s="2046"/>
      <c r="AA235" s="2046"/>
      <c r="AB235" s="2046"/>
      <c r="AC235" s="2046"/>
    </row>
    <row r="236" spans="1:29">
      <c r="A236" s="2046"/>
      <c r="B236" s="2046"/>
      <c r="C236" s="2046"/>
      <c r="D236" s="2046"/>
      <c r="E236" s="2046"/>
      <c r="F236" s="2046"/>
      <c r="G236" s="2046"/>
      <c r="H236" s="2046"/>
      <c r="I236" s="2046"/>
      <c r="J236" s="2046"/>
      <c r="K236" s="2047"/>
      <c r="L236" s="2048"/>
      <c r="M236" s="2046"/>
      <c r="N236" s="2046"/>
      <c r="O236" s="2046"/>
      <c r="P236" s="2086"/>
      <c r="Q236" s="2046"/>
      <c r="R236" s="2046"/>
      <c r="S236" s="2046"/>
      <c r="T236" s="2046"/>
      <c r="U236" s="2046"/>
      <c r="V236" s="2046"/>
      <c r="W236" s="2046"/>
      <c r="X236" s="2046"/>
      <c r="Y236" s="2046"/>
      <c r="Z236" s="2046"/>
      <c r="AA236" s="2046"/>
      <c r="AB236" s="2046"/>
      <c r="AC236" s="2046"/>
    </row>
    <row r="237" spans="1:29">
      <c r="A237" s="2046"/>
      <c r="B237" s="2046"/>
      <c r="C237" s="2046"/>
      <c r="D237" s="2046"/>
      <c r="E237" s="2046"/>
      <c r="F237" s="2046"/>
      <c r="G237" s="2046"/>
      <c r="H237" s="2046"/>
      <c r="I237" s="2046"/>
      <c r="J237" s="2046"/>
      <c r="K237" s="2047"/>
      <c r="L237" s="2048"/>
      <c r="M237" s="2046"/>
      <c r="N237" s="2046"/>
      <c r="O237" s="2046"/>
      <c r="P237" s="2086"/>
      <c r="Q237" s="2046"/>
      <c r="R237" s="2046"/>
      <c r="S237" s="2046"/>
      <c r="T237" s="2046"/>
      <c r="U237" s="2046"/>
      <c r="V237" s="2046"/>
      <c r="W237" s="2046"/>
      <c r="X237" s="2046"/>
      <c r="Y237" s="2046"/>
      <c r="Z237" s="2046"/>
      <c r="AA237" s="2046"/>
      <c r="AB237" s="2046"/>
      <c r="AC237" s="2046"/>
    </row>
    <row r="238" spans="1:29">
      <c r="A238" s="2046"/>
      <c r="B238" s="2046"/>
      <c r="C238" s="2046"/>
      <c r="D238" s="2046"/>
      <c r="E238" s="2046"/>
      <c r="F238" s="2046"/>
      <c r="G238" s="2046"/>
      <c r="H238" s="2046"/>
      <c r="I238" s="2046"/>
      <c r="J238" s="2046"/>
      <c r="K238" s="2047"/>
      <c r="L238" s="2048"/>
      <c r="M238" s="2046"/>
      <c r="N238" s="2046"/>
      <c r="O238" s="2046"/>
      <c r="P238" s="2086"/>
      <c r="Q238" s="2046"/>
      <c r="R238" s="2046"/>
      <c r="S238" s="2046"/>
      <c r="T238" s="2046"/>
      <c r="U238" s="2046"/>
      <c r="V238" s="2046"/>
      <c r="W238" s="2046"/>
      <c r="X238" s="2046"/>
      <c r="Y238" s="2046"/>
      <c r="Z238" s="2046"/>
      <c r="AA238" s="2046"/>
      <c r="AB238" s="2046"/>
      <c r="AC238" s="2046"/>
    </row>
    <row r="239" spans="1:29">
      <c r="A239" s="2046"/>
      <c r="B239" s="2046"/>
      <c r="C239" s="2046"/>
      <c r="D239" s="2046"/>
      <c r="E239" s="2046"/>
      <c r="F239" s="2046"/>
      <c r="G239" s="2046"/>
      <c r="H239" s="2046"/>
      <c r="I239" s="2046"/>
      <c r="J239" s="2046"/>
      <c r="K239" s="2047"/>
      <c r="L239" s="2048"/>
      <c r="M239" s="2046"/>
      <c r="N239" s="2046"/>
      <c r="O239" s="2046"/>
      <c r="P239" s="2086"/>
      <c r="Q239" s="2046"/>
      <c r="R239" s="2046"/>
      <c r="S239" s="2046"/>
      <c r="T239" s="2046"/>
      <c r="U239" s="2046"/>
      <c r="V239" s="2046"/>
      <c r="W239" s="2046"/>
      <c r="X239" s="2046"/>
      <c r="Y239" s="2046"/>
      <c r="Z239" s="2046"/>
      <c r="AA239" s="2046"/>
      <c r="AB239" s="2046"/>
      <c r="AC239" s="2046"/>
    </row>
    <row r="240" spans="1:29">
      <c r="A240" s="2046"/>
      <c r="B240" s="2046"/>
      <c r="C240" s="2046"/>
      <c r="D240" s="2046"/>
      <c r="E240" s="2046"/>
      <c r="F240" s="2046"/>
      <c r="G240" s="2046"/>
      <c r="H240" s="2046"/>
      <c r="I240" s="2046"/>
      <c r="J240" s="2046"/>
      <c r="K240" s="2047"/>
      <c r="L240" s="2048"/>
      <c r="M240" s="2046"/>
      <c r="N240" s="2046"/>
      <c r="O240" s="2046"/>
      <c r="P240" s="2086"/>
      <c r="Q240" s="2046"/>
      <c r="R240" s="2046"/>
      <c r="S240" s="2046"/>
      <c r="T240" s="2046"/>
      <c r="U240" s="2046"/>
      <c r="V240" s="2046"/>
      <c r="W240" s="2046"/>
      <c r="X240" s="2046"/>
      <c r="Y240" s="2046"/>
      <c r="Z240" s="2046"/>
      <c r="AA240" s="2046"/>
      <c r="AB240" s="2046"/>
      <c r="AC240" s="2046"/>
    </row>
    <row r="241" spans="1:29">
      <c r="A241" s="2046"/>
      <c r="B241" s="2046"/>
      <c r="C241" s="2046"/>
      <c r="D241" s="2046"/>
      <c r="E241" s="2046"/>
      <c r="F241" s="2046"/>
      <c r="G241" s="2046"/>
      <c r="H241" s="2046"/>
      <c r="I241" s="2046"/>
      <c r="J241" s="2046"/>
      <c r="K241" s="2047"/>
      <c r="L241" s="2048"/>
      <c r="M241" s="2046"/>
      <c r="N241" s="2046"/>
      <c r="O241" s="2046"/>
      <c r="P241" s="2086"/>
      <c r="Q241" s="2046"/>
      <c r="R241" s="2046"/>
      <c r="S241" s="2046"/>
      <c r="T241" s="2046"/>
      <c r="U241" s="2046"/>
      <c r="V241" s="2046"/>
      <c r="W241" s="2046"/>
      <c r="X241" s="2046"/>
      <c r="Y241" s="2046"/>
      <c r="Z241" s="2046"/>
      <c r="AA241" s="2046"/>
      <c r="AB241" s="2046"/>
      <c r="AC241" s="2046"/>
    </row>
    <row r="242" spans="1:29">
      <c r="A242" s="2046"/>
      <c r="B242" s="2046"/>
      <c r="C242" s="2046"/>
      <c r="D242" s="2046"/>
      <c r="E242" s="2046"/>
      <c r="F242" s="2046"/>
      <c r="G242" s="2046"/>
      <c r="H242" s="2046"/>
      <c r="I242" s="2046"/>
      <c r="J242" s="2046"/>
      <c r="K242" s="2047"/>
      <c r="L242" s="2048"/>
      <c r="M242" s="2046"/>
      <c r="N242" s="2046"/>
      <c r="O242" s="2046"/>
      <c r="P242" s="2086"/>
      <c r="Q242" s="2046"/>
      <c r="R242" s="2046"/>
      <c r="S242" s="2046"/>
      <c r="T242" s="2046"/>
      <c r="U242" s="2046"/>
      <c r="V242" s="2046"/>
      <c r="W242" s="2046"/>
      <c r="X242" s="2046"/>
      <c r="Y242" s="2046"/>
      <c r="Z242" s="2046"/>
      <c r="AA242" s="2046"/>
      <c r="AB242" s="2046"/>
      <c r="AC242" s="2046"/>
    </row>
    <row r="243" spans="1:29">
      <c r="A243" s="2046"/>
      <c r="B243" s="2046"/>
      <c r="C243" s="2046"/>
      <c r="D243" s="2046"/>
      <c r="E243" s="2046"/>
      <c r="F243" s="2046"/>
      <c r="G243" s="2046"/>
      <c r="H243" s="2046"/>
      <c r="I243" s="2046"/>
      <c r="J243" s="2046"/>
      <c r="K243" s="2047"/>
      <c r="L243" s="2048"/>
      <c r="M243" s="2046"/>
      <c r="N243" s="2046"/>
      <c r="O243" s="2046"/>
      <c r="P243" s="2086"/>
      <c r="Q243" s="2046"/>
      <c r="R243" s="2046"/>
      <c r="S243" s="2046"/>
      <c r="T243" s="2046"/>
      <c r="U243" s="2046"/>
      <c r="V243" s="2046"/>
      <c r="W243" s="2046"/>
      <c r="X243" s="2046"/>
      <c r="Y243" s="2046"/>
      <c r="Z243" s="2046"/>
      <c r="AA243" s="2046"/>
      <c r="AB243" s="2046"/>
      <c r="AC243" s="2046"/>
    </row>
    <row r="244" spans="1:29">
      <c r="A244" s="2046"/>
      <c r="B244" s="2046"/>
      <c r="C244" s="2046"/>
      <c r="D244" s="2046"/>
      <c r="E244" s="2046"/>
      <c r="F244" s="2046"/>
      <c r="G244" s="2046"/>
      <c r="H244" s="2046"/>
      <c r="I244" s="2046"/>
      <c r="J244" s="2046"/>
      <c r="K244" s="2047"/>
      <c r="L244" s="2048"/>
      <c r="M244" s="2046"/>
      <c r="N244" s="2046"/>
      <c r="O244" s="2046"/>
      <c r="P244" s="2086"/>
      <c r="Q244" s="2046"/>
      <c r="R244" s="2046"/>
      <c r="S244" s="2046"/>
      <c r="T244" s="2046"/>
      <c r="U244" s="2046"/>
      <c r="V244" s="2046"/>
      <c r="W244" s="2046"/>
      <c r="X244" s="2046"/>
      <c r="Y244" s="2046"/>
      <c r="Z244" s="2046"/>
      <c r="AA244" s="2046"/>
      <c r="AB244" s="2046"/>
      <c r="AC244" s="2046"/>
    </row>
    <row r="245" spans="1:29">
      <c r="A245" s="2046"/>
      <c r="B245" s="2046"/>
      <c r="C245" s="2046"/>
      <c r="D245" s="2046"/>
      <c r="E245" s="2046"/>
      <c r="F245" s="2046"/>
      <c r="G245" s="2046"/>
      <c r="H245" s="2046"/>
      <c r="I245" s="2046"/>
      <c r="J245" s="2046"/>
      <c r="K245" s="2047"/>
      <c r="L245" s="2048"/>
      <c r="M245" s="2046"/>
      <c r="N245" s="2046"/>
      <c r="O245" s="2046"/>
      <c r="P245" s="2086"/>
      <c r="Q245" s="2046"/>
      <c r="R245" s="2046"/>
      <c r="S245" s="2046"/>
      <c r="T245" s="2046"/>
      <c r="U245" s="2046"/>
      <c r="V245" s="2046"/>
      <c r="W245" s="2046"/>
      <c r="X245" s="2046"/>
      <c r="Y245" s="2046"/>
      <c r="Z245" s="2046"/>
      <c r="AA245" s="2046"/>
      <c r="AB245" s="2046"/>
      <c r="AC245" s="2046"/>
    </row>
    <row r="246" spans="1:29">
      <c r="A246" s="2046"/>
      <c r="B246" s="2046"/>
      <c r="C246" s="2046"/>
      <c r="D246" s="2046"/>
      <c r="E246" s="2046"/>
      <c r="F246" s="2046"/>
      <c r="G246" s="2046"/>
      <c r="H246" s="2046"/>
      <c r="I246" s="2046"/>
      <c r="J246" s="2046"/>
      <c r="K246" s="2047"/>
      <c r="L246" s="2048"/>
      <c r="M246" s="2046"/>
      <c r="N246" s="2046"/>
      <c r="O246" s="2046"/>
      <c r="P246" s="2086"/>
      <c r="Q246" s="2046"/>
      <c r="R246" s="2046"/>
      <c r="S246" s="2046"/>
      <c r="T246" s="2046"/>
      <c r="U246" s="2046"/>
      <c r="V246" s="2046"/>
      <c r="W246" s="2046"/>
      <c r="X246" s="2046"/>
      <c r="Y246" s="2046"/>
      <c r="Z246" s="2046"/>
      <c r="AA246" s="2046"/>
      <c r="AB246" s="2046"/>
      <c r="AC246" s="2046"/>
    </row>
    <row r="247" spans="1:29">
      <c r="A247" s="2046"/>
      <c r="B247" s="2046"/>
      <c r="C247" s="2046"/>
      <c r="D247" s="2046"/>
      <c r="E247" s="2046"/>
      <c r="F247" s="2046"/>
      <c r="G247" s="2046"/>
      <c r="H247" s="2046"/>
      <c r="I247" s="2046"/>
      <c r="J247" s="2046"/>
      <c r="K247" s="2047"/>
      <c r="L247" s="2048"/>
      <c r="M247" s="2046"/>
      <c r="N247" s="2046"/>
      <c r="O247" s="2046"/>
      <c r="P247" s="2086"/>
      <c r="Q247" s="2046"/>
      <c r="R247" s="2046"/>
      <c r="S247" s="2046"/>
      <c r="T247" s="2046"/>
      <c r="U247" s="2046"/>
      <c r="V247" s="2046"/>
      <c r="W247" s="2046"/>
      <c r="X247" s="2046"/>
      <c r="Y247" s="2046"/>
      <c r="Z247" s="2046"/>
      <c r="AA247" s="2046"/>
      <c r="AB247" s="2046"/>
      <c r="AC247" s="2046"/>
    </row>
    <row r="248" spans="1:29">
      <c r="A248" s="2046"/>
      <c r="B248" s="2046"/>
      <c r="C248" s="2046"/>
      <c r="D248" s="2046"/>
      <c r="E248" s="2046"/>
      <c r="F248" s="2046"/>
      <c r="G248" s="2046"/>
      <c r="H248" s="2046"/>
      <c r="I248" s="2046"/>
      <c r="J248" s="2046"/>
      <c r="K248" s="2047"/>
      <c r="L248" s="2048"/>
      <c r="M248" s="2046"/>
      <c r="N248" s="2046"/>
      <c r="O248" s="2046"/>
      <c r="P248" s="2086"/>
      <c r="Q248" s="2046"/>
      <c r="R248" s="2046"/>
      <c r="S248" s="2046"/>
      <c r="T248" s="2046"/>
      <c r="U248" s="2046"/>
      <c r="V248" s="2046"/>
      <c r="W248" s="2046"/>
      <c r="X248" s="2046"/>
      <c r="Y248" s="2046"/>
      <c r="Z248" s="2046"/>
      <c r="AA248" s="2046"/>
      <c r="AB248" s="2046"/>
      <c r="AC248" s="2046"/>
    </row>
    <row r="249" spans="1:29">
      <c r="A249" s="2046"/>
      <c r="B249" s="2046"/>
      <c r="C249" s="2046"/>
      <c r="D249" s="2046"/>
      <c r="E249" s="2046"/>
      <c r="F249" s="2046"/>
      <c r="G249" s="2046"/>
      <c r="H249" s="2046"/>
      <c r="I249" s="2046"/>
      <c r="J249" s="2046"/>
      <c r="K249" s="2047"/>
      <c r="L249" s="2048"/>
      <c r="M249" s="2046"/>
      <c r="N249" s="2046"/>
      <c r="O249" s="2046"/>
      <c r="P249" s="2086"/>
      <c r="Q249" s="2046"/>
      <c r="R249" s="2046"/>
      <c r="S249" s="2046"/>
      <c r="T249" s="2046"/>
      <c r="U249" s="2046"/>
      <c r="V249" s="2046"/>
      <c r="W249" s="2046"/>
      <c r="X249" s="2046"/>
      <c r="Y249" s="2046"/>
      <c r="Z249" s="2046"/>
      <c r="AA249" s="2046"/>
      <c r="AB249" s="2046"/>
      <c r="AC249" s="2046"/>
    </row>
    <row r="250" spans="1:29">
      <c r="A250" s="2046"/>
      <c r="B250" s="2046"/>
      <c r="C250" s="2046"/>
      <c r="D250" s="2046"/>
      <c r="E250" s="2046"/>
      <c r="F250" s="2046"/>
      <c r="G250" s="2046"/>
      <c r="H250" s="2046"/>
      <c r="I250" s="2046"/>
      <c r="J250" s="2046"/>
      <c r="K250" s="2047"/>
      <c r="L250" s="2048"/>
      <c r="M250" s="2046"/>
      <c r="N250" s="2046"/>
      <c r="O250" s="2046"/>
      <c r="P250" s="2086"/>
      <c r="Q250" s="2046"/>
      <c r="R250" s="2046"/>
      <c r="S250" s="2046"/>
      <c r="T250" s="2046"/>
      <c r="U250" s="2046"/>
      <c r="V250" s="2046"/>
      <c r="W250" s="2046"/>
      <c r="X250" s="2046"/>
      <c r="Y250" s="2046"/>
      <c r="Z250" s="2046"/>
      <c r="AA250" s="2046"/>
      <c r="AB250" s="2046"/>
      <c r="AC250" s="2046"/>
    </row>
    <row r="251" spans="1:29">
      <c r="A251" s="2046"/>
      <c r="B251" s="2046"/>
      <c r="C251" s="2046"/>
      <c r="D251" s="2046"/>
      <c r="E251" s="2046"/>
      <c r="F251" s="2046"/>
      <c r="G251" s="2046"/>
      <c r="H251" s="2046"/>
      <c r="I251" s="2046"/>
      <c r="J251" s="2046"/>
      <c r="K251" s="2047"/>
      <c r="L251" s="2048"/>
      <c r="M251" s="2046"/>
      <c r="N251" s="2046"/>
      <c r="O251" s="2046"/>
      <c r="P251" s="2086"/>
      <c r="Q251" s="2046"/>
      <c r="R251" s="2046"/>
      <c r="S251" s="2046"/>
      <c r="T251" s="2046"/>
      <c r="U251" s="2046"/>
      <c r="V251" s="2046"/>
      <c r="W251" s="2046"/>
      <c r="X251" s="2046"/>
      <c r="Y251" s="2046"/>
      <c r="Z251" s="2046"/>
      <c r="AA251" s="2046"/>
      <c r="AB251" s="2046"/>
      <c r="AC251" s="2046"/>
    </row>
    <row r="252" spans="1:29">
      <c r="A252" s="2046"/>
      <c r="B252" s="2046"/>
      <c r="C252" s="2046"/>
      <c r="D252" s="2046"/>
      <c r="E252" s="2046"/>
      <c r="F252" s="2046"/>
      <c r="G252" s="2046"/>
      <c r="H252" s="2046"/>
      <c r="I252" s="2046"/>
      <c r="J252" s="2046"/>
      <c r="K252" s="2047"/>
      <c r="L252" s="2048"/>
      <c r="M252" s="2046"/>
      <c r="N252" s="2046"/>
      <c r="O252" s="2046"/>
      <c r="P252" s="2086"/>
      <c r="Q252" s="2046"/>
      <c r="R252" s="2046"/>
      <c r="S252" s="2046"/>
      <c r="T252" s="2046"/>
      <c r="U252" s="2046"/>
      <c r="V252" s="2046"/>
      <c r="W252" s="2046"/>
      <c r="X252" s="2046"/>
      <c r="Y252" s="2046"/>
      <c r="Z252" s="2046"/>
      <c r="AA252" s="2046"/>
      <c r="AB252" s="2046"/>
      <c r="AC252" s="2046"/>
    </row>
    <row r="253" spans="1:29">
      <c r="A253" s="2046"/>
      <c r="B253" s="2046"/>
      <c r="C253" s="2046"/>
      <c r="D253" s="2046"/>
      <c r="E253" s="2046"/>
      <c r="F253" s="2046"/>
      <c r="G253" s="2046"/>
      <c r="H253" s="2046"/>
      <c r="I253" s="2046"/>
      <c r="J253" s="2046"/>
      <c r="K253" s="2047"/>
      <c r="L253" s="2048"/>
      <c r="M253" s="2046"/>
      <c r="N253" s="2046"/>
      <c r="O253" s="2046"/>
      <c r="P253" s="2086"/>
      <c r="Q253" s="2046"/>
      <c r="R253" s="2046"/>
      <c r="S253" s="2046"/>
      <c r="T253" s="2046"/>
      <c r="U253" s="2046"/>
      <c r="V253" s="2046"/>
      <c r="W253" s="2046"/>
      <c r="X253" s="2046"/>
      <c r="Y253" s="2046"/>
      <c r="Z253" s="2046"/>
      <c r="AA253" s="2046"/>
      <c r="AB253" s="2046"/>
      <c r="AC253" s="2046"/>
    </row>
    <row r="254" spans="1:29">
      <c r="A254" s="2046"/>
      <c r="B254" s="2046"/>
      <c r="C254" s="2046"/>
      <c r="D254" s="2046"/>
      <c r="E254" s="2046"/>
      <c r="F254" s="2046"/>
      <c r="G254" s="2046"/>
      <c r="H254" s="2046"/>
      <c r="I254" s="2046"/>
      <c r="J254" s="2046"/>
      <c r="K254" s="2047"/>
      <c r="L254" s="2048"/>
      <c r="M254" s="2046"/>
      <c r="N254" s="2046"/>
      <c r="O254" s="2046"/>
      <c r="P254" s="2086"/>
      <c r="Q254" s="2046"/>
      <c r="R254" s="2046"/>
      <c r="S254" s="2046"/>
      <c r="T254" s="2046"/>
      <c r="U254" s="2046"/>
      <c r="V254" s="2046"/>
      <c r="W254" s="2046"/>
      <c r="X254" s="2046"/>
      <c r="Y254" s="2046"/>
      <c r="Z254" s="2046"/>
      <c r="AA254" s="2046"/>
      <c r="AB254" s="2046"/>
      <c r="AC254" s="2046"/>
    </row>
    <row r="255" spans="1:29">
      <c r="A255" s="2046"/>
      <c r="B255" s="2046"/>
      <c r="C255" s="2046"/>
      <c r="D255" s="2046"/>
      <c r="E255" s="2046"/>
      <c r="F255" s="2046"/>
      <c r="G255" s="2046"/>
      <c r="H255" s="2046"/>
      <c r="I255" s="2046"/>
      <c r="J255" s="2046"/>
      <c r="K255" s="2047"/>
      <c r="L255" s="2048"/>
      <c r="M255" s="2046"/>
      <c r="N255" s="2046"/>
      <c r="O255" s="2046"/>
      <c r="P255" s="2086"/>
      <c r="Q255" s="2046"/>
      <c r="R255" s="2046"/>
      <c r="S255" s="2046"/>
      <c r="T255" s="2046"/>
      <c r="U255" s="2046"/>
      <c r="V255" s="2046"/>
      <c r="W255" s="2046"/>
      <c r="X255" s="2046"/>
      <c r="Y255" s="2046"/>
      <c r="Z255" s="2046"/>
      <c r="AA255" s="2046"/>
      <c r="AB255" s="2046"/>
      <c r="AC255" s="2046"/>
    </row>
    <row r="256" spans="1:29">
      <c r="A256" s="2046"/>
      <c r="B256" s="2046"/>
      <c r="C256" s="2046"/>
      <c r="D256" s="2046"/>
      <c r="E256" s="2046"/>
      <c r="F256" s="2046"/>
      <c r="G256" s="2046"/>
      <c r="H256" s="2046"/>
      <c r="I256" s="2046"/>
      <c r="J256" s="2046"/>
      <c r="K256" s="2047"/>
      <c r="L256" s="2048"/>
      <c r="M256" s="2046"/>
      <c r="N256" s="2046"/>
      <c r="O256" s="2046"/>
      <c r="P256" s="2086"/>
      <c r="Q256" s="2046"/>
      <c r="R256" s="2046"/>
      <c r="S256" s="2046"/>
      <c r="T256" s="2046"/>
      <c r="U256" s="2046"/>
      <c r="V256" s="2046"/>
      <c r="W256" s="2046"/>
      <c r="X256" s="2046"/>
      <c r="Y256" s="2046"/>
      <c r="Z256" s="2046"/>
      <c r="AA256" s="2046"/>
      <c r="AB256" s="2046"/>
      <c r="AC256" s="2046"/>
    </row>
    <row r="257" spans="1:29">
      <c r="A257" s="2046"/>
      <c r="B257" s="2046"/>
      <c r="C257" s="2046"/>
      <c r="D257" s="2046"/>
      <c r="E257" s="2046"/>
      <c r="F257" s="2046"/>
      <c r="G257" s="2046"/>
      <c r="H257" s="2046"/>
      <c r="I257" s="2046"/>
      <c r="J257" s="2046"/>
      <c r="K257" s="2047"/>
      <c r="L257" s="2048"/>
      <c r="M257" s="2046"/>
      <c r="N257" s="2046"/>
      <c r="O257" s="2046"/>
      <c r="P257" s="2086"/>
      <c r="Q257" s="2046"/>
      <c r="R257" s="2046"/>
      <c r="S257" s="2046"/>
      <c r="T257" s="2046"/>
      <c r="U257" s="2046"/>
      <c r="V257" s="2046"/>
      <c r="W257" s="2046"/>
      <c r="X257" s="2046"/>
      <c r="Y257" s="2046"/>
      <c r="Z257" s="2046"/>
      <c r="AA257" s="2046"/>
      <c r="AB257" s="2046"/>
      <c r="AC257" s="2046"/>
    </row>
    <row r="258" spans="1:29">
      <c r="A258" s="2046"/>
      <c r="B258" s="2046"/>
      <c r="C258" s="2046"/>
      <c r="D258" s="2046"/>
      <c r="E258" s="2046"/>
      <c r="F258" s="2046"/>
      <c r="G258" s="2046"/>
      <c r="H258" s="2046"/>
      <c r="I258" s="2046"/>
      <c r="J258" s="2046"/>
      <c r="K258" s="2047"/>
      <c r="L258" s="2048"/>
      <c r="M258" s="2046"/>
      <c r="N258" s="2046"/>
      <c r="O258" s="2046"/>
      <c r="P258" s="2086"/>
      <c r="Q258" s="2046"/>
      <c r="R258" s="2046"/>
      <c r="S258" s="2046"/>
      <c r="T258" s="2046"/>
      <c r="U258" s="2046"/>
      <c r="V258" s="2046"/>
      <c r="W258" s="2046"/>
      <c r="X258" s="2046"/>
      <c r="Y258" s="2046"/>
      <c r="Z258" s="2046"/>
      <c r="AA258" s="2046"/>
      <c r="AB258" s="2046"/>
      <c r="AC258" s="2046"/>
    </row>
    <row r="259" spans="1:29">
      <c r="A259" s="2046"/>
      <c r="B259" s="2046"/>
      <c r="C259" s="2046"/>
      <c r="D259" s="2046"/>
      <c r="E259" s="2046"/>
      <c r="F259" s="2046"/>
      <c r="G259" s="2046"/>
      <c r="H259" s="2046"/>
      <c r="I259" s="2046"/>
      <c r="J259" s="2046"/>
      <c r="K259" s="2047"/>
      <c r="L259" s="2048"/>
      <c r="M259" s="2046"/>
      <c r="N259" s="2046"/>
      <c r="O259" s="2046"/>
      <c r="P259" s="2086"/>
      <c r="Q259" s="2046"/>
      <c r="R259" s="2046"/>
      <c r="S259" s="2046"/>
      <c r="T259" s="2046"/>
      <c r="U259" s="2046"/>
      <c r="V259" s="2046"/>
      <c r="W259" s="2046"/>
      <c r="X259" s="2046"/>
      <c r="Y259" s="2046"/>
      <c r="Z259" s="2046"/>
      <c r="AA259" s="2046"/>
      <c r="AB259" s="2046"/>
      <c r="AC259" s="2046"/>
    </row>
    <row r="260" spans="1:29">
      <c r="A260" s="2046"/>
      <c r="B260" s="2046"/>
      <c r="C260" s="2046"/>
      <c r="D260" s="2046"/>
      <c r="E260" s="2046"/>
      <c r="F260" s="2046"/>
      <c r="G260" s="2046"/>
      <c r="H260" s="2046"/>
      <c r="I260" s="2046"/>
      <c r="J260" s="2046"/>
      <c r="K260" s="2047"/>
      <c r="L260" s="2048"/>
      <c r="M260" s="2046"/>
      <c r="N260" s="2046"/>
      <c r="O260" s="2046"/>
      <c r="P260" s="2086"/>
      <c r="Q260" s="2046"/>
      <c r="R260" s="2046"/>
      <c r="S260" s="2046"/>
      <c r="T260" s="2046"/>
      <c r="U260" s="2046"/>
      <c r="V260" s="2046"/>
      <c r="W260" s="2046"/>
      <c r="X260" s="2046"/>
      <c r="Y260" s="2046"/>
      <c r="Z260" s="2046"/>
      <c r="AA260" s="2046"/>
      <c r="AB260" s="2046"/>
      <c r="AC260" s="2046"/>
    </row>
    <row r="261" spans="1:29">
      <c r="A261" s="2046"/>
      <c r="B261" s="2046"/>
      <c r="C261" s="2046"/>
      <c r="D261" s="2046"/>
      <c r="E261" s="2046"/>
      <c r="F261" s="2046"/>
      <c r="G261" s="2046"/>
      <c r="H261" s="2046"/>
      <c r="I261" s="2046"/>
      <c r="J261" s="2046"/>
      <c r="K261" s="2047"/>
      <c r="L261" s="2048"/>
      <c r="M261" s="2046"/>
      <c r="N261" s="2046"/>
      <c r="O261" s="2046"/>
      <c r="P261" s="2086"/>
      <c r="Q261" s="2046"/>
      <c r="R261" s="2046"/>
      <c r="S261" s="2046"/>
      <c r="T261" s="2046"/>
      <c r="U261" s="2046"/>
      <c r="V261" s="2046"/>
      <c r="W261" s="2046"/>
      <c r="X261" s="2046"/>
      <c r="Y261" s="2046"/>
      <c r="Z261" s="2046"/>
      <c r="AA261" s="2046"/>
      <c r="AB261" s="2046"/>
      <c r="AC261" s="2046"/>
    </row>
    <row r="262" spans="1:29">
      <c r="A262" s="2046"/>
      <c r="B262" s="2046"/>
      <c r="C262" s="2046"/>
      <c r="D262" s="2046"/>
      <c r="E262" s="2046"/>
      <c r="F262" s="2046"/>
      <c r="G262" s="2046"/>
      <c r="H262" s="2046"/>
      <c r="I262" s="2046"/>
      <c r="J262" s="2046"/>
      <c r="K262" s="2047"/>
      <c r="L262" s="2048"/>
      <c r="M262" s="2046"/>
      <c r="N262" s="2046"/>
      <c r="O262" s="2046"/>
      <c r="P262" s="2086"/>
      <c r="Q262" s="2046"/>
      <c r="R262" s="2046"/>
      <c r="S262" s="2046"/>
      <c r="T262" s="2046"/>
      <c r="U262" s="2046"/>
      <c r="V262" s="2046"/>
      <c r="W262" s="2046"/>
      <c r="X262" s="2046"/>
      <c r="Y262" s="2046"/>
      <c r="Z262" s="2046"/>
      <c r="AA262" s="2046"/>
      <c r="AB262" s="2046"/>
      <c r="AC262" s="2046"/>
    </row>
    <row r="263" spans="1:29">
      <c r="A263" s="2046"/>
      <c r="B263" s="2046"/>
      <c r="C263" s="2046"/>
      <c r="D263" s="2046"/>
      <c r="E263" s="2046"/>
      <c r="F263" s="2046"/>
      <c r="G263" s="2046"/>
      <c r="H263" s="2046"/>
      <c r="I263" s="2046"/>
      <c r="J263" s="2046"/>
      <c r="K263" s="2047"/>
      <c r="L263" s="2048"/>
      <c r="M263" s="2046"/>
      <c r="N263" s="2046"/>
      <c r="O263" s="2046"/>
      <c r="P263" s="2086"/>
      <c r="Q263" s="2046"/>
      <c r="R263" s="2046"/>
      <c r="S263" s="2046"/>
      <c r="T263" s="2046"/>
      <c r="U263" s="2046"/>
      <c r="V263" s="2046"/>
      <c r="W263" s="2046"/>
      <c r="X263" s="2046"/>
      <c r="Y263" s="2046"/>
      <c r="Z263" s="2046"/>
      <c r="AA263" s="2046"/>
      <c r="AB263" s="2046"/>
      <c r="AC263" s="2046"/>
    </row>
    <row r="264" spans="1:29">
      <c r="A264" s="2046"/>
      <c r="B264" s="2046"/>
      <c r="C264" s="2046"/>
      <c r="D264" s="2046"/>
      <c r="E264" s="2046"/>
      <c r="F264" s="2046"/>
      <c r="G264" s="2046"/>
      <c r="H264" s="2046"/>
      <c r="I264" s="2046"/>
      <c r="J264" s="2046"/>
      <c r="K264" s="2047"/>
      <c r="L264" s="2048"/>
      <c r="M264" s="2046"/>
      <c r="N264" s="2046"/>
      <c r="O264" s="2046"/>
      <c r="P264" s="2086"/>
      <c r="Q264" s="2046"/>
      <c r="R264" s="2046"/>
      <c r="S264" s="2046"/>
      <c r="T264" s="2046"/>
      <c r="U264" s="2046"/>
      <c r="V264" s="2046"/>
      <c r="W264" s="2046"/>
      <c r="X264" s="2046"/>
      <c r="Y264" s="2046"/>
      <c r="Z264" s="2046"/>
      <c r="AA264" s="2046"/>
      <c r="AB264" s="2046"/>
      <c r="AC264" s="2046"/>
    </row>
    <row r="265" spans="1:29">
      <c r="A265" s="2046"/>
      <c r="B265" s="2046"/>
      <c r="C265" s="2046"/>
      <c r="D265" s="2046"/>
      <c r="E265" s="2046"/>
      <c r="F265" s="2046"/>
      <c r="G265" s="2046"/>
      <c r="H265" s="2046"/>
      <c r="I265" s="2046"/>
      <c r="J265" s="2046"/>
      <c r="K265" s="2047"/>
      <c r="L265" s="2048"/>
      <c r="M265" s="2046"/>
      <c r="N265" s="2046"/>
      <c r="O265" s="2046"/>
      <c r="P265" s="2086"/>
      <c r="Q265" s="2046"/>
      <c r="R265" s="2046"/>
      <c r="S265" s="2046"/>
      <c r="T265" s="2046"/>
      <c r="U265" s="2046"/>
      <c r="V265" s="2046"/>
      <c r="W265" s="2046"/>
      <c r="X265" s="2046"/>
      <c r="Y265" s="2046"/>
      <c r="Z265" s="2046"/>
      <c r="AA265" s="2046"/>
      <c r="AB265" s="2046"/>
      <c r="AC265" s="2046"/>
    </row>
    <row r="266" spans="1:29">
      <c r="A266" s="2046"/>
      <c r="B266" s="2046"/>
      <c r="C266" s="2046"/>
      <c r="D266" s="2046"/>
      <c r="E266" s="2046"/>
      <c r="F266" s="2046"/>
      <c r="G266" s="2046"/>
      <c r="H266" s="2046"/>
      <c r="I266" s="2046"/>
      <c r="J266" s="2046"/>
      <c r="K266" s="2047"/>
      <c r="L266" s="2048"/>
      <c r="M266" s="2046"/>
      <c r="N266" s="2046"/>
      <c r="O266" s="2046"/>
      <c r="P266" s="2086"/>
      <c r="Q266" s="2046"/>
      <c r="R266" s="2046"/>
      <c r="S266" s="2046"/>
      <c r="T266" s="2046"/>
      <c r="U266" s="2046"/>
      <c r="V266" s="2046"/>
      <c r="W266" s="2046"/>
      <c r="X266" s="2046"/>
      <c r="Y266" s="2046"/>
      <c r="Z266" s="2046"/>
      <c r="AA266" s="2046"/>
      <c r="AB266" s="2046"/>
      <c r="AC266" s="2046"/>
    </row>
    <row r="267" spans="1:29">
      <c r="A267" s="2046"/>
      <c r="B267" s="2046"/>
      <c r="C267" s="2046"/>
      <c r="D267" s="2046"/>
      <c r="E267" s="2046"/>
      <c r="F267" s="2046"/>
      <c r="G267" s="2046"/>
      <c r="H267" s="2046"/>
      <c r="I267" s="2046"/>
      <c r="J267" s="2046"/>
      <c r="K267" s="2047"/>
      <c r="L267" s="2048"/>
      <c r="M267" s="2046"/>
      <c r="N267" s="2046"/>
      <c r="O267" s="2046"/>
      <c r="P267" s="2086"/>
      <c r="Q267" s="2046"/>
      <c r="R267" s="2046"/>
      <c r="S267" s="2046"/>
      <c r="T267" s="2046"/>
      <c r="U267" s="2046"/>
      <c r="V267" s="2046"/>
      <c r="W267" s="2046"/>
      <c r="X267" s="2046"/>
      <c r="Y267" s="2046"/>
      <c r="Z267" s="2046"/>
      <c r="AA267" s="2046"/>
      <c r="AB267" s="2046"/>
      <c r="AC267" s="2046"/>
    </row>
    <row r="268" spans="1:29">
      <c r="A268" s="2046"/>
      <c r="B268" s="2046"/>
      <c r="C268" s="2046"/>
      <c r="D268" s="2046"/>
      <c r="E268" s="2046"/>
      <c r="F268" s="2046"/>
      <c r="G268" s="2046"/>
      <c r="H268" s="2046"/>
      <c r="I268" s="2046"/>
      <c r="J268" s="2046"/>
      <c r="K268" s="2047"/>
      <c r="L268" s="2048"/>
      <c r="M268" s="2046"/>
      <c r="N268" s="2046"/>
      <c r="O268" s="2046"/>
      <c r="P268" s="2086"/>
      <c r="Q268" s="2046"/>
      <c r="R268" s="2046"/>
      <c r="S268" s="2046"/>
      <c r="T268" s="2046"/>
      <c r="U268" s="2046"/>
      <c r="V268" s="2046"/>
      <c r="W268" s="2046"/>
      <c r="X268" s="2046"/>
      <c r="Y268" s="2046"/>
      <c r="Z268" s="2046"/>
      <c r="AA268" s="2046"/>
      <c r="AB268" s="2046"/>
      <c r="AC268" s="2046"/>
    </row>
    <row r="269" spans="1:29">
      <c r="A269" s="2046"/>
      <c r="B269" s="2046"/>
      <c r="C269" s="2046"/>
      <c r="D269" s="2046"/>
      <c r="E269" s="2046"/>
      <c r="F269" s="2046"/>
      <c r="G269" s="2046"/>
      <c r="H269" s="2046"/>
      <c r="I269" s="2046"/>
      <c r="J269" s="2046"/>
      <c r="K269" s="2047"/>
      <c r="L269" s="2048"/>
      <c r="M269" s="2046"/>
      <c r="N269" s="2046"/>
      <c r="O269" s="2046"/>
      <c r="P269" s="2086"/>
      <c r="Q269" s="2046"/>
      <c r="R269" s="2046"/>
      <c r="S269" s="2046"/>
      <c r="T269" s="2046"/>
      <c r="U269" s="2046"/>
      <c r="V269" s="2046"/>
      <c r="W269" s="2046"/>
      <c r="X269" s="2046"/>
      <c r="Y269" s="2046"/>
      <c r="Z269" s="2046"/>
      <c r="AA269" s="2046"/>
      <c r="AB269" s="2046"/>
      <c r="AC269" s="2046"/>
    </row>
    <row r="270" spans="1:29">
      <c r="A270" s="2046"/>
      <c r="B270" s="2046"/>
      <c r="C270" s="2046"/>
      <c r="D270" s="2046"/>
      <c r="E270" s="2046"/>
      <c r="F270" s="2046"/>
      <c r="G270" s="2046"/>
      <c r="H270" s="2046"/>
      <c r="I270" s="2046"/>
      <c r="J270" s="2046"/>
      <c r="K270" s="2047"/>
      <c r="L270" s="2048"/>
      <c r="M270" s="2046"/>
      <c r="N270" s="2046"/>
      <c r="O270" s="2046"/>
      <c r="P270" s="2086"/>
      <c r="Q270" s="2046"/>
      <c r="R270" s="2046"/>
      <c r="S270" s="2046"/>
      <c r="T270" s="2046"/>
      <c r="U270" s="2046"/>
      <c r="V270" s="2046"/>
      <c r="W270" s="2046"/>
      <c r="X270" s="2046"/>
      <c r="Y270" s="2046"/>
      <c r="Z270" s="2046"/>
      <c r="AA270" s="2046"/>
      <c r="AB270" s="2046"/>
      <c r="AC270" s="2046"/>
    </row>
    <row r="271" spans="1:29">
      <c r="A271" s="2046"/>
      <c r="B271" s="2046"/>
      <c r="C271" s="2046"/>
      <c r="D271" s="2046"/>
      <c r="E271" s="2046"/>
      <c r="F271" s="2046"/>
      <c r="G271" s="2046"/>
      <c r="H271" s="2046"/>
      <c r="I271" s="2046"/>
      <c r="J271" s="2046"/>
      <c r="K271" s="2047"/>
      <c r="L271" s="2048"/>
      <c r="M271" s="2046"/>
      <c r="N271" s="2046"/>
      <c r="O271" s="2046"/>
      <c r="P271" s="2086"/>
      <c r="Q271" s="2046"/>
      <c r="R271" s="2046"/>
      <c r="S271" s="2046"/>
      <c r="T271" s="2046"/>
      <c r="U271" s="2046"/>
      <c r="V271" s="2046"/>
      <c r="W271" s="2046"/>
      <c r="X271" s="2046"/>
      <c r="Y271" s="2046"/>
      <c r="Z271" s="2046"/>
      <c r="AA271" s="2046"/>
      <c r="AB271" s="2046"/>
      <c r="AC271" s="2046"/>
    </row>
    <row r="272" spans="1:29">
      <c r="A272" s="2046"/>
      <c r="B272" s="2046"/>
      <c r="C272" s="2046"/>
      <c r="D272" s="2046"/>
      <c r="E272" s="2046"/>
      <c r="F272" s="2046"/>
      <c r="G272" s="2046"/>
      <c r="H272" s="2046"/>
      <c r="I272" s="2046"/>
      <c r="J272" s="2046"/>
      <c r="K272" s="2047"/>
      <c r="L272" s="2048"/>
      <c r="M272" s="2046"/>
      <c r="N272" s="2046"/>
      <c r="O272" s="2046"/>
      <c r="P272" s="2086"/>
      <c r="Q272" s="2046"/>
      <c r="R272" s="2046"/>
      <c r="S272" s="2046"/>
      <c r="T272" s="2046"/>
      <c r="U272" s="2046"/>
      <c r="V272" s="2046"/>
      <c r="W272" s="2046"/>
      <c r="X272" s="2046"/>
      <c r="Y272" s="2046"/>
      <c r="Z272" s="2046"/>
      <c r="AA272" s="2046"/>
      <c r="AB272" s="2046"/>
      <c r="AC272" s="2046"/>
    </row>
    <row r="273" spans="1:29">
      <c r="A273" s="2046"/>
      <c r="B273" s="2046"/>
      <c r="C273" s="2046"/>
      <c r="D273" s="2046"/>
      <c r="E273" s="2046"/>
      <c r="F273" s="2046"/>
      <c r="G273" s="2046"/>
      <c r="H273" s="2046"/>
      <c r="I273" s="2046"/>
      <c r="J273" s="2046"/>
      <c r="K273" s="2047"/>
      <c r="L273" s="2048"/>
      <c r="M273" s="2046"/>
      <c r="N273" s="2046"/>
      <c r="O273" s="2046"/>
      <c r="P273" s="2086"/>
      <c r="Q273" s="2046"/>
      <c r="R273" s="2046"/>
      <c r="S273" s="2046"/>
      <c r="T273" s="2046"/>
      <c r="U273" s="2046"/>
      <c r="V273" s="2046"/>
      <c r="W273" s="2046"/>
      <c r="X273" s="2046"/>
      <c r="Y273" s="2046"/>
      <c r="Z273" s="2046"/>
      <c r="AA273" s="2046"/>
      <c r="AB273" s="2046"/>
      <c r="AC273" s="2046"/>
    </row>
    <row r="274" spans="1:29">
      <c r="A274" s="2046"/>
      <c r="B274" s="2046"/>
      <c r="C274" s="2046"/>
      <c r="D274" s="2046"/>
      <c r="E274" s="2046"/>
      <c r="F274" s="2046"/>
      <c r="G274" s="2046"/>
      <c r="H274" s="2046"/>
      <c r="I274" s="2046"/>
      <c r="J274" s="2046"/>
      <c r="K274" s="2047"/>
      <c r="L274" s="2048"/>
      <c r="M274" s="2046"/>
      <c r="N274" s="2046"/>
      <c r="O274" s="2046"/>
      <c r="P274" s="2086"/>
      <c r="Q274" s="2046"/>
      <c r="R274" s="2046"/>
      <c r="S274" s="2046"/>
      <c r="T274" s="2046"/>
      <c r="U274" s="2046"/>
      <c r="V274" s="2046"/>
      <c r="W274" s="2046"/>
      <c r="X274" s="2046"/>
      <c r="Y274" s="2046"/>
      <c r="Z274" s="2046"/>
      <c r="AA274" s="2046"/>
      <c r="AB274" s="2046"/>
      <c r="AC274" s="2046"/>
    </row>
    <row r="275" spans="1:29">
      <c r="A275" s="2046"/>
      <c r="B275" s="2046"/>
      <c r="C275" s="2046"/>
      <c r="D275" s="2046"/>
      <c r="E275" s="2046"/>
      <c r="F275" s="2046"/>
      <c r="G275" s="2046"/>
      <c r="H275" s="2046"/>
      <c r="I275" s="2046"/>
      <c r="J275" s="2046"/>
      <c r="K275" s="2047"/>
      <c r="L275" s="2048"/>
      <c r="M275" s="2046"/>
      <c r="N275" s="2046"/>
      <c r="O275" s="2046"/>
      <c r="P275" s="2086"/>
      <c r="Q275" s="2046"/>
      <c r="R275" s="2046"/>
      <c r="S275" s="2046"/>
      <c r="T275" s="2046"/>
      <c r="U275" s="2046"/>
      <c r="V275" s="2046"/>
      <c r="W275" s="2046"/>
      <c r="X275" s="2046"/>
      <c r="Y275" s="2046"/>
      <c r="Z275" s="2046"/>
      <c r="AA275" s="2046"/>
      <c r="AB275" s="2046"/>
      <c r="AC275" s="2046"/>
    </row>
    <row r="276" spans="1:29">
      <c r="A276" s="2046"/>
      <c r="B276" s="2046"/>
      <c r="C276" s="2046"/>
      <c r="D276" s="2046"/>
      <c r="E276" s="2046"/>
      <c r="F276" s="2046"/>
      <c r="G276" s="2046"/>
      <c r="H276" s="2046"/>
      <c r="I276" s="2046"/>
      <c r="J276" s="2046"/>
      <c r="K276" s="2047"/>
      <c r="L276" s="2048"/>
      <c r="M276" s="2046"/>
      <c r="N276" s="2046"/>
      <c r="O276" s="2046"/>
      <c r="P276" s="2086"/>
      <c r="Q276" s="2046"/>
      <c r="R276" s="2046"/>
      <c r="S276" s="2046"/>
      <c r="T276" s="2046"/>
      <c r="U276" s="2046"/>
      <c r="V276" s="2046"/>
      <c r="W276" s="2046"/>
      <c r="X276" s="2046"/>
      <c r="Y276" s="2046"/>
      <c r="Z276" s="2046"/>
      <c r="AA276" s="2046"/>
      <c r="AB276" s="2046"/>
      <c r="AC276" s="2046"/>
    </row>
    <row r="277" spans="1:29">
      <c r="A277" s="2046"/>
      <c r="B277" s="2046"/>
      <c r="C277" s="2046"/>
      <c r="D277" s="2046"/>
      <c r="E277" s="2046"/>
      <c r="F277" s="2046"/>
      <c r="G277" s="2046"/>
      <c r="H277" s="2046"/>
      <c r="I277" s="2046"/>
      <c r="J277" s="2046"/>
      <c r="K277" s="2047"/>
      <c r="L277" s="2048"/>
      <c r="M277" s="2046"/>
      <c r="N277" s="2046"/>
      <c r="O277" s="2046"/>
      <c r="P277" s="2086"/>
      <c r="Q277" s="2046"/>
      <c r="R277" s="2046"/>
      <c r="S277" s="2046"/>
      <c r="T277" s="2046"/>
      <c r="U277" s="2046"/>
      <c r="V277" s="2046"/>
      <c r="W277" s="2046"/>
      <c r="X277" s="2046"/>
      <c r="Y277" s="2046"/>
      <c r="Z277" s="2046"/>
      <c r="AA277" s="2046"/>
      <c r="AB277" s="2046"/>
      <c r="AC277" s="2046"/>
    </row>
    <row r="278" spans="1:29">
      <c r="A278" s="2046"/>
      <c r="B278" s="2046"/>
      <c r="C278" s="2046"/>
      <c r="D278" s="2046"/>
      <c r="E278" s="2046"/>
      <c r="F278" s="2046"/>
      <c r="G278" s="2046"/>
      <c r="H278" s="2046"/>
      <c r="I278" s="2046"/>
      <c r="J278" s="2046"/>
      <c r="K278" s="2047"/>
      <c r="L278" s="2048"/>
      <c r="M278" s="2046"/>
      <c r="N278" s="2046"/>
      <c r="O278" s="2046"/>
      <c r="P278" s="2086"/>
      <c r="Q278" s="2046"/>
      <c r="R278" s="2046"/>
      <c r="S278" s="2046"/>
      <c r="T278" s="2046"/>
      <c r="U278" s="2046"/>
      <c r="V278" s="2046"/>
      <c r="W278" s="2046"/>
      <c r="X278" s="2046"/>
      <c r="Y278" s="2046"/>
      <c r="Z278" s="2046"/>
      <c r="AA278" s="2046"/>
      <c r="AB278" s="2046"/>
      <c r="AC278" s="2046"/>
    </row>
    <row r="279" spans="1:29">
      <c r="A279" s="2046"/>
      <c r="B279" s="2046"/>
      <c r="C279" s="2046"/>
      <c r="D279" s="2046"/>
      <c r="E279" s="2046"/>
      <c r="F279" s="2046"/>
      <c r="G279" s="2046"/>
      <c r="H279" s="2046"/>
      <c r="I279" s="2046"/>
      <c r="J279" s="2046"/>
      <c r="K279" s="2047"/>
      <c r="L279" s="2048"/>
      <c r="M279" s="2046"/>
      <c r="N279" s="2046"/>
      <c r="O279" s="2046"/>
      <c r="P279" s="2086"/>
      <c r="Q279" s="2046"/>
      <c r="R279" s="2046"/>
      <c r="S279" s="2046"/>
      <c r="T279" s="2046"/>
      <c r="U279" s="2046"/>
      <c r="V279" s="2046"/>
      <c r="W279" s="2046"/>
      <c r="X279" s="2046"/>
      <c r="Y279" s="2046"/>
      <c r="Z279" s="2046"/>
      <c r="AA279" s="2046"/>
      <c r="AB279" s="2046"/>
      <c r="AC279" s="2046"/>
    </row>
    <row r="280" spans="1:29">
      <c r="A280" s="2046"/>
      <c r="B280" s="2046"/>
      <c r="C280" s="2046"/>
      <c r="D280" s="2046"/>
      <c r="E280" s="2046"/>
      <c r="F280" s="2046"/>
      <c r="G280" s="2046"/>
      <c r="H280" s="2046"/>
      <c r="I280" s="2046"/>
      <c r="J280" s="2046"/>
      <c r="K280" s="2047"/>
      <c r="L280" s="2048"/>
      <c r="M280" s="2046"/>
      <c r="N280" s="2046"/>
      <c r="O280" s="2046"/>
      <c r="P280" s="2086"/>
      <c r="Q280" s="2046"/>
      <c r="R280" s="2046"/>
      <c r="S280" s="2046"/>
      <c r="T280" s="2046"/>
      <c r="U280" s="2046"/>
      <c r="V280" s="2046"/>
      <c r="W280" s="2046"/>
      <c r="X280" s="2046"/>
      <c r="Y280" s="2046"/>
      <c r="Z280" s="2046"/>
      <c r="AA280" s="2046"/>
      <c r="AB280" s="2046"/>
      <c r="AC280" s="2046"/>
    </row>
    <row r="281" spans="1:29">
      <c r="A281" s="2046"/>
      <c r="B281" s="2046"/>
      <c r="C281" s="2046"/>
      <c r="D281" s="2046"/>
      <c r="E281" s="2046"/>
      <c r="F281" s="2046"/>
      <c r="G281" s="2046"/>
      <c r="H281" s="2046"/>
      <c r="I281" s="2046"/>
      <c r="J281" s="2046"/>
      <c r="K281" s="2047"/>
      <c r="L281" s="2048"/>
      <c r="M281" s="2046"/>
      <c r="N281" s="2046"/>
      <c r="O281" s="2046"/>
      <c r="P281" s="2086"/>
      <c r="Q281" s="2046"/>
      <c r="R281" s="2046"/>
      <c r="S281" s="2046"/>
      <c r="T281" s="2046"/>
      <c r="U281" s="2046"/>
      <c r="V281" s="2046"/>
      <c r="W281" s="2046"/>
      <c r="X281" s="2046"/>
      <c r="Y281" s="2046"/>
      <c r="Z281" s="2046"/>
      <c r="AA281" s="2046"/>
      <c r="AB281" s="2046"/>
      <c r="AC281" s="2046"/>
    </row>
    <row r="282" spans="1:29">
      <c r="A282" s="2046"/>
      <c r="B282" s="2046"/>
      <c r="C282" s="2046"/>
      <c r="D282" s="2046"/>
      <c r="E282" s="2046"/>
      <c r="F282" s="2046"/>
      <c r="G282" s="2046"/>
      <c r="H282" s="2046"/>
      <c r="I282" s="2046"/>
      <c r="J282" s="2046"/>
      <c r="K282" s="2047"/>
      <c r="L282" s="2048"/>
      <c r="M282" s="2046"/>
      <c r="N282" s="2046"/>
      <c r="O282" s="2046"/>
      <c r="P282" s="2086"/>
      <c r="Q282" s="2046"/>
      <c r="R282" s="2046"/>
      <c r="S282" s="2046"/>
      <c r="T282" s="2046"/>
      <c r="U282" s="2046"/>
      <c r="V282" s="2046"/>
      <c r="W282" s="2046"/>
      <c r="X282" s="2046"/>
      <c r="Y282" s="2046"/>
      <c r="Z282" s="2046"/>
      <c r="AA282" s="2046"/>
      <c r="AB282" s="2046"/>
      <c r="AC282" s="2046"/>
    </row>
    <row r="283" spans="1:29">
      <c r="A283" s="2046"/>
      <c r="B283" s="2046"/>
      <c r="C283" s="2046"/>
      <c r="D283" s="2046"/>
      <c r="E283" s="2046"/>
      <c r="F283" s="2046"/>
      <c r="G283" s="2046"/>
      <c r="H283" s="2046"/>
      <c r="I283" s="2046"/>
      <c r="J283" s="2046"/>
      <c r="K283" s="2047"/>
      <c r="L283" s="2048"/>
      <c r="M283" s="2046"/>
      <c r="N283" s="2046"/>
      <c r="O283" s="2046"/>
      <c r="P283" s="2086"/>
      <c r="Q283" s="2046"/>
      <c r="R283" s="2046"/>
      <c r="S283" s="2046"/>
      <c r="T283" s="2046"/>
      <c r="U283" s="2046"/>
      <c r="V283" s="2046"/>
      <c r="W283" s="2046"/>
      <c r="X283" s="2046"/>
      <c r="Y283" s="2046"/>
      <c r="Z283" s="2046"/>
      <c r="AA283" s="2046"/>
      <c r="AB283" s="2046"/>
      <c r="AC283" s="2046"/>
    </row>
    <row r="284" spans="1:29">
      <c r="A284" s="2046"/>
      <c r="B284" s="2046"/>
      <c r="C284" s="2046"/>
      <c r="D284" s="2046"/>
      <c r="E284" s="2046"/>
      <c r="F284" s="2046"/>
      <c r="G284" s="2046"/>
      <c r="H284" s="2046"/>
      <c r="I284" s="2046"/>
      <c r="J284" s="2046"/>
      <c r="K284" s="2047"/>
      <c r="L284" s="2048"/>
      <c r="M284" s="2046"/>
      <c r="N284" s="2046"/>
      <c r="O284" s="2046"/>
      <c r="P284" s="2086"/>
      <c r="Q284" s="2046"/>
      <c r="R284" s="2046"/>
      <c r="S284" s="2046"/>
      <c r="T284" s="2046"/>
      <c r="U284" s="2046"/>
      <c r="V284" s="2046"/>
      <c r="W284" s="2046"/>
      <c r="X284" s="2046"/>
      <c r="Y284" s="2046"/>
      <c r="Z284" s="2046"/>
      <c r="AA284" s="2046"/>
      <c r="AB284" s="2046"/>
      <c r="AC284" s="2046"/>
    </row>
    <row r="285" spans="1:29">
      <c r="A285" s="2046"/>
      <c r="B285" s="2046"/>
      <c r="C285" s="2046"/>
      <c r="D285" s="2046"/>
      <c r="E285" s="2046"/>
      <c r="F285" s="2046"/>
      <c r="G285" s="2046"/>
      <c r="H285" s="2046"/>
      <c r="I285" s="2046"/>
      <c r="J285" s="2046"/>
      <c r="K285" s="2047"/>
      <c r="L285" s="2048"/>
      <c r="M285" s="2046"/>
      <c r="N285" s="2046"/>
      <c r="O285" s="2046"/>
      <c r="P285" s="2086"/>
      <c r="Q285" s="2046"/>
      <c r="R285" s="2046"/>
      <c r="S285" s="2046"/>
      <c r="T285" s="2046"/>
      <c r="U285" s="2046"/>
      <c r="V285" s="2046"/>
      <c r="W285" s="2046"/>
      <c r="X285" s="2046"/>
      <c r="Y285" s="2046"/>
      <c r="Z285" s="2046"/>
      <c r="AA285" s="2046"/>
      <c r="AB285" s="2046"/>
      <c r="AC285" s="2046"/>
    </row>
    <row r="286" spans="1:29">
      <c r="A286" s="2046"/>
      <c r="B286" s="2046"/>
      <c r="C286" s="2046"/>
      <c r="D286" s="2046"/>
      <c r="E286" s="2046"/>
      <c r="F286" s="2046"/>
      <c r="G286" s="2046"/>
      <c r="H286" s="2046"/>
      <c r="I286" s="2046"/>
      <c r="J286" s="2046"/>
      <c r="K286" s="2047"/>
      <c r="L286" s="2048"/>
      <c r="M286" s="2046"/>
      <c r="N286" s="2046"/>
      <c r="O286" s="2046"/>
      <c r="P286" s="2086"/>
      <c r="Q286" s="2046"/>
      <c r="R286" s="2046"/>
      <c r="S286" s="2046"/>
      <c r="T286" s="2046"/>
      <c r="U286" s="2046"/>
      <c r="V286" s="2046"/>
      <c r="W286" s="2046"/>
      <c r="X286" s="2046"/>
      <c r="Y286" s="2046"/>
      <c r="Z286" s="2046"/>
      <c r="AA286" s="2046"/>
      <c r="AB286" s="2046"/>
      <c r="AC286" s="2046"/>
    </row>
    <row r="287" spans="1:29">
      <c r="A287" s="2046"/>
      <c r="B287" s="2046"/>
      <c r="C287" s="2046"/>
      <c r="D287" s="2046"/>
      <c r="E287" s="2046"/>
      <c r="F287" s="2046"/>
      <c r="G287" s="2046"/>
      <c r="H287" s="2046"/>
      <c r="I287" s="2046"/>
      <c r="J287" s="2046"/>
      <c r="K287" s="2047"/>
      <c r="L287" s="2048"/>
      <c r="M287" s="2046"/>
      <c r="N287" s="2046"/>
      <c r="O287" s="2046"/>
      <c r="P287" s="2086"/>
      <c r="Q287" s="2046"/>
      <c r="R287" s="2046"/>
      <c r="S287" s="2046"/>
      <c r="T287" s="2046"/>
      <c r="U287" s="2046"/>
      <c r="V287" s="2046"/>
      <c r="W287" s="2046"/>
      <c r="X287" s="2046"/>
      <c r="Y287" s="2046"/>
      <c r="Z287" s="2046"/>
      <c r="AA287" s="2046"/>
      <c r="AB287" s="2046"/>
      <c r="AC287" s="2046"/>
    </row>
    <row r="288" spans="1:29">
      <c r="A288" s="2046"/>
      <c r="B288" s="2046"/>
      <c r="C288" s="2046"/>
      <c r="D288" s="2046"/>
      <c r="E288" s="2046"/>
      <c r="F288" s="2046"/>
      <c r="G288" s="2046"/>
      <c r="H288" s="2046"/>
      <c r="I288" s="2046"/>
      <c r="J288" s="2046"/>
      <c r="K288" s="2047"/>
      <c r="L288" s="2048"/>
      <c r="M288" s="2046"/>
      <c r="N288" s="2046"/>
      <c r="O288" s="2046"/>
      <c r="P288" s="2086"/>
      <c r="Q288" s="2046"/>
      <c r="R288" s="2046"/>
      <c r="S288" s="2046"/>
      <c r="T288" s="2046"/>
      <c r="U288" s="2046"/>
      <c r="V288" s="2046"/>
      <c r="W288" s="2046"/>
      <c r="X288" s="2046"/>
      <c r="Y288" s="2046"/>
      <c r="Z288" s="2046"/>
      <c r="AA288" s="2046"/>
      <c r="AB288" s="2046"/>
      <c r="AC288" s="2046"/>
    </row>
    <row r="289" spans="1:29">
      <c r="A289" s="2046"/>
      <c r="B289" s="2046"/>
      <c r="C289" s="2046"/>
      <c r="D289" s="2046"/>
      <c r="E289" s="2046"/>
      <c r="F289" s="2046"/>
      <c r="G289" s="2046"/>
      <c r="H289" s="2046"/>
      <c r="I289" s="2046"/>
      <c r="J289" s="2046"/>
      <c r="K289" s="2047"/>
      <c r="L289" s="2048"/>
      <c r="M289" s="2046"/>
      <c r="N289" s="2046"/>
      <c r="O289" s="2046"/>
      <c r="P289" s="2086"/>
      <c r="Q289" s="2046"/>
      <c r="R289" s="2046"/>
      <c r="S289" s="2046"/>
      <c r="T289" s="2046"/>
      <c r="U289" s="2046"/>
      <c r="V289" s="2046"/>
      <c r="W289" s="2046"/>
      <c r="X289" s="2046"/>
      <c r="Y289" s="2046"/>
      <c r="Z289" s="2046"/>
      <c r="AA289" s="2046"/>
      <c r="AB289" s="2046"/>
      <c r="AC289" s="2046"/>
    </row>
    <row r="290" spans="1:29">
      <c r="A290" s="2046"/>
      <c r="B290" s="2046"/>
      <c r="C290" s="2046"/>
      <c r="D290" s="2046"/>
      <c r="E290" s="2046"/>
      <c r="F290" s="2046"/>
      <c r="G290" s="2046"/>
      <c r="H290" s="2046"/>
      <c r="I290" s="2046"/>
      <c r="J290" s="2046"/>
      <c r="K290" s="2047"/>
      <c r="L290" s="2048"/>
      <c r="M290" s="2046"/>
      <c r="N290" s="2046"/>
      <c r="O290" s="2046"/>
      <c r="P290" s="2086"/>
      <c r="Q290" s="2046"/>
      <c r="R290" s="2046"/>
      <c r="S290" s="2046"/>
      <c r="T290" s="2046"/>
      <c r="U290" s="2046"/>
      <c r="V290" s="2046"/>
      <c r="W290" s="2046"/>
      <c r="X290" s="2046"/>
      <c r="Y290" s="2046"/>
      <c r="Z290" s="2046"/>
      <c r="AA290" s="2046"/>
      <c r="AB290" s="2046"/>
      <c r="AC290" s="2046"/>
    </row>
    <row r="291" spans="1:29">
      <c r="A291" s="2046"/>
      <c r="B291" s="2046"/>
      <c r="C291" s="2046"/>
      <c r="D291" s="2046"/>
      <c r="E291" s="2046"/>
      <c r="F291" s="2046"/>
      <c r="G291" s="2046"/>
      <c r="H291" s="2046"/>
      <c r="I291" s="2046"/>
      <c r="J291" s="2046"/>
      <c r="K291" s="2047"/>
      <c r="L291" s="2048"/>
      <c r="M291" s="2046"/>
      <c r="N291" s="2046"/>
      <c r="O291" s="2046"/>
      <c r="P291" s="2086"/>
      <c r="Q291" s="2046"/>
      <c r="R291" s="2046"/>
      <c r="S291" s="2046"/>
      <c r="T291" s="2046"/>
      <c r="U291" s="2046"/>
      <c r="V291" s="2046"/>
      <c r="W291" s="2046"/>
      <c r="X291" s="2046"/>
      <c r="Y291" s="2046"/>
      <c r="Z291" s="2046"/>
      <c r="AA291" s="2046"/>
      <c r="AB291" s="2046"/>
      <c r="AC291" s="2046"/>
    </row>
    <row r="292" spans="1:29">
      <c r="A292" s="2046"/>
      <c r="B292" s="2046"/>
      <c r="C292" s="2046"/>
      <c r="D292" s="2046"/>
      <c r="E292" s="2046"/>
      <c r="F292" s="2046"/>
      <c r="G292" s="2046"/>
      <c r="H292" s="2046"/>
      <c r="I292" s="2046"/>
      <c r="J292" s="2046"/>
      <c r="K292" s="2047"/>
      <c r="L292" s="2048"/>
      <c r="M292" s="2046"/>
      <c r="N292" s="2046"/>
      <c r="O292" s="2046"/>
      <c r="P292" s="2086"/>
      <c r="Q292" s="2046"/>
      <c r="R292" s="2046"/>
      <c r="S292" s="2046"/>
      <c r="T292" s="2046"/>
      <c r="U292" s="2046"/>
      <c r="V292" s="2046"/>
      <c r="W292" s="2046"/>
      <c r="X292" s="2046"/>
      <c r="Y292" s="2046"/>
      <c r="Z292" s="2046"/>
      <c r="AA292" s="2046"/>
      <c r="AB292" s="2046"/>
      <c r="AC292" s="2046"/>
    </row>
    <row r="293" spans="1:29">
      <c r="A293" s="2046"/>
      <c r="B293" s="2046"/>
      <c r="C293" s="2046"/>
      <c r="D293" s="2046"/>
      <c r="E293" s="2046"/>
      <c r="F293" s="2046"/>
      <c r="G293" s="2046"/>
      <c r="H293" s="2046"/>
      <c r="I293" s="2046"/>
      <c r="J293" s="2046"/>
      <c r="K293" s="2047"/>
      <c r="L293" s="2048"/>
      <c r="M293" s="2046"/>
      <c r="N293" s="2046"/>
      <c r="O293" s="2046"/>
      <c r="P293" s="2086"/>
      <c r="Q293" s="2046"/>
      <c r="R293" s="2046"/>
      <c r="S293" s="2046"/>
      <c r="T293" s="2046"/>
      <c r="U293" s="2046"/>
      <c r="V293" s="2046"/>
      <c r="W293" s="2046"/>
      <c r="X293" s="2046"/>
      <c r="Y293" s="2046"/>
      <c r="Z293" s="2046"/>
      <c r="AA293" s="2046"/>
      <c r="AB293" s="2046"/>
      <c r="AC293" s="2046"/>
    </row>
    <row r="294" spans="1:29">
      <c r="A294" s="2046"/>
      <c r="B294" s="2046"/>
      <c r="C294" s="2046"/>
      <c r="D294" s="2046"/>
      <c r="E294" s="2046"/>
      <c r="F294" s="2046"/>
      <c r="G294" s="2046"/>
      <c r="H294" s="2046"/>
      <c r="I294" s="2046"/>
      <c r="J294" s="2046"/>
      <c r="K294" s="2047"/>
      <c r="L294" s="2048"/>
      <c r="M294" s="2046"/>
      <c r="N294" s="2046"/>
      <c r="O294" s="2046"/>
      <c r="P294" s="2086"/>
      <c r="Q294" s="2046"/>
      <c r="R294" s="2046"/>
      <c r="S294" s="2046"/>
      <c r="T294" s="2046"/>
      <c r="U294" s="2046"/>
      <c r="V294" s="2046"/>
      <c r="W294" s="2046"/>
      <c r="X294" s="2046"/>
      <c r="Y294" s="2046"/>
      <c r="Z294" s="2046"/>
      <c r="AA294" s="2046"/>
      <c r="AB294" s="2046"/>
      <c r="AC294" s="2046"/>
    </row>
    <row r="295" spans="1:29">
      <c r="A295" s="2046"/>
      <c r="B295" s="2046"/>
      <c r="C295" s="2046"/>
      <c r="D295" s="2046"/>
      <c r="E295" s="2046"/>
      <c r="F295" s="2046"/>
      <c r="G295" s="2046"/>
      <c r="H295" s="2046"/>
      <c r="I295" s="2046"/>
      <c r="J295" s="2046"/>
      <c r="K295" s="2047"/>
      <c r="L295" s="2048"/>
      <c r="M295" s="2046"/>
      <c r="N295" s="2046"/>
      <c r="O295" s="2046"/>
      <c r="P295" s="2086"/>
      <c r="Q295" s="2046"/>
      <c r="R295" s="2046"/>
      <c r="S295" s="2046"/>
      <c r="T295" s="2046"/>
      <c r="U295" s="2046"/>
      <c r="V295" s="2046"/>
      <c r="W295" s="2046"/>
      <c r="X295" s="2046"/>
      <c r="Y295" s="2046"/>
      <c r="Z295" s="2046"/>
      <c r="AA295" s="2046"/>
      <c r="AB295" s="2046"/>
      <c r="AC295" s="2046"/>
    </row>
    <row r="296" spans="1:29">
      <c r="A296" s="2046"/>
      <c r="B296" s="2046"/>
      <c r="C296" s="2046"/>
      <c r="D296" s="2046"/>
      <c r="E296" s="2046"/>
      <c r="F296" s="2046"/>
      <c r="G296" s="2046"/>
      <c r="H296" s="2046"/>
      <c r="I296" s="2046"/>
      <c r="J296" s="2046"/>
      <c r="K296" s="2047"/>
      <c r="L296" s="2048"/>
      <c r="M296" s="2046"/>
      <c r="N296" s="2046"/>
      <c r="O296" s="2046"/>
      <c r="P296" s="2086"/>
      <c r="Q296" s="2046"/>
      <c r="R296" s="2046"/>
      <c r="S296" s="2046"/>
      <c r="T296" s="2046"/>
      <c r="U296" s="2046"/>
      <c r="V296" s="2046"/>
      <c r="W296" s="2046"/>
      <c r="X296" s="2046"/>
      <c r="Y296" s="2046"/>
      <c r="Z296" s="2046"/>
      <c r="AA296" s="2046"/>
      <c r="AB296" s="2046"/>
      <c r="AC296" s="2046"/>
    </row>
    <row r="297" spans="1:29">
      <c r="A297" s="2046"/>
      <c r="B297" s="2046"/>
      <c r="C297" s="2046"/>
      <c r="D297" s="2046"/>
      <c r="E297" s="2046"/>
      <c r="F297" s="2046"/>
      <c r="G297" s="2046"/>
      <c r="H297" s="2046"/>
      <c r="I297" s="2046"/>
      <c r="J297" s="2046"/>
      <c r="K297" s="2047"/>
      <c r="L297" s="2048"/>
      <c r="M297" s="2046"/>
      <c r="N297" s="2046"/>
      <c r="O297" s="2046"/>
      <c r="P297" s="2086"/>
      <c r="Q297" s="2046"/>
      <c r="R297" s="2046"/>
      <c r="S297" s="2046"/>
      <c r="T297" s="2046"/>
      <c r="U297" s="2046"/>
      <c r="V297" s="2046"/>
      <c r="W297" s="2046"/>
      <c r="X297" s="2046"/>
      <c r="Y297" s="2046"/>
      <c r="Z297" s="2046"/>
      <c r="AA297" s="2046"/>
      <c r="AB297" s="2046"/>
      <c r="AC297" s="2046"/>
    </row>
    <row r="298" spans="1:29">
      <c r="A298" s="2046"/>
      <c r="B298" s="2046"/>
      <c r="C298" s="2046"/>
      <c r="D298" s="2046"/>
      <c r="E298" s="2046"/>
      <c r="F298" s="2046"/>
      <c r="G298" s="2046"/>
      <c r="H298" s="2046"/>
      <c r="I298" s="2046"/>
      <c r="J298" s="2046"/>
      <c r="K298" s="2047"/>
      <c r="L298" s="2048"/>
      <c r="M298" s="2046"/>
      <c r="N298" s="2046"/>
      <c r="O298" s="2046"/>
      <c r="P298" s="2086"/>
      <c r="Q298" s="2046"/>
      <c r="R298" s="2046"/>
      <c r="S298" s="2046"/>
      <c r="T298" s="2046"/>
      <c r="U298" s="2046"/>
      <c r="V298" s="2046"/>
      <c r="W298" s="2046"/>
      <c r="X298" s="2046"/>
      <c r="Y298" s="2046"/>
      <c r="Z298" s="2046"/>
      <c r="AA298" s="2046"/>
      <c r="AB298" s="2046"/>
      <c r="AC298" s="2046"/>
    </row>
    <row r="299" spans="1:29">
      <c r="A299" s="2046"/>
      <c r="B299" s="2046"/>
      <c r="C299" s="2046"/>
      <c r="D299" s="2046"/>
      <c r="E299" s="2046"/>
      <c r="F299" s="2046"/>
      <c r="G299" s="2046"/>
      <c r="H299" s="2046"/>
      <c r="I299" s="2046"/>
      <c r="J299" s="2046"/>
      <c r="K299" s="2047"/>
      <c r="L299" s="2048"/>
      <c r="M299" s="2046"/>
      <c r="N299" s="2046"/>
      <c r="O299" s="2046"/>
      <c r="P299" s="2086"/>
      <c r="Q299" s="2046"/>
      <c r="R299" s="2046"/>
      <c r="S299" s="2046"/>
      <c r="T299" s="2046"/>
      <c r="U299" s="2046"/>
      <c r="V299" s="2046"/>
      <c r="W299" s="2046"/>
      <c r="X299" s="2046"/>
      <c r="Y299" s="2046"/>
      <c r="Z299" s="2046"/>
      <c r="AA299" s="2046"/>
      <c r="AB299" s="2046"/>
      <c r="AC299" s="2046"/>
    </row>
    <row r="300" spans="1:29">
      <c r="A300" s="2046"/>
      <c r="B300" s="2046"/>
      <c r="C300" s="2046"/>
      <c r="D300" s="2046"/>
      <c r="E300" s="2046"/>
      <c r="F300" s="2046"/>
      <c r="G300" s="2046"/>
      <c r="H300" s="2046"/>
      <c r="I300" s="2046"/>
      <c r="J300" s="2046"/>
      <c r="K300" s="2047"/>
      <c r="L300" s="2048"/>
      <c r="M300" s="2046"/>
      <c r="N300" s="2046"/>
      <c r="O300" s="2046"/>
      <c r="P300" s="2086"/>
      <c r="Q300" s="2046"/>
      <c r="R300" s="2046"/>
      <c r="S300" s="2046"/>
      <c r="T300" s="2046"/>
      <c r="U300" s="2046"/>
      <c r="V300" s="2046"/>
      <c r="W300" s="2046"/>
      <c r="X300" s="2046"/>
      <c r="Y300" s="2046"/>
      <c r="Z300" s="2046"/>
      <c r="AA300" s="2046"/>
      <c r="AB300" s="2046"/>
      <c r="AC300" s="2046"/>
    </row>
    <row r="301" spans="1:29">
      <c r="A301" s="2046"/>
      <c r="B301" s="2046"/>
      <c r="C301" s="2046"/>
      <c r="D301" s="2046"/>
      <c r="E301" s="2046"/>
      <c r="F301" s="2046"/>
      <c r="G301" s="2046"/>
      <c r="H301" s="2046"/>
      <c r="I301" s="2046"/>
      <c r="J301" s="2046"/>
      <c r="K301" s="2047"/>
      <c r="L301" s="2048"/>
      <c r="M301" s="2046"/>
      <c r="N301" s="2046"/>
      <c r="O301" s="2046"/>
      <c r="P301" s="2086"/>
      <c r="Q301" s="2046"/>
      <c r="R301" s="2046"/>
      <c r="S301" s="2046"/>
      <c r="T301" s="2046"/>
      <c r="U301" s="2046"/>
      <c r="V301" s="2046"/>
      <c r="W301" s="2046"/>
      <c r="X301" s="2046"/>
      <c r="Y301" s="2046"/>
      <c r="Z301" s="2046"/>
      <c r="AA301" s="2046"/>
      <c r="AB301" s="2046"/>
      <c r="AC301" s="2046"/>
    </row>
    <row r="302" spans="1:29">
      <c r="A302" s="2046"/>
      <c r="B302" s="2046"/>
      <c r="C302" s="2046"/>
      <c r="D302" s="2046"/>
      <c r="E302" s="2046"/>
      <c r="F302" s="2046"/>
      <c r="G302" s="2046"/>
      <c r="H302" s="2046"/>
      <c r="I302" s="2046"/>
      <c r="J302" s="2046"/>
      <c r="K302" s="2047"/>
      <c r="L302" s="2048"/>
      <c r="M302" s="2046"/>
      <c r="N302" s="2046"/>
      <c r="O302" s="2046"/>
      <c r="P302" s="2086"/>
      <c r="Q302" s="2046"/>
      <c r="R302" s="2046"/>
      <c r="S302" s="2046"/>
      <c r="T302" s="2046"/>
      <c r="U302" s="2046"/>
      <c r="V302" s="2046"/>
      <c r="W302" s="2046"/>
      <c r="X302" s="2046"/>
      <c r="Y302" s="2046"/>
      <c r="Z302" s="2046"/>
      <c r="AA302" s="2046"/>
      <c r="AB302" s="2046"/>
      <c r="AC302" s="2046"/>
    </row>
    <row r="303" spans="1:29">
      <c r="A303" s="2046"/>
      <c r="B303" s="2046"/>
      <c r="C303" s="2046"/>
      <c r="D303" s="2046"/>
      <c r="E303" s="2046"/>
      <c r="F303" s="2046"/>
      <c r="G303" s="2046"/>
      <c r="H303" s="2046"/>
      <c r="I303" s="2046"/>
      <c r="J303" s="2046"/>
      <c r="K303" s="2047"/>
      <c r="L303" s="2048"/>
      <c r="M303" s="2046"/>
      <c r="N303" s="2046"/>
      <c r="O303" s="2046"/>
      <c r="P303" s="2086"/>
      <c r="Q303" s="2046"/>
      <c r="R303" s="2046"/>
      <c r="S303" s="2046"/>
      <c r="T303" s="2046"/>
      <c r="U303" s="2046"/>
      <c r="V303" s="2046"/>
      <c r="W303" s="2046"/>
      <c r="X303" s="2046"/>
      <c r="Y303" s="2046"/>
      <c r="Z303" s="2046"/>
      <c r="AA303" s="2046"/>
      <c r="AB303" s="2046"/>
      <c r="AC303" s="2046"/>
    </row>
    <row r="304" spans="1:29">
      <c r="A304" s="2046"/>
      <c r="B304" s="2046"/>
      <c r="C304" s="2046"/>
      <c r="D304" s="2046"/>
      <c r="E304" s="2046"/>
      <c r="F304" s="2046"/>
      <c r="G304" s="2046"/>
      <c r="H304" s="2046"/>
      <c r="I304" s="2046"/>
      <c r="J304" s="2046"/>
      <c r="K304" s="2047"/>
      <c r="L304" s="2048"/>
      <c r="M304" s="2046"/>
      <c r="N304" s="2046"/>
      <c r="O304" s="2046"/>
      <c r="P304" s="2086"/>
      <c r="Q304" s="2046"/>
      <c r="R304" s="2046"/>
      <c r="S304" s="2046"/>
      <c r="T304" s="2046"/>
      <c r="U304" s="2046"/>
      <c r="V304" s="2046"/>
      <c r="W304" s="2046"/>
      <c r="X304" s="2046"/>
      <c r="Y304" s="2046"/>
      <c r="Z304" s="2046"/>
      <c r="AA304" s="2046"/>
      <c r="AB304" s="2046"/>
      <c r="AC304" s="2046"/>
    </row>
    <row r="305" spans="1:29">
      <c r="A305" s="2046"/>
      <c r="B305" s="2046"/>
      <c r="C305" s="2046"/>
      <c r="D305" s="2046"/>
      <c r="E305" s="2046"/>
      <c r="F305" s="2046"/>
      <c r="G305" s="2046"/>
      <c r="H305" s="2046"/>
      <c r="I305" s="2046"/>
      <c r="J305" s="2046"/>
      <c r="K305" s="2047"/>
      <c r="L305" s="2048"/>
      <c r="M305" s="2046"/>
      <c r="N305" s="2046"/>
      <c r="O305" s="2046"/>
      <c r="P305" s="2086"/>
      <c r="Q305" s="2046"/>
      <c r="R305" s="2046"/>
      <c r="S305" s="2046"/>
      <c r="T305" s="2046"/>
      <c r="U305" s="2046"/>
      <c r="V305" s="2046"/>
      <c r="W305" s="2046"/>
      <c r="X305" s="2046"/>
      <c r="Y305" s="2046"/>
      <c r="Z305" s="2046"/>
      <c r="AA305" s="2046"/>
      <c r="AB305" s="2046"/>
      <c r="AC305" s="2046"/>
    </row>
    <row r="306" spans="1:29">
      <c r="A306" s="2046"/>
      <c r="B306" s="2046"/>
      <c r="C306" s="2046"/>
      <c r="D306" s="2046"/>
      <c r="E306" s="2046"/>
      <c r="F306" s="2046"/>
      <c r="G306" s="2046"/>
      <c r="H306" s="2046"/>
      <c r="I306" s="2046"/>
      <c r="J306" s="2046"/>
      <c r="K306" s="2047"/>
      <c r="L306" s="2048"/>
      <c r="M306" s="2046"/>
      <c r="N306" s="2046"/>
      <c r="O306" s="2046"/>
      <c r="P306" s="2086"/>
      <c r="Q306" s="2046"/>
      <c r="R306" s="2046"/>
      <c r="S306" s="2046"/>
      <c r="T306" s="2046"/>
      <c r="U306" s="2046"/>
      <c r="V306" s="2046"/>
      <c r="W306" s="2046"/>
      <c r="X306" s="2046"/>
      <c r="Y306" s="2046"/>
      <c r="Z306" s="2046"/>
      <c r="AA306" s="2046"/>
      <c r="AB306" s="2046"/>
      <c r="AC306" s="2046"/>
    </row>
    <row r="307" spans="1:29">
      <c r="A307" s="2046"/>
      <c r="B307" s="2046"/>
      <c r="C307" s="2046"/>
      <c r="D307" s="2046"/>
      <c r="E307" s="2046"/>
      <c r="F307" s="2046"/>
      <c r="G307" s="2046"/>
      <c r="H307" s="2046"/>
      <c r="I307" s="2046"/>
      <c r="J307" s="2046"/>
      <c r="K307" s="2047"/>
      <c r="L307" s="2048"/>
      <c r="M307" s="2046"/>
      <c r="N307" s="2046"/>
      <c r="O307" s="2046"/>
      <c r="P307" s="2086"/>
      <c r="Q307" s="2046"/>
      <c r="R307" s="2046"/>
      <c r="S307" s="2046"/>
      <c r="T307" s="2046"/>
      <c r="U307" s="2046"/>
      <c r="V307" s="2046"/>
      <c r="W307" s="2046"/>
      <c r="X307" s="2046"/>
      <c r="Y307" s="2046"/>
      <c r="Z307" s="2046"/>
      <c r="AA307" s="2046"/>
      <c r="AB307" s="2046"/>
      <c r="AC307" s="2046"/>
    </row>
    <row r="308" spans="1:29">
      <c r="A308" s="2046"/>
      <c r="B308" s="2046"/>
      <c r="C308" s="2046"/>
      <c r="D308" s="2046"/>
      <c r="E308" s="2046"/>
      <c r="F308" s="2046"/>
      <c r="G308" s="2046"/>
      <c r="H308" s="2046"/>
      <c r="I308" s="2046"/>
      <c r="J308" s="2046"/>
      <c r="K308" s="2047"/>
      <c r="L308" s="2048"/>
      <c r="M308" s="2046"/>
      <c r="N308" s="2046"/>
      <c r="O308" s="2046"/>
      <c r="P308" s="2086"/>
      <c r="Q308" s="2046"/>
      <c r="R308" s="2046"/>
      <c r="S308" s="2046"/>
      <c r="T308" s="2046"/>
      <c r="U308" s="2046"/>
      <c r="V308" s="2046"/>
      <c r="W308" s="2046"/>
      <c r="X308" s="2046"/>
      <c r="Y308" s="2046"/>
      <c r="Z308" s="2046"/>
      <c r="AA308" s="2046"/>
      <c r="AB308" s="2046"/>
      <c r="AC308" s="2046"/>
    </row>
    <row r="309" spans="1:29">
      <c r="A309" s="2046"/>
      <c r="B309" s="2046"/>
      <c r="C309" s="2046"/>
      <c r="D309" s="2046"/>
      <c r="E309" s="2046"/>
      <c r="F309" s="2046"/>
      <c r="G309" s="2046"/>
      <c r="H309" s="2046"/>
      <c r="I309" s="2046"/>
      <c r="J309" s="2046"/>
      <c r="K309" s="2047"/>
      <c r="L309" s="2048"/>
      <c r="M309" s="2046"/>
      <c r="N309" s="2046"/>
      <c r="O309" s="2046"/>
      <c r="P309" s="2086"/>
      <c r="Q309" s="2046"/>
      <c r="R309" s="2046"/>
      <c r="S309" s="2046"/>
      <c r="T309" s="2046"/>
      <c r="U309" s="2046"/>
      <c r="V309" s="2046"/>
      <c r="W309" s="2046"/>
      <c r="X309" s="2046"/>
      <c r="Y309" s="2046"/>
      <c r="Z309" s="2046"/>
      <c r="AA309" s="2046"/>
      <c r="AB309" s="2046"/>
      <c r="AC309" s="2046"/>
    </row>
    <row r="310" spans="1:29">
      <c r="A310" s="2046"/>
      <c r="B310" s="2046"/>
      <c r="C310" s="2046"/>
      <c r="D310" s="2046"/>
      <c r="E310" s="2046"/>
      <c r="F310" s="2046"/>
      <c r="G310" s="2046"/>
      <c r="H310" s="2046"/>
      <c r="I310" s="2046"/>
      <c r="J310" s="2046"/>
      <c r="K310" s="2047"/>
      <c r="L310" s="2048"/>
      <c r="M310" s="2046"/>
      <c r="N310" s="2046"/>
      <c r="O310" s="2046"/>
      <c r="P310" s="2086"/>
      <c r="Q310" s="2046"/>
      <c r="R310" s="2046"/>
      <c r="S310" s="2046"/>
      <c r="T310" s="2046"/>
      <c r="U310" s="2046"/>
      <c r="V310" s="2046"/>
      <c r="W310" s="2046"/>
      <c r="X310" s="2046"/>
      <c r="Y310" s="2046"/>
      <c r="Z310" s="2046"/>
      <c r="AA310" s="2046"/>
      <c r="AB310" s="2046"/>
      <c r="AC310" s="2046"/>
    </row>
    <row r="311" spans="1:29">
      <c r="A311" s="2046"/>
      <c r="B311" s="2046"/>
      <c r="C311" s="2046"/>
      <c r="D311" s="2046"/>
      <c r="E311" s="2046"/>
      <c r="F311" s="2046"/>
      <c r="G311" s="2046"/>
      <c r="H311" s="2046"/>
      <c r="I311" s="2046"/>
      <c r="J311" s="2046"/>
      <c r="K311" s="2047"/>
      <c r="L311" s="2048"/>
      <c r="M311" s="2046"/>
      <c r="N311" s="2046"/>
      <c r="O311" s="2046"/>
      <c r="P311" s="2086"/>
      <c r="Q311" s="2046"/>
      <c r="R311" s="2046"/>
      <c r="S311" s="2046"/>
      <c r="T311" s="2046"/>
      <c r="U311" s="2046"/>
      <c r="V311" s="2046"/>
      <c r="W311" s="2046"/>
      <c r="X311" s="2046"/>
      <c r="Y311" s="2046"/>
      <c r="Z311" s="2046"/>
      <c r="AA311" s="2046"/>
      <c r="AB311" s="2046"/>
      <c r="AC311" s="2046"/>
    </row>
    <row r="312" spans="1:29">
      <c r="A312" s="2046"/>
      <c r="B312" s="2046"/>
      <c r="C312" s="2046"/>
      <c r="D312" s="2046"/>
      <c r="E312" s="2046"/>
      <c r="F312" s="2046"/>
      <c r="G312" s="2046"/>
      <c r="H312" s="2046"/>
      <c r="I312" s="2046"/>
      <c r="J312" s="2046"/>
      <c r="K312" s="2047"/>
      <c r="L312" s="2048"/>
      <c r="M312" s="2046"/>
      <c r="N312" s="2046"/>
      <c r="O312" s="2046"/>
      <c r="P312" s="2086"/>
      <c r="Q312" s="2046"/>
      <c r="R312" s="2046"/>
      <c r="S312" s="2046"/>
      <c r="T312" s="2046"/>
      <c r="U312" s="2046"/>
      <c r="V312" s="2046"/>
      <c r="W312" s="2046"/>
      <c r="X312" s="2046"/>
      <c r="Y312" s="2046"/>
      <c r="Z312" s="2046"/>
      <c r="AA312" s="2046"/>
      <c r="AB312" s="2046"/>
      <c r="AC312" s="2046"/>
    </row>
    <row r="313" spans="1:29">
      <c r="A313" s="2046"/>
      <c r="B313" s="2046"/>
      <c r="C313" s="2046"/>
      <c r="D313" s="2046"/>
      <c r="E313" s="2046"/>
      <c r="F313" s="2046"/>
      <c r="G313" s="2046"/>
      <c r="H313" s="2046"/>
      <c r="I313" s="2046"/>
      <c r="J313" s="2046"/>
      <c r="K313" s="2047"/>
      <c r="L313" s="2048"/>
      <c r="M313" s="2046"/>
      <c r="N313" s="2046"/>
      <c r="O313" s="2046"/>
      <c r="P313" s="2086"/>
      <c r="Q313" s="2046"/>
      <c r="R313" s="2046"/>
      <c r="S313" s="2046"/>
      <c r="T313" s="2046"/>
      <c r="U313" s="2046"/>
      <c r="V313" s="2046"/>
      <c r="W313" s="2046"/>
      <c r="X313" s="2046"/>
      <c r="Y313" s="2046"/>
      <c r="Z313" s="2046"/>
      <c r="AA313" s="2046"/>
      <c r="AB313" s="2046"/>
      <c r="AC313" s="2046"/>
    </row>
    <row r="314" spans="1:29">
      <c r="A314" s="2046"/>
      <c r="B314" s="2046"/>
      <c r="C314" s="2046"/>
      <c r="D314" s="2046"/>
      <c r="E314" s="2046"/>
      <c r="F314" s="2046"/>
      <c r="G314" s="2046"/>
      <c r="H314" s="2046"/>
      <c r="I314" s="2046"/>
      <c r="J314" s="2046"/>
      <c r="K314" s="2047"/>
      <c r="L314" s="2048"/>
      <c r="M314" s="2046"/>
      <c r="N314" s="2046"/>
      <c r="O314" s="2046"/>
      <c r="P314" s="2086"/>
      <c r="Q314" s="2046"/>
      <c r="R314" s="2046"/>
      <c r="S314" s="2046"/>
      <c r="T314" s="2046"/>
      <c r="U314" s="2046"/>
      <c r="V314" s="2046"/>
      <c r="W314" s="2046"/>
      <c r="X314" s="2046"/>
      <c r="Y314" s="2046"/>
      <c r="Z314" s="2046"/>
      <c r="AA314" s="2046"/>
      <c r="AB314" s="2046"/>
      <c r="AC314" s="2046"/>
    </row>
    <row r="315" spans="1:29">
      <c r="A315" s="2046"/>
      <c r="B315" s="2046"/>
      <c r="C315" s="2046"/>
      <c r="D315" s="2046"/>
      <c r="E315" s="2046"/>
      <c r="F315" s="2046"/>
      <c r="G315" s="2046"/>
      <c r="H315" s="2046"/>
      <c r="I315" s="2046"/>
      <c r="J315" s="2046"/>
      <c r="K315" s="2047"/>
      <c r="L315" s="2048"/>
      <c r="M315" s="2046"/>
      <c r="N315" s="2046"/>
      <c r="O315" s="2046"/>
      <c r="P315" s="2086"/>
      <c r="Q315" s="2046"/>
      <c r="R315" s="2046"/>
      <c r="S315" s="2046"/>
      <c r="T315" s="2046"/>
      <c r="U315" s="2046"/>
      <c r="V315" s="2046"/>
      <c r="W315" s="2046"/>
      <c r="X315" s="2046"/>
      <c r="Y315" s="2046"/>
      <c r="Z315" s="2046"/>
      <c r="AA315" s="2046"/>
      <c r="AB315" s="2046"/>
      <c r="AC315" s="2046"/>
    </row>
    <row r="316" spans="1:29">
      <c r="A316" s="2046"/>
      <c r="B316" s="2046"/>
      <c r="C316" s="2046"/>
      <c r="D316" s="2046"/>
      <c r="E316" s="2046"/>
      <c r="F316" s="2046"/>
      <c r="G316" s="2046"/>
      <c r="H316" s="2046"/>
      <c r="I316" s="2046"/>
      <c r="J316" s="2046"/>
      <c r="K316" s="2047"/>
      <c r="L316" s="2048"/>
      <c r="M316" s="2046"/>
      <c r="N316" s="2046"/>
      <c r="O316" s="2046"/>
      <c r="P316" s="2086"/>
      <c r="Q316" s="2046"/>
      <c r="R316" s="2046"/>
      <c r="S316" s="2046"/>
      <c r="T316" s="2046"/>
      <c r="U316" s="2046"/>
      <c r="V316" s="2046"/>
      <c r="W316" s="2046"/>
      <c r="X316" s="2046"/>
      <c r="Y316" s="2046"/>
      <c r="Z316" s="2046"/>
      <c r="AA316" s="2046"/>
      <c r="AB316" s="2046"/>
      <c r="AC316" s="2046"/>
    </row>
    <row r="317" spans="1:29">
      <c r="A317" s="2046"/>
      <c r="B317" s="2046"/>
      <c r="C317" s="2046"/>
      <c r="D317" s="2046"/>
      <c r="E317" s="2046"/>
      <c r="F317" s="2046"/>
      <c r="G317" s="2046"/>
      <c r="H317" s="2046"/>
      <c r="I317" s="2046"/>
      <c r="J317" s="2046"/>
      <c r="K317" s="2047"/>
      <c r="L317" s="2048"/>
      <c r="M317" s="2046"/>
      <c r="N317" s="2046"/>
      <c r="O317" s="2046"/>
      <c r="P317" s="2086"/>
      <c r="Q317" s="2046"/>
      <c r="R317" s="2046"/>
      <c r="S317" s="2046"/>
      <c r="T317" s="2046"/>
      <c r="U317" s="2046"/>
      <c r="V317" s="2046"/>
      <c r="W317" s="2046"/>
      <c r="X317" s="2046"/>
      <c r="Y317" s="2046"/>
      <c r="Z317" s="2046"/>
      <c r="AA317" s="2046"/>
      <c r="AB317" s="2046"/>
      <c r="AC317" s="2046"/>
    </row>
    <row r="318" spans="1:29">
      <c r="A318" s="2046"/>
      <c r="B318" s="2046"/>
      <c r="C318" s="2046"/>
      <c r="D318" s="2046"/>
      <c r="E318" s="2046"/>
      <c r="F318" s="2046"/>
      <c r="G318" s="2046"/>
      <c r="H318" s="2046"/>
      <c r="I318" s="2046"/>
      <c r="J318" s="2046"/>
      <c r="K318" s="2047"/>
      <c r="L318" s="2048"/>
      <c r="M318" s="2046"/>
      <c r="N318" s="2046"/>
      <c r="O318" s="2046"/>
      <c r="P318" s="2086"/>
      <c r="Q318" s="2046"/>
      <c r="R318" s="2046"/>
      <c r="S318" s="2046"/>
      <c r="T318" s="2046"/>
      <c r="U318" s="2046"/>
      <c r="V318" s="2046"/>
      <c r="W318" s="2046"/>
      <c r="X318" s="2046"/>
      <c r="Y318" s="2046"/>
      <c r="Z318" s="2046"/>
      <c r="AA318" s="2046"/>
      <c r="AB318" s="2046"/>
      <c r="AC318" s="2046"/>
    </row>
    <row r="319" spans="1:29">
      <c r="A319" s="2046"/>
      <c r="B319" s="2046"/>
      <c r="C319" s="2046"/>
      <c r="D319" s="2046"/>
      <c r="E319" s="2046"/>
      <c r="F319" s="2046"/>
      <c r="G319" s="2046"/>
      <c r="H319" s="2046"/>
      <c r="I319" s="2046"/>
      <c r="J319" s="2046"/>
      <c r="K319" s="2047"/>
      <c r="L319" s="2048"/>
      <c r="M319" s="2046"/>
      <c r="N319" s="2046"/>
      <c r="O319" s="2046"/>
      <c r="P319" s="2086"/>
      <c r="Q319" s="2046"/>
      <c r="R319" s="2046"/>
      <c r="S319" s="2046"/>
      <c r="T319" s="2046"/>
      <c r="U319" s="2046"/>
      <c r="V319" s="2046"/>
      <c r="W319" s="2046"/>
      <c r="X319" s="2046"/>
      <c r="Y319" s="2046"/>
      <c r="Z319" s="2046"/>
      <c r="AA319" s="2046"/>
      <c r="AB319" s="2046"/>
      <c r="AC319" s="2046"/>
    </row>
    <row r="320" spans="1:29">
      <c r="A320" s="2046"/>
      <c r="B320" s="2046"/>
      <c r="C320" s="2046"/>
      <c r="D320" s="2046"/>
      <c r="E320" s="2046"/>
      <c r="F320" s="2046"/>
      <c r="G320" s="2046"/>
      <c r="H320" s="2046"/>
      <c r="I320" s="2046"/>
      <c r="J320" s="2046"/>
      <c r="K320" s="2047"/>
      <c r="L320" s="2048"/>
      <c r="M320" s="2046"/>
      <c r="N320" s="2046"/>
      <c r="O320" s="2046"/>
      <c r="P320" s="2086"/>
      <c r="Q320" s="2046"/>
      <c r="R320" s="2046"/>
      <c r="S320" s="2046"/>
      <c r="T320" s="2046"/>
      <c r="U320" s="2046"/>
      <c r="V320" s="2046"/>
      <c r="W320" s="2046"/>
      <c r="X320" s="2046"/>
      <c r="Y320" s="2046"/>
      <c r="Z320" s="2046"/>
      <c r="AA320" s="2046"/>
      <c r="AB320" s="2046"/>
      <c r="AC320" s="2046"/>
    </row>
    <row r="321" spans="1:29">
      <c r="A321" s="2046"/>
      <c r="B321" s="2046"/>
      <c r="C321" s="2046"/>
      <c r="D321" s="2046"/>
      <c r="E321" s="2046"/>
      <c r="F321" s="2046"/>
      <c r="G321" s="2046"/>
      <c r="H321" s="2046"/>
      <c r="I321" s="2046"/>
      <c r="J321" s="2046"/>
      <c r="K321" s="2047"/>
      <c r="L321" s="2048"/>
      <c r="M321" s="2046"/>
      <c r="N321" s="2046"/>
      <c r="O321" s="2046"/>
      <c r="P321" s="2086"/>
      <c r="Q321" s="2046"/>
      <c r="R321" s="2046"/>
      <c r="S321" s="2046"/>
      <c r="T321" s="2046"/>
      <c r="U321" s="2046"/>
      <c r="V321" s="2046"/>
      <c r="W321" s="2046"/>
      <c r="X321" s="2046"/>
      <c r="Y321" s="2046"/>
      <c r="Z321" s="2046"/>
      <c r="AA321" s="2046"/>
      <c r="AB321" s="2046"/>
      <c r="AC321" s="2046"/>
    </row>
    <row r="322" spans="1:29">
      <c r="A322" s="2046"/>
      <c r="B322" s="2046"/>
      <c r="C322" s="2046"/>
      <c r="D322" s="2046"/>
      <c r="E322" s="2046"/>
      <c r="F322" s="2046"/>
      <c r="G322" s="2046"/>
      <c r="H322" s="2046"/>
      <c r="I322" s="2046"/>
      <c r="J322" s="2046"/>
      <c r="K322" s="2047"/>
      <c r="L322" s="2048"/>
      <c r="M322" s="2046"/>
      <c r="N322" s="2046"/>
      <c r="O322" s="2046"/>
      <c r="P322" s="2086"/>
      <c r="Q322" s="2046"/>
      <c r="R322" s="2046"/>
      <c r="S322" s="2046"/>
      <c r="T322" s="2046"/>
      <c r="U322" s="2046"/>
      <c r="V322" s="2046"/>
      <c r="W322" s="2046"/>
      <c r="X322" s="2046"/>
      <c r="Y322" s="2046"/>
      <c r="Z322" s="2046"/>
      <c r="AA322" s="2046"/>
      <c r="AB322" s="2046"/>
      <c r="AC322" s="2046"/>
    </row>
    <row r="323" spans="1:29">
      <c r="A323" s="2046"/>
      <c r="B323" s="2046"/>
      <c r="C323" s="2046"/>
      <c r="D323" s="2046"/>
      <c r="E323" s="2046"/>
      <c r="F323" s="2046"/>
      <c r="G323" s="2046"/>
      <c r="H323" s="2046"/>
      <c r="I323" s="2046"/>
      <c r="J323" s="2046"/>
      <c r="K323" s="2047"/>
      <c r="L323" s="2048"/>
      <c r="M323" s="2046"/>
      <c r="N323" s="2046"/>
      <c r="O323" s="2046"/>
      <c r="P323" s="2086"/>
      <c r="Q323" s="2046"/>
      <c r="R323" s="2046"/>
      <c r="S323" s="2046"/>
      <c r="T323" s="2046"/>
      <c r="U323" s="2046"/>
      <c r="V323" s="2046"/>
      <c r="W323" s="2046"/>
      <c r="X323" s="2046"/>
      <c r="Y323" s="2046"/>
      <c r="Z323" s="2046"/>
      <c r="AA323" s="2046"/>
      <c r="AB323" s="2046"/>
      <c r="AC323" s="2046"/>
    </row>
    <row r="324" spans="1:29">
      <c r="A324" s="2046"/>
      <c r="B324" s="2046"/>
      <c r="C324" s="2046"/>
      <c r="D324" s="2046"/>
      <c r="E324" s="2046"/>
      <c r="F324" s="2046"/>
      <c r="G324" s="2046"/>
      <c r="H324" s="2046"/>
      <c r="I324" s="2046"/>
      <c r="J324" s="2046"/>
      <c r="K324" s="2047"/>
      <c r="L324" s="2048"/>
      <c r="M324" s="2046"/>
      <c r="N324" s="2046"/>
      <c r="O324" s="2046"/>
      <c r="P324" s="2086"/>
      <c r="Q324" s="2046"/>
      <c r="R324" s="2046"/>
      <c r="S324" s="2046"/>
      <c r="T324" s="2046"/>
      <c r="U324" s="2046"/>
      <c r="V324" s="2046"/>
      <c r="W324" s="2046"/>
      <c r="X324" s="2046"/>
      <c r="Y324" s="2046"/>
      <c r="Z324" s="2046"/>
      <c r="AA324" s="2046"/>
      <c r="AB324" s="2046"/>
      <c r="AC324" s="2046"/>
    </row>
    <row r="325" spans="1:29">
      <c r="A325" s="2046"/>
      <c r="B325" s="2046"/>
      <c r="C325" s="2046"/>
      <c r="D325" s="2046"/>
      <c r="E325" s="2046"/>
      <c r="F325" s="2046"/>
      <c r="G325" s="2046"/>
      <c r="H325" s="2046"/>
      <c r="I325" s="2046"/>
      <c r="J325" s="2046"/>
      <c r="K325" s="2047"/>
      <c r="L325" s="2048"/>
      <c r="M325" s="2046"/>
      <c r="N325" s="2046"/>
      <c r="O325" s="2046"/>
      <c r="P325" s="2086"/>
      <c r="Q325" s="2046"/>
      <c r="R325" s="2046"/>
      <c r="S325" s="2046"/>
      <c r="T325" s="2046"/>
      <c r="U325" s="2046"/>
      <c r="V325" s="2046"/>
      <c r="W325" s="2046"/>
      <c r="X325" s="2046"/>
      <c r="Y325" s="2046"/>
      <c r="Z325" s="2046"/>
      <c r="AA325" s="2046"/>
      <c r="AB325" s="2046"/>
      <c r="AC325" s="2046"/>
    </row>
    <row r="326" spans="1:29">
      <c r="A326" s="2046"/>
      <c r="B326" s="2046"/>
      <c r="C326" s="2046"/>
      <c r="D326" s="2046"/>
      <c r="E326" s="2046"/>
      <c r="F326" s="2046"/>
      <c r="G326" s="2046"/>
      <c r="H326" s="2046"/>
      <c r="I326" s="2046"/>
      <c r="J326" s="2046"/>
      <c r="K326" s="2047"/>
      <c r="L326" s="2048"/>
      <c r="M326" s="2046"/>
      <c r="N326" s="2046"/>
      <c r="O326" s="2046"/>
      <c r="P326" s="2086"/>
      <c r="Q326" s="2046"/>
      <c r="R326" s="2046"/>
      <c r="S326" s="2046"/>
      <c r="T326" s="2046"/>
      <c r="U326" s="2046"/>
      <c r="V326" s="2046"/>
      <c r="W326" s="2046"/>
      <c r="X326" s="2046"/>
      <c r="Y326" s="2046"/>
      <c r="Z326" s="2046"/>
      <c r="AA326" s="2046"/>
      <c r="AB326" s="2046"/>
      <c r="AC326" s="2046"/>
    </row>
    <row r="327" spans="1:29">
      <c r="A327" s="2046"/>
      <c r="B327" s="2046"/>
      <c r="C327" s="2046"/>
      <c r="D327" s="2046"/>
      <c r="E327" s="2046"/>
      <c r="F327" s="2046"/>
      <c r="G327" s="2046"/>
      <c r="H327" s="2046"/>
      <c r="I327" s="2046"/>
      <c r="J327" s="2046"/>
      <c r="K327" s="2047"/>
      <c r="L327" s="2048"/>
      <c r="M327" s="2046"/>
      <c r="N327" s="2046"/>
      <c r="O327" s="2046"/>
      <c r="P327" s="2086"/>
      <c r="Q327" s="2046"/>
      <c r="R327" s="2046"/>
      <c r="S327" s="2046"/>
      <c r="T327" s="2046"/>
      <c r="U327" s="2046"/>
      <c r="V327" s="2046"/>
      <c r="W327" s="2046"/>
      <c r="X327" s="2046"/>
      <c r="Y327" s="2046"/>
      <c r="Z327" s="2046"/>
      <c r="AA327" s="2046"/>
      <c r="AB327" s="2046"/>
      <c r="AC327" s="2046"/>
    </row>
    <row r="328" spans="1:29">
      <c r="A328" s="2046"/>
      <c r="B328" s="2046"/>
      <c r="C328" s="2046"/>
      <c r="D328" s="2046"/>
      <c r="E328" s="2046"/>
      <c r="F328" s="2046"/>
      <c r="G328" s="2046"/>
      <c r="H328" s="2046"/>
      <c r="I328" s="2046"/>
      <c r="J328" s="2046"/>
      <c r="K328" s="2047"/>
      <c r="L328" s="2048"/>
      <c r="M328" s="2046"/>
      <c r="N328" s="2046"/>
      <c r="O328" s="2046"/>
      <c r="P328" s="2086"/>
      <c r="Q328" s="2046"/>
      <c r="R328" s="2046"/>
      <c r="S328" s="2046"/>
      <c r="T328" s="2046"/>
      <c r="U328" s="2046"/>
      <c r="V328" s="2046"/>
      <c r="W328" s="2046"/>
      <c r="X328" s="2046"/>
      <c r="Y328" s="2046"/>
      <c r="Z328" s="2046"/>
      <c r="AA328" s="2046"/>
      <c r="AB328" s="2046"/>
      <c r="AC328" s="2046"/>
    </row>
    <row r="329" spans="1:29">
      <c r="A329" s="2046"/>
      <c r="B329" s="2046"/>
      <c r="C329" s="2046"/>
      <c r="D329" s="2046"/>
      <c r="E329" s="2046"/>
      <c r="F329" s="2046"/>
      <c r="G329" s="2046"/>
      <c r="H329" s="2046"/>
      <c r="I329" s="2046"/>
      <c r="J329" s="2046"/>
      <c r="K329" s="2047"/>
      <c r="L329" s="2048"/>
      <c r="M329" s="2046"/>
      <c r="N329" s="2046"/>
      <c r="O329" s="2046"/>
      <c r="P329" s="2086"/>
      <c r="Q329" s="2046"/>
      <c r="R329" s="2046"/>
      <c r="S329" s="2046"/>
      <c r="T329" s="2046"/>
      <c r="U329" s="2046"/>
      <c r="V329" s="2046"/>
      <c r="W329" s="2046"/>
      <c r="X329" s="2046"/>
      <c r="Y329" s="2046"/>
      <c r="Z329" s="2046"/>
      <c r="AA329" s="2046"/>
      <c r="AB329" s="2046"/>
      <c r="AC329" s="2046"/>
    </row>
    <row r="330" spans="1:29">
      <c r="A330" s="2046"/>
      <c r="B330" s="2046"/>
      <c r="C330" s="2046"/>
      <c r="D330" s="2046"/>
      <c r="E330" s="2046"/>
      <c r="F330" s="2046"/>
      <c r="G330" s="2046"/>
      <c r="H330" s="2046"/>
      <c r="I330" s="2046"/>
      <c r="J330" s="2046"/>
      <c r="K330" s="2047"/>
      <c r="L330" s="2048"/>
      <c r="M330" s="2046"/>
      <c r="N330" s="2046"/>
      <c r="O330" s="2046"/>
      <c r="P330" s="2086"/>
      <c r="Q330" s="2046"/>
      <c r="R330" s="2046"/>
      <c r="S330" s="2046"/>
      <c r="T330" s="2046"/>
      <c r="U330" s="2046"/>
      <c r="V330" s="2046"/>
      <c r="W330" s="2046"/>
      <c r="X330" s="2046"/>
      <c r="Y330" s="2046"/>
      <c r="Z330" s="2046"/>
      <c r="AA330" s="2046"/>
      <c r="AB330" s="2046"/>
      <c r="AC330" s="2046"/>
    </row>
    <row r="331" spans="1:29">
      <c r="A331" s="2046"/>
      <c r="B331" s="2046"/>
      <c r="C331" s="2046"/>
      <c r="D331" s="2046"/>
      <c r="E331" s="2046"/>
      <c r="F331" s="2046"/>
      <c r="G331" s="2046"/>
      <c r="H331" s="2046"/>
      <c r="I331" s="2046"/>
      <c r="J331" s="2046"/>
      <c r="K331" s="2047"/>
      <c r="L331" s="2048"/>
      <c r="M331" s="2046"/>
      <c r="N331" s="2046"/>
      <c r="O331" s="2046"/>
      <c r="P331" s="2086"/>
      <c r="Q331" s="2046"/>
      <c r="R331" s="2046"/>
      <c r="S331" s="2046"/>
      <c r="T331" s="2046"/>
      <c r="U331" s="2046"/>
      <c r="V331" s="2046"/>
      <c r="W331" s="2046"/>
      <c r="X331" s="2046"/>
      <c r="Y331" s="2046"/>
      <c r="Z331" s="2046"/>
      <c r="AA331" s="2046"/>
      <c r="AB331" s="2046"/>
      <c r="AC331" s="2046"/>
    </row>
    <row r="332" spans="1:29">
      <c r="A332" s="2046"/>
      <c r="B332" s="2046"/>
      <c r="C332" s="2046"/>
      <c r="D332" s="2046"/>
      <c r="E332" s="2046"/>
      <c r="F332" s="2046"/>
      <c r="G332" s="2046"/>
      <c r="H332" s="2046"/>
      <c r="I332" s="2046"/>
      <c r="J332" s="2046"/>
      <c r="K332" s="2047"/>
      <c r="L332" s="2048"/>
      <c r="M332" s="2046"/>
      <c r="N332" s="2046"/>
      <c r="O332" s="2046"/>
      <c r="P332" s="2086"/>
      <c r="Q332" s="2046"/>
      <c r="R332" s="2046"/>
      <c r="S332" s="2046"/>
      <c r="T332" s="2046"/>
      <c r="U332" s="2046"/>
      <c r="V332" s="2046"/>
      <c r="W332" s="2046"/>
      <c r="X332" s="2046"/>
      <c r="Y332" s="2046"/>
      <c r="Z332" s="2046"/>
      <c r="AA332" s="2046"/>
      <c r="AB332" s="2046"/>
      <c r="AC332" s="2046"/>
    </row>
    <row r="333" spans="1:29">
      <c r="A333" s="2046"/>
      <c r="B333" s="2046"/>
      <c r="C333" s="2046"/>
      <c r="D333" s="2046"/>
      <c r="E333" s="2046"/>
      <c r="F333" s="2046"/>
      <c r="G333" s="2046"/>
      <c r="H333" s="2046"/>
      <c r="I333" s="2046"/>
      <c r="J333" s="2046"/>
      <c r="K333" s="2047"/>
      <c r="L333" s="2048"/>
      <c r="M333" s="2046"/>
      <c r="N333" s="2046"/>
      <c r="O333" s="2046"/>
      <c r="P333" s="2086"/>
      <c r="Q333" s="2046"/>
      <c r="R333" s="2046"/>
      <c r="S333" s="2046"/>
      <c r="T333" s="2046"/>
      <c r="U333" s="2046"/>
      <c r="V333" s="2046"/>
      <c r="W333" s="2046"/>
      <c r="X333" s="2046"/>
      <c r="Y333" s="2046"/>
      <c r="Z333" s="2046"/>
      <c r="AA333" s="2046"/>
      <c r="AB333" s="2046"/>
      <c r="AC333" s="2046"/>
    </row>
    <row r="334" spans="1:29">
      <c r="A334" s="2046"/>
      <c r="B334" s="2046"/>
      <c r="C334" s="2046"/>
      <c r="D334" s="2046"/>
      <c r="E334" s="2046"/>
      <c r="F334" s="2046"/>
      <c r="G334" s="2046"/>
      <c r="H334" s="2046"/>
      <c r="I334" s="2046"/>
      <c r="J334" s="2046"/>
      <c r="K334" s="2047"/>
      <c r="L334" s="2048"/>
      <c r="M334" s="2046"/>
      <c r="N334" s="2046"/>
      <c r="O334" s="2046"/>
      <c r="P334" s="2086"/>
      <c r="Q334" s="2046"/>
      <c r="R334" s="2046"/>
      <c r="S334" s="2046"/>
      <c r="T334" s="2046"/>
      <c r="U334" s="2046"/>
      <c r="V334" s="2046"/>
      <c r="W334" s="2046"/>
      <c r="X334" s="2046"/>
      <c r="Y334" s="2046"/>
      <c r="Z334" s="2046"/>
      <c r="AA334" s="2046"/>
      <c r="AB334" s="2046"/>
      <c r="AC334" s="2046"/>
    </row>
    <row r="335" spans="1:29">
      <c r="A335" s="2046"/>
      <c r="B335" s="2046"/>
      <c r="C335" s="2046"/>
      <c r="D335" s="2046"/>
      <c r="E335" s="2046"/>
      <c r="F335" s="2046"/>
      <c r="G335" s="2046"/>
      <c r="H335" s="2046"/>
      <c r="I335" s="2046"/>
      <c r="J335" s="2046"/>
      <c r="K335" s="2047"/>
      <c r="L335" s="2048"/>
      <c r="M335" s="2046"/>
      <c r="N335" s="2046"/>
      <c r="O335" s="2046"/>
      <c r="P335" s="2086"/>
      <c r="Q335" s="2046"/>
      <c r="R335" s="2046"/>
      <c r="S335" s="2046"/>
      <c r="T335" s="2046"/>
      <c r="U335" s="2046"/>
      <c r="V335" s="2046"/>
      <c r="W335" s="2046"/>
      <c r="X335" s="2046"/>
      <c r="Y335" s="2046"/>
      <c r="Z335" s="2046"/>
      <c r="AA335" s="2046"/>
      <c r="AB335" s="2046"/>
      <c r="AC335" s="2046"/>
    </row>
    <row r="336" spans="1:29">
      <c r="A336" s="2046"/>
      <c r="B336" s="2046"/>
      <c r="C336" s="2046"/>
      <c r="D336" s="2046"/>
      <c r="E336" s="2046"/>
      <c r="F336" s="2046"/>
      <c r="G336" s="2046"/>
      <c r="H336" s="2046"/>
      <c r="I336" s="2046"/>
      <c r="J336" s="2046"/>
      <c r="K336" s="2047"/>
      <c r="L336" s="2048"/>
      <c r="M336" s="2046"/>
      <c r="N336" s="2046"/>
      <c r="O336" s="2046"/>
      <c r="P336" s="2086"/>
      <c r="Q336" s="2046"/>
      <c r="R336" s="2046"/>
      <c r="S336" s="2046"/>
      <c r="T336" s="2046"/>
      <c r="U336" s="2046"/>
      <c r="V336" s="2046"/>
      <c r="W336" s="2046"/>
      <c r="X336" s="2046"/>
      <c r="Y336" s="2046"/>
      <c r="Z336" s="2046"/>
      <c r="AA336" s="2046"/>
      <c r="AB336" s="2046"/>
      <c r="AC336" s="2046"/>
    </row>
    <row r="337" spans="1:29">
      <c r="A337" s="2046"/>
      <c r="B337" s="2046"/>
      <c r="C337" s="2046"/>
      <c r="D337" s="2046"/>
      <c r="E337" s="2046"/>
      <c r="F337" s="2046"/>
      <c r="G337" s="2046"/>
      <c r="H337" s="2046"/>
      <c r="I337" s="2046"/>
      <c r="J337" s="2046"/>
      <c r="K337" s="2047"/>
      <c r="L337" s="2048"/>
      <c r="M337" s="2046"/>
      <c r="N337" s="2046"/>
      <c r="O337" s="2046"/>
      <c r="P337" s="2086"/>
      <c r="Q337" s="2046"/>
      <c r="R337" s="2046"/>
      <c r="S337" s="2046"/>
      <c r="T337" s="2046"/>
      <c r="U337" s="2046"/>
      <c r="V337" s="2046"/>
      <c r="W337" s="2046"/>
      <c r="X337" s="2046"/>
      <c r="Y337" s="2046"/>
      <c r="Z337" s="2046"/>
      <c r="AA337" s="2046"/>
      <c r="AB337" s="2046"/>
      <c r="AC337" s="2046"/>
    </row>
    <row r="338" spans="1:29">
      <c r="A338" s="2046"/>
      <c r="B338" s="2046"/>
      <c r="C338" s="2046"/>
      <c r="D338" s="2046"/>
      <c r="E338" s="2046"/>
      <c r="F338" s="2046"/>
      <c r="G338" s="2046"/>
      <c r="H338" s="2046"/>
      <c r="I338" s="2046"/>
      <c r="J338" s="2046"/>
      <c r="K338" s="2047"/>
      <c r="L338" s="2048"/>
      <c r="M338" s="2046"/>
      <c r="N338" s="2046"/>
      <c r="O338" s="2046"/>
      <c r="P338" s="2086"/>
      <c r="Q338" s="2046"/>
      <c r="R338" s="2046"/>
      <c r="S338" s="2046"/>
      <c r="T338" s="2046"/>
      <c r="U338" s="2046"/>
      <c r="V338" s="2046"/>
      <c r="W338" s="2046"/>
      <c r="X338" s="2046"/>
      <c r="Y338" s="2046"/>
      <c r="Z338" s="2046"/>
      <c r="AA338" s="2046"/>
      <c r="AB338" s="2046"/>
      <c r="AC338" s="2046"/>
    </row>
    <row r="339" spans="1:29">
      <c r="A339" s="2046"/>
      <c r="B339" s="2046"/>
      <c r="C339" s="2046"/>
      <c r="D339" s="2046"/>
      <c r="E339" s="2046"/>
      <c r="F339" s="2046"/>
      <c r="G339" s="2046"/>
      <c r="H339" s="2046"/>
      <c r="I339" s="2046"/>
      <c r="J339" s="2046"/>
      <c r="K339" s="2047"/>
      <c r="L339" s="2048"/>
      <c r="M339" s="2046"/>
      <c r="N339" s="2046"/>
      <c r="O339" s="2046"/>
      <c r="P339" s="2086"/>
      <c r="Q339" s="2046"/>
      <c r="R339" s="2046"/>
      <c r="S339" s="2046"/>
      <c r="T339" s="2046"/>
      <c r="U339" s="2046"/>
      <c r="V339" s="2046"/>
      <c r="W339" s="2046"/>
      <c r="X339" s="2046"/>
      <c r="Y339" s="2046"/>
      <c r="Z339" s="2046"/>
      <c r="AA339" s="2046"/>
      <c r="AB339" s="2046"/>
      <c r="AC339" s="2046"/>
    </row>
    <row r="340" spans="1:29">
      <c r="A340" s="2046"/>
      <c r="B340" s="2046"/>
      <c r="C340" s="2046"/>
      <c r="D340" s="2046"/>
      <c r="E340" s="2046"/>
      <c r="F340" s="2046"/>
      <c r="G340" s="2046"/>
      <c r="H340" s="2046"/>
      <c r="I340" s="2046"/>
      <c r="J340" s="2046"/>
      <c r="K340" s="2047"/>
      <c r="L340" s="2048"/>
      <c r="M340" s="2046"/>
      <c r="N340" s="2046"/>
      <c r="O340" s="2046"/>
      <c r="P340" s="2086"/>
      <c r="Q340" s="2046"/>
      <c r="R340" s="2046"/>
      <c r="S340" s="2046"/>
      <c r="T340" s="2046"/>
      <c r="U340" s="2046"/>
      <c r="V340" s="2046"/>
      <c r="W340" s="2046"/>
      <c r="X340" s="2046"/>
      <c r="Y340" s="2046"/>
      <c r="Z340" s="2046"/>
      <c r="AA340" s="2046"/>
      <c r="AB340" s="2046"/>
      <c r="AC340" s="2046"/>
    </row>
    <row r="341" spans="1:29">
      <c r="A341" s="2046"/>
      <c r="B341" s="2046"/>
      <c r="C341" s="2046"/>
      <c r="D341" s="2046"/>
      <c r="E341" s="2046"/>
      <c r="F341" s="2046"/>
      <c r="G341" s="2046"/>
      <c r="H341" s="2046"/>
      <c r="I341" s="2046"/>
      <c r="J341" s="2046"/>
      <c r="K341" s="2047"/>
      <c r="L341" s="2048"/>
      <c r="M341" s="2046"/>
      <c r="N341" s="2046"/>
      <c r="O341" s="2046"/>
      <c r="P341" s="2086"/>
      <c r="Q341" s="2046"/>
      <c r="R341" s="2046"/>
      <c r="S341" s="2046"/>
      <c r="T341" s="2046"/>
      <c r="U341" s="2046"/>
      <c r="V341" s="2046"/>
      <c r="W341" s="2046"/>
      <c r="X341" s="2046"/>
      <c r="Y341" s="2046"/>
      <c r="Z341" s="2046"/>
      <c r="AA341" s="2046"/>
      <c r="AB341" s="2046"/>
      <c r="AC341" s="2046"/>
    </row>
    <row r="342" spans="1:29">
      <c r="A342" s="2046"/>
      <c r="B342" s="2046"/>
      <c r="C342" s="2046"/>
      <c r="D342" s="2046"/>
      <c r="E342" s="2046"/>
      <c r="F342" s="2046"/>
      <c r="G342" s="2046"/>
      <c r="H342" s="2046"/>
      <c r="I342" s="2046"/>
      <c r="J342" s="2046"/>
      <c r="K342" s="2047"/>
      <c r="L342" s="2048"/>
      <c r="M342" s="2046"/>
      <c r="N342" s="2046"/>
      <c r="O342" s="2046"/>
      <c r="P342" s="2086"/>
      <c r="Q342" s="2046"/>
      <c r="R342" s="2046"/>
      <c r="S342" s="2046"/>
      <c r="T342" s="2046"/>
      <c r="U342" s="2046"/>
      <c r="V342" s="2046"/>
      <c r="W342" s="2046"/>
      <c r="X342" s="2046"/>
      <c r="Y342" s="2046"/>
      <c r="Z342" s="2046"/>
      <c r="AA342" s="2046"/>
      <c r="AB342" s="2046"/>
      <c r="AC342" s="2046"/>
    </row>
    <row r="343" spans="1:29">
      <c r="A343" s="2046"/>
      <c r="B343" s="2046"/>
      <c r="C343" s="2046"/>
      <c r="D343" s="2046"/>
      <c r="E343" s="2046"/>
      <c r="F343" s="2046"/>
      <c r="G343" s="2046"/>
      <c r="H343" s="2046"/>
      <c r="I343" s="2046"/>
      <c r="J343" s="2046"/>
      <c r="K343" s="2047"/>
      <c r="L343" s="2048"/>
      <c r="M343" s="2046"/>
      <c r="N343" s="2046"/>
      <c r="O343" s="2046"/>
      <c r="P343" s="2086"/>
      <c r="Q343" s="2046"/>
      <c r="R343" s="2046"/>
      <c r="S343" s="2046"/>
      <c r="T343" s="2046"/>
      <c r="U343" s="2046"/>
      <c r="V343" s="2046"/>
      <c r="W343" s="2046"/>
      <c r="X343" s="2046"/>
      <c r="Y343" s="2046"/>
      <c r="Z343" s="2046"/>
      <c r="AA343" s="2046"/>
      <c r="AB343" s="2046"/>
      <c r="AC343" s="2046"/>
    </row>
    <row r="344" spans="1:29">
      <c r="A344" s="2046"/>
      <c r="B344" s="2046"/>
      <c r="C344" s="2046"/>
      <c r="D344" s="2046"/>
      <c r="E344" s="2046"/>
      <c r="F344" s="2046"/>
      <c r="G344" s="2046"/>
      <c r="H344" s="2046"/>
      <c r="I344" s="2046"/>
      <c r="J344" s="2046"/>
      <c r="K344" s="2047"/>
      <c r="L344" s="2048"/>
      <c r="M344" s="2046"/>
      <c r="N344" s="2046"/>
      <c r="O344" s="2046"/>
      <c r="P344" s="2086"/>
      <c r="Q344" s="2046"/>
      <c r="R344" s="2046"/>
      <c r="S344" s="2046"/>
      <c r="T344" s="2046"/>
      <c r="U344" s="2046"/>
      <c r="V344" s="2046"/>
      <c r="W344" s="2046"/>
      <c r="X344" s="2046"/>
      <c r="Y344" s="2046"/>
      <c r="Z344" s="2046"/>
      <c r="AA344" s="2046"/>
      <c r="AB344" s="2046"/>
      <c r="AC344" s="2046"/>
    </row>
    <row r="345" spans="1:29">
      <c r="A345" s="2046"/>
      <c r="B345" s="2046"/>
      <c r="C345" s="2046"/>
      <c r="D345" s="2046"/>
      <c r="E345" s="2046"/>
      <c r="F345" s="2046"/>
      <c r="G345" s="2046"/>
      <c r="H345" s="2046"/>
      <c r="I345" s="2046"/>
      <c r="J345" s="2046"/>
      <c r="K345" s="2047"/>
      <c r="L345" s="2048"/>
      <c r="M345" s="2046"/>
      <c r="N345" s="2046"/>
      <c r="O345" s="2046"/>
      <c r="P345" s="2086"/>
      <c r="Q345" s="2046"/>
      <c r="R345" s="2046"/>
      <c r="S345" s="2046"/>
      <c r="T345" s="2046"/>
      <c r="U345" s="2046"/>
      <c r="V345" s="2046"/>
      <c r="W345" s="2046"/>
      <c r="X345" s="2046"/>
      <c r="Y345" s="2046"/>
      <c r="Z345" s="2046"/>
      <c r="AA345" s="2046"/>
      <c r="AB345" s="2046"/>
      <c r="AC345" s="2046"/>
    </row>
    <row r="346" spans="1:29">
      <c r="A346" s="2046"/>
      <c r="B346" s="2046"/>
      <c r="C346" s="2046"/>
      <c r="D346" s="2046"/>
      <c r="E346" s="2046"/>
      <c r="F346" s="2046"/>
      <c r="G346" s="2046"/>
      <c r="H346" s="2046"/>
      <c r="I346" s="2046"/>
      <c r="J346" s="2046"/>
      <c r="K346" s="2047"/>
      <c r="L346" s="2048"/>
      <c r="M346" s="2046"/>
      <c r="N346" s="2046"/>
      <c r="O346" s="2046"/>
      <c r="P346" s="2086"/>
      <c r="Q346" s="2046"/>
      <c r="R346" s="2046"/>
      <c r="S346" s="2046"/>
      <c r="T346" s="2046"/>
      <c r="U346" s="2046"/>
      <c r="V346" s="2046"/>
      <c r="W346" s="2046"/>
      <c r="X346" s="2046"/>
      <c r="Y346" s="2046"/>
      <c r="Z346" s="2046"/>
      <c r="AA346" s="2046"/>
      <c r="AB346" s="2046"/>
      <c r="AC346" s="2046"/>
    </row>
    <row r="347" spans="1:29">
      <c r="A347" s="2046"/>
      <c r="B347" s="2046"/>
      <c r="C347" s="2046"/>
      <c r="D347" s="2046"/>
      <c r="E347" s="2046"/>
      <c r="F347" s="2046"/>
      <c r="G347" s="2046"/>
      <c r="H347" s="2046"/>
      <c r="I347" s="2046"/>
      <c r="J347" s="2046"/>
      <c r="K347" s="2047"/>
      <c r="L347" s="2048"/>
      <c r="M347" s="2046"/>
      <c r="N347" s="2046"/>
      <c r="O347" s="2046"/>
      <c r="P347" s="2086"/>
      <c r="Q347" s="2046"/>
      <c r="R347" s="2046"/>
      <c r="S347" s="2046"/>
      <c r="T347" s="2046"/>
      <c r="U347" s="2046"/>
      <c r="V347" s="2046"/>
      <c r="W347" s="2046"/>
      <c r="X347" s="2046"/>
      <c r="Y347" s="2046"/>
      <c r="Z347" s="2046"/>
      <c r="AA347" s="2046"/>
      <c r="AB347" s="2046"/>
      <c r="AC347" s="2046"/>
    </row>
    <row r="348" spans="1:29">
      <c r="A348" s="2046"/>
      <c r="B348" s="2046"/>
      <c r="C348" s="2046"/>
      <c r="D348" s="2046"/>
      <c r="E348" s="2046"/>
      <c r="F348" s="2046"/>
      <c r="G348" s="2046"/>
      <c r="H348" s="2046"/>
      <c r="I348" s="2046"/>
      <c r="J348" s="2046"/>
      <c r="K348" s="2047"/>
      <c r="L348" s="2048"/>
      <c r="M348" s="2046"/>
      <c r="N348" s="2046"/>
      <c r="O348" s="2046"/>
      <c r="P348" s="2086"/>
      <c r="Q348" s="2046"/>
      <c r="R348" s="2046"/>
      <c r="S348" s="2046"/>
      <c r="T348" s="2046"/>
      <c r="U348" s="2046"/>
      <c r="V348" s="2046"/>
      <c r="W348" s="2046"/>
      <c r="X348" s="2046"/>
      <c r="Y348" s="2046"/>
      <c r="Z348" s="2046"/>
      <c r="AA348" s="2046"/>
      <c r="AB348" s="2046"/>
      <c r="AC348" s="2046"/>
    </row>
    <row r="349" spans="1:29">
      <c r="A349" s="2046"/>
      <c r="B349" s="2046"/>
      <c r="C349" s="2046"/>
      <c r="D349" s="2046"/>
      <c r="E349" s="2046"/>
      <c r="F349" s="2046"/>
      <c r="G349" s="2046"/>
      <c r="H349" s="2046"/>
      <c r="I349" s="2046"/>
      <c r="J349" s="2046"/>
      <c r="K349" s="2047"/>
      <c r="L349" s="2048"/>
      <c r="M349" s="2046"/>
      <c r="N349" s="2046"/>
      <c r="O349" s="2046"/>
      <c r="P349" s="2086"/>
      <c r="Q349" s="2046"/>
      <c r="R349" s="2046"/>
      <c r="S349" s="2046"/>
      <c r="T349" s="2046"/>
      <c r="U349" s="2046"/>
      <c r="V349" s="2046"/>
      <c r="W349" s="2046"/>
      <c r="X349" s="2046"/>
      <c r="Y349" s="2046"/>
      <c r="Z349" s="2046"/>
      <c r="AA349" s="2046"/>
      <c r="AB349" s="2046"/>
      <c r="AC349" s="2046"/>
    </row>
    <row r="350" spans="1:29">
      <c r="A350" s="2046"/>
      <c r="B350" s="2046"/>
      <c r="C350" s="2046"/>
      <c r="D350" s="2046"/>
      <c r="E350" s="2046"/>
      <c r="F350" s="2046"/>
      <c r="G350" s="2046"/>
      <c r="H350" s="2046"/>
      <c r="I350" s="2046"/>
      <c r="J350" s="2046"/>
      <c r="K350" s="2047"/>
      <c r="L350" s="2048"/>
      <c r="M350" s="2046"/>
      <c r="N350" s="2046"/>
      <c r="O350" s="2046"/>
      <c r="P350" s="2086"/>
      <c r="Q350" s="2046"/>
      <c r="R350" s="2046"/>
      <c r="S350" s="2046"/>
      <c r="T350" s="2046"/>
      <c r="U350" s="2046"/>
      <c r="V350" s="2046"/>
      <c r="W350" s="2046"/>
      <c r="X350" s="2046"/>
      <c r="Y350" s="2046"/>
      <c r="Z350" s="2046"/>
      <c r="AA350" s="2046"/>
      <c r="AB350" s="2046"/>
      <c r="AC350" s="2046"/>
    </row>
    <row r="351" spans="1:29">
      <c r="A351" s="2046"/>
      <c r="B351" s="2046"/>
      <c r="C351" s="2046"/>
      <c r="D351" s="2046"/>
      <c r="E351" s="2046"/>
      <c r="F351" s="2046"/>
      <c r="G351" s="2046"/>
      <c r="H351" s="2046"/>
      <c r="I351" s="2046"/>
      <c r="J351" s="2046"/>
      <c r="K351" s="2047"/>
      <c r="L351" s="2048"/>
      <c r="M351" s="2046"/>
      <c r="N351" s="2046"/>
      <c r="O351" s="2046"/>
      <c r="P351" s="2086"/>
      <c r="Q351" s="2046"/>
      <c r="R351" s="2046"/>
      <c r="S351" s="2046"/>
      <c r="T351" s="2046"/>
      <c r="U351" s="2046"/>
      <c r="V351" s="2046"/>
      <c r="W351" s="2046"/>
      <c r="X351" s="2046"/>
      <c r="Y351" s="2046"/>
      <c r="Z351" s="2046"/>
      <c r="AA351" s="2046"/>
      <c r="AB351" s="2046"/>
      <c r="AC351" s="2046"/>
    </row>
    <row r="352" spans="1:29">
      <c r="A352" s="2046"/>
      <c r="B352" s="2046"/>
      <c r="C352" s="2046"/>
      <c r="D352" s="2046"/>
      <c r="E352" s="2046"/>
      <c r="F352" s="2046"/>
      <c r="G352" s="2046"/>
      <c r="H352" s="2046"/>
      <c r="I352" s="2046"/>
      <c r="J352" s="2046"/>
      <c r="K352" s="2047"/>
      <c r="L352" s="2048"/>
      <c r="M352" s="2046"/>
      <c r="N352" s="2046"/>
      <c r="O352" s="2046"/>
      <c r="P352" s="2086"/>
      <c r="Q352" s="2046"/>
      <c r="R352" s="2046"/>
      <c r="S352" s="2046"/>
      <c r="T352" s="2046"/>
      <c r="U352" s="2046"/>
      <c r="V352" s="2046"/>
      <c r="W352" s="2046"/>
      <c r="X352" s="2046"/>
      <c r="Y352" s="2046"/>
      <c r="Z352" s="2046"/>
      <c r="AA352" s="2046"/>
      <c r="AB352" s="2046"/>
      <c r="AC352" s="2046"/>
    </row>
    <row r="353" spans="1:29">
      <c r="A353" s="2046"/>
      <c r="B353" s="2046"/>
      <c r="C353" s="2046"/>
      <c r="D353" s="2046"/>
      <c r="E353" s="2046"/>
      <c r="F353" s="2046"/>
      <c r="G353" s="2046"/>
      <c r="H353" s="2046"/>
      <c r="I353" s="2046"/>
      <c r="J353" s="2046"/>
      <c r="K353" s="2047"/>
      <c r="L353" s="2048"/>
      <c r="M353" s="2046"/>
      <c r="N353" s="2046"/>
      <c r="O353" s="2046"/>
      <c r="P353" s="2086"/>
      <c r="Q353" s="2046"/>
      <c r="R353" s="2046"/>
      <c r="S353" s="2046"/>
      <c r="T353" s="2046"/>
      <c r="U353" s="2046"/>
      <c r="V353" s="2046"/>
      <c r="W353" s="2046"/>
      <c r="X353" s="2046"/>
      <c r="Y353" s="2046"/>
      <c r="Z353" s="2046"/>
      <c r="AA353" s="2046"/>
      <c r="AB353" s="2046"/>
      <c r="AC353" s="2046"/>
    </row>
    <row r="354" spans="1:29">
      <c r="A354" s="2046"/>
      <c r="B354" s="2046"/>
      <c r="C354" s="2046"/>
      <c r="D354" s="2046"/>
      <c r="E354" s="2046"/>
      <c r="F354" s="2046"/>
      <c r="G354" s="2046"/>
      <c r="H354" s="2046"/>
      <c r="I354" s="2046"/>
      <c r="J354" s="2046"/>
      <c r="K354" s="2047"/>
      <c r="L354" s="2048"/>
      <c r="M354" s="2046"/>
      <c r="N354" s="2046"/>
      <c r="O354" s="2046"/>
      <c r="P354" s="2086"/>
      <c r="Q354" s="2046"/>
      <c r="R354" s="2046"/>
      <c r="S354" s="2046"/>
      <c r="T354" s="2046"/>
      <c r="U354" s="2046"/>
      <c r="V354" s="2046"/>
      <c r="W354" s="2046"/>
      <c r="X354" s="2046"/>
      <c r="Y354" s="2046"/>
      <c r="Z354" s="2046"/>
      <c r="AA354" s="2046"/>
      <c r="AB354" s="2046"/>
      <c r="AC354" s="2046"/>
    </row>
    <row r="355" spans="1:29">
      <c r="A355" s="2046"/>
      <c r="B355" s="2046"/>
      <c r="C355" s="2046"/>
      <c r="D355" s="2046"/>
      <c r="E355" s="2046"/>
      <c r="F355" s="2046"/>
      <c r="G355" s="2046"/>
      <c r="H355" s="2046"/>
      <c r="I355" s="2046"/>
      <c r="J355" s="2046"/>
      <c r="K355" s="2047"/>
      <c r="L355" s="2048"/>
      <c r="M355" s="2046"/>
      <c r="N355" s="2046"/>
      <c r="O355" s="2046"/>
      <c r="P355" s="2086"/>
      <c r="Q355" s="2046"/>
      <c r="R355" s="2046"/>
      <c r="S355" s="2046"/>
      <c r="T355" s="2046"/>
      <c r="U355" s="2046"/>
      <c r="V355" s="2046"/>
      <c r="W355" s="2046"/>
      <c r="X355" s="2046"/>
      <c r="Y355" s="2046"/>
      <c r="Z355" s="2046"/>
      <c r="AA355" s="2046"/>
      <c r="AB355" s="2046"/>
      <c r="AC355" s="2046"/>
    </row>
    <row r="356" spans="1:29">
      <c r="A356" s="2046"/>
      <c r="B356" s="2046"/>
      <c r="C356" s="2046"/>
      <c r="D356" s="2046"/>
      <c r="E356" s="2046"/>
      <c r="F356" s="2046"/>
      <c r="G356" s="2046"/>
      <c r="H356" s="2046"/>
      <c r="I356" s="2046"/>
      <c r="J356" s="2046"/>
      <c r="K356" s="2047"/>
      <c r="L356" s="2048"/>
      <c r="M356" s="2046"/>
      <c r="N356" s="2046"/>
      <c r="O356" s="2046"/>
      <c r="P356" s="2086"/>
      <c r="Q356" s="2046"/>
      <c r="R356" s="2046"/>
      <c r="S356" s="2046"/>
      <c r="T356" s="2046"/>
      <c r="U356" s="2046"/>
      <c r="V356" s="2046"/>
      <c r="W356" s="2046"/>
      <c r="X356" s="2046"/>
      <c r="Y356" s="2046"/>
      <c r="Z356" s="2046"/>
      <c r="AA356" s="2046"/>
      <c r="AB356" s="2046"/>
      <c r="AC356" s="2046"/>
    </row>
    <row r="357" spans="1:29">
      <c r="A357" s="2046"/>
      <c r="B357" s="2046"/>
      <c r="C357" s="2046"/>
      <c r="D357" s="2046"/>
      <c r="E357" s="2046"/>
      <c r="F357" s="2046"/>
      <c r="G357" s="2046"/>
      <c r="H357" s="2046"/>
      <c r="I357" s="2046"/>
      <c r="J357" s="2046"/>
      <c r="K357" s="2047"/>
      <c r="L357" s="2048"/>
      <c r="M357" s="2046"/>
      <c r="N357" s="2046"/>
      <c r="O357" s="2046"/>
      <c r="P357" s="2086"/>
      <c r="Q357" s="2046"/>
      <c r="R357" s="2046"/>
      <c r="S357" s="2046"/>
      <c r="T357" s="2046"/>
      <c r="U357" s="2046"/>
      <c r="V357" s="2046"/>
      <c r="W357" s="2046"/>
      <c r="X357" s="2046"/>
      <c r="Y357" s="2046"/>
      <c r="Z357" s="2046"/>
      <c r="AA357" s="2046"/>
      <c r="AB357" s="2046"/>
      <c r="AC357" s="2046"/>
    </row>
    <row r="358" spans="1:29">
      <c r="A358" s="2046"/>
      <c r="B358" s="2046"/>
      <c r="C358" s="2046"/>
      <c r="D358" s="2046"/>
      <c r="E358" s="2046"/>
      <c r="F358" s="2046"/>
      <c r="G358" s="2046"/>
      <c r="H358" s="2046"/>
      <c r="I358" s="2046"/>
      <c r="J358" s="2046"/>
      <c r="K358" s="2047"/>
      <c r="L358" s="2048"/>
      <c r="M358" s="2046"/>
      <c r="N358" s="2046"/>
      <c r="O358" s="2046"/>
      <c r="P358" s="2086"/>
      <c r="Q358" s="2046"/>
      <c r="R358" s="2046"/>
      <c r="S358" s="2046"/>
      <c r="T358" s="2046"/>
      <c r="U358" s="2046"/>
      <c r="V358" s="2046"/>
      <c r="W358" s="2046"/>
      <c r="X358" s="2046"/>
      <c r="Y358" s="2046"/>
      <c r="Z358" s="2046"/>
      <c r="AA358" s="2046"/>
      <c r="AB358" s="2046"/>
      <c r="AC358" s="2046"/>
    </row>
    <row r="359" spans="1:29">
      <c r="A359" s="2046"/>
      <c r="B359" s="2046"/>
      <c r="C359" s="2046"/>
      <c r="D359" s="2046"/>
      <c r="E359" s="2046"/>
      <c r="F359" s="2046"/>
      <c r="G359" s="2046"/>
      <c r="H359" s="2046"/>
      <c r="I359" s="2046"/>
      <c r="J359" s="2046"/>
      <c r="K359" s="2047"/>
      <c r="L359" s="2048"/>
      <c r="M359" s="2046"/>
      <c r="N359" s="2046"/>
      <c r="O359" s="2046"/>
      <c r="P359" s="2086"/>
      <c r="Q359" s="2046"/>
      <c r="R359" s="2046"/>
      <c r="S359" s="2046"/>
      <c r="T359" s="2046"/>
      <c r="U359" s="2046"/>
      <c r="V359" s="2046"/>
      <c r="W359" s="2046"/>
      <c r="X359" s="2046"/>
      <c r="Y359" s="2046"/>
      <c r="Z359" s="2046"/>
      <c r="AA359" s="2046"/>
      <c r="AB359" s="2046"/>
      <c r="AC359" s="2046"/>
    </row>
    <row r="360" spans="1:29">
      <c r="A360" s="2046"/>
      <c r="B360" s="2046"/>
      <c r="C360" s="2046"/>
      <c r="D360" s="2046"/>
      <c r="E360" s="2046"/>
      <c r="F360" s="2046"/>
      <c r="G360" s="2046"/>
      <c r="H360" s="2046"/>
      <c r="I360" s="2046"/>
      <c r="J360" s="2046"/>
      <c r="K360" s="2047"/>
      <c r="L360" s="2048"/>
      <c r="M360" s="2046"/>
      <c r="N360" s="2046"/>
      <c r="O360" s="2046"/>
      <c r="P360" s="2086"/>
      <c r="Q360" s="2046"/>
      <c r="R360" s="2046"/>
      <c r="S360" s="2046"/>
      <c r="T360" s="2046"/>
      <c r="U360" s="2046"/>
      <c r="V360" s="2046"/>
      <c r="W360" s="2046"/>
      <c r="X360" s="2046"/>
      <c r="Y360" s="2046"/>
      <c r="Z360" s="2046"/>
      <c r="AA360" s="2046"/>
      <c r="AB360" s="2046"/>
      <c r="AC360" s="2046"/>
    </row>
    <row r="361" spans="1:29">
      <c r="A361" s="2046"/>
      <c r="B361" s="2046"/>
      <c r="C361" s="2046"/>
      <c r="D361" s="2046"/>
      <c r="E361" s="2046"/>
      <c r="F361" s="2046"/>
      <c r="G361" s="2046"/>
      <c r="H361" s="2046"/>
      <c r="I361" s="2046"/>
      <c r="J361" s="2046"/>
      <c r="K361" s="2047"/>
      <c r="L361" s="2048"/>
      <c r="M361" s="2046"/>
      <c r="N361" s="2046"/>
      <c r="O361" s="2046"/>
      <c r="P361" s="2086"/>
      <c r="Q361" s="2046"/>
      <c r="R361" s="2046"/>
      <c r="S361" s="2046"/>
      <c r="T361" s="2046"/>
      <c r="U361" s="2046"/>
      <c r="V361" s="2046"/>
      <c r="W361" s="2046"/>
      <c r="X361" s="2046"/>
      <c r="Y361" s="2046"/>
      <c r="Z361" s="2046"/>
      <c r="AA361" s="2046"/>
      <c r="AB361" s="2046"/>
      <c r="AC361" s="2046"/>
    </row>
    <row r="362" spans="1:29">
      <c r="A362" s="2046"/>
      <c r="B362" s="2046"/>
      <c r="C362" s="2046"/>
      <c r="D362" s="2046"/>
      <c r="E362" s="2046"/>
      <c r="F362" s="2046"/>
      <c r="G362" s="2046"/>
      <c r="H362" s="2046"/>
      <c r="I362" s="2046"/>
      <c r="J362" s="2046"/>
      <c r="K362" s="2047"/>
      <c r="L362" s="2048"/>
      <c r="M362" s="2046"/>
      <c r="N362" s="2046"/>
      <c r="O362" s="2046"/>
      <c r="P362" s="2086"/>
      <c r="Q362" s="2046"/>
      <c r="R362" s="2046"/>
      <c r="S362" s="2046"/>
      <c r="T362" s="2046"/>
      <c r="U362" s="2046"/>
      <c r="V362" s="2046"/>
      <c r="W362" s="2046"/>
      <c r="X362" s="2046"/>
      <c r="Y362" s="2046"/>
      <c r="Z362" s="2046"/>
      <c r="AA362" s="2046"/>
      <c r="AB362" s="2046"/>
      <c r="AC362" s="2046"/>
    </row>
    <row r="363" spans="1:29">
      <c r="A363" s="2046"/>
      <c r="B363" s="2046"/>
      <c r="C363" s="2046"/>
      <c r="D363" s="2046"/>
      <c r="E363" s="2046"/>
      <c r="F363" s="2046"/>
      <c r="G363" s="2046"/>
      <c r="H363" s="2046"/>
      <c r="I363" s="2046"/>
      <c r="J363" s="2046"/>
      <c r="K363" s="2047"/>
      <c r="L363" s="2048"/>
      <c r="M363" s="2046"/>
      <c r="N363" s="2046"/>
      <c r="O363" s="2046"/>
      <c r="P363" s="2086"/>
      <c r="Q363" s="2046"/>
      <c r="R363" s="2046"/>
      <c r="S363" s="2046"/>
      <c r="T363" s="2046"/>
      <c r="U363" s="2046"/>
      <c r="V363" s="2046"/>
      <c r="W363" s="2046"/>
      <c r="X363" s="2046"/>
      <c r="Y363" s="2046"/>
      <c r="Z363" s="2046"/>
      <c r="AA363" s="2046"/>
      <c r="AB363" s="2046"/>
      <c r="AC363" s="2046"/>
    </row>
    <row r="364" spans="1:29">
      <c r="A364" s="2046"/>
      <c r="B364" s="2046"/>
      <c r="C364" s="2046"/>
      <c r="D364" s="2046"/>
      <c r="E364" s="2046"/>
      <c r="F364" s="2046"/>
      <c r="G364" s="2046"/>
      <c r="H364" s="2046"/>
      <c r="I364" s="2046"/>
      <c r="J364" s="2046"/>
      <c r="K364" s="2047"/>
      <c r="L364" s="2048"/>
      <c r="M364" s="2046"/>
      <c r="N364" s="2046"/>
      <c r="O364" s="2046"/>
      <c r="P364" s="2086"/>
      <c r="Q364" s="2046"/>
      <c r="R364" s="2046"/>
      <c r="S364" s="2046"/>
      <c r="T364" s="2046"/>
      <c r="U364" s="2046"/>
      <c r="V364" s="2046"/>
      <c r="W364" s="2046"/>
      <c r="X364" s="2046"/>
      <c r="Y364" s="2046"/>
      <c r="Z364" s="2046"/>
      <c r="AA364" s="2046"/>
      <c r="AB364" s="2046"/>
      <c r="AC364" s="2046"/>
    </row>
    <row r="365" spans="1:29">
      <c r="A365" s="2046"/>
      <c r="B365" s="2046"/>
      <c r="C365" s="2046"/>
      <c r="D365" s="2046"/>
      <c r="E365" s="2046"/>
      <c r="F365" s="2046"/>
      <c r="G365" s="2046"/>
      <c r="H365" s="2046"/>
      <c r="I365" s="2046"/>
      <c r="J365" s="2046"/>
      <c r="K365" s="2047"/>
      <c r="L365" s="2048"/>
      <c r="M365" s="2046"/>
      <c r="N365" s="2046"/>
      <c r="O365" s="2046"/>
      <c r="P365" s="2086"/>
      <c r="Q365" s="2046"/>
      <c r="R365" s="2046"/>
      <c r="S365" s="2046"/>
      <c r="T365" s="2046"/>
      <c r="U365" s="2046"/>
      <c r="V365" s="2046"/>
      <c r="W365" s="2046"/>
      <c r="X365" s="2046"/>
      <c r="Y365" s="2046"/>
      <c r="Z365" s="2046"/>
      <c r="AA365" s="2046"/>
      <c r="AB365" s="2046"/>
      <c r="AC365" s="2046"/>
    </row>
    <row r="366" spans="1:29">
      <c r="A366" s="2046"/>
      <c r="B366" s="2046"/>
      <c r="C366" s="2046"/>
      <c r="D366" s="2046"/>
      <c r="E366" s="2046"/>
      <c r="F366" s="2046"/>
      <c r="G366" s="2046"/>
      <c r="H366" s="2046"/>
      <c r="I366" s="2046"/>
      <c r="J366" s="2046"/>
      <c r="K366" s="2047"/>
      <c r="L366" s="2048"/>
      <c r="M366" s="2046"/>
      <c r="N366" s="2046"/>
      <c r="O366" s="2046"/>
      <c r="P366" s="2086"/>
      <c r="Q366" s="2046"/>
      <c r="R366" s="2046"/>
      <c r="S366" s="2046"/>
      <c r="T366" s="2046"/>
      <c r="U366" s="2046"/>
      <c r="V366" s="2046"/>
      <c r="W366" s="2046"/>
      <c r="X366" s="2046"/>
      <c r="Y366" s="2046"/>
      <c r="Z366" s="2046"/>
      <c r="AA366" s="2046"/>
      <c r="AB366" s="2046"/>
      <c r="AC366" s="2046"/>
    </row>
    <row r="367" spans="1:29">
      <c r="A367" s="2046"/>
      <c r="B367" s="2046"/>
      <c r="C367" s="2046"/>
      <c r="D367" s="2046"/>
      <c r="E367" s="2046"/>
      <c r="F367" s="2046"/>
      <c r="G367" s="2046"/>
      <c r="H367" s="2046"/>
      <c r="I367" s="2046"/>
      <c r="J367" s="2046"/>
      <c r="K367" s="2047"/>
      <c r="L367" s="2048"/>
      <c r="M367" s="2046"/>
      <c r="N367" s="2046"/>
      <c r="O367" s="2046"/>
      <c r="P367" s="2086"/>
      <c r="Q367" s="2046"/>
      <c r="R367" s="2046"/>
      <c r="S367" s="2046"/>
      <c r="T367" s="2046"/>
      <c r="U367" s="2046"/>
      <c r="V367" s="2046"/>
      <c r="W367" s="2046"/>
      <c r="X367" s="2046"/>
      <c r="Y367" s="2046"/>
      <c r="Z367" s="2046"/>
      <c r="AA367" s="2046"/>
      <c r="AB367" s="2046"/>
      <c r="AC367" s="2046"/>
    </row>
    <row r="368" spans="1:29">
      <c r="A368" s="2046"/>
      <c r="B368" s="2046"/>
      <c r="C368" s="2046"/>
      <c r="D368" s="2046"/>
      <c r="E368" s="2046"/>
      <c r="F368" s="2046"/>
      <c r="G368" s="2046"/>
      <c r="H368" s="2046"/>
      <c r="I368" s="2046"/>
      <c r="J368" s="2046"/>
      <c r="K368" s="2047"/>
      <c r="L368" s="2048"/>
      <c r="M368" s="2046"/>
      <c r="N368" s="2046"/>
      <c r="O368" s="2046"/>
      <c r="P368" s="2086"/>
      <c r="Q368" s="2046"/>
      <c r="R368" s="2046"/>
      <c r="S368" s="2046"/>
      <c r="T368" s="2046"/>
      <c r="U368" s="2046"/>
      <c r="V368" s="2046"/>
      <c r="W368" s="2046"/>
      <c r="X368" s="2046"/>
      <c r="Y368" s="2046"/>
      <c r="Z368" s="2046"/>
      <c r="AA368" s="2046"/>
      <c r="AB368" s="2046"/>
      <c r="AC368" s="2046"/>
    </row>
    <row r="369" spans="1:29">
      <c r="A369" s="2046"/>
      <c r="B369" s="2046"/>
      <c r="C369" s="2046"/>
      <c r="D369" s="2046"/>
      <c r="E369" s="2046"/>
      <c r="F369" s="2046"/>
      <c r="G369" s="2046"/>
      <c r="H369" s="2046"/>
      <c r="I369" s="2046"/>
      <c r="J369" s="2046"/>
      <c r="K369" s="2047"/>
      <c r="L369" s="2048"/>
      <c r="M369" s="2046"/>
      <c r="N369" s="2046"/>
      <c r="O369" s="2046"/>
      <c r="P369" s="2086"/>
      <c r="Q369" s="2046"/>
      <c r="R369" s="2046"/>
      <c r="S369" s="2046"/>
      <c r="T369" s="2046"/>
      <c r="U369" s="2046"/>
      <c r="V369" s="2046"/>
      <c r="W369" s="2046"/>
      <c r="X369" s="2046"/>
      <c r="Y369" s="2046"/>
      <c r="Z369" s="2046"/>
      <c r="AA369" s="2046"/>
      <c r="AB369" s="2046"/>
      <c r="AC369" s="2046"/>
    </row>
    <row r="370" spans="1:29">
      <c r="A370" s="2046"/>
      <c r="B370" s="2046"/>
      <c r="C370" s="2046"/>
      <c r="D370" s="2046"/>
      <c r="E370" s="2046"/>
      <c r="F370" s="2046"/>
      <c r="G370" s="2046"/>
      <c r="H370" s="2046"/>
      <c r="I370" s="2046"/>
      <c r="J370" s="2046"/>
      <c r="K370" s="2047"/>
      <c r="L370" s="2048"/>
      <c r="M370" s="2046"/>
      <c r="N370" s="2046"/>
      <c r="O370" s="2046"/>
      <c r="P370" s="2086"/>
      <c r="Q370" s="2046"/>
      <c r="R370" s="2046"/>
      <c r="S370" s="2046"/>
      <c r="T370" s="2046"/>
      <c r="U370" s="2046"/>
      <c r="V370" s="2046"/>
      <c r="W370" s="2046"/>
      <c r="X370" s="2046"/>
      <c r="Y370" s="2046"/>
      <c r="Z370" s="2046"/>
      <c r="AA370" s="2046"/>
      <c r="AB370" s="2046"/>
      <c r="AC370" s="2046"/>
    </row>
    <row r="371" spans="1:29">
      <c r="A371" s="2046"/>
      <c r="B371" s="2046"/>
      <c r="C371" s="2046"/>
      <c r="D371" s="2046"/>
      <c r="E371" s="2046"/>
      <c r="F371" s="2046"/>
      <c r="G371" s="2046"/>
      <c r="H371" s="2046"/>
      <c r="I371" s="2046"/>
      <c r="J371" s="2046"/>
      <c r="K371" s="2047"/>
      <c r="L371" s="2048"/>
      <c r="M371" s="2046"/>
      <c r="N371" s="2046"/>
      <c r="O371" s="2046"/>
      <c r="P371" s="2086"/>
      <c r="Q371" s="2046"/>
      <c r="R371" s="2046"/>
      <c r="S371" s="2046"/>
      <c r="T371" s="2046"/>
      <c r="U371" s="2046"/>
      <c r="V371" s="2046"/>
      <c r="W371" s="2046"/>
      <c r="X371" s="2046"/>
      <c r="Y371" s="2046"/>
      <c r="Z371" s="2046"/>
      <c r="AA371" s="2046"/>
      <c r="AB371" s="2046"/>
      <c r="AC371" s="2046"/>
    </row>
    <row r="372" spans="1:29">
      <c r="A372" s="2046"/>
      <c r="B372" s="2046"/>
      <c r="C372" s="2046"/>
      <c r="D372" s="2046"/>
      <c r="E372" s="2046"/>
      <c r="F372" s="2046"/>
      <c r="G372" s="2046"/>
      <c r="H372" s="2046"/>
      <c r="I372" s="2046"/>
      <c r="J372" s="2046"/>
      <c r="K372" s="2047"/>
      <c r="L372" s="2048"/>
      <c r="M372" s="2046"/>
      <c r="N372" s="2046"/>
      <c r="O372" s="2046"/>
      <c r="P372" s="2086"/>
      <c r="Q372" s="2046"/>
      <c r="R372" s="2046"/>
      <c r="S372" s="2046"/>
      <c r="T372" s="2046"/>
      <c r="U372" s="2046"/>
      <c r="V372" s="2046"/>
      <c r="W372" s="2046"/>
      <c r="X372" s="2046"/>
      <c r="Y372" s="2046"/>
      <c r="Z372" s="2046"/>
      <c r="AA372" s="2046"/>
      <c r="AB372" s="2046"/>
      <c r="AC372" s="2046"/>
    </row>
    <row r="373" spans="1:29">
      <c r="A373" s="2046"/>
      <c r="B373" s="2046"/>
      <c r="C373" s="2046"/>
      <c r="D373" s="2046"/>
      <c r="E373" s="2046"/>
      <c r="F373" s="2046"/>
      <c r="G373" s="2046"/>
      <c r="H373" s="2046"/>
      <c r="I373" s="2046"/>
      <c r="J373" s="2046"/>
      <c r="K373" s="2047"/>
      <c r="L373" s="2048"/>
      <c r="M373" s="2046"/>
      <c r="N373" s="2046"/>
      <c r="O373" s="2046"/>
      <c r="P373" s="2086"/>
      <c r="Q373" s="2046"/>
      <c r="R373" s="2046"/>
      <c r="S373" s="2046"/>
      <c r="T373" s="2046"/>
      <c r="U373" s="2046"/>
      <c r="V373" s="2046"/>
      <c r="W373" s="2046"/>
      <c r="X373" s="2046"/>
      <c r="Y373" s="2046"/>
      <c r="Z373" s="2046"/>
      <c r="AA373" s="2046"/>
      <c r="AB373" s="2046"/>
      <c r="AC373" s="2046"/>
    </row>
    <row r="374" spans="1:29">
      <c r="A374" s="2046"/>
      <c r="B374" s="2046"/>
      <c r="C374" s="2046"/>
      <c r="D374" s="2046"/>
      <c r="E374" s="2046"/>
      <c r="F374" s="2046"/>
      <c r="G374" s="2046"/>
      <c r="H374" s="2046"/>
      <c r="I374" s="2046"/>
      <c r="J374" s="2046"/>
      <c r="K374" s="2047"/>
      <c r="L374" s="2048"/>
      <c r="M374" s="2046"/>
      <c r="N374" s="2046"/>
      <c r="O374" s="2046"/>
      <c r="P374" s="2086"/>
      <c r="Q374" s="2046"/>
      <c r="R374" s="2046"/>
      <c r="S374" s="2046"/>
      <c r="T374" s="2046"/>
      <c r="U374" s="2046"/>
      <c r="V374" s="2046"/>
      <c r="W374" s="2046"/>
      <c r="X374" s="2046"/>
      <c r="Y374" s="2046"/>
      <c r="Z374" s="2046"/>
      <c r="AA374" s="2046"/>
      <c r="AB374" s="2046"/>
      <c r="AC374" s="2046"/>
    </row>
    <row r="375" spans="1:29">
      <c r="A375" s="2046"/>
      <c r="B375" s="2046"/>
      <c r="C375" s="2046"/>
      <c r="D375" s="2046"/>
      <c r="E375" s="2046"/>
      <c r="F375" s="2046"/>
      <c r="G375" s="2046"/>
      <c r="H375" s="2046"/>
      <c r="I375" s="2046"/>
      <c r="J375" s="2046"/>
      <c r="K375" s="2047"/>
      <c r="L375" s="2048"/>
      <c r="M375" s="2046"/>
      <c r="N375" s="2046"/>
      <c r="O375" s="2046"/>
      <c r="P375" s="2086"/>
      <c r="Q375" s="2046"/>
      <c r="R375" s="2046"/>
      <c r="S375" s="2046"/>
      <c r="T375" s="2046"/>
      <c r="U375" s="2046"/>
      <c r="V375" s="2046"/>
      <c r="W375" s="2046"/>
      <c r="X375" s="2046"/>
      <c r="Y375" s="2046"/>
      <c r="Z375" s="2046"/>
      <c r="AA375" s="2046"/>
      <c r="AB375" s="2046"/>
      <c r="AC375" s="2046"/>
    </row>
    <row r="376" spans="1:29">
      <c r="A376" s="2046"/>
      <c r="B376" s="2046"/>
      <c r="C376" s="2046"/>
      <c r="D376" s="2046"/>
      <c r="E376" s="2046"/>
      <c r="F376" s="2046"/>
      <c r="G376" s="2046"/>
      <c r="H376" s="2046"/>
      <c r="I376" s="2046"/>
      <c r="J376" s="2046"/>
      <c r="K376" s="2047"/>
      <c r="L376" s="2048"/>
      <c r="M376" s="2046"/>
      <c r="N376" s="2046"/>
      <c r="O376" s="2046"/>
      <c r="P376" s="2086"/>
      <c r="Q376" s="2046"/>
      <c r="R376" s="2046"/>
      <c r="S376" s="2046"/>
      <c r="T376" s="2046"/>
      <c r="U376" s="2046"/>
      <c r="V376" s="2046"/>
      <c r="W376" s="2046"/>
      <c r="X376" s="2046"/>
      <c r="Y376" s="2046"/>
      <c r="Z376" s="2046"/>
      <c r="AA376" s="2046"/>
      <c r="AB376" s="2046"/>
      <c r="AC376" s="2046"/>
    </row>
    <row r="377" spans="1:29">
      <c r="A377" s="2046"/>
      <c r="B377" s="2046"/>
      <c r="C377" s="2046"/>
      <c r="D377" s="2046"/>
      <c r="E377" s="2046"/>
      <c r="F377" s="2046"/>
      <c r="G377" s="2046"/>
      <c r="H377" s="2046"/>
      <c r="I377" s="2046"/>
      <c r="J377" s="2046"/>
      <c r="K377" s="2047"/>
      <c r="L377" s="2048"/>
      <c r="M377" s="2046"/>
      <c r="N377" s="2046"/>
      <c r="O377" s="2046"/>
      <c r="P377" s="2086"/>
      <c r="Q377" s="2046"/>
      <c r="R377" s="2046"/>
      <c r="S377" s="2046"/>
      <c r="T377" s="2046"/>
      <c r="U377" s="2046"/>
      <c r="V377" s="2046"/>
      <c r="W377" s="2046"/>
      <c r="X377" s="2046"/>
      <c r="Y377" s="2046"/>
      <c r="Z377" s="2046"/>
      <c r="AA377" s="2046"/>
      <c r="AB377" s="2046"/>
      <c r="AC377" s="2046"/>
    </row>
    <row r="378" spans="1:29">
      <c r="A378" s="2046"/>
      <c r="B378" s="2046"/>
      <c r="C378" s="2046"/>
      <c r="D378" s="2046"/>
      <c r="E378" s="2046"/>
      <c r="F378" s="2046"/>
      <c r="G378" s="2046"/>
      <c r="H378" s="2046"/>
      <c r="I378" s="2046"/>
      <c r="J378" s="2046"/>
      <c r="K378" s="2047"/>
      <c r="L378" s="2048"/>
      <c r="M378" s="2046"/>
      <c r="N378" s="2046"/>
      <c r="O378" s="2046"/>
      <c r="P378" s="2086"/>
      <c r="Q378" s="2046"/>
      <c r="R378" s="2046"/>
      <c r="S378" s="2046"/>
      <c r="T378" s="2046"/>
      <c r="U378" s="2046"/>
      <c r="V378" s="2046"/>
      <c r="W378" s="2046"/>
      <c r="X378" s="2046"/>
      <c r="Y378" s="2046"/>
      <c r="Z378" s="2046"/>
      <c r="AA378" s="2046"/>
      <c r="AB378" s="2046"/>
      <c r="AC378" s="2046"/>
    </row>
    <row r="379" spans="1:29">
      <c r="A379" s="2046"/>
      <c r="B379" s="2046"/>
      <c r="C379" s="2046"/>
      <c r="D379" s="2046"/>
      <c r="E379" s="2046"/>
      <c r="F379" s="2046"/>
      <c r="G379" s="2046"/>
      <c r="H379" s="2046"/>
      <c r="I379" s="2046"/>
      <c r="J379" s="2046"/>
      <c r="K379" s="2047"/>
      <c r="L379" s="2048"/>
      <c r="M379" s="2046"/>
      <c r="N379" s="2046"/>
      <c r="O379" s="2046"/>
      <c r="P379" s="2086"/>
      <c r="Q379" s="2046"/>
      <c r="R379" s="2046"/>
      <c r="S379" s="2046"/>
      <c r="T379" s="2046"/>
      <c r="U379" s="2046"/>
      <c r="V379" s="2046"/>
      <c r="W379" s="2046"/>
      <c r="X379" s="2046"/>
      <c r="Y379" s="2046"/>
      <c r="Z379" s="2046"/>
      <c r="AA379" s="2046"/>
      <c r="AB379" s="2046"/>
      <c r="AC379" s="2046"/>
    </row>
    <row r="380" spans="1:29">
      <c r="A380" s="2046"/>
      <c r="B380" s="2046"/>
      <c r="C380" s="2046"/>
      <c r="D380" s="2046"/>
      <c r="E380" s="2046"/>
      <c r="F380" s="2046"/>
      <c r="G380" s="2046"/>
      <c r="H380" s="2046"/>
      <c r="I380" s="2046"/>
      <c r="J380" s="2046"/>
      <c r="K380" s="2047"/>
      <c r="L380" s="2048"/>
      <c r="M380" s="2046"/>
      <c r="N380" s="2046"/>
      <c r="O380" s="2046"/>
      <c r="P380" s="2086"/>
      <c r="Q380" s="2046"/>
      <c r="R380" s="2046"/>
      <c r="S380" s="2046"/>
      <c r="T380" s="2046"/>
      <c r="U380" s="2046"/>
      <c r="V380" s="2046"/>
      <c r="W380" s="2046"/>
      <c r="X380" s="2046"/>
      <c r="Y380" s="2046"/>
      <c r="Z380" s="2046"/>
      <c r="AA380" s="2046"/>
      <c r="AB380" s="2046"/>
      <c r="AC380" s="2046"/>
    </row>
    <row r="381" spans="1:29">
      <c r="A381" s="2046"/>
      <c r="B381" s="2046"/>
      <c r="C381" s="2046"/>
      <c r="D381" s="2046"/>
      <c r="E381" s="2046"/>
      <c r="F381" s="2046"/>
      <c r="G381" s="2046"/>
      <c r="H381" s="2046"/>
      <c r="I381" s="2046"/>
      <c r="J381" s="2046"/>
      <c r="K381" s="2047"/>
      <c r="L381" s="2048"/>
      <c r="M381" s="2046"/>
      <c r="N381" s="2046"/>
      <c r="O381" s="2046"/>
      <c r="P381" s="2086"/>
      <c r="Q381" s="2046"/>
      <c r="R381" s="2046"/>
      <c r="S381" s="2046"/>
      <c r="T381" s="2046"/>
      <c r="U381" s="2046"/>
      <c r="V381" s="2046"/>
      <c r="W381" s="2046"/>
      <c r="X381" s="2046"/>
      <c r="Y381" s="2046"/>
      <c r="Z381" s="2046"/>
      <c r="AA381" s="2046"/>
      <c r="AB381" s="2046"/>
      <c r="AC381" s="2046"/>
    </row>
    <row r="382" spans="1:29">
      <c r="A382" s="2046"/>
      <c r="B382" s="2046"/>
      <c r="C382" s="2046"/>
      <c r="D382" s="2046"/>
      <c r="E382" s="2046"/>
      <c r="F382" s="2046"/>
      <c r="G382" s="2046"/>
      <c r="H382" s="2046"/>
      <c r="I382" s="2046"/>
      <c r="J382" s="2046"/>
      <c r="K382" s="2047"/>
      <c r="L382" s="2048"/>
      <c r="M382" s="2046"/>
      <c r="N382" s="2046"/>
      <c r="O382" s="2046"/>
      <c r="P382" s="2086"/>
      <c r="Q382" s="2046"/>
      <c r="R382" s="2046"/>
      <c r="S382" s="2046"/>
      <c r="T382" s="2046"/>
      <c r="U382" s="2046"/>
      <c r="V382" s="2046"/>
      <c r="W382" s="2046"/>
      <c r="X382" s="2046"/>
      <c r="Y382" s="2046"/>
      <c r="Z382" s="2046"/>
      <c r="AA382" s="2046"/>
      <c r="AB382" s="2046"/>
      <c r="AC382" s="2046"/>
    </row>
    <row r="383" spans="1:29">
      <c r="A383" s="2046"/>
      <c r="B383" s="2046"/>
      <c r="C383" s="2046"/>
      <c r="D383" s="2046"/>
      <c r="E383" s="2046"/>
      <c r="F383" s="2046"/>
      <c r="G383" s="2046"/>
      <c r="H383" s="2046"/>
      <c r="I383" s="2046"/>
      <c r="J383" s="2046"/>
      <c r="K383" s="2047"/>
      <c r="L383" s="2048"/>
      <c r="M383" s="2046"/>
      <c r="N383" s="2046"/>
      <c r="O383" s="2046"/>
      <c r="P383" s="2086"/>
      <c r="Q383" s="2046"/>
      <c r="R383" s="2046"/>
      <c r="S383" s="2046"/>
      <c r="T383" s="2046"/>
      <c r="U383" s="2046"/>
      <c r="V383" s="2046"/>
      <c r="W383" s="2046"/>
      <c r="X383" s="2046"/>
      <c r="Y383" s="2046"/>
      <c r="Z383" s="2046"/>
      <c r="AA383" s="2046"/>
      <c r="AB383" s="2046"/>
      <c r="AC383" s="2046"/>
    </row>
    <row r="384" spans="1:29">
      <c r="A384" s="2046"/>
      <c r="B384" s="2046"/>
      <c r="C384" s="2046"/>
      <c r="D384" s="2046"/>
      <c r="E384" s="2046"/>
      <c r="F384" s="2046"/>
      <c r="G384" s="2046"/>
      <c r="H384" s="2046"/>
      <c r="I384" s="2046"/>
      <c r="J384" s="2046"/>
      <c r="K384" s="2047"/>
      <c r="L384" s="2048"/>
      <c r="M384" s="2046"/>
      <c r="N384" s="2046"/>
      <c r="O384" s="2046"/>
      <c r="P384" s="2086"/>
      <c r="Q384" s="2046"/>
      <c r="R384" s="2046"/>
      <c r="S384" s="2046"/>
      <c r="T384" s="2046"/>
      <c r="U384" s="2046"/>
      <c r="V384" s="2046"/>
      <c r="W384" s="2046"/>
      <c r="X384" s="2046"/>
      <c r="Y384" s="2046"/>
      <c r="Z384" s="2046"/>
      <c r="AA384" s="2046"/>
      <c r="AB384" s="2046"/>
      <c r="AC384" s="2046"/>
    </row>
    <row r="385" spans="1:29">
      <c r="A385" s="2046"/>
      <c r="B385" s="2046"/>
      <c r="C385" s="2046"/>
      <c r="D385" s="2046"/>
      <c r="E385" s="2046"/>
      <c r="F385" s="2046"/>
      <c r="G385" s="2046"/>
      <c r="H385" s="2046"/>
      <c r="I385" s="2046"/>
      <c r="J385" s="2046"/>
      <c r="K385" s="2047"/>
      <c r="L385" s="2048"/>
      <c r="M385" s="2046"/>
      <c r="N385" s="2046"/>
      <c r="O385" s="2046"/>
      <c r="P385" s="2086"/>
      <c r="Q385" s="2046"/>
      <c r="R385" s="2046"/>
      <c r="S385" s="2046"/>
      <c r="T385" s="2046"/>
      <c r="U385" s="2046"/>
      <c r="V385" s="2046"/>
      <c r="W385" s="2046"/>
      <c r="X385" s="2046"/>
      <c r="Y385" s="2046"/>
      <c r="Z385" s="2046"/>
      <c r="AA385" s="2046"/>
      <c r="AB385" s="2046"/>
      <c r="AC385" s="2046"/>
    </row>
    <row r="386" spans="1:29">
      <c r="A386" s="2046"/>
      <c r="B386" s="2046"/>
      <c r="C386" s="2046"/>
      <c r="D386" s="2046"/>
      <c r="E386" s="2046"/>
      <c r="F386" s="2046"/>
      <c r="G386" s="2046"/>
      <c r="H386" s="2046"/>
      <c r="I386" s="2046"/>
      <c r="J386" s="2046"/>
      <c r="K386" s="2047"/>
      <c r="L386" s="2048"/>
      <c r="M386" s="2046"/>
      <c r="N386" s="2046"/>
      <c r="O386" s="2046"/>
      <c r="P386" s="2086"/>
      <c r="Q386" s="2046"/>
      <c r="R386" s="2046"/>
      <c r="S386" s="2046"/>
      <c r="T386" s="2046"/>
      <c r="U386" s="2046"/>
      <c r="V386" s="2046"/>
      <c r="W386" s="2046"/>
      <c r="X386" s="2046"/>
      <c r="Y386" s="2046"/>
      <c r="Z386" s="2046"/>
      <c r="AA386" s="2046"/>
      <c r="AB386" s="2046"/>
      <c r="AC386" s="2046"/>
    </row>
    <row r="387" spans="1:29">
      <c r="A387" s="2046"/>
      <c r="B387" s="2046"/>
      <c r="C387" s="2046"/>
      <c r="D387" s="2046"/>
      <c r="E387" s="2046"/>
      <c r="F387" s="2046"/>
      <c r="G387" s="2046"/>
      <c r="H387" s="2046"/>
      <c r="I387" s="2046"/>
      <c r="J387" s="2046"/>
      <c r="K387" s="2047"/>
      <c r="L387" s="2048"/>
      <c r="M387" s="2046"/>
      <c r="N387" s="2046"/>
      <c r="O387" s="2046"/>
      <c r="P387" s="2086"/>
      <c r="Q387" s="2046"/>
      <c r="R387" s="2046"/>
      <c r="S387" s="2046"/>
      <c r="T387" s="2046"/>
      <c r="U387" s="2046"/>
      <c r="V387" s="2046"/>
      <c r="W387" s="2046"/>
      <c r="X387" s="2046"/>
      <c r="Y387" s="2046"/>
      <c r="Z387" s="2046"/>
      <c r="AA387" s="2046"/>
      <c r="AB387" s="2046"/>
      <c r="AC387" s="2046"/>
    </row>
    <row r="388" spans="1:29">
      <c r="A388" s="2046"/>
      <c r="B388" s="2046"/>
      <c r="C388" s="2046"/>
      <c r="D388" s="2046"/>
      <c r="E388" s="2046"/>
      <c r="F388" s="2046"/>
      <c r="G388" s="2046"/>
      <c r="H388" s="2046"/>
      <c r="I388" s="2046"/>
      <c r="J388" s="2046"/>
      <c r="K388" s="2047"/>
      <c r="L388" s="2048"/>
      <c r="M388" s="2046"/>
      <c r="N388" s="2046"/>
      <c r="O388" s="2046"/>
      <c r="P388" s="2086"/>
      <c r="Q388" s="2046"/>
      <c r="R388" s="2046"/>
      <c r="S388" s="2046"/>
      <c r="T388" s="2046"/>
      <c r="U388" s="2046"/>
      <c r="V388" s="2046"/>
      <c r="W388" s="2046"/>
      <c r="X388" s="2046"/>
      <c r="Y388" s="2046"/>
      <c r="Z388" s="2046"/>
      <c r="AA388" s="2046"/>
      <c r="AB388" s="2046"/>
      <c r="AC388" s="2046"/>
    </row>
    <row r="389" spans="1:29">
      <c r="A389" s="2046"/>
      <c r="B389" s="2046"/>
      <c r="C389" s="2046"/>
      <c r="D389" s="2046"/>
      <c r="E389" s="2046"/>
      <c r="F389" s="2046"/>
      <c r="G389" s="2046"/>
      <c r="H389" s="2046"/>
      <c r="I389" s="2046"/>
      <c r="J389" s="2046"/>
      <c r="K389" s="2047"/>
      <c r="L389" s="2048"/>
      <c r="M389" s="2046"/>
      <c r="N389" s="2046"/>
      <c r="O389" s="2046"/>
      <c r="P389" s="2086"/>
      <c r="Q389" s="2046"/>
      <c r="R389" s="2046"/>
      <c r="S389" s="2046"/>
      <c r="T389" s="2046"/>
      <c r="U389" s="2046"/>
      <c r="V389" s="2046"/>
      <c r="W389" s="2046"/>
      <c r="X389" s="2046"/>
      <c r="Y389" s="2046"/>
      <c r="Z389" s="2046"/>
      <c r="AA389" s="2046"/>
      <c r="AB389" s="2046"/>
      <c r="AC389" s="2046"/>
    </row>
    <row r="390" spans="1:29">
      <c r="A390" s="2046"/>
      <c r="B390" s="2046"/>
      <c r="C390" s="2046"/>
      <c r="D390" s="2046"/>
      <c r="E390" s="2046"/>
      <c r="F390" s="2046"/>
      <c r="G390" s="2046"/>
      <c r="H390" s="2046"/>
      <c r="I390" s="2046"/>
      <c r="J390" s="2046"/>
      <c r="K390" s="2047"/>
      <c r="L390" s="2048"/>
      <c r="M390" s="2046"/>
      <c r="N390" s="2046"/>
      <c r="O390" s="2046"/>
      <c r="P390" s="2086"/>
      <c r="Q390" s="2046"/>
      <c r="R390" s="2046"/>
      <c r="S390" s="2046"/>
      <c r="T390" s="2046"/>
      <c r="U390" s="2046"/>
      <c r="V390" s="2046"/>
      <c r="W390" s="2046"/>
      <c r="X390" s="2046"/>
      <c r="Y390" s="2046"/>
      <c r="Z390" s="2046"/>
      <c r="AA390" s="2046"/>
      <c r="AB390" s="2046"/>
      <c r="AC390" s="2046"/>
    </row>
    <row r="391" spans="1:29">
      <c r="A391" s="2046"/>
      <c r="B391" s="2046"/>
      <c r="C391" s="2046"/>
      <c r="D391" s="2046"/>
      <c r="E391" s="2046"/>
      <c r="F391" s="2046"/>
      <c r="G391" s="2046"/>
      <c r="H391" s="2046"/>
      <c r="I391" s="2046"/>
      <c r="J391" s="2046"/>
      <c r="K391" s="2047"/>
      <c r="L391" s="2048"/>
      <c r="M391" s="2046"/>
      <c r="N391" s="2046"/>
      <c r="O391" s="2046"/>
      <c r="P391" s="2086"/>
      <c r="Q391" s="2046"/>
      <c r="R391" s="2046"/>
      <c r="S391" s="2046"/>
      <c r="T391" s="2046"/>
      <c r="U391" s="2046"/>
      <c r="V391" s="2046"/>
      <c r="W391" s="2046"/>
      <c r="X391" s="2046"/>
      <c r="Y391" s="2046"/>
      <c r="Z391" s="2046"/>
      <c r="AA391" s="2046"/>
      <c r="AB391" s="2046"/>
      <c r="AC391" s="2046"/>
    </row>
    <row r="392" spans="1:29">
      <c r="A392" s="2046"/>
      <c r="B392" s="2046"/>
      <c r="C392" s="2046"/>
      <c r="D392" s="2046"/>
      <c r="E392" s="2046"/>
      <c r="F392" s="2046"/>
      <c r="G392" s="2046"/>
      <c r="H392" s="2046"/>
      <c r="I392" s="2046"/>
      <c r="J392" s="2046"/>
      <c r="K392" s="2047"/>
      <c r="L392" s="2048"/>
      <c r="M392" s="2046"/>
      <c r="N392" s="2046"/>
      <c r="O392" s="2046"/>
      <c r="P392" s="2086"/>
      <c r="Q392" s="2046"/>
      <c r="R392" s="2046"/>
      <c r="S392" s="2046"/>
      <c r="T392" s="2046"/>
      <c r="U392" s="2046"/>
      <c r="V392" s="2046"/>
      <c r="W392" s="2046"/>
      <c r="X392" s="2046"/>
      <c r="Y392" s="2046"/>
      <c r="Z392" s="2046"/>
      <c r="AA392" s="2046"/>
      <c r="AB392" s="2046"/>
      <c r="AC392" s="2046"/>
    </row>
    <row r="393" spans="1:29">
      <c r="A393" s="2046"/>
      <c r="B393" s="2046"/>
      <c r="C393" s="2046"/>
      <c r="D393" s="2046"/>
      <c r="E393" s="2046"/>
      <c r="F393" s="2046"/>
      <c r="G393" s="2046"/>
      <c r="H393" s="2046"/>
      <c r="I393" s="2046"/>
      <c r="J393" s="2046"/>
      <c r="K393" s="2047"/>
      <c r="L393" s="2048"/>
      <c r="M393" s="2046"/>
      <c r="N393" s="2046"/>
      <c r="O393" s="2046"/>
      <c r="P393" s="2086"/>
      <c r="Q393" s="2046"/>
      <c r="R393" s="2046"/>
      <c r="S393" s="2046"/>
      <c r="T393" s="2046"/>
      <c r="U393" s="2046"/>
      <c r="V393" s="2046"/>
      <c r="W393" s="2046"/>
      <c r="X393" s="2046"/>
      <c r="Y393" s="2046"/>
      <c r="Z393" s="2046"/>
      <c r="AA393" s="2046"/>
      <c r="AB393" s="2046"/>
      <c r="AC393" s="2046"/>
    </row>
    <row r="394" spans="1:29">
      <c r="A394" s="2046"/>
      <c r="B394" s="2046"/>
      <c r="C394" s="2046"/>
      <c r="D394" s="2046"/>
      <c r="E394" s="2046"/>
      <c r="F394" s="2046"/>
      <c r="G394" s="2046"/>
      <c r="H394" s="2046"/>
      <c r="I394" s="2046"/>
      <c r="J394" s="2046"/>
      <c r="K394" s="2047"/>
      <c r="L394" s="2048"/>
      <c r="M394" s="2046"/>
      <c r="N394" s="2046"/>
      <c r="O394" s="2046"/>
      <c r="P394" s="2086"/>
      <c r="Q394" s="2046"/>
      <c r="R394" s="2046"/>
      <c r="S394" s="2046"/>
      <c r="T394" s="2046"/>
      <c r="U394" s="2046"/>
      <c r="V394" s="2046"/>
      <c r="W394" s="2046"/>
      <c r="X394" s="2046"/>
      <c r="Y394" s="2046"/>
      <c r="Z394" s="2046"/>
      <c r="AA394" s="2046"/>
      <c r="AB394" s="2046"/>
      <c r="AC394" s="2046"/>
    </row>
    <row r="395" spans="1:29">
      <c r="A395" s="2046"/>
      <c r="B395" s="2046"/>
      <c r="C395" s="2046"/>
      <c r="D395" s="2046"/>
      <c r="E395" s="2046"/>
      <c r="F395" s="2046"/>
      <c r="G395" s="2046"/>
      <c r="H395" s="2046"/>
      <c r="I395" s="2046"/>
      <c r="J395" s="2046"/>
      <c r="K395" s="2047"/>
      <c r="L395" s="2048"/>
      <c r="M395" s="2046"/>
      <c r="N395" s="2046"/>
      <c r="O395" s="2046"/>
      <c r="P395" s="2086"/>
      <c r="Q395" s="2046"/>
      <c r="R395" s="2046"/>
      <c r="S395" s="2046"/>
      <c r="T395" s="2046"/>
      <c r="U395" s="2046"/>
      <c r="V395" s="2046"/>
      <c r="W395" s="2046"/>
      <c r="X395" s="2046"/>
      <c r="Y395" s="2046"/>
      <c r="Z395" s="2046"/>
      <c r="AA395" s="2046"/>
      <c r="AB395" s="2046"/>
      <c r="AC395" s="2046"/>
    </row>
    <row r="396" spans="1:29">
      <c r="A396" s="2046"/>
      <c r="B396" s="2046"/>
      <c r="C396" s="2046"/>
      <c r="D396" s="2046"/>
      <c r="E396" s="2046"/>
      <c r="F396" s="2046"/>
      <c r="G396" s="2046"/>
      <c r="H396" s="2046"/>
      <c r="I396" s="2046"/>
      <c r="J396" s="2046"/>
      <c r="K396" s="2047"/>
      <c r="L396" s="2048"/>
      <c r="M396" s="2046"/>
      <c r="N396" s="2046"/>
      <c r="O396" s="2046"/>
      <c r="P396" s="2086"/>
      <c r="Q396" s="2046"/>
      <c r="R396" s="2046"/>
      <c r="S396" s="2046"/>
      <c r="T396" s="2046"/>
      <c r="U396" s="2046"/>
      <c r="V396" s="2046"/>
      <c r="W396" s="2046"/>
      <c r="X396" s="2046"/>
      <c r="Y396" s="2046"/>
      <c r="Z396" s="2046"/>
      <c r="AA396" s="2046"/>
      <c r="AB396" s="2046"/>
      <c r="AC396" s="2046"/>
    </row>
    <row r="397" spans="1:29">
      <c r="A397" s="2046"/>
      <c r="B397" s="2046"/>
      <c r="C397" s="2046"/>
      <c r="D397" s="2046"/>
      <c r="E397" s="2046"/>
      <c r="F397" s="2046"/>
      <c r="G397" s="2046"/>
      <c r="H397" s="2046"/>
      <c r="I397" s="2046"/>
      <c r="J397" s="2046"/>
      <c r="K397" s="2047"/>
      <c r="L397" s="2048"/>
      <c r="M397" s="2046"/>
      <c r="N397" s="2046"/>
      <c r="O397" s="2046"/>
      <c r="P397" s="2086"/>
      <c r="Q397" s="2046"/>
      <c r="R397" s="2046"/>
      <c r="S397" s="2046"/>
      <c r="T397" s="2046"/>
      <c r="U397" s="2046"/>
      <c r="V397" s="2046"/>
      <c r="W397" s="2046"/>
      <c r="X397" s="2046"/>
      <c r="Y397" s="2046"/>
      <c r="Z397" s="2046"/>
      <c r="AA397" s="2046"/>
      <c r="AB397" s="2046"/>
      <c r="AC397" s="2046"/>
    </row>
    <row r="398" spans="1:29">
      <c r="A398" s="2046"/>
      <c r="B398" s="2046"/>
      <c r="C398" s="2046"/>
      <c r="D398" s="2046"/>
      <c r="E398" s="2046"/>
      <c r="F398" s="2046"/>
      <c r="G398" s="2046"/>
      <c r="H398" s="2046"/>
      <c r="I398" s="2046"/>
      <c r="J398" s="2046"/>
      <c r="K398" s="2047"/>
      <c r="L398" s="2048"/>
      <c r="M398" s="2046"/>
      <c r="N398" s="2046"/>
      <c r="O398" s="2046"/>
      <c r="P398" s="2086"/>
      <c r="Q398" s="2046"/>
      <c r="R398" s="2046"/>
      <c r="S398" s="2046"/>
      <c r="T398" s="2046"/>
      <c r="U398" s="2046"/>
      <c r="V398" s="2046"/>
      <c r="W398" s="2046"/>
      <c r="X398" s="2046"/>
      <c r="Y398" s="2046"/>
      <c r="Z398" s="2046"/>
      <c r="AA398" s="2046"/>
      <c r="AB398" s="2046"/>
      <c r="AC398" s="2046"/>
    </row>
    <row r="399" spans="1:29">
      <c r="A399" s="2046"/>
      <c r="B399" s="2046"/>
      <c r="C399" s="2046"/>
      <c r="D399" s="2046"/>
      <c r="E399" s="2046"/>
      <c r="F399" s="2046"/>
      <c r="G399" s="2046"/>
      <c r="H399" s="2046"/>
      <c r="I399" s="2046"/>
      <c r="J399" s="2046"/>
      <c r="K399" s="2047"/>
      <c r="L399" s="2048"/>
      <c r="M399" s="2046"/>
      <c r="N399" s="2046"/>
      <c r="O399" s="2046"/>
      <c r="P399" s="2086"/>
      <c r="Q399" s="2046"/>
      <c r="R399" s="2046"/>
      <c r="S399" s="2046"/>
      <c r="T399" s="2046"/>
      <c r="U399" s="2046"/>
      <c r="V399" s="2046"/>
      <c r="W399" s="2046"/>
      <c r="X399" s="2046"/>
      <c r="Y399" s="2046"/>
      <c r="Z399" s="2046"/>
      <c r="AA399" s="2046"/>
      <c r="AB399" s="2046"/>
      <c r="AC399" s="2046"/>
    </row>
    <row r="400" spans="1:29">
      <c r="A400" s="2046"/>
      <c r="B400" s="2046"/>
      <c r="C400" s="2046"/>
      <c r="D400" s="2046"/>
      <c r="E400" s="2046"/>
      <c r="F400" s="2046"/>
      <c r="G400" s="2046"/>
      <c r="H400" s="2046"/>
      <c r="I400" s="2046"/>
      <c r="J400" s="2046"/>
      <c r="K400" s="2047"/>
      <c r="L400" s="2048"/>
      <c r="M400" s="2046"/>
      <c r="N400" s="2046"/>
      <c r="O400" s="2046"/>
      <c r="P400" s="2086"/>
      <c r="Q400" s="2046"/>
      <c r="R400" s="2046"/>
      <c r="S400" s="2046"/>
      <c r="T400" s="2046"/>
      <c r="U400" s="2046"/>
      <c r="V400" s="2046"/>
      <c r="W400" s="2046"/>
      <c r="X400" s="2046"/>
      <c r="Y400" s="2046"/>
      <c r="Z400" s="2046"/>
      <c r="AA400" s="2046"/>
      <c r="AB400" s="2046"/>
      <c r="AC400" s="2046"/>
    </row>
    <row r="401" spans="1:29">
      <c r="A401" s="2046"/>
      <c r="B401" s="2046"/>
      <c r="C401" s="2046"/>
      <c r="D401" s="2046"/>
      <c r="E401" s="2046"/>
      <c r="F401" s="2046"/>
      <c r="G401" s="2046"/>
      <c r="H401" s="2046"/>
      <c r="I401" s="2046"/>
      <c r="J401" s="2046"/>
      <c r="K401" s="2047"/>
      <c r="L401" s="2048"/>
      <c r="M401" s="2046"/>
      <c r="N401" s="2046"/>
      <c r="O401" s="2046"/>
      <c r="P401" s="2086"/>
      <c r="Q401" s="2046"/>
      <c r="R401" s="2046"/>
      <c r="S401" s="2046"/>
      <c r="T401" s="2046"/>
      <c r="U401" s="2046"/>
      <c r="V401" s="2046"/>
      <c r="W401" s="2046"/>
      <c r="X401" s="2046"/>
      <c r="Y401" s="2046"/>
      <c r="Z401" s="2046"/>
      <c r="AA401" s="2046"/>
      <c r="AB401" s="2046"/>
      <c r="AC401" s="2046"/>
    </row>
    <row r="402" spans="1:29">
      <c r="A402" s="2046"/>
      <c r="B402" s="2046"/>
      <c r="C402" s="2046"/>
      <c r="D402" s="2046"/>
      <c r="E402" s="2046"/>
      <c r="F402" s="2046"/>
      <c r="G402" s="2046"/>
      <c r="H402" s="2046"/>
      <c r="I402" s="2046"/>
      <c r="J402" s="2046"/>
      <c r="K402" s="2047"/>
      <c r="L402" s="2048"/>
      <c r="M402" s="2046"/>
      <c r="N402" s="2046"/>
      <c r="O402" s="2046"/>
      <c r="P402" s="2086"/>
      <c r="Q402" s="2046"/>
      <c r="R402" s="2046"/>
      <c r="S402" s="2046"/>
      <c r="T402" s="2046"/>
      <c r="U402" s="2046"/>
      <c r="V402" s="2046"/>
      <c r="W402" s="2046"/>
      <c r="X402" s="2046"/>
      <c r="Y402" s="2046"/>
      <c r="Z402" s="2046"/>
      <c r="AA402" s="2046"/>
      <c r="AB402" s="2046"/>
      <c r="AC402" s="2046"/>
    </row>
    <row r="403" spans="1:29">
      <c r="A403" s="2046"/>
      <c r="B403" s="2046"/>
      <c r="C403" s="2046"/>
      <c r="D403" s="2046"/>
      <c r="E403" s="2046"/>
      <c r="F403" s="2046"/>
      <c r="G403" s="2046"/>
      <c r="H403" s="2046"/>
      <c r="I403" s="2046"/>
      <c r="J403" s="2046"/>
      <c r="K403" s="2047"/>
      <c r="L403" s="2048"/>
      <c r="M403" s="2046"/>
      <c r="N403" s="2046"/>
      <c r="O403" s="2046"/>
      <c r="P403" s="2086"/>
      <c r="Q403" s="2046"/>
      <c r="R403" s="2046"/>
      <c r="S403" s="2046"/>
      <c r="T403" s="2046"/>
      <c r="U403" s="2046"/>
      <c r="V403" s="2046"/>
      <c r="W403" s="2046"/>
      <c r="X403" s="2046"/>
      <c r="Y403" s="2046"/>
      <c r="Z403" s="2046"/>
      <c r="AA403" s="2046"/>
      <c r="AB403" s="2046"/>
      <c r="AC403" s="2046"/>
    </row>
    <row r="404" spans="1:29">
      <c r="A404" s="2046"/>
      <c r="B404" s="2046"/>
      <c r="C404" s="2046"/>
      <c r="D404" s="2046"/>
      <c r="E404" s="2046"/>
      <c r="F404" s="2046"/>
      <c r="G404" s="2046"/>
      <c r="H404" s="2046"/>
      <c r="I404" s="2046"/>
      <c r="J404" s="2046"/>
      <c r="K404" s="2047"/>
      <c r="L404" s="2048"/>
      <c r="M404" s="2046"/>
      <c r="N404" s="2046"/>
      <c r="O404" s="2046"/>
      <c r="P404" s="2086"/>
      <c r="Q404" s="2046"/>
      <c r="R404" s="2046"/>
      <c r="S404" s="2046"/>
      <c r="T404" s="2046"/>
      <c r="U404" s="2046"/>
      <c r="V404" s="2046"/>
      <c r="W404" s="2046"/>
      <c r="X404" s="2046"/>
      <c r="Y404" s="2046"/>
      <c r="Z404" s="2046"/>
      <c r="AA404" s="2046"/>
      <c r="AB404" s="2046"/>
      <c r="AC404" s="2046"/>
    </row>
    <row r="405" spans="1:29">
      <c r="A405" s="2046"/>
      <c r="B405" s="2046"/>
      <c r="C405" s="2046"/>
      <c r="D405" s="2046"/>
      <c r="E405" s="2046"/>
      <c r="F405" s="2046"/>
      <c r="G405" s="2046"/>
      <c r="H405" s="2046"/>
      <c r="I405" s="2046"/>
      <c r="J405" s="2046"/>
      <c r="K405" s="2047"/>
      <c r="L405" s="2048"/>
      <c r="M405" s="2046"/>
      <c r="N405" s="2046"/>
      <c r="O405" s="2046"/>
      <c r="P405" s="2086"/>
      <c r="Q405" s="2046"/>
      <c r="R405" s="2046"/>
      <c r="S405" s="2046"/>
      <c r="T405" s="2046"/>
      <c r="U405" s="2046"/>
      <c r="V405" s="2046"/>
      <c r="W405" s="2046"/>
      <c r="X405" s="2046"/>
      <c r="Y405" s="2046"/>
      <c r="Z405" s="2046"/>
      <c r="AA405" s="2046"/>
      <c r="AB405" s="2046"/>
      <c r="AC405" s="2046"/>
    </row>
    <row r="406" spans="1:29">
      <c r="A406" s="2046"/>
      <c r="B406" s="2046"/>
      <c r="C406" s="2046"/>
      <c r="D406" s="2046"/>
      <c r="E406" s="2046"/>
      <c r="F406" s="2046"/>
      <c r="G406" s="2046"/>
      <c r="H406" s="2046"/>
      <c r="I406" s="2046"/>
      <c r="J406" s="2046"/>
      <c r="K406" s="2047"/>
      <c r="L406" s="2048"/>
      <c r="M406" s="2046"/>
      <c r="N406" s="2046"/>
      <c r="O406" s="2046"/>
      <c r="P406" s="2086"/>
      <c r="Q406" s="2046"/>
      <c r="R406" s="2046"/>
      <c r="S406" s="2046"/>
      <c r="T406" s="2046"/>
      <c r="U406" s="2046"/>
      <c r="V406" s="2046"/>
      <c r="W406" s="2046"/>
      <c r="X406" s="2046"/>
      <c r="Y406" s="2046"/>
      <c r="Z406" s="2046"/>
      <c r="AA406" s="2046"/>
      <c r="AB406" s="2046"/>
      <c r="AC406" s="2046"/>
    </row>
    <row r="407" spans="1:29">
      <c r="A407" s="2046"/>
      <c r="B407" s="2046"/>
      <c r="C407" s="2046"/>
      <c r="D407" s="2046"/>
      <c r="E407" s="2046"/>
      <c r="F407" s="2046"/>
      <c r="G407" s="2046"/>
      <c r="H407" s="2046"/>
      <c r="I407" s="2046"/>
      <c r="J407" s="2046"/>
      <c r="K407" s="2047"/>
      <c r="L407" s="2048"/>
      <c r="M407" s="2046"/>
      <c r="N407" s="2046"/>
      <c r="O407" s="2046"/>
      <c r="P407" s="2086"/>
      <c r="Q407" s="2046"/>
      <c r="R407" s="2046"/>
      <c r="S407" s="2046"/>
      <c r="T407" s="2046"/>
      <c r="U407" s="2046"/>
      <c r="V407" s="2046"/>
      <c r="W407" s="2046"/>
      <c r="X407" s="2046"/>
      <c r="Y407" s="2046"/>
      <c r="Z407" s="2046"/>
      <c r="AA407" s="2046"/>
      <c r="AB407" s="2046"/>
      <c r="AC407" s="2046"/>
    </row>
    <row r="408" spans="1:29">
      <c r="A408" s="2046"/>
      <c r="B408" s="2046"/>
      <c r="C408" s="2046"/>
      <c r="D408" s="2046"/>
      <c r="E408" s="2046"/>
      <c r="F408" s="2046"/>
      <c r="G408" s="2046"/>
      <c r="H408" s="2046"/>
      <c r="I408" s="2046"/>
      <c r="J408" s="2046"/>
      <c r="K408" s="2047"/>
      <c r="L408" s="2048"/>
      <c r="M408" s="2046"/>
      <c r="N408" s="2046"/>
      <c r="O408" s="2046"/>
      <c r="P408" s="2086"/>
      <c r="Q408" s="2046"/>
      <c r="R408" s="2046"/>
      <c r="S408" s="2046"/>
      <c r="T408" s="2046"/>
      <c r="U408" s="2046"/>
      <c r="V408" s="2046"/>
      <c r="W408" s="2046"/>
      <c r="X408" s="2046"/>
      <c r="Y408" s="2046"/>
      <c r="Z408" s="2046"/>
      <c r="AA408" s="2046"/>
      <c r="AB408" s="2046"/>
      <c r="AC408" s="2046"/>
    </row>
    <row r="409" spans="1:29">
      <c r="A409" s="2046"/>
      <c r="B409" s="2046"/>
      <c r="C409" s="2046"/>
      <c r="D409" s="2046"/>
      <c r="E409" s="2046"/>
      <c r="F409" s="2046"/>
      <c r="G409" s="2046"/>
      <c r="H409" s="2046"/>
      <c r="I409" s="2046"/>
      <c r="J409" s="2046"/>
      <c r="K409" s="2047"/>
      <c r="L409" s="2048"/>
      <c r="M409" s="2046"/>
      <c r="N409" s="2046"/>
      <c r="O409" s="2046"/>
      <c r="P409" s="2086"/>
      <c r="Q409" s="2046"/>
      <c r="R409" s="2046"/>
      <c r="S409" s="2046"/>
      <c r="T409" s="2046"/>
      <c r="U409" s="2046"/>
      <c r="V409" s="2046"/>
      <c r="W409" s="2046"/>
      <c r="X409" s="2046"/>
      <c r="Y409" s="2046"/>
      <c r="Z409" s="2046"/>
      <c r="AA409" s="2046"/>
      <c r="AB409" s="2046"/>
      <c r="AC409" s="2046"/>
    </row>
    <row r="410" spans="1:29">
      <c r="A410" s="2046"/>
      <c r="B410" s="2046"/>
      <c r="C410" s="2046"/>
      <c r="D410" s="2046"/>
      <c r="E410" s="2046"/>
      <c r="F410" s="2046"/>
      <c r="G410" s="2046"/>
      <c r="H410" s="2046"/>
      <c r="I410" s="2046"/>
      <c r="J410" s="2046"/>
      <c r="K410" s="2047"/>
      <c r="L410" s="2048"/>
      <c r="M410" s="2046"/>
      <c r="N410" s="2046"/>
      <c r="O410" s="2046"/>
      <c r="P410" s="2086"/>
      <c r="Q410" s="2046"/>
      <c r="R410" s="2046"/>
      <c r="S410" s="2046"/>
      <c r="T410" s="2046"/>
      <c r="U410" s="2046"/>
      <c r="V410" s="2046"/>
      <c r="W410" s="2046"/>
      <c r="X410" s="2046"/>
      <c r="Y410" s="2046"/>
      <c r="Z410" s="2046"/>
      <c r="AA410" s="2046"/>
      <c r="AB410" s="2046"/>
      <c r="AC410" s="2046"/>
    </row>
    <row r="411" spans="1:29">
      <c r="A411" s="2046"/>
      <c r="B411" s="2046"/>
      <c r="C411" s="2046"/>
      <c r="D411" s="2046"/>
      <c r="E411" s="2046"/>
      <c r="F411" s="2046"/>
      <c r="G411" s="2046"/>
      <c r="H411" s="2046"/>
      <c r="I411" s="2046"/>
      <c r="J411" s="2046"/>
      <c r="K411" s="2047"/>
      <c r="L411" s="2048"/>
      <c r="M411" s="2046"/>
      <c r="N411" s="2046"/>
      <c r="O411" s="2046"/>
      <c r="P411" s="2086"/>
      <c r="Q411" s="2046"/>
      <c r="R411" s="2046"/>
      <c r="S411" s="2046"/>
      <c r="T411" s="2046"/>
      <c r="U411" s="2046"/>
      <c r="V411" s="2046"/>
      <c r="W411" s="2046"/>
      <c r="X411" s="2046"/>
      <c r="Y411" s="2046"/>
      <c r="Z411" s="2046"/>
      <c r="AA411" s="2046"/>
      <c r="AB411" s="2046"/>
      <c r="AC411" s="2046"/>
    </row>
    <row r="412" spans="1:29">
      <c r="A412" s="2046"/>
      <c r="B412" s="2046"/>
      <c r="C412" s="2046"/>
      <c r="D412" s="2046"/>
      <c r="E412" s="2046"/>
      <c r="F412" s="2046"/>
      <c r="G412" s="2046"/>
      <c r="H412" s="2046"/>
      <c r="I412" s="2046"/>
      <c r="J412" s="2046"/>
      <c r="K412" s="2047"/>
      <c r="L412" s="2048"/>
      <c r="M412" s="2046"/>
      <c r="N412" s="2046"/>
      <c r="O412" s="2046"/>
      <c r="P412" s="2086"/>
      <c r="Q412" s="2046"/>
      <c r="R412" s="2046"/>
      <c r="S412" s="2046"/>
      <c r="T412" s="2046"/>
      <c r="U412" s="2046"/>
      <c r="V412" s="2046"/>
      <c r="W412" s="2046"/>
      <c r="X412" s="2046"/>
      <c r="Y412" s="2046"/>
      <c r="Z412" s="2046"/>
      <c r="AA412" s="2046"/>
      <c r="AB412" s="2046"/>
      <c r="AC412" s="2046"/>
    </row>
    <row r="413" spans="1:29">
      <c r="A413" s="2046"/>
      <c r="B413" s="2046"/>
      <c r="C413" s="2046"/>
      <c r="D413" s="2046"/>
      <c r="E413" s="2046"/>
      <c r="F413" s="2046"/>
      <c r="G413" s="2046"/>
      <c r="H413" s="2046"/>
      <c r="I413" s="2046"/>
      <c r="J413" s="2046"/>
      <c r="K413" s="2047"/>
      <c r="L413" s="2048"/>
      <c r="M413" s="2046"/>
      <c r="N413" s="2046"/>
      <c r="O413" s="2046"/>
      <c r="P413" s="2086"/>
      <c r="Q413" s="2046"/>
      <c r="R413" s="2046"/>
      <c r="S413" s="2046"/>
      <c r="T413" s="2046"/>
      <c r="U413" s="2046"/>
      <c r="V413" s="2046"/>
      <c r="W413" s="2046"/>
      <c r="X413" s="2046"/>
      <c r="Y413" s="2046"/>
      <c r="Z413" s="2046"/>
      <c r="AA413" s="2046"/>
      <c r="AB413" s="2046"/>
      <c r="AC413" s="2046"/>
    </row>
    <row r="414" spans="1:29">
      <c r="A414" s="2046"/>
      <c r="B414" s="2046"/>
      <c r="C414" s="2046"/>
      <c r="D414" s="2046"/>
      <c r="E414" s="2046"/>
      <c r="F414" s="2046"/>
      <c r="G414" s="2046"/>
      <c r="H414" s="2046"/>
      <c r="I414" s="2046"/>
      <c r="J414" s="2046"/>
      <c r="K414" s="2047"/>
      <c r="L414" s="2048"/>
      <c r="M414" s="2046"/>
      <c r="N414" s="2046"/>
      <c r="O414" s="2046"/>
      <c r="P414" s="2086"/>
      <c r="Q414" s="2046"/>
      <c r="R414" s="2046"/>
      <c r="S414" s="2046"/>
      <c r="T414" s="2046"/>
      <c r="U414" s="2046"/>
      <c r="V414" s="2046"/>
      <c r="W414" s="2046"/>
      <c r="X414" s="2046"/>
      <c r="Y414" s="2046"/>
      <c r="Z414" s="2046"/>
      <c r="AA414" s="2046"/>
      <c r="AB414" s="2046"/>
      <c r="AC414" s="2046"/>
    </row>
    <row r="415" spans="1:29">
      <c r="A415" s="2046"/>
      <c r="B415" s="2046"/>
      <c r="C415" s="2046"/>
      <c r="D415" s="2046"/>
      <c r="E415" s="2046"/>
      <c r="F415" s="2046"/>
      <c r="G415" s="2046"/>
      <c r="H415" s="2046"/>
      <c r="I415" s="2046"/>
      <c r="J415" s="2046"/>
      <c r="K415" s="2047"/>
      <c r="L415" s="2048"/>
      <c r="M415" s="2046"/>
      <c r="N415" s="2046"/>
      <c r="O415" s="2046"/>
      <c r="P415" s="2086"/>
      <c r="Q415" s="2046"/>
      <c r="R415" s="2046"/>
      <c r="S415" s="2046"/>
      <c r="T415" s="2046"/>
      <c r="U415" s="2046"/>
      <c r="V415" s="2046"/>
      <c r="W415" s="2046"/>
      <c r="X415" s="2046"/>
      <c r="Y415" s="2046"/>
      <c r="Z415" s="2046"/>
      <c r="AA415" s="2046"/>
      <c r="AB415" s="2046"/>
      <c r="AC415" s="2046"/>
    </row>
    <row r="416" spans="1:29">
      <c r="A416" s="2046"/>
      <c r="B416" s="2046"/>
      <c r="C416" s="2046"/>
      <c r="D416" s="2046"/>
      <c r="E416" s="2046"/>
      <c r="F416" s="2046"/>
      <c r="G416" s="2046"/>
      <c r="H416" s="2046"/>
      <c r="I416" s="2046"/>
      <c r="J416" s="2046"/>
      <c r="K416" s="2047"/>
      <c r="L416" s="2048"/>
      <c r="M416" s="2046"/>
      <c r="N416" s="2046"/>
      <c r="O416" s="2046"/>
      <c r="P416" s="2086"/>
      <c r="Q416" s="2046"/>
      <c r="R416" s="2046"/>
      <c r="S416" s="2046"/>
      <c r="T416" s="2046"/>
      <c r="U416" s="2046"/>
      <c r="V416" s="2046"/>
      <c r="W416" s="2046"/>
      <c r="X416" s="2046"/>
      <c r="Y416" s="2046"/>
      <c r="Z416" s="2046"/>
      <c r="AA416" s="2046"/>
      <c r="AB416" s="2046"/>
      <c r="AC416" s="2046"/>
    </row>
    <row r="417" spans="1:29">
      <c r="A417" s="2046"/>
      <c r="B417" s="2046"/>
      <c r="C417" s="2046"/>
      <c r="D417" s="2046"/>
      <c r="E417" s="2046"/>
      <c r="F417" s="2046"/>
      <c r="G417" s="2046"/>
      <c r="H417" s="2046"/>
      <c r="I417" s="2046"/>
      <c r="J417" s="2046"/>
      <c r="K417" s="2047"/>
      <c r="L417" s="2048"/>
      <c r="M417" s="2046"/>
      <c r="N417" s="2046"/>
      <c r="O417" s="2046"/>
      <c r="P417" s="2086"/>
      <c r="Q417" s="2046"/>
      <c r="R417" s="2046"/>
      <c r="S417" s="2046"/>
      <c r="T417" s="2046"/>
      <c r="U417" s="2046"/>
      <c r="V417" s="2046"/>
      <c r="W417" s="2046"/>
      <c r="X417" s="2046"/>
      <c r="Y417" s="2046"/>
      <c r="Z417" s="2046"/>
      <c r="AA417" s="2046"/>
      <c r="AB417" s="2046"/>
      <c r="AC417" s="2046"/>
    </row>
    <row r="418" spans="1:29">
      <c r="A418" s="2046"/>
      <c r="B418" s="2046"/>
      <c r="C418" s="2046"/>
      <c r="D418" s="2046"/>
      <c r="E418" s="2046"/>
      <c r="F418" s="2046"/>
      <c r="G418" s="2046"/>
      <c r="H418" s="2046"/>
      <c r="I418" s="2046"/>
      <c r="J418" s="2046"/>
      <c r="K418" s="2047"/>
      <c r="L418" s="2048"/>
      <c r="M418" s="2046"/>
      <c r="N418" s="2046"/>
      <c r="O418" s="2046"/>
      <c r="P418" s="2086"/>
      <c r="Q418" s="2046"/>
      <c r="R418" s="2046"/>
      <c r="S418" s="2046"/>
      <c r="T418" s="2046"/>
      <c r="U418" s="2046"/>
      <c r="V418" s="2046"/>
      <c r="W418" s="2046"/>
      <c r="X418" s="2046"/>
      <c r="Y418" s="2046"/>
      <c r="Z418" s="2046"/>
      <c r="AA418" s="2046"/>
      <c r="AB418" s="2046"/>
      <c r="AC418" s="2046"/>
    </row>
    <row r="419" spans="1:29">
      <c r="A419" s="2046"/>
      <c r="B419" s="2046"/>
      <c r="C419" s="2046"/>
      <c r="D419" s="2046"/>
      <c r="E419" s="2046"/>
      <c r="F419" s="2046"/>
      <c r="G419" s="2046"/>
      <c r="H419" s="2046"/>
      <c r="I419" s="2046"/>
      <c r="J419" s="2046"/>
      <c r="K419" s="2047"/>
      <c r="L419" s="2048"/>
      <c r="M419" s="2046"/>
      <c r="N419" s="2046"/>
      <c r="O419" s="2046"/>
      <c r="P419" s="2086"/>
      <c r="Q419" s="2046"/>
      <c r="R419" s="2046"/>
      <c r="S419" s="2046"/>
      <c r="T419" s="2046"/>
      <c r="U419" s="2046"/>
      <c r="V419" s="2046"/>
      <c r="W419" s="2046"/>
      <c r="X419" s="2046"/>
      <c r="Y419" s="2046"/>
      <c r="Z419" s="2046"/>
      <c r="AA419" s="2046"/>
      <c r="AB419" s="2046"/>
      <c r="AC419" s="2046"/>
    </row>
    <row r="420" spans="1:29">
      <c r="A420" s="2046"/>
      <c r="B420" s="2046"/>
      <c r="C420" s="2046"/>
      <c r="D420" s="2046"/>
      <c r="E420" s="2046"/>
      <c r="F420" s="2046"/>
      <c r="G420" s="2046"/>
      <c r="H420" s="2046"/>
      <c r="I420" s="2046"/>
      <c r="J420" s="2046"/>
      <c r="K420" s="2047"/>
      <c r="L420" s="2048"/>
      <c r="M420" s="2046"/>
      <c r="N420" s="2046"/>
      <c r="O420" s="2046"/>
      <c r="P420" s="2086"/>
      <c r="Q420" s="2046"/>
      <c r="R420" s="2046"/>
      <c r="S420" s="2046"/>
      <c r="T420" s="2046"/>
      <c r="U420" s="2046"/>
      <c r="V420" s="2046"/>
      <c r="W420" s="2046"/>
      <c r="X420" s="2046"/>
      <c r="Y420" s="2046"/>
      <c r="Z420" s="2046"/>
      <c r="AA420" s="2046"/>
      <c r="AB420" s="2046"/>
      <c r="AC420" s="2046"/>
    </row>
    <row r="421" spans="1:29">
      <c r="A421" s="2046"/>
      <c r="B421" s="2046"/>
      <c r="C421" s="2046"/>
      <c r="D421" s="2046"/>
      <c r="E421" s="2046"/>
      <c r="F421" s="2046"/>
      <c r="G421" s="2046"/>
      <c r="H421" s="2046"/>
      <c r="I421" s="2046"/>
      <c r="J421" s="2046"/>
      <c r="K421" s="2047"/>
      <c r="L421" s="2048"/>
      <c r="M421" s="2046"/>
      <c r="N421" s="2046"/>
      <c r="O421" s="2046"/>
      <c r="P421" s="2086"/>
      <c r="Q421" s="2046"/>
      <c r="R421" s="2046"/>
      <c r="S421" s="2046"/>
      <c r="T421" s="2046"/>
      <c r="U421" s="2046"/>
      <c r="V421" s="2046"/>
      <c r="W421" s="2046"/>
      <c r="X421" s="2046"/>
      <c r="Y421" s="2046"/>
      <c r="Z421" s="2046"/>
      <c r="AA421" s="2046"/>
      <c r="AB421" s="2046"/>
      <c r="AC421" s="2046"/>
    </row>
    <row r="422" spans="1:29">
      <c r="A422" s="2046"/>
      <c r="B422" s="2046"/>
      <c r="C422" s="2046"/>
      <c r="D422" s="2046"/>
      <c r="E422" s="2046"/>
      <c r="F422" s="2046"/>
      <c r="G422" s="2046"/>
      <c r="H422" s="2046"/>
      <c r="I422" s="2046"/>
      <c r="J422" s="2046"/>
      <c r="K422" s="2047"/>
      <c r="L422" s="2048"/>
      <c r="M422" s="2046"/>
      <c r="N422" s="2046"/>
      <c r="O422" s="2046"/>
      <c r="P422" s="2086"/>
      <c r="Q422" s="2046"/>
      <c r="R422" s="2046"/>
      <c r="S422" s="2046"/>
      <c r="T422" s="2046"/>
      <c r="U422" s="2046"/>
      <c r="V422" s="2046"/>
      <c r="W422" s="2046"/>
      <c r="X422" s="2046"/>
      <c r="Y422" s="2046"/>
      <c r="Z422" s="2046"/>
      <c r="AA422" s="2046"/>
      <c r="AB422" s="2046"/>
      <c r="AC422" s="2046"/>
    </row>
    <row r="423" spans="1:29">
      <c r="A423" s="2046"/>
      <c r="B423" s="2046"/>
      <c r="C423" s="2046"/>
      <c r="D423" s="2046"/>
      <c r="E423" s="2046"/>
      <c r="F423" s="2046"/>
      <c r="G423" s="2046"/>
      <c r="H423" s="2046"/>
      <c r="I423" s="2046"/>
      <c r="J423" s="2046"/>
      <c r="K423" s="2047"/>
      <c r="L423" s="2048"/>
      <c r="M423" s="2046"/>
      <c r="N423" s="2046"/>
      <c r="O423" s="2046"/>
      <c r="P423" s="2086"/>
      <c r="Q423" s="2046"/>
      <c r="R423" s="2046"/>
      <c r="S423" s="2046"/>
      <c r="T423" s="2046"/>
      <c r="U423" s="2046"/>
      <c r="V423" s="2046"/>
      <c r="W423" s="2046"/>
      <c r="X423" s="2046"/>
      <c r="Y423" s="2046"/>
      <c r="Z423" s="2046"/>
      <c r="AA423" s="2046"/>
      <c r="AB423" s="2046"/>
      <c r="AC423" s="2046"/>
    </row>
    <row r="424" spans="1:29">
      <c r="A424" s="2046"/>
      <c r="B424" s="2046"/>
      <c r="C424" s="2046"/>
      <c r="D424" s="2046"/>
      <c r="E424" s="2046"/>
      <c r="F424" s="2046"/>
      <c r="G424" s="2046"/>
      <c r="H424" s="2046"/>
      <c r="I424" s="2046"/>
      <c r="J424" s="2046"/>
      <c r="K424" s="2047"/>
      <c r="L424" s="2048"/>
      <c r="M424" s="2046"/>
      <c r="N424" s="2046"/>
      <c r="O424" s="2046"/>
      <c r="P424" s="2086"/>
      <c r="Q424" s="2046"/>
      <c r="R424" s="2046"/>
      <c r="S424" s="2046"/>
      <c r="T424" s="2046"/>
      <c r="U424" s="2046"/>
      <c r="V424" s="2046"/>
      <c r="W424" s="2046"/>
      <c r="X424" s="2046"/>
      <c r="Y424" s="2046"/>
      <c r="Z424" s="2046"/>
      <c r="AA424" s="2046"/>
      <c r="AB424" s="2046"/>
      <c r="AC424" s="2046"/>
    </row>
    <row r="425" spans="1:29">
      <c r="A425" s="2046"/>
      <c r="B425" s="2046"/>
      <c r="C425" s="2046"/>
      <c r="D425" s="2046"/>
      <c r="E425" s="2046"/>
      <c r="F425" s="2046"/>
      <c r="G425" s="2046"/>
      <c r="H425" s="2046"/>
      <c r="I425" s="2046"/>
      <c r="J425" s="2046"/>
      <c r="K425" s="2047"/>
      <c r="L425" s="2048"/>
      <c r="M425" s="2046"/>
      <c r="N425" s="2046"/>
      <c r="O425" s="2046"/>
      <c r="P425" s="2086"/>
      <c r="Q425" s="2046"/>
      <c r="R425" s="2046"/>
      <c r="S425" s="2046"/>
      <c r="T425" s="2046"/>
      <c r="U425" s="2046"/>
      <c r="V425" s="2046"/>
      <c r="W425" s="2046"/>
      <c r="X425" s="2046"/>
      <c r="Y425" s="2046"/>
      <c r="Z425" s="2046"/>
      <c r="AA425" s="2046"/>
      <c r="AB425" s="2046"/>
      <c r="AC425" s="2046"/>
    </row>
    <row r="426" spans="1:29">
      <c r="A426" s="2046"/>
      <c r="B426" s="2046"/>
      <c r="C426" s="2046"/>
      <c r="D426" s="2046"/>
      <c r="E426" s="2046"/>
      <c r="F426" s="2046"/>
      <c r="G426" s="2046"/>
      <c r="H426" s="2046"/>
      <c r="I426" s="2046"/>
      <c r="J426" s="2046"/>
      <c r="K426" s="2047"/>
      <c r="L426" s="2048"/>
      <c r="M426" s="2046"/>
      <c r="N426" s="2046"/>
      <c r="O426" s="2046"/>
      <c r="P426" s="2086"/>
      <c r="Q426" s="2046"/>
      <c r="R426" s="2046"/>
      <c r="S426" s="2046"/>
      <c r="T426" s="2046"/>
      <c r="U426" s="2046"/>
      <c r="V426" s="2046"/>
      <c r="W426" s="2046"/>
      <c r="X426" s="2046"/>
      <c r="Y426" s="2046"/>
      <c r="Z426" s="2046"/>
      <c r="AA426" s="2046"/>
      <c r="AB426" s="2046"/>
      <c r="AC426" s="2046"/>
    </row>
    <row r="427" spans="1:29">
      <c r="A427" s="2046"/>
      <c r="B427" s="2046"/>
      <c r="C427" s="2046"/>
      <c r="D427" s="2046"/>
      <c r="E427" s="2046"/>
      <c r="F427" s="2046"/>
      <c r="G427" s="2046"/>
      <c r="H427" s="2046"/>
      <c r="I427" s="2046"/>
      <c r="J427" s="2046"/>
      <c r="K427" s="2047"/>
      <c r="L427" s="2048"/>
      <c r="M427" s="2046"/>
      <c r="N427" s="2046"/>
      <c r="O427" s="2046"/>
      <c r="P427" s="2086"/>
      <c r="Q427" s="2046"/>
      <c r="R427" s="2046"/>
      <c r="S427" s="2046"/>
      <c r="T427" s="2046"/>
      <c r="U427" s="2046"/>
      <c r="V427" s="2046"/>
      <c r="W427" s="2046"/>
      <c r="X427" s="2046"/>
      <c r="Y427" s="2046"/>
      <c r="Z427" s="2046"/>
      <c r="AA427" s="2046"/>
      <c r="AB427" s="2046"/>
      <c r="AC427" s="2046"/>
    </row>
    <row r="428" spans="1:29">
      <c r="A428" s="2046"/>
      <c r="B428" s="2046"/>
      <c r="C428" s="2046"/>
      <c r="D428" s="2046"/>
      <c r="E428" s="2046"/>
      <c r="F428" s="2046"/>
      <c r="G428" s="2046"/>
      <c r="H428" s="2046"/>
      <c r="I428" s="2046"/>
      <c r="J428" s="2046"/>
      <c r="K428" s="2047"/>
      <c r="L428" s="2048"/>
      <c r="M428" s="2046"/>
      <c r="N428" s="2046"/>
      <c r="O428" s="2046"/>
      <c r="P428" s="2086"/>
      <c r="Q428" s="2046"/>
      <c r="R428" s="2046"/>
      <c r="S428" s="2046"/>
      <c r="T428" s="2046"/>
      <c r="U428" s="2046"/>
      <c r="V428" s="2046"/>
      <c r="W428" s="2046"/>
      <c r="X428" s="2046"/>
      <c r="Y428" s="2046"/>
      <c r="Z428" s="2046"/>
      <c r="AA428" s="2046"/>
      <c r="AB428" s="2046"/>
      <c r="AC428" s="2046"/>
    </row>
    <row r="429" spans="1:29">
      <c r="A429" s="2046"/>
      <c r="B429" s="2046"/>
      <c r="C429" s="2046"/>
      <c r="D429" s="2046"/>
      <c r="E429" s="2046"/>
      <c r="F429" s="2046"/>
      <c r="G429" s="2046"/>
      <c r="H429" s="2046"/>
      <c r="I429" s="2046"/>
      <c r="J429" s="2046"/>
      <c r="K429" s="2047"/>
      <c r="L429" s="2048"/>
      <c r="M429" s="2046"/>
      <c r="N429" s="2046"/>
      <c r="O429" s="2046"/>
      <c r="P429" s="2086"/>
      <c r="Q429" s="2046"/>
      <c r="R429" s="2046"/>
      <c r="S429" s="2046"/>
      <c r="T429" s="2046"/>
      <c r="U429" s="2046"/>
      <c r="V429" s="2046"/>
      <c r="W429" s="2046"/>
      <c r="X429" s="2046"/>
      <c r="Y429" s="2046"/>
      <c r="Z429" s="2046"/>
      <c r="AA429" s="2046"/>
      <c r="AB429" s="2046"/>
      <c r="AC429" s="2046"/>
    </row>
    <row r="430" spans="1:29">
      <c r="A430" s="2046"/>
      <c r="B430" s="2046"/>
      <c r="C430" s="2046"/>
      <c r="D430" s="2046"/>
      <c r="E430" s="2046"/>
      <c r="F430" s="2046"/>
      <c r="G430" s="2046"/>
      <c r="H430" s="2046"/>
      <c r="I430" s="2046"/>
      <c r="J430" s="2046"/>
      <c r="K430" s="2047"/>
      <c r="L430" s="2048"/>
      <c r="M430" s="2046"/>
      <c r="N430" s="2046"/>
      <c r="O430" s="2046"/>
      <c r="P430" s="2086"/>
      <c r="Q430" s="2046"/>
      <c r="R430" s="2046"/>
      <c r="S430" s="2046"/>
      <c r="T430" s="2046"/>
      <c r="U430" s="2046"/>
      <c r="V430" s="2046"/>
      <c r="W430" s="2046"/>
      <c r="X430" s="2046"/>
      <c r="Y430" s="2046"/>
      <c r="Z430" s="2046"/>
      <c r="AA430" s="2046"/>
      <c r="AB430" s="2046"/>
      <c r="AC430" s="2046"/>
    </row>
    <row r="431" spans="1:29">
      <c r="A431" s="2046"/>
      <c r="B431" s="2046"/>
      <c r="C431" s="2046"/>
      <c r="D431" s="2046"/>
      <c r="E431" s="2046"/>
      <c r="F431" s="2046"/>
      <c r="G431" s="2046"/>
      <c r="H431" s="2046"/>
      <c r="I431" s="2046"/>
      <c r="J431" s="2046"/>
      <c r="K431" s="2047"/>
      <c r="L431" s="2048"/>
      <c r="M431" s="2046"/>
      <c r="N431" s="2046"/>
      <c r="O431" s="2046"/>
      <c r="P431" s="2086"/>
      <c r="Q431" s="2046"/>
      <c r="R431" s="2046"/>
      <c r="S431" s="2046"/>
      <c r="T431" s="2046"/>
      <c r="U431" s="2046"/>
      <c r="V431" s="2046"/>
      <c r="W431" s="2046"/>
      <c r="X431" s="2046"/>
      <c r="Y431" s="2046"/>
      <c r="Z431" s="2046"/>
      <c r="AA431" s="2046"/>
      <c r="AB431" s="2046"/>
      <c r="AC431" s="2046"/>
    </row>
    <row r="432" spans="1:29">
      <c r="A432" s="2046"/>
      <c r="B432" s="2046"/>
      <c r="C432" s="2046"/>
      <c r="D432" s="2046"/>
      <c r="E432" s="2046"/>
      <c r="F432" s="2046"/>
      <c r="G432" s="2046"/>
      <c r="H432" s="2046"/>
      <c r="I432" s="2046"/>
      <c r="J432" s="2046"/>
      <c r="K432" s="2047"/>
      <c r="L432" s="2048"/>
      <c r="M432" s="2046"/>
      <c r="N432" s="2046"/>
      <c r="O432" s="2046"/>
      <c r="P432" s="2086"/>
      <c r="Q432" s="2046"/>
      <c r="R432" s="2046"/>
      <c r="S432" s="2046"/>
      <c r="T432" s="2046"/>
      <c r="U432" s="2046"/>
      <c r="V432" s="2046"/>
      <c r="W432" s="2046"/>
      <c r="X432" s="2046"/>
      <c r="Y432" s="2046"/>
      <c r="Z432" s="2046"/>
      <c r="AA432" s="2046"/>
      <c r="AB432" s="2046"/>
      <c r="AC432" s="2046"/>
    </row>
    <row r="433" spans="1:29">
      <c r="A433" s="2046"/>
      <c r="B433" s="2046"/>
      <c r="C433" s="2046"/>
      <c r="D433" s="2046"/>
      <c r="E433" s="2046"/>
      <c r="F433" s="2046"/>
      <c r="G433" s="2046"/>
      <c r="H433" s="2046"/>
      <c r="I433" s="2046"/>
      <c r="J433" s="2046"/>
      <c r="K433" s="2047"/>
      <c r="L433" s="2048"/>
      <c r="M433" s="2046"/>
      <c r="N433" s="2046"/>
      <c r="O433" s="2046"/>
      <c r="P433" s="2086"/>
      <c r="Q433" s="2046"/>
      <c r="R433" s="2046"/>
      <c r="S433" s="2046"/>
      <c r="T433" s="2046"/>
      <c r="U433" s="2046"/>
      <c r="V433" s="2046"/>
      <c r="W433" s="2046"/>
      <c r="X433" s="2046"/>
      <c r="Y433" s="2046"/>
      <c r="Z433" s="2046"/>
      <c r="AA433" s="2046"/>
      <c r="AB433" s="2046"/>
      <c r="AC433" s="2046"/>
    </row>
    <row r="434" spans="1:29">
      <c r="A434" s="2046"/>
      <c r="B434" s="2046"/>
      <c r="C434" s="2046"/>
      <c r="D434" s="2046"/>
      <c r="E434" s="2046"/>
      <c r="F434" s="2046"/>
      <c r="G434" s="2046"/>
      <c r="H434" s="2046"/>
      <c r="I434" s="2046"/>
      <c r="J434" s="2046"/>
      <c r="K434" s="2047"/>
      <c r="L434" s="2048"/>
      <c r="M434" s="2046"/>
      <c r="N434" s="2046"/>
      <c r="O434" s="2046"/>
      <c r="P434" s="2086"/>
      <c r="Q434" s="2046"/>
      <c r="R434" s="2046"/>
      <c r="S434" s="2046"/>
      <c r="T434" s="2046"/>
      <c r="U434" s="2046"/>
      <c r="V434" s="2046"/>
      <c r="W434" s="2046"/>
      <c r="X434" s="2046"/>
      <c r="Y434" s="2046"/>
      <c r="Z434" s="2046"/>
      <c r="AA434" s="2046"/>
      <c r="AB434" s="2046"/>
      <c r="AC434" s="2046"/>
    </row>
    <row r="435" spans="1:29">
      <c r="A435" s="2046"/>
      <c r="B435" s="2046"/>
      <c r="C435" s="2046"/>
      <c r="D435" s="2046"/>
      <c r="E435" s="2046"/>
      <c r="F435" s="2046"/>
      <c r="G435" s="2046"/>
      <c r="H435" s="2046"/>
      <c r="I435" s="2046"/>
      <c r="J435" s="2046"/>
      <c r="K435" s="2047"/>
      <c r="L435" s="2048"/>
      <c r="M435" s="2046"/>
      <c r="N435" s="2046"/>
      <c r="O435" s="2046"/>
      <c r="P435" s="2086"/>
      <c r="Q435" s="2046"/>
      <c r="R435" s="2046"/>
      <c r="S435" s="2046"/>
      <c r="T435" s="2046"/>
      <c r="U435" s="2046"/>
      <c r="V435" s="2046"/>
      <c r="W435" s="2046"/>
      <c r="X435" s="2046"/>
      <c r="Y435" s="2046"/>
      <c r="Z435" s="2046"/>
      <c r="AA435" s="2046"/>
      <c r="AB435" s="2046"/>
      <c r="AC435" s="2046"/>
    </row>
    <row r="436" spans="1:29">
      <c r="A436" s="2046"/>
      <c r="B436" s="2046"/>
      <c r="C436" s="2046"/>
      <c r="D436" s="2046"/>
      <c r="E436" s="2046"/>
      <c r="F436" s="2046"/>
      <c r="G436" s="2046"/>
      <c r="H436" s="2046"/>
      <c r="I436" s="2046"/>
      <c r="J436" s="2046"/>
      <c r="K436" s="2047"/>
      <c r="L436" s="2048"/>
      <c r="M436" s="2046"/>
      <c r="N436" s="2046"/>
      <c r="O436" s="2046"/>
      <c r="P436" s="2086"/>
      <c r="Q436" s="2046"/>
      <c r="R436" s="2046"/>
      <c r="S436" s="2046"/>
      <c r="T436" s="2046"/>
      <c r="U436" s="2046"/>
      <c r="V436" s="2046"/>
      <c r="W436" s="2046"/>
      <c r="X436" s="2046"/>
      <c r="Y436" s="2046"/>
      <c r="Z436" s="2046"/>
      <c r="AA436" s="2046"/>
      <c r="AB436" s="2046"/>
      <c r="AC436" s="2046"/>
    </row>
    <row r="437" spans="1:29">
      <c r="A437" s="2046"/>
      <c r="B437" s="2046"/>
      <c r="C437" s="2046"/>
      <c r="D437" s="2046"/>
      <c r="E437" s="2046"/>
      <c r="F437" s="2046"/>
      <c r="G437" s="2046"/>
      <c r="H437" s="2046"/>
      <c r="I437" s="2046"/>
      <c r="J437" s="2046"/>
      <c r="K437" s="2047"/>
      <c r="L437" s="2048"/>
      <c r="M437" s="2046"/>
      <c r="N437" s="2046"/>
      <c r="O437" s="2046"/>
      <c r="P437" s="2086"/>
      <c r="Q437" s="2046"/>
      <c r="R437" s="2046"/>
      <c r="S437" s="2046"/>
      <c r="T437" s="2046"/>
      <c r="U437" s="2046"/>
      <c r="V437" s="2046"/>
      <c r="W437" s="2046"/>
      <c r="X437" s="2046"/>
      <c r="Y437" s="2046"/>
      <c r="Z437" s="2046"/>
      <c r="AA437" s="2046"/>
      <c r="AB437" s="2046"/>
      <c r="AC437" s="2046"/>
    </row>
    <row r="438" spans="1:29">
      <c r="A438" s="2046"/>
      <c r="B438" s="2046"/>
      <c r="C438" s="2046"/>
      <c r="D438" s="2046"/>
      <c r="E438" s="2046"/>
      <c r="F438" s="2046"/>
      <c r="G438" s="2046"/>
      <c r="H438" s="2046"/>
      <c r="I438" s="2046"/>
      <c r="J438" s="2046"/>
      <c r="K438" s="2047"/>
      <c r="L438" s="2048"/>
      <c r="M438" s="2046"/>
      <c r="N438" s="2046"/>
      <c r="O438" s="2046"/>
      <c r="P438" s="2086"/>
      <c r="Q438" s="2046"/>
      <c r="R438" s="2046"/>
      <c r="S438" s="2046"/>
      <c r="T438" s="2046"/>
      <c r="U438" s="2046"/>
      <c r="V438" s="2046"/>
      <c r="W438" s="2046"/>
      <c r="X438" s="2046"/>
      <c r="Y438" s="2046"/>
      <c r="Z438" s="2046"/>
      <c r="AA438" s="2046"/>
      <c r="AB438" s="2046"/>
      <c r="AC438" s="2046"/>
    </row>
    <row r="439" spans="1:29">
      <c r="A439" s="2046"/>
      <c r="B439" s="2046"/>
      <c r="C439" s="2046"/>
      <c r="D439" s="2046"/>
      <c r="E439" s="2046"/>
      <c r="F439" s="2046"/>
      <c r="G439" s="2046"/>
      <c r="H439" s="2046"/>
      <c r="I439" s="2046"/>
      <c r="J439" s="2046"/>
      <c r="K439" s="2047"/>
      <c r="L439" s="2048"/>
      <c r="M439" s="2046"/>
      <c r="N439" s="2046"/>
      <c r="O439" s="2046"/>
      <c r="P439" s="2086"/>
      <c r="Q439" s="2046"/>
      <c r="R439" s="2046"/>
      <c r="S439" s="2046"/>
      <c r="T439" s="2046"/>
      <c r="U439" s="2046"/>
      <c r="V439" s="2046"/>
      <c r="W439" s="2046"/>
      <c r="X439" s="2046"/>
      <c r="Y439" s="2046"/>
      <c r="Z439" s="2046"/>
      <c r="AA439" s="2046"/>
      <c r="AB439" s="2046"/>
      <c r="AC439" s="2046"/>
    </row>
    <row r="440" spans="1:29">
      <c r="A440" s="2046"/>
      <c r="B440" s="2046"/>
      <c r="C440" s="2046"/>
      <c r="D440" s="2046"/>
      <c r="E440" s="2046"/>
      <c r="F440" s="2046"/>
      <c r="G440" s="2046"/>
      <c r="H440" s="2046"/>
      <c r="I440" s="2046"/>
      <c r="J440" s="2046"/>
      <c r="K440" s="2047"/>
      <c r="L440" s="2048"/>
      <c r="M440" s="2046"/>
      <c r="N440" s="2046"/>
      <c r="O440" s="2046"/>
      <c r="P440" s="2086"/>
      <c r="Q440" s="2046"/>
      <c r="R440" s="2046"/>
      <c r="S440" s="2046"/>
      <c r="T440" s="2046"/>
      <c r="U440" s="2046"/>
      <c r="V440" s="2046"/>
      <c r="W440" s="2046"/>
      <c r="X440" s="2046"/>
      <c r="Y440" s="2046"/>
      <c r="Z440" s="2046"/>
      <c r="AA440" s="2046"/>
      <c r="AB440" s="2046"/>
      <c r="AC440" s="2046"/>
    </row>
    <row r="441" spans="1:29">
      <c r="A441" s="2046"/>
      <c r="B441" s="2046"/>
      <c r="C441" s="2046"/>
      <c r="D441" s="2046"/>
      <c r="E441" s="2046"/>
      <c r="F441" s="2046"/>
      <c r="G441" s="2046"/>
      <c r="H441" s="2046"/>
      <c r="I441" s="2046"/>
      <c r="J441" s="2046"/>
      <c r="K441" s="2047"/>
      <c r="L441" s="2048"/>
      <c r="M441" s="2046"/>
      <c r="N441" s="2046"/>
      <c r="O441" s="2046"/>
      <c r="P441" s="2086"/>
      <c r="Q441" s="2046"/>
      <c r="R441" s="2046"/>
      <c r="S441" s="2046"/>
      <c r="T441" s="2046"/>
      <c r="U441" s="2046"/>
      <c r="V441" s="2046"/>
      <c r="W441" s="2046"/>
      <c r="X441" s="2046"/>
      <c r="Y441" s="2046"/>
      <c r="Z441" s="2046"/>
      <c r="AA441" s="2046"/>
      <c r="AB441" s="2046"/>
      <c r="AC441" s="2046"/>
    </row>
    <row r="442" spans="1:29">
      <c r="A442" s="2046"/>
      <c r="B442" s="2046"/>
      <c r="C442" s="2046"/>
      <c r="D442" s="2046"/>
      <c r="E442" s="2046"/>
      <c r="F442" s="2046"/>
      <c r="G442" s="2046"/>
      <c r="H442" s="2046"/>
      <c r="I442" s="2046"/>
      <c r="J442" s="2046"/>
      <c r="K442" s="2047"/>
      <c r="L442" s="2048"/>
      <c r="M442" s="2046"/>
      <c r="N442" s="2046"/>
      <c r="O442" s="2046"/>
      <c r="P442" s="2086"/>
      <c r="Q442" s="2046"/>
      <c r="R442" s="2046"/>
      <c r="S442" s="2046"/>
      <c r="T442" s="2046"/>
      <c r="U442" s="2046"/>
      <c r="V442" s="2046"/>
      <c r="W442" s="2046"/>
      <c r="X442" s="2046"/>
      <c r="Y442" s="2046"/>
      <c r="Z442" s="2046"/>
      <c r="AA442" s="2046"/>
      <c r="AB442" s="2046"/>
      <c r="AC442" s="2046"/>
    </row>
    <row r="443" spans="1:29">
      <c r="A443" s="2046"/>
      <c r="B443" s="2046"/>
      <c r="C443" s="2046"/>
      <c r="D443" s="2046"/>
      <c r="E443" s="2046"/>
      <c r="F443" s="2046"/>
      <c r="G443" s="2046"/>
      <c r="H443" s="2046"/>
      <c r="I443" s="2046"/>
      <c r="J443" s="2046"/>
      <c r="K443" s="2047"/>
      <c r="L443" s="2048"/>
      <c r="M443" s="2046"/>
      <c r="N443" s="2046"/>
      <c r="O443" s="2046"/>
      <c r="P443" s="2086"/>
      <c r="Q443" s="2046"/>
      <c r="R443" s="2046"/>
      <c r="S443" s="2046"/>
      <c r="T443" s="2046"/>
      <c r="U443" s="2046"/>
      <c r="V443" s="2046"/>
      <c r="W443" s="2046"/>
      <c r="X443" s="2046"/>
      <c r="Y443" s="2046"/>
      <c r="Z443" s="2046"/>
      <c r="AA443" s="2046"/>
      <c r="AB443" s="2046"/>
      <c r="AC443" s="2046"/>
    </row>
    <row r="444" spans="1:29">
      <c r="A444" s="2046"/>
      <c r="B444" s="2046"/>
      <c r="C444" s="2046"/>
      <c r="D444" s="2046"/>
      <c r="E444" s="2046"/>
      <c r="F444" s="2046"/>
      <c r="G444" s="2046"/>
      <c r="H444" s="2046"/>
      <c r="I444" s="2046"/>
      <c r="J444" s="2046"/>
      <c r="K444" s="2047"/>
      <c r="L444" s="2048"/>
      <c r="M444" s="2046"/>
      <c r="N444" s="2046"/>
      <c r="O444" s="2046"/>
      <c r="P444" s="2086"/>
      <c r="Q444" s="2046"/>
      <c r="R444" s="2046"/>
      <c r="S444" s="2046"/>
      <c r="T444" s="2046"/>
      <c r="U444" s="2046"/>
      <c r="V444" s="2046"/>
      <c r="W444" s="2046"/>
      <c r="X444" s="2046"/>
      <c r="Y444" s="2046"/>
      <c r="Z444" s="2046"/>
      <c r="AA444" s="2046"/>
      <c r="AB444" s="2046"/>
      <c r="AC444" s="2046"/>
    </row>
    <row r="445" spans="1:29">
      <c r="A445" s="2046"/>
      <c r="B445" s="2046"/>
      <c r="C445" s="2046"/>
      <c r="D445" s="2046"/>
      <c r="E445" s="2046"/>
      <c r="F445" s="2046"/>
      <c r="G445" s="2046"/>
      <c r="H445" s="2046"/>
      <c r="I445" s="2046"/>
      <c r="J445" s="2046"/>
      <c r="K445" s="2047"/>
      <c r="L445" s="2048"/>
      <c r="M445" s="2046"/>
      <c r="N445" s="2046"/>
      <c r="O445" s="2046"/>
      <c r="P445" s="2086"/>
      <c r="Q445" s="2046"/>
      <c r="R445" s="2046"/>
      <c r="S445" s="2046"/>
      <c r="T445" s="2046"/>
      <c r="U445" s="2046"/>
      <c r="V445" s="2046"/>
      <c r="W445" s="2046"/>
      <c r="X445" s="2046"/>
      <c r="Y445" s="2046"/>
      <c r="Z445" s="2046"/>
      <c r="AA445" s="2046"/>
      <c r="AB445" s="2046"/>
      <c r="AC445" s="2046"/>
    </row>
    <row r="446" spans="1:29">
      <c r="A446" s="2046"/>
      <c r="B446" s="2046"/>
      <c r="C446" s="2046"/>
      <c r="D446" s="2046"/>
      <c r="E446" s="2046"/>
      <c r="F446" s="2046"/>
      <c r="G446" s="2046"/>
      <c r="H446" s="2046"/>
      <c r="I446" s="2046"/>
      <c r="J446" s="2046"/>
      <c r="K446" s="2047"/>
      <c r="L446" s="2048"/>
      <c r="M446" s="2046"/>
      <c r="N446" s="2046"/>
      <c r="O446" s="2046"/>
      <c r="P446" s="2086"/>
      <c r="Q446" s="2046"/>
      <c r="R446" s="2046"/>
      <c r="S446" s="2046"/>
      <c r="T446" s="2046"/>
      <c r="U446" s="2046"/>
      <c r="V446" s="2046"/>
      <c r="W446" s="2046"/>
      <c r="X446" s="2046"/>
      <c r="Y446" s="2046"/>
      <c r="Z446" s="2046"/>
      <c r="AA446" s="2046"/>
      <c r="AB446" s="2046"/>
      <c r="AC446" s="2046"/>
    </row>
    <row r="447" spans="1:29">
      <c r="A447" s="2046"/>
      <c r="B447" s="2046"/>
      <c r="C447" s="2046"/>
      <c r="D447" s="2046"/>
      <c r="E447" s="2046"/>
      <c r="F447" s="2046"/>
      <c r="G447" s="2046"/>
      <c r="H447" s="2046"/>
      <c r="I447" s="2046"/>
      <c r="J447" s="2046"/>
      <c r="K447" s="2047"/>
      <c r="L447" s="2048"/>
      <c r="M447" s="2046"/>
      <c r="N447" s="2046"/>
      <c r="O447" s="2046"/>
      <c r="P447" s="2086"/>
      <c r="Q447" s="2046"/>
      <c r="R447" s="2046"/>
      <c r="S447" s="2046"/>
      <c r="T447" s="2046"/>
      <c r="U447" s="2046"/>
      <c r="V447" s="2046"/>
      <c r="W447" s="2046"/>
      <c r="X447" s="2046"/>
      <c r="Y447" s="2046"/>
      <c r="Z447" s="2046"/>
      <c r="AA447" s="2046"/>
      <c r="AB447" s="2046"/>
      <c r="AC447" s="2046"/>
    </row>
    <row r="448" spans="1:29">
      <c r="A448" s="2046"/>
      <c r="B448" s="2046"/>
      <c r="C448" s="2046"/>
      <c r="D448" s="2046"/>
      <c r="E448" s="2046"/>
      <c r="F448" s="2046"/>
      <c r="G448" s="2046"/>
      <c r="H448" s="2046"/>
      <c r="I448" s="2046"/>
      <c r="J448" s="2046"/>
      <c r="K448" s="2047"/>
      <c r="L448" s="2048"/>
      <c r="M448" s="2046"/>
      <c r="N448" s="2046"/>
      <c r="O448" s="2046"/>
      <c r="P448" s="2086"/>
      <c r="Q448" s="2046"/>
      <c r="R448" s="2046"/>
      <c r="S448" s="2046"/>
      <c r="T448" s="2046"/>
      <c r="U448" s="2046"/>
      <c r="V448" s="2046"/>
      <c r="W448" s="2046"/>
      <c r="X448" s="2046"/>
      <c r="Y448" s="2046"/>
      <c r="Z448" s="2046"/>
      <c r="AA448" s="2046"/>
      <c r="AB448" s="2046"/>
      <c r="AC448" s="2046"/>
    </row>
    <row r="449" spans="1:29">
      <c r="A449" s="2046"/>
      <c r="B449" s="2046"/>
      <c r="C449" s="2046"/>
      <c r="D449" s="2046"/>
      <c r="E449" s="2046"/>
      <c r="F449" s="2046"/>
      <c r="G449" s="2046"/>
      <c r="H449" s="2046"/>
      <c r="I449" s="2046"/>
      <c r="J449" s="2046"/>
      <c r="K449" s="2047"/>
      <c r="L449" s="2048"/>
      <c r="M449" s="2046"/>
      <c r="N449" s="2046"/>
      <c r="O449" s="2046"/>
      <c r="P449" s="2086"/>
      <c r="Q449" s="2046"/>
      <c r="R449" s="2046"/>
      <c r="S449" s="2046"/>
      <c r="T449" s="2046"/>
      <c r="U449" s="2046"/>
      <c r="V449" s="2046"/>
      <c r="W449" s="2046"/>
      <c r="X449" s="2046"/>
      <c r="Y449" s="2046"/>
      <c r="Z449" s="2046"/>
      <c r="AA449" s="2046"/>
      <c r="AB449" s="2046"/>
      <c r="AC449" s="2046"/>
    </row>
    <row r="450" spans="1:29">
      <c r="A450" s="2046"/>
      <c r="B450" s="2046"/>
      <c r="C450" s="2046"/>
      <c r="D450" s="2046"/>
      <c r="E450" s="2046"/>
      <c r="F450" s="2046"/>
      <c r="G450" s="2046"/>
      <c r="H450" s="2046"/>
      <c r="I450" s="2046"/>
      <c r="J450" s="2046"/>
      <c r="K450" s="2047"/>
      <c r="L450" s="2048"/>
      <c r="M450" s="2046"/>
      <c r="N450" s="2046"/>
      <c r="O450" s="2046"/>
      <c r="P450" s="2086"/>
      <c r="Q450" s="2046"/>
      <c r="R450" s="2046"/>
      <c r="S450" s="2046"/>
      <c r="T450" s="2046"/>
      <c r="U450" s="2046"/>
      <c r="V450" s="2046"/>
      <c r="W450" s="2046"/>
      <c r="X450" s="2046"/>
      <c r="Y450" s="2046"/>
      <c r="Z450" s="2046"/>
      <c r="AA450" s="2046"/>
      <c r="AB450" s="2046"/>
      <c r="AC450" s="2046"/>
    </row>
    <row r="451" spans="1:29">
      <c r="A451" s="2046"/>
      <c r="B451" s="2046"/>
      <c r="C451" s="2046"/>
      <c r="D451" s="2046"/>
      <c r="E451" s="2046"/>
      <c r="F451" s="2046"/>
      <c r="G451" s="2046"/>
      <c r="H451" s="2046"/>
      <c r="I451" s="2046"/>
      <c r="J451" s="2046"/>
      <c r="K451" s="2047"/>
      <c r="L451" s="2048"/>
      <c r="M451" s="2046"/>
      <c r="N451" s="2046"/>
      <c r="O451" s="2046"/>
      <c r="P451" s="2086"/>
      <c r="Q451" s="2046"/>
      <c r="R451" s="2046"/>
      <c r="S451" s="2046"/>
      <c r="T451" s="2046"/>
      <c r="U451" s="2046"/>
      <c r="V451" s="2046"/>
      <c r="W451" s="2046"/>
      <c r="X451" s="2046"/>
      <c r="Y451" s="2046"/>
      <c r="Z451" s="2046"/>
      <c r="AA451" s="2046"/>
      <c r="AB451" s="2046"/>
      <c r="AC451" s="2046"/>
    </row>
    <row r="452" spans="1:29">
      <c r="A452" s="2046"/>
      <c r="B452" s="2046"/>
      <c r="C452" s="2046"/>
      <c r="D452" s="2046"/>
      <c r="E452" s="2046"/>
      <c r="F452" s="2046"/>
      <c r="G452" s="2046"/>
      <c r="H452" s="2046"/>
      <c r="I452" s="2046"/>
      <c r="J452" s="2046"/>
      <c r="K452" s="2047"/>
      <c r="L452" s="2048"/>
      <c r="M452" s="2046"/>
      <c r="N452" s="2046"/>
      <c r="O452" s="2046"/>
      <c r="P452" s="2086"/>
      <c r="Q452" s="2046"/>
      <c r="R452" s="2046"/>
      <c r="S452" s="2046"/>
      <c r="T452" s="2046"/>
      <c r="U452" s="2046"/>
      <c r="V452" s="2046"/>
      <c r="W452" s="2046"/>
      <c r="X452" s="2046"/>
      <c r="Y452" s="2046"/>
      <c r="Z452" s="2046"/>
      <c r="AA452" s="2046"/>
      <c r="AB452" s="2046"/>
      <c r="AC452" s="2046"/>
    </row>
    <row r="453" spans="1:29">
      <c r="A453" s="2046"/>
      <c r="B453" s="2046"/>
      <c r="C453" s="2046"/>
      <c r="D453" s="2046"/>
      <c r="E453" s="2046"/>
      <c r="F453" s="2046"/>
      <c r="G453" s="2046"/>
      <c r="H453" s="2046"/>
      <c r="I453" s="2046"/>
      <c r="J453" s="2046"/>
      <c r="K453" s="2047"/>
      <c r="L453" s="2048"/>
      <c r="M453" s="2046"/>
      <c r="N453" s="2046"/>
      <c r="O453" s="2046"/>
      <c r="P453" s="2086"/>
      <c r="Q453" s="2046"/>
      <c r="R453" s="2046"/>
      <c r="S453" s="2046"/>
      <c r="T453" s="2046"/>
      <c r="U453" s="2046"/>
      <c r="V453" s="2046"/>
      <c r="W453" s="2046"/>
      <c r="X453" s="2046"/>
      <c r="Y453" s="2046"/>
      <c r="Z453" s="2046"/>
      <c r="AA453" s="2046"/>
      <c r="AB453" s="2046"/>
      <c r="AC453" s="2046"/>
    </row>
    <row r="454" spans="1:29">
      <c r="A454" s="2046"/>
      <c r="B454" s="2046"/>
      <c r="C454" s="2046"/>
      <c r="D454" s="2046"/>
      <c r="E454" s="2046"/>
      <c r="F454" s="2046"/>
      <c r="G454" s="2046"/>
      <c r="H454" s="2046"/>
      <c r="I454" s="2046"/>
      <c r="J454" s="2046"/>
      <c r="K454" s="2047"/>
      <c r="L454" s="2048"/>
      <c r="M454" s="2046"/>
      <c r="N454" s="2046"/>
      <c r="O454" s="2046"/>
      <c r="P454" s="2086"/>
      <c r="Q454" s="2046"/>
      <c r="R454" s="2046"/>
      <c r="S454" s="2046"/>
      <c r="T454" s="2046"/>
      <c r="U454" s="2046"/>
      <c r="V454" s="2046"/>
      <c r="W454" s="2046"/>
      <c r="X454" s="2046"/>
      <c r="Y454" s="2046"/>
      <c r="Z454" s="2046"/>
      <c r="AA454" s="2046"/>
      <c r="AB454" s="2046"/>
      <c r="AC454" s="2046"/>
    </row>
    <row r="455" spans="1:29">
      <c r="A455" s="2046"/>
      <c r="B455" s="2046"/>
      <c r="C455" s="2046"/>
      <c r="D455" s="2046"/>
      <c r="E455" s="2046"/>
      <c r="F455" s="2046"/>
      <c r="G455" s="2046"/>
      <c r="H455" s="2046"/>
      <c r="I455" s="2046"/>
      <c r="J455" s="2046"/>
      <c r="K455" s="2047"/>
      <c r="L455" s="2048"/>
      <c r="M455" s="2046"/>
      <c r="N455" s="2046"/>
      <c r="O455" s="2046"/>
      <c r="P455" s="2086"/>
      <c r="Q455" s="2046"/>
      <c r="R455" s="2046"/>
      <c r="S455" s="2046"/>
      <c r="T455" s="2046"/>
      <c r="U455" s="2046"/>
      <c r="V455" s="2046"/>
      <c r="W455" s="2046"/>
      <c r="X455" s="2046"/>
      <c r="Y455" s="2046"/>
      <c r="Z455" s="2046"/>
      <c r="AA455" s="2046"/>
      <c r="AB455" s="2046"/>
      <c r="AC455" s="2046"/>
    </row>
    <row r="456" spans="1:29">
      <c r="A456" s="2046"/>
      <c r="B456" s="2046"/>
      <c r="C456" s="2046"/>
      <c r="D456" s="2046"/>
      <c r="E456" s="2046"/>
      <c r="F456" s="2046"/>
      <c r="G456" s="2046"/>
      <c r="H456" s="2046"/>
      <c r="I456" s="2046"/>
      <c r="J456" s="2046"/>
      <c r="K456" s="2047"/>
      <c r="L456" s="2048"/>
      <c r="M456" s="2046"/>
      <c r="N456" s="2046"/>
      <c r="O456" s="2046"/>
      <c r="P456" s="2086"/>
      <c r="Q456" s="2046"/>
      <c r="R456" s="2046"/>
      <c r="S456" s="2046"/>
      <c r="T456" s="2046"/>
      <c r="U456" s="2046"/>
      <c r="V456" s="2046"/>
      <c r="W456" s="2046"/>
      <c r="X456" s="2046"/>
      <c r="Y456" s="2046"/>
      <c r="Z456" s="2046"/>
      <c r="AA456" s="2046"/>
      <c r="AB456" s="2046"/>
      <c r="AC456" s="2046"/>
    </row>
    <row r="457" spans="1:29">
      <c r="A457" s="2046"/>
      <c r="B457" s="2046"/>
      <c r="C457" s="2046"/>
      <c r="D457" s="2046"/>
      <c r="E457" s="2046"/>
      <c r="F457" s="2046"/>
      <c r="G457" s="2046"/>
      <c r="H457" s="2046"/>
      <c r="I457" s="2046"/>
      <c r="J457" s="2046"/>
      <c r="K457" s="2047"/>
      <c r="L457" s="2048"/>
      <c r="M457" s="2046"/>
      <c r="N457" s="2046"/>
      <c r="O457" s="2046"/>
      <c r="P457" s="2086"/>
      <c r="Q457" s="2046"/>
      <c r="R457" s="2046"/>
      <c r="S457" s="2046"/>
      <c r="T457" s="2046"/>
      <c r="U457" s="2046"/>
      <c r="V457" s="2046"/>
      <c r="W457" s="2046"/>
      <c r="X457" s="2046"/>
      <c r="Y457" s="2046"/>
      <c r="Z457" s="2046"/>
      <c r="AA457" s="2046"/>
      <c r="AB457" s="2046"/>
      <c r="AC457" s="2046"/>
    </row>
    <row r="458" spans="1:29">
      <c r="A458" s="2046"/>
      <c r="B458" s="2046"/>
      <c r="C458" s="2046"/>
      <c r="D458" s="2046"/>
      <c r="E458" s="2046"/>
      <c r="F458" s="2046"/>
      <c r="G458" s="2046"/>
      <c r="H458" s="2046"/>
      <c r="I458" s="2046"/>
      <c r="J458" s="2046"/>
      <c r="K458" s="2047"/>
      <c r="L458" s="2048"/>
      <c r="M458" s="2046"/>
      <c r="N458" s="2046"/>
      <c r="O458" s="2046"/>
      <c r="P458" s="2086"/>
      <c r="Q458" s="2046"/>
      <c r="R458" s="2046"/>
      <c r="S458" s="2046"/>
      <c r="T458" s="2046"/>
      <c r="U458" s="2046"/>
      <c r="V458" s="2046"/>
      <c r="W458" s="2046"/>
      <c r="X458" s="2046"/>
      <c r="Y458" s="2046"/>
      <c r="Z458" s="2046"/>
      <c r="AA458" s="2046"/>
      <c r="AB458" s="2046"/>
      <c r="AC458" s="2046"/>
    </row>
    <row r="459" spans="1:29">
      <c r="A459" s="2046"/>
      <c r="B459" s="2046"/>
      <c r="C459" s="2046"/>
      <c r="D459" s="2046"/>
      <c r="E459" s="2046"/>
      <c r="F459" s="2046"/>
      <c r="G459" s="2046"/>
      <c r="H459" s="2046"/>
      <c r="I459" s="2046"/>
      <c r="J459" s="2046"/>
      <c r="K459" s="2047"/>
      <c r="L459" s="2048"/>
      <c r="M459" s="2046"/>
      <c r="N459" s="2046"/>
      <c r="O459" s="2046"/>
      <c r="P459" s="2086"/>
      <c r="Q459" s="2046"/>
      <c r="R459" s="2046"/>
      <c r="S459" s="2046"/>
      <c r="T459" s="2046"/>
      <c r="U459" s="2046"/>
      <c r="V459" s="2046"/>
      <c r="W459" s="2046"/>
      <c r="X459" s="2046"/>
      <c r="Y459" s="2046"/>
      <c r="Z459" s="2046"/>
      <c r="AA459" s="2046"/>
      <c r="AB459" s="2046"/>
      <c r="AC459" s="2046"/>
    </row>
    <row r="460" spans="1:29">
      <c r="A460" s="2046"/>
      <c r="B460" s="2046"/>
      <c r="C460" s="2046"/>
      <c r="D460" s="2046"/>
      <c r="E460" s="2046"/>
      <c r="F460" s="2046"/>
      <c r="G460" s="2046"/>
      <c r="H460" s="2046"/>
      <c r="I460" s="2046"/>
      <c r="J460" s="2046"/>
      <c r="K460" s="2047"/>
      <c r="L460" s="2048"/>
      <c r="M460" s="2046"/>
      <c r="N460" s="2046"/>
      <c r="O460" s="2046"/>
      <c r="P460" s="2086"/>
      <c r="Q460" s="2046"/>
      <c r="R460" s="2046"/>
      <c r="S460" s="2046"/>
      <c r="T460" s="2046"/>
      <c r="U460" s="2046"/>
      <c r="V460" s="2046"/>
      <c r="W460" s="2046"/>
      <c r="X460" s="2046"/>
      <c r="Y460" s="2046"/>
      <c r="Z460" s="2046"/>
      <c r="AA460" s="2046"/>
      <c r="AB460" s="2046"/>
      <c r="AC460" s="2046"/>
    </row>
    <row r="461" spans="1:29">
      <c r="A461" s="2046"/>
      <c r="B461" s="2046"/>
      <c r="C461" s="2046"/>
      <c r="D461" s="2046"/>
      <c r="E461" s="2046"/>
      <c r="F461" s="2046"/>
      <c r="G461" s="2046"/>
      <c r="H461" s="2046"/>
      <c r="I461" s="2046"/>
      <c r="J461" s="2046"/>
      <c r="K461" s="2047"/>
      <c r="L461" s="2048"/>
      <c r="M461" s="2046"/>
      <c r="N461" s="2046"/>
      <c r="O461" s="2046"/>
      <c r="P461" s="2086"/>
      <c r="Q461" s="2046"/>
      <c r="R461" s="2046"/>
      <c r="S461" s="2046"/>
      <c r="T461" s="2046"/>
      <c r="U461" s="2046"/>
      <c r="V461" s="2046"/>
      <c r="W461" s="2046"/>
      <c r="X461" s="2046"/>
      <c r="Y461" s="2046"/>
      <c r="Z461" s="2046"/>
      <c r="AA461" s="2046"/>
      <c r="AB461" s="2046"/>
      <c r="AC461" s="2046"/>
    </row>
    <row r="462" spans="1:29">
      <c r="A462" s="2046"/>
      <c r="B462" s="2046"/>
      <c r="C462" s="2046"/>
      <c r="D462" s="2046"/>
      <c r="E462" s="2046"/>
      <c r="F462" s="2046"/>
      <c r="G462" s="2046"/>
      <c r="H462" s="2046"/>
      <c r="I462" s="2046"/>
      <c r="J462" s="2046"/>
      <c r="K462" s="2047"/>
      <c r="L462" s="2048"/>
      <c r="M462" s="2046"/>
      <c r="N462" s="2046"/>
      <c r="O462" s="2046"/>
      <c r="P462" s="2086"/>
      <c r="Q462" s="2046"/>
      <c r="R462" s="2046"/>
      <c r="S462" s="2046"/>
      <c r="T462" s="2046"/>
      <c r="U462" s="2046"/>
      <c r="V462" s="2046"/>
      <c r="W462" s="2046"/>
      <c r="X462" s="2046"/>
      <c r="Y462" s="2046"/>
      <c r="Z462" s="2046"/>
      <c r="AA462" s="2046"/>
      <c r="AB462" s="2046"/>
      <c r="AC462" s="2046"/>
    </row>
    <row r="463" spans="1:29">
      <c r="A463" s="2046"/>
      <c r="B463" s="2046"/>
      <c r="C463" s="2046"/>
      <c r="D463" s="2046"/>
      <c r="E463" s="2046"/>
      <c r="F463" s="2046"/>
      <c r="G463" s="2046"/>
      <c r="H463" s="2046"/>
      <c r="I463" s="2046"/>
      <c r="J463" s="2046"/>
      <c r="K463" s="2047"/>
      <c r="L463" s="2048"/>
      <c r="M463" s="2046"/>
      <c r="N463" s="2046"/>
      <c r="O463" s="2046"/>
      <c r="P463" s="2086"/>
      <c r="Q463" s="2046"/>
      <c r="R463" s="2046"/>
      <c r="S463" s="2046"/>
      <c r="T463" s="2046"/>
      <c r="U463" s="2046"/>
      <c r="V463" s="2046"/>
      <c r="W463" s="2046"/>
      <c r="X463" s="2046"/>
      <c r="Y463" s="2046"/>
      <c r="Z463" s="2046"/>
      <c r="AA463" s="2046"/>
      <c r="AB463" s="2046"/>
      <c r="AC463" s="2046"/>
    </row>
    <row r="464" spans="1:29">
      <c r="A464" s="2046"/>
      <c r="B464" s="2046"/>
      <c r="C464" s="2046"/>
      <c r="D464" s="2046"/>
      <c r="E464" s="2046"/>
      <c r="F464" s="2046"/>
      <c r="G464" s="2046"/>
      <c r="H464" s="2046"/>
      <c r="I464" s="2046"/>
      <c r="J464" s="2046"/>
      <c r="K464" s="2047"/>
      <c r="L464" s="2048"/>
      <c r="M464" s="2046"/>
      <c r="N464" s="2046"/>
      <c r="O464" s="2046"/>
      <c r="P464" s="2086"/>
      <c r="Q464" s="2046"/>
      <c r="R464" s="2046"/>
      <c r="S464" s="2046"/>
      <c r="T464" s="2046"/>
      <c r="U464" s="2046"/>
      <c r="V464" s="2046"/>
      <c r="W464" s="2046"/>
      <c r="X464" s="2046"/>
      <c r="Y464" s="2046"/>
      <c r="Z464" s="2046"/>
      <c r="AA464" s="2046"/>
      <c r="AB464" s="2046"/>
      <c r="AC464" s="2046"/>
    </row>
    <row r="465" spans="1:29">
      <c r="A465" s="2046"/>
      <c r="B465" s="2046"/>
      <c r="C465" s="2046"/>
      <c r="D465" s="2046"/>
      <c r="E465" s="2046"/>
      <c r="F465" s="2046"/>
      <c r="G465" s="2046"/>
      <c r="H465" s="2046"/>
      <c r="I465" s="2046"/>
      <c r="J465" s="2046"/>
      <c r="K465" s="2047"/>
      <c r="L465" s="2048"/>
      <c r="M465" s="2046"/>
      <c r="N465" s="2046"/>
      <c r="O465" s="2046"/>
      <c r="P465" s="2086"/>
      <c r="Q465" s="2046"/>
      <c r="R465" s="2046"/>
      <c r="S465" s="2046"/>
      <c r="T465" s="2046"/>
      <c r="U465" s="2046"/>
      <c r="V465" s="2046"/>
      <c r="W465" s="2046"/>
      <c r="X465" s="2046"/>
      <c r="Y465" s="2046"/>
      <c r="Z465" s="2046"/>
      <c r="AA465" s="2046"/>
      <c r="AB465" s="2046"/>
      <c r="AC465" s="2046"/>
    </row>
    <row r="466" spans="1:29">
      <c r="A466" s="2046"/>
      <c r="B466" s="2046"/>
      <c r="C466" s="2046"/>
      <c r="D466" s="2046"/>
      <c r="E466" s="2046"/>
      <c r="F466" s="2046"/>
      <c r="G466" s="2046"/>
      <c r="H466" s="2046"/>
      <c r="I466" s="2046"/>
      <c r="J466" s="2046"/>
      <c r="K466" s="2047"/>
      <c r="L466" s="2048"/>
      <c r="M466" s="2046"/>
      <c r="N466" s="2046"/>
      <c r="O466" s="2046"/>
      <c r="P466" s="2086"/>
      <c r="Q466" s="2046"/>
      <c r="R466" s="2046"/>
      <c r="S466" s="2046"/>
      <c r="T466" s="2046"/>
      <c r="U466" s="2046"/>
      <c r="V466" s="2046"/>
      <c r="W466" s="2046"/>
      <c r="X466" s="2046"/>
      <c r="Y466" s="2046"/>
      <c r="Z466" s="2046"/>
      <c r="AA466" s="2046"/>
      <c r="AB466" s="2046"/>
      <c r="AC466" s="2046"/>
    </row>
    <row r="467" spans="1:29">
      <c r="A467" s="2046"/>
      <c r="B467" s="2046"/>
      <c r="C467" s="2046"/>
      <c r="D467" s="2046"/>
      <c r="E467" s="2046"/>
      <c r="F467" s="2046"/>
      <c r="G467" s="2046"/>
      <c r="H467" s="2046"/>
      <c r="I467" s="2046"/>
      <c r="J467" s="2046"/>
      <c r="K467" s="2047"/>
      <c r="L467" s="2048"/>
      <c r="M467" s="2046"/>
      <c r="N467" s="2046"/>
      <c r="O467" s="2046"/>
      <c r="P467" s="2086"/>
      <c r="Q467" s="2046"/>
      <c r="R467" s="2046"/>
      <c r="S467" s="2046"/>
      <c r="T467" s="2046"/>
      <c r="U467" s="2046"/>
      <c r="V467" s="2046"/>
      <c r="W467" s="2046"/>
      <c r="X467" s="2046"/>
      <c r="Y467" s="2046"/>
      <c r="Z467" s="2046"/>
      <c r="AA467" s="2046"/>
      <c r="AB467" s="2046"/>
      <c r="AC467" s="2046"/>
    </row>
    <row r="468" spans="1:29">
      <c r="A468" s="2046"/>
      <c r="B468" s="2046"/>
      <c r="C468" s="2046"/>
      <c r="D468" s="2046"/>
      <c r="E468" s="2046"/>
      <c r="F468" s="2046"/>
      <c r="G468" s="2046"/>
      <c r="H468" s="2046"/>
      <c r="I468" s="2046"/>
      <c r="J468" s="2046"/>
      <c r="K468" s="2047"/>
      <c r="L468" s="2048"/>
      <c r="M468" s="2046"/>
      <c r="N468" s="2046"/>
      <c r="O468" s="2046"/>
      <c r="P468" s="2086"/>
      <c r="Q468" s="2046"/>
      <c r="R468" s="2046"/>
      <c r="S468" s="2046"/>
      <c r="T468" s="2046"/>
      <c r="U468" s="2046"/>
      <c r="V468" s="2046"/>
      <c r="W468" s="2046"/>
      <c r="X468" s="2046"/>
      <c r="Y468" s="2046"/>
      <c r="Z468" s="2046"/>
      <c r="AA468" s="2046"/>
      <c r="AB468" s="2046"/>
      <c r="AC468" s="2046"/>
    </row>
    <row r="469" spans="1:29">
      <c r="A469" s="2046"/>
      <c r="B469" s="2046"/>
      <c r="C469" s="2046"/>
      <c r="D469" s="2046"/>
      <c r="E469" s="2046"/>
      <c r="F469" s="2046"/>
      <c r="G469" s="2046"/>
      <c r="H469" s="2046"/>
      <c r="I469" s="2046"/>
      <c r="J469" s="2046"/>
      <c r="K469" s="2047"/>
      <c r="L469" s="2048"/>
      <c r="M469" s="2046"/>
      <c r="N469" s="2046"/>
      <c r="O469" s="2046"/>
      <c r="P469" s="2086"/>
      <c r="Q469" s="2046"/>
      <c r="R469" s="2046"/>
      <c r="S469" s="2046"/>
      <c r="T469" s="2046"/>
      <c r="U469" s="2046"/>
      <c r="V469" s="2046"/>
      <c r="W469" s="2046"/>
      <c r="X469" s="2046"/>
      <c r="Y469" s="2046"/>
      <c r="Z469" s="2046"/>
      <c r="AA469" s="2046"/>
      <c r="AB469" s="2046"/>
      <c r="AC469" s="2046"/>
    </row>
    <row r="470" spans="1:29">
      <c r="A470" s="2046"/>
      <c r="B470" s="2046"/>
      <c r="C470" s="2046"/>
      <c r="D470" s="2046"/>
      <c r="E470" s="2046"/>
      <c r="F470" s="2046"/>
      <c r="G470" s="2046"/>
      <c r="H470" s="2046"/>
      <c r="I470" s="2046"/>
      <c r="J470" s="2046"/>
      <c r="K470" s="2047"/>
      <c r="L470" s="2048"/>
      <c r="M470" s="2046"/>
      <c r="N470" s="2046"/>
      <c r="O470" s="2046"/>
      <c r="P470" s="2086"/>
      <c r="Q470" s="2046"/>
      <c r="R470" s="2046"/>
      <c r="S470" s="2046"/>
      <c r="T470" s="2046"/>
      <c r="U470" s="2046"/>
      <c r="V470" s="2046"/>
      <c r="W470" s="2046"/>
      <c r="X470" s="2046"/>
      <c r="Y470" s="2046"/>
      <c r="Z470" s="2046"/>
      <c r="AA470" s="2046"/>
      <c r="AB470" s="2046"/>
      <c r="AC470" s="2046"/>
    </row>
    <row r="471" spans="1:29">
      <c r="A471" s="2046"/>
      <c r="B471" s="2046"/>
      <c r="C471" s="2046"/>
      <c r="D471" s="2046"/>
      <c r="E471" s="2046"/>
      <c r="F471" s="2046"/>
      <c r="G471" s="2046"/>
      <c r="H471" s="2046"/>
      <c r="I471" s="2046"/>
      <c r="J471" s="2046"/>
      <c r="K471" s="2047"/>
      <c r="L471" s="2048"/>
      <c r="M471" s="2046"/>
      <c r="N471" s="2046"/>
      <c r="O471" s="2046"/>
      <c r="P471" s="2086"/>
      <c r="Q471" s="2046"/>
      <c r="R471" s="2046"/>
      <c r="S471" s="2046"/>
      <c r="T471" s="2046"/>
      <c r="U471" s="2046"/>
      <c r="V471" s="2046"/>
      <c r="W471" s="2046"/>
      <c r="X471" s="2046"/>
      <c r="Y471" s="2046"/>
      <c r="Z471" s="2046"/>
      <c r="AA471" s="2046"/>
      <c r="AB471" s="2046"/>
      <c r="AC471" s="2046"/>
    </row>
    <row r="472" spans="1:29">
      <c r="A472" s="2046"/>
      <c r="B472" s="2046"/>
      <c r="C472" s="2046"/>
      <c r="D472" s="2046"/>
      <c r="E472" s="2046"/>
      <c r="F472" s="2046"/>
      <c r="G472" s="2046"/>
      <c r="H472" s="2046"/>
      <c r="I472" s="2046"/>
      <c r="J472" s="2046"/>
      <c r="K472" s="2047"/>
      <c r="L472" s="2048"/>
      <c r="M472" s="2046"/>
      <c r="N472" s="2046"/>
      <c r="O472" s="2046"/>
      <c r="P472" s="2086"/>
      <c r="Q472" s="2046"/>
      <c r="R472" s="2046"/>
      <c r="S472" s="2046"/>
      <c r="T472" s="2046"/>
      <c r="U472" s="2046"/>
      <c r="V472" s="2046"/>
      <c r="W472" s="2046"/>
      <c r="X472" s="2046"/>
      <c r="Y472" s="2046"/>
      <c r="Z472" s="2046"/>
      <c r="AA472" s="2046"/>
      <c r="AB472" s="2046"/>
      <c r="AC472" s="2046"/>
    </row>
    <row r="473" spans="1:29">
      <c r="A473" s="2046"/>
      <c r="B473" s="2046"/>
      <c r="C473" s="2046"/>
      <c r="D473" s="2046"/>
      <c r="E473" s="2046"/>
      <c r="F473" s="2046"/>
      <c r="G473" s="2046"/>
      <c r="H473" s="2046"/>
      <c r="I473" s="2046"/>
      <c r="J473" s="2046"/>
      <c r="K473" s="2047"/>
      <c r="L473" s="2048"/>
      <c r="M473" s="2046"/>
      <c r="N473" s="2046"/>
      <c r="O473" s="2046"/>
      <c r="P473" s="2086"/>
      <c r="Q473" s="2046"/>
      <c r="R473" s="2046"/>
      <c r="S473" s="2046"/>
      <c r="T473" s="2046"/>
      <c r="U473" s="2046"/>
      <c r="V473" s="2046"/>
      <c r="W473" s="2046"/>
      <c r="X473" s="2046"/>
      <c r="Y473" s="2046"/>
      <c r="Z473" s="2046"/>
      <c r="AA473" s="2046"/>
      <c r="AB473" s="2046"/>
      <c r="AC473" s="2046"/>
    </row>
    <row r="474" spans="1:29">
      <c r="A474" s="2046"/>
      <c r="B474" s="2046"/>
      <c r="C474" s="2046"/>
      <c r="D474" s="2046"/>
      <c r="E474" s="2046"/>
      <c r="F474" s="2046"/>
      <c r="G474" s="2046"/>
      <c r="H474" s="2046"/>
      <c r="I474" s="2046"/>
      <c r="J474" s="2046"/>
      <c r="K474" s="2047"/>
      <c r="L474" s="2048"/>
      <c r="M474" s="2046"/>
      <c r="N474" s="2046"/>
      <c r="O474" s="2046"/>
      <c r="P474" s="2086"/>
      <c r="Q474" s="2046"/>
      <c r="R474" s="2046"/>
      <c r="S474" s="2046"/>
      <c r="T474" s="2046"/>
      <c r="U474" s="2046"/>
      <c r="V474" s="2046"/>
      <c r="W474" s="2046"/>
      <c r="X474" s="2046"/>
      <c r="Y474" s="2046"/>
      <c r="Z474" s="2046"/>
      <c r="AA474" s="2046"/>
      <c r="AB474" s="2046"/>
      <c r="AC474" s="2046"/>
    </row>
    <row r="475" spans="1:29">
      <c r="A475" s="2046"/>
      <c r="B475" s="2046"/>
      <c r="C475" s="2046"/>
      <c r="D475" s="2046"/>
      <c r="E475" s="2046"/>
      <c r="F475" s="2046"/>
      <c r="G475" s="2046"/>
      <c r="H475" s="2046"/>
      <c r="I475" s="2046"/>
      <c r="J475" s="2046"/>
      <c r="K475" s="2047"/>
      <c r="L475" s="2048"/>
      <c r="M475" s="2046"/>
      <c r="N475" s="2046"/>
      <c r="O475" s="2046"/>
      <c r="P475" s="2086"/>
      <c r="Q475" s="2046"/>
      <c r="R475" s="2046"/>
      <c r="S475" s="2046"/>
      <c r="T475" s="2046"/>
      <c r="U475" s="2046"/>
      <c r="V475" s="2046"/>
      <c r="W475" s="2046"/>
      <c r="X475" s="2046"/>
      <c r="Y475" s="2046"/>
      <c r="Z475" s="2046"/>
      <c r="AA475" s="2046"/>
      <c r="AB475" s="2046"/>
      <c r="AC475" s="2046"/>
    </row>
    <row r="476" spans="1:29">
      <c r="A476" s="2046"/>
      <c r="B476" s="2046"/>
      <c r="C476" s="2046"/>
      <c r="D476" s="2046"/>
      <c r="E476" s="2046"/>
      <c r="F476" s="2046"/>
      <c r="G476" s="2046"/>
      <c r="H476" s="2046"/>
      <c r="I476" s="2046"/>
      <c r="J476" s="2046"/>
      <c r="K476" s="2047"/>
      <c r="L476" s="2048"/>
      <c r="M476" s="2046"/>
      <c r="N476" s="2046"/>
      <c r="O476" s="2046"/>
      <c r="P476" s="2086"/>
      <c r="Q476" s="2046"/>
      <c r="R476" s="2046"/>
      <c r="S476" s="2046"/>
      <c r="T476" s="2046"/>
      <c r="U476" s="2046"/>
      <c r="V476" s="2046"/>
      <c r="W476" s="2046"/>
      <c r="X476" s="2046"/>
      <c r="Y476" s="2046"/>
      <c r="Z476" s="2046"/>
      <c r="AA476" s="2046"/>
      <c r="AB476" s="2046"/>
      <c r="AC476" s="2046"/>
    </row>
    <row r="477" spans="1:29">
      <c r="A477" s="2046"/>
      <c r="B477" s="2046"/>
      <c r="C477" s="2046"/>
      <c r="D477" s="2046"/>
      <c r="E477" s="2046"/>
      <c r="F477" s="2046"/>
      <c r="G477" s="2046"/>
      <c r="H477" s="2046"/>
      <c r="I477" s="2046"/>
      <c r="J477" s="2046"/>
      <c r="K477" s="2047"/>
      <c r="L477" s="2048"/>
      <c r="M477" s="2046"/>
      <c r="N477" s="2046"/>
      <c r="O477" s="2046"/>
      <c r="P477" s="2086"/>
      <c r="Q477" s="2046"/>
      <c r="R477" s="2046"/>
      <c r="S477" s="2046"/>
      <c r="T477" s="2046"/>
      <c r="U477" s="2046"/>
      <c r="V477" s="2046"/>
      <c r="W477" s="2046"/>
      <c r="X477" s="2046"/>
      <c r="Y477" s="2046"/>
      <c r="Z477" s="2046"/>
      <c r="AA477" s="2046"/>
      <c r="AB477" s="2046"/>
      <c r="AC477" s="2046"/>
    </row>
    <row r="478" spans="1:29">
      <c r="A478" s="2046"/>
      <c r="B478" s="2046"/>
      <c r="C478" s="2046"/>
      <c r="D478" s="2046"/>
      <c r="E478" s="2046"/>
      <c r="F478" s="2046"/>
      <c r="G478" s="2046"/>
      <c r="H478" s="2046"/>
      <c r="I478" s="2046"/>
      <c r="J478" s="2046"/>
      <c r="K478" s="2047"/>
      <c r="L478" s="2048"/>
      <c r="M478" s="2046"/>
      <c r="N478" s="2046"/>
      <c r="O478" s="2046"/>
      <c r="P478" s="2086"/>
      <c r="Q478" s="2046"/>
      <c r="R478" s="2046"/>
      <c r="S478" s="2046"/>
      <c r="T478" s="2046"/>
      <c r="U478" s="2046"/>
      <c r="V478" s="2046"/>
      <c r="W478" s="2046"/>
      <c r="X478" s="2046"/>
      <c r="Y478" s="2046"/>
      <c r="Z478" s="2046"/>
      <c r="AA478" s="2046"/>
      <c r="AB478" s="2046"/>
      <c r="AC478" s="2046"/>
    </row>
    <row r="479" spans="1:29">
      <c r="A479" s="2046"/>
      <c r="B479" s="2046"/>
      <c r="C479" s="2046"/>
      <c r="D479" s="2046"/>
      <c r="E479" s="2046"/>
      <c r="F479" s="2046"/>
      <c r="G479" s="2046"/>
      <c r="H479" s="2046"/>
      <c r="I479" s="2046"/>
      <c r="J479" s="2046"/>
      <c r="K479" s="2047"/>
      <c r="L479" s="2048"/>
      <c r="M479" s="2046"/>
      <c r="N479" s="2046"/>
      <c r="O479" s="2046"/>
      <c r="P479" s="2086"/>
      <c r="Q479" s="2046"/>
      <c r="R479" s="2046"/>
      <c r="S479" s="2046"/>
      <c r="T479" s="2046"/>
      <c r="U479" s="2046"/>
      <c r="V479" s="2046"/>
      <c r="W479" s="2046"/>
      <c r="X479" s="2046"/>
      <c r="Y479" s="2046"/>
      <c r="Z479" s="2046"/>
      <c r="AA479" s="2046"/>
      <c r="AB479" s="2046"/>
      <c r="AC479" s="2046"/>
    </row>
    <row r="480" spans="1:29">
      <c r="A480" s="2046"/>
      <c r="B480" s="2046"/>
      <c r="C480" s="2046"/>
      <c r="D480" s="2046"/>
      <c r="E480" s="2046"/>
      <c r="F480" s="2046"/>
      <c r="G480" s="2046"/>
      <c r="H480" s="2046"/>
      <c r="I480" s="2046"/>
      <c r="J480" s="2046"/>
      <c r="K480" s="2047"/>
      <c r="L480" s="2048"/>
      <c r="M480" s="2046"/>
      <c r="N480" s="2046"/>
      <c r="O480" s="2046"/>
      <c r="P480" s="2086"/>
      <c r="Q480" s="2046"/>
      <c r="R480" s="2046"/>
      <c r="S480" s="2046"/>
      <c r="T480" s="2046"/>
      <c r="U480" s="2046"/>
      <c r="V480" s="2046"/>
      <c r="W480" s="2046"/>
      <c r="X480" s="2046"/>
      <c r="Y480" s="2046"/>
      <c r="Z480" s="2046"/>
      <c r="AA480" s="2046"/>
      <c r="AB480" s="2046"/>
      <c r="AC480" s="2046"/>
    </row>
    <row r="481" spans="1:29">
      <c r="A481" s="2046"/>
      <c r="B481" s="2046"/>
      <c r="C481" s="2046"/>
      <c r="D481" s="2046"/>
      <c r="E481" s="2046"/>
      <c r="F481" s="2046"/>
      <c r="G481" s="2046"/>
      <c r="H481" s="2046"/>
      <c r="I481" s="2046"/>
      <c r="J481" s="2046"/>
      <c r="K481" s="2047"/>
      <c r="L481" s="2048"/>
      <c r="M481" s="2046"/>
      <c r="N481" s="2046"/>
      <c r="O481" s="2046"/>
      <c r="P481" s="2086"/>
      <c r="Q481" s="2046"/>
      <c r="R481" s="2046"/>
      <c r="S481" s="2046"/>
      <c r="T481" s="2046"/>
      <c r="U481" s="2046"/>
      <c r="V481" s="2046"/>
      <c r="W481" s="2046"/>
      <c r="X481" s="2046"/>
      <c r="Y481" s="2046"/>
      <c r="Z481" s="2046"/>
      <c r="AA481" s="2046"/>
      <c r="AB481" s="2046"/>
      <c r="AC481" s="2046"/>
    </row>
    <row r="482" spans="1:29">
      <c r="A482" s="2046"/>
      <c r="B482" s="2046"/>
      <c r="C482" s="2046"/>
      <c r="D482" s="2046"/>
      <c r="E482" s="2046"/>
      <c r="F482" s="2046"/>
      <c r="G482" s="2046"/>
      <c r="H482" s="2046"/>
      <c r="I482" s="2046"/>
      <c r="J482" s="2046"/>
      <c r="K482" s="2047"/>
      <c r="L482" s="2048"/>
      <c r="M482" s="2046"/>
      <c r="N482" s="2046"/>
      <c r="O482" s="2046"/>
      <c r="P482" s="2086"/>
      <c r="Q482" s="2046"/>
      <c r="R482" s="2046"/>
      <c r="S482" s="2046"/>
      <c r="T482" s="2046"/>
      <c r="U482" s="2046"/>
      <c r="V482" s="2046"/>
      <c r="W482" s="2046"/>
      <c r="X482" s="2046"/>
      <c r="Y482" s="2046"/>
      <c r="Z482" s="2046"/>
      <c r="AA482" s="2046"/>
      <c r="AB482" s="2046"/>
      <c r="AC482" s="2046"/>
    </row>
    <row r="483" spans="1:29">
      <c r="A483" s="2046"/>
      <c r="B483" s="2046"/>
      <c r="C483" s="2046"/>
      <c r="D483" s="2046"/>
      <c r="E483" s="2046"/>
      <c r="F483" s="2046"/>
      <c r="G483" s="2046"/>
      <c r="H483" s="2046"/>
      <c r="I483" s="2046"/>
      <c r="J483" s="2046"/>
      <c r="K483" s="2047"/>
      <c r="L483" s="2048"/>
      <c r="M483" s="2046"/>
      <c r="N483" s="2046"/>
      <c r="O483" s="2046"/>
      <c r="P483" s="2086"/>
      <c r="Q483" s="2046"/>
      <c r="R483" s="2046"/>
      <c r="S483" s="2046"/>
      <c r="T483" s="2046"/>
      <c r="U483" s="2046"/>
      <c r="V483" s="2046"/>
      <c r="W483" s="2046"/>
      <c r="X483" s="2046"/>
      <c r="Y483" s="2046"/>
      <c r="Z483" s="2046"/>
      <c r="AA483" s="2046"/>
      <c r="AB483" s="2046"/>
      <c r="AC483" s="2046"/>
    </row>
    <row r="484" spans="1:29">
      <c r="A484" s="2046"/>
      <c r="B484" s="2046"/>
      <c r="C484" s="2046"/>
      <c r="D484" s="2046"/>
      <c r="E484" s="2046"/>
      <c r="F484" s="2046"/>
      <c r="G484" s="2046"/>
      <c r="H484" s="2046"/>
      <c r="I484" s="2046"/>
      <c r="J484" s="2046"/>
      <c r="K484" s="2047"/>
      <c r="L484" s="2048"/>
      <c r="M484" s="2046"/>
      <c r="N484" s="2046"/>
      <c r="O484" s="2046"/>
      <c r="P484" s="2086"/>
      <c r="Q484" s="2046"/>
      <c r="R484" s="2046"/>
      <c r="S484" s="2046"/>
      <c r="T484" s="2046"/>
      <c r="U484" s="2046"/>
      <c r="V484" s="2046"/>
      <c r="W484" s="2046"/>
      <c r="X484" s="2046"/>
      <c r="Y484" s="2046"/>
      <c r="Z484" s="2046"/>
      <c r="AA484" s="2046"/>
      <c r="AB484" s="2046"/>
      <c r="AC484" s="2046"/>
    </row>
    <row r="485" spans="1:29">
      <c r="A485" s="2046"/>
      <c r="B485" s="2046"/>
      <c r="C485" s="2046"/>
      <c r="D485" s="2046"/>
      <c r="E485" s="2046"/>
      <c r="F485" s="2046"/>
      <c r="G485" s="2046"/>
      <c r="H485" s="2046"/>
      <c r="I485" s="2046"/>
      <c r="J485" s="2046"/>
      <c r="K485" s="2047"/>
      <c r="L485" s="2048"/>
      <c r="M485" s="2046"/>
      <c r="N485" s="2046"/>
      <c r="O485" s="2046"/>
      <c r="P485" s="2086"/>
      <c r="Q485" s="2046"/>
      <c r="R485" s="2046"/>
      <c r="S485" s="2046"/>
      <c r="T485" s="2046"/>
      <c r="U485" s="2046"/>
      <c r="V485" s="2046"/>
      <c r="W485" s="2046"/>
      <c r="X485" s="2046"/>
      <c r="Y485" s="2046"/>
      <c r="Z485" s="2046"/>
      <c r="AA485" s="2046"/>
      <c r="AB485" s="2046"/>
      <c r="AC485" s="2046"/>
    </row>
    <row r="486" spans="1:29">
      <c r="A486" s="2046"/>
      <c r="B486" s="2046"/>
      <c r="C486" s="2046"/>
      <c r="D486" s="2046"/>
      <c r="E486" s="2046"/>
      <c r="F486" s="2046"/>
      <c r="G486" s="2046"/>
      <c r="H486" s="2046"/>
      <c r="I486" s="2046"/>
      <c r="J486" s="2046"/>
      <c r="K486" s="2047"/>
      <c r="L486" s="2048"/>
      <c r="M486" s="2046"/>
      <c r="N486" s="2046"/>
      <c r="O486" s="2046"/>
      <c r="P486" s="2086"/>
      <c r="Q486" s="2046"/>
      <c r="R486" s="2046"/>
      <c r="S486" s="2046"/>
      <c r="T486" s="2046"/>
      <c r="U486" s="2046"/>
      <c r="V486" s="2046"/>
      <c r="W486" s="2046"/>
      <c r="X486" s="2046"/>
      <c r="Y486" s="2046"/>
      <c r="Z486" s="2046"/>
      <c r="AA486" s="2046"/>
      <c r="AB486" s="2046"/>
      <c r="AC486" s="2046"/>
    </row>
    <row r="487" spans="1:29">
      <c r="A487" s="2046"/>
      <c r="B487" s="2046"/>
      <c r="C487" s="2046"/>
      <c r="D487" s="2046"/>
      <c r="E487" s="2046"/>
      <c r="F487" s="2046"/>
      <c r="G487" s="2046"/>
      <c r="H487" s="2046"/>
      <c r="I487" s="2046"/>
      <c r="J487" s="2046"/>
      <c r="K487" s="2047"/>
      <c r="L487" s="2048"/>
      <c r="M487" s="2046"/>
      <c r="N487" s="2046"/>
      <c r="O487" s="2046"/>
      <c r="P487" s="2086"/>
      <c r="Q487" s="2046"/>
      <c r="R487" s="2046"/>
      <c r="S487" s="2046"/>
      <c r="T487" s="2046"/>
      <c r="U487" s="2046"/>
      <c r="V487" s="2046"/>
      <c r="W487" s="2046"/>
      <c r="X487" s="2046"/>
      <c r="Y487" s="2046"/>
      <c r="Z487" s="2046"/>
      <c r="AA487" s="2046"/>
      <c r="AB487" s="2046"/>
      <c r="AC487" s="2046"/>
    </row>
    <row r="488" spans="1:29">
      <c r="A488" s="2046"/>
      <c r="B488" s="2046"/>
      <c r="C488" s="2046"/>
      <c r="D488" s="2046"/>
      <c r="E488" s="2046"/>
      <c r="F488" s="2046"/>
      <c r="G488" s="2046"/>
      <c r="H488" s="2046"/>
      <c r="I488" s="2046"/>
      <c r="J488" s="2046"/>
      <c r="K488" s="2047"/>
      <c r="L488" s="2048"/>
      <c r="M488" s="2046"/>
      <c r="N488" s="2046"/>
      <c r="O488" s="2046"/>
      <c r="P488" s="2086"/>
      <c r="Q488" s="2046"/>
      <c r="R488" s="2046"/>
      <c r="S488" s="2046"/>
      <c r="T488" s="2046"/>
      <c r="U488" s="2046"/>
      <c r="V488" s="2046"/>
      <c r="W488" s="2046"/>
      <c r="X488" s="2046"/>
      <c r="Y488" s="2046"/>
      <c r="Z488" s="2046"/>
      <c r="AA488" s="2046"/>
      <c r="AB488" s="2046"/>
      <c r="AC488" s="2046"/>
    </row>
    <row r="489" spans="1:29">
      <c r="A489" s="2046"/>
      <c r="B489" s="2046"/>
      <c r="C489" s="2046"/>
      <c r="D489" s="2046"/>
      <c r="E489" s="2046"/>
      <c r="F489" s="2046"/>
      <c r="G489" s="2046"/>
      <c r="H489" s="2046"/>
      <c r="I489" s="2046"/>
      <c r="J489" s="2046"/>
      <c r="K489" s="2047"/>
      <c r="L489" s="2048"/>
      <c r="M489" s="2046"/>
      <c r="N489" s="2046"/>
      <c r="O489" s="2046"/>
      <c r="P489" s="2086"/>
      <c r="Q489" s="2046"/>
      <c r="R489" s="2046"/>
      <c r="S489" s="2046"/>
      <c r="T489" s="2046"/>
      <c r="U489" s="2046"/>
      <c r="V489" s="2046"/>
      <c r="W489" s="2046"/>
      <c r="X489" s="2046"/>
      <c r="Y489" s="2046"/>
      <c r="Z489" s="2046"/>
      <c r="AA489" s="2046"/>
      <c r="AB489" s="2046"/>
      <c r="AC489" s="2046"/>
    </row>
    <row r="490" spans="1:29">
      <c r="A490" s="2046"/>
      <c r="B490" s="2046"/>
      <c r="C490" s="2046"/>
      <c r="D490" s="2046"/>
      <c r="E490" s="2046"/>
      <c r="F490" s="2046"/>
      <c r="G490" s="2046"/>
      <c r="H490" s="2046"/>
      <c r="I490" s="2046"/>
      <c r="J490" s="2046"/>
      <c r="K490" s="2047"/>
      <c r="L490" s="2048"/>
      <c r="M490" s="2046"/>
      <c r="N490" s="2046"/>
      <c r="O490" s="2046"/>
      <c r="P490" s="2086"/>
      <c r="Q490" s="2046"/>
      <c r="R490" s="2046"/>
      <c r="S490" s="2046"/>
      <c r="T490" s="2046"/>
      <c r="U490" s="2046"/>
      <c r="V490" s="2046"/>
      <c r="W490" s="2046"/>
      <c r="X490" s="2046"/>
      <c r="Y490" s="2046"/>
      <c r="Z490" s="2046"/>
      <c r="AA490" s="2046"/>
      <c r="AB490" s="2046"/>
      <c r="AC490" s="2046"/>
    </row>
    <row r="491" spans="1:29">
      <c r="A491" s="2046"/>
      <c r="B491" s="2046"/>
      <c r="C491" s="2046"/>
      <c r="D491" s="2046"/>
      <c r="E491" s="2046"/>
      <c r="F491" s="2046"/>
      <c r="G491" s="2046"/>
      <c r="H491" s="2046"/>
      <c r="I491" s="2046"/>
      <c r="J491" s="2046"/>
      <c r="K491" s="2047"/>
      <c r="L491" s="2048"/>
      <c r="M491" s="2046"/>
      <c r="N491" s="2046"/>
      <c r="O491" s="2046"/>
      <c r="P491" s="2086"/>
      <c r="Q491" s="2046"/>
      <c r="R491" s="2046"/>
      <c r="S491" s="2046"/>
      <c r="T491" s="2046"/>
      <c r="U491" s="2046"/>
      <c r="V491" s="2046"/>
      <c r="W491" s="2046"/>
      <c r="X491" s="2046"/>
      <c r="Y491" s="2046"/>
      <c r="Z491" s="2046"/>
      <c r="AA491" s="2046"/>
      <c r="AB491" s="2046"/>
      <c r="AC491" s="2046"/>
    </row>
    <row r="492" spans="1:29">
      <c r="A492" s="2046"/>
      <c r="B492" s="2046"/>
      <c r="C492" s="2046"/>
      <c r="D492" s="2046"/>
      <c r="E492" s="2046"/>
      <c r="F492" s="2046"/>
      <c r="G492" s="2046"/>
      <c r="H492" s="2046"/>
      <c r="I492" s="2046"/>
      <c r="J492" s="2046"/>
      <c r="K492" s="2047"/>
      <c r="L492" s="2048"/>
      <c r="M492" s="2046"/>
      <c r="N492" s="2046"/>
      <c r="O492" s="2046"/>
      <c r="P492" s="2086"/>
      <c r="Q492" s="2046"/>
      <c r="R492" s="2046"/>
      <c r="S492" s="2046"/>
      <c r="T492" s="2046"/>
      <c r="U492" s="2046"/>
      <c r="V492" s="2046"/>
      <c r="W492" s="2046"/>
      <c r="X492" s="2046"/>
      <c r="Y492" s="2046"/>
      <c r="Z492" s="2046"/>
      <c r="AA492" s="2046"/>
      <c r="AB492" s="2046"/>
      <c r="AC492" s="2046"/>
    </row>
    <row r="493" spans="1:29">
      <c r="A493" s="2046"/>
      <c r="B493" s="2046"/>
      <c r="C493" s="2046"/>
      <c r="D493" s="2046"/>
      <c r="E493" s="2046"/>
      <c r="F493" s="2046"/>
      <c r="G493" s="2046"/>
      <c r="H493" s="2046"/>
      <c r="I493" s="2046"/>
      <c r="J493" s="2046"/>
      <c r="K493" s="2047"/>
      <c r="L493" s="2048"/>
      <c r="M493" s="2046"/>
      <c r="N493" s="2046"/>
      <c r="O493" s="2046"/>
      <c r="P493" s="2086"/>
      <c r="Q493" s="2046"/>
      <c r="R493" s="2046"/>
      <c r="S493" s="2046"/>
      <c r="T493" s="2046"/>
      <c r="U493" s="2046"/>
      <c r="V493" s="2046"/>
      <c r="W493" s="2046"/>
      <c r="X493" s="2046"/>
      <c r="Y493" s="2046"/>
      <c r="Z493" s="2046"/>
      <c r="AA493" s="2046"/>
      <c r="AB493" s="2046"/>
      <c r="AC493" s="2046"/>
    </row>
    <row r="494" spans="1:29">
      <c r="A494" s="2046"/>
      <c r="B494" s="2046"/>
      <c r="C494" s="2046"/>
      <c r="D494" s="2046"/>
      <c r="E494" s="2046"/>
      <c r="F494" s="2046"/>
      <c r="G494" s="2046"/>
      <c r="H494" s="2046"/>
      <c r="I494" s="2046"/>
      <c r="J494" s="2046"/>
      <c r="K494" s="2047"/>
      <c r="L494" s="2048"/>
      <c r="M494" s="2046"/>
      <c r="N494" s="2046"/>
      <c r="O494" s="2046"/>
      <c r="P494" s="2086"/>
      <c r="Q494" s="2046"/>
      <c r="R494" s="2046"/>
      <c r="S494" s="2046"/>
      <c r="T494" s="2046"/>
      <c r="U494" s="2046"/>
      <c r="V494" s="2046"/>
      <c r="W494" s="2046"/>
      <c r="X494" s="2046"/>
      <c r="Y494" s="2046"/>
      <c r="Z494" s="2046"/>
      <c r="AA494" s="2046"/>
      <c r="AB494" s="2046"/>
      <c r="AC494" s="2046"/>
    </row>
    <row r="495" spans="1:29">
      <c r="A495" s="2046"/>
      <c r="B495" s="2046"/>
      <c r="C495" s="2046"/>
      <c r="D495" s="2046"/>
      <c r="E495" s="2046"/>
      <c r="F495" s="2046"/>
      <c r="G495" s="2046"/>
      <c r="H495" s="2046"/>
      <c r="I495" s="2046"/>
      <c r="J495" s="2046"/>
      <c r="K495" s="2047"/>
      <c r="L495" s="2048"/>
      <c r="M495" s="2046"/>
      <c r="N495" s="2046"/>
      <c r="O495" s="2046"/>
      <c r="P495" s="2086"/>
      <c r="Q495" s="2046"/>
      <c r="R495" s="2046"/>
      <c r="S495" s="2046"/>
      <c r="T495" s="2046"/>
      <c r="U495" s="2046"/>
      <c r="V495" s="2046"/>
      <c r="W495" s="2046"/>
      <c r="X495" s="2046"/>
      <c r="Y495" s="2046"/>
      <c r="Z495" s="2046"/>
      <c r="AA495" s="2046"/>
      <c r="AB495" s="2046"/>
      <c r="AC495" s="2046"/>
    </row>
    <row r="496" spans="1:29">
      <c r="A496" s="2046"/>
      <c r="B496" s="2046"/>
      <c r="C496" s="2046"/>
      <c r="D496" s="2046"/>
      <c r="E496" s="2046"/>
      <c r="F496" s="2046"/>
      <c r="G496" s="2046"/>
      <c r="H496" s="2046"/>
      <c r="I496" s="2046"/>
      <c r="J496" s="2046"/>
      <c r="K496" s="2047"/>
      <c r="L496" s="2048"/>
      <c r="M496" s="2046"/>
      <c r="N496" s="2046"/>
      <c r="O496" s="2046"/>
      <c r="P496" s="2086"/>
      <c r="Q496" s="2046"/>
      <c r="R496" s="2046"/>
      <c r="S496" s="2046"/>
      <c r="T496" s="2046"/>
      <c r="U496" s="2046"/>
      <c r="V496" s="2046"/>
      <c r="W496" s="2046"/>
      <c r="X496" s="2046"/>
      <c r="Y496" s="2046"/>
      <c r="Z496" s="2046"/>
      <c r="AA496" s="2046"/>
      <c r="AB496" s="2046"/>
      <c r="AC496" s="2046"/>
    </row>
    <row r="497" spans="1:29">
      <c r="A497" s="2046"/>
      <c r="B497" s="2046"/>
      <c r="C497" s="2046"/>
      <c r="D497" s="2046"/>
      <c r="E497" s="2046"/>
      <c r="F497" s="2046"/>
      <c r="G497" s="2046"/>
      <c r="H497" s="2046"/>
      <c r="I497" s="2046"/>
      <c r="J497" s="2046"/>
      <c r="K497" s="2047"/>
      <c r="L497" s="2048"/>
      <c r="M497" s="2046"/>
      <c r="N497" s="2046"/>
      <c r="O497" s="2046"/>
      <c r="P497" s="2086"/>
      <c r="Q497" s="2046"/>
      <c r="R497" s="2046"/>
      <c r="S497" s="2046"/>
      <c r="T497" s="2046"/>
      <c r="U497" s="2046"/>
      <c r="V497" s="2046"/>
      <c r="W497" s="2046"/>
      <c r="X497" s="2046"/>
      <c r="Y497" s="2046"/>
      <c r="Z497" s="2046"/>
      <c r="AA497" s="2046"/>
      <c r="AB497" s="2046"/>
      <c r="AC497" s="2046"/>
    </row>
    <row r="498" spans="1:29">
      <c r="A498" s="2046"/>
      <c r="B498" s="2046"/>
      <c r="C498" s="2046"/>
      <c r="D498" s="2046"/>
      <c r="E498" s="2046"/>
      <c r="F498" s="2046"/>
      <c r="G498" s="2046"/>
      <c r="H498" s="2046"/>
      <c r="I498" s="2046"/>
      <c r="J498" s="2046"/>
      <c r="K498" s="2047"/>
      <c r="L498" s="2048"/>
      <c r="M498" s="2046"/>
      <c r="N498" s="2046"/>
      <c r="O498" s="2046"/>
      <c r="P498" s="2086"/>
      <c r="Q498" s="2046"/>
      <c r="R498" s="2046"/>
      <c r="S498" s="2046"/>
      <c r="T498" s="2046"/>
      <c r="U498" s="2046"/>
      <c r="V498" s="2046"/>
      <c r="W498" s="2046"/>
      <c r="X498" s="2046"/>
      <c r="Y498" s="2046"/>
      <c r="Z498" s="2046"/>
      <c r="AA498" s="2046"/>
      <c r="AB498" s="2046"/>
      <c r="AC498" s="2046"/>
    </row>
    <row r="499" spans="1:29">
      <c r="A499" s="2046"/>
      <c r="B499" s="2046"/>
      <c r="C499" s="2046"/>
      <c r="D499" s="2046"/>
      <c r="E499" s="2046"/>
      <c r="F499" s="2046"/>
      <c r="G499" s="2046"/>
      <c r="H499" s="2046"/>
      <c r="I499" s="2046"/>
      <c r="J499" s="2046"/>
      <c r="K499" s="2047"/>
      <c r="L499" s="2048"/>
      <c r="M499" s="2046"/>
      <c r="N499" s="2046"/>
      <c r="O499" s="2046"/>
      <c r="P499" s="2086"/>
      <c r="Q499" s="2046"/>
      <c r="R499" s="2046"/>
      <c r="S499" s="2046"/>
      <c r="T499" s="2046"/>
      <c r="U499" s="2046"/>
      <c r="V499" s="2046"/>
      <c r="W499" s="2046"/>
      <c r="X499" s="2046"/>
      <c r="Y499" s="2046"/>
      <c r="Z499" s="2046"/>
      <c r="AA499" s="2046"/>
      <c r="AB499" s="2046"/>
      <c r="AC499" s="2046"/>
    </row>
    <row r="500" spans="1:29">
      <c r="A500" s="2046"/>
      <c r="B500" s="2046"/>
      <c r="C500" s="2046"/>
      <c r="D500" s="2046"/>
      <c r="E500" s="2046"/>
      <c r="F500" s="2046"/>
      <c r="G500" s="2046"/>
      <c r="H500" s="2046"/>
      <c r="I500" s="2046"/>
      <c r="J500" s="2046"/>
      <c r="K500" s="2047"/>
      <c r="L500" s="2048"/>
      <c r="M500" s="2046"/>
      <c r="N500" s="2046"/>
      <c r="O500" s="2046"/>
      <c r="P500" s="2086"/>
      <c r="Q500" s="2046"/>
      <c r="R500" s="2046"/>
      <c r="S500" s="2046"/>
      <c r="T500" s="2046"/>
      <c r="U500" s="2046"/>
      <c r="V500" s="2046"/>
      <c r="W500" s="2046"/>
      <c r="X500" s="2046"/>
      <c r="Y500" s="2046"/>
      <c r="Z500" s="2046"/>
      <c r="AA500" s="2046"/>
      <c r="AB500" s="2046"/>
      <c r="AC500" s="2046"/>
    </row>
    <row r="501" spans="1:29">
      <c r="A501" s="2046"/>
      <c r="B501" s="2046"/>
      <c r="C501" s="2046"/>
      <c r="D501" s="2046"/>
      <c r="E501" s="2046"/>
      <c r="F501" s="2046"/>
      <c r="G501" s="2046"/>
      <c r="H501" s="2046"/>
      <c r="I501" s="2046"/>
      <c r="J501" s="2046"/>
      <c r="K501" s="2047"/>
      <c r="L501" s="2048"/>
      <c r="M501" s="2046"/>
      <c r="N501" s="2046"/>
      <c r="O501" s="2046"/>
      <c r="P501" s="2086"/>
      <c r="Q501" s="2046"/>
      <c r="R501" s="2046"/>
      <c r="S501" s="2046"/>
      <c r="T501" s="2046"/>
      <c r="U501" s="2046"/>
      <c r="V501" s="2046"/>
      <c r="W501" s="2046"/>
      <c r="X501" s="2046"/>
      <c r="Y501" s="2046"/>
      <c r="Z501" s="2046"/>
      <c r="AA501" s="2046"/>
      <c r="AB501" s="2046"/>
      <c r="AC501" s="2046"/>
    </row>
    <row r="502" spans="1:29">
      <c r="A502" s="2046"/>
      <c r="B502" s="2046"/>
      <c r="C502" s="2046"/>
      <c r="D502" s="2046"/>
      <c r="E502" s="2046"/>
      <c r="F502" s="2046"/>
      <c r="G502" s="2046"/>
      <c r="H502" s="2046"/>
      <c r="I502" s="2046"/>
      <c r="J502" s="2046"/>
      <c r="K502" s="2047"/>
      <c r="L502" s="2048"/>
      <c r="M502" s="2046"/>
      <c r="N502" s="2046"/>
      <c r="O502" s="2046"/>
      <c r="P502" s="2086"/>
      <c r="Q502" s="2046"/>
      <c r="R502" s="2046"/>
      <c r="S502" s="2046"/>
      <c r="T502" s="2046"/>
      <c r="U502" s="2046"/>
      <c r="V502" s="2046"/>
      <c r="W502" s="2046"/>
      <c r="X502" s="2046"/>
      <c r="Y502" s="2046"/>
      <c r="Z502" s="2046"/>
      <c r="AA502" s="2046"/>
      <c r="AB502" s="2046"/>
      <c r="AC502" s="2046"/>
    </row>
    <row r="503" spans="1:29">
      <c r="A503" s="2046"/>
      <c r="B503" s="2046"/>
      <c r="C503" s="2046"/>
      <c r="D503" s="2046"/>
      <c r="E503" s="2046"/>
      <c r="F503" s="2046"/>
      <c r="G503" s="2046"/>
      <c r="H503" s="2046"/>
      <c r="I503" s="2046"/>
      <c r="J503" s="2046"/>
      <c r="K503" s="2047"/>
      <c r="L503" s="2048"/>
      <c r="M503" s="2046"/>
      <c r="N503" s="2046"/>
      <c r="O503" s="2046"/>
      <c r="P503" s="2086"/>
      <c r="Q503" s="2046"/>
      <c r="R503" s="2046"/>
      <c r="S503" s="2046"/>
      <c r="T503" s="2046"/>
      <c r="U503" s="2046"/>
      <c r="V503" s="2046"/>
      <c r="W503" s="2046"/>
      <c r="X503" s="2046"/>
      <c r="Y503" s="2046"/>
      <c r="Z503" s="2046"/>
      <c r="AA503" s="2046"/>
      <c r="AB503" s="2046"/>
      <c r="AC503" s="2046"/>
    </row>
    <row r="504" spans="1:29">
      <c r="A504" s="2046"/>
      <c r="B504" s="2046"/>
      <c r="C504" s="2046"/>
      <c r="D504" s="2046"/>
      <c r="E504" s="2046"/>
      <c r="F504" s="2046"/>
      <c r="G504" s="2046"/>
      <c r="H504" s="2046"/>
      <c r="I504" s="2046"/>
      <c r="J504" s="2046"/>
      <c r="K504" s="2047"/>
      <c r="L504" s="2048"/>
      <c r="M504" s="2046"/>
      <c r="N504" s="2046"/>
      <c r="O504" s="2046"/>
      <c r="P504" s="2086"/>
      <c r="Q504" s="2046"/>
      <c r="R504" s="2046"/>
      <c r="S504" s="2046"/>
      <c r="T504" s="2046"/>
      <c r="U504" s="2046"/>
      <c r="V504" s="2046"/>
      <c r="W504" s="2046"/>
      <c r="X504" s="2046"/>
      <c r="Y504" s="2046"/>
      <c r="Z504" s="2046"/>
      <c r="AA504" s="2046"/>
      <c r="AB504" s="2046"/>
      <c r="AC504" s="2046"/>
    </row>
    <row r="505" spans="1:29">
      <c r="A505" s="2046"/>
      <c r="B505" s="2046"/>
      <c r="C505" s="2046"/>
      <c r="D505" s="2046"/>
      <c r="E505" s="2046"/>
      <c r="F505" s="2046"/>
      <c r="G505" s="2046"/>
      <c r="H505" s="2046"/>
      <c r="I505" s="2046"/>
      <c r="J505" s="2046"/>
      <c r="K505" s="2047"/>
      <c r="L505" s="2048"/>
      <c r="M505" s="2046"/>
      <c r="N505" s="2046"/>
      <c r="O505" s="2046"/>
      <c r="P505" s="2086"/>
      <c r="Q505" s="2046"/>
      <c r="R505" s="2046"/>
      <c r="S505" s="2046"/>
      <c r="T505" s="2046"/>
      <c r="U505" s="2046"/>
      <c r="V505" s="2046"/>
      <c r="W505" s="2046"/>
      <c r="X505" s="2046"/>
      <c r="Y505" s="2046"/>
      <c r="Z505" s="2046"/>
      <c r="AA505" s="2046"/>
      <c r="AB505" s="2046"/>
      <c r="AC505" s="2046"/>
    </row>
    <row r="506" spans="1:29">
      <c r="A506" s="2046"/>
      <c r="B506" s="2046"/>
      <c r="C506" s="2046"/>
      <c r="D506" s="2046"/>
      <c r="E506" s="2046"/>
      <c r="F506" s="2046"/>
      <c r="G506" s="2046"/>
      <c r="H506" s="2046"/>
      <c r="I506" s="2046"/>
      <c r="J506" s="2046"/>
      <c r="K506" s="2047"/>
      <c r="L506" s="2048"/>
      <c r="M506" s="2046"/>
      <c r="N506" s="2046"/>
      <c r="O506" s="2046"/>
      <c r="P506" s="2086"/>
      <c r="Q506" s="2046"/>
      <c r="R506" s="2046"/>
      <c r="S506" s="2046"/>
      <c r="T506" s="2046"/>
      <c r="U506" s="2046"/>
      <c r="V506" s="2046"/>
      <c r="W506" s="2046"/>
      <c r="X506" s="2046"/>
      <c r="Y506" s="2046"/>
      <c r="Z506" s="2046"/>
      <c r="AA506" s="2046"/>
      <c r="AB506" s="2046"/>
      <c r="AC506" s="2046"/>
    </row>
    <row r="507" spans="1:29">
      <c r="A507" s="2046"/>
      <c r="B507" s="2046"/>
      <c r="C507" s="2046"/>
      <c r="D507" s="2046"/>
      <c r="E507" s="2046"/>
      <c r="F507" s="2046"/>
      <c r="G507" s="2046"/>
      <c r="H507" s="2046"/>
      <c r="I507" s="2046"/>
      <c r="J507" s="2046"/>
      <c r="K507" s="2047"/>
      <c r="L507" s="2048"/>
      <c r="M507" s="2046"/>
      <c r="N507" s="2046"/>
      <c r="O507" s="2046"/>
      <c r="P507" s="2086"/>
      <c r="Q507" s="2046"/>
      <c r="R507" s="2046"/>
      <c r="S507" s="2046"/>
      <c r="T507" s="2046"/>
      <c r="U507" s="2046"/>
      <c r="V507" s="2046"/>
      <c r="W507" s="2046"/>
      <c r="X507" s="2046"/>
      <c r="Y507" s="2046"/>
      <c r="Z507" s="2046"/>
      <c r="AA507" s="2046"/>
      <c r="AB507" s="2046"/>
      <c r="AC507" s="2046"/>
    </row>
    <row r="508" spans="1:29">
      <c r="A508" s="2046"/>
      <c r="B508" s="2046"/>
      <c r="C508" s="2046"/>
      <c r="D508" s="2046"/>
      <c r="E508" s="2046"/>
      <c r="F508" s="2046"/>
      <c r="G508" s="2046"/>
      <c r="H508" s="2046"/>
      <c r="I508" s="2046"/>
      <c r="J508" s="2046"/>
      <c r="K508" s="2047"/>
      <c r="L508" s="2048"/>
      <c r="M508" s="2046"/>
      <c r="N508" s="2046"/>
      <c r="O508" s="2046"/>
      <c r="P508" s="2086"/>
      <c r="Q508" s="2046"/>
      <c r="R508" s="2046"/>
      <c r="S508" s="2046"/>
      <c r="T508" s="2046"/>
      <c r="U508" s="2046"/>
      <c r="V508" s="2046"/>
      <c r="W508" s="2046"/>
      <c r="X508" s="2046"/>
      <c r="Y508" s="2046"/>
      <c r="Z508" s="2046"/>
      <c r="AA508" s="2046"/>
      <c r="AB508" s="2046"/>
      <c r="AC508" s="2046"/>
    </row>
    <row r="509" spans="1:29">
      <c r="A509" s="2046"/>
      <c r="B509" s="2046"/>
      <c r="C509" s="2046"/>
      <c r="D509" s="2046"/>
      <c r="E509" s="2046"/>
      <c r="F509" s="2046"/>
      <c r="G509" s="2046"/>
      <c r="H509" s="2046"/>
      <c r="I509" s="2046"/>
      <c r="J509" s="2046"/>
      <c r="K509" s="2047"/>
      <c r="L509" s="2048"/>
      <c r="M509" s="2046"/>
      <c r="N509" s="2046"/>
      <c r="O509" s="2046"/>
      <c r="P509" s="2086"/>
      <c r="Q509" s="2046"/>
      <c r="R509" s="2046"/>
      <c r="S509" s="2046"/>
      <c r="T509" s="2046"/>
      <c r="U509" s="2046"/>
      <c r="V509" s="2046"/>
      <c r="W509" s="2046"/>
      <c r="X509" s="2046"/>
      <c r="Y509" s="2046"/>
      <c r="Z509" s="2046"/>
      <c r="AA509" s="2046"/>
      <c r="AB509" s="2046"/>
      <c r="AC509" s="2046"/>
    </row>
    <row r="510" spans="1:29">
      <c r="A510" s="2046"/>
      <c r="B510" s="2046"/>
      <c r="C510" s="2046"/>
      <c r="D510" s="2046"/>
      <c r="E510" s="2046"/>
      <c r="F510" s="2046"/>
      <c r="G510" s="2046"/>
      <c r="H510" s="2046"/>
      <c r="I510" s="2046"/>
      <c r="J510" s="2046"/>
      <c r="K510" s="2047"/>
      <c r="L510" s="2048"/>
      <c r="M510" s="2046"/>
      <c r="N510" s="2046"/>
      <c r="O510" s="2046"/>
      <c r="P510" s="2086"/>
      <c r="Q510" s="2046"/>
      <c r="R510" s="2046"/>
      <c r="S510" s="2046"/>
      <c r="T510" s="2046"/>
      <c r="U510" s="2046"/>
      <c r="V510" s="2046"/>
      <c r="W510" s="2046"/>
      <c r="X510" s="2046"/>
      <c r="Y510" s="2046"/>
      <c r="Z510" s="2046"/>
      <c r="AA510" s="2046"/>
      <c r="AB510" s="2046"/>
      <c r="AC510" s="2046"/>
    </row>
    <row r="511" spans="1:29">
      <c r="A511" s="2046"/>
      <c r="B511" s="2046"/>
      <c r="C511" s="2046"/>
      <c r="D511" s="2046"/>
      <c r="E511" s="2046"/>
      <c r="F511" s="2046"/>
      <c r="G511" s="2046"/>
      <c r="H511" s="2046"/>
      <c r="I511" s="2046"/>
      <c r="J511" s="2046"/>
      <c r="K511" s="2047"/>
      <c r="L511" s="2048"/>
      <c r="M511" s="2046"/>
      <c r="N511" s="2046"/>
      <c r="O511" s="2046"/>
      <c r="P511" s="2086"/>
      <c r="Q511" s="2046"/>
      <c r="R511" s="2046"/>
      <c r="S511" s="2046"/>
      <c r="T511" s="2046"/>
      <c r="U511" s="2046"/>
      <c r="V511" s="2046"/>
      <c r="W511" s="2046"/>
      <c r="X511" s="2046"/>
      <c r="Y511" s="2046"/>
      <c r="Z511" s="2046"/>
      <c r="AA511" s="2046"/>
      <c r="AB511" s="2046"/>
      <c r="AC511" s="2046"/>
    </row>
    <row r="512" spans="1:29">
      <c r="A512" s="2046"/>
      <c r="B512" s="2046"/>
      <c r="C512" s="2046"/>
      <c r="D512" s="2046"/>
      <c r="E512" s="2046"/>
      <c r="F512" s="2046"/>
      <c r="G512" s="2046"/>
      <c r="H512" s="2046"/>
      <c r="I512" s="2046"/>
      <c r="J512" s="2046"/>
      <c r="K512" s="2047"/>
      <c r="L512" s="2048"/>
      <c r="M512" s="2046"/>
      <c r="N512" s="2046"/>
      <c r="O512" s="2046"/>
      <c r="P512" s="2086"/>
      <c r="Q512" s="2046"/>
      <c r="R512" s="2046"/>
      <c r="S512" s="2046"/>
      <c r="T512" s="2046"/>
      <c r="U512" s="2046"/>
      <c r="V512" s="2046"/>
      <c r="W512" s="2046"/>
      <c r="X512" s="2046"/>
      <c r="Y512" s="2046"/>
      <c r="Z512" s="2046"/>
      <c r="AA512" s="2046"/>
      <c r="AB512" s="2046"/>
      <c r="AC512" s="2046"/>
    </row>
    <row r="513" spans="1:29">
      <c r="A513" s="2046"/>
      <c r="B513" s="2046"/>
      <c r="C513" s="2046"/>
      <c r="D513" s="2046"/>
      <c r="E513" s="2046"/>
      <c r="F513" s="2046"/>
      <c r="G513" s="2046"/>
      <c r="H513" s="2046"/>
      <c r="I513" s="2046"/>
      <c r="J513" s="2046"/>
      <c r="K513" s="2047"/>
      <c r="L513" s="2048"/>
      <c r="M513" s="2046"/>
      <c r="N513" s="2046"/>
      <c r="O513" s="2046"/>
      <c r="P513" s="2086"/>
      <c r="Q513" s="2046"/>
      <c r="R513" s="2046"/>
      <c r="S513" s="2046"/>
      <c r="T513" s="2046"/>
      <c r="U513" s="2046"/>
      <c r="V513" s="2046"/>
      <c r="W513" s="2046"/>
      <c r="X513" s="2046"/>
      <c r="Y513" s="2046"/>
      <c r="Z513" s="2046"/>
      <c r="AA513" s="2046"/>
      <c r="AB513" s="2046"/>
      <c r="AC513" s="2046"/>
    </row>
    <row r="514" spans="1:29">
      <c r="A514" s="2046"/>
      <c r="B514" s="2046"/>
      <c r="C514" s="2046"/>
      <c r="D514" s="2046"/>
      <c r="E514" s="2046"/>
      <c r="F514" s="2046"/>
      <c r="G514" s="2046"/>
      <c r="H514" s="2046"/>
      <c r="I514" s="2046"/>
      <c r="J514" s="2046"/>
      <c r="K514" s="2047"/>
      <c r="L514" s="2048"/>
      <c r="M514" s="2046"/>
      <c r="N514" s="2046"/>
      <c r="O514" s="2046"/>
      <c r="P514" s="2086"/>
      <c r="Q514" s="2046"/>
      <c r="R514" s="2046"/>
      <c r="S514" s="2046"/>
      <c r="T514" s="2046"/>
      <c r="U514" s="2046"/>
      <c r="V514" s="2046"/>
      <c r="W514" s="2046"/>
      <c r="X514" s="2046"/>
      <c r="Y514" s="2046"/>
      <c r="Z514" s="2046"/>
      <c r="AA514" s="2046"/>
      <c r="AB514" s="2046"/>
      <c r="AC514" s="2046"/>
    </row>
    <row r="515" spans="1:29">
      <c r="A515" s="2046"/>
      <c r="B515" s="2046"/>
      <c r="C515" s="2046"/>
      <c r="D515" s="2046"/>
      <c r="E515" s="2046"/>
      <c r="F515" s="2046"/>
      <c r="G515" s="2046"/>
      <c r="H515" s="2046"/>
      <c r="I515" s="2046"/>
      <c r="J515" s="2046"/>
      <c r="K515" s="2047"/>
      <c r="L515" s="2048"/>
      <c r="M515" s="2046"/>
      <c r="N515" s="2046"/>
      <c r="O515" s="2046"/>
      <c r="P515" s="2086"/>
      <c r="Q515" s="2046"/>
      <c r="R515" s="2046"/>
      <c r="S515" s="2046"/>
      <c r="T515" s="2046"/>
      <c r="U515" s="2046"/>
      <c r="V515" s="2046"/>
      <c r="W515" s="2046"/>
      <c r="X515" s="2046"/>
      <c r="Y515" s="2046"/>
      <c r="Z515" s="2046"/>
      <c r="AA515" s="2046"/>
      <c r="AB515" s="2046"/>
      <c r="AC515" s="2046"/>
    </row>
    <row r="516" spans="1:29">
      <c r="A516" s="2046"/>
      <c r="B516" s="2046"/>
      <c r="C516" s="2046"/>
      <c r="D516" s="2046"/>
      <c r="E516" s="2046"/>
      <c r="F516" s="2046"/>
      <c r="G516" s="2046"/>
      <c r="H516" s="2046"/>
      <c r="I516" s="2046"/>
      <c r="J516" s="2046"/>
      <c r="K516" s="2047"/>
      <c r="L516" s="2048"/>
      <c r="M516" s="2046"/>
      <c r="N516" s="2046"/>
      <c r="O516" s="2046"/>
      <c r="P516" s="2086"/>
      <c r="Q516" s="2046"/>
      <c r="R516" s="2046"/>
      <c r="S516" s="2046"/>
      <c r="T516" s="2046"/>
      <c r="U516" s="2046"/>
      <c r="V516" s="2046"/>
      <c r="W516" s="2046"/>
      <c r="X516" s="2046"/>
      <c r="Y516" s="2046"/>
      <c r="Z516" s="2046"/>
      <c r="AA516" s="2046"/>
      <c r="AB516" s="2046"/>
      <c r="AC516" s="2046"/>
    </row>
    <row r="517" spans="1:29">
      <c r="A517" s="2046"/>
      <c r="B517" s="2046"/>
      <c r="C517" s="2046"/>
      <c r="D517" s="2046"/>
      <c r="E517" s="2046"/>
      <c r="F517" s="2046"/>
      <c r="G517" s="2046"/>
      <c r="H517" s="2046"/>
      <c r="I517" s="2046"/>
      <c r="J517" s="2046"/>
      <c r="K517" s="2047"/>
      <c r="L517" s="2048"/>
      <c r="M517" s="2046"/>
      <c r="N517" s="2046"/>
      <c r="O517" s="2046"/>
      <c r="P517" s="2086"/>
      <c r="Q517" s="2046"/>
      <c r="R517" s="2046"/>
      <c r="S517" s="2046"/>
      <c r="T517" s="2046"/>
      <c r="U517" s="2046"/>
      <c r="V517" s="2046"/>
      <c r="W517" s="2046"/>
      <c r="X517" s="2046"/>
      <c r="Y517" s="2046"/>
      <c r="Z517" s="2046"/>
      <c r="AA517" s="2046"/>
      <c r="AB517" s="2046"/>
      <c r="AC517" s="2046"/>
    </row>
    <row r="518" spans="1:29">
      <c r="A518" s="2046"/>
      <c r="B518" s="2046"/>
      <c r="C518" s="2046"/>
      <c r="D518" s="2046"/>
      <c r="E518" s="2046"/>
      <c r="F518" s="2046"/>
      <c r="G518" s="2046"/>
      <c r="H518" s="2046"/>
      <c r="I518" s="2046"/>
      <c r="J518" s="2046"/>
      <c r="K518" s="2047"/>
      <c r="L518" s="2048"/>
      <c r="M518" s="2046"/>
      <c r="N518" s="2046"/>
      <c r="O518" s="2046"/>
      <c r="P518" s="2086"/>
      <c r="Q518" s="2046"/>
      <c r="R518" s="2046"/>
      <c r="S518" s="2046"/>
      <c r="T518" s="2046"/>
      <c r="U518" s="2046"/>
      <c r="V518" s="2046"/>
      <c r="W518" s="2046"/>
      <c r="X518" s="2046"/>
      <c r="Y518" s="2046"/>
      <c r="Z518" s="2046"/>
      <c r="AA518" s="2046"/>
      <c r="AB518" s="2046"/>
      <c r="AC518" s="2046"/>
    </row>
    <row r="519" spans="1:29">
      <c r="A519" s="2046"/>
      <c r="B519" s="2046"/>
      <c r="C519" s="2046"/>
      <c r="D519" s="2046"/>
      <c r="E519" s="2046"/>
      <c r="F519" s="2046"/>
      <c r="G519" s="2046"/>
      <c r="H519" s="2046"/>
      <c r="I519" s="2046"/>
      <c r="J519" s="2046"/>
      <c r="K519" s="2047"/>
      <c r="L519" s="2048"/>
      <c r="M519" s="2046"/>
      <c r="N519" s="2046"/>
      <c r="O519" s="2046"/>
      <c r="P519" s="2086"/>
      <c r="Q519" s="2046"/>
      <c r="R519" s="2046"/>
      <c r="S519" s="2046"/>
      <c r="T519" s="2046"/>
      <c r="U519" s="2046"/>
      <c r="V519" s="2046"/>
      <c r="W519" s="2046"/>
      <c r="X519" s="2046"/>
      <c r="Y519" s="2046"/>
      <c r="Z519" s="2046"/>
      <c r="AA519" s="2046"/>
      <c r="AB519" s="2046"/>
      <c r="AC519" s="2046"/>
    </row>
    <row r="520" spans="1:29">
      <c r="A520" s="2046"/>
      <c r="B520" s="2046"/>
      <c r="C520" s="2046"/>
      <c r="D520" s="2046"/>
      <c r="E520" s="2046"/>
      <c r="F520" s="2046"/>
      <c r="G520" s="2046"/>
      <c r="H520" s="2046"/>
      <c r="I520" s="2046"/>
      <c r="J520" s="2046"/>
      <c r="K520" s="2047"/>
      <c r="L520" s="2048"/>
      <c r="M520" s="2046"/>
      <c r="N520" s="2046"/>
      <c r="O520" s="2046"/>
      <c r="P520" s="2086"/>
      <c r="Q520" s="2046"/>
      <c r="R520" s="2046"/>
      <c r="S520" s="2046"/>
      <c r="T520" s="2046"/>
      <c r="U520" s="2046"/>
      <c r="V520" s="2046"/>
      <c r="W520" s="2046"/>
      <c r="X520" s="2046"/>
      <c r="Y520" s="2046"/>
      <c r="Z520" s="2046"/>
      <c r="AA520" s="2046"/>
      <c r="AB520" s="2046"/>
      <c r="AC520" s="2046"/>
    </row>
    <row r="521" spans="1:29">
      <c r="A521" s="2046"/>
      <c r="B521" s="2046"/>
      <c r="C521" s="2046"/>
      <c r="D521" s="2046"/>
      <c r="E521" s="2046"/>
      <c r="F521" s="2046"/>
      <c r="G521" s="2046"/>
      <c r="H521" s="2046"/>
      <c r="I521" s="2046"/>
      <c r="J521" s="2046"/>
      <c r="K521" s="2047"/>
      <c r="L521" s="2048"/>
      <c r="M521" s="2046"/>
      <c r="N521" s="2046"/>
      <c r="O521" s="2046"/>
      <c r="P521" s="2086"/>
      <c r="Q521" s="2046"/>
      <c r="R521" s="2046"/>
      <c r="S521" s="2046"/>
      <c r="T521" s="2046"/>
      <c r="U521" s="2046"/>
      <c r="V521" s="2046"/>
      <c r="W521" s="2046"/>
      <c r="X521" s="2046"/>
      <c r="Y521" s="2046"/>
      <c r="Z521" s="2046"/>
      <c r="AA521" s="2046"/>
      <c r="AB521" s="2046"/>
      <c r="AC521" s="2046"/>
    </row>
    <row r="522" spans="1:29">
      <c r="A522" s="2046"/>
      <c r="B522" s="2046"/>
      <c r="C522" s="2046"/>
      <c r="D522" s="2046"/>
      <c r="E522" s="2046"/>
      <c r="F522" s="2046"/>
      <c r="G522" s="2046"/>
      <c r="H522" s="2046"/>
      <c r="I522" s="2046"/>
      <c r="J522" s="2046"/>
      <c r="K522" s="2047"/>
      <c r="L522" s="2048"/>
      <c r="M522" s="2046"/>
      <c r="N522" s="2046"/>
      <c r="O522" s="2046"/>
      <c r="P522" s="2086"/>
      <c r="Q522" s="2046"/>
      <c r="R522" s="2046"/>
      <c r="S522" s="2046"/>
      <c r="T522" s="2046"/>
      <c r="U522" s="2046"/>
      <c r="V522" s="2046"/>
      <c r="W522" s="2046"/>
      <c r="X522" s="2046"/>
      <c r="Y522" s="2046"/>
      <c r="Z522" s="2046"/>
      <c r="AA522" s="2046"/>
      <c r="AB522" s="2046"/>
      <c r="AC522" s="2046"/>
    </row>
    <row r="523" spans="1:29">
      <c r="A523" s="2046"/>
      <c r="B523" s="2046"/>
      <c r="C523" s="2046"/>
      <c r="D523" s="2046"/>
      <c r="E523" s="2046"/>
      <c r="F523" s="2046"/>
      <c r="G523" s="2046"/>
      <c r="H523" s="2046"/>
      <c r="I523" s="2046"/>
      <c r="J523" s="2046"/>
      <c r="K523" s="2047"/>
      <c r="L523" s="2048"/>
      <c r="M523" s="2046"/>
      <c r="N523" s="2046"/>
      <c r="O523" s="2046"/>
      <c r="P523" s="2086"/>
      <c r="Q523" s="2046"/>
      <c r="R523" s="2046"/>
      <c r="S523" s="2046"/>
      <c r="T523" s="2046"/>
      <c r="U523" s="2046"/>
      <c r="V523" s="2046"/>
      <c r="W523" s="2046"/>
      <c r="X523" s="2046"/>
      <c r="Y523" s="2046"/>
      <c r="Z523" s="2046"/>
      <c r="AA523" s="2046"/>
      <c r="AB523" s="2046"/>
      <c r="AC523" s="2046"/>
    </row>
    <row r="524" spans="1:29">
      <c r="A524" s="2046"/>
      <c r="B524" s="2046"/>
      <c r="C524" s="2046"/>
      <c r="D524" s="2046"/>
      <c r="E524" s="2046"/>
      <c r="F524" s="2046"/>
      <c r="G524" s="2046"/>
      <c r="H524" s="2046"/>
      <c r="I524" s="2046"/>
      <c r="J524" s="2046"/>
      <c r="K524" s="2047"/>
      <c r="L524" s="2048"/>
      <c r="M524" s="2046"/>
      <c r="N524" s="2046"/>
      <c r="O524" s="2046"/>
      <c r="P524" s="2086"/>
      <c r="Q524" s="2046"/>
      <c r="R524" s="2046"/>
      <c r="S524" s="2046"/>
      <c r="T524" s="2046"/>
      <c r="U524" s="2046"/>
      <c r="V524" s="2046"/>
      <c r="W524" s="2046"/>
      <c r="X524" s="2046"/>
      <c r="Y524" s="2046"/>
      <c r="Z524" s="2046"/>
      <c r="AA524" s="2046"/>
      <c r="AB524" s="2046"/>
      <c r="AC524" s="2046"/>
    </row>
    <row r="525" spans="1:29">
      <c r="A525" s="2046"/>
      <c r="B525" s="2046"/>
      <c r="C525" s="2046"/>
      <c r="D525" s="2046"/>
      <c r="E525" s="2046"/>
      <c r="F525" s="2046"/>
      <c r="G525" s="2046"/>
      <c r="H525" s="2046"/>
      <c r="I525" s="2046"/>
      <c r="J525" s="2046"/>
      <c r="K525" s="2047"/>
      <c r="L525" s="2048"/>
      <c r="M525" s="2046"/>
      <c r="N525" s="2046"/>
      <c r="O525" s="2046"/>
      <c r="P525" s="2086"/>
      <c r="Q525" s="2046"/>
      <c r="R525" s="2046"/>
      <c r="S525" s="2046"/>
      <c r="T525" s="2046"/>
      <c r="U525" s="2046"/>
      <c r="V525" s="2046"/>
      <c r="W525" s="2046"/>
      <c r="X525" s="2046"/>
      <c r="Y525" s="2046"/>
      <c r="Z525" s="2046"/>
      <c r="AA525" s="2046"/>
      <c r="AB525" s="2046"/>
      <c r="AC525" s="2046"/>
    </row>
    <row r="526" spans="1:29">
      <c r="A526" s="2046"/>
      <c r="B526" s="2046"/>
      <c r="C526" s="2046"/>
      <c r="D526" s="2046"/>
      <c r="E526" s="2046"/>
      <c r="F526" s="2046"/>
      <c r="G526" s="2046"/>
      <c r="H526" s="2046"/>
      <c r="I526" s="2046"/>
      <c r="J526" s="2046"/>
      <c r="K526" s="2047"/>
      <c r="L526" s="2048"/>
      <c r="M526" s="2046"/>
      <c r="N526" s="2046"/>
      <c r="O526" s="2046"/>
      <c r="P526" s="2086"/>
      <c r="Q526" s="2046"/>
      <c r="R526" s="2046"/>
      <c r="S526" s="2046"/>
      <c r="T526" s="2046"/>
      <c r="U526" s="2046"/>
      <c r="V526" s="2046"/>
      <c r="W526" s="2046"/>
      <c r="X526" s="2046"/>
      <c r="Y526" s="2046"/>
      <c r="Z526" s="2046"/>
      <c r="AA526" s="2046"/>
      <c r="AB526" s="2046"/>
      <c r="AC526" s="2046"/>
    </row>
    <row r="527" spans="1:29">
      <c r="A527" s="2046"/>
      <c r="B527" s="2046"/>
      <c r="C527" s="2046"/>
      <c r="D527" s="2046"/>
      <c r="E527" s="2046"/>
      <c r="F527" s="2046"/>
      <c r="G527" s="2046"/>
      <c r="H527" s="2046"/>
      <c r="I527" s="2046"/>
      <c r="J527" s="2046"/>
      <c r="K527" s="2047"/>
      <c r="L527" s="2048"/>
      <c r="M527" s="2046"/>
      <c r="N527" s="2046"/>
      <c r="O527" s="2046"/>
      <c r="P527" s="2086"/>
      <c r="Q527" s="2046"/>
      <c r="R527" s="2046"/>
      <c r="S527" s="2046"/>
      <c r="T527" s="2046"/>
      <c r="U527" s="2046"/>
      <c r="V527" s="2046"/>
      <c r="W527" s="2046"/>
      <c r="X527" s="2046"/>
      <c r="Y527" s="2046"/>
      <c r="Z527" s="2046"/>
      <c r="AA527" s="2046"/>
      <c r="AB527" s="2046"/>
      <c r="AC527" s="2046"/>
    </row>
    <row r="528" spans="1:29">
      <c r="A528" s="2046"/>
      <c r="B528" s="2046"/>
      <c r="C528" s="2046"/>
      <c r="D528" s="2046"/>
      <c r="E528" s="2046"/>
      <c r="F528" s="2046"/>
      <c r="G528" s="2046"/>
      <c r="H528" s="2046"/>
      <c r="I528" s="2046"/>
      <c r="J528" s="2046"/>
      <c r="K528" s="2047"/>
      <c r="L528" s="2048"/>
      <c r="M528" s="2046"/>
      <c r="N528" s="2046"/>
      <c r="O528" s="2046"/>
      <c r="P528" s="2086"/>
      <c r="Q528" s="2046"/>
      <c r="R528" s="2046"/>
      <c r="S528" s="2046"/>
      <c r="T528" s="2046"/>
      <c r="U528" s="2046"/>
      <c r="V528" s="2046"/>
      <c r="W528" s="2046"/>
      <c r="X528" s="2046"/>
      <c r="Y528" s="2046"/>
      <c r="Z528" s="2046"/>
      <c r="AA528" s="2046"/>
      <c r="AB528" s="2046"/>
      <c r="AC528" s="2046"/>
    </row>
    <row r="529" spans="1:29">
      <c r="A529" s="2046"/>
      <c r="B529" s="2046"/>
      <c r="C529" s="2046"/>
      <c r="D529" s="2046"/>
      <c r="E529" s="2046"/>
      <c r="F529" s="2046"/>
      <c r="G529" s="2046"/>
      <c r="H529" s="2046"/>
      <c r="I529" s="2046"/>
      <c r="J529" s="2046"/>
      <c r="K529" s="2047"/>
      <c r="L529" s="2048"/>
      <c r="M529" s="2046"/>
      <c r="N529" s="2046"/>
      <c r="O529" s="2046"/>
      <c r="P529" s="2086"/>
      <c r="Q529" s="2046"/>
      <c r="R529" s="2046"/>
      <c r="S529" s="2046"/>
      <c r="T529" s="2046"/>
      <c r="U529" s="2046"/>
      <c r="V529" s="2046"/>
      <c r="W529" s="2046"/>
      <c r="X529" s="2046"/>
      <c r="Y529" s="2046"/>
      <c r="Z529" s="2046"/>
      <c r="AA529" s="2046"/>
      <c r="AB529" s="2046"/>
      <c r="AC529" s="2046"/>
    </row>
    <row r="530" spans="1:29">
      <c r="A530" s="2046"/>
      <c r="B530" s="2046"/>
      <c r="C530" s="2046"/>
      <c r="D530" s="2046"/>
      <c r="E530" s="2046"/>
      <c r="F530" s="2046"/>
      <c r="G530" s="2046"/>
      <c r="H530" s="2046"/>
      <c r="I530" s="2046"/>
      <c r="J530" s="2046"/>
      <c r="K530" s="2047"/>
      <c r="L530" s="2048"/>
      <c r="M530" s="2046"/>
      <c r="N530" s="2046"/>
      <c r="O530" s="2046"/>
      <c r="P530" s="2086"/>
      <c r="Q530" s="2046"/>
      <c r="R530" s="2046"/>
      <c r="S530" s="2046"/>
      <c r="T530" s="2046"/>
      <c r="U530" s="2046"/>
      <c r="V530" s="2046"/>
      <c r="W530" s="2046"/>
      <c r="X530" s="2046"/>
      <c r="Y530" s="2046"/>
      <c r="Z530" s="2046"/>
      <c r="AA530" s="2046"/>
      <c r="AB530" s="2046"/>
      <c r="AC530" s="2046"/>
    </row>
    <row r="531" spans="1:29">
      <c r="A531" s="2046"/>
      <c r="B531" s="2046"/>
      <c r="C531" s="2046"/>
      <c r="D531" s="2046"/>
      <c r="E531" s="2046"/>
      <c r="F531" s="2046"/>
      <c r="G531" s="2046"/>
      <c r="H531" s="2046"/>
      <c r="I531" s="2046"/>
      <c r="J531" s="2046"/>
      <c r="K531" s="2047"/>
      <c r="L531" s="2048"/>
      <c r="M531" s="2046"/>
      <c r="N531" s="2046"/>
      <c r="O531" s="2046"/>
      <c r="P531" s="2086"/>
      <c r="Q531" s="2046"/>
      <c r="R531" s="2046"/>
      <c r="S531" s="2046"/>
      <c r="T531" s="2046"/>
      <c r="U531" s="2046"/>
      <c r="V531" s="2046"/>
      <c r="W531" s="2046"/>
      <c r="X531" s="2046"/>
      <c r="Y531" s="2046"/>
      <c r="Z531" s="2046"/>
      <c r="AA531" s="2046"/>
      <c r="AB531" s="2046"/>
      <c r="AC531" s="2046"/>
    </row>
    <row r="532" spans="1:29">
      <c r="A532" s="2046"/>
      <c r="B532" s="2046"/>
      <c r="C532" s="2046"/>
      <c r="D532" s="2046"/>
      <c r="E532" s="2046"/>
      <c r="F532" s="2046"/>
      <c r="G532" s="2046"/>
      <c r="H532" s="2046"/>
      <c r="I532" s="2046"/>
      <c r="J532" s="2046"/>
      <c r="K532" s="2047"/>
      <c r="L532" s="2048"/>
      <c r="M532" s="2046"/>
      <c r="N532" s="2046"/>
      <c r="O532" s="2046"/>
      <c r="P532" s="2086"/>
      <c r="Q532" s="2046"/>
      <c r="R532" s="2046"/>
      <c r="S532" s="2046"/>
      <c r="T532" s="2046"/>
      <c r="U532" s="2046"/>
      <c r="V532" s="2046"/>
      <c r="W532" s="2046"/>
      <c r="X532" s="2046"/>
      <c r="Y532" s="2046"/>
      <c r="Z532" s="2046"/>
      <c r="AA532" s="2046"/>
      <c r="AB532" s="2046"/>
      <c r="AC532" s="2046"/>
    </row>
    <row r="533" spans="1:29">
      <c r="A533" s="2046"/>
      <c r="B533" s="2046"/>
      <c r="C533" s="2046"/>
      <c r="D533" s="2046"/>
      <c r="E533" s="2046"/>
      <c r="F533" s="2046"/>
      <c r="G533" s="2046"/>
      <c r="H533" s="2046"/>
      <c r="I533" s="2046"/>
      <c r="J533" s="2046"/>
      <c r="K533" s="2047"/>
      <c r="L533" s="2048"/>
      <c r="M533" s="2046"/>
      <c r="N533" s="2046"/>
      <c r="O533" s="2046"/>
      <c r="P533" s="2086"/>
      <c r="Q533" s="2046"/>
      <c r="R533" s="2046"/>
      <c r="S533" s="2046"/>
      <c r="T533" s="2046"/>
      <c r="U533" s="2046"/>
      <c r="V533" s="2046"/>
      <c r="W533" s="2046"/>
      <c r="X533" s="2046"/>
      <c r="Y533" s="2046"/>
      <c r="Z533" s="2046"/>
      <c r="AA533" s="2046"/>
      <c r="AB533" s="2046"/>
      <c r="AC533" s="2046"/>
    </row>
    <row r="534" spans="1:29">
      <c r="A534" s="2046"/>
      <c r="B534" s="2046"/>
      <c r="C534" s="2046"/>
      <c r="D534" s="2046"/>
      <c r="E534" s="2046"/>
      <c r="F534" s="2046"/>
      <c r="G534" s="2046"/>
      <c r="H534" s="2046"/>
      <c r="I534" s="2046"/>
      <c r="J534" s="2046"/>
      <c r="K534" s="2047"/>
      <c r="L534" s="2048"/>
      <c r="M534" s="2046"/>
      <c r="N534" s="2046"/>
      <c r="O534" s="2046"/>
      <c r="P534" s="2086"/>
      <c r="Q534" s="2046"/>
      <c r="R534" s="2046"/>
      <c r="S534" s="2046"/>
      <c r="T534" s="2046"/>
      <c r="U534" s="2046"/>
      <c r="V534" s="2046"/>
      <c r="W534" s="2046"/>
      <c r="X534" s="2046"/>
      <c r="Y534" s="2046"/>
      <c r="Z534" s="2046"/>
      <c r="AA534" s="2046"/>
      <c r="AB534" s="2046"/>
      <c r="AC534" s="2046"/>
    </row>
    <row r="535" spans="1:29">
      <c r="A535" s="2046"/>
      <c r="B535" s="2046"/>
      <c r="C535" s="2046"/>
      <c r="D535" s="2046"/>
      <c r="E535" s="2046"/>
      <c r="F535" s="2046"/>
      <c r="G535" s="2046"/>
      <c r="H535" s="2046"/>
      <c r="I535" s="2046"/>
      <c r="J535" s="2046"/>
      <c r="K535" s="2047"/>
      <c r="L535" s="2048"/>
      <c r="M535" s="2046"/>
      <c r="N535" s="2046"/>
      <c r="O535" s="2046"/>
      <c r="P535" s="2086"/>
      <c r="Q535" s="2046"/>
      <c r="R535" s="2046"/>
      <c r="S535" s="2046"/>
      <c r="T535" s="2046"/>
      <c r="U535" s="2046"/>
      <c r="V535" s="2046"/>
      <c r="W535" s="2046"/>
      <c r="X535" s="2046"/>
      <c r="Y535" s="2046"/>
      <c r="Z535" s="2046"/>
      <c r="AA535" s="2046"/>
      <c r="AB535" s="2046"/>
      <c r="AC535" s="2046"/>
    </row>
    <row r="536" spans="1:29">
      <c r="A536" s="2046"/>
      <c r="B536" s="2046"/>
      <c r="C536" s="2046"/>
      <c r="D536" s="2046"/>
      <c r="E536" s="2046"/>
      <c r="F536" s="2046"/>
      <c r="G536" s="2046"/>
      <c r="H536" s="2046"/>
      <c r="I536" s="2046"/>
      <c r="J536" s="2046"/>
      <c r="K536" s="2047"/>
      <c r="L536" s="2048"/>
      <c r="M536" s="2046"/>
      <c r="N536" s="2046"/>
      <c r="O536" s="2046"/>
      <c r="P536" s="2086"/>
      <c r="Q536" s="2046"/>
      <c r="R536" s="2046"/>
      <c r="S536" s="2046"/>
      <c r="T536" s="2046"/>
      <c r="U536" s="2046"/>
      <c r="V536" s="2046"/>
      <c r="W536" s="2046"/>
      <c r="X536" s="2046"/>
      <c r="Y536" s="2046"/>
      <c r="Z536" s="2046"/>
      <c r="AA536" s="2046"/>
      <c r="AB536" s="2046"/>
      <c r="AC536" s="2046"/>
    </row>
    <row r="537" spans="1:29">
      <c r="A537" s="2046"/>
      <c r="B537" s="2046"/>
      <c r="C537" s="2046"/>
      <c r="D537" s="2046"/>
      <c r="E537" s="2046"/>
      <c r="F537" s="2046"/>
      <c r="G537" s="2046"/>
      <c r="H537" s="2046"/>
      <c r="I537" s="2046"/>
      <c r="J537" s="2046"/>
      <c r="K537" s="2047"/>
      <c r="L537" s="2048"/>
      <c r="M537" s="2046"/>
      <c r="N537" s="2046"/>
      <c r="O537" s="2046"/>
      <c r="P537" s="2086"/>
      <c r="Q537" s="2046"/>
      <c r="R537" s="2046"/>
      <c r="S537" s="2046"/>
      <c r="T537" s="2046"/>
      <c r="U537" s="2046"/>
      <c r="V537" s="2046"/>
      <c r="W537" s="2046"/>
      <c r="X537" s="2046"/>
      <c r="Y537" s="2046"/>
      <c r="Z537" s="2046"/>
      <c r="AA537" s="2046"/>
      <c r="AB537" s="2046"/>
      <c r="AC537" s="2046"/>
    </row>
    <row r="538" spans="1:29">
      <c r="A538" s="2046"/>
      <c r="B538" s="2046"/>
      <c r="C538" s="2046"/>
      <c r="D538" s="2046"/>
      <c r="E538" s="2046"/>
      <c r="F538" s="2046"/>
      <c r="G538" s="2046"/>
      <c r="H538" s="2046"/>
      <c r="I538" s="2046"/>
      <c r="J538" s="2046"/>
      <c r="K538" s="2047"/>
      <c r="L538" s="2048"/>
      <c r="M538" s="2046"/>
      <c r="N538" s="2046"/>
      <c r="O538" s="2046"/>
      <c r="P538" s="2086"/>
      <c r="Q538" s="2046"/>
      <c r="R538" s="2046"/>
      <c r="S538" s="2046"/>
      <c r="T538" s="2046"/>
      <c r="U538" s="2046"/>
      <c r="V538" s="2046"/>
      <c r="W538" s="2046"/>
      <c r="X538" s="2046"/>
      <c r="Y538" s="2046"/>
      <c r="Z538" s="2046"/>
      <c r="AA538" s="2046"/>
      <c r="AB538" s="2046"/>
      <c r="AC538" s="2046"/>
    </row>
    <row r="539" spans="1:29">
      <c r="A539" s="2046"/>
      <c r="B539" s="2046"/>
      <c r="C539" s="2046"/>
      <c r="D539" s="2046"/>
      <c r="E539" s="2046"/>
      <c r="F539" s="2046"/>
      <c r="G539" s="2046"/>
      <c r="H539" s="2046"/>
      <c r="I539" s="2046"/>
      <c r="J539" s="2046"/>
      <c r="K539" s="2047"/>
      <c r="L539" s="2048"/>
      <c r="M539" s="2046"/>
      <c r="N539" s="2046"/>
      <c r="O539" s="2046"/>
      <c r="P539" s="2086"/>
      <c r="Q539" s="2046"/>
      <c r="R539" s="2046"/>
      <c r="S539" s="2046"/>
      <c r="T539" s="2046"/>
      <c r="U539" s="2046"/>
      <c r="V539" s="2046"/>
      <c r="W539" s="2046"/>
      <c r="X539" s="2046"/>
      <c r="Y539" s="2046"/>
      <c r="Z539" s="2046"/>
      <c r="AA539" s="2046"/>
      <c r="AB539" s="2046"/>
      <c r="AC539" s="2046"/>
    </row>
    <row r="540" spans="1:29">
      <c r="A540" s="2046"/>
      <c r="B540" s="2046"/>
      <c r="C540" s="2046"/>
      <c r="D540" s="2046"/>
      <c r="E540" s="2046"/>
      <c r="F540" s="2046"/>
      <c r="G540" s="2046"/>
      <c r="H540" s="2046"/>
      <c r="I540" s="2046"/>
      <c r="J540" s="2046"/>
      <c r="K540" s="2047"/>
      <c r="L540" s="2048"/>
      <c r="M540" s="2046"/>
      <c r="N540" s="2046"/>
      <c r="O540" s="2046"/>
      <c r="P540" s="2086"/>
      <c r="Q540" s="2046"/>
      <c r="R540" s="2046"/>
      <c r="S540" s="2046"/>
      <c r="T540" s="2046"/>
      <c r="U540" s="2046"/>
      <c r="V540" s="2046"/>
      <c r="W540" s="2046"/>
      <c r="X540" s="2046"/>
      <c r="Y540" s="2046"/>
      <c r="Z540" s="2046"/>
      <c r="AA540" s="2046"/>
      <c r="AB540" s="2046"/>
      <c r="AC540" s="2046"/>
    </row>
    <row r="541" spans="1:29">
      <c r="A541" s="2046"/>
      <c r="B541" s="2046"/>
      <c r="C541" s="2046"/>
      <c r="D541" s="2046"/>
      <c r="E541" s="2046"/>
      <c r="F541" s="2046"/>
      <c r="G541" s="2046"/>
      <c r="H541" s="2046"/>
      <c r="I541" s="2046"/>
      <c r="J541" s="2046"/>
      <c r="K541" s="2047"/>
      <c r="L541" s="2048"/>
      <c r="M541" s="2046"/>
      <c r="N541" s="2046"/>
      <c r="O541" s="2046"/>
      <c r="P541" s="2086"/>
      <c r="Q541" s="2046"/>
      <c r="R541" s="2046"/>
      <c r="S541" s="2046"/>
      <c r="T541" s="2046"/>
      <c r="U541" s="2046"/>
      <c r="V541" s="2046"/>
      <c r="W541" s="2046"/>
      <c r="X541" s="2046"/>
      <c r="Y541" s="2046"/>
      <c r="Z541" s="2046"/>
      <c r="AA541" s="2046"/>
      <c r="AB541" s="2046"/>
      <c r="AC541" s="2046"/>
    </row>
    <row r="542" spans="1:29">
      <c r="A542" s="2046"/>
      <c r="B542" s="2046"/>
      <c r="C542" s="2046"/>
      <c r="D542" s="2046"/>
      <c r="E542" s="2046"/>
      <c r="F542" s="2046"/>
      <c r="G542" s="2046"/>
      <c r="H542" s="2046"/>
      <c r="I542" s="2046"/>
      <c r="J542" s="2046"/>
      <c r="K542" s="2047"/>
      <c r="L542" s="2048"/>
      <c r="M542" s="2046"/>
      <c r="N542" s="2046"/>
      <c r="O542" s="2046"/>
      <c r="P542" s="2086"/>
      <c r="Q542" s="2046"/>
      <c r="R542" s="2046"/>
      <c r="S542" s="2046"/>
      <c r="T542" s="2046"/>
      <c r="U542" s="2046"/>
      <c r="V542" s="2046"/>
      <c r="W542" s="2046"/>
      <c r="X542" s="2046"/>
      <c r="Y542" s="2046"/>
      <c r="Z542" s="2046"/>
      <c r="AA542" s="2046"/>
      <c r="AB542" s="2046"/>
      <c r="AC542" s="2046"/>
    </row>
    <row r="543" spans="1:29">
      <c r="A543" s="2046"/>
      <c r="B543" s="2046"/>
      <c r="C543" s="2046"/>
      <c r="D543" s="2046"/>
      <c r="E543" s="2046"/>
      <c r="F543" s="2046"/>
      <c r="G543" s="2046"/>
      <c r="H543" s="2046"/>
      <c r="I543" s="2046"/>
      <c r="J543" s="2046"/>
      <c r="K543" s="2047"/>
      <c r="L543" s="2048"/>
      <c r="M543" s="2046"/>
      <c r="N543" s="2046"/>
      <c r="O543" s="2046"/>
      <c r="P543" s="2086"/>
      <c r="Q543" s="2046"/>
      <c r="R543" s="2046"/>
      <c r="S543" s="2046"/>
      <c r="T543" s="2046"/>
      <c r="U543" s="2046"/>
      <c r="V543" s="2046"/>
      <c r="W543" s="2046"/>
      <c r="X543" s="2046"/>
      <c r="Y543" s="2046"/>
      <c r="Z543" s="2046"/>
      <c r="AA543" s="2046"/>
      <c r="AB543" s="2046"/>
      <c r="AC543" s="2046"/>
    </row>
    <row r="544" spans="1:29">
      <c r="A544" s="2046"/>
      <c r="B544" s="2046"/>
      <c r="C544" s="2046"/>
      <c r="D544" s="2046"/>
      <c r="E544" s="2046"/>
      <c r="F544" s="2046"/>
      <c r="G544" s="2046"/>
      <c r="H544" s="2046"/>
      <c r="I544" s="2046"/>
      <c r="J544" s="2046"/>
      <c r="K544" s="2047"/>
      <c r="L544" s="2048"/>
      <c r="M544" s="2046"/>
      <c r="N544" s="2046"/>
      <c r="O544" s="2046"/>
      <c r="P544" s="2086"/>
      <c r="Q544" s="2046"/>
      <c r="R544" s="2046"/>
      <c r="S544" s="2046"/>
      <c r="T544" s="2046"/>
      <c r="U544" s="2046"/>
      <c r="V544" s="2046"/>
      <c r="W544" s="2046"/>
      <c r="X544" s="2046"/>
      <c r="Y544" s="2046"/>
      <c r="Z544" s="2046"/>
      <c r="AA544" s="2046"/>
      <c r="AB544" s="2046"/>
      <c r="AC544" s="2046"/>
    </row>
    <row r="545" spans="1:29">
      <c r="A545" s="2046"/>
      <c r="B545" s="2046"/>
      <c r="C545" s="2046"/>
      <c r="D545" s="2046"/>
      <c r="E545" s="2046"/>
      <c r="F545" s="2046"/>
      <c r="G545" s="2046"/>
      <c r="H545" s="2046"/>
      <c r="I545" s="2046"/>
      <c r="J545" s="2046"/>
      <c r="K545" s="2047"/>
      <c r="L545" s="2048"/>
      <c r="M545" s="2046"/>
      <c r="N545" s="2046"/>
      <c r="O545" s="2046"/>
      <c r="P545" s="2086"/>
      <c r="Q545" s="2046"/>
      <c r="R545" s="2046"/>
      <c r="S545" s="2046"/>
      <c r="T545" s="2046"/>
      <c r="U545" s="2046"/>
      <c r="V545" s="2046"/>
      <c r="W545" s="2046"/>
      <c r="X545" s="2046"/>
      <c r="Y545" s="2046"/>
      <c r="Z545" s="2046"/>
      <c r="AA545" s="2046"/>
      <c r="AB545" s="2046"/>
      <c r="AC545" s="2046"/>
    </row>
    <row r="546" spans="1:29">
      <c r="A546" s="2046"/>
      <c r="B546" s="2046"/>
      <c r="C546" s="2046"/>
      <c r="D546" s="2046"/>
      <c r="E546" s="2046"/>
      <c r="F546" s="2046"/>
      <c r="G546" s="2046"/>
      <c r="H546" s="2046"/>
      <c r="I546" s="2046"/>
      <c r="J546" s="2046"/>
      <c r="K546" s="2047"/>
      <c r="L546" s="2048"/>
      <c r="M546" s="2046"/>
      <c r="N546" s="2046"/>
      <c r="O546" s="2046"/>
      <c r="P546" s="2086"/>
      <c r="Q546" s="2046"/>
      <c r="R546" s="2046"/>
      <c r="S546" s="2046"/>
      <c r="T546" s="2046"/>
      <c r="U546" s="2046"/>
      <c r="V546" s="2046"/>
      <c r="W546" s="2046"/>
      <c r="X546" s="2046"/>
      <c r="Y546" s="2046"/>
      <c r="Z546" s="2046"/>
      <c r="AA546" s="2046"/>
      <c r="AB546" s="2046"/>
      <c r="AC546" s="2046"/>
    </row>
    <row r="547" spans="1:29">
      <c r="A547" s="2046"/>
      <c r="B547" s="2046"/>
      <c r="C547" s="2046"/>
      <c r="D547" s="2046"/>
      <c r="E547" s="2046"/>
      <c r="F547" s="2046"/>
      <c r="G547" s="2046"/>
      <c r="H547" s="2046"/>
      <c r="I547" s="2046"/>
      <c r="J547" s="2046"/>
      <c r="K547" s="2047"/>
      <c r="L547" s="2048"/>
      <c r="M547" s="2046"/>
      <c r="N547" s="2046"/>
      <c r="O547" s="2046"/>
      <c r="P547" s="2086"/>
      <c r="Q547" s="2046"/>
      <c r="R547" s="2046"/>
      <c r="S547" s="2046"/>
      <c r="T547" s="2046"/>
      <c r="U547" s="2046"/>
      <c r="V547" s="2046"/>
      <c r="W547" s="2046"/>
      <c r="X547" s="2046"/>
      <c r="Y547" s="2046"/>
      <c r="Z547" s="2046"/>
      <c r="AA547" s="2046"/>
      <c r="AB547" s="2046"/>
      <c r="AC547" s="2046"/>
    </row>
    <row r="548" spans="1:29">
      <c r="A548" s="2046"/>
      <c r="B548" s="2046"/>
      <c r="C548" s="2046"/>
      <c r="D548" s="2046"/>
      <c r="E548" s="2046"/>
      <c r="F548" s="2046"/>
      <c r="G548" s="2046"/>
      <c r="H548" s="2046"/>
      <c r="I548" s="2046"/>
      <c r="J548" s="2046"/>
      <c r="K548" s="2047"/>
      <c r="L548" s="2048"/>
      <c r="M548" s="2046"/>
      <c r="N548" s="2046"/>
      <c r="O548" s="2046"/>
      <c r="P548" s="2086"/>
      <c r="Q548" s="2046"/>
      <c r="R548" s="2046"/>
      <c r="S548" s="2046"/>
      <c r="T548" s="2046"/>
      <c r="U548" s="2046"/>
      <c r="V548" s="2046"/>
      <c r="W548" s="2046"/>
      <c r="X548" s="2046"/>
      <c r="Y548" s="2046"/>
      <c r="Z548" s="2046"/>
      <c r="AA548" s="2046"/>
      <c r="AB548" s="2046"/>
      <c r="AC548" s="2046"/>
    </row>
    <row r="549" spans="1:29">
      <c r="A549" s="2046"/>
      <c r="B549" s="2046"/>
      <c r="C549" s="2046"/>
      <c r="D549" s="2046"/>
      <c r="E549" s="2046"/>
      <c r="F549" s="2046"/>
      <c r="G549" s="2046"/>
      <c r="H549" s="2046"/>
      <c r="I549" s="2046"/>
      <c r="J549" s="2046"/>
      <c r="K549" s="2047"/>
      <c r="L549" s="2048"/>
      <c r="M549" s="2046"/>
      <c r="N549" s="2046"/>
      <c r="O549" s="2046"/>
      <c r="P549" s="2086"/>
      <c r="Q549" s="2046"/>
      <c r="R549" s="2046"/>
      <c r="S549" s="2046"/>
      <c r="T549" s="2046"/>
      <c r="U549" s="2046"/>
      <c r="V549" s="2046"/>
      <c r="W549" s="2046"/>
      <c r="X549" s="2046"/>
      <c r="Y549" s="2046"/>
      <c r="Z549" s="2046"/>
      <c r="AA549" s="2046"/>
      <c r="AB549" s="2046"/>
      <c r="AC549" s="2046"/>
    </row>
    <row r="550" spans="1:29">
      <c r="A550" s="2046"/>
      <c r="B550" s="2046"/>
      <c r="C550" s="2046"/>
      <c r="D550" s="2046"/>
      <c r="E550" s="2046"/>
      <c r="F550" s="2046"/>
      <c r="G550" s="2046"/>
      <c r="H550" s="2046"/>
      <c r="I550" s="2046"/>
      <c r="J550" s="2046"/>
      <c r="K550" s="2047"/>
      <c r="L550" s="2048"/>
      <c r="M550" s="2046"/>
      <c r="N550" s="2046"/>
      <c r="O550" s="2046"/>
      <c r="P550" s="2086"/>
      <c r="Q550" s="2046"/>
      <c r="R550" s="2046"/>
      <c r="S550" s="2046"/>
      <c r="T550" s="2046"/>
      <c r="U550" s="2046"/>
      <c r="V550" s="2046"/>
      <c r="W550" s="2046"/>
      <c r="X550" s="2046"/>
      <c r="Y550" s="2046"/>
      <c r="Z550" s="2046"/>
      <c r="AA550" s="2046"/>
      <c r="AB550" s="2046"/>
      <c r="AC550" s="2046"/>
    </row>
    <row r="551" spans="1:29">
      <c r="A551" s="2046"/>
      <c r="B551" s="2046"/>
      <c r="C551" s="2046"/>
      <c r="D551" s="2046"/>
      <c r="E551" s="2046"/>
      <c r="F551" s="2046"/>
      <c r="G551" s="2046"/>
      <c r="H551" s="2046"/>
      <c r="I551" s="2046"/>
      <c r="J551" s="2046"/>
      <c r="K551" s="2047"/>
      <c r="L551" s="2048"/>
      <c r="M551" s="2046"/>
      <c r="N551" s="2046"/>
      <c r="O551" s="2046"/>
      <c r="P551" s="2086"/>
      <c r="Q551" s="2046"/>
      <c r="R551" s="2046"/>
      <c r="S551" s="2046"/>
      <c r="T551" s="2046"/>
      <c r="U551" s="2046"/>
      <c r="V551" s="2046"/>
      <c r="W551" s="2046"/>
      <c r="X551" s="2046"/>
      <c r="Y551" s="2046"/>
      <c r="Z551" s="2046"/>
      <c r="AA551" s="2046"/>
      <c r="AB551" s="2046"/>
      <c r="AC551" s="2046"/>
    </row>
    <row r="552" spans="1:29">
      <c r="A552" s="2046"/>
      <c r="B552" s="2046"/>
      <c r="C552" s="2046"/>
      <c r="D552" s="2046"/>
      <c r="E552" s="2046"/>
      <c r="F552" s="2046"/>
      <c r="G552" s="2046"/>
      <c r="H552" s="2046"/>
      <c r="I552" s="2046"/>
      <c r="J552" s="2046"/>
      <c r="K552" s="2047"/>
      <c r="L552" s="2048"/>
      <c r="M552" s="2046"/>
      <c r="N552" s="2046"/>
      <c r="O552" s="2046"/>
      <c r="P552" s="2086"/>
      <c r="Q552" s="2046"/>
      <c r="R552" s="2046"/>
      <c r="S552" s="2046"/>
      <c r="T552" s="2046"/>
      <c r="U552" s="2046"/>
      <c r="V552" s="2046"/>
      <c r="W552" s="2046"/>
      <c r="X552" s="2046"/>
      <c r="Y552" s="2046"/>
      <c r="Z552" s="2046"/>
      <c r="AA552" s="2046"/>
      <c r="AB552" s="2046"/>
      <c r="AC552" s="2046"/>
    </row>
    <row r="553" spans="1:29">
      <c r="A553" s="2046"/>
      <c r="B553" s="2046"/>
      <c r="C553" s="2046"/>
      <c r="D553" s="2046"/>
      <c r="E553" s="2046"/>
      <c r="F553" s="2046"/>
      <c r="G553" s="2046"/>
      <c r="H553" s="2046"/>
      <c r="I553" s="2046"/>
      <c r="J553" s="2046"/>
      <c r="K553" s="2047"/>
      <c r="L553" s="2048"/>
      <c r="M553" s="2046"/>
      <c r="N553" s="2046"/>
      <c r="O553" s="2046"/>
      <c r="P553" s="2086"/>
      <c r="Q553" s="2046"/>
      <c r="R553" s="2046"/>
      <c r="S553" s="2046"/>
      <c r="T553" s="2046"/>
      <c r="U553" s="2046"/>
      <c r="V553" s="2046"/>
      <c r="W553" s="2046"/>
      <c r="X553" s="2046"/>
      <c r="Y553" s="2046"/>
      <c r="Z553" s="2046"/>
      <c r="AA553" s="2046"/>
      <c r="AB553" s="2046"/>
      <c r="AC553" s="2046"/>
    </row>
    <row r="554" spans="1:29">
      <c r="A554" s="2046"/>
      <c r="B554" s="2046"/>
      <c r="C554" s="2046"/>
      <c r="D554" s="2046"/>
      <c r="E554" s="2046"/>
      <c r="F554" s="2046"/>
      <c r="G554" s="2046"/>
      <c r="H554" s="2046"/>
      <c r="I554" s="2046"/>
      <c r="J554" s="2046"/>
      <c r="K554" s="2047"/>
      <c r="L554" s="2048"/>
      <c r="M554" s="2046"/>
      <c r="N554" s="2046"/>
      <c r="O554" s="2046"/>
      <c r="P554" s="2086"/>
      <c r="Q554" s="2046"/>
      <c r="R554" s="2046"/>
      <c r="S554" s="2046"/>
      <c r="T554" s="2046"/>
      <c r="U554" s="2046"/>
      <c r="V554" s="2046"/>
      <c r="W554" s="2046"/>
      <c r="X554" s="2046"/>
      <c r="Y554" s="2046"/>
      <c r="Z554" s="2046"/>
      <c r="AA554" s="2046"/>
      <c r="AB554" s="2046"/>
      <c r="AC554" s="2046"/>
    </row>
    <row r="555" spans="1:29">
      <c r="A555" s="2046"/>
      <c r="B555" s="2046"/>
      <c r="C555" s="2046"/>
      <c r="D555" s="2046"/>
      <c r="E555" s="2046"/>
      <c r="F555" s="2046"/>
      <c r="G555" s="2046"/>
      <c r="H555" s="2046"/>
      <c r="I555" s="2046"/>
      <c r="J555" s="2046"/>
      <c r="K555" s="2047"/>
      <c r="L555" s="2048"/>
      <c r="M555" s="2046"/>
      <c r="N555" s="2046"/>
      <c r="O555" s="2046"/>
      <c r="P555" s="2086"/>
      <c r="Q555" s="2046"/>
      <c r="R555" s="2046"/>
      <c r="S555" s="2046"/>
      <c r="T555" s="2046"/>
      <c r="U555" s="2046"/>
      <c r="V555" s="2046"/>
      <c r="W555" s="2046"/>
      <c r="X555" s="2046"/>
      <c r="Y555" s="2046"/>
      <c r="Z555" s="2046"/>
      <c r="AA555" s="2046"/>
      <c r="AB555" s="2046"/>
      <c r="AC555" s="2046"/>
    </row>
    <row r="556" spans="1:29">
      <c r="A556" s="2046"/>
      <c r="B556" s="2046"/>
      <c r="C556" s="2046"/>
      <c r="D556" s="2046"/>
      <c r="E556" s="2046"/>
      <c r="F556" s="2046"/>
      <c r="G556" s="2046"/>
      <c r="H556" s="2046"/>
      <c r="I556" s="2046"/>
      <c r="J556" s="2046"/>
      <c r="K556" s="2047"/>
      <c r="L556" s="2048"/>
      <c r="M556" s="2046"/>
      <c r="N556" s="2046"/>
      <c r="O556" s="2046"/>
      <c r="P556" s="2086"/>
      <c r="Q556" s="2046"/>
      <c r="R556" s="2046"/>
      <c r="S556" s="2046"/>
      <c r="T556" s="2046"/>
      <c r="U556" s="2046"/>
      <c r="V556" s="2046"/>
      <c r="W556" s="2046"/>
      <c r="X556" s="2046"/>
      <c r="Y556" s="2046"/>
      <c r="Z556" s="2046"/>
      <c r="AA556" s="2046"/>
      <c r="AB556" s="2046"/>
      <c r="AC556" s="2046"/>
    </row>
    <row r="557" spans="1:29">
      <c r="A557" s="2046"/>
      <c r="B557" s="2046"/>
      <c r="C557" s="2046"/>
      <c r="D557" s="2046"/>
      <c r="E557" s="2046"/>
      <c r="F557" s="2046"/>
      <c r="G557" s="2046"/>
      <c r="H557" s="2046"/>
      <c r="I557" s="2046"/>
      <c r="J557" s="2046"/>
      <c r="K557" s="2047"/>
      <c r="L557" s="2048"/>
      <c r="M557" s="2046"/>
      <c r="N557" s="2046"/>
      <c r="O557" s="2046"/>
      <c r="P557" s="2086"/>
      <c r="Q557" s="2046"/>
      <c r="R557" s="2046"/>
      <c r="S557" s="2046"/>
      <c r="T557" s="2046"/>
      <c r="U557" s="2046"/>
      <c r="V557" s="2046"/>
      <c r="W557" s="2046"/>
      <c r="X557" s="2046"/>
      <c r="Y557" s="2046"/>
      <c r="Z557" s="2046"/>
      <c r="AA557" s="2046"/>
      <c r="AB557" s="2046"/>
      <c r="AC557" s="2046"/>
    </row>
    <row r="558" spans="1:29">
      <c r="A558" s="2046"/>
      <c r="B558" s="2046"/>
      <c r="C558" s="2046"/>
      <c r="D558" s="2046"/>
      <c r="E558" s="2046"/>
      <c r="F558" s="2046"/>
      <c r="G558" s="2046"/>
      <c r="H558" s="2046"/>
      <c r="I558" s="2046"/>
      <c r="J558" s="2046"/>
      <c r="K558" s="2047"/>
      <c r="L558" s="2048"/>
      <c r="M558" s="2046"/>
      <c r="N558" s="2046"/>
      <c r="O558" s="2046"/>
      <c r="P558" s="2086"/>
      <c r="Q558" s="2046"/>
      <c r="R558" s="2046"/>
      <c r="S558" s="2046"/>
      <c r="T558" s="2046"/>
      <c r="U558" s="2046"/>
      <c r="V558" s="2046"/>
      <c r="W558" s="2046"/>
      <c r="X558" s="2046"/>
      <c r="Y558" s="2046"/>
      <c r="Z558" s="2046"/>
      <c r="AA558" s="2046"/>
      <c r="AB558" s="2046"/>
      <c r="AC558" s="2046"/>
    </row>
    <row r="559" spans="1:29">
      <c r="A559" s="2046"/>
      <c r="B559" s="2046"/>
      <c r="C559" s="2046"/>
      <c r="D559" s="2046"/>
      <c r="E559" s="2046"/>
      <c r="F559" s="2046"/>
      <c r="G559" s="2046"/>
      <c r="H559" s="2046"/>
      <c r="I559" s="2046"/>
      <c r="J559" s="2046"/>
      <c r="K559" s="2047"/>
      <c r="L559" s="2048"/>
      <c r="M559" s="2046"/>
      <c r="N559" s="2046"/>
      <c r="O559" s="2046"/>
      <c r="P559" s="2086"/>
      <c r="Q559" s="2046"/>
      <c r="R559" s="2046"/>
      <c r="S559" s="2046"/>
      <c r="T559" s="2046"/>
      <c r="U559" s="2046"/>
      <c r="V559" s="2046"/>
      <c r="W559" s="2046"/>
      <c r="X559" s="2046"/>
      <c r="Y559" s="2046"/>
      <c r="Z559" s="2046"/>
      <c r="AA559" s="2046"/>
      <c r="AB559" s="2046"/>
      <c r="AC559" s="2046"/>
    </row>
    <row r="560" spans="1:29">
      <c r="A560" s="2046"/>
      <c r="B560" s="2046"/>
      <c r="C560" s="2046"/>
      <c r="D560" s="2046"/>
      <c r="E560" s="2046"/>
      <c r="F560" s="2046"/>
      <c r="G560" s="2046"/>
      <c r="H560" s="2046"/>
      <c r="I560" s="2046"/>
      <c r="J560" s="2046"/>
      <c r="K560" s="2047"/>
      <c r="L560" s="2048"/>
      <c r="M560" s="2046"/>
      <c r="N560" s="2046"/>
      <c r="O560" s="2046"/>
      <c r="P560" s="2086"/>
      <c r="Q560" s="2046"/>
      <c r="R560" s="2046"/>
      <c r="S560" s="2046"/>
      <c r="T560" s="2046"/>
      <c r="U560" s="2046"/>
      <c r="V560" s="2046"/>
      <c r="W560" s="2046"/>
      <c r="X560" s="2046"/>
      <c r="Y560" s="2046"/>
      <c r="Z560" s="2046"/>
      <c r="AA560" s="2046"/>
      <c r="AB560" s="2046"/>
      <c r="AC560" s="2046"/>
    </row>
    <row r="561" spans="1:29">
      <c r="A561" s="2046"/>
      <c r="B561" s="2046"/>
      <c r="C561" s="2046"/>
      <c r="D561" s="2046"/>
      <c r="E561" s="2046"/>
      <c r="F561" s="2046"/>
      <c r="G561" s="2046"/>
      <c r="H561" s="2046"/>
      <c r="I561" s="2046"/>
      <c r="J561" s="2046"/>
      <c r="K561" s="2047"/>
      <c r="L561" s="2048"/>
      <c r="M561" s="2046"/>
      <c r="N561" s="2046"/>
      <c r="O561" s="2046"/>
      <c r="P561" s="2086"/>
      <c r="Q561" s="2046"/>
      <c r="R561" s="2046"/>
      <c r="S561" s="2046"/>
      <c r="T561" s="2046"/>
      <c r="U561" s="2046"/>
      <c r="V561" s="2046"/>
      <c r="W561" s="2046"/>
      <c r="X561" s="2046"/>
      <c r="Y561" s="2046"/>
      <c r="Z561" s="2046"/>
      <c r="AA561" s="2046"/>
      <c r="AB561" s="2046"/>
      <c r="AC561" s="2046"/>
    </row>
    <row r="562" spans="1:29">
      <c r="A562" s="2046"/>
      <c r="B562" s="2046"/>
      <c r="C562" s="2046"/>
      <c r="D562" s="2046"/>
      <c r="E562" s="2046"/>
      <c r="F562" s="2046"/>
      <c r="G562" s="2046"/>
      <c r="H562" s="2046"/>
      <c r="I562" s="2046"/>
      <c r="J562" s="2046"/>
      <c r="K562" s="2047"/>
      <c r="L562" s="2048"/>
      <c r="M562" s="2046"/>
      <c r="N562" s="2046"/>
      <c r="O562" s="2046"/>
      <c r="P562" s="2086"/>
      <c r="Q562" s="2046"/>
      <c r="R562" s="2046"/>
      <c r="S562" s="2046"/>
      <c r="T562" s="2046"/>
      <c r="U562" s="2046"/>
      <c r="V562" s="2046"/>
      <c r="W562" s="2046"/>
      <c r="X562" s="2046"/>
      <c r="Y562" s="2046"/>
      <c r="Z562" s="2046"/>
      <c r="AA562" s="2046"/>
      <c r="AB562" s="2046"/>
      <c r="AC562" s="2046"/>
    </row>
    <row r="563" spans="1:29">
      <c r="A563" s="2046"/>
      <c r="B563" s="2046"/>
      <c r="C563" s="2046"/>
      <c r="D563" s="2046"/>
      <c r="E563" s="2046"/>
      <c r="F563" s="2046"/>
      <c r="G563" s="2046"/>
      <c r="H563" s="2046"/>
      <c r="I563" s="2046"/>
      <c r="J563" s="2046"/>
      <c r="K563" s="2047"/>
      <c r="L563" s="2048"/>
      <c r="M563" s="2046"/>
      <c r="N563" s="2046"/>
      <c r="O563" s="2046"/>
      <c r="P563" s="2086"/>
      <c r="Q563" s="2046"/>
      <c r="R563" s="2046"/>
      <c r="S563" s="2046"/>
      <c r="T563" s="2046"/>
      <c r="U563" s="2046"/>
      <c r="V563" s="2046"/>
      <c r="W563" s="2046"/>
      <c r="X563" s="2046"/>
      <c r="Y563" s="2046"/>
      <c r="Z563" s="2046"/>
      <c r="AA563" s="2046"/>
      <c r="AB563" s="2046"/>
      <c r="AC563" s="2046"/>
    </row>
    <row r="564" spans="1:29">
      <c r="A564" s="2046"/>
      <c r="B564" s="2046"/>
      <c r="C564" s="2046"/>
      <c r="D564" s="2046"/>
      <c r="E564" s="2046"/>
      <c r="F564" s="2046"/>
      <c r="G564" s="2046"/>
      <c r="H564" s="2046"/>
      <c r="I564" s="2046"/>
      <c r="J564" s="2046"/>
      <c r="K564" s="2047"/>
      <c r="L564" s="2048"/>
      <c r="M564" s="2046"/>
      <c r="N564" s="2046"/>
      <c r="O564" s="2046"/>
      <c r="P564" s="2086"/>
      <c r="Q564" s="2046"/>
      <c r="R564" s="2046"/>
      <c r="S564" s="2046"/>
      <c r="T564" s="2046"/>
      <c r="U564" s="2046"/>
      <c r="V564" s="2046"/>
      <c r="W564" s="2046"/>
      <c r="X564" s="2046"/>
      <c r="Y564" s="2046"/>
      <c r="Z564" s="2046"/>
      <c r="AA564" s="2046"/>
      <c r="AB564" s="2046"/>
      <c r="AC564" s="2046"/>
    </row>
    <row r="565" spans="1:29">
      <c r="A565" s="2046"/>
      <c r="B565" s="2046"/>
      <c r="C565" s="2046"/>
      <c r="D565" s="2046"/>
      <c r="E565" s="2046"/>
      <c r="F565" s="2046"/>
      <c r="G565" s="2046"/>
      <c r="H565" s="2046"/>
      <c r="I565" s="2046"/>
      <c r="J565" s="2046"/>
      <c r="K565" s="2047"/>
      <c r="L565" s="2048"/>
      <c r="M565" s="2046"/>
      <c r="N565" s="2046"/>
      <c r="O565" s="2046"/>
      <c r="P565" s="2086"/>
      <c r="Q565" s="2046"/>
      <c r="R565" s="2046"/>
      <c r="S565" s="2046"/>
      <c r="T565" s="2046"/>
      <c r="U565" s="2046"/>
      <c r="V565" s="2046"/>
      <c r="W565" s="2046"/>
      <c r="X565" s="2046"/>
      <c r="Y565" s="2046"/>
      <c r="Z565" s="2046"/>
      <c r="AA565" s="2046"/>
      <c r="AB565" s="2046"/>
      <c r="AC565" s="2046"/>
    </row>
    <row r="566" spans="1:29">
      <c r="A566" s="2046"/>
      <c r="B566" s="2046"/>
      <c r="C566" s="2046"/>
      <c r="D566" s="2046"/>
      <c r="E566" s="2046"/>
      <c r="F566" s="2046"/>
      <c r="G566" s="2046"/>
      <c r="H566" s="2046"/>
      <c r="I566" s="2046"/>
      <c r="J566" s="2046"/>
      <c r="K566" s="2047"/>
      <c r="L566" s="2048"/>
      <c r="M566" s="2046"/>
      <c r="N566" s="2046"/>
      <c r="O566" s="2046"/>
      <c r="P566" s="2086"/>
      <c r="Q566" s="2046"/>
      <c r="R566" s="2046"/>
      <c r="S566" s="2046"/>
      <c r="T566" s="2046"/>
      <c r="U566" s="2046"/>
      <c r="V566" s="2046"/>
      <c r="W566" s="2046"/>
      <c r="X566" s="2046"/>
      <c r="Y566" s="2046"/>
      <c r="Z566" s="2046"/>
      <c r="AA566" s="2046"/>
      <c r="AB566" s="2046"/>
      <c r="AC566" s="2046"/>
    </row>
    <row r="567" spans="1:29">
      <c r="A567" s="2046"/>
      <c r="B567" s="2046"/>
      <c r="C567" s="2046"/>
      <c r="D567" s="2046"/>
      <c r="E567" s="2046"/>
      <c r="F567" s="2046"/>
      <c r="G567" s="2046"/>
      <c r="H567" s="2046"/>
      <c r="I567" s="2046"/>
      <c r="J567" s="2046"/>
      <c r="K567" s="2047"/>
      <c r="L567" s="2048"/>
      <c r="M567" s="2046"/>
      <c r="N567" s="2046"/>
      <c r="O567" s="2046"/>
      <c r="P567" s="2086"/>
      <c r="Q567" s="2046"/>
      <c r="R567" s="2046"/>
      <c r="S567" s="2046"/>
      <c r="T567" s="2046"/>
      <c r="U567" s="2046"/>
      <c r="V567" s="2046"/>
      <c r="W567" s="2046"/>
      <c r="X567" s="2046"/>
      <c r="Y567" s="2046"/>
      <c r="Z567" s="2046"/>
      <c r="AA567" s="2046"/>
      <c r="AB567" s="2046"/>
      <c r="AC567" s="2046"/>
    </row>
    <row r="568" spans="1:29">
      <c r="A568" s="2046"/>
      <c r="B568" s="2046"/>
      <c r="C568" s="2046"/>
      <c r="D568" s="2046"/>
      <c r="E568" s="2046"/>
      <c r="F568" s="2046"/>
      <c r="G568" s="2046"/>
      <c r="H568" s="2046"/>
      <c r="I568" s="2046"/>
      <c r="J568" s="2046"/>
      <c r="K568" s="2047"/>
      <c r="L568" s="2048"/>
      <c r="M568" s="2046"/>
      <c r="N568" s="2046"/>
      <c r="O568" s="2046"/>
      <c r="P568" s="2086"/>
      <c r="Q568" s="2046"/>
      <c r="R568" s="2046"/>
      <c r="S568" s="2046"/>
      <c r="T568" s="2046"/>
      <c r="U568" s="2046"/>
      <c r="V568" s="2046"/>
      <c r="W568" s="2046"/>
      <c r="X568" s="2046"/>
      <c r="Y568" s="2046"/>
      <c r="Z568" s="2046"/>
      <c r="AA568" s="2046"/>
      <c r="AB568" s="2046"/>
      <c r="AC568" s="2046"/>
    </row>
    <row r="569" spans="1:29">
      <c r="A569" s="2046"/>
      <c r="B569" s="2046"/>
      <c r="C569" s="2046"/>
      <c r="D569" s="2046"/>
      <c r="E569" s="2046"/>
      <c r="F569" s="2046"/>
      <c r="G569" s="2046"/>
      <c r="H569" s="2046"/>
      <c r="I569" s="2046"/>
      <c r="J569" s="2046"/>
      <c r="K569" s="2047"/>
      <c r="L569" s="2048"/>
      <c r="M569" s="2046"/>
      <c r="N569" s="2046"/>
      <c r="O569" s="2046"/>
      <c r="P569" s="2086"/>
      <c r="Q569" s="2046"/>
      <c r="R569" s="2046"/>
      <c r="S569" s="2046"/>
      <c r="T569" s="2046"/>
      <c r="U569" s="2046"/>
      <c r="V569" s="2046"/>
      <c r="W569" s="2046"/>
      <c r="X569" s="2046"/>
      <c r="Y569" s="2046"/>
      <c r="Z569" s="2046"/>
      <c r="AA569" s="2046"/>
      <c r="AB569" s="2046"/>
      <c r="AC569" s="2046"/>
    </row>
    <row r="570" spans="1:29">
      <c r="A570" s="2046"/>
      <c r="B570" s="2046"/>
      <c r="C570" s="2046"/>
      <c r="D570" s="2046"/>
      <c r="E570" s="2046"/>
      <c r="F570" s="2046"/>
      <c r="G570" s="2046"/>
      <c r="H570" s="2046"/>
      <c r="I570" s="2046"/>
      <c r="J570" s="2046"/>
      <c r="K570" s="2047"/>
      <c r="L570" s="2048"/>
      <c r="M570" s="2046"/>
      <c r="N570" s="2046"/>
      <c r="O570" s="2046"/>
      <c r="P570" s="2086"/>
      <c r="Q570" s="2046"/>
      <c r="R570" s="2046"/>
      <c r="S570" s="2046"/>
      <c r="T570" s="2046"/>
      <c r="U570" s="2046"/>
      <c r="V570" s="2046"/>
      <c r="W570" s="2046"/>
      <c r="X570" s="2046"/>
      <c r="Y570" s="2046"/>
      <c r="Z570" s="2046"/>
      <c r="AA570" s="2046"/>
      <c r="AB570" s="2046"/>
      <c r="AC570" s="2046"/>
    </row>
    <row r="571" spans="1:29">
      <c r="A571" s="2046"/>
      <c r="B571" s="2046"/>
      <c r="C571" s="2046"/>
      <c r="D571" s="2046"/>
      <c r="E571" s="2046"/>
      <c r="F571" s="2046"/>
      <c r="G571" s="2046"/>
      <c r="H571" s="2046"/>
      <c r="I571" s="2046"/>
      <c r="J571" s="2046"/>
      <c r="K571" s="2047"/>
      <c r="L571" s="2048"/>
      <c r="M571" s="2046"/>
      <c r="N571" s="2046"/>
      <c r="O571" s="2046"/>
      <c r="P571" s="2086"/>
      <c r="Q571" s="2046"/>
      <c r="R571" s="2046"/>
      <c r="S571" s="2046"/>
      <c r="T571" s="2046"/>
      <c r="U571" s="2046"/>
      <c r="V571" s="2046"/>
      <c r="W571" s="2046"/>
      <c r="X571" s="2046"/>
      <c r="Y571" s="2046"/>
      <c r="Z571" s="2046"/>
      <c r="AA571" s="2046"/>
      <c r="AB571" s="2046"/>
      <c r="AC571" s="2046"/>
    </row>
    <row r="572" spans="1:29">
      <c r="A572" s="2046"/>
      <c r="B572" s="2046"/>
      <c r="C572" s="2046"/>
      <c r="D572" s="2046"/>
      <c r="E572" s="2046"/>
      <c r="F572" s="2046"/>
      <c r="G572" s="2046"/>
      <c r="H572" s="2046"/>
      <c r="I572" s="2046"/>
      <c r="J572" s="2046"/>
      <c r="K572" s="2047"/>
      <c r="L572" s="2048"/>
      <c r="M572" s="2046"/>
      <c r="N572" s="2046"/>
      <c r="O572" s="2046"/>
      <c r="P572" s="2086"/>
      <c r="Q572" s="2046"/>
      <c r="R572" s="2046"/>
      <c r="S572" s="2046"/>
      <c r="T572" s="2046"/>
      <c r="U572" s="2046"/>
      <c r="V572" s="2046"/>
      <c r="W572" s="2046"/>
      <c r="X572" s="2046"/>
      <c r="Y572" s="2046"/>
      <c r="Z572" s="2046"/>
      <c r="AA572" s="2046"/>
      <c r="AB572" s="2046"/>
      <c r="AC572" s="2046"/>
    </row>
    <row r="573" spans="1:29">
      <c r="A573" s="2046"/>
      <c r="B573" s="2046"/>
      <c r="C573" s="2046"/>
      <c r="D573" s="2046"/>
      <c r="E573" s="2046"/>
      <c r="F573" s="2046"/>
      <c r="G573" s="2046"/>
      <c r="H573" s="2046"/>
      <c r="I573" s="2046"/>
      <c r="J573" s="2046"/>
      <c r="K573" s="2047"/>
      <c r="L573" s="2048"/>
      <c r="M573" s="2046"/>
      <c r="N573" s="2046"/>
      <c r="O573" s="2046"/>
      <c r="P573" s="2086"/>
      <c r="Q573" s="2046"/>
      <c r="R573" s="2046"/>
      <c r="S573" s="2046"/>
      <c r="T573" s="2046"/>
      <c r="U573" s="2046"/>
      <c r="V573" s="2046"/>
      <c r="W573" s="2046"/>
      <c r="X573" s="2046"/>
      <c r="Y573" s="2046"/>
      <c r="Z573" s="2046"/>
      <c r="AA573" s="2046"/>
      <c r="AB573" s="2046"/>
      <c r="AC573" s="2046"/>
    </row>
    <row r="574" spans="1:29">
      <c r="A574" s="2046"/>
      <c r="B574" s="2046"/>
      <c r="C574" s="2046"/>
      <c r="D574" s="2046"/>
      <c r="E574" s="2046"/>
      <c r="F574" s="2046"/>
      <c r="G574" s="2046"/>
      <c r="H574" s="2046"/>
      <c r="I574" s="2046"/>
      <c r="J574" s="2046"/>
      <c r="K574" s="2047"/>
      <c r="L574" s="2048"/>
      <c r="M574" s="2046"/>
      <c r="N574" s="2046"/>
      <c r="O574" s="2046"/>
      <c r="P574" s="2086"/>
      <c r="Q574" s="2046"/>
      <c r="R574" s="2046"/>
      <c r="S574" s="2046"/>
      <c r="T574" s="2046"/>
      <c r="U574" s="2046"/>
      <c r="V574" s="2046"/>
      <c r="W574" s="2046"/>
      <c r="X574" s="2046"/>
      <c r="Y574" s="2046"/>
      <c r="Z574" s="2046"/>
      <c r="AA574" s="2046"/>
      <c r="AB574" s="2046"/>
      <c r="AC574" s="2046"/>
    </row>
    <row r="575" spans="1:29">
      <c r="A575" s="2046"/>
      <c r="B575" s="2046"/>
      <c r="C575" s="2046"/>
      <c r="D575" s="2046"/>
      <c r="E575" s="2046"/>
      <c r="F575" s="2046"/>
      <c r="G575" s="2046"/>
      <c r="H575" s="2046"/>
      <c r="I575" s="2046"/>
      <c r="J575" s="2046"/>
      <c r="K575" s="2047"/>
      <c r="L575" s="2048"/>
      <c r="M575" s="2046"/>
      <c r="N575" s="2046"/>
      <c r="O575" s="2046"/>
      <c r="P575" s="2086"/>
      <c r="Q575" s="2046"/>
      <c r="R575" s="2046"/>
      <c r="S575" s="2046"/>
      <c r="T575" s="2046"/>
      <c r="U575" s="2046"/>
      <c r="V575" s="2046"/>
      <c r="W575" s="2046"/>
      <c r="X575" s="2046"/>
      <c r="Y575" s="2046"/>
      <c r="Z575" s="2046"/>
      <c r="AA575" s="2046"/>
      <c r="AB575" s="2046"/>
      <c r="AC575" s="2046"/>
    </row>
    <row r="576" spans="1:29">
      <c r="A576" s="2046"/>
      <c r="B576" s="2046"/>
      <c r="C576" s="2046"/>
      <c r="D576" s="2046"/>
      <c r="E576" s="2046"/>
      <c r="F576" s="2046"/>
      <c r="G576" s="2046"/>
      <c r="H576" s="2046"/>
      <c r="I576" s="2046"/>
      <c r="J576" s="2046"/>
      <c r="K576" s="2047"/>
      <c r="L576" s="2048"/>
      <c r="M576" s="2046"/>
      <c r="N576" s="2046"/>
      <c r="O576" s="2046"/>
      <c r="P576" s="2086"/>
      <c r="Q576" s="2046"/>
      <c r="R576" s="2046"/>
      <c r="S576" s="2046"/>
      <c r="T576" s="2046"/>
      <c r="U576" s="2046"/>
      <c r="V576" s="2046"/>
      <c r="W576" s="2046"/>
      <c r="X576" s="2046"/>
      <c r="Y576" s="2046"/>
      <c r="Z576" s="2046"/>
      <c r="AA576" s="2046"/>
      <c r="AB576" s="2046"/>
      <c r="AC576" s="2046"/>
    </row>
    <row r="577" spans="1:29">
      <c r="A577" s="2046"/>
      <c r="B577" s="2046"/>
      <c r="C577" s="2046"/>
      <c r="D577" s="2046"/>
      <c r="E577" s="2046"/>
      <c r="F577" s="2046"/>
      <c r="G577" s="2046"/>
      <c r="H577" s="2046"/>
      <c r="I577" s="2046"/>
      <c r="J577" s="2046"/>
      <c r="K577" s="2047"/>
      <c r="L577" s="2048"/>
      <c r="M577" s="2046"/>
      <c r="N577" s="2046"/>
      <c r="O577" s="2046"/>
      <c r="P577" s="2086"/>
      <c r="Q577" s="2046"/>
      <c r="R577" s="2046"/>
      <c r="S577" s="2046"/>
      <c r="T577" s="2046"/>
      <c r="U577" s="2046"/>
      <c r="V577" s="2046"/>
      <c r="W577" s="2046"/>
      <c r="X577" s="2046"/>
      <c r="Y577" s="2046"/>
      <c r="Z577" s="2046"/>
      <c r="AA577" s="2046"/>
      <c r="AB577" s="2046"/>
      <c r="AC577" s="2046"/>
    </row>
    <row r="578" spans="1:29">
      <c r="A578" s="2046"/>
      <c r="B578" s="2046"/>
      <c r="C578" s="2046"/>
      <c r="D578" s="2046"/>
      <c r="E578" s="2046"/>
      <c r="F578" s="2046"/>
      <c r="G578" s="2046"/>
      <c r="H578" s="2046"/>
      <c r="I578" s="2046"/>
      <c r="J578" s="2046"/>
      <c r="K578" s="2047"/>
      <c r="L578" s="2048"/>
      <c r="M578" s="2046"/>
      <c r="N578" s="2046"/>
      <c r="O578" s="2046"/>
      <c r="P578" s="2086"/>
      <c r="Q578" s="2046"/>
      <c r="R578" s="2046"/>
      <c r="S578" s="2046"/>
      <c r="T578" s="2046"/>
      <c r="U578" s="2046"/>
      <c r="V578" s="2046"/>
      <c r="W578" s="2046"/>
      <c r="X578" s="2046"/>
      <c r="Y578" s="2046"/>
      <c r="Z578" s="2046"/>
      <c r="AA578" s="2046"/>
      <c r="AB578" s="2046"/>
      <c r="AC578" s="2046"/>
    </row>
    <row r="579" spans="1:29">
      <c r="A579" s="2046"/>
      <c r="B579" s="2046"/>
      <c r="C579" s="2046"/>
      <c r="D579" s="2046"/>
      <c r="E579" s="2046"/>
      <c r="F579" s="2046"/>
      <c r="G579" s="2046"/>
      <c r="H579" s="2046"/>
      <c r="I579" s="2046"/>
      <c r="J579" s="2046"/>
      <c r="K579" s="2047"/>
      <c r="L579" s="2048"/>
      <c r="M579" s="2046"/>
      <c r="N579" s="2046"/>
      <c r="O579" s="2046"/>
      <c r="P579" s="2086"/>
      <c r="Q579" s="2046"/>
      <c r="R579" s="2046"/>
      <c r="S579" s="2046"/>
      <c r="T579" s="2046"/>
      <c r="U579" s="2046"/>
      <c r="V579" s="2046"/>
      <c r="W579" s="2046"/>
      <c r="X579" s="2046"/>
      <c r="Y579" s="2046"/>
      <c r="Z579" s="2046"/>
      <c r="AA579" s="2046"/>
      <c r="AB579" s="2046"/>
      <c r="AC579" s="2046"/>
    </row>
    <row r="580" spans="1:29">
      <c r="A580" s="2046"/>
      <c r="B580" s="2046"/>
      <c r="C580" s="2046"/>
      <c r="D580" s="2046"/>
      <c r="E580" s="2046"/>
      <c r="F580" s="2046"/>
      <c r="G580" s="2046"/>
      <c r="H580" s="2046"/>
      <c r="I580" s="2046"/>
      <c r="J580" s="2046"/>
      <c r="K580" s="2047"/>
      <c r="L580" s="2048"/>
      <c r="M580" s="2046"/>
      <c r="N580" s="2046"/>
      <c r="O580" s="2046"/>
      <c r="P580" s="2086"/>
      <c r="Q580" s="2046"/>
      <c r="R580" s="2046"/>
      <c r="S580" s="2046"/>
      <c r="T580" s="2046"/>
      <c r="U580" s="2046"/>
      <c r="V580" s="2046"/>
      <c r="W580" s="2046"/>
      <c r="X580" s="2046"/>
      <c r="Y580" s="2046"/>
      <c r="Z580" s="2046"/>
      <c r="AA580" s="2046"/>
      <c r="AB580" s="2046"/>
      <c r="AC580" s="2046"/>
    </row>
    <row r="581" spans="1:29">
      <c r="A581" s="2046"/>
      <c r="B581" s="2046"/>
      <c r="C581" s="2046"/>
      <c r="D581" s="2046"/>
      <c r="E581" s="2046"/>
      <c r="F581" s="2046"/>
      <c r="G581" s="2046"/>
      <c r="H581" s="2046"/>
      <c r="I581" s="2046"/>
      <c r="J581" s="2046"/>
      <c r="K581" s="2047"/>
      <c r="L581" s="2048"/>
      <c r="M581" s="2046"/>
      <c r="N581" s="2046"/>
      <c r="O581" s="2046"/>
      <c r="P581" s="2086"/>
      <c r="Q581" s="2046"/>
      <c r="R581" s="2046"/>
      <c r="S581" s="2046"/>
      <c r="T581" s="2046"/>
      <c r="U581" s="2046"/>
      <c r="V581" s="2046"/>
      <c r="W581" s="2046"/>
      <c r="X581" s="2046"/>
      <c r="Y581" s="2046"/>
      <c r="Z581" s="2046"/>
      <c r="AA581" s="2046"/>
      <c r="AB581" s="2046"/>
      <c r="AC581" s="2046"/>
    </row>
    <row r="582" spans="1:29">
      <c r="A582" s="2046"/>
      <c r="B582" s="2046"/>
      <c r="C582" s="2046"/>
      <c r="D582" s="2046"/>
      <c r="E582" s="2046"/>
      <c r="F582" s="2046"/>
      <c r="G582" s="2046"/>
      <c r="H582" s="2046"/>
      <c r="I582" s="2046"/>
      <c r="J582" s="2046"/>
      <c r="K582" s="2047"/>
      <c r="L582" s="2048"/>
      <c r="M582" s="2046"/>
      <c r="N582" s="2046"/>
      <c r="O582" s="2046"/>
      <c r="P582" s="2086"/>
      <c r="Q582" s="2046"/>
      <c r="R582" s="2046"/>
      <c r="S582" s="2046"/>
      <c r="T582" s="2046"/>
      <c r="U582" s="2046"/>
      <c r="V582" s="2046"/>
      <c r="W582" s="2046"/>
      <c r="X582" s="2046"/>
      <c r="Y582" s="2046"/>
      <c r="Z582" s="2046"/>
      <c r="AA582" s="2046"/>
      <c r="AB582" s="2046"/>
      <c r="AC582" s="2046"/>
    </row>
    <row r="583" spans="1:29">
      <c r="A583" s="2046"/>
      <c r="B583" s="2046"/>
      <c r="C583" s="2046"/>
      <c r="D583" s="2046"/>
      <c r="E583" s="2046"/>
      <c r="F583" s="2046"/>
      <c r="G583" s="2046"/>
      <c r="H583" s="2046"/>
      <c r="I583" s="2046"/>
      <c r="J583" s="2046"/>
      <c r="K583" s="2047"/>
      <c r="L583" s="2048"/>
      <c r="M583" s="2046"/>
      <c r="N583" s="2046"/>
      <c r="O583" s="2046"/>
      <c r="P583" s="2086"/>
      <c r="Q583" s="2046"/>
      <c r="R583" s="2046"/>
      <c r="S583" s="2046"/>
      <c r="T583" s="2046"/>
      <c r="U583" s="2046"/>
      <c r="V583" s="2046"/>
      <c r="W583" s="2046"/>
      <c r="X583" s="2046"/>
      <c r="Y583" s="2046"/>
      <c r="Z583" s="2046"/>
      <c r="AA583" s="2046"/>
      <c r="AB583" s="2046"/>
      <c r="AC583" s="2046"/>
    </row>
    <row r="584" spans="1:29">
      <c r="A584" s="2046"/>
      <c r="B584" s="2046"/>
      <c r="C584" s="2046"/>
      <c r="D584" s="2046"/>
      <c r="E584" s="2046"/>
      <c r="F584" s="2046"/>
      <c r="G584" s="2046"/>
      <c r="H584" s="2046"/>
      <c r="I584" s="2046"/>
      <c r="J584" s="2046"/>
      <c r="K584" s="2047"/>
      <c r="L584" s="2048"/>
      <c r="M584" s="2046"/>
      <c r="N584" s="2046"/>
      <c r="O584" s="2046"/>
      <c r="P584" s="2086"/>
      <c r="Q584" s="2046"/>
      <c r="R584" s="2046"/>
      <c r="S584" s="2046"/>
      <c r="T584" s="2046"/>
      <c r="U584" s="2046"/>
      <c r="V584" s="2046"/>
      <c r="W584" s="2046"/>
      <c r="X584" s="2046"/>
      <c r="Y584" s="2046"/>
      <c r="Z584" s="2046"/>
      <c r="AA584" s="2046"/>
      <c r="AB584" s="2046"/>
      <c r="AC584" s="2046"/>
    </row>
    <row r="585" spans="1:29">
      <c r="A585" s="2046"/>
      <c r="B585" s="2046"/>
      <c r="C585" s="2046"/>
      <c r="D585" s="2046"/>
      <c r="E585" s="2046"/>
      <c r="F585" s="2046"/>
      <c r="G585" s="2046"/>
      <c r="H585" s="2046"/>
      <c r="I585" s="2046"/>
      <c r="J585" s="2046"/>
      <c r="K585" s="2047"/>
      <c r="L585" s="2048"/>
      <c r="M585" s="2046"/>
      <c r="N585" s="2046"/>
      <c r="O585" s="2046"/>
      <c r="P585" s="2086"/>
      <c r="Q585" s="2046"/>
      <c r="R585" s="2046"/>
      <c r="S585" s="2046"/>
      <c r="T585" s="2046"/>
      <c r="U585" s="2046"/>
      <c r="V585" s="2046"/>
      <c r="W585" s="2046"/>
      <c r="X585" s="2046"/>
      <c r="Y585" s="2046"/>
      <c r="Z585" s="2046"/>
      <c r="AA585" s="2046"/>
      <c r="AB585" s="2046"/>
      <c r="AC585" s="2046"/>
    </row>
    <row r="586" spans="1:29">
      <c r="A586" s="2046"/>
      <c r="B586" s="2046"/>
      <c r="C586" s="2046"/>
      <c r="D586" s="2046"/>
      <c r="E586" s="2046"/>
      <c r="F586" s="2046"/>
      <c r="G586" s="2046"/>
      <c r="H586" s="2046"/>
      <c r="I586" s="2046"/>
      <c r="J586" s="2046"/>
      <c r="K586" s="2047"/>
      <c r="L586" s="2048"/>
      <c r="M586" s="2046"/>
      <c r="N586" s="2046"/>
      <c r="O586" s="2046"/>
      <c r="P586" s="2086"/>
      <c r="Q586" s="2046"/>
      <c r="R586" s="2046"/>
      <c r="S586" s="2046"/>
      <c r="T586" s="2046"/>
      <c r="U586" s="2046"/>
      <c r="V586" s="2046"/>
      <c r="W586" s="2046"/>
      <c r="X586" s="2046"/>
      <c r="Y586" s="2046"/>
      <c r="Z586" s="2046"/>
      <c r="AA586" s="2046"/>
      <c r="AB586" s="2046"/>
      <c r="AC586" s="2046"/>
    </row>
    <row r="587" spans="1:29">
      <c r="A587" s="2046"/>
      <c r="B587" s="2046"/>
      <c r="C587" s="2046"/>
      <c r="D587" s="2046"/>
      <c r="E587" s="2046"/>
      <c r="F587" s="2046"/>
      <c r="G587" s="2046"/>
      <c r="H587" s="2046"/>
      <c r="I587" s="2046"/>
      <c r="J587" s="2046"/>
      <c r="K587" s="2047"/>
      <c r="L587" s="2048"/>
      <c r="M587" s="2046"/>
      <c r="N587" s="2046"/>
      <c r="O587" s="2046"/>
      <c r="P587" s="2086"/>
      <c r="Q587" s="2046"/>
      <c r="R587" s="2046"/>
      <c r="S587" s="2046"/>
      <c r="T587" s="2046"/>
      <c r="U587" s="2046"/>
      <c r="V587" s="2046"/>
      <c r="W587" s="2046"/>
      <c r="X587" s="2046"/>
      <c r="Y587" s="2046"/>
      <c r="Z587" s="2046"/>
      <c r="AA587" s="2046"/>
      <c r="AB587" s="2046"/>
      <c r="AC587" s="2046"/>
    </row>
    <row r="588" spans="1:29">
      <c r="A588" s="2046"/>
      <c r="B588" s="2046"/>
      <c r="C588" s="2046"/>
      <c r="D588" s="2046"/>
      <c r="E588" s="2046"/>
      <c r="F588" s="2046"/>
      <c r="G588" s="2046"/>
      <c r="H588" s="2046"/>
      <c r="I588" s="2046"/>
      <c r="J588" s="2046"/>
      <c r="K588" s="2047"/>
      <c r="L588" s="2048"/>
      <c r="M588" s="2046"/>
      <c r="N588" s="2046"/>
      <c r="O588" s="2046"/>
      <c r="P588" s="2086"/>
      <c r="Q588" s="2046"/>
      <c r="R588" s="2046"/>
      <c r="S588" s="2046"/>
      <c r="T588" s="2046"/>
      <c r="U588" s="2046"/>
      <c r="V588" s="2046"/>
      <c r="W588" s="2046"/>
      <c r="X588" s="2046"/>
      <c r="Y588" s="2046"/>
      <c r="Z588" s="2046"/>
      <c r="AA588" s="2046"/>
      <c r="AB588" s="2046"/>
      <c r="AC588" s="2046"/>
    </row>
    <row r="589" spans="1:29">
      <c r="A589" s="2046"/>
      <c r="B589" s="2046"/>
      <c r="C589" s="2046"/>
      <c r="D589" s="2046"/>
      <c r="E589" s="2046"/>
      <c r="F589" s="2046"/>
      <c r="G589" s="2046"/>
      <c r="H589" s="2046"/>
      <c r="I589" s="2046"/>
      <c r="J589" s="2046"/>
      <c r="K589" s="2047"/>
      <c r="L589" s="2048"/>
      <c r="M589" s="2046"/>
      <c r="N589" s="2046"/>
      <c r="O589" s="2046"/>
      <c r="P589" s="2086"/>
      <c r="Q589" s="2046"/>
      <c r="R589" s="2046"/>
      <c r="S589" s="2046"/>
      <c r="T589" s="2046"/>
      <c r="U589" s="2046"/>
      <c r="V589" s="2046"/>
      <c r="W589" s="2046"/>
      <c r="X589" s="2046"/>
      <c r="Y589" s="2046"/>
      <c r="Z589" s="2046"/>
      <c r="AA589" s="2046"/>
      <c r="AB589" s="2046"/>
      <c r="AC589" s="2046"/>
    </row>
    <row r="590" spans="1:29">
      <c r="A590" s="2046"/>
      <c r="B590" s="2046"/>
      <c r="C590" s="2046"/>
      <c r="D590" s="2046"/>
      <c r="E590" s="2046"/>
      <c r="F590" s="2046"/>
      <c r="G590" s="2046"/>
      <c r="H590" s="2046"/>
      <c r="I590" s="2046"/>
      <c r="J590" s="2046"/>
      <c r="K590" s="2047"/>
      <c r="L590" s="2048"/>
      <c r="M590" s="2046"/>
      <c r="N590" s="2046"/>
      <c r="O590" s="2046"/>
      <c r="P590" s="2086"/>
      <c r="Q590" s="2046"/>
      <c r="R590" s="2046"/>
      <c r="S590" s="2046"/>
      <c r="T590" s="2046"/>
      <c r="U590" s="2046"/>
      <c r="V590" s="2046"/>
      <c r="W590" s="2046"/>
      <c r="X590" s="2046"/>
      <c r="Y590" s="2046"/>
      <c r="Z590" s="2046"/>
      <c r="AA590" s="2046"/>
      <c r="AB590" s="2046"/>
      <c r="AC590" s="2046"/>
    </row>
    <row r="591" spans="1:29">
      <c r="A591" s="2046"/>
      <c r="B591" s="2046"/>
      <c r="C591" s="2046"/>
      <c r="D591" s="2046"/>
      <c r="E591" s="2046"/>
      <c r="F591" s="2046"/>
      <c r="G591" s="2046"/>
      <c r="H591" s="2046"/>
      <c r="I591" s="2046"/>
      <c r="J591" s="2046"/>
      <c r="K591" s="2047"/>
      <c r="L591" s="2048"/>
      <c r="M591" s="2046"/>
      <c r="N591" s="2046"/>
      <c r="O591" s="2046"/>
      <c r="P591" s="2086"/>
      <c r="Q591" s="2046"/>
      <c r="R591" s="2046"/>
      <c r="S591" s="2046"/>
      <c r="T591" s="2046"/>
      <c r="U591" s="2046"/>
      <c r="V591" s="2046"/>
      <c r="W591" s="2046"/>
      <c r="X591" s="2046"/>
      <c r="Y591" s="2046"/>
      <c r="Z591" s="2046"/>
      <c r="AA591" s="2046"/>
      <c r="AB591" s="2046"/>
      <c r="AC591" s="2046"/>
    </row>
    <row r="592" spans="1:29">
      <c r="A592" s="2046"/>
      <c r="B592" s="2046"/>
      <c r="C592" s="2046"/>
      <c r="D592" s="2046"/>
      <c r="E592" s="2046"/>
      <c r="F592" s="2046"/>
      <c r="G592" s="2046"/>
      <c r="H592" s="2046"/>
      <c r="I592" s="2046"/>
      <c r="J592" s="2046"/>
      <c r="K592" s="2047"/>
      <c r="L592" s="2048"/>
      <c r="M592" s="2046"/>
      <c r="N592" s="2046"/>
      <c r="O592" s="2046"/>
      <c r="P592" s="2086"/>
      <c r="Q592" s="2046"/>
      <c r="R592" s="2046"/>
      <c r="S592" s="2046"/>
      <c r="T592" s="2046"/>
      <c r="U592" s="2046"/>
      <c r="V592" s="2046"/>
      <c r="W592" s="2046"/>
      <c r="X592" s="2046"/>
      <c r="Y592" s="2046"/>
      <c r="Z592" s="2046"/>
      <c r="AA592" s="2046"/>
      <c r="AB592" s="2046"/>
      <c r="AC592" s="2046"/>
    </row>
    <row r="593" spans="1:29">
      <c r="A593" s="2046"/>
      <c r="B593" s="2046"/>
      <c r="C593" s="2046"/>
      <c r="D593" s="2046"/>
      <c r="E593" s="2046"/>
      <c r="F593" s="2046"/>
      <c r="G593" s="2046"/>
      <c r="H593" s="2046"/>
      <c r="I593" s="2046"/>
      <c r="J593" s="2046"/>
      <c r="K593" s="2047"/>
      <c r="L593" s="2048"/>
      <c r="M593" s="2046"/>
      <c r="N593" s="2046"/>
      <c r="O593" s="2046"/>
      <c r="P593" s="2086"/>
      <c r="Q593" s="2046"/>
      <c r="R593" s="2046"/>
      <c r="S593" s="2046"/>
      <c r="T593" s="2046"/>
      <c r="U593" s="2046"/>
      <c r="V593" s="2046"/>
      <c r="W593" s="2046"/>
      <c r="X593" s="2046"/>
      <c r="Y593" s="2046"/>
      <c r="Z593" s="2046"/>
      <c r="AA593" s="2046"/>
      <c r="AB593" s="2046"/>
      <c r="AC593" s="2046"/>
    </row>
    <row r="594" spans="1:29">
      <c r="A594" s="2046"/>
      <c r="B594" s="2046"/>
      <c r="C594" s="2046"/>
      <c r="D594" s="2046"/>
      <c r="E594" s="2046"/>
      <c r="F594" s="2046"/>
      <c r="G594" s="2046"/>
      <c r="H594" s="2046"/>
      <c r="I594" s="2046"/>
      <c r="J594" s="2046"/>
      <c r="K594" s="2047"/>
      <c r="L594" s="2048"/>
      <c r="M594" s="2046"/>
      <c r="N594" s="2046"/>
      <c r="O594" s="2046"/>
      <c r="P594" s="2086"/>
      <c r="Q594" s="2046"/>
      <c r="R594" s="2046"/>
      <c r="S594" s="2046"/>
      <c r="T594" s="2046"/>
      <c r="U594" s="2046"/>
      <c r="V594" s="2046"/>
      <c r="W594" s="2046"/>
      <c r="X594" s="2046"/>
      <c r="Y594" s="2046"/>
      <c r="Z594" s="2046"/>
      <c r="AA594" s="2046"/>
      <c r="AB594" s="2046"/>
      <c r="AC594" s="2046"/>
    </row>
    <row r="595" spans="1:29">
      <c r="A595" s="2046"/>
      <c r="B595" s="2046"/>
      <c r="C595" s="2046"/>
      <c r="D595" s="2046"/>
      <c r="E595" s="2046"/>
      <c r="F595" s="2046"/>
      <c r="G595" s="2046"/>
      <c r="H595" s="2046"/>
      <c r="I595" s="2046"/>
      <c r="J595" s="2046"/>
      <c r="K595" s="2047"/>
      <c r="L595" s="2048"/>
      <c r="M595" s="2046"/>
      <c r="N595" s="2046"/>
      <c r="O595" s="2046"/>
      <c r="P595" s="2086"/>
      <c r="Q595" s="2046"/>
      <c r="R595" s="2046"/>
      <c r="S595" s="2046"/>
      <c r="T595" s="2046"/>
      <c r="U595" s="2046"/>
      <c r="V595" s="2046"/>
      <c r="W595" s="2046"/>
      <c r="X595" s="2046"/>
      <c r="Y595" s="2046"/>
      <c r="Z595" s="2046"/>
      <c r="AA595" s="2046"/>
      <c r="AB595" s="2046"/>
      <c r="AC595" s="2046"/>
    </row>
    <row r="596" spans="1:29">
      <c r="A596" s="2046"/>
      <c r="B596" s="2046"/>
      <c r="C596" s="2046"/>
      <c r="D596" s="2046"/>
      <c r="E596" s="2046"/>
      <c r="F596" s="2046"/>
      <c r="G596" s="2046"/>
      <c r="H596" s="2046"/>
      <c r="I596" s="2046"/>
      <c r="J596" s="2046"/>
      <c r="K596" s="2047"/>
      <c r="L596" s="2048"/>
      <c r="M596" s="2046"/>
      <c r="N596" s="2046"/>
      <c r="O596" s="2046"/>
      <c r="P596" s="2086"/>
      <c r="Q596" s="2046"/>
      <c r="R596" s="2046"/>
      <c r="S596" s="2046"/>
      <c r="T596" s="2046"/>
      <c r="U596" s="2046"/>
      <c r="V596" s="2046"/>
      <c r="W596" s="2046"/>
      <c r="X596" s="2046"/>
      <c r="Y596" s="2046"/>
      <c r="Z596" s="2046"/>
      <c r="AA596" s="2046"/>
      <c r="AB596" s="2046"/>
      <c r="AC596" s="2046"/>
    </row>
    <row r="597" spans="1:29">
      <c r="A597" s="2046"/>
      <c r="B597" s="2046"/>
      <c r="C597" s="2046"/>
      <c r="D597" s="2046"/>
      <c r="E597" s="2046"/>
      <c r="F597" s="2046"/>
      <c r="G597" s="2046"/>
      <c r="H597" s="2046"/>
      <c r="I597" s="2046"/>
      <c r="J597" s="2046"/>
      <c r="K597" s="2047"/>
      <c r="L597" s="2048"/>
      <c r="M597" s="2046"/>
      <c r="N597" s="2046"/>
      <c r="O597" s="2046"/>
      <c r="P597" s="2086"/>
      <c r="Q597" s="2046"/>
      <c r="R597" s="2046"/>
      <c r="S597" s="2046"/>
      <c r="T597" s="2046"/>
      <c r="U597" s="2046"/>
      <c r="V597" s="2046"/>
      <c r="W597" s="2046"/>
      <c r="X597" s="2046"/>
      <c r="Y597" s="2046"/>
      <c r="Z597" s="2046"/>
      <c r="AA597" s="2046"/>
      <c r="AB597" s="2046"/>
      <c r="AC597" s="2046"/>
    </row>
    <row r="598" spans="1:29">
      <c r="A598" s="2046"/>
      <c r="B598" s="2046"/>
      <c r="C598" s="2046"/>
      <c r="D598" s="2046"/>
      <c r="E598" s="2046"/>
      <c r="F598" s="2046"/>
      <c r="G598" s="2046"/>
      <c r="H598" s="2046"/>
      <c r="I598" s="2046"/>
      <c r="J598" s="2046"/>
      <c r="K598" s="2047"/>
      <c r="L598" s="2048"/>
      <c r="M598" s="2046"/>
      <c r="N598" s="2046"/>
      <c r="O598" s="2046"/>
      <c r="P598" s="2086"/>
      <c r="Q598" s="2046"/>
      <c r="R598" s="2046"/>
      <c r="S598" s="2046"/>
      <c r="T598" s="2046"/>
      <c r="U598" s="2046"/>
      <c r="V598" s="2046"/>
      <c r="W598" s="2046"/>
      <c r="X598" s="2046"/>
      <c r="Y598" s="2046"/>
      <c r="Z598" s="2046"/>
      <c r="AA598" s="2046"/>
      <c r="AB598" s="2046"/>
      <c r="AC598" s="2046"/>
    </row>
    <row r="599" spans="1:29">
      <c r="A599" s="2046"/>
      <c r="B599" s="2046"/>
      <c r="C599" s="2046"/>
      <c r="D599" s="2046"/>
      <c r="E599" s="2046"/>
      <c r="F599" s="2046"/>
      <c r="G599" s="2046"/>
      <c r="H599" s="2046"/>
      <c r="I599" s="2046"/>
      <c r="J599" s="2046"/>
      <c r="K599" s="2047"/>
      <c r="L599" s="2048"/>
      <c r="M599" s="2046"/>
      <c r="N599" s="2046"/>
      <c r="O599" s="2046"/>
      <c r="P599" s="2086"/>
      <c r="Q599" s="2046"/>
      <c r="R599" s="2046"/>
      <c r="S599" s="2046"/>
      <c r="T599" s="2046"/>
      <c r="U599" s="2046"/>
      <c r="V599" s="2046"/>
      <c r="W599" s="2046"/>
      <c r="X599" s="2046"/>
      <c r="Y599" s="2046"/>
      <c r="Z599" s="2046"/>
      <c r="AA599" s="2046"/>
      <c r="AB599" s="2046"/>
      <c r="AC599" s="2046"/>
    </row>
    <row r="600" spans="1:29">
      <c r="A600" s="2046"/>
      <c r="B600" s="2046"/>
      <c r="C600" s="2046"/>
      <c r="D600" s="2046"/>
      <c r="E600" s="2046"/>
      <c r="F600" s="2046"/>
      <c r="G600" s="2046"/>
      <c r="H600" s="2046"/>
      <c r="I600" s="2046"/>
      <c r="J600" s="2046"/>
      <c r="K600" s="2047"/>
      <c r="L600" s="2048"/>
      <c r="M600" s="2046"/>
      <c r="N600" s="2046"/>
      <c r="O600" s="2046"/>
      <c r="P600" s="2086"/>
      <c r="Q600" s="2046"/>
      <c r="R600" s="2046"/>
      <c r="S600" s="2046"/>
      <c r="T600" s="2046"/>
      <c r="U600" s="2046"/>
      <c r="V600" s="2046"/>
      <c r="W600" s="2046"/>
      <c r="X600" s="2046"/>
      <c r="Y600" s="2046"/>
      <c r="Z600" s="2046"/>
      <c r="AA600" s="2046"/>
      <c r="AB600" s="2046"/>
      <c r="AC600" s="2046"/>
    </row>
    <row r="601" spans="1:29">
      <c r="A601" s="2046"/>
      <c r="B601" s="2046"/>
      <c r="C601" s="2046"/>
      <c r="D601" s="2046"/>
      <c r="E601" s="2046"/>
      <c r="F601" s="2046"/>
      <c r="G601" s="2046"/>
      <c r="H601" s="2046"/>
      <c r="I601" s="2046"/>
      <c r="J601" s="2046"/>
      <c r="K601" s="2047"/>
      <c r="L601" s="2048"/>
      <c r="M601" s="2046"/>
      <c r="N601" s="2046"/>
      <c r="O601" s="2046"/>
      <c r="P601" s="2086"/>
      <c r="Q601" s="2046"/>
      <c r="R601" s="2046"/>
      <c r="S601" s="2046"/>
      <c r="T601" s="2046"/>
      <c r="U601" s="2046"/>
      <c r="V601" s="2046"/>
      <c r="W601" s="2046"/>
      <c r="X601" s="2046"/>
      <c r="Y601" s="2046"/>
      <c r="Z601" s="2046"/>
      <c r="AA601" s="2046"/>
      <c r="AB601" s="2046"/>
      <c r="AC601" s="2046"/>
    </row>
    <row r="602" spans="1:29">
      <c r="A602" s="2046"/>
      <c r="B602" s="2046"/>
      <c r="C602" s="2046"/>
      <c r="D602" s="2046"/>
      <c r="E602" s="2046"/>
      <c r="F602" s="2046"/>
      <c r="G602" s="2046"/>
      <c r="H602" s="2046"/>
      <c r="I602" s="2046"/>
      <c r="J602" s="2046"/>
      <c r="K602" s="2047"/>
      <c r="L602" s="2048"/>
      <c r="M602" s="2046"/>
      <c r="N602" s="2046"/>
      <c r="O602" s="2046"/>
      <c r="P602" s="2086"/>
      <c r="Q602" s="2046"/>
      <c r="R602" s="2046"/>
      <c r="S602" s="2046"/>
      <c r="T602" s="2046"/>
      <c r="U602" s="2046"/>
      <c r="V602" s="2046"/>
      <c r="W602" s="2046"/>
      <c r="X602" s="2046"/>
      <c r="Y602" s="2046"/>
      <c r="Z602" s="2046"/>
      <c r="AA602" s="2046"/>
      <c r="AB602" s="2046"/>
      <c r="AC602" s="2046"/>
    </row>
    <row r="603" spans="1:29">
      <c r="A603" s="2046"/>
      <c r="B603" s="2046"/>
      <c r="C603" s="2046"/>
      <c r="D603" s="2046"/>
      <c r="E603" s="2046"/>
      <c r="F603" s="2046"/>
      <c r="G603" s="2046"/>
      <c r="H603" s="2046"/>
      <c r="I603" s="2046"/>
      <c r="J603" s="2046"/>
      <c r="K603" s="2047"/>
      <c r="L603" s="2048"/>
      <c r="M603" s="2046"/>
      <c r="N603" s="2046"/>
      <c r="O603" s="2046"/>
      <c r="P603" s="2086"/>
      <c r="Q603" s="2046"/>
      <c r="R603" s="2046"/>
      <c r="S603" s="2046"/>
      <c r="T603" s="2046"/>
      <c r="U603" s="2046"/>
      <c r="V603" s="2046"/>
      <c r="W603" s="2046"/>
      <c r="X603" s="2046"/>
      <c r="Y603" s="2046"/>
      <c r="Z603" s="2046"/>
      <c r="AA603" s="2046"/>
      <c r="AB603" s="2046"/>
      <c r="AC603" s="2046"/>
    </row>
    <row r="604" spans="1:29">
      <c r="A604" s="2046"/>
      <c r="B604" s="2046"/>
      <c r="C604" s="2046"/>
      <c r="D604" s="2046"/>
      <c r="E604" s="2046"/>
      <c r="F604" s="2046"/>
      <c r="G604" s="2046"/>
      <c r="H604" s="2046"/>
      <c r="I604" s="2046"/>
      <c r="J604" s="2046"/>
      <c r="K604" s="2047"/>
      <c r="L604" s="2048"/>
      <c r="M604" s="2046"/>
      <c r="N604" s="2046"/>
      <c r="O604" s="2046"/>
      <c r="P604" s="2086"/>
      <c r="Q604" s="2046"/>
      <c r="R604" s="2046"/>
      <c r="S604" s="2046"/>
      <c r="T604" s="2046"/>
      <c r="U604" s="2046"/>
      <c r="V604" s="2046"/>
      <c r="W604" s="2046"/>
      <c r="X604" s="2046"/>
      <c r="Y604" s="2046"/>
      <c r="Z604" s="2046"/>
      <c r="AA604" s="2046"/>
      <c r="AB604" s="2046"/>
      <c r="AC604" s="2046"/>
    </row>
    <row r="605" spans="1:29">
      <c r="A605" s="2046"/>
      <c r="B605" s="2046"/>
      <c r="C605" s="2046"/>
      <c r="D605" s="2046"/>
      <c r="E605" s="2046"/>
      <c r="F605" s="2046"/>
      <c r="G605" s="2046"/>
      <c r="H605" s="2046"/>
      <c r="I605" s="2046"/>
      <c r="J605" s="2046"/>
      <c r="K605" s="2047"/>
      <c r="L605" s="2048"/>
      <c r="M605" s="2046"/>
      <c r="N605" s="2046"/>
      <c r="O605" s="2046"/>
      <c r="P605" s="2086"/>
      <c r="Q605" s="2046"/>
      <c r="R605" s="2046"/>
      <c r="S605" s="2046"/>
      <c r="T605" s="2046"/>
      <c r="U605" s="2046"/>
      <c r="V605" s="2046"/>
      <c r="W605" s="2046"/>
      <c r="X605" s="2046"/>
      <c r="Y605" s="2046"/>
      <c r="Z605" s="2046"/>
      <c r="AA605" s="2046"/>
      <c r="AB605" s="2046"/>
      <c r="AC605" s="2046"/>
    </row>
    <row r="606" spans="1:29">
      <c r="A606" s="2046"/>
      <c r="B606" s="2046"/>
      <c r="C606" s="2046"/>
      <c r="D606" s="2046"/>
      <c r="E606" s="2046"/>
      <c r="F606" s="2046"/>
      <c r="G606" s="2046"/>
      <c r="H606" s="2046"/>
      <c r="I606" s="2046"/>
      <c r="J606" s="2046"/>
      <c r="K606" s="2047"/>
      <c r="L606" s="2048"/>
      <c r="M606" s="2046"/>
      <c r="N606" s="2046"/>
      <c r="O606" s="2046"/>
      <c r="P606" s="2086"/>
      <c r="Q606" s="2046"/>
      <c r="R606" s="2046"/>
      <c r="S606" s="2046"/>
      <c r="T606" s="2046"/>
      <c r="U606" s="2046"/>
      <c r="V606" s="2046"/>
      <c r="W606" s="2046"/>
      <c r="X606" s="2046"/>
      <c r="Y606" s="2046"/>
      <c r="Z606" s="2046"/>
      <c r="AA606" s="2046"/>
      <c r="AB606" s="2046"/>
      <c r="AC606" s="2046"/>
    </row>
    <row r="607" spans="1:29">
      <c r="A607" s="2046"/>
      <c r="B607" s="2046"/>
      <c r="C607" s="2046"/>
      <c r="D607" s="2046"/>
      <c r="E607" s="2046"/>
      <c r="F607" s="2046"/>
      <c r="G607" s="2046"/>
      <c r="H607" s="2046"/>
      <c r="I607" s="2046"/>
      <c r="J607" s="2046"/>
      <c r="K607" s="2047"/>
      <c r="L607" s="2048"/>
      <c r="M607" s="2046"/>
      <c r="N607" s="2046"/>
      <c r="O607" s="2046"/>
      <c r="P607" s="2086"/>
      <c r="Q607" s="2046"/>
      <c r="R607" s="2046"/>
      <c r="S607" s="2046"/>
      <c r="T607" s="2046"/>
      <c r="U607" s="2046"/>
      <c r="V607" s="2046"/>
      <c r="W607" s="2046"/>
      <c r="X607" s="2046"/>
      <c r="Y607" s="2046"/>
      <c r="Z607" s="2046"/>
      <c r="AA607" s="2046"/>
      <c r="AB607" s="2046"/>
      <c r="AC607" s="2046"/>
    </row>
    <row r="608" spans="1:29">
      <c r="A608" s="2046"/>
      <c r="B608" s="2046"/>
      <c r="C608" s="2046"/>
      <c r="D608" s="2046"/>
      <c r="E608" s="2046"/>
      <c r="F608" s="2046"/>
      <c r="G608" s="2046"/>
      <c r="H608" s="2046"/>
      <c r="I608" s="2046"/>
      <c r="J608" s="2046"/>
      <c r="K608" s="2047"/>
      <c r="L608" s="2048"/>
      <c r="M608" s="2046"/>
      <c r="N608" s="2046"/>
      <c r="O608" s="2046"/>
      <c r="P608" s="2086"/>
      <c r="Q608" s="2046"/>
      <c r="R608" s="2046"/>
      <c r="S608" s="2046"/>
      <c r="T608" s="2046"/>
      <c r="U608" s="2046"/>
      <c r="V608" s="2046"/>
      <c r="W608" s="2046"/>
      <c r="X608" s="2046"/>
      <c r="Y608" s="2046"/>
      <c r="Z608" s="2046"/>
      <c r="AA608" s="2046"/>
      <c r="AB608" s="2046"/>
      <c r="AC608" s="2046"/>
    </row>
    <row r="609" spans="1:29">
      <c r="A609" s="2046"/>
      <c r="B609" s="2046"/>
      <c r="C609" s="2046"/>
      <c r="D609" s="2046"/>
      <c r="E609" s="2046"/>
      <c r="F609" s="2046"/>
      <c r="G609" s="2046"/>
      <c r="H609" s="2046"/>
      <c r="I609" s="2046"/>
      <c r="J609" s="2046"/>
      <c r="K609" s="2047"/>
      <c r="L609" s="2048"/>
      <c r="M609" s="2046"/>
      <c r="N609" s="2046"/>
      <c r="O609" s="2046"/>
      <c r="P609" s="2086"/>
      <c r="Q609" s="2046"/>
      <c r="R609" s="2046"/>
      <c r="S609" s="2046"/>
      <c r="T609" s="2046"/>
      <c r="U609" s="2046"/>
      <c r="V609" s="2046"/>
      <c r="W609" s="2046"/>
      <c r="X609" s="2046"/>
      <c r="Y609" s="2046"/>
      <c r="Z609" s="2046"/>
      <c r="AA609" s="2046"/>
      <c r="AB609" s="2046"/>
      <c r="AC609" s="2046"/>
    </row>
    <row r="610" spans="1:29">
      <c r="A610" s="2046"/>
      <c r="B610" s="2046"/>
      <c r="C610" s="2046"/>
      <c r="D610" s="2046"/>
      <c r="E610" s="2046"/>
      <c r="F610" s="2046"/>
      <c r="G610" s="2046"/>
      <c r="H610" s="2046"/>
      <c r="I610" s="2046"/>
      <c r="J610" s="2046"/>
      <c r="K610" s="2047"/>
      <c r="L610" s="2048"/>
      <c r="M610" s="2046"/>
      <c r="N610" s="2046"/>
      <c r="O610" s="2046"/>
      <c r="P610" s="2086"/>
      <c r="Q610" s="2046"/>
      <c r="R610" s="2046"/>
      <c r="S610" s="2046"/>
      <c r="T610" s="2046"/>
      <c r="U610" s="2046"/>
      <c r="V610" s="2046"/>
      <c r="W610" s="2046"/>
      <c r="X610" s="2046"/>
      <c r="Y610" s="2046"/>
      <c r="Z610" s="2046"/>
      <c r="AA610" s="2046"/>
      <c r="AB610" s="2046"/>
      <c r="AC610" s="2046"/>
    </row>
    <row r="611" spans="1:29">
      <c r="A611" s="2046"/>
      <c r="B611" s="2046"/>
      <c r="C611" s="2046"/>
      <c r="D611" s="2046"/>
      <c r="E611" s="2046"/>
      <c r="F611" s="2046"/>
      <c r="G611" s="2046"/>
      <c r="H611" s="2046"/>
      <c r="I611" s="2046"/>
      <c r="J611" s="2046"/>
      <c r="K611" s="2047"/>
      <c r="L611" s="2048"/>
      <c r="M611" s="2046"/>
      <c r="N611" s="2046"/>
      <c r="O611" s="2046"/>
      <c r="P611" s="2086"/>
      <c r="Q611" s="2046"/>
      <c r="R611" s="2046"/>
      <c r="S611" s="2046"/>
      <c r="T611" s="2046"/>
      <c r="U611" s="2046"/>
      <c r="V611" s="2046"/>
      <c r="W611" s="2046"/>
      <c r="X611" s="2046"/>
      <c r="Y611" s="2046"/>
      <c r="Z611" s="2046"/>
      <c r="AA611" s="2046"/>
      <c r="AB611" s="2046"/>
      <c r="AC611" s="2046"/>
    </row>
    <row r="612" spans="1:29">
      <c r="A612" s="2046"/>
      <c r="B612" s="2046"/>
      <c r="C612" s="2046"/>
      <c r="D612" s="2046"/>
      <c r="E612" s="2046"/>
      <c r="F612" s="2046"/>
      <c r="G612" s="2046"/>
      <c r="H612" s="2046"/>
      <c r="I612" s="2046"/>
      <c r="J612" s="2046"/>
      <c r="K612" s="2047"/>
      <c r="L612" s="2048"/>
      <c r="M612" s="2046"/>
      <c r="N612" s="2046"/>
      <c r="O612" s="2046"/>
      <c r="P612" s="2086"/>
      <c r="Q612" s="2046"/>
      <c r="R612" s="2046"/>
      <c r="S612" s="2046"/>
      <c r="T612" s="2046"/>
      <c r="U612" s="2046"/>
      <c r="V612" s="2046"/>
      <c r="W612" s="2046"/>
      <c r="X612" s="2046"/>
      <c r="Y612" s="2046"/>
      <c r="Z612" s="2046"/>
      <c r="AA612" s="2046"/>
      <c r="AB612" s="2046"/>
      <c r="AC612" s="2046"/>
    </row>
    <row r="613" spans="1:29">
      <c r="A613" s="2046"/>
      <c r="B613" s="2046"/>
      <c r="C613" s="2046"/>
      <c r="D613" s="2046"/>
      <c r="E613" s="2046"/>
      <c r="F613" s="2046"/>
      <c r="G613" s="2046"/>
      <c r="H613" s="2046"/>
      <c r="I613" s="2046"/>
      <c r="J613" s="2046"/>
      <c r="K613" s="2047"/>
      <c r="L613" s="2048"/>
      <c r="M613" s="2046"/>
      <c r="N613" s="2046"/>
      <c r="O613" s="2046"/>
      <c r="P613" s="2086"/>
      <c r="Q613" s="2046"/>
      <c r="R613" s="2046"/>
      <c r="S613" s="2046"/>
      <c r="T613" s="2046"/>
      <c r="U613" s="2046"/>
      <c r="V613" s="2046"/>
      <c r="W613" s="2046"/>
      <c r="X613" s="2046"/>
      <c r="Y613" s="2046"/>
      <c r="Z613" s="2046"/>
      <c r="AA613" s="2046"/>
      <c r="AB613" s="2046"/>
      <c r="AC613" s="2046"/>
    </row>
    <row r="614" spans="1:29">
      <c r="A614" s="2046"/>
      <c r="B614" s="2046"/>
      <c r="C614" s="2046"/>
      <c r="D614" s="2046"/>
      <c r="E614" s="2046"/>
      <c r="F614" s="2046"/>
      <c r="G614" s="2046"/>
      <c r="H614" s="2046"/>
      <c r="I614" s="2046"/>
      <c r="J614" s="2046"/>
      <c r="K614" s="2047"/>
      <c r="L614" s="2048"/>
      <c r="M614" s="2046"/>
      <c r="N614" s="2046"/>
      <c r="O614" s="2046"/>
      <c r="P614" s="2086"/>
      <c r="Q614" s="2046"/>
      <c r="R614" s="2046"/>
      <c r="S614" s="2046"/>
      <c r="T614" s="2046"/>
      <c r="U614" s="2046"/>
      <c r="V614" s="2046"/>
      <c r="W614" s="2046"/>
      <c r="X614" s="2046"/>
      <c r="Y614" s="2046"/>
      <c r="Z614" s="2046"/>
      <c r="AA614" s="2046"/>
      <c r="AB614" s="2046"/>
      <c r="AC614" s="2046"/>
    </row>
    <row r="615" spans="1:29">
      <c r="A615" s="2046"/>
      <c r="B615" s="2046"/>
      <c r="C615" s="2046"/>
      <c r="D615" s="2046"/>
      <c r="E615" s="2046"/>
      <c r="F615" s="2046"/>
      <c r="G615" s="2046"/>
      <c r="H615" s="2046"/>
      <c r="I615" s="2046"/>
      <c r="J615" s="2046"/>
      <c r="K615" s="2047"/>
      <c r="L615" s="2048"/>
      <c r="M615" s="2046"/>
      <c r="N615" s="2046"/>
      <c r="O615" s="2046"/>
      <c r="P615" s="2086"/>
      <c r="Q615" s="2046"/>
      <c r="R615" s="2046"/>
      <c r="S615" s="2046"/>
      <c r="T615" s="2046"/>
      <c r="U615" s="2046"/>
      <c r="V615" s="2046"/>
      <c r="W615" s="2046"/>
      <c r="X615" s="2046"/>
      <c r="Y615" s="2046"/>
      <c r="Z615" s="2046"/>
      <c r="AA615" s="2046"/>
      <c r="AB615" s="2046"/>
      <c r="AC615" s="2046"/>
    </row>
    <row r="616" spans="1:29">
      <c r="A616" s="2046"/>
      <c r="B616" s="2046"/>
      <c r="C616" s="2046"/>
      <c r="D616" s="2046"/>
      <c r="E616" s="2046"/>
      <c r="F616" s="2046"/>
      <c r="G616" s="2046"/>
      <c r="H616" s="2046"/>
      <c r="I616" s="2046"/>
      <c r="J616" s="2046"/>
      <c r="K616" s="2047"/>
      <c r="L616" s="2048"/>
      <c r="M616" s="2046"/>
      <c r="N616" s="2046"/>
      <c r="O616" s="2046"/>
      <c r="P616" s="2086"/>
      <c r="Q616" s="2046"/>
      <c r="R616" s="2046"/>
      <c r="S616" s="2046"/>
      <c r="T616" s="2046"/>
      <c r="U616" s="2046"/>
      <c r="V616" s="2046"/>
      <c r="W616" s="2046"/>
      <c r="X616" s="2046"/>
      <c r="Y616" s="2046"/>
      <c r="Z616" s="2046"/>
      <c r="AA616" s="2046"/>
      <c r="AB616" s="2046"/>
      <c r="AC616" s="2046"/>
    </row>
    <row r="617" spans="1:29">
      <c r="A617" s="2046"/>
      <c r="B617" s="2046"/>
      <c r="C617" s="2046"/>
      <c r="D617" s="2046"/>
      <c r="E617" s="2046"/>
      <c r="F617" s="2046"/>
      <c r="G617" s="2046"/>
      <c r="H617" s="2046"/>
      <c r="I617" s="2046"/>
      <c r="J617" s="2046"/>
      <c r="K617" s="2047"/>
      <c r="L617" s="2048"/>
      <c r="M617" s="2046"/>
      <c r="N617" s="2046"/>
      <c r="O617" s="2046"/>
      <c r="P617" s="2086"/>
      <c r="Q617" s="2046"/>
      <c r="R617" s="2046"/>
      <c r="S617" s="2046"/>
      <c r="T617" s="2046"/>
      <c r="U617" s="2046"/>
      <c r="V617" s="2046"/>
      <c r="W617" s="2046"/>
      <c r="X617" s="2046"/>
      <c r="Y617" s="2046"/>
      <c r="Z617" s="2046"/>
      <c r="AA617" s="2046"/>
      <c r="AB617" s="2046"/>
      <c r="AC617" s="2046"/>
    </row>
    <row r="618" spans="1:29">
      <c r="A618" s="2046"/>
      <c r="B618" s="2046"/>
      <c r="C618" s="2046"/>
      <c r="D618" s="2046"/>
      <c r="E618" s="2046"/>
      <c r="F618" s="2046"/>
      <c r="G618" s="2046"/>
      <c r="H618" s="2046"/>
      <c r="I618" s="2046"/>
      <c r="J618" s="2046"/>
      <c r="K618" s="2047"/>
      <c r="L618" s="2048"/>
      <c r="M618" s="2046"/>
      <c r="N618" s="2046"/>
      <c r="O618" s="2046"/>
      <c r="P618" s="2086"/>
      <c r="Q618" s="2046"/>
      <c r="R618" s="2046"/>
      <c r="S618" s="2046"/>
      <c r="T618" s="2046"/>
      <c r="U618" s="2046"/>
      <c r="V618" s="2046"/>
      <c r="W618" s="2046"/>
      <c r="X618" s="2046"/>
      <c r="Y618" s="2046"/>
      <c r="Z618" s="2046"/>
      <c r="AA618" s="2046"/>
      <c r="AB618" s="2046"/>
      <c r="AC618" s="2046"/>
    </row>
    <row r="619" spans="1:29">
      <c r="A619" s="2046"/>
      <c r="B619" s="2046"/>
      <c r="C619" s="2046"/>
      <c r="D619" s="2046"/>
      <c r="E619" s="2046"/>
      <c r="F619" s="2046"/>
      <c r="G619" s="2046"/>
      <c r="H619" s="2046"/>
      <c r="I619" s="2046"/>
      <c r="J619" s="2046"/>
      <c r="K619" s="2047"/>
      <c r="L619" s="2048"/>
      <c r="M619" s="2046"/>
      <c r="N619" s="2046"/>
      <c r="O619" s="2046"/>
      <c r="P619" s="2086"/>
      <c r="Q619" s="2046"/>
      <c r="R619" s="2046"/>
      <c r="S619" s="2046"/>
      <c r="T619" s="2046"/>
      <c r="U619" s="2046"/>
      <c r="V619" s="2046"/>
      <c r="W619" s="2046"/>
      <c r="X619" s="2046"/>
      <c r="Y619" s="2046"/>
      <c r="Z619" s="2046"/>
      <c r="AA619" s="2046"/>
      <c r="AB619" s="2046"/>
      <c r="AC619" s="2046"/>
    </row>
    <row r="620" spans="1:29">
      <c r="A620" s="2046"/>
      <c r="B620" s="2046"/>
      <c r="C620" s="2046"/>
      <c r="D620" s="2046"/>
      <c r="E620" s="2046"/>
      <c r="F620" s="2046"/>
      <c r="G620" s="2046"/>
      <c r="H620" s="2046"/>
      <c r="I620" s="2046"/>
      <c r="J620" s="2046"/>
      <c r="K620" s="2047"/>
      <c r="L620" s="2048"/>
      <c r="M620" s="2046"/>
      <c r="N620" s="2046"/>
      <c r="O620" s="2046"/>
      <c r="P620" s="2086"/>
      <c r="Q620" s="2046"/>
      <c r="R620" s="2046"/>
      <c r="S620" s="2046"/>
      <c r="T620" s="2046"/>
      <c r="U620" s="2046"/>
      <c r="V620" s="2046"/>
      <c r="W620" s="2046"/>
      <c r="X620" s="2046"/>
      <c r="Y620" s="2046"/>
      <c r="Z620" s="2046"/>
      <c r="AA620" s="2046"/>
      <c r="AB620" s="2046"/>
      <c r="AC620" s="2046"/>
    </row>
    <row r="621" spans="1:29">
      <c r="A621" s="2046"/>
      <c r="B621" s="2046"/>
      <c r="C621" s="2046"/>
      <c r="D621" s="2046"/>
      <c r="E621" s="2046"/>
      <c r="F621" s="2046"/>
      <c r="G621" s="2046"/>
      <c r="H621" s="2046"/>
      <c r="I621" s="2046"/>
      <c r="J621" s="2046"/>
      <c r="K621" s="2047"/>
      <c r="L621" s="2048"/>
      <c r="M621" s="2046"/>
      <c r="N621" s="2046"/>
      <c r="O621" s="2046"/>
      <c r="P621" s="2086"/>
      <c r="Q621" s="2046"/>
      <c r="R621" s="2046"/>
      <c r="S621" s="2046"/>
      <c r="T621" s="2046"/>
      <c r="U621" s="2046"/>
      <c r="V621" s="2046"/>
      <c r="W621" s="2046"/>
      <c r="X621" s="2046"/>
      <c r="Y621" s="2046"/>
      <c r="Z621" s="2046"/>
      <c r="AA621" s="2046"/>
      <c r="AB621" s="2046"/>
      <c r="AC621" s="2046"/>
    </row>
    <row r="622" spans="1:29">
      <c r="A622" s="2046"/>
      <c r="B622" s="2046"/>
      <c r="C622" s="2046"/>
      <c r="D622" s="2046"/>
      <c r="E622" s="2046"/>
      <c r="F622" s="2046"/>
      <c r="G622" s="2046"/>
      <c r="H622" s="2046"/>
      <c r="I622" s="2046"/>
      <c r="J622" s="2046"/>
      <c r="K622" s="2047"/>
      <c r="L622" s="2048"/>
      <c r="M622" s="2046"/>
      <c r="N622" s="2046"/>
      <c r="O622" s="2046"/>
      <c r="P622" s="2086"/>
      <c r="Q622" s="2046"/>
      <c r="R622" s="2046"/>
      <c r="S622" s="2046"/>
      <c r="T622" s="2046"/>
      <c r="U622" s="2046"/>
      <c r="V622" s="2046"/>
      <c r="W622" s="2046"/>
      <c r="X622" s="2046"/>
      <c r="Y622" s="2046"/>
      <c r="Z622" s="2046"/>
      <c r="AA622" s="2046"/>
      <c r="AB622" s="2046"/>
      <c r="AC622" s="2046"/>
    </row>
    <row r="623" spans="1:29">
      <c r="A623" s="2046"/>
      <c r="B623" s="2046"/>
      <c r="C623" s="2046"/>
      <c r="D623" s="2046"/>
      <c r="E623" s="2046"/>
      <c r="F623" s="2046"/>
      <c r="G623" s="2046"/>
      <c r="H623" s="2046"/>
      <c r="I623" s="2046"/>
      <c r="J623" s="2046"/>
      <c r="K623" s="2047"/>
      <c r="L623" s="2048"/>
      <c r="M623" s="2046"/>
      <c r="N623" s="2046"/>
      <c r="O623" s="2046"/>
      <c r="P623" s="2086"/>
      <c r="Q623" s="2046"/>
      <c r="R623" s="2046"/>
      <c r="S623" s="2046"/>
      <c r="T623" s="2046"/>
      <c r="U623" s="2046"/>
      <c r="V623" s="2046"/>
      <c r="W623" s="2046"/>
      <c r="X623" s="2046"/>
      <c r="Y623" s="2046"/>
      <c r="Z623" s="2046"/>
      <c r="AA623" s="2046"/>
      <c r="AB623" s="2046"/>
      <c r="AC623" s="2046"/>
    </row>
    <row r="624" spans="1:29">
      <c r="A624" s="2046"/>
      <c r="B624" s="2046"/>
      <c r="C624" s="2046"/>
      <c r="D624" s="2046"/>
      <c r="E624" s="2046"/>
      <c r="F624" s="2046"/>
      <c r="G624" s="2046"/>
      <c r="H624" s="2046"/>
      <c r="I624" s="2046"/>
      <c r="J624" s="2046"/>
      <c r="K624" s="2047"/>
      <c r="L624" s="2048"/>
      <c r="M624" s="2046"/>
      <c r="N624" s="2046"/>
      <c r="O624" s="2046"/>
      <c r="P624" s="2086"/>
      <c r="Q624" s="2046"/>
      <c r="R624" s="2046"/>
      <c r="S624" s="2046"/>
      <c r="T624" s="2046"/>
      <c r="U624" s="2046"/>
      <c r="V624" s="2046"/>
      <c r="W624" s="2046"/>
      <c r="X624" s="2046"/>
      <c r="Y624" s="2046"/>
      <c r="Z624" s="2046"/>
      <c r="AA624" s="2046"/>
      <c r="AB624" s="2046"/>
      <c r="AC624" s="2046"/>
    </row>
    <row r="625" spans="1:29">
      <c r="A625" s="2046"/>
      <c r="B625" s="2046"/>
      <c r="C625" s="2046"/>
      <c r="D625" s="2046"/>
      <c r="E625" s="2046"/>
      <c r="F625" s="2046"/>
      <c r="G625" s="2046"/>
      <c r="H625" s="2046"/>
      <c r="I625" s="2046"/>
      <c r="J625" s="2046"/>
      <c r="K625" s="2047"/>
      <c r="L625" s="2048"/>
      <c r="M625" s="2046"/>
      <c r="N625" s="2046"/>
      <c r="O625" s="2046"/>
      <c r="P625" s="2086"/>
      <c r="Q625" s="2046"/>
      <c r="R625" s="2046"/>
      <c r="S625" s="2046"/>
      <c r="T625" s="2046"/>
      <c r="U625" s="2046"/>
      <c r="V625" s="2046"/>
      <c r="W625" s="2046"/>
      <c r="X625" s="2046"/>
      <c r="Y625" s="2046"/>
      <c r="Z625" s="2046"/>
      <c r="AA625" s="2046"/>
      <c r="AB625" s="2046"/>
      <c r="AC625" s="2046"/>
    </row>
    <row r="626" spans="1:29">
      <c r="A626" s="2046"/>
      <c r="B626" s="2046"/>
      <c r="C626" s="2046"/>
      <c r="D626" s="2046"/>
      <c r="E626" s="2046"/>
      <c r="F626" s="2046"/>
      <c r="G626" s="2046"/>
      <c r="H626" s="2046"/>
      <c r="I626" s="2046"/>
      <c r="J626" s="2046"/>
      <c r="K626" s="2047"/>
      <c r="L626" s="2048"/>
      <c r="M626" s="2046"/>
      <c r="N626" s="2046"/>
      <c r="O626" s="2046"/>
      <c r="P626" s="2086"/>
      <c r="Q626" s="2046"/>
      <c r="R626" s="2046"/>
      <c r="S626" s="2046"/>
      <c r="T626" s="2046"/>
      <c r="U626" s="2046"/>
      <c r="V626" s="2046"/>
      <c r="W626" s="2046"/>
      <c r="X626" s="2046"/>
      <c r="Y626" s="2046"/>
      <c r="Z626" s="2046"/>
      <c r="AA626" s="2046"/>
      <c r="AB626" s="2046"/>
      <c r="AC626" s="2046"/>
    </row>
    <row r="627" spans="1:29">
      <c r="A627" s="2046"/>
      <c r="B627" s="2046"/>
      <c r="C627" s="2046"/>
      <c r="D627" s="2046"/>
      <c r="E627" s="2046"/>
      <c r="F627" s="2046"/>
      <c r="G627" s="2046"/>
      <c r="H627" s="2046"/>
      <c r="I627" s="2046"/>
      <c r="J627" s="2046"/>
      <c r="K627" s="2047"/>
      <c r="L627" s="2048"/>
      <c r="M627" s="2046"/>
      <c r="N627" s="2046"/>
      <c r="O627" s="2046"/>
      <c r="P627" s="2086"/>
      <c r="Q627" s="2046"/>
      <c r="R627" s="2046"/>
      <c r="S627" s="2046"/>
      <c r="T627" s="2046"/>
      <c r="U627" s="2046"/>
      <c r="V627" s="2046"/>
      <c r="W627" s="2046"/>
      <c r="X627" s="2046"/>
      <c r="Y627" s="2046"/>
      <c r="Z627" s="2046"/>
      <c r="AA627" s="2046"/>
      <c r="AB627" s="2046"/>
      <c r="AC627" s="2046"/>
    </row>
    <row r="628" spans="1:29">
      <c r="A628" s="2046"/>
      <c r="B628" s="2046"/>
      <c r="C628" s="2046"/>
      <c r="D628" s="2046"/>
      <c r="E628" s="2046"/>
      <c r="F628" s="2046"/>
      <c r="G628" s="2046"/>
      <c r="H628" s="2046"/>
      <c r="I628" s="2046"/>
      <c r="J628" s="2046"/>
      <c r="K628" s="2047"/>
      <c r="L628" s="2048"/>
      <c r="M628" s="2046"/>
      <c r="N628" s="2046"/>
      <c r="O628" s="2046"/>
      <c r="P628" s="2086"/>
      <c r="Q628" s="2046"/>
      <c r="R628" s="2046"/>
      <c r="S628" s="2046"/>
      <c r="T628" s="2046"/>
      <c r="U628" s="2046"/>
      <c r="V628" s="2046"/>
      <c r="W628" s="2046"/>
      <c r="X628" s="2046"/>
      <c r="Y628" s="2046"/>
      <c r="Z628" s="2046"/>
      <c r="AA628" s="2046"/>
      <c r="AB628" s="2046"/>
      <c r="AC628" s="2046"/>
    </row>
    <row r="629" spans="1:29">
      <c r="A629" s="2046"/>
      <c r="B629" s="2046"/>
      <c r="C629" s="2046"/>
      <c r="D629" s="2046"/>
      <c r="E629" s="2046"/>
      <c r="F629" s="2046"/>
      <c r="G629" s="2046"/>
      <c r="H629" s="2046"/>
      <c r="I629" s="2046"/>
      <c r="J629" s="2046"/>
      <c r="K629" s="2047"/>
      <c r="L629" s="2048"/>
      <c r="M629" s="2046"/>
      <c r="N629" s="2046"/>
      <c r="O629" s="2046"/>
      <c r="P629" s="2086"/>
      <c r="Q629" s="2046"/>
      <c r="R629" s="2046"/>
      <c r="S629" s="2046"/>
      <c r="T629" s="2046"/>
      <c r="U629" s="2046"/>
      <c r="V629" s="2046"/>
      <c r="W629" s="2046"/>
      <c r="X629" s="2046"/>
      <c r="Y629" s="2046"/>
      <c r="Z629" s="2046"/>
      <c r="AA629" s="2046"/>
      <c r="AB629" s="2046"/>
      <c r="AC629" s="2046"/>
    </row>
    <row r="630" spans="1:29">
      <c r="A630" s="2046"/>
      <c r="B630" s="2046"/>
      <c r="C630" s="2046"/>
      <c r="D630" s="2046"/>
      <c r="E630" s="2046"/>
      <c r="F630" s="2046"/>
      <c r="G630" s="2046"/>
      <c r="H630" s="2046"/>
      <c r="I630" s="2046"/>
      <c r="J630" s="2046"/>
      <c r="K630" s="2047"/>
      <c r="L630" s="2048"/>
      <c r="M630" s="2046"/>
      <c r="N630" s="2046"/>
      <c r="O630" s="2046"/>
      <c r="P630" s="2086"/>
      <c r="Q630" s="2046"/>
      <c r="R630" s="2046"/>
      <c r="S630" s="2046"/>
      <c r="T630" s="2046"/>
      <c r="U630" s="2046"/>
      <c r="V630" s="2046"/>
      <c r="W630" s="2046"/>
      <c r="X630" s="2046"/>
      <c r="Y630" s="2046"/>
      <c r="Z630" s="2046"/>
      <c r="AA630" s="2046"/>
      <c r="AB630" s="2046"/>
      <c r="AC630" s="2046"/>
    </row>
    <row r="631" spans="1:29">
      <c r="A631" s="2046"/>
      <c r="B631" s="2046"/>
      <c r="C631" s="2046"/>
      <c r="D631" s="2046"/>
      <c r="E631" s="2046"/>
      <c r="F631" s="2046"/>
      <c r="G631" s="2046"/>
      <c r="H631" s="2046"/>
      <c r="I631" s="2046"/>
      <c r="J631" s="2046"/>
      <c r="K631" s="2047"/>
      <c r="L631" s="2048"/>
      <c r="M631" s="2046"/>
      <c r="N631" s="2046"/>
      <c r="O631" s="2046"/>
      <c r="P631" s="2086"/>
      <c r="Q631" s="2046"/>
      <c r="R631" s="2046"/>
      <c r="S631" s="2046"/>
      <c r="T631" s="2046"/>
      <c r="U631" s="2046"/>
      <c r="V631" s="2046"/>
      <c r="W631" s="2046"/>
      <c r="X631" s="2046"/>
      <c r="Y631" s="2046"/>
      <c r="Z631" s="2046"/>
      <c r="AA631" s="2046"/>
      <c r="AB631" s="2046"/>
      <c r="AC631" s="2046"/>
    </row>
    <row r="632" spans="1:29">
      <c r="A632" s="2046"/>
      <c r="B632" s="2046"/>
      <c r="C632" s="2046"/>
      <c r="D632" s="2046"/>
      <c r="E632" s="2046"/>
      <c r="F632" s="2046"/>
      <c r="G632" s="2046"/>
      <c r="H632" s="2046"/>
      <c r="I632" s="2046"/>
      <c r="J632" s="2046"/>
      <c r="K632" s="2047"/>
      <c r="L632" s="2048"/>
      <c r="M632" s="2046"/>
      <c r="N632" s="2046"/>
      <c r="O632" s="2046"/>
      <c r="P632" s="2086"/>
      <c r="Q632" s="2046"/>
      <c r="R632" s="2046"/>
      <c r="S632" s="2046"/>
      <c r="T632" s="2046"/>
      <c r="U632" s="2046"/>
      <c r="V632" s="2046"/>
      <c r="W632" s="2046"/>
      <c r="X632" s="2046"/>
      <c r="Y632" s="2046"/>
      <c r="Z632" s="2046"/>
      <c r="AA632" s="2046"/>
      <c r="AB632" s="2046"/>
      <c r="AC632" s="2046"/>
    </row>
    <row r="633" spans="1:29">
      <c r="A633" s="2046"/>
      <c r="B633" s="2046"/>
      <c r="C633" s="2046"/>
      <c r="D633" s="2046"/>
      <c r="E633" s="2046"/>
      <c r="F633" s="2046"/>
      <c r="G633" s="2046"/>
      <c r="H633" s="2046"/>
      <c r="I633" s="2046"/>
      <c r="J633" s="2046"/>
      <c r="K633" s="2047"/>
      <c r="L633" s="2048"/>
      <c r="M633" s="2046"/>
      <c r="N633" s="2046"/>
      <c r="O633" s="2046"/>
      <c r="P633" s="2086"/>
      <c r="Q633" s="2046"/>
      <c r="R633" s="2046"/>
      <c r="S633" s="2046"/>
      <c r="T633" s="2046"/>
      <c r="U633" s="2046"/>
      <c r="V633" s="2046"/>
      <c r="W633" s="2046"/>
      <c r="X633" s="2046"/>
      <c r="Y633" s="2046"/>
      <c r="Z633" s="2046"/>
      <c r="AA633" s="2046"/>
      <c r="AB633" s="2046"/>
      <c r="AC633" s="2046"/>
    </row>
    <row r="634" spans="1:29">
      <c r="A634" s="2046"/>
      <c r="B634" s="2046"/>
      <c r="C634" s="2046"/>
      <c r="D634" s="2046"/>
      <c r="E634" s="2046"/>
      <c r="F634" s="2046"/>
      <c r="G634" s="2046"/>
      <c r="H634" s="2046"/>
      <c r="I634" s="2046"/>
      <c r="J634" s="2046"/>
      <c r="K634" s="2047"/>
      <c r="L634" s="2048"/>
      <c r="M634" s="2046"/>
      <c r="N634" s="2046"/>
      <c r="O634" s="2046"/>
      <c r="P634" s="2086"/>
      <c r="Q634" s="2046"/>
      <c r="R634" s="2046"/>
      <c r="S634" s="2046"/>
      <c r="T634" s="2046"/>
      <c r="U634" s="2046"/>
      <c r="V634" s="2046"/>
      <c r="W634" s="2046"/>
      <c r="X634" s="2046"/>
      <c r="Y634" s="2046"/>
      <c r="Z634" s="2046"/>
      <c r="AA634" s="2046"/>
      <c r="AB634" s="2046"/>
      <c r="AC634" s="2046"/>
    </row>
    <row r="635" spans="1:29">
      <c r="A635" s="2046"/>
      <c r="B635" s="2046"/>
      <c r="C635" s="2046"/>
      <c r="D635" s="2046"/>
      <c r="E635" s="2046"/>
      <c r="F635" s="2046"/>
      <c r="G635" s="2046"/>
      <c r="H635" s="2046"/>
      <c r="I635" s="2046"/>
      <c r="J635" s="2046"/>
      <c r="K635" s="2047"/>
      <c r="L635" s="2048"/>
      <c r="M635" s="2046"/>
      <c r="N635" s="2046"/>
      <c r="O635" s="2046"/>
      <c r="P635" s="2086"/>
      <c r="Q635" s="2046"/>
      <c r="R635" s="2046"/>
      <c r="S635" s="2046"/>
      <c r="T635" s="2046"/>
      <c r="U635" s="2046"/>
      <c r="V635" s="2046"/>
      <c r="W635" s="2046"/>
      <c r="X635" s="2046"/>
      <c r="Y635" s="2046"/>
      <c r="Z635" s="2046"/>
      <c r="AA635" s="2046"/>
      <c r="AB635" s="2046"/>
      <c r="AC635" s="2046"/>
    </row>
    <row r="636" spans="1:29">
      <c r="A636" s="2046"/>
      <c r="B636" s="2046"/>
      <c r="C636" s="2046"/>
      <c r="D636" s="2046"/>
      <c r="E636" s="2046"/>
      <c r="F636" s="2046"/>
      <c r="G636" s="2046"/>
      <c r="H636" s="2046"/>
      <c r="I636" s="2046"/>
      <c r="J636" s="2046"/>
      <c r="K636" s="2047"/>
      <c r="L636" s="2048"/>
      <c r="M636" s="2046"/>
      <c r="N636" s="2046"/>
      <c r="O636" s="2046"/>
      <c r="P636" s="2086"/>
      <c r="Q636" s="2046"/>
      <c r="R636" s="2046"/>
      <c r="S636" s="2046"/>
      <c r="T636" s="2046"/>
      <c r="U636" s="2046"/>
      <c r="V636" s="2046"/>
      <c r="W636" s="2046"/>
      <c r="X636" s="2046"/>
      <c r="Y636" s="2046"/>
      <c r="Z636" s="2046"/>
      <c r="AA636" s="2046"/>
      <c r="AB636" s="2046"/>
      <c r="AC636" s="2046"/>
    </row>
    <row r="637" spans="1:29">
      <c r="A637" s="2046"/>
      <c r="B637" s="2046"/>
      <c r="C637" s="2046"/>
      <c r="D637" s="2046"/>
      <c r="E637" s="2046"/>
      <c r="F637" s="2046"/>
      <c r="G637" s="2046"/>
      <c r="H637" s="2046"/>
      <c r="I637" s="2046"/>
      <c r="J637" s="2046"/>
      <c r="K637" s="2047"/>
      <c r="L637" s="2048"/>
      <c r="M637" s="2046"/>
      <c r="N637" s="2046"/>
      <c r="O637" s="2046"/>
      <c r="P637" s="2086"/>
      <c r="Q637" s="2046"/>
      <c r="R637" s="2046"/>
      <c r="S637" s="2046"/>
      <c r="T637" s="2046"/>
      <c r="U637" s="2046"/>
      <c r="V637" s="2046"/>
      <c r="W637" s="2046"/>
      <c r="X637" s="2046"/>
      <c r="Y637" s="2046"/>
      <c r="Z637" s="2046"/>
      <c r="AA637" s="2046"/>
      <c r="AB637" s="2046"/>
      <c r="AC637" s="2046"/>
    </row>
    <row r="638" spans="1:29">
      <c r="A638" s="2046"/>
      <c r="B638" s="2046"/>
      <c r="C638" s="2046"/>
      <c r="D638" s="2046"/>
      <c r="E638" s="2046"/>
      <c r="F638" s="2046"/>
      <c r="G638" s="2046"/>
      <c r="H638" s="2046"/>
      <c r="I638" s="2046"/>
      <c r="J638" s="2046"/>
      <c r="K638" s="2047"/>
      <c r="L638" s="2048"/>
      <c r="M638" s="2046"/>
      <c r="N638" s="2046"/>
      <c r="O638" s="2046"/>
      <c r="P638" s="2086"/>
      <c r="Q638" s="2046"/>
      <c r="R638" s="2046"/>
      <c r="S638" s="2046"/>
      <c r="T638" s="2046"/>
      <c r="U638" s="2046"/>
      <c r="V638" s="2046"/>
      <c r="W638" s="2046"/>
      <c r="X638" s="2046"/>
      <c r="Y638" s="2046"/>
      <c r="Z638" s="2046"/>
      <c r="AA638" s="2046"/>
      <c r="AB638" s="2046"/>
      <c r="AC638" s="2046"/>
    </row>
    <row r="639" spans="1:29">
      <c r="A639" s="2046"/>
      <c r="B639" s="2046"/>
      <c r="C639" s="2046"/>
      <c r="D639" s="2046"/>
      <c r="E639" s="2046"/>
      <c r="F639" s="2046"/>
      <c r="G639" s="2046"/>
      <c r="H639" s="2046"/>
      <c r="I639" s="2046"/>
      <c r="J639" s="2046"/>
      <c r="K639" s="2047"/>
      <c r="L639" s="2048"/>
      <c r="M639" s="2046"/>
      <c r="N639" s="2046"/>
      <c r="O639" s="2046"/>
      <c r="P639" s="2086"/>
      <c r="Q639" s="2046"/>
      <c r="R639" s="2046"/>
      <c r="S639" s="2046"/>
      <c r="T639" s="2046"/>
      <c r="U639" s="2046"/>
      <c r="V639" s="2046"/>
      <c r="W639" s="2046"/>
      <c r="X639" s="2046"/>
      <c r="Y639" s="2046"/>
      <c r="Z639" s="2046"/>
      <c r="AA639" s="2046"/>
      <c r="AB639" s="2046"/>
      <c r="AC639" s="2046"/>
    </row>
    <row r="640" spans="1:29">
      <c r="A640" s="2046"/>
      <c r="B640" s="2046"/>
      <c r="C640" s="2046"/>
      <c r="D640" s="2046"/>
      <c r="E640" s="2046"/>
      <c r="F640" s="2046"/>
      <c r="G640" s="2046"/>
      <c r="H640" s="2046"/>
      <c r="I640" s="2046"/>
      <c r="J640" s="2046"/>
      <c r="K640" s="2047"/>
      <c r="L640" s="2048"/>
      <c r="M640" s="2046"/>
      <c r="N640" s="2046"/>
      <c r="O640" s="2046"/>
      <c r="P640" s="2086"/>
      <c r="Q640" s="2046"/>
      <c r="R640" s="2046"/>
      <c r="S640" s="2046"/>
      <c r="T640" s="2046"/>
      <c r="U640" s="2046"/>
      <c r="V640" s="2046"/>
      <c r="W640" s="2046"/>
      <c r="X640" s="2046"/>
      <c r="Y640" s="2046"/>
      <c r="Z640" s="2046"/>
      <c r="AA640" s="2046"/>
      <c r="AB640" s="2046"/>
      <c r="AC640" s="2046"/>
    </row>
    <row r="641" spans="1:29">
      <c r="A641" s="2046"/>
      <c r="B641" s="2046"/>
      <c r="C641" s="2046"/>
      <c r="D641" s="2046"/>
      <c r="E641" s="2046"/>
      <c r="F641" s="2046"/>
      <c r="G641" s="2046"/>
      <c r="H641" s="2046"/>
      <c r="I641" s="2046"/>
      <c r="J641" s="2046"/>
      <c r="K641" s="2047"/>
      <c r="L641" s="2048"/>
      <c r="M641" s="2046"/>
      <c r="N641" s="2046"/>
      <c r="O641" s="2046"/>
      <c r="P641" s="2086"/>
      <c r="Q641" s="2046"/>
      <c r="R641" s="2046"/>
      <c r="S641" s="2046"/>
      <c r="T641" s="2046"/>
      <c r="U641" s="2046"/>
      <c r="V641" s="2046"/>
      <c r="W641" s="2046"/>
      <c r="X641" s="2046"/>
      <c r="Y641" s="2046"/>
      <c r="Z641" s="2046"/>
      <c r="AA641" s="2046"/>
      <c r="AB641" s="2046"/>
      <c r="AC641" s="2046"/>
    </row>
    <row r="642" spans="1:29">
      <c r="A642" s="2046"/>
      <c r="B642" s="2046"/>
      <c r="C642" s="2046"/>
      <c r="D642" s="2046"/>
      <c r="E642" s="2046"/>
      <c r="F642" s="2046"/>
      <c r="G642" s="2046"/>
      <c r="H642" s="2046"/>
      <c r="I642" s="2046"/>
      <c r="J642" s="2046"/>
      <c r="K642" s="2047"/>
      <c r="L642" s="2048"/>
      <c r="M642" s="2046"/>
      <c r="N642" s="2046"/>
      <c r="O642" s="2046"/>
      <c r="P642" s="2086"/>
      <c r="Q642" s="2046"/>
      <c r="R642" s="2046"/>
      <c r="S642" s="2046"/>
      <c r="T642" s="2046"/>
      <c r="U642" s="2046"/>
      <c r="V642" s="2046"/>
      <c r="W642" s="2046"/>
      <c r="X642" s="2046"/>
      <c r="Y642" s="2046"/>
      <c r="Z642" s="2046"/>
      <c r="AA642" s="2046"/>
      <c r="AB642" s="2046"/>
      <c r="AC642" s="2046"/>
    </row>
    <row r="643" spans="1:29">
      <c r="A643" s="2046"/>
      <c r="B643" s="2046"/>
      <c r="C643" s="2046"/>
      <c r="D643" s="2046"/>
      <c r="E643" s="2046"/>
      <c r="F643" s="2046"/>
      <c r="G643" s="2046"/>
      <c r="H643" s="2046"/>
      <c r="I643" s="2046"/>
      <c r="J643" s="2046"/>
      <c r="K643" s="2047"/>
      <c r="L643" s="2048"/>
      <c r="M643" s="2046"/>
      <c r="N643" s="2046"/>
      <c r="O643" s="2046"/>
      <c r="P643" s="2086"/>
      <c r="Q643" s="2046"/>
      <c r="R643" s="2046"/>
      <c r="S643" s="2046"/>
      <c r="T643" s="2046"/>
      <c r="U643" s="2046"/>
      <c r="V643" s="2046"/>
      <c r="W643" s="2046"/>
      <c r="X643" s="2046"/>
      <c r="Y643" s="2046"/>
      <c r="Z643" s="2046"/>
      <c r="AA643" s="2046"/>
      <c r="AB643" s="2046"/>
      <c r="AC643" s="2046"/>
    </row>
    <row r="644" spans="1:29">
      <c r="A644" s="2046"/>
      <c r="B644" s="2046"/>
      <c r="C644" s="2046"/>
      <c r="D644" s="2046"/>
      <c r="E644" s="2046"/>
      <c r="F644" s="2046"/>
      <c r="G644" s="2046"/>
      <c r="H644" s="2046"/>
      <c r="I644" s="2046"/>
      <c r="J644" s="2046"/>
      <c r="K644" s="2047"/>
      <c r="L644" s="2048"/>
      <c r="M644" s="2046"/>
      <c r="N644" s="2046"/>
      <c r="O644" s="2046"/>
      <c r="P644" s="2086"/>
      <c r="Q644" s="2046"/>
      <c r="R644" s="2046"/>
      <c r="S644" s="2046"/>
      <c r="T644" s="2046"/>
      <c r="U644" s="2046"/>
      <c r="V644" s="2046"/>
      <c r="W644" s="2046"/>
      <c r="X644" s="2046"/>
      <c r="Y644" s="2046"/>
      <c r="Z644" s="2046"/>
      <c r="AA644" s="2046"/>
      <c r="AB644" s="2046"/>
      <c r="AC644" s="2046"/>
    </row>
    <row r="645" spans="1:29">
      <c r="A645" s="2046"/>
      <c r="B645" s="2046"/>
      <c r="C645" s="2046"/>
      <c r="D645" s="2046"/>
      <c r="E645" s="2046"/>
      <c r="F645" s="2046"/>
      <c r="G645" s="2046"/>
      <c r="H645" s="2046"/>
      <c r="I645" s="2046"/>
      <c r="J645" s="2046"/>
      <c r="K645" s="2047"/>
      <c r="L645" s="2048"/>
      <c r="M645" s="2046"/>
      <c r="N645" s="2046"/>
      <c r="O645" s="2046"/>
      <c r="P645" s="2086"/>
      <c r="Q645" s="2046"/>
      <c r="R645" s="2046"/>
      <c r="S645" s="2046"/>
      <c r="T645" s="2046"/>
      <c r="U645" s="2046"/>
      <c r="V645" s="2046"/>
      <c r="W645" s="2046"/>
      <c r="X645" s="2046"/>
      <c r="Y645" s="2046"/>
      <c r="Z645" s="2046"/>
      <c r="AA645" s="2046"/>
      <c r="AB645" s="2046"/>
      <c r="AC645" s="2046"/>
    </row>
    <row r="646" spans="1:29">
      <c r="A646" s="2046"/>
      <c r="B646" s="2046"/>
      <c r="C646" s="2046"/>
      <c r="D646" s="2046"/>
      <c r="E646" s="2046"/>
      <c r="F646" s="2046"/>
      <c r="G646" s="2046"/>
      <c r="H646" s="2046"/>
      <c r="I646" s="2046"/>
      <c r="J646" s="2046"/>
      <c r="K646" s="2047"/>
      <c r="L646" s="2048"/>
      <c r="M646" s="2046"/>
      <c r="N646" s="2046"/>
      <c r="O646" s="2046"/>
      <c r="P646" s="2086"/>
      <c r="Q646" s="2046"/>
      <c r="R646" s="2046"/>
      <c r="S646" s="2046"/>
      <c r="T646" s="2046"/>
      <c r="U646" s="2046"/>
      <c r="V646" s="2046"/>
      <c r="W646" s="2046"/>
      <c r="X646" s="2046"/>
      <c r="Y646" s="2046"/>
      <c r="Z646" s="2046"/>
      <c r="AA646" s="2046"/>
      <c r="AB646" s="2046"/>
      <c r="AC646" s="2046"/>
    </row>
    <row r="647" spans="1:29">
      <c r="A647" s="2046"/>
      <c r="B647" s="2046"/>
      <c r="C647" s="2046"/>
      <c r="D647" s="2046"/>
      <c r="E647" s="2046"/>
      <c r="F647" s="2046"/>
      <c r="G647" s="2046"/>
      <c r="H647" s="2046"/>
      <c r="I647" s="2046"/>
      <c r="J647" s="2046"/>
      <c r="K647" s="2047"/>
      <c r="L647" s="2048"/>
      <c r="M647" s="2046"/>
      <c r="N647" s="2046"/>
      <c r="O647" s="2046"/>
      <c r="P647" s="2086"/>
      <c r="Q647" s="2046"/>
      <c r="R647" s="2046"/>
      <c r="S647" s="2046"/>
      <c r="T647" s="2046"/>
      <c r="U647" s="2046"/>
      <c r="V647" s="2046"/>
      <c r="W647" s="2046"/>
      <c r="X647" s="2046"/>
      <c r="Y647" s="2046"/>
      <c r="Z647" s="2046"/>
      <c r="AA647" s="2046"/>
      <c r="AB647" s="2046"/>
      <c r="AC647" s="2046"/>
    </row>
    <row r="648" spans="1:29">
      <c r="A648" s="2046"/>
      <c r="B648" s="2046"/>
      <c r="C648" s="2046"/>
      <c r="D648" s="2046"/>
      <c r="E648" s="2046"/>
      <c r="F648" s="2046"/>
      <c r="G648" s="2046"/>
      <c r="H648" s="2046"/>
      <c r="I648" s="2046"/>
      <c r="J648" s="2046"/>
      <c r="K648" s="2047"/>
      <c r="L648" s="2048"/>
      <c r="M648" s="2046"/>
      <c r="N648" s="2046"/>
      <c r="O648" s="2046"/>
      <c r="P648" s="2086"/>
      <c r="Q648" s="2046"/>
      <c r="R648" s="2046"/>
      <c r="S648" s="2046"/>
      <c r="T648" s="2046"/>
      <c r="U648" s="2046"/>
      <c r="V648" s="2046"/>
      <c r="W648" s="2046"/>
      <c r="X648" s="2046"/>
      <c r="Y648" s="2046"/>
      <c r="Z648" s="2046"/>
      <c r="AA648" s="2046"/>
      <c r="AB648" s="2046"/>
      <c r="AC648" s="2046"/>
    </row>
    <row r="649" spans="1:29">
      <c r="A649" s="2046"/>
      <c r="B649" s="2046"/>
      <c r="C649" s="2046"/>
      <c r="D649" s="2046"/>
      <c r="E649" s="2046"/>
      <c r="F649" s="2046"/>
      <c r="G649" s="2046"/>
      <c r="H649" s="2046"/>
      <c r="I649" s="2046"/>
      <c r="J649" s="2046"/>
      <c r="K649" s="2047"/>
      <c r="L649" s="2048"/>
      <c r="M649" s="2046"/>
      <c r="N649" s="2046"/>
      <c r="O649" s="2046"/>
      <c r="P649" s="2086"/>
      <c r="Q649" s="2046"/>
      <c r="R649" s="2046"/>
      <c r="S649" s="2046"/>
      <c r="T649" s="2046"/>
      <c r="U649" s="2046"/>
      <c r="V649" s="2046"/>
      <c r="W649" s="2046"/>
      <c r="X649" s="2046"/>
      <c r="Y649" s="2046"/>
      <c r="Z649" s="2046"/>
      <c r="AA649" s="2046"/>
      <c r="AB649" s="2046"/>
      <c r="AC649" s="2046"/>
    </row>
    <row r="650" spans="1:29">
      <c r="A650" s="2046"/>
      <c r="B650" s="2046"/>
      <c r="C650" s="2046"/>
      <c r="D650" s="2046"/>
      <c r="E650" s="2046"/>
      <c r="F650" s="2046"/>
      <c r="G650" s="2046"/>
      <c r="H650" s="2046"/>
      <c r="I650" s="2046"/>
      <c r="J650" s="2046"/>
      <c r="K650" s="2047"/>
      <c r="L650" s="2048"/>
      <c r="M650" s="2046"/>
      <c r="N650" s="2046"/>
      <c r="O650" s="2046"/>
      <c r="P650" s="2086"/>
      <c r="Q650" s="2046"/>
      <c r="R650" s="2046"/>
      <c r="S650" s="2046"/>
      <c r="T650" s="2046"/>
      <c r="U650" s="2046"/>
      <c r="V650" s="2046"/>
      <c r="W650" s="2046"/>
      <c r="X650" s="2046"/>
      <c r="Y650" s="2046"/>
      <c r="Z650" s="2046"/>
      <c r="AA650" s="2046"/>
      <c r="AB650" s="2046"/>
      <c r="AC650" s="2046"/>
    </row>
    <row r="651" spans="1:29">
      <c r="A651" s="2046"/>
      <c r="B651" s="2046"/>
      <c r="C651" s="2046"/>
      <c r="D651" s="2046"/>
      <c r="E651" s="2046"/>
      <c r="F651" s="2046"/>
      <c r="G651" s="2046"/>
      <c r="H651" s="2046"/>
      <c r="I651" s="2046"/>
      <c r="J651" s="2046"/>
      <c r="K651" s="2047"/>
      <c r="L651" s="2048"/>
      <c r="M651" s="2046"/>
      <c r="N651" s="2046"/>
      <c r="O651" s="2046"/>
      <c r="P651" s="2086"/>
      <c r="Q651" s="2046"/>
      <c r="R651" s="2046"/>
      <c r="S651" s="2046"/>
      <c r="T651" s="2046"/>
      <c r="U651" s="2046"/>
      <c r="V651" s="2046"/>
      <c r="W651" s="2046"/>
      <c r="X651" s="2046"/>
      <c r="Y651" s="2046"/>
      <c r="Z651" s="2046"/>
      <c r="AA651" s="2046"/>
      <c r="AB651" s="2046"/>
      <c r="AC651" s="2046"/>
    </row>
    <row r="652" spans="1:29">
      <c r="A652" s="2046"/>
      <c r="B652" s="2046"/>
      <c r="C652" s="2046"/>
      <c r="D652" s="2046"/>
      <c r="E652" s="2046"/>
      <c r="F652" s="2046"/>
      <c r="G652" s="2046"/>
      <c r="H652" s="2046"/>
      <c r="I652" s="2046"/>
      <c r="J652" s="2046"/>
      <c r="K652" s="2047"/>
      <c r="L652" s="2048"/>
      <c r="M652" s="2046"/>
      <c r="N652" s="2046"/>
      <c r="O652" s="2046"/>
      <c r="P652" s="2086"/>
      <c r="Q652" s="2046"/>
      <c r="R652" s="2046"/>
      <c r="S652" s="2046"/>
      <c r="T652" s="2046"/>
      <c r="U652" s="2046"/>
      <c r="V652" s="2046"/>
      <c r="W652" s="2046"/>
      <c r="X652" s="2046"/>
      <c r="Y652" s="2046"/>
      <c r="Z652" s="2046"/>
      <c r="AA652" s="2046"/>
      <c r="AB652" s="2046"/>
      <c r="AC652" s="2046"/>
    </row>
    <row r="653" spans="1:29">
      <c r="A653" s="2046"/>
      <c r="B653" s="2046"/>
      <c r="C653" s="2046"/>
      <c r="D653" s="2046"/>
      <c r="E653" s="2046"/>
      <c r="F653" s="2046"/>
      <c r="G653" s="2046"/>
      <c r="H653" s="2046"/>
      <c r="I653" s="2046"/>
      <c r="J653" s="2046"/>
      <c r="K653" s="2047"/>
      <c r="L653" s="2048"/>
      <c r="M653" s="2046"/>
      <c r="N653" s="2046"/>
      <c r="O653" s="2046"/>
      <c r="P653" s="2086"/>
      <c r="Q653" s="2046"/>
      <c r="R653" s="2046"/>
      <c r="S653" s="2046"/>
      <c r="T653" s="2046"/>
      <c r="U653" s="2046"/>
      <c r="V653" s="2046"/>
      <c r="W653" s="2046"/>
      <c r="X653" s="2046"/>
      <c r="Y653" s="2046"/>
      <c r="Z653" s="2046"/>
      <c r="AA653" s="2046"/>
      <c r="AB653" s="2046"/>
      <c r="AC653" s="2046"/>
    </row>
    <row r="654" spans="1:29">
      <c r="A654" s="2046"/>
      <c r="B654" s="2046"/>
      <c r="C654" s="2046"/>
      <c r="D654" s="2046"/>
      <c r="E654" s="2046"/>
      <c r="F654" s="2046"/>
      <c r="G654" s="2046"/>
      <c r="H654" s="2046"/>
      <c r="I654" s="2046"/>
      <c r="J654" s="2046"/>
      <c r="K654" s="2047"/>
      <c r="L654" s="2048"/>
      <c r="M654" s="2046"/>
      <c r="N654" s="2046"/>
      <c r="O654" s="2046"/>
      <c r="P654" s="2086"/>
      <c r="Q654" s="2046"/>
      <c r="R654" s="2046"/>
      <c r="S654" s="2046"/>
      <c r="T654" s="2046"/>
      <c r="U654" s="2046"/>
      <c r="V654" s="2046"/>
      <c r="W654" s="2046"/>
      <c r="X654" s="2046"/>
      <c r="Y654" s="2046"/>
      <c r="Z654" s="2046"/>
      <c r="AA654" s="2046"/>
      <c r="AB654" s="2046"/>
      <c r="AC654" s="2046"/>
    </row>
    <row r="655" spans="1:29">
      <c r="A655" s="2046"/>
      <c r="B655" s="2046"/>
      <c r="C655" s="2046"/>
      <c r="D655" s="2046"/>
      <c r="E655" s="2046"/>
      <c r="F655" s="2046"/>
      <c r="G655" s="2046"/>
      <c r="H655" s="2046"/>
      <c r="I655" s="2046"/>
      <c r="J655" s="2046"/>
      <c r="K655" s="2047"/>
      <c r="L655" s="2048"/>
      <c r="M655" s="2046"/>
      <c r="N655" s="2046"/>
      <c r="O655" s="2046"/>
      <c r="P655" s="2086"/>
      <c r="Q655" s="2046"/>
      <c r="R655" s="2046"/>
      <c r="S655" s="2046"/>
      <c r="T655" s="2046"/>
      <c r="U655" s="2046"/>
      <c r="V655" s="2046"/>
      <c r="W655" s="2046"/>
      <c r="X655" s="2046"/>
      <c r="Y655" s="2046"/>
      <c r="Z655" s="2046"/>
      <c r="AA655" s="2046"/>
      <c r="AB655" s="2046"/>
      <c r="AC655" s="2046"/>
    </row>
    <row r="656" spans="1:29">
      <c r="A656" s="2046"/>
      <c r="B656" s="2046"/>
      <c r="C656" s="2046"/>
      <c r="D656" s="2046"/>
      <c r="E656" s="2046"/>
      <c r="F656" s="2046"/>
      <c r="G656" s="2046"/>
      <c r="H656" s="2046"/>
      <c r="I656" s="2046"/>
      <c r="J656" s="2046"/>
      <c r="K656" s="2047"/>
      <c r="L656" s="2048"/>
      <c r="M656" s="2046"/>
      <c r="N656" s="2046"/>
      <c r="O656" s="2046"/>
      <c r="P656" s="2086"/>
      <c r="Q656" s="2046"/>
      <c r="R656" s="2046"/>
      <c r="S656" s="2046"/>
      <c r="T656" s="2046"/>
      <c r="U656" s="2046"/>
      <c r="V656" s="2046"/>
      <c r="W656" s="2046"/>
      <c r="X656" s="2046"/>
      <c r="Y656" s="2046"/>
      <c r="Z656" s="2046"/>
      <c r="AA656" s="2046"/>
      <c r="AB656" s="2046"/>
      <c r="AC656" s="2046"/>
    </row>
    <row r="657" spans="1:29">
      <c r="A657" s="2046"/>
      <c r="B657" s="2046"/>
      <c r="C657" s="2046"/>
      <c r="D657" s="2046"/>
      <c r="E657" s="2046"/>
      <c r="F657" s="2046"/>
      <c r="G657" s="2046"/>
      <c r="H657" s="2046"/>
      <c r="I657" s="2046"/>
      <c r="J657" s="2046"/>
      <c r="K657" s="2047"/>
      <c r="L657" s="2048"/>
      <c r="M657" s="2046"/>
      <c r="N657" s="2046"/>
      <c r="O657" s="2046"/>
      <c r="P657" s="2086"/>
      <c r="Q657" s="2046"/>
      <c r="R657" s="2046"/>
      <c r="S657" s="2046"/>
      <c r="T657" s="2046"/>
      <c r="U657" s="2046"/>
      <c r="V657" s="2046"/>
      <c r="W657" s="2046"/>
      <c r="X657" s="2046"/>
      <c r="Y657" s="2046"/>
      <c r="Z657" s="2046"/>
      <c r="AA657" s="2046"/>
      <c r="AB657" s="2046"/>
      <c r="AC657" s="2046"/>
    </row>
    <row r="658" spans="1:29">
      <c r="A658" s="2046"/>
      <c r="B658" s="2046"/>
      <c r="C658" s="2046"/>
      <c r="D658" s="2046"/>
      <c r="E658" s="2046"/>
      <c r="F658" s="2046"/>
      <c r="G658" s="2046"/>
      <c r="H658" s="2046"/>
      <c r="I658" s="2046"/>
      <c r="J658" s="2046"/>
      <c r="K658" s="2047"/>
      <c r="L658" s="2048"/>
      <c r="M658" s="2046"/>
      <c r="N658" s="2046"/>
      <c r="O658" s="2046"/>
      <c r="P658" s="2086"/>
      <c r="Q658" s="2046"/>
      <c r="R658" s="2046"/>
      <c r="S658" s="2046"/>
      <c r="T658" s="2046"/>
      <c r="U658" s="2046"/>
      <c r="V658" s="2046"/>
      <c r="W658" s="2046"/>
      <c r="X658" s="2046"/>
      <c r="Y658" s="2046"/>
      <c r="Z658" s="2046"/>
      <c r="AA658" s="2046"/>
      <c r="AB658" s="2046"/>
      <c r="AC658" s="2046"/>
    </row>
    <row r="659" spans="1:29">
      <c r="A659" s="2046"/>
      <c r="B659" s="2046"/>
      <c r="C659" s="2046"/>
      <c r="D659" s="2046"/>
      <c r="E659" s="2046"/>
      <c r="F659" s="2046"/>
      <c r="G659" s="2046"/>
      <c r="H659" s="2046"/>
      <c r="I659" s="2046"/>
      <c r="J659" s="2046"/>
      <c r="K659" s="2047"/>
      <c r="L659" s="2048"/>
      <c r="M659" s="2046"/>
      <c r="N659" s="2046"/>
      <c r="O659" s="2046"/>
      <c r="P659" s="2086"/>
      <c r="Q659" s="2046"/>
      <c r="R659" s="2046"/>
      <c r="S659" s="2046"/>
      <c r="T659" s="2046"/>
      <c r="U659" s="2046"/>
      <c r="V659" s="2046"/>
      <c r="W659" s="2046"/>
      <c r="X659" s="2046"/>
      <c r="Y659" s="2046"/>
      <c r="Z659" s="2046"/>
      <c r="AA659" s="2046"/>
      <c r="AB659" s="2046"/>
      <c r="AC659" s="2046"/>
    </row>
    <row r="660" spans="1:29">
      <c r="A660" s="2046"/>
      <c r="B660" s="2046"/>
      <c r="C660" s="2046"/>
      <c r="D660" s="2046"/>
      <c r="E660" s="2046"/>
      <c r="F660" s="2046"/>
      <c r="G660" s="2046"/>
      <c r="H660" s="2046"/>
      <c r="I660" s="2046"/>
      <c r="J660" s="2046"/>
      <c r="K660" s="2047"/>
      <c r="L660" s="2048"/>
      <c r="M660" s="2046"/>
      <c r="N660" s="2046"/>
      <c r="O660" s="2046"/>
      <c r="P660" s="2086"/>
      <c r="Q660" s="2046"/>
      <c r="R660" s="2046"/>
      <c r="S660" s="2046"/>
      <c r="T660" s="2046"/>
      <c r="U660" s="2046"/>
      <c r="V660" s="2046"/>
      <c r="W660" s="2046"/>
      <c r="X660" s="2046"/>
      <c r="Y660" s="2046"/>
      <c r="Z660" s="2046"/>
      <c r="AA660" s="2046"/>
      <c r="AB660" s="2046"/>
      <c r="AC660" s="2046"/>
    </row>
    <row r="661" spans="1:29">
      <c r="A661" s="2046"/>
      <c r="B661" s="2046"/>
      <c r="C661" s="2046"/>
      <c r="D661" s="2046"/>
      <c r="E661" s="2046"/>
      <c r="F661" s="2046"/>
      <c r="G661" s="2046"/>
      <c r="H661" s="2046"/>
      <c r="I661" s="2046"/>
      <c r="J661" s="2046"/>
      <c r="K661" s="2047"/>
      <c r="L661" s="2048"/>
      <c r="M661" s="2046"/>
      <c r="N661" s="2046"/>
      <c r="O661" s="2046"/>
      <c r="P661" s="2086"/>
      <c r="Q661" s="2046"/>
      <c r="R661" s="2046"/>
      <c r="S661" s="2046"/>
      <c r="T661" s="2046"/>
      <c r="U661" s="2046"/>
      <c r="V661" s="2046"/>
      <c r="W661" s="2046"/>
      <c r="X661" s="2046"/>
      <c r="Y661" s="2046"/>
      <c r="Z661" s="2046"/>
      <c r="AA661" s="2046"/>
      <c r="AB661" s="2046"/>
      <c r="AC661" s="2046"/>
    </row>
    <row r="662" spans="1:29">
      <c r="A662" s="2046"/>
      <c r="B662" s="2046"/>
      <c r="C662" s="2046"/>
      <c r="D662" s="2046"/>
      <c r="E662" s="2046"/>
      <c r="F662" s="2046"/>
      <c r="G662" s="2046"/>
      <c r="H662" s="2046"/>
      <c r="I662" s="2046"/>
      <c r="J662" s="2046"/>
      <c r="K662" s="2047"/>
      <c r="L662" s="2048"/>
      <c r="M662" s="2046"/>
      <c r="N662" s="2046"/>
      <c r="O662" s="2046"/>
      <c r="P662" s="2086"/>
      <c r="Q662" s="2046"/>
      <c r="R662" s="2046"/>
      <c r="S662" s="2046"/>
      <c r="T662" s="2046"/>
      <c r="U662" s="2046"/>
      <c r="V662" s="2046"/>
      <c r="W662" s="2046"/>
      <c r="X662" s="2046"/>
      <c r="Y662" s="2046"/>
      <c r="Z662" s="2046"/>
      <c r="AA662" s="2046"/>
      <c r="AB662" s="2046"/>
      <c r="AC662" s="2046"/>
    </row>
    <row r="663" spans="1:29">
      <c r="A663" s="2046"/>
      <c r="B663" s="2046"/>
      <c r="C663" s="2046"/>
      <c r="D663" s="2046"/>
      <c r="E663" s="2046"/>
      <c r="F663" s="2046"/>
      <c r="G663" s="2046"/>
      <c r="H663" s="2046"/>
      <c r="I663" s="2046"/>
      <c r="J663" s="2046"/>
      <c r="K663" s="2047"/>
      <c r="L663" s="2048"/>
      <c r="M663" s="2046"/>
      <c r="N663" s="2046"/>
      <c r="O663" s="2046"/>
      <c r="P663" s="2086"/>
      <c r="Q663" s="2046"/>
      <c r="R663" s="2046"/>
      <c r="S663" s="2046"/>
      <c r="T663" s="2046"/>
      <c r="U663" s="2046"/>
      <c r="V663" s="2046"/>
      <c r="W663" s="2046"/>
      <c r="X663" s="2046"/>
      <c r="Y663" s="2046"/>
      <c r="Z663" s="2046"/>
      <c r="AA663" s="2046"/>
      <c r="AB663" s="2046"/>
      <c r="AC663" s="2046"/>
    </row>
    <row r="664" spans="1:29">
      <c r="A664" s="2046"/>
      <c r="B664" s="2046"/>
      <c r="C664" s="2046"/>
      <c r="D664" s="2046"/>
      <c r="E664" s="2046"/>
      <c r="F664" s="2046"/>
      <c r="G664" s="2046"/>
      <c r="H664" s="2046"/>
      <c r="I664" s="2046"/>
      <c r="J664" s="2046"/>
      <c r="K664" s="2047"/>
      <c r="L664" s="2048"/>
      <c r="M664" s="2046"/>
      <c r="N664" s="2046"/>
      <c r="O664" s="2046"/>
      <c r="P664" s="2086"/>
      <c r="Q664" s="2046"/>
      <c r="R664" s="2046"/>
      <c r="S664" s="2046"/>
      <c r="T664" s="2046"/>
      <c r="U664" s="2046"/>
      <c r="V664" s="2046"/>
      <c r="W664" s="2046"/>
      <c r="X664" s="2046"/>
      <c r="Y664" s="2046"/>
      <c r="Z664" s="2046"/>
      <c r="AA664" s="2046"/>
      <c r="AB664" s="2046"/>
      <c r="AC664" s="2046"/>
    </row>
    <row r="665" spans="1:29">
      <c r="A665" s="2046"/>
      <c r="B665" s="2046"/>
      <c r="C665" s="2046"/>
      <c r="D665" s="2046"/>
      <c r="E665" s="2046"/>
      <c r="F665" s="2046"/>
      <c r="G665" s="2046"/>
      <c r="H665" s="2046"/>
      <c r="I665" s="2046"/>
      <c r="J665" s="2046"/>
      <c r="K665" s="2047"/>
      <c r="L665" s="2048"/>
      <c r="M665" s="2046"/>
      <c r="N665" s="2046"/>
      <c r="O665" s="2046"/>
      <c r="P665" s="2086"/>
      <c r="Q665" s="2046"/>
      <c r="R665" s="2046"/>
      <c r="S665" s="2046"/>
      <c r="T665" s="2046"/>
      <c r="U665" s="2046"/>
      <c r="V665" s="2046"/>
      <c r="W665" s="2046"/>
      <c r="X665" s="2046"/>
      <c r="Y665" s="2046"/>
      <c r="Z665" s="2046"/>
      <c r="AA665" s="2046"/>
      <c r="AB665" s="2046"/>
      <c r="AC665" s="2046"/>
    </row>
    <row r="666" spans="1:29">
      <c r="A666" s="2046"/>
      <c r="B666" s="2046"/>
      <c r="C666" s="2046"/>
      <c r="D666" s="2046"/>
      <c r="E666" s="2046"/>
      <c r="F666" s="2046"/>
      <c r="G666" s="2046"/>
      <c r="H666" s="2046"/>
      <c r="I666" s="2046"/>
      <c r="J666" s="2046"/>
      <c r="K666" s="2047"/>
      <c r="L666" s="2048"/>
      <c r="M666" s="2046"/>
      <c r="N666" s="2046"/>
      <c r="O666" s="2046"/>
      <c r="P666" s="2086"/>
      <c r="Q666" s="2046"/>
      <c r="R666" s="2046"/>
      <c r="S666" s="2046"/>
      <c r="T666" s="2046"/>
      <c r="U666" s="2046"/>
      <c r="V666" s="2046"/>
      <c r="W666" s="2046"/>
      <c r="X666" s="2046"/>
      <c r="Y666" s="2046"/>
      <c r="Z666" s="2046"/>
      <c r="AA666" s="2046"/>
      <c r="AB666" s="2046"/>
      <c r="AC666" s="2046"/>
    </row>
    <row r="667" spans="1:29">
      <c r="A667" s="2046"/>
      <c r="B667" s="2046"/>
      <c r="C667" s="2046"/>
      <c r="D667" s="2046"/>
      <c r="E667" s="2046"/>
      <c r="F667" s="2046"/>
      <c r="G667" s="2046"/>
      <c r="H667" s="2046"/>
      <c r="I667" s="2046"/>
      <c r="J667" s="2046"/>
      <c r="K667" s="2047"/>
      <c r="L667" s="2048"/>
      <c r="M667" s="2046"/>
      <c r="N667" s="2046"/>
      <c r="O667" s="2046"/>
      <c r="P667" s="2086"/>
      <c r="Q667" s="2046"/>
      <c r="R667" s="2046"/>
      <c r="S667" s="2046"/>
      <c r="T667" s="2046"/>
      <c r="U667" s="2046"/>
      <c r="V667" s="2046"/>
      <c r="W667" s="2046"/>
      <c r="X667" s="2046"/>
      <c r="Y667" s="2046"/>
      <c r="Z667" s="2046"/>
      <c r="AA667" s="2046"/>
      <c r="AB667" s="2046"/>
      <c r="AC667" s="2046"/>
    </row>
    <row r="668" spans="1:29">
      <c r="A668" s="2046"/>
      <c r="B668" s="2046"/>
      <c r="C668" s="2046"/>
      <c r="D668" s="2046"/>
      <c r="E668" s="2046"/>
      <c r="F668" s="2046"/>
      <c r="G668" s="2046"/>
      <c r="H668" s="2046"/>
      <c r="I668" s="2046"/>
      <c r="J668" s="2046"/>
      <c r="K668" s="2047"/>
      <c r="L668" s="2048"/>
      <c r="M668" s="2046"/>
      <c r="N668" s="2046"/>
      <c r="O668" s="2046"/>
      <c r="P668" s="2086"/>
      <c r="Q668" s="2046"/>
      <c r="R668" s="2046"/>
      <c r="S668" s="2046"/>
      <c r="T668" s="2046"/>
      <c r="U668" s="2046"/>
      <c r="V668" s="2046"/>
      <c r="W668" s="2046"/>
      <c r="X668" s="2046"/>
      <c r="Y668" s="2046"/>
      <c r="Z668" s="2046"/>
      <c r="AA668" s="2046"/>
      <c r="AB668" s="2046"/>
      <c r="AC668" s="2046"/>
    </row>
    <row r="669" spans="1:29">
      <c r="A669" s="2046"/>
      <c r="B669" s="2046"/>
      <c r="C669" s="2046"/>
      <c r="D669" s="2046"/>
      <c r="E669" s="2046"/>
      <c r="F669" s="2046"/>
      <c r="G669" s="2046"/>
      <c r="H669" s="2046"/>
      <c r="I669" s="2046"/>
      <c r="J669" s="2046"/>
      <c r="K669" s="2047"/>
      <c r="L669" s="2048"/>
      <c r="M669" s="2046"/>
      <c r="N669" s="2046"/>
      <c r="O669" s="2046"/>
      <c r="P669" s="2086"/>
      <c r="Q669" s="2046"/>
      <c r="R669" s="2046"/>
      <c r="S669" s="2046"/>
      <c r="T669" s="2046"/>
      <c r="U669" s="2046"/>
      <c r="V669" s="2046"/>
      <c r="W669" s="2046"/>
      <c r="X669" s="2046"/>
      <c r="Y669" s="2046"/>
      <c r="Z669" s="2046"/>
      <c r="AA669" s="2046"/>
      <c r="AB669" s="2046"/>
      <c r="AC669" s="2046"/>
    </row>
    <row r="670" spans="1:29">
      <c r="A670" s="2046"/>
      <c r="B670" s="2046"/>
      <c r="C670" s="2046"/>
      <c r="D670" s="2046"/>
      <c r="E670" s="2046"/>
      <c r="F670" s="2046"/>
      <c r="G670" s="2046"/>
      <c r="H670" s="2046"/>
      <c r="I670" s="2046"/>
      <c r="J670" s="2046"/>
      <c r="K670" s="2047"/>
      <c r="L670" s="2048"/>
      <c r="M670" s="2046"/>
      <c r="N670" s="2046"/>
      <c r="O670" s="2046"/>
      <c r="P670" s="2086"/>
      <c r="Q670" s="2046"/>
      <c r="R670" s="2046"/>
      <c r="S670" s="2046"/>
      <c r="T670" s="2046"/>
      <c r="U670" s="2046"/>
      <c r="V670" s="2046"/>
      <c r="W670" s="2046"/>
      <c r="X670" s="2046"/>
      <c r="Y670" s="2046"/>
      <c r="Z670" s="2046"/>
      <c r="AA670" s="2046"/>
      <c r="AB670" s="2046"/>
      <c r="AC670" s="2046"/>
    </row>
    <row r="671" spans="1:29">
      <c r="A671" s="2046"/>
      <c r="B671" s="2046"/>
      <c r="C671" s="2046"/>
      <c r="D671" s="2046"/>
      <c r="E671" s="2046"/>
      <c r="F671" s="2046"/>
      <c r="G671" s="2046"/>
      <c r="H671" s="2046"/>
      <c r="I671" s="2046"/>
      <c r="J671" s="2046"/>
      <c r="K671" s="2047"/>
      <c r="L671" s="2048"/>
      <c r="M671" s="2046"/>
      <c r="N671" s="2046"/>
      <c r="O671" s="2046"/>
      <c r="P671" s="2086"/>
      <c r="Q671" s="2046"/>
      <c r="R671" s="2046"/>
      <c r="S671" s="2046"/>
      <c r="T671" s="2046"/>
      <c r="U671" s="2046"/>
      <c r="V671" s="2046"/>
      <c r="W671" s="2046"/>
      <c r="X671" s="2046"/>
      <c r="Y671" s="2046"/>
      <c r="Z671" s="2046"/>
      <c r="AA671" s="2046"/>
      <c r="AB671" s="2046"/>
      <c r="AC671" s="2046"/>
    </row>
    <row r="672" spans="1:29">
      <c r="A672" s="2046"/>
      <c r="B672" s="2046"/>
      <c r="C672" s="2046"/>
      <c r="D672" s="2046"/>
      <c r="E672" s="2046"/>
      <c r="F672" s="2046"/>
      <c r="G672" s="2046"/>
      <c r="H672" s="2046"/>
      <c r="I672" s="2046"/>
      <c r="J672" s="2046"/>
      <c r="K672" s="2047"/>
      <c r="L672" s="2048"/>
      <c r="M672" s="2046"/>
      <c r="N672" s="2046"/>
      <c r="O672" s="2046"/>
      <c r="P672" s="2086"/>
      <c r="Q672" s="2046"/>
      <c r="R672" s="2046"/>
      <c r="S672" s="2046"/>
      <c r="T672" s="2046"/>
      <c r="U672" s="2046"/>
      <c r="V672" s="2046"/>
      <c r="W672" s="2046"/>
      <c r="X672" s="2046"/>
      <c r="Y672" s="2046"/>
      <c r="Z672" s="2046"/>
      <c r="AA672" s="2046"/>
      <c r="AB672" s="2046"/>
      <c r="AC672" s="2046"/>
    </row>
    <row r="673" spans="1:29">
      <c r="A673" s="2046"/>
      <c r="B673" s="2046"/>
      <c r="C673" s="2046"/>
      <c r="D673" s="2046"/>
      <c r="E673" s="2046"/>
      <c r="F673" s="2046"/>
      <c r="G673" s="2046"/>
      <c r="H673" s="2046"/>
      <c r="I673" s="2046"/>
      <c r="J673" s="2046"/>
      <c r="K673" s="2047"/>
      <c r="L673" s="2048"/>
      <c r="M673" s="2046"/>
      <c r="N673" s="2046"/>
      <c r="O673" s="2046"/>
      <c r="P673" s="2086"/>
      <c r="Q673" s="2046"/>
      <c r="R673" s="2046"/>
      <c r="S673" s="2046"/>
      <c r="T673" s="2046"/>
      <c r="U673" s="2046"/>
      <c r="V673" s="2046"/>
      <c r="W673" s="2046"/>
      <c r="X673" s="2046"/>
      <c r="Y673" s="2046"/>
      <c r="Z673" s="2046"/>
      <c r="AA673" s="2046"/>
      <c r="AB673" s="2046"/>
      <c r="AC673" s="2046"/>
    </row>
    <row r="674" spans="1:29">
      <c r="A674" s="2046"/>
      <c r="B674" s="2046"/>
      <c r="C674" s="2046"/>
      <c r="D674" s="2046"/>
      <c r="E674" s="2046"/>
      <c r="F674" s="2046"/>
      <c r="G674" s="2046"/>
      <c r="H674" s="2046"/>
      <c r="I674" s="2046"/>
      <c r="J674" s="2046"/>
      <c r="K674" s="2047"/>
      <c r="L674" s="2048"/>
      <c r="M674" s="2046"/>
      <c r="N674" s="2046"/>
      <c r="O674" s="2046"/>
      <c r="P674" s="2086"/>
      <c r="Q674" s="2046"/>
      <c r="R674" s="2046"/>
      <c r="S674" s="2046"/>
      <c r="T674" s="2046"/>
      <c r="U674" s="2046"/>
      <c r="V674" s="2046"/>
      <c r="W674" s="2046"/>
      <c r="X674" s="2046"/>
      <c r="Y674" s="2046"/>
      <c r="Z674" s="2046"/>
      <c r="AA674" s="2046"/>
      <c r="AB674" s="2046"/>
      <c r="AC674" s="2046"/>
    </row>
    <row r="675" spans="1:29">
      <c r="A675" s="2046"/>
      <c r="B675" s="2046"/>
      <c r="C675" s="2046"/>
      <c r="D675" s="2046"/>
      <c r="E675" s="2046"/>
      <c r="F675" s="2046"/>
      <c r="G675" s="2046"/>
      <c r="H675" s="2046"/>
      <c r="I675" s="2046"/>
      <c r="J675" s="2046"/>
      <c r="K675" s="2047"/>
      <c r="L675" s="2048"/>
      <c r="M675" s="2046"/>
      <c r="N675" s="2046"/>
      <c r="O675" s="2046"/>
      <c r="P675" s="2086"/>
      <c r="Q675" s="2046"/>
      <c r="R675" s="2046"/>
      <c r="S675" s="2046"/>
      <c r="T675" s="2046"/>
      <c r="U675" s="2046"/>
      <c r="V675" s="2046"/>
      <c r="W675" s="2046"/>
      <c r="X675" s="2046"/>
      <c r="Y675" s="2046"/>
      <c r="Z675" s="2046"/>
      <c r="AA675" s="2046"/>
      <c r="AB675" s="2046"/>
      <c r="AC675" s="2046"/>
    </row>
    <row r="676" spans="1:29">
      <c r="A676" s="2046"/>
      <c r="B676" s="2046"/>
      <c r="C676" s="2046"/>
      <c r="D676" s="2046"/>
      <c r="E676" s="2046"/>
      <c r="F676" s="2046"/>
      <c r="G676" s="2046"/>
      <c r="H676" s="2046"/>
      <c r="I676" s="2046"/>
      <c r="J676" s="2046"/>
      <c r="K676" s="2047"/>
      <c r="L676" s="2048"/>
      <c r="M676" s="2046"/>
      <c r="N676" s="2046"/>
      <c r="O676" s="2046"/>
      <c r="P676" s="2086"/>
      <c r="Q676" s="2046"/>
      <c r="R676" s="2046"/>
      <c r="S676" s="2046"/>
      <c r="T676" s="2046"/>
      <c r="U676" s="2046"/>
      <c r="V676" s="2046"/>
      <c r="W676" s="2046"/>
      <c r="X676" s="2046"/>
      <c r="Y676" s="2046"/>
      <c r="Z676" s="2046"/>
      <c r="AA676" s="2046"/>
      <c r="AB676" s="2046"/>
      <c r="AC676" s="2046"/>
    </row>
    <row r="677" spans="1:29">
      <c r="A677" s="2046"/>
      <c r="B677" s="2046"/>
      <c r="C677" s="2046"/>
      <c r="D677" s="2046"/>
      <c r="E677" s="2046"/>
      <c r="F677" s="2046"/>
      <c r="G677" s="2046"/>
      <c r="H677" s="2046"/>
      <c r="I677" s="2046"/>
      <c r="J677" s="2046"/>
      <c r="K677" s="2047"/>
      <c r="L677" s="2048"/>
      <c r="M677" s="2046"/>
      <c r="N677" s="2046"/>
      <c r="O677" s="2046"/>
      <c r="P677" s="2086"/>
      <c r="Q677" s="2046"/>
      <c r="R677" s="2046"/>
      <c r="S677" s="2046"/>
      <c r="T677" s="2046"/>
      <c r="U677" s="2046"/>
      <c r="V677" s="2046"/>
      <c r="W677" s="2046"/>
      <c r="X677" s="2046"/>
      <c r="Y677" s="2046"/>
      <c r="Z677" s="2046"/>
      <c r="AA677" s="2046"/>
      <c r="AB677" s="2046"/>
      <c r="AC677" s="2046"/>
    </row>
    <row r="678" spans="1:29">
      <c r="A678" s="2046"/>
      <c r="B678" s="2046"/>
      <c r="C678" s="2046"/>
      <c r="D678" s="2046"/>
      <c r="E678" s="2046"/>
      <c r="F678" s="2046"/>
      <c r="G678" s="2046"/>
      <c r="H678" s="2046"/>
      <c r="I678" s="2046"/>
      <c r="J678" s="2046"/>
      <c r="K678" s="2047"/>
      <c r="L678" s="2048"/>
      <c r="M678" s="2046"/>
      <c r="N678" s="2046"/>
      <c r="O678" s="2046"/>
      <c r="P678" s="2086"/>
      <c r="Q678" s="2046"/>
      <c r="R678" s="2046"/>
      <c r="S678" s="2046"/>
      <c r="T678" s="2046"/>
      <c r="U678" s="2046"/>
      <c r="V678" s="2046"/>
      <c r="W678" s="2046"/>
      <c r="X678" s="2046"/>
      <c r="Y678" s="2046"/>
      <c r="Z678" s="2046"/>
      <c r="AA678" s="2046"/>
      <c r="AB678" s="2046"/>
      <c r="AC678" s="2046"/>
    </row>
    <row r="679" spans="1:29">
      <c r="A679" s="2046"/>
      <c r="B679" s="2046"/>
      <c r="C679" s="2046"/>
      <c r="D679" s="2046"/>
      <c r="E679" s="2046"/>
      <c r="F679" s="2046"/>
      <c r="G679" s="2046"/>
      <c r="H679" s="2046"/>
      <c r="I679" s="2046"/>
      <c r="J679" s="2046"/>
      <c r="K679" s="2047"/>
      <c r="L679" s="2048"/>
      <c r="M679" s="2046"/>
      <c r="N679" s="2046"/>
      <c r="O679" s="2046"/>
      <c r="P679" s="2086"/>
      <c r="Q679" s="2046"/>
      <c r="R679" s="2046"/>
      <c r="S679" s="2046"/>
      <c r="T679" s="2046"/>
      <c r="U679" s="2046"/>
      <c r="V679" s="2046"/>
      <c r="W679" s="2046"/>
      <c r="X679" s="2046"/>
      <c r="Y679" s="2046"/>
      <c r="Z679" s="2046"/>
      <c r="AA679" s="2046"/>
      <c r="AB679" s="2046"/>
      <c r="AC679" s="2046"/>
    </row>
    <row r="680" spans="1:29">
      <c r="A680" s="2046"/>
      <c r="B680" s="2046"/>
      <c r="C680" s="2046"/>
      <c r="D680" s="2046"/>
      <c r="E680" s="2046"/>
      <c r="F680" s="2046"/>
      <c r="G680" s="2046"/>
      <c r="H680" s="2046"/>
      <c r="I680" s="2046"/>
      <c r="J680" s="2046"/>
      <c r="K680" s="2047"/>
      <c r="L680" s="2048"/>
      <c r="M680" s="2046"/>
      <c r="N680" s="2046"/>
      <c r="O680" s="2046"/>
      <c r="P680" s="2086"/>
      <c r="Q680" s="2046"/>
      <c r="R680" s="2046"/>
      <c r="S680" s="2046"/>
      <c r="T680" s="2046"/>
      <c r="U680" s="2046"/>
      <c r="V680" s="2046"/>
      <c r="W680" s="2046"/>
      <c r="X680" s="2046"/>
      <c r="Y680" s="2046"/>
      <c r="Z680" s="2046"/>
      <c r="AA680" s="2046"/>
      <c r="AB680" s="2046"/>
      <c r="AC680" s="2046"/>
    </row>
    <row r="681" spans="1:29">
      <c r="A681" s="2046"/>
      <c r="B681" s="2046"/>
      <c r="C681" s="2046"/>
      <c r="D681" s="2046"/>
      <c r="E681" s="2046"/>
      <c r="F681" s="2046"/>
      <c r="G681" s="2046"/>
      <c r="H681" s="2046"/>
      <c r="I681" s="2046"/>
      <c r="J681" s="2046"/>
      <c r="K681" s="2047"/>
      <c r="L681" s="2048"/>
      <c r="M681" s="2046"/>
      <c r="N681" s="2046"/>
      <c r="O681" s="2046"/>
      <c r="P681" s="2086"/>
      <c r="Q681" s="2046"/>
      <c r="R681" s="2046"/>
      <c r="S681" s="2046"/>
      <c r="T681" s="2046"/>
      <c r="U681" s="2046"/>
      <c r="V681" s="2046"/>
      <c r="W681" s="2046"/>
      <c r="X681" s="2046"/>
      <c r="Y681" s="2046"/>
      <c r="Z681" s="2046"/>
      <c r="AA681" s="2046"/>
      <c r="AB681" s="2046"/>
      <c r="AC681" s="2046"/>
    </row>
    <row r="682" spans="1:29">
      <c r="A682" s="2046"/>
      <c r="B682" s="2046"/>
      <c r="C682" s="2046"/>
      <c r="D682" s="2046"/>
      <c r="E682" s="2046"/>
      <c r="F682" s="2046"/>
      <c r="G682" s="2046"/>
      <c r="H682" s="2046"/>
      <c r="I682" s="2046"/>
      <c r="J682" s="2046"/>
      <c r="K682" s="2047"/>
      <c r="L682" s="2048"/>
      <c r="M682" s="2046"/>
      <c r="N682" s="2046"/>
      <c r="O682" s="2046"/>
      <c r="P682" s="2086"/>
      <c r="Q682" s="2046"/>
      <c r="R682" s="2046"/>
      <c r="S682" s="2046"/>
      <c r="T682" s="2046"/>
      <c r="U682" s="2046"/>
      <c r="V682" s="2046"/>
      <c r="W682" s="2046"/>
      <c r="X682" s="2046"/>
      <c r="Y682" s="2046"/>
      <c r="Z682" s="2046"/>
      <c r="AA682" s="2046"/>
      <c r="AB682" s="2046"/>
      <c r="AC682" s="2046"/>
    </row>
    <row r="683" spans="1:29">
      <c r="A683" s="2046"/>
      <c r="B683" s="2046"/>
      <c r="C683" s="2046"/>
      <c r="D683" s="2046"/>
      <c r="E683" s="2046"/>
      <c r="F683" s="2046"/>
      <c r="G683" s="2046"/>
      <c r="H683" s="2046"/>
      <c r="I683" s="2046"/>
      <c r="J683" s="2046"/>
      <c r="K683" s="2047"/>
      <c r="L683" s="2048"/>
      <c r="M683" s="2046"/>
      <c r="N683" s="2046"/>
      <c r="O683" s="2046"/>
      <c r="P683" s="2086"/>
      <c r="Q683" s="2046"/>
      <c r="R683" s="2046"/>
      <c r="S683" s="2046"/>
      <c r="T683" s="2046"/>
      <c r="U683" s="2046"/>
      <c r="V683" s="2046"/>
      <c r="W683" s="2046"/>
      <c r="X683" s="2046"/>
      <c r="Y683" s="2046"/>
      <c r="Z683" s="2046"/>
      <c r="AA683" s="2046"/>
      <c r="AB683" s="2046"/>
      <c r="AC683" s="2046"/>
    </row>
    <row r="684" spans="1:29">
      <c r="A684" s="2046"/>
      <c r="B684" s="2046"/>
      <c r="C684" s="2046"/>
      <c r="D684" s="2046"/>
      <c r="E684" s="2046"/>
      <c r="F684" s="2046"/>
      <c r="G684" s="2046"/>
      <c r="H684" s="2046"/>
      <c r="I684" s="2046"/>
      <c r="J684" s="2046"/>
      <c r="K684" s="2047"/>
      <c r="L684" s="2048"/>
      <c r="M684" s="2046"/>
      <c r="N684" s="2046"/>
      <c r="O684" s="2046"/>
      <c r="P684" s="2086"/>
      <c r="Q684" s="2046"/>
      <c r="R684" s="2046"/>
      <c r="S684" s="2046"/>
      <c r="T684" s="2046"/>
      <c r="U684" s="2046"/>
      <c r="V684" s="2046"/>
      <c r="W684" s="2046"/>
      <c r="X684" s="2046"/>
      <c r="Y684" s="2046"/>
      <c r="Z684" s="2046"/>
      <c r="AA684" s="2046"/>
      <c r="AB684" s="2046"/>
      <c r="AC684" s="2046"/>
    </row>
    <row r="685" spans="1:29">
      <c r="A685" s="2046"/>
      <c r="B685" s="2046"/>
      <c r="C685" s="2046"/>
      <c r="D685" s="2046"/>
      <c r="E685" s="2046"/>
      <c r="F685" s="2046"/>
      <c r="G685" s="2046"/>
      <c r="H685" s="2046"/>
      <c r="I685" s="2046"/>
      <c r="J685" s="2046"/>
      <c r="K685" s="2047"/>
      <c r="L685" s="2048"/>
      <c r="M685" s="2046"/>
      <c r="N685" s="2046"/>
      <c r="O685" s="2046"/>
      <c r="P685" s="2086"/>
      <c r="Q685" s="2046"/>
      <c r="R685" s="2046"/>
      <c r="S685" s="2046"/>
      <c r="T685" s="2046"/>
      <c r="U685" s="2046"/>
      <c r="V685" s="2046"/>
      <c r="W685" s="2046"/>
      <c r="X685" s="2046"/>
      <c r="Y685" s="2046"/>
      <c r="Z685" s="2046"/>
      <c r="AA685" s="2046"/>
      <c r="AB685" s="2046"/>
      <c r="AC685" s="2046"/>
    </row>
    <row r="686" spans="1:29">
      <c r="A686" s="2046"/>
      <c r="B686" s="2046"/>
      <c r="C686" s="2046"/>
      <c r="D686" s="2046"/>
      <c r="E686" s="2046"/>
      <c r="F686" s="2046"/>
      <c r="G686" s="2046"/>
      <c r="H686" s="2046"/>
      <c r="I686" s="2046"/>
      <c r="J686" s="2046"/>
      <c r="K686" s="2047"/>
      <c r="L686" s="2048"/>
      <c r="M686" s="2046"/>
      <c r="N686" s="2046"/>
      <c r="O686" s="2046"/>
      <c r="P686" s="2086"/>
      <c r="Q686" s="2046"/>
      <c r="R686" s="2046"/>
      <c r="S686" s="2046"/>
      <c r="T686" s="2046"/>
      <c r="U686" s="2046"/>
      <c r="V686" s="2046"/>
      <c r="W686" s="2046"/>
      <c r="X686" s="2046"/>
      <c r="Y686" s="2046"/>
      <c r="Z686" s="2046"/>
      <c r="AA686" s="2046"/>
      <c r="AB686" s="2046"/>
      <c r="AC686" s="2046"/>
    </row>
    <row r="687" spans="1:29">
      <c r="A687" s="2046"/>
      <c r="B687" s="2046"/>
      <c r="C687" s="2046"/>
      <c r="D687" s="2046"/>
      <c r="E687" s="2046"/>
      <c r="F687" s="2046"/>
      <c r="G687" s="2046"/>
      <c r="H687" s="2046"/>
      <c r="I687" s="2046"/>
      <c r="J687" s="2046"/>
      <c r="K687" s="2047"/>
      <c r="L687" s="2048"/>
      <c r="M687" s="2046"/>
      <c r="N687" s="2046"/>
      <c r="O687" s="2046"/>
      <c r="P687" s="2086"/>
      <c r="Q687" s="2046"/>
      <c r="R687" s="2046"/>
      <c r="S687" s="2046"/>
      <c r="T687" s="2046"/>
      <c r="U687" s="2046"/>
      <c r="V687" s="2046"/>
      <c r="W687" s="2046"/>
      <c r="X687" s="2046"/>
      <c r="Y687" s="2046"/>
      <c r="Z687" s="2046"/>
      <c r="AA687" s="2046"/>
      <c r="AB687" s="2046"/>
      <c r="AC687" s="2046"/>
    </row>
    <row r="688" spans="1:29">
      <c r="A688" s="2046"/>
      <c r="B688" s="2046"/>
      <c r="C688" s="2046"/>
      <c r="D688" s="2046"/>
      <c r="E688" s="2046"/>
      <c r="F688" s="2046"/>
      <c r="G688" s="2046"/>
      <c r="H688" s="2046"/>
      <c r="I688" s="2046"/>
      <c r="J688" s="2046"/>
      <c r="K688" s="2047"/>
      <c r="L688" s="2048"/>
      <c r="M688" s="2046"/>
      <c r="N688" s="2046"/>
      <c r="O688" s="2046"/>
      <c r="P688" s="2086"/>
      <c r="Q688" s="2046"/>
      <c r="R688" s="2046"/>
      <c r="S688" s="2046"/>
      <c r="T688" s="2046"/>
      <c r="U688" s="2046"/>
      <c r="V688" s="2046"/>
      <c r="W688" s="2046"/>
      <c r="X688" s="2046"/>
      <c r="Y688" s="2046"/>
      <c r="Z688" s="2046"/>
      <c r="AA688" s="2046"/>
      <c r="AB688" s="2046"/>
      <c r="AC688" s="2046"/>
    </row>
    <row r="689" spans="1:29">
      <c r="A689" s="2046"/>
      <c r="B689" s="2046"/>
      <c r="C689" s="2046"/>
      <c r="D689" s="2046"/>
      <c r="E689" s="2046"/>
      <c r="F689" s="2046"/>
      <c r="G689" s="2046"/>
      <c r="H689" s="2046"/>
      <c r="I689" s="2046"/>
      <c r="J689" s="2046"/>
      <c r="K689" s="2047"/>
      <c r="L689" s="2048"/>
      <c r="M689" s="2046"/>
      <c r="N689" s="2046"/>
      <c r="O689" s="2046"/>
      <c r="P689" s="2086"/>
      <c r="Q689" s="2046"/>
      <c r="R689" s="2046"/>
      <c r="S689" s="2046"/>
      <c r="T689" s="2046"/>
      <c r="U689" s="2046"/>
      <c r="V689" s="2046"/>
      <c r="W689" s="2046"/>
      <c r="X689" s="2046"/>
      <c r="Y689" s="2046"/>
      <c r="Z689" s="2046"/>
      <c r="AA689" s="2046"/>
      <c r="AB689" s="2046"/>
      <c r="AC689" s="2046"/>
    </row>
    <row r="690" spans="1:29">
      <c r="A690" s="2046"/>
      <c r="B690" s="2046"/>
      <c r="C690" s="2046"/>
      <c r="D690" s="2046"/>
      <c r="E690" s="2046"/>
      <c r="F690" s="2046"/>
      <c r="G690" s="2046"/>
      <c r="H690" s="2046"/>
      <c r="I690" s="2046"/>
      <c r="J690" s="2046"/>
      <c r="K690" s="2047"/>
      <c r="L690" s="2048"/>
      <c r="M690" s="2046"/>
      <c r="N690" s="2046"/>
      <c r="O690" s="2046"/>
      <c r="P690" s="2086"/>
      <c r="Q690" s="2046"/>
      <c r="R690" s="2046"/>
      <c r="S690" s="2046"/>
      <c r="T690" s="2046"/>
      <c r="U690" s="2046"/>
      <c r="V690" s="2046"/>
      <c r="W690" s="2046"/>
      <c r="X690" s="2046"/>
      <c r="Y690" s="2046"/>
      <c r="Z690" s="2046"/>
      <c r="AA690" s="2046"/>
      <c r="AB690" s="2046"/>
      <c r="AC690" s="2046"/>
    </row>
    <row r="691" spans="1:29">
      <c r="A691" s="2046"/>
      <c r="B691" s="2046"/>
      <c r="C691" s="2046"/>
      <c r="D691" s="2046"/>
      <c r="E691" s="2046"/>
      <c r="F691" s="2046"/>
      <c r="G691" s="2046"/>
      <c r="H691" s="2046"/>
      <c r="I691" s="2046"/>
      <c r="J691" s="2046"/>
      <c r="K691" s="2047"/>
      <c r="L691" s="2048"/>
      <c r="M691" s="2046"/>
      <c r="N691" s="2046"/>
      <c r="O691" s="2046"/>
      <c r="P691" s="2086"/>
      <c r="Q691" s="2046"/>
      <c r="R691" s="2046"/>
      <c r="S691" s="2046"/>
      <c r="T691" s="2046"/>
      <c r="U691" s="2046"/>
      <c r="V691" s="2046"/>
      <c r="W691" s="2046"/>
      <c r="X691" s="2046"/>
      <c r="Y691" s="2046"/>
      <c r="Z691" s="2046"/>
      <c r="AA691" s="2046"/>
      <c r="AB691" s="2046"/>
      <c r="AC691" s="2046"/>
    </row>
    <row r="692" spans="1:29">
      <c r="A692" s="2046"/>
      <c r="B692" s="2046"/>
      <c r="C692" s="2046"/>
      <c r="D692" s="2046"/>
      <c r="E692" s="2046"/>
      <c r="F692" s="2046"/>
      <c r="G692" s="2046"/>
      <c r="H692" s="2046"/>
      <c r="I692" s="2046"/>
      <c r="J692" s="2046"/>
      <c r="K692" s="2047"/>
      <c r="L692" s="2048"/>
      <c r="M692" s="2046"/>
      <c r="N692" s="2046"/>
      <c r="O692" s="2046"/>
      <c r="P692" s="2086"/>
      <c r="Q692" s="2046"/>
      <c r="R692" s="2046"/>
      <c r="S692" s="2046"/>
      <c r="T692" s="2046"/>
      <c r="U692" s="2046"/>
      <c r="V692" s="2046"/>
      <c r="W692" s="2046"/>
      <c r="X692" s="2046"/>
      <c r="Y692" s="2046"/>
      <c r="Z692" s="2046"/>
      <c r="AA692" s="2046"/>
      <c r="AB692" s="2046"/>
      <c r="AC692" s="2046"/>
    </row>
    <row r="693" spans="1:29">
      <c r="A693" s="2046"/>
      <c r="B693" s="2046"/>
      <c r="C693" s="2046"/>
      <c r="D693" s="2046"/>
      <c r="E693" s="2046"/>
      <c r="F693" s="2046"/>
      <c r="G693" s="2046"/>
      <c r="H693" s="2046"/>
      <c r="I693" s="2046"/>
      <c r="J693" s="2046"/>
      <c r="K693" s="2047"/>
      <c r="L693" s="2048"/>
      <c r="M693" s="2046"/>
      <c r="N693" s="2046"/>
      <c r="O693" s="2046"/>
      <c r="P693" s="2086"/>
      <c r="Q693" s="2046"/>
      <c r="R693" s="2046"/>
      <c r="S693" s="2046"/>
      <c r="T693" s="2046"/>
      <c r="U693" s="2046"/>
      <c r="V693" s="2046"/>
      <c r="W693" s="2046"/>
      <c r="X693" s="2046"/>
      <c r="Y693" s="2046"/>
      <c r="Z693" s="2046"/>
      <c r="AA693" s="2046"/>
      <c r="AB693" s="2046"/>
      <c r="AC693" s="2046"/>
    </row>
    <row r="694" spans="1:29">
      <c r="A694" s="2046"/>
      <c r="B694" s="2046"/>
      <c r="C694" s="2046"/>
      <c r="D694" s="2046"/>
      <c r="E694" s="2046"/>
      <c r="F694" s="2046"/>
      <c r="G694" s="2046"/>
      <c r="H694" s="2046"/>
      <c r="I694" s="2046"/>
      <c r="J694" s="2046"/>
      <c r="K694" s="2047"/>
      <c r="L694" s="2048"/>
      <c r="M694" s="2046"/>
      <c r="N694" s="2046"/>
      <c r="O694" s="2046"/>
      <c r="P694" s="2086"/>
      <c r="Q694" s="2046"/>
      <c r="R694" s="2046"/>
      <c r="S694" s="2046"/>
      <c r="T694" s="2046"/>
      <c r="U694" s="2046"/>
      <c r="V694" s="2046"/>
      <c r="W694" s="2046"/>
      <c r="X694" s="2046"/>
      <c r="Y694" s="2046"/>
      <c r="Z694" s="2046"/>
      <c r="AA694" s="2046"/>
      <c r="AB694" s="2046"/>
      <c r="AC694" s="2046"/>
    </row>
    <row r="695" spans="1:29">
      <c r="A695" s="2046"/>
      <c r="B695" s="2046"/>
      <c r="C695" s="2046"/>
      <c r="D695" s="2046"/>
      <c r="E695" s="2046"/>
      <c r="F695" s="2046"/>
      <c r="G695" s="2046"/>
      <c r="H695" s="2046"/>
      <c r="I695" s="2046"/>
      <c r="J695" s="2046"/>
      <c r="K695" s="2047"/>
      <c r="L695" s="2048"/>
      <c r="M695" s="2046"/>
      <c r="N695" s="2046"/>
      <c r="O695" s="2046"/>
      <c r="P695" s="2086"/>
      <c r="Q695" s="2046"/>
      <c r="R695" s="2046"/>
      <c r="S695" s="2046"/>
      <c r="T695" s="2046"/>
      <c r="U695" s="2046"/>
      <c r="V695" s="2046"/>
      <c r="W695" s="2046"/>
      <c r="X695" s="2046"/>
      <c r="Y695" s="2046"/>
      <c r="Z695" s="2046"/>
      <c r="AA695" s="2046"/>
      <c r="AB695" s="2046"/>
      <c r="AC695" s="2046"/>
    </row>
    <row r="696" spans="1:29">
      <c r="A696" s="2046"/>
      <c r="B696" s="2046"/>
      <c r="C696" s="2046"/>
      <c r="D696" s="2046"/>
      <c r="E696" s="2046"/>
      <c r="F696" s="2046"/>
      <c r="G696" s="2046"/>
      <c r="H696" s="2046"/>
      <c r="I696" s="2046"/>
      <c r="J696" s="2046"/>
      <c r="K696" s="2047"/>
      <c r="L696" s="2048"/>
      <c r="M696" s="2046"/>
      <c r="N696" s="2046"/>
      <c r="O696" s="2046"/>
      <c r="P696" s="2086"/>
      <c r="Q696" s="2046"/>
      <c r="R696" s="2046"/>
      <c r="S696" s="2046"/>
      <c r="T696" s="2046"/>
      <c r="U696" s="2046"/>
      <c r="V696" s="2046"/>
      <c r="W696" s="2046"/>
      <c r="X696" s="2046"/>
      <c r="Y696" s="2046"/>
      <c r="Z696" s="2046"/>
      <c r="AA696" s="2046"/>
      <c r="AB696" s="2046"/>
      <c r="AC696" s="2046"/>
    </row>
    <row r="697" spans="1:29">
      <c r="A697" s="2046"/>
      <c r="B697" s="2046"/>
      <c r="C697" s="2046"/>
      <c r="D697" s="2046"/>
      <c r="E697" s="2046"/>
      <c r="F697" s="2046"/>
      <c r="G697" s="2046"/>
      <c r="H697" s="2046"/>
      <c r="I697" s="2046"/>
      <c r="J697" s="2046"/>
      <c r="K697" s="2047"/>
      <c r="L697" s="2048"/>
      <c r="M697" s="2046"/>
      <c r="N697" s="2046"/>
      <c r="O697" s="2046"/>
      <c r="P697" s="2086"/>
      <c r="Q697" s="2046"/>
      <c r="R697" s="2046"/>
      <c r="S697" s="2046"/>
      <c r="T697" s="2046"/>
      <c r="U697" s="2046"/>
      <c r="V697" s="2046"/>
      <c r="W697" s="2046"/>
      <c r="X697" s="2046"/>
      <c r="Y697" s="2046"/>
      <c r="Z697" s="2046"/>
      <c r="AA697" s="2046"/>
      <c r="AB697" s="2046"/>
      <c r="AC697" s="2046"/>
    </row>
    <row r="698" spans="1:29">
      <c r="A698" s="2046"/>
      <c r="B698" s="2046"/>
      <c r="C698" s="2046"/>
      <c r="D698" s="2046"/>
      <c r="E698" s="2046"/>
      <c r="F698" s="2046"/>
      <c r="G698" s="2046"/>
      <c r="H698" s="2046"/>
      <c r="I698" s="2046"/>
      <c r="J698" s="2046"/>
      <c r="K698" s="2047"/>
      <c r="L698" s="2048"/>
      <c r="M698" s="2046"/>
      <c r="N698" s="2046"/>
      <c r="O698" s="2046"/>
      <c r="P698" s="2086"/>
      <c r="Q698" s="2046"/>
      <c r="R698" s="2046"/>
      <c r="S698" s="2046"/>
      <c r="T698" s="2046"/>
      <c r="U698" s="2046"/>
      <c r="V698" s="2046"/>
      <c r="W698" s="2046"/>
      <c r="X698" s="2046"/>
      <c r="Y698" s="2046"/>
      <c r="Z698" s="2046"/>
      <c r="AA698" s="2046"/>
      <c r="AB698" s="2046"/>
      <c r="AC698" s="2046"/>
    </row>
    <row r="699" spans="1:29">
      <c r="A699" s="2046"/>
      <c r="B699" s="2046"/>
      <c r="C699" s="2046"/>
      <c r="D699" s="2046"/>
      <c r="E699" s="2046"/>
      <c r="F699" s="2046"/>
      <c r="G699" s="2046"/>
      <c r="H699" s="2046"/>
      <c r="I699" s="2046"/>
      <c r="J699" s="2046"/>
      <c r="K699" s="2047"/>
      <c r="L699" s="2048"/>
      <c r="M699" s="2046"/>
      <c r="N699" s="2046"/>
      <c r="O699" s="2046"/>
      <c r="P699" s="2086"/>
      <c r="Q699" s="2046"/>
      <c r="R699" s="2046"/>
      <c r="S699" s="2046"/>
      <c r="T699" s="2046"/>
      <c r="U699" s="2046"/>
      <c r="V699" s="2046"/>
      <c r="W699" s="2046"/>
      <c r="X699" s="2046"/>
      <c r="Y699" s="2046"/>
      <c r="Z699" s="2046"/>
      <c r="AA699" s="2046"/>
      <c r="AB699" s="2046"/>
      <c r="AC699" s="2046"/>
    </row>
    <row r="700" spans="1:29">
      <c r="A700" s="2046"/>
      <c r="B700" s="2046"/>
      <c r="C700" s="2046"/>
      <c r="D700" s="2046"/>
      <c r="E700" s="2046"/>
      <c r="F700" s="2046"/>
      <c r="G700" s="2046"/>
      <c r="H700" s="2046"/>
      <c r="I700" s="2046"/>
      <c r="J700" s="2046"/>
      <c r="K700" s="2047"/>
      <c r="L700" s="2048"/>
      <c r="M700" s="2046"/>
      <c r="N700" s="2046"/>
      <c r="O700" s="2046"/>
      <c r="P700" s="2086"/>
      <c r="Q700" s="2046"/>
      <c r="R700" s="2046"/>
      <c r="S700" s="2046"/>
      <c r="T700" s="2046"/>
      <c r="U700" s="2046"/>
      <c r="V700" s="2046"/>
      <c r="W700" s="2046"/>
      <c r="X700" s="2046"/>
      <c r="Y700" s="2046"/>
      <c r="Z700" s="2046"/>
      <c r="AA700" s="2046"/>
      <c r="AB700" s="2046"/>
      <c r="AC700" s="2046"/>
    </row>
    <row r="701" spans="1:29">
      <c r="A701" s="2046"/>
      <c r="B701" s="2046"/>
      <c r="C701" s="2046"/>
      <c r="D701" s="2046"/>
      <c r="E701" s="2046"/>
      <c r="F701" s="2046"/>
      <c r="G701" s="2046"/>
      <c r="H701" s="2046"/>
      <c r="I701" s="2046"/>
      <c r="J701" s="2046"/>
      <c r="K701" s="2047"/>
      <c r="L701" s="2048"/>
      <c r="M701" s="2046"/>
      <c r="N701" s="2046"/>
      <c r="O701" s="2046"/>
      <c r="P701" s="2086"/>
      <c r="Q701" s="2046"/>
      <c r="R701" s="2046"/>
      <c r="S701" s="2046"/>
      <c r="T701" s="2046"/>
      <c r="U701" s="2046"/>
      <c r="V701" s="2046"/>
      <c r="W701" s="2046"/>
      <c r="X701" s="2046"/>
      <c r="Y701" s="2046"/>
      <c r="Z701" s="2046"/>
      <c r="AA701" s="2046"/>
      <c r="AB701" s="2046"/>
      <c r="AC701" s="2046"/>
    </row>
    <row r="702" spans="1:29">
      <c r="A702" s="2046"/>
      <c r="B702" s="2046"/>
      <c r="C702" s="2046"/>
      <c r="D702" s="2046"/>
      <c r="E702" s="2046"/>
      <c r="F702" s="2046"/>
      <c r="G702" s="2046"/>
      <c r="H702" s="2046"/>
      <c r="I702" s="2046"/>
      <c r="J702" s="2046"/>
      <c r="K702" s="2047"/>
      <c r="L702" s="2048"/>
      <c r="M702" s="2046"/>
      <c r="N702" s="2046"/>
      <c r="O702" s="2046"/>
      <c r="P702" s="2086"/>
      <c r="Q702" s="2046"/>
      <c r="R702" s="2046"/>
      <c r="S702" s="2046"/>
      <c r="T702" s="2046"/>
      <c r="U702" s="2046"/>
      <c r="V702" s="2046"/>
      <c r="W702" s="2046"/>
      <c r="X702" s="2046"/>
      <c r="Y702" s="2046"/>
      <c r="Z702" s="2046"/>
      <c r="AA702" s="2046"/>
      <c r="AB702" s="2046"/>
      <c r="AC702" s="2046"/>
    </row>
    <row r="703" spans="1:29">
      <c r="A703" s="2046"/>
      <c r="B703" s="2046"/>
      <c r="C703" s="2046"/>
      <c r="D703" s="2046"/>
      <c r="E703" s="2046"/>
      <c r="F703" s="2046"/>
      <c r="G703" s="2046"/>
      <c r="H703" s="2046"/>
      <c r="I703" s="2046"/>
      <c r="J703" s="2046"/>
      <c r="K703" s="2047"/>
      <c r="L703" s="2048"/>
      <c r="M703" s="2046"/>
      <c r="N703" s="2046"/>
      <c r="O703" s="2046"/>
      <c r="P703" s="2086"/>
      <c r="Q703" s="2046"/>
      <c r="R703" s="2046"/>
      <c r="S703" s="2046"/>
      <c r="T703" s="2046"/>
      <c r="U703" s="2046"/>
      <c r="V703" s="2046"/>
      <c r="W703" s="2046"/>
      <c r="X703" s="2046"/>
      <c r="Y703" s="2046"/>
      <c r="Z703" s="2046"/>
      <c r="AA703" s="2046"/>
      <c r="AB703" s="2046"/>
      <c r="AC703" s="2046"/>
    </row>
    <row r="704" spans="1:29">
      <c r="A704" s="2046"/>
      <c r="B704" s="2046"/>
      <c r="C704" s="2046"/>
      <c r="D704" s="2046"/>
      <c r="E704" s="2046"/>
      <c r="F704" s="2046"/>
      <c r="G704" s="2046"/>
      <c r="H704" s="2046"/>
      <c r="I704" s="2046"/>
      <c r="J704" s="2046"/>
      <c r="K704" s="2047"/>
      <c r="L704" s="2048"/>
      <c r="M704" s="2046"/>
      <c r="N704" s="2046"/>
      <c r="O704" s="2046"/>
      <c r="P704" s="2086"/>
      <c r="Q704" s="2046"/>
      <c r="R704" s="2046"/>
      <c r="S704" s="2046"/>
      <c r="T704" s="2046"/>
      <c r="U704" s="2046"/>
      <c r="V704" s="2046"/>
      <c r="W704" s="2046"/>
      <c r="X704" s="2046"/>
      <c r="Y704" s="2046"/>
      <c r="Z704" s="2046"/>
      <c r="AA704" s="2046"/>
      <c r="AB704" s="2046"/>
      <c r="AC704" s="2046"/>
    </row>
    <row r="705" spans="1:29">
      <c r="A705" s="2046"/>
      <c r="B705" s="2046"/>
      <c r="C705" s="2046"/>
      <c r="D705" s="2046"/>
      <c r="E705" s="2046"/>
      <c r="F705" s="2046"/>
      <c r="G705" s="2046"/>
      <c r="H705" s="2046"/>
      <c r="I705" s="2046"/>
      <c r="J705" s="2046"/>
      <c r="K705" s="2047"/>
      <c r="L705" s="2048"/>
      <c r="M705" s="2046"/>
      <c r="N705" s="2046"/>
      <c r="O705" s="2046"/>
      <c r="P705" s="2086"/>
      <c r="Q705" s="2046"/>
      <c r="R705" s="2046"/>
      <c r="S705" s="2046"/>
      <c r="T705" s="2046"/>
      <c r="U705" s="2046"/>
      <c r="V705" s="2046"/>
      <c r="W705" s="2046"/>
      <c r="X705" s="2046"/>
      <c r="Y705" s="2046"/>
      <c r="Z705" s="2046"/>
      <c r="AA705" s="2046"/>
      <c r="AB705" s="2046"/>
      <c r="AC705" s="2046"/>
    </row>
    <row r="706" spans="1:29">
      <c r="A706" s="2046"/>
      <c r="B706" s="2046"/>
      <c r="C706" s="2046"/>
      <c r="D706" s="2046"/>
      <c r="E706" s="2046"/>
      <c r="F706" s="2046"/>
      <c r="G706" s="2046"/>
      <c r="H706" s="2046"/>
      <c r="I706" s="2046"/>
      <c r="J706" s="2046"/>
      <c r="K706" s="2047"/>
      <c r="L706" s="2048"/>
      <c r="M706" s="2046"/>
      <c r="N706" s="2046"/>
      <c r="O706" s="2046"/>
      <c r="P706" s="2086"/>
      <c r="Q706" s="2046"/>
      <c r="R706" s="2046"/>
      <c r="S706" s="2046"/>
      <c r="T706" s="2046"/>
      <c r="U706" s="2046"/>
      <c r="V706" s="2046"/>
      <c r="W706" s="2046"/>
      <c r="X706" s="2046"/>
      <c r="Y706" s="2046"/>
      <c r="Z706" s="2046"/>
      <c r="AA706" s="2046"/>
      <c r="AB706" s="2046"/>
      <c r="AC706" s="2046"/>
    </row>
    <row r="707" spans="1:29">
      <c r="A707" s="2046"/>
      <c r="B707" s="2046"/>
      <c r="C707" s="2046"/>
      <c r="D707" s="2046"/>
      <c r="E707" s="2046"/>
      <c r="F707" s="2046"/>
      <c r="G707" s="2046"/>
      <c r="H707" s="2046"/>
      <c r="I707" s="2046"/>
      <c r="J707" s="2046"/>
      <c r="K707" s="2047"/>
      <c r="L707" s="2048"/>
      <c r="M707" s="2046"/>
      <c r="N707" s="2046"/>
      <c r="O707" s="2046"/>
      <c r="P707" s="2086"/>
      <c r="Q707" s="2046"/>
      <c r="R707" s="2046"/>
      <c r="S707" s="2046"/>
      <c r="T707" s="2046"/>
      <c r="U707" s="2046"/>
      <c r="V707" s="2046"/>
      <c r="W707" s="2046"/>
      <c r="X707" s="2046"/>
      <c r="Y707" s="2046"/>
      <c r="Z707" s="2046"/>
      <c r="AA707" s="2046"/>
      <c r="AB707" s="2046"/>
      <c r="AC707" s="2046"/>
    </row>
    <row r="708" spans="1:29">
      <c r="A708" s="2046"/>
      <c r="B708" s="2046"/>
      <c r="C708" s="2046"/>
      <c r="D708" s="2046"/>
      <c r="E708" s="2046"/>
      <c r="F708" s="2046"/>
      <c r="G708" s="2046"/>
      <c r="H708" s="2046"/>
      <c r="I708" s="2046"/>
      <c r="J708" s="2046"/>
      <c r="K708" s="2047"/>
      <c r="L708" s="2048"/>
      <c r="M708" s="2046"/>
      <c r="N708" s="2046"/>
      <c r="O708" s="2046"/>
      <c r="P708" s="2086"/>
      <c r="Q708" s="2046"/>
      <c r="R708" s="2046"/>
      <c r="S708" s="2046"/>
      <c r="T708" s="2046"/>
      <c r="U708" s="2046"/>
      <c r="V708" s="2046"/>
      <c r="W708" s="2046"/>
      <c r="X708" s="2046"/>
      <c r="Y708" s="2046"/>
      <c r="Z708" s="2046"/>
      <c r="AA708" s="2046"/>
      <c r="AB708" s="2046"/>
      <c r="AC708" s="2046"/>
    </row>
    <row r="709" spans="1:29">
      <c r="A709" s="2046"/>
      <c r="B709" s="2046"/>
      <c r="C709" s="2046"/>
      <c r="D709" s="2046"/>
      <c r="E709" s="2046"/>
      <c r="F709" s="2046"/>
      <c r="G709" s="2046"/>
      <c r="H709" s="2046"/>
      <c r="I709" s="2046"/>
      <c r="J709" s="2046"/>
      <c r="K709" s="2047"/>
      <c r="L709" s="2048"/>
      <c r="M709" s="2046"/>
      <c r="N709" s="2046"/>
      <c r="O709" s="2046"/>
      <c r="P709" s="2086"/>
      <c r="Q709" s="2046"/>
      <c r="R709" s="2046"/>
      <c r="S709" s="2046"/>
      <c r="T709" s="2046"/>
      <c r="U709" s="2046"/>
      <c r="V709" s="2046"/>
      <c r="W709" s="2046"/>
      <c r="X709" s="2046"/>
      <c r="Y709" s="2046"/>
      <c r="Z709" s="2046"/>
      <c r="AA709" s="2046"/>
      <c r="AB709" s="2046"/>
      <c r="AC709" s="2046"/>
    </row>
    <row r="710" spans="1:29">
      <c r="A710" s="2046"/>
      <c r="B710" s="2046"/>
      <c r="C710" s="2046"/>
      <c r="D710" s="2046"/>
      <c r="E710" s="2046"/>
      <c r="F710" s="2046"/>
      <c r="G710" s="2046"/>
      <c r="H710" s="2046"/>
      <c r="I710" s="2046"/>
      <c r="J710" s="2046"/>
      <c r="K710" s="2047"/>
      <c r="L710" s="2048"/>
      <c r="M710" s="2046"/>
      <c r="N710" s="2046"/>
      <c r="O710" s="2046"/>
      <c r="P710" s="2086"/>
      <c r="Q710" s="2046"/>
      <c r="R710" s="2046"/>
      <c r="S710" s="2046"/>
      <c r="T710" s="2046"/>
      <c r="U710" s="2046"/>
      <c r="V710" s="2046"/>
      <c r="W710" s="2046"/>
      <c r="X710" s="2046"/>
      <c r="Y710" s="2046"/>
      <c r="Z710" s="2046"/>
      <c r="AA710" s="2046"/>
      <c r="AB710" s="2046"/>
      <c r="AC710" s="2046"/>
    </row>
    <row r="711" spans="1:29">
      <c r="A711" s="2046"/>
      <c r="B711" s="2046"/>
      <c r="C711" s="2046"/>
      <c r="D711" s="2046"/>
      <c r="E711" s="2046"/>
      <c r="F711" s="2046"/>
      <c r="G711" s="2046"/>
      <c r="H711" s="2046"/>
      <c r="I711" s="2046"/>
      <c r="J711" s="2046"/>
      <c r="K711" s="2047"/>
      <c r="L711" s="2048"/>
      <c r="M711" s="2046"/>
      <c r="N711" s="2046"/>
      <c r="O711" s="2046"/>
      <c r="P711" s="2086"/>
      <c r="Q711" s="2046"/>
      <c r="R711" s="2046"/>
      <c r="S711" s="2046"/>
      <c r="T711" s="2046"/>
      <c r="U711" s="2046"/>
      <c r="V711" s="2046"/>
      <c r="W711" s="2046"/>
      <c r="X711" s="2046"/>
      <c r="Y711" s="2046"/>
      <c r="Z711" s="2046"/>
      <c r="AA711" s="2046"/>
      <c r="AB711" s="2046"/>
      <c r="AC711" s="2046"/>
    </row>
    <row r="712" spans="1:29">
      <c r="A712" s="2046"/>
      <c r="B712" s="2046"/>
      <c r="C712" s="2046"/>
      <c r="D712" s="2046"/>
      <c r="E712" s="2046"/>
      <c r="F712" s="2046"/>
      <c r="G712" s="2046"/>
      <c r="H712" s="2046"/>
      <c r="I712" s="2046"/>
      <c r="J712" s="2046"/>
      <c r="K712" s="2047"/>
      <c r="L712" s="2048"/>
      <c r="M712" s="2046"/>
      <c r="N712" s="2046"/>
      <c r="O712" s="2046"/>
      <c r="P712" s="2086"/>
      <c r="Q712" s="2046"/>
      <c r="R712" s="2046"/>
      <c r="S712" s="2046"/>
      <c r="T712" s="2046"/>
      <c r="U712" s="2046"/>
      <c r="V712" s="2046"/>
      <c r="W712" s="2046"/>
      <c r="X712" s="2046"/>
      <c r="Y712" s="2046"/>
      <c r="Z712" s="2046"/>
      <c r="AA712" s="2046"/>
      <c r="AB712" s="2046"/>
      <c r="AC712" s="2046"/>
    </row>
    <row r="713" spans="1:29">
      <c r="A713" s="2046"/>
      <c r="B713" s="2046"/>
      <c r="C713" s="2046"/>
      <c r="D713" s="2046"/>
      <c r="E713" s="2046"/>
      <c r="F713" s="2046"/>
      <c r="G713" s="2046"/>
      <c r="H713" s="2046"/>
      <c r="I713" s="2046"/>
      <c r="J713" s="2046"/>
      <c r="K713" s="2047"/>
      <c r="L713" s="2048"/>
      <c r="M713" s="2046"/>
      <c r="N713" s="2046"/>
      <c r="O713" s="2046"/>
      <c r="P713" s="2086"/>
      <c r="Q713" s="2046"/>
      <c r="R713" s="2046"/>
      <c r="S713" s="2046"/>
      <c r="T713" s="2046"/>
      <c r="U713" s="2046"/>
      <c r="V713" s="2046"/>
      <c r="W713" s="2046"/>
      <c r="X713" s="2046"/>
      <c r="Y713" s="2046"/>
      <c r="Z713" s="2046"/>
      <c r="AA713" s="2046"/>
      <c r="AB713" s="2046"/>
      <c r="AC713" s="2046"/>
    </row>
    <row r="714" spans="1:29">
      <c r="A714" s="2046"/>
      <c r="B714" s="2046"/>
      <c r="C714" s="2046"/>
      <c r="D714" s="2046"/>
      <c r="E714" s="2046"/>
      <c r="F714" s="2046"/>
      <c r="G714" s="2046"/>
      <c r="H714" s="2046"/>
      <c r="I714" s="2046"/>
      <c r="J714" s="2046"/>
      <c r="K714" s="2047"/>
      <c r="L714" s="2048"/>
      <c r="M714" s="2046"/>
      <c r="N714" s="2046"/>
      <c r="O714" s="2046"/>
      <c r="P714" s="2086"/>
      <c r="Q714" s="2046"/>
      <c r="R714" s="2046"/>
      <c r="S714" s="2046"/>
      <c r="T714" s="2046"/>
      <c r="U714" s="2046"/>
      <c r="V714" s="2046"/>
      <c r="W714" s="2046"/>
      <c r="X714" s="2046"/>
      <c r="Y714" s="2046"/>
      <c r="Z714" s="2046"/>
      <c r="AA714" s="2046"/>
      <c r="AB714" s="2046"/>
      <c r="AC714" s="2046"/>
    </row>
    <row r="715" spans="1:29">
      <c r="A715" s="2046"/>
      <c r="B715" s="2046"/>
      <c r="C715" s="2046"/>
      <c r="D715" s="2046"/>
      <c r="E715" s="2046"/>
      <c r="F715" s="2046"/>
      <c r="G715" s="2046"/>
      <c r="H715" s="2046"/>
      <c r="I715" s="2046"/>
      <c r="J715" s="2046"/>
      <c r="K715" s="2047"/>
      <c r="L715" s="2048"/>
      <c r="M715" s="2046"/>
      <c r="N715" s="2046"/>
      <c r="O715" s="2046"/>
      <c r="P715" s="2086"/>
      <c r="Q715" s="2046"/>
      <c r="R715" s="2046"/>
      <c r="S715" s="2046"/>
      <c r="T715" s="2046"/>
      <c r="U715" s="2046"/>
      <c r="V715" s="2046"/>
      <c r="W715" s="2046"/>
      <c r="X715" s="2046"/>
      <c r="Y715" s="2046"/>
      <c r="Z715" s="2046"/>
      <c r="AA715" s="2046"/>
      <c r="AB715" s="2046"/>
      <c r="AC715" s="2046"/>
    </row>
    <row r="716" spans="1:29">
      <c r="A716" s="2046"/>
      <c r="B716" s="2046"/>
      <c r="C716" s="2046"/>
      <c r="D716" s="2046"/>
      <c r="E716" s="2046"/>
      <c r="F716" s="2046"/>
      <c r="G716" s="2046"/>
      <c r="H716" s="2046"/>
      <c r="I716" s="2046"/>
      <c r="J716" s="2046"/>
      <c r="K716" s="2047"/>
      <c r="L716" s="2048"/>
      <c r="M716" s="2046"/>
      <c r="N716" s="2046"/>
      <c r="O716" s="2046"/>
      <c r="P716" s="2086"/>
      <c r="Q716" s="2046"/>
      <c r="R716" s="2046"/>
      <c r="S716" s="2046"/>
      <c r="T716" s="2046"/>
      <c r="U716" s="2046"/>
      <c r="V716" s="2046"/>
      <c r="W716" s="2046"/>
      <c r="X716" s="2046"/>
      <c r="Y716" s="2046"/>
      <c r="Z716" s="2046"/>
      <c r="AA716" s="2046"/>
      <c r="AB716" s="2046"/>
      <c r="AC716" s="2046"/>
    </row>
    <row r="717" spans="1:29">
      <c r="A717" s="2046"/>
      <c r="B717" s="2046"/>
      <c r="C717" s="2046"/>
      <c r="D717" s="2046"/>
      <c r="E717" s="2046"/>
      <c r="F717" s="2046"/>
      <c r="G717" s="2046"/>
      <c r="H717" s="2046"/>
      <c r="I717" s="2046"/>
      <c r="J717" s="2046"/>
      <c r="K717" s="2047"/>
      <c r="L717" s="2048"/>
      <c r="M717" s="2046"/>
      <c r="N717" s="2046"/>
      <c r="O717" s="2046"/>
      <c r="P717" s="2086"/>
      <c r="Q717" s="2046"/>
      <c r="R717" s="2046"/>
      <c r="S717" s="2046"/>
      <c r="T717" s="2046"/>
      <c r="U717" s="2046"/>
      <c r="V717" s="2046"/>
      <c r="W717" s="2046"/>
      <c r="X717" s="2046"/>
      <c r="Y717" s="2046"/>
      <c r="Z717" s="2046"/>
      <c r="AA717" s="2046"/>
      <c r="AB717" s="2046"/>
      <c r="AC717" s="2046"/>
    </row>
    <row r="718" spans="1:29">
      <c r="A718" s="2046"/>
      <c r="B718" s="2046"/>
      <c r="C718" s="2046"/>
      <c r="D718" s="2046"/>
      <c r="E718" s="2046"/>
      <c r="F718" s="2046"/>
      <c r="G718" s="2046"/>
      <c r="H718" s="2046"/>
      <c r="I718" s="2046"/>
      <c r="J718" s="2046"/>
      <c r="K718" s="2047"/>
      <c r="L718" s="2048"/>
      <c r="M718" s="2046"/>
      <c r="N718" s="2046"/>
      <c r="O718" s="2046"/>
      <c r="P718" s="2086"/>
      <c r="Q718" s="2046"/>
      <c r="R718" s="2046"/>
      <c r="S718" s="2046"/>
      <c r="T718" s="2046"/>
      <c r="U718" s="2046"/>
      <c r="V718" s="2046"/>
      <c r="W718" s="2046"/>
      <c r="X718" s="2046"/>
      <c r="Y718" s="2046"/>
      <c r="Z718" s="2046"/>
      <c r="AA718" s="2046"/>
      <c r="AB718" s="2046"/>
      <c r="AC718" s="2046"/>
    </row>
    <row r="719" spans="1:29">
      <c r="A719" s="2046"/>
      <c r="B719" s="2046"/>
      <c r="C719" s="2046"/>
      <c r="D719" s="2046"/>
      <c r="E719" s="2046"/>
      <c r="F719" s="2046"/>
      <c r="G719" s="2046"/>
      <c r="H719" s="2046"/>
      <c r="I719" s="2046"/>
      <c r="J719" s="2046"/>
      <c r="K719" s="2047"/>
      <c r="L719" s="2048"/>
      <c r="M719" s="2046"/>
      <c r="N719" s="2046"/>
      <c r="O719" s="2046"/>
      <c r="P719" s="2086"/>
      <c r="Q719" s="2046"/>
      <c r="R719" s="2046"/>
      <c r="S719" s="2046"/>
      <c r="T719" s="2046"/>
      <c r="U719" s="2046"/>
      <c r="V719" s="2046"/>
      <c r="W719" s="2046"/>
      <c r="X719" s="2046"/>
      <c r="Y719" s="2046"/>
      <c r="Z719" s="2046"/>
      <c r="AA719" s="2046"/>
      <c r="AB719" s="2046"/>
      <c r="AC719" s="2046"/>
    </row>
    <row r="720" spans="1:29">
      <c r="A720" s="2046"/>
      <c r="B720" s="2046"/>
      <c r="C720" s="2046"/>
      <c r="D720" s="2046"/>
      <c r="E720" s="2046"/>
      <c r="F720" s="2046"/>
      <c r="G720" s="2046"/>
      <c r="H720" s="2046"/>
      <c r="I720" s="2046"/>
      <c r="J720" s="2046"/>
      <c r="K720" s="2047"/>
      <c r="L720" s="2048"/>
      <c r="M720" s="2046"/>
      <c r="N720" s="2046"/>
      <c r="O720" s="2046"/>
      <c r="P720" s="2086"/>
      <c r="Q720" s="2046"/>
      <c r="R720" s="2046"/>
      <c r="S720" s="2046"/>
      <c r="T720" s="2046"/>
      <c r="U720" s="2046"/>
      <c r="V720" s="2046"/>
      <c r="W720" s="2046"/>
      <c r="X720" s="2046"/>
      <c r="Y720" s="2046"/>
      <c r="Z720" s="2046"/>
      <c r="AA720" s="2046"/>
      <c r="AB720" s="2046"/>
      <c r="AC720" s="2046"/>
    </row>
    <row r="721" spans="1:29">
      <c r="A721" s="2046"/>
      <c r="B721" s="2046"/>
      <c r="C721" s="2046"/>
      <c r="D721" s="2046"/>
      <c r="E721" s="2046"/>
      <c r="F721" s="2046"/>
      <c r="G721" s="2046"/>
      <c r="H721" s="2046"/>
      <c r="I721" s="2046"/>
      <c r="J721" s="2046"/>
      <c r="K721" s="2047"/>
      <c r="L721" s="2048"/>
      <c r="M721" s="2046"/>
      <c r="N721" s="2046"/>
      <c r="O721" s="2046"/>
      <c r="P721" s="2086"/>
      <c r="Q721" s="2046"/>
      <c r="R721" s="2046"/>
      <c r="S721" s="2046"/>
      <c r="T721" s="2046"/>
      <c r="U721" s="2046"/>
      <c r="V721" s="2046"/>
      <c r="W721" s="2046"/>
      <c r="X721" s="2046"/>
      <c r="Y721" s="2046"/>
      <c r="Z721" s="2046"/>
      <c r="AA721" s="2046"/>
      <c r="AB721" s="2046"/>
      <c r="AC721" s="2046"/>
    </row>
    <row r="722" spans="1:29">
      <c r="A722" s="2046"/>
      <c r="B722" s="2046"/>
      <c r="C722" s="2046"/>
      <c r="D722" s="2046"/>
      <c r="E722" s="2046"/>
      <c r="F722" s="2046"/>
      <c r="G722" s="2046"/>
      <c r="H722" s="2046"/>
      <c r="I722" s="2046"/>
      <c r="J722" s="2046"/>
      <c r="K722" s="2047"/>
      <c r="L722" s="2048"/>
      <c r="M722" s="2046"/>
      <c r="N722" s="2046"/>
      <c r="O722" s="2046"/>
      <c r="P722" s="2086"/>
      <c r="Q722" s="2046"/>
      <c r="R722" s="2046"/>
      <c r="S722" s="2046"/>
      <c r="T722" s="2046"/>
      <c r="U722" s="2046"/>
      <c r="V722" s="2046"/>
      <c r="W722" s="2046"/>
      <c r="X722" s="2046"/>
      <c r="Y722" s="2046"/>
      <c r="Z722" s="2046"/>
      <c r="AA722" s="2046"/>
      <c r="AB722" s="2046"/>
      <c r="AC722" s="2046"/>
    </row>
    <row r="723" spans="1:29">
      <c r="A723" s="2046"/>
      <c r="B723" s="2046"/>
      <c r="C723" s="2046"/>
      <c r="D723" s="2046"/>
      <c r="E723" s="2046"/>
      <c r="F723" s="2046"/>
      <c r="G723" s="2046"/>
      <c r="H723" s="2046"/>
      <c r="I723" s="2046"/>
      <c r="J723" s="2046"/>
      <c r="K723" s="2047"/>
      <c r="L723" s="2048"/>
      <c r="M723" s="2046"/>
      <c r="N723" s="2046"/>
      <c r="O723" s="2046"/>
      <c r="P723" s="2086"/>
      <c r="Q723" s="2046"/>
      <c r="R723" s="2046"/>
      <c r="S723" s="2046"/>
      <c r="T723" s="2046"/>
      <c r="U723" s="2046"/>
      <c r="V723" s="2046"/>
      <c r="W723" s="2046"/>
      <c r="X723" s="2046"/>
      <c r="Y723" s="2046"/>
      <c r="Z723" s="2046"/>
      <c r="AA723" s="2046"/>
      <c r="AB723" s="2046"/>
      <c r="AC723" s="2046"/>
    </row>
    <row r="724" spans="1:29">
      <c r="A724" s="2046"/>
      <c r="B724" s="2046"/>
      <c r="C724" s="2046"/>
      <c r="D724" s="2046"/>
      <c r="E724" s="2046"/>
      <c r="F724" s="2046"/>
      <c r="G724" s="2046"/>
      <c r="H724" s="2046"/>
      <c r="I724" s="2046"/>
      <c r="J724" s="2046"/>
      <c r="K724" s="2047"/>
      <c r="L724" s="2048"/>
      <c r="M724" s="2046"/>
      <c r="N724" s="2046"/>
      <c r="O724" s="2046"/>
      <c r="P724" s="2086"/>
      <c r="Q724" s="2046"/>
      <c r="R724" s="2046"/>
      <c r="S724" s="2046"/>
      <c r="T724" s="2046"/>
      <c r="U724" s="2046"/>
      <c r="V724" s="2046"/>
      <c r="W724" s="2046"/>
      <c r="X724" s="2046"/>
      <c r="Y724" s="2046"/>
      <c r="Z724" s="2046"/>
      <c r="AA724" s="2046"/>
      <c r="AB724" s="2046"/>
      <c r="AC724" s="2046"/>
    </row>
    <row r="725" spans="1:29">
      <c r="A725" s="2046"/>
      <c r="B725" s="2046"/>
      <c r="C725" s="2046"/>
      <c r="D725" s="2046"/>
      <c r="E725" s="2046"/>
      <c r="F725" s="2046"/>
      <c r="G725" s="2046"/>
      <c r="H725" s="2046"/>
      <c r="I725" s="2046"/>
      <c r="J725" s="2046"/>
      <c r="K725" s="2047"/>
      <c r="L725" s="2048"/>
      <c r="M725" s="2046"/>
      <c r="N725" s="2046"/>
      <c r="O725" s="2046"/>
      <c r="P725" s="2086"/>
      <c r="Q725" s="2046"/>
      <c r="R725" s="2046"/>
      <c r="S725" s="2046"/>
      <c r="T725" s="2046"/>
      <c r="U725" s="2046"/>
      <c r="V725" s="2046"/>
      <c r="W725" s="2046"/>
      <c r="X725" s="2046"/>
      <c r="Y725" s="2046"/>
      <c r="Z725" s="2046"/>
      <c r="AA725" s="2046"/>
      <c r="AB725" s="2046"/>
      <c r="AC725" s="2046"/>
    </row>
    <row r="726" spans="1:29">
      <c r="A726" s="2046"/>
      <c r="B726" s="2046"/>
      <c r="C726" s="2046"/>
      <c r="D726" s="2046"/>
      <c r="E726" s="2046"/>
      <c r="F726" s="2046"/>
      <c r="G726" s="2046"/>
      <c r="H726" s="2046"/>
      <c r="I726" s="2046"/>
      <c r="J726" s="2046"/>
      <c r="K726" s="2047"/>
      <c r="L726" s="2048"/>
      <c r="M726" s="2046"/>
      <c r="N726" s="2046"/>
      <c r="O726" s="2046"/>
      <c r="P726" s="2086"/>
      <c r="Q726" s="2046"/>
      <c r="R726" s="2046"/>
      <c r="S726" s="2046"/>
      <c r="T726" s="2046"/>
      <c r="U726" s="2046"/>
      <c r="V726" s="2046"/>
      <c r="W726" s="2046"/>
      <c r="X726" s="2046"/>
      <c r="Y726" s="2046"/>
      <c r="Z726" s="2046"/>
      <c r="AA726" s="2046"/>
      <c r="AB726" s="2046"/>
      <c r="AC726" s="2046"/>
    </row>
    <row r="727" spans="1:29">
      <c r="A727" s="2046"/>
      <c r="B727" s="2046"/>
      <c r="C727" s="2046"/>
      <c r="D727" s="2046"/>
      <c r="E727" s="2046"/>
      <c r="F727" s="2046"/>
      <c r="G727" s="2046"/>
      <c r="H727" s="2046"/>
      <c r="I727" s="2046"/>
      <c r="J727" s="2046"/>
      <c r="K727" s="2047"/>
      <c r="L727" s="2048"/>
      <c r="M727" s="2046"/>
      <c r="N727" s="2046"/>
      <c r="O727" s="2046"/>
      <c r="P727" s="2086"/>
      <c r="Q727" s="2046"/>
      <c r="R727" s="2046"/>
      <c r="S727" s="2046"/>
      <c r="T727" s="2046"/>
      <c r="U727" s="2046"/>
      <c r="V727" s="2046"/>
      <c r="W727" s="2046"/>
      <c r="X727" s="2046"/>
      <c r="Y727" s="2046"/>
      <c r="Z727" s="2046"/>
      <c r="AA727" s="2046"/>
      <c r="AB727" s="2046"/>
      <c r="AC727" s="2046"/>
    </row>
    <row r="728" spans="1:29">
      <c r="A728" s="2046"/>
      <c r="B728" s="2046"/>
      <c r="C728" s="2046"/>
      <c r="D728" s="2046"/>
      <c r="E728" s="2046"/>
      <c r="F728" s="2046"/>
      <c r="G728" s="2046"/>
      <c r="H728" s="2046"/>
      <c r="I728" s="2046"/>
      <c r="J728" s="2046"/>
      <c r="K728" s="2047"/>
      <c r="L728" s="2048"/>
      <c r="M728" s="2046"/>
      <c r="N728" s="2046"/>
      <c r="O728" s="2046"/>
      <c r="P728" s="2086"/>
      <c r="Q728" s="2046"/>
      <c r="R728" s="2046"/>
      <c r="S728" s="2046"/>
      <c r="T728" s="2046"/>
      <c r="U728" s="2046"/>
      <c r="V728" s="2046"/>
      <c r="W728" s="2046"/>
      <c r="X728" s="2046"/>
      <c r="Y728" s="2046"/>
      <c r="Z728" s="2046"/>
      <c r="AA728" s="2046"/>
      <c r="AB728" s="2046"/>
      <c r="AC728" s="2046"/>
    </row>
    <row r="729" spans="1:29">
      <c r="A729" s="2046"/>
      <c r="B729" s="2046"/>
      <c r="C729" s="2046"/>
      <c r="D729" s="2046"/>
      <c r="E729" s="2046"/>
      <c r="F729" s="2046"/>
      <c r="G729" s="2046"/>
      <c r="H729" s="2046"/>
      <c r="I729" s="2046"/>
      <c r="J729" s="2046"/>
      <c r="K729" s="2047"/>
      <c r="L729" s="2048"/>
      <c r="M729" s="2046"/>
      <c r="N729" s="2046"/>
      <c r="O729" s="2046"/>
      <c r="P729" s="2086"/>
      <c r="Q729" s="2046"/>
      <c r="R729" s="2046"/>
      <c r="S729" s="2046"/>
      <c r="T729" s="2046"/>
      <c r="U729" s="2046"/>
      <c r="V729" s="2046"/>
      <c r="W729" s="2046"/>
      <c r="X729" s="2046"/>
      <c r="Y729" s="2046"/>
      <c r="Z729" s="2046"/>
      <c r="AA729" s="2046"/>
      <c r="AB729" s="2046"/>
      <c r="AC729" s="2046"/>
    </row>
    <row r="730" spans="1:29">
      <c r="A730" s="2046"/>
      <c r="B730" s="2046"/>
      <c r="C730" s="2046"/>
      <c r="D730" s="2046"/>
      <c r="E730" s="2046"/>
      <c r="F730" s="2046"/>
      <c r="G730" s="2046"/>
      <c r="H730" s="2046"/>
      <c r="I730" s="2046"/>
      <c r="J730" s="2046"/>
      <c r="K730" s="2047"/>
      <c r="L730" s="2048"/>
      <c r="M730" s="2046"/>
      <c r="N730" s="2046"/>
      <c r="O730" s="2046"/>
      <c r="P730" s="2086"/>
      <c r="Q730" s="2046"/>
      <c r="R730" s="2046"/>
      <c r="S730" s="2046"/>
      <c r="T730" s="2046"/>
      <c r="U730" s="2046"/>
      <c r="V730" s="2046"/>
      <c r="W730" s="2046"/>
      <c r="X730" s="2046"/>
      <c r="Y730" s="2046"/>
      <c r="Z730" s="2046"/>
      <c r="AA730" s="2046"/>
      <c r="AB730" s="2046"/>
      <c r="AC730" s="2046"/>
    </row>
    <row r="731" spans="1:29">
      <c r="A731" s="2046"/>
      <c r="B731" s="2046"/>
      <c r="C731" s="2046"/>
      <c r="D731" s="2046"/>
      <c r="E731" s="2046"/>
      <c r="F731" s="2046"/>
      <c r="G731" s="2046"/>
      <c r="H731" s="2046"/>
      <c r="I731" s="2046"/>
      <c r="J731" s="2046"/>
      <c r="K731" s="2047"/>
      <c r="L731" s="2048"/>
      <c r="M731" s="2046"/>
      <c r="N731" s="2046"/>
      <c r="O731" s="2046"/>
      <c r="P731" s="2086"/>
      <c r="Q731" s="2046"/>
      <c r="R731" s="2046"/>
      <c r="S731" s="2046"/>
      <c r="T731" s="2046"/>
      <c r="U731" s="2046"/>
      <c r="V731" s="2046"/>
      <c r="W731" s="2046"/>
      <c r="X731" s="2046"/>
      <c r="Y731" s="2046"/>
      <c r="Z731" s="2046"/>
      <c r="AA731" s="2046"/>
      <c r="AB731" s="2046"/>
      <c r="AC731" s="2046"/>
    </row>
    <row r="732" spans="1:29">
      <c r="A732" s="2046"/>
      <c r="B732" s="2046"/>
      <c r="C732" s="2046"/>
      <c r="D732" s="2046"/>
      <c r="E732" s="2046"/>
      <c r="F732" s="2046"/>
      <c r="G732" s="2046"/>
      <c r="H732" s="2046"/>
      <c r="I732" s="2046"/>
      <c r="J732" s="2046"/>
      <c r="K732" s="2047"/>
      <c r="L732" s="2048"/>
      <c r="M732" s="2046"/>
      <c r="N732" s="2046"/>
      <c r="O732" s="2046"/>
      <c r="P732" s="2086"/>
      <c r="Q732" s="2046"/>
      <c r="R732" s="2046"/>
      <c r="S732" s="2046"/>
      <c r="T732" s="2046"/>
      <c r="U732" s="2046"/>
      <c r="V732" s="2046"/>
      <c r="W732" s="2046"/>
      <c r="X732" s="2046"/>
      <c r="Y732" s="2046"/>
      <c r="Z732" s="2046"/>
      <c r="AA732" s="2046"/>
      <c r="AB732" s="2046"/>
      <c r="AC732" s="2046"/>
    </row>
    <row r="733" spans="1:29">
      <c r="A733" s="2046"/>
      <c r="B733" s="2046"/>
      <c r="C733" s="2046"/>
      <c r="D733" s="2046"/>
      <c r="E733" s="2046"/>
      <c r="F733" s="2046"/>
      <c r="G733" s="2046"/>
      <c r="H733" s="2046"/>
      <c r="I733" s="2046"/>
      <c r="J733" s="2046"/>
      <c r="K733" s="2047"/>
      <c r="L733" s="2048"/>
      <c r="M733" s="2046"/>
      <c r="N733" s="2046"/>
      <c r="O733" s="2046"/>
      <c r="P733" s="2086"/>
      <c r="Q733" s="2046"/>
      <c r="R733" s="2046"/>
      <c r="S733" s="2046"/>
      <c r="T733" s="2046"/>
      <c r="U733" s="2046"/>
      <c r="V733" s="2046"/>
      <c r="W733" s="2046"/>
      <c r="X733" s="2046"/>
      <c r="Y733" s="2046"/>
      <c r="Z733" s="2046"/>
      <c r="AA733" s="2046"/>
      <c r="AB733" s="2046"/>
      <c r="AC733" s="2046"/>
    </row>
    <row r="734" spans="1:29">
      <c r="A734" s="2046"/>
      <c r="B734" s="2046"/>
      <c r="C734" s="2046"/>
      <c r="D734" s="2046"/>
      <c r="E734" s="2046"/>
      <c r="F734" s="2046"/>
      <c r="G734" s="2046"/>
      <c r="H734" s="2046"/>
      <c r="I734" s="2046"/>
      <c r="J734" s="2046"/>
      <c r="K734" s="2047"/>
      <c r="L734" s="2048"/>
      <c r="M734" s="2046"/>
      <c r="N734" s="2046"/>
      <c r="O734" s="2046"/>
      <c r="P734" s="2086"/>
      <c r="Q734" s="2046"/>
      <c r="R734" s="2046"/>
      <c r="S734" s="2046"/>
      <c r="T734" s="2046"/>
      <c r="U734" s="2046"/>
      <c r="V734" s="2046"/>
      <c r="W734" s="2046"/>
      <c r="X734" s="2046"/>
      <c r="Y734" s="2046"/>
      <c r="Z734" s="2046"/>
      <c r="AA734" s="2046"/>
      <c r="AB734" s="2046"/>
      <c r="AC734" s="2046"/>
    </row>
    <row r="735" spans="1:29">
      <c r="A735" s="2046"/>
      <c r="B735" s="2046"/>
      <c r="C735" s="2046"/>
      <c r="D735" s="2046"/>
      <c r="E735" s="2046"/>
      <c r="F735" s="2046"/>
      <c r="G735" s="2046"/>
      <c r="H735" s="2046"/>
      <c r="I735" s="2046"/>
      <c r="J735" s="2046"/>
      <c r="K735" s="2047"/>
      <c r="L735" s="2048"/>
      <c r="M735" s="2046"/>
      <c r="N735" s="2046"/>
      <c r="O735" s="2046"/>
      <c r="P735" s="2086"/>
      <c r="Q735" s="2046"/>
      <c r="R735" s="2046"/>
      <c r="S735" s="2046"/>
      <c r="T735" s="2046"/>
      <c r="U735" s="2046"/>
      <c r="V735" s="2046"/>
      <c r="W735" s="2046"/>
      <c r="X735" s="2046"/>
      <c r="Y735" s="2046"/>
      <c r="Z735" s="2046"/>
      <c r="AA735" s="2046"/>
      <c r="AB735" s="2046"/>
      <c r="AC735" s="2046"/>
    </row>
    <row r="736" spans="1:29">
      <c r="A736" s="2046"/>
      <c r="B736" s="2046"/>
      <c r="C736" s="2046"/>
      <c r="D736" s="2046"/>
      <c r="E736" s="2046"/>
      <c r="F736" s="2046"/>
      <c r="G736" s="2046"/>
      <c r="H736" s="2046"/>
      <c r="I736" s="2046"/>
      <c r="J736" s="2046"/>
      <c r="K736" s="2047"/>
      <c r="L736" s="2048"/>
      <c r="M736" s="2046"/>
      <c r="N736" s="2046"/>
      <c r="O736" s="2046"/>
      <c r="P736" s="2086"/>
      <c r="Q736" s="2046"/>
      <c r="R736" s="2046"/>
      <c r="S736" s="2046"/>
      <c r="T736" s="2046"/>
      <c r="U736" s="2046"/>
      <c r="V736" s="2046"/>
      <c r="W736" s="2046"/>
      <c r="X736" s="2046"/>
      <c r="Y736" s="2046"/>
      <c r="Z736" s="2046"/>
      <c r="AA736" s="2046"/>
      <c r="AB736" s="2046"/>
      <c r="AC736" s="2046"/>
    </row>
    <row r="737" spans="1:29">
      <c r="A737" s="2046"/>
      <c r="B737" s="2046"/>
      <c r="C737" s="2046"/>
      <c r="D737" s="2046"/>
      <c r="E737" s="2046"/>
      <c r="F737" s="2046"/>
      <c r="G737" s="2046"/>
      <c r="H737" s="2046"/>
      <c r="I737" s="2046"/>
      <c r="J737" s="2046"/>
      <c r="K737" s="2047"/>
      <c r="L737" s="2048"/>
      <c r="M737" s="2046"/>
      <c r="N737" s="2046"/>
      <c r="O737" s="2046"/>
      <c r="P737" s="2086"/>
      <c r="Q737" s="2046"/>
      <c r="R737" s="2046"/>
      <c r="S737" s="2046"/>
      <c r="T737" s="2046"/>
      <c r="U737" s="2046"/>
      <c r="V737" s="2046"/>
      <c r="W737" s="2046"/>
      <c r="X737" s="2046"/>
      <c r="Y737" s="2046"/>
      <c r="Z737" s="2046"/>
      <c r="AA737" s="2046"/>
      <c r="AB737" s="2046"/>
      <c r="AC737" s="2046"/>
    </row>
    <row r="738" spans="1:29">
      <c r="A738" s="2046"/>
      <c r="B738" s="2046"/>
      <c r="C738" s="2046"/>
      <c r="D738" s="2046"/>
      <c r="E738" s="2046"/>
      <c r="F738" s="2046"/>
      <c r="G738" s="2046"/>
      <c r="H738" s="2046"/>
      <c r="I738" s="2046"/>
      <c r="J738" s="2046"/>
      <c r="K738" s="2047"/>
      <c r="L738" s="2048"/>
      <c r="M738" s="2046"/>
      <c r="N738" s="2046"/>
      <c r="O738" s="2046"/>
      <c r="P738" s="2086"/>
      <c r="Q738" s="2046"/>
      <c r="R738" s="2046"/>
      <c r="S738" s="2046"/>
      <c r="T738" s="2046"/>
      <c r="U738" s="2046"/>
      <c r="V738" s="2046"/>
      <c r="W738" s="2046"/>
      <c r="X738" s="2046"/>
      <c r="Y738" s="2046"/>
      <c r="Z738" s="2046"/>
      <c r="AA738" s="2046"/>
      <c r="AB738" s="2046"/>
      <c r="AC738" s="2046"/>
    </row>
    <row r="739" spans="1:29">
      <c r="A739" s="2046"/>
      <c r="B739" s="2046"/>
      <c r="C739" s="2046"/>
      <c r="D739" s="2046"/>
      <c r="E739" s="2046"/>
      <c r="F739" s="2046"/>
      <c r="G739" s="2046"/>
      <c r="H739" s="2046"/>
      <c r="I739" s="2046"/>
      <c r="J739" s="2046"/>
      <c r="K739" s="2047"/>
      <c r="L739" s="2048"/>
      <c r="M739" s="2046"/>
      <c r="N739" s="2046"/>
      <c r="O739" s="2046"/>
      <c r="P739" s="2086"/>
      <c r="Q739" s="2046"/>
      <c r="R739" s="2046"/>
      <c r="S739" s="2046"/>
      <c r="T739" s="2046"/>
      <c r="U739" s="2046"/>
      <c r="V739" s="2046"/>
      <c r="W739" s="2046"/>
      <c r="X739" s="2046"/>
      <c r="Y739" s="2046"/>
      <c r="Z739" s="2046"/>
      <c r="AA739" s="2046"/>
      <c r="AB739" s="2046"/>
      <c r="AC739" s="2046"/>
    </row>
    <row r="740" spans="1:29">
      <c r="A740" s="2046"/>
      <c r="B740" s="2046"/>
      <c r="C740" s="2046"/>
      <c r="D740" s="2046"/>
      <c r="E740" s="2046"/>
      <c r="F740" s="2046"/>
      <c r="G740" s="2046"/>
      <c r="H740" s="2046"/>
      <c r="I740" s="2046"/>
      <c r="J740" s="2046"/>
      <c r="K740" s="2047"/>
      <c r="L740" s="2048"/>
      <c r="M740" s="2046"/>
      <c r="N740" s="2046"/>
      <c r="O740" s="2046"/>
      <c r="P740" s="2086"/>
      <c r="Q740" s="2046"/>
      <c r="R740" s="2046"/>
      <c r="S740" s="2046"/>
      <c r="T740" s="2046"/>
      <c r="U740" s="2046"/>
      <c r="V740" s="2046"/>
      <c r="W740" s="2046"/>
      <c r="X740" s="2046"/>
      <c r="Y740" s="2046"/>
      <c r="Z740" s="2046"/>
      <c r="AA740" s="2046"/>
      <c r="AB740" s="2046"/>
      <c r="AC740" s="2046"/>
    </row>
    <row r="741" spans="1:29">
      <c r="A741" s="2046"/>
      <c r="B741" s="2046"/>
      <c r="C741" s="2046"/>
      <c r="D741" s="2046"/>
      <c r="E741" s="2046"/>
      <c r="F741" s="2046"/>
      <c r="G741" s="2046"/>
      <c r="H741" s="2046"/>
      <c r="I741" s="2046"/>
      <c r="J741" s="2046"/>
      <c r="K741" s="2047"/>
      <c r="L741" s="2048"/>
      <c r="M741" s="2046"/>
      <c r="N741" s="2046"/>
      <c r="O741" s="2046"/>
      <c r="P741" s="2086"/>
      <c r="Q741" s="2046"/>
      <c r="R741" s="2046"/>
      <c r="S741" s="2046"/>
      <c r="T741" s="2046"/>
      <c r="U741" s="2046"/>
      <c r="V741" s="2046"/>
      <c r="W741" s="2046"/>
      <c r="X741" s="2046"/>
      <c r="Y741" s="2046"/>
      <c r="Z741" s="2046"/>
      <c r="AA741" s="2046"/>
      <c r="AB741" s="2046"/>
      <c r="AC741" s="2046"/>
    </row>
    <row r="742" spans="1:29">
      <c r="A742" s="2046"/>
      <c r="B742" s="2046"/>
      <c r="C742" s="2046"/>
      <c r="D742" s="2046"/>
      <c r="E742" s="2046"/>
      <c r="F742" s="2046"/>
      <c r="G742" s="2046"/>
      <c r="H742" s="2046"/>
      <c r="I742" s="2046"/>
      <c r="J742" s="2046"/>
      <c r="K742" s="2047"/>
      <c r="L742" s="2048"/>
      <c r="M742" s="2046"/>
      <c r="N742" s="2046"/>
      <c r="O742" s="2046"/>
      <c r="P742" s="2086"/>
      <c r="Q742" s="2046"/>
      <c r="R742" s="2046"/>
      <c r="S742" s="2046"/>
      <c r="T742" s="2046"/>
      <c r="U742" s="2046"/>
      <c r="V742" s="2046"/>
      <c r="W742" s="2046"/>
      <c r="X742" s="2046"/>
      <c r="Y742" s="2046"/>
      <c r="Z742" s="2046"/>
      <c r="AA742" s="2046"/>
      <c r="AB742" s="2046"/>
      <c r="AC742" s="2046"/>
    </row>
    <row r="743" spans="1:29">
      <c r="A743" s="2046"/>
      <c r="B743" s="2046"/>
      <c r="C743" s="2046"/>
      <c r="D743" s="2046"/>
      <c r="E743" s="2046"/>
      <c r="F743" s="2046"/>
      <c r="G743" s="2046"/>
      <c r="H743" s="2046"/>
      <c r="I743" s="2046"/>
      <c r="J743" s="2046"/>
      <c r="K743" s="2047"/>
      <c r="L743" s="2048"/>
      <c r="M743" s="2046"/>
      <c r="N743" s="2046"/>
      <c r="O743" s="2046"/>
      <c r="P743" s="2086"/>
      <c r="Q743" s="2046"/>
      <c r="R743" s="2046"/>
      <c r="S743" s="2046"/>
      <c r="T743" s="2046"/>
      <c r="U743" s="2046"/>
      <c r="V743" s="2046"/>
      <c r="W743" s="2046"/>
      <c r="X743" s="2046"/>
      <c r="Y743" s="2046"/>
      <c r="Z743" s="2046"/>
      <c r="AA743" s="2046"/>
      <c r="AB743" s="2046"/>
      <c r="AC743" s="2046"/>
    </row>
    <row r="744" spans="1:29">
      <c r="A744" s="2046"/>
      <c r="B744" s="2046"/>
      <c r="C744" s="2046"/>
      <c r="D744" s="2046"/>
      <c r="E744" s="2046"/>
      <c r="F744" s="2046"/>
      <c r="G744" s="2046"/>
      <c r="H744" s="2046"/>
      <c r="I744" s="2046"/>
      <c r="J744" s="2046"/>
      <c r="K744" s="2047"/>
      <c r="L744" s="2048"/>
      <c r="M744" s="2046"/>
      <c r="N744" s="2046"/>
      <c r="O744" s="2046"/>
      <c r="P744" s="2086"/>
      <c r="Q744" s="2046"/>
      <c r="R744" s="2046"/>
      <c r="S744" s="2046"/>
      <c r="T744" s="2046"/>
      <c r="U744" s="2046"/>
      <c r="V744" s="2046"/>
      <c r="W744" s="2046"/>
      <c r="X744" s="2046"/>
      <c r="Y744" s="2046"/>
      <c r="Z744" s="2046"/>
      <c r="AA744" s="2046"/>
      <c r="AB744" s="2046"/>
      <c r="AC744" s="2046"/>
    </row>
    <row r="745" spans="1:29">
      <c r="A745" s="2046"/>
      <c r="B745" s="2046"/>
      <c r="C745" s="2046"/>
      <c r="D745" s="2046"/>
      <c r="E745" s="2046"/>
      <c r="F745" s="2046"/>
      <c r="G745" s="2046"/>
      <c r="H745" s="2046"/>
      <c r="I745" s="2046"/>
      <c r="J745" s="2046"/>
      <c r="K745" s="2047"/>
      <c r="L745" s="2048"/>
      <c r="M745" s="2046"/>
      <c r="N745" s="2046"/>
      <c r="O745" s="2046"/>
      <c r="P745" s="2086"/>
      <c r="Q745" s="2046"/>
      <c r="R745" s="2046"/>
      <c r="S745" s="2046"/>
      <c r="T745" s="2046"/>
      <c r="U745" s="2046"/>
      <c r="V745" s="2046"/>
      <c r="W745" s="2046"/>
      <c r="X745" s="2046"/>
      <c r="Y745" s="2046"/>
      <c r="Z745" s="2046"/>
      <c r="AA745" s="2046"/>
      <c r="AB745" s="2046"/>
      <c r="AC745" s="2046"/>
    </row>
    <row r="746" spans="1:29">
      <c r="A746" s="2046"/>
      <c r="B746" s="2046"/>
      <c r="C746" s="2046"/>
      <c r="D746" s="2046"/>
      <c r="E746" s="2046"/>
      <c r="F746" s="2046"/>
      <c r="G746" s="2046"/>
      <c r="H746" s="2046"/>
      <c r="I746" s="2046"/>
      <c r="J746" s="2046"/>
      <c r="K746" s="2047"/>
      <c r="L746" s="2048"/>
      <c r="M746" s="2046"/>
      <c r="N746" s="2046"/>
      <c r="O746" s="2046"/>
      <c r="P746" s="2086"/>
      <c r="Q746" s="2046"/>
      <c r="R746" s="2046"/>
      <c r="S746" s="2046"/>
      <c r="T746" s="2046"/>
      <c r="U746" s="2046"/>
      <c r="V746" s="2046"/>
      <c r="W746" s="2046"/>
      <c r="X746" s="2046"/>
      <c r="Y746" s="2046"/>
      <c r="Z746" s="2046"/>
      <c r="AA746" s="2046"/>
      <c r="AB746" s="2046"/>
      <c r="AC746" s="2046"/>
    </row>
    <row r="747" spans="1:29">
      <c r="A747" s="2046"/>
      <c r="B747" s="2046"/>
      <c r="C747" s="2046"/>
      <c r="D747" s="2046"/>
      <c r="E747" s="2046"/>
      <c r="F747" s="2046"/>
      <c r="G747" s="2046"/>
      <c r="H747" s="2046"/>
      <c r="I747" s="2046"/>
      <c r="J747" s="2046"/>
      <c r="K747" s="2047"/>
      <c r="L747" s="2048"/>
      <c r="M747" s="2046"/>
      <c r="N747" s="2046"/>
      <c r="O747" s="2046"/>
      <c r="P747" s="2086"/>
      <c r="Q747" s="2046"/>
      <c r="R747" s="2046"/>
      <c r="S747" s="2046"/>
      <c r="T747" s="2046"/>
      <c r="U747" s="2046"/>
      <c r="V747" s="2046"/>
      <c r="W747" s="2046"/>
      <c r="X747" s="2046"/>
      <c r="Y747" s="2046"/>
      <c r="Z747" s="2046"/>
      <c r="AA747" s="2046"/>
      <c r="AB747" s="2046"/>
      <c r="AC747" s="2046"/>
    </row>
    <row r="748" spans="1:29">
      <c r="A748" s="2046"/>
      <c r="B748" s="2046"/>
      <c r="C748" s="2046"/>
      <c r="D748" s="2046"/>
      <c r="E748" s="2046"/>
      <c r="F748" s="2046"/>
      <c r="G748" s="2046"/>
      <c r="H748" s="2046"/>
      <c r="I748" s="2046"/>
      <c r="J748" s="2046"/>
      <c r="K748" s="2047"/>
      <c r="L748" s="2048"/>
      <c r="M748" s="2046"/>
      <c r="N748" s="2046"/>
      <c r="O748" s="2046"/>
      <c r="P748" s="2086"/>
      <c r="Q748" s="2046"/>
      <c r="R748" s="2046"/>
      <c r="S748" s="2046"/>
      <c r="T748" s="2046"/>
      <c r="U748" s="2046"/>
      <c r="V748" s="2046"/>
      <c r="W748" s="2046"/>
      <c r="X748" s="2046"/>
      <c r="Y748" s="2046"/>
      <c r="Z748" s="2046"/>
      <c r="AA748" s="2046"/>
      <c r="AB748" s="2046"/>
      <c r="AC748" s="2046"/>
    </row>
    <row r="749" spans="1:29">
      <c r="A749" s="2046"/>
      <c r="B749" s="2046"/>
      <c r="C749" s="2046"/>
      <c r="D749" s="2046"/>
      <c r="E749" s="2046"/>
      <c r="F749" s="2046"/>
      <c r="G749" s="2046"/>
      <c r="H749" s="2046"/>
      <c r="I749" s="2046"/>
      <c r="J749" s="2046"/>
      <c r="K749" s="2047"/>
      <c r="L749" s="2048"/>
      <c r="M749" s="2046"/>
      <c r="N749" s="2046"/>
      <c r="O749" s="2046"/>
      <c r="P749" s="2086"/>
      <c r="Q749" s="2046"/>
      <c r="R749" s="2046"/>
      <c r="S749" s="2046"/>
      <c r="T749" s="2046"/>
      <c r="U749" s="2046"/>
      <c r="V749" s="2046"/>
      <c r="W749" s="2046"/>
      <c r="X749" s="2046"/>
      <c r="Y749" s="2046"/>
      <c r="Z749" s="2046"/>
      <c r="AA749" s="2046"/>
      <c r="AB749" s="2046"/>
      <c r="AC749" s="2046"/>
    </row>
    <row r="750" spans="1:29">
      <c r="A750" s="2046"/>
      <c r="B750" s="2046"/>
      <c r="C750" s="2046"/>
      <c r="D750" s="2046"/>
      <c r="E750" s="2046"/>
      <c r="F750" s="2046"/>
      <c r="G750" s="2046"/>
      <c r="H750" s="2046"/>
      <c r="I750" s="2046"/>
      <c r="J750" s="2046"/>
      <c r="K750" s="2047"/>
      <c r="L750" s="2048"/>
      <c r="M750" s="2046"/>
      <c r="N750" s="2046"/>
      <c r="O750" s="2046"/>
      <c r="P750" s="2086"/>
      <c r="Q750" s="2046"/>
      <c r="R750" s="2046"/>
      <c r="S750" s="2046"/>
      <c r="T750" s="2046"/>
      <c r="U750" s="2046"/>
      <c r="V750" s="2046"/>
      <c r="W750" s="2046"/>
      <c r="X750" s="2046"/>
      <c r="Y750" s="2046"/>
      <c r="Z750" s="2046"/>
      <c r="AA750" s="2046"/>
      <c r="AB750" s="2046"/>
      <c r="AC750" s="2046"/>
    </row>
    <row r="751" spans="1:29">
      <c r="A751" s="2046"/>
      <c r="B751" s="2046"/>
      <c r="C751" s="2046"/>
      <c r="D751" s="2046"/>
      <c r="E751" s="2046"/>
      <c r="F751" s="2046"/>
      <c r="G751" s="2046"/>
      <c r="H751" s="2046"/>
      <c r="I751" s="2046"/>
      <c r="J751" s="2046"/>
      <c r="K751" s="2047"/>
      <c r="L751" s="2048"/>
      <c r="M751" s="2046"/>
      <c r="N751" s="2046"/>
      <c r="O751" s="2046"/>
      <c r="P751" s="2086"/>
      <c r="Q751" s="2046"/>
      <c r="R751" s="2046"/>
      <c r="S751" s="2046"/>
      <c r="T751" s="2046"/>
      <c r="U751" s="2046"/>
      <c r="V751" s="2046"/>
      <c r="W751" s="2046"/>
      <c r="X751" s="2046"/>
      <c r="Y751" s="2046"/>
      <c r="Z751" s="2046"/>
      <c r="AA751" s="2046"/>
      <c r="AB751" s="2046"/>
      <c r="AC751" s="2046"/>
    </row>
    <row r="752" spans="1:29">
      <c r="A752" s="2046"/>
      <c r="B752" s="2046"/>
      <c r="C752" s="2046"/>
      <c r="D752" s="2046"/>
      <c r="E752" s="2046"/>
      <c r="F752" s="2046"/>
      <c r="G752" s="2046"/>
      <c r="H752" s="2046"/>
      <c r="I752" s="2046"/>
      <c r="J752" s="2046"/>
      <c r="K752" s="2047"/>
      <c r="L752" s="2048"/>
      <c r="M752" s="2046"/>
      <c r="N752" s="2046"/>
      <c r="O752" s="2046"/>
      <c r="P752" s="2086"/>
      <c r="Q752" s="2046"/>
      <c r="R752" s="2046"/>
      <c r="S752" s="2046"/>
      <c r="T752" s="2046"/>
      <c r="U752" s="2046"/>
      <c r="V752" s="2046"/>
      <c r="W752" s="2046"/>
      <c r="X752" s="2046"/>
      <c r="Y752" s="2046"/>
      <c r="Z752" s="2046"/>
      <c r="AA752" s="2046"/>
      <c r="AB752" s="2046"/>
      <c r="AC752" s="2046"/>
    </row>
    <row r="753" spans="1:29">
      <c r="A753" s="2046"/>
      <c r="B753" s="2046"/>
      <c r="C753" s="2046"/>
      <c r="D753" s="2046"/>
      <c r="E753" s="2046"/>
      <c r="F753" s="2046"/>
      <c r="G753" s="2046"/>
      <c r="H753" s="2046"/>
      <c r="I753" s="2046"/>
      <c r="J753" s="2046"/>
      <c r="K753" s="2047"/>
      <c r="L753" s="2048"/>
      <c r="M753" s="2046"/>
      <c r="N753" s="2046"/>
      <c r="O753" s="2046"/>
      <c r="P753" s="2086"/>
      <c r="Q753" s="2046"/>
      <c r="R753" s="2046"/>
      <c r="S753" s="2046"/>
      <c r="T753" s="2046"/>
      <c r="U753" s="2046"/>
      <c r="V753" s="2046"/>
      <c r="W753" s="2046"/>
      <c r="X753" s="2046"/>
      <c r="Y753" s="2046"/>
      <c r="Z753" s="2046"/>
      <c r="AA753" s="2046"/>
      <c r="AB753" s="2046"/>
      <c r="AC753" s="2046"/>
    </row>
    <row r="754" spans="1:29">
      <c r="A754" s="2046"/>
      <c r="B754" s="2046"/>
      <c r="C754" s="2046"/>
      <c r="D754" s="2046"/>
      <c r="E754" s="2046"/>
      <c r="F754" s="2046"/>
      <c r="G754" s="2046"/>
      <c r="H754" s="2046"/>
      <c r="I754" s="2046"/>
      <c r="J754" s="2046"/>
      <c r="K754" s="2047"/>
      <c r="L754" s="2048"/>
      <c r="M754" s="2046"/>
      <c r="N754" s="2046"/>
      <c r="O754" s="2046"/>
      <c r="P754" s="2086"/>
      <c r="Q754" s="2046"/>
      <c r="R754" s="2046"/>
      <c r="S754" s="2046"/>
      <c r="T754" s="2046"/>
      <c r="U754" s="2046"/>
      <c r="V754" s="2046"/>
      <c r="W754" s="2046"/>
      <c r="X754" s="2046"/>
      <c r="Y754" s="2046"/>
      <c r="Z754" s="2046"/>
      <c r="AA754" s="2046"/>
      <c r="AB754" s="2046"/>
      <c r="AC754" s="2046"/>
    </row>
    <row r="755" spans="1:29">
      <c r="A755" s="2046"/>
      <c r="B755" s="2046"/>
      <c r="C755" s="2046"/>
      <c r="D755" s="2046"/>
      <c r="E755" s="2046"/>
      <c r="F755" s="2046"/>
      <c r="G755" s="2046"/>
      <c r="H755" s="2046"/>
      <c r="I755" s="2046"/>
      <c r="J755" s="2046"/>
      <c r="K755" s="2047"/>
      <c r="L755" s="2048"/>
      <c r="M755" s="2046"/>
      <c r="N755" s="2046"/>
      <c r="O755" s="2046"/>
      <c r="P755" s="2086"/>
      <c r="Q755" s="2046"/>
      <c r="R755" s="2046"/>
      <c r="S755" s="2046"/>
      <c r="T755" s="2046"/>
      <c r="U755" s="2046"/>
      <c r="V755" s="2046"/>
      <c r="W755" s="2046"/>
      <c r="X755" s="2046"/>
      <c r="Y755" s="2046"/>
      <c r="Z755" s="2046"/>
      <c r="AA755" s="2046"/>
      <c r="AB755" s="2046"/>
      <c r="AC755" s="2046"/>
    </row>
    <row r="756" spans="1:29">
      <c r="A756" s="2046"/>
      <c r="B756" s="2046"/>
      <c r="C756" s="2046"/>
      <c r="D756" s="2046"/>
      <c r="E756" s="2046"/>
      <c r="F756" s="2046"/>
      <c r="G756" s="2046"/>
      <c r="H756" s="2046"/>
      <c r="I756" s="2046"/>
      <c r="J756" s="2046"/>
      <c r="K756" s="2047"/>
      <c r="L756" s="2048"/>
      <c r="M756" s="2046"/>
      <c r="N756" s="2046"/>
      <c r="O756" s="2046"/>
      <c r="P756" s="2086"/>
      <c r="Q756" s="2046"/>
      <c r="R756" s="2046"/>
      <c r="S756" s="2046"/>
      <c r="T756" s="2046"/>
      <c r="U756" s="2046"/>
      <c r="V756" s="2046"/>
      <c r="W756" s="2046"/>
      <c r="X756" s="2046"/>
      <c r="Y756" s="2046"/>
      <c r="Z756" s="2046"/>
      <c r="AA756" s="2046"/>
      <c r="AB756" s="2046"/>
      <c r="AC756" s="2046"/>
    </row>
    <row r="757" spans="1:29">
      <c r="A757" s="2046"/>
      <c r="B757" s="2046"/>
      <c r="C757" s="2046"/>
      <c r="D757" s="2046"/>
      <c r="E757" s="2046"/>
      <c r="F757" s="2046"/>
      <c r="G757" s="2046"/>
      <c r="H757" s="2046"/>
      <c r="I757" s="2046"/>
      <c r="J757" s="2046"/>
      <c r="K757" s="2047"/>
      <c r="L757" s="2048"/>
      <c r="M757" s="2046"/>
      <c r="N757" s="2046"/>
      <c r="O757" s="2046"/>
      <c r="P757" s="2086"/>
      <c r="Q757" s="2046"/>
      <c r="R757" s="2046"/>
      <c r="S757" s="2046"/>
      <c r="T757" s="2046"/>
      <c r="U757" s="2046"/>
      <c r="V757" s="2046"/>
      <c r="W757" s="2046"/>
      <c r="X757" s="2046"/>
      <c r="Y757" s="2046"/>
      <c r="Z757" s="2046"/>
      <c r="AA757" s="2046"/>
      <c r="AB757" s="2046"/>
      <c r="AC757" s="2046"/>
    </row>
    <row r="758" spans="1:29">
      <c r="A758" s="2046"/>
      <c r="B758" s="2046"/>
      <c r="C758" s="2046"/>
      <c r="D758" s="2046"/>
      <c r="E758" s="2046"/>
      <c r="F758" s="2046"/>
      <c r="G758" s="2046"/>
      <c r="H758" s="2046"/>
      <c r="I758" s="2046"/>
      <c r="J758" s="2046"/>
      <c r="K758" s="2047"/>
      <c r="L758" s="2048"/>
      <c r="M758" s="2046"/>
      <c r="N758" s="2046"/>
      <c r="O758" s="2046"/>
      <c r="P758" s="2086"/>
      <c r="Q758" s="2046"/>
      <c r="R758" s="2046"/>
      <c r="S758" s="2046"/>
      <c r="T758" s="2046"/>
      <c r="U758" s="2046"/>
      <c r="V758" s="2046"/>
      <c r="W758" s="2046"/>
      <c r="X758" s="2046"/>
      <c r="Y758" s="2046"/>
      <c r="Z758" s="2046"/>
      <c r="AA758" s="2046"/>
      <c r="AB758" s="2046"/>
      <c r="AC758" s="2046"/>
    </row>
    <row r="759" spans="1:29">
      <c r="A759" s="2046"/>
      <c r="B759" s="2046"/>
      <c r="C759" s="2046"/>
      <c r="D759" s="2046"/>
      <c r="E759" s="2046"/>
      <c r="F759" s="2046"/>
      <c r="G759" s="2046"/>
      <c r="H759" s="2046"/>
      <c r="I759" s="2046"/>
      <c r="J759" s="2046"/>
      <c r="K759" s="2047"/>
      <c r="L759" s="2048"/>
      <c r="M759" s="2046"/>
      <c r="N759" s="2046"/>
      <c r="O759" s="2046"/>
      <c r="P759" s="2086"/>
      <c r="Q759" s="2046"/>
      <c r="R759" s="2046"/>
      <c r="S759" s="2046"/>
      <c r="T759" s="2046"/>
      <c r="U759" s="2046"/>
      <c r="V759" s="2046"/>
      <c r="W759" s="2046"/>
      <c r="X759" s="2046"/>
      <c r="Y759" s="2046"/>
      <c r="Z759" s="2046"/>
      <c r="AA759" s="2046"/>
      <c r="AB759" s="2046"/>
      <c r="AC759" s="2046"/>
    </row>
    <row r="760" spans="1:29">
      <c r="A760" s="2046"/>
      <c r="B760" s="2046"/>
      <c r="C760" s="2046"/>
      <c r="D760" s="2046"/>
      <c r="E760" s="2046"/>
      <c r="F760" s="2046"/>
      <c r="G760" s="2046"/>
      <c r="H760" s="2046"/>
      <c r="I760" s="2046"/>
      <c r="J760" s="2046"/>
      <c r="K760" s="2047"/>
      <c r="L760" s="2048"/>
      <c r="M760" s="2046"/>
      <c r="N760" s="2046"/>
      <c r="O760" s="2046"/>
      <c r="P760" s="2086"/>
      <c r="Q760" s="2046"/>
      <c r="R760" s="2046"/>
      <c r="S760" s="2046"/>
      <c r="T760" s="2046"/>
      <c r="U760" s="2046"/>
      <c r="V760" s="2046"/>
      <c r="W760" s="2046"/>
      <c r="X760" s="2046"/>
      <c r="Y760" s="2046"/>
      <c r="Z760" s="2046"/>
      <c r="AA760" s="2046"/>
      <c r="AB760" s="2046"/>
      <c r="AC760" s="2046"/>
    </row>
    <row r="761" spans="1:29">
      <c r="A761" s="2046"/>
      <c r="B761" s="2046"/>
      <c r="C761" s="2046"/>
      <c r="D761" s="2046"/>
      <c r="E761" s="2046"/>
      <c r="F761" s="2046"/>
      <c r="G761" s="2046"/>
      <c r="H761" s="2046"/>
      <c r="I761" s="2046"/>
      <c r="J761" s="2046"/>
      <c r="K761" s="2047"/>
      <c r="L761" s="2048"/>
      <c r="M761" s="2046"/>
      <c r="N761" s="2046"/>
      <c r="O761" s="2046"/>
      <c r="P761" s="2086"/>
      <c r="Q761" s="2046"/>
      <c r="R761" s="2046"/>
      <c r="S761" s="2046"/>
      <c r="T761" s="2046"/>
      <c r="U761" s="2046"/>
      <c r="V761" s="2046"/>
      <c r="W761" s="2046"/>
      <c r="X761" s="2046"/>
      <c r="Y761" s="2046"/>
      <c r="Z761" s="2046"/>
      <c r="AA761" s="2046"/>
      <c r="AB761" s="2046"/>
      <c r="AC761" s="2046"/>
    </row>
    <row r="762" spans="1:29">
      <c r="A762" s="2046"/>
      <c r="B762" s="2046"/>
      <c r="C762" s="2046"/>
      <c r="D762" s="2046"/>
      <c r="E762" s="2046"/>
      <c r="F762" s="2046"/>
      <c r="G762" s="2046"/>
      <c r="H762" s="2046"/>
      <c r="I762" s="2046"/>
      <c r="J762" s="2046"/>
      <c r="K762" s="2047"/>
      <c r="L762" s="2048"/>
      <c r="M762" s="2046"/>
      <c r="N762" s="2046"/>
      <c r="O762" s="2046"/>
      <c r="P762" s="2086"/>
      <c r="Q762" s="2046"/>
      <c r="R762" s="2046"/>
      <c r="S762" s="2046"/>
      <c r="T762" s="2046"/>
      <c r="U762" s="2046"/>
      <c r="V762" s="2046"/>
      <c r="W762" s="2046"/>
      <c r="X762" s="2046"/>
      <c r="Y762" s="2046"/>
      <c r="Z762" s="2046"/>
      <c r="AA762" s="2046"/>
      <c r="AB762" s="2046"/>
      <c r="AC762" s="2046"/>
    </row>
    <row r="763" spans="1:29">
      <c r="A763" s="2046"/>
      <c r="B763" s="2046"/>
      <c r="C763" s="2046"/>
      <c r="D763" s="2046"/>
      <c r="E763" s="2046"/>
      <c r="F763" s="2046"/>
      <c r="G763" s="2046"/>
      <c r="H763" s="2046"/>
      <c r="I763" s="2046"/>
      <c r="J763" s="2046"/>
      <c r="K763" s="2047"/>
      <c r="L763" s="2048"/>
      <c r="M763" s="2046"/>
      <c r="N763" s="2046"/>
      <c r="O763" s="2046"/>
      <c r="P763" s="2086"/>
      <c r="Q763" s="2046"/>
      <c r="R763" s="2046"/>
      <c r="S763" s="2046"/>
      <c r="T763" s="2046"/>
      <c r="U763" s="2046"/>
      <c r="V763" s="2046"/>
      <c r="W763" s="2046"/>
      <c r="X763" s="2046"/>
      <c r="Y763" s="2046"/>
      <c r="Z763" s="2046"/>
      <c r="AA763" s="2046"/>
      <c r="AB763" s="2046"/>
      <c r="AC763" s="2046"/>
    </row>
    <row r="764" spans="1:29">
      <c r="A764" s="2046"/>
      <c r="B764" s="2046"/>
      <c r="C764" s="2046"/>
      <c r="D764" s="2046"/>
      <c r="E764" s="2046"/>
      <c r="F764" s="2046"/>
      <c r="G764" s="2046"/>
      <c r="H764" s="2046"/>
      <c r="I764" s="2046"/>
      <c r="J764" s="2046"/>
      <c r="K764" s="2047"/>
      <c r="L764" s="2048"/>
      <c r="M764" s="2046"/>
      <c r="N764" s="2046"/>
      <c r="O764" s="2046"/>
      <c r="P764" s="2086"/>
      <c r="Q764" s="2046"/>
      <c r="R764" s="2046"/>
      <c r="S764" s="2046"/>
      <c r="T764" s="2046"/>
      <c r="U764" s="2046"/>
      <c r="V764" s="2046"/>
      <c r="W764" s="2046"/>
      <c r="X764" s="2046"/>
      <c r="Y764" s="2046"/>
      <c r="Z764" s="2046"/>
      <c r="AA764" s="2046"/>
      <c r="AB764" s="2046"/>
      <c r="AC764" s="2046"/>
    </row>
    <row r="765" spans="1:29">
      <c r="A765" s="2046"/>
      <c r="B765" s="2046"/>
      <c r="C765" s="2046"/>
      <c r="D765" s="2046"/>
      <c r="E765" s="2046"/>
      <c r="F765" s="2046"/>
      <c r="G765" s="2046"/>
      <c r="H765" s="2046"/>
      <c r="I765" s="2046"/>
      <c r="J765" s="2046"/>
      <c r="K765" s="2047"/>
      <c r="L765" s="2048"/>
      <c r="M765" s="2046"/>
      <c r="N765" s="2046"/>
      <c r="O765" s="2046"/>
      <c r="P765" s="2086"/>
      <c r="Q765" s="2046"/>
      <c r="R765" s="2046"/>
      <c r="S765" s="2046"/>
      <c r="T765" s="2046"/>
      <c r="U765" s="2046"/>
      <c r="V765" s="2046"/>
      <c r="W765" s="2046"/>
      <c r="X765" s="2046"/>
      <c r="Y765" s="2046"/>
      <c r="Z765" s="2046"/>
      <c r="AA765" s="2046"/>
      <c r="AB765" s="2046"/>
      <c r="AC765" s="2046"/>
    </row>
    <row r="766" spans="1:29">
      <c r="A766" s="2046"/>
      <c r="B766" s="2046"/>
      <c r="C766" s="2046"/>
      <c r="D766" s="2046"/>
      <c r="E766" s="2046"/>
      <c r="F766" s="2046"/>
      <c r="G766" s="2046"/>
      <c r="H766" s="2046"/>
      <c r="I766" s="2046"/>
      <c r="J766" s="2046"/>
      <c r="K766" s="2047"/>
      <c r="L766" s="2048"/>
      <c r="M766" s="2046"/>
      <c r="N766" s="2046"/>
      <c r="O766" s="2046"/>
      <c r="P766" s="2086"/>
      <c r="Q766" s="2046"/>
      <c r="R766" s="2046"/>
      <c r="S766" s="2046"/>
      <c r="T766" s="2046"/>
      <c r="U766" s="2046"/>
      <c r="V766" s="2046"/>
      <c r="W766" s="2046"/>
      <c r="X766" s="2046"/>
      <c r="Y766" s="2046"/>
      <c r="Z766" s="2046"/>
      <c r="AA766" s="2046"/>
      <c r="AB766" s="2046"/>
      <c r="AC766" s="2046"/>
    </row>
    <row r="767" spans="1:29">
      <c r="A767" s="2046"/>
      <c r="B767" s="2046"/>
      <c r="C767" s="2046"/>
      <c r="D767" s="2046"/>
      <c r="E767" s="2046"/>
      <c r="F767" s="2046"/>
      <c r="G767" s="2046"/>
      <c r="H767" s="2046"/>
      <c r="I767" s="2046"/>
      <c r="J767" s="2046"/>
      <c r="K767" s="2047"/>
      <c r="L767" s="2048"/>
      <c r="M767" s="2046"/>
      <c r="N767" s="2046"/>
      <c r="O767" s="2046"/>
      <c r="P767" s="2086"/>
      <c r="Q767" s="2046"/>
      <c r="R767" s="2046"/>
      <c r="S767" s="2046"/>
      <c r="T767" s="2046"/>
      <c r="U767" s="2046"/>
      <c r="V767" s="2046"/>
      <c r="W767" s="2046"/>
      <c r="X767" s="2046"/>
      <c r="Y767" s="2046"/>
      <c r="Z767" s="2046"/>
      <c r="AA767" s="2046"/>
      <c r="AB767" s="2046"/>
      <c r="AC767" s="2046"/>
    </row>
    <row r="768" spans="1:29">
      <c r="A768" s="2046"/>
      <c r="B768" s="2046"/>
      <c r="C768" s="2046"/>
      <c r="D768" s="2046"/>
      <c r="E768" s="2046"/>
      <c r="F768" s="2046"/>
      <c r="G768" s="2046"/>
      <c r="H768" s="2046"/>
      <c r="I768" s="2046"/>
      <c r="J768" s="2046"/>
      <c r="K768" s="2047"/>
      <c r="L768" s="2048"/>
      <c r="M768" s="2046"/>
      <c r="N768" s="2046"/>
      <c r="O768" s="2046"/>
      <c r="P768" s="2086"/>
      <c r="Q768" s="2046"/>
      <c r="R768" s="2046"/>
      <c r="S768" s="2046"/>
      <c r="T768" s="2046"/>
      <c r="U768" s="2046"/>
      <c r="V768" s="2046"/>
      <c r="W768" s="2046"/>
      <c r="X768" s="2046"/>
      <c r="Y768" s="2046"/>
      <c r="Z768" s="2046"/>
      <c r="AA768" s="2046"/>
      <c r="AB768" s="2046"/>
      <c r="AC768" s="2046"/>
    </row>
    <row r="769" spans="1:29">
      <c r="A769" s="2046"/>
      <c r="B769" s="2046"/>
      <c r="C769" s="2046"/>
      <c r="D769" s="2046"/>
      <c r="E769" s="2046"/>
      <c r="F769" s="2046"/>
      <c r="G769" s="2046"/>
      <c r="H769" s="2046"/>
      <c r="I769" s="2046"/>
      <c r="J769" s="2046"/>
      <c r="K769" s="2047"/>
      <c r="L769" s="2048"/>
      <c r="M769" s="2046"/>
      <c r="N769" s="2046"/>
      <c r="O769" s="2046"/>
      <c r="P769" s="2086"/>
      <c r="Q769" s="2046"/>
      <c r="R769" s="2046"/>
      <c r="S769" s="2046"/>
      <c r="T769" s="2046"/>
      <c r="U769" s="2046"/>
      <c r="V769" s="2046"/>
      <c r="W769" s="2046"/>
      <c r="X769" s="2046"/>
      <c r="Y769" s="2046"/>
      <c r="Z769" s="2046"/>
      <c r="AA769" s="2046"/>
      <c r="AB769" s="2046"/>
      <c r="AC769" s="2046"/>
    </row>
    <row r="770" spans="1:29">
      <c r="A770" s="2046"/>
      <c r="B770" s="2046"/>
      <c r="C770" s="2046"/>
      <c r="D770" s="2046"/>
      <c r="E770" s="2046"/>
      <c r="F770" s="2046"/>
      <c r="G770" s="2046"/>
      <c r="H770" s="2046"/>
      <c r="I770" s="2046"/>
      <c r="J770" s="2046"/>
      <c r="K770" s="2047"/>
      <c r="L770" s="2048"/>
      <c r="M770" s="2046"/>
      <c r="N770" s="2046"/>
      <c r="O770" s="2046"/>
      <c r="P770" s="2086"/>
      <c r="Q770" s="2046"/>
      <c r="R770" s="2046"/>
      <c r="S770" s="2046"/>
      <c r="T770" s="2046"/>
      <c r="U770" s="2046"/>
      <c r="V770" s="2046"/>
      <c r="W770" s="2046"/>
      <c r="X770" s="2046"/>
      <c r="Y770" s="2046"/>
      <c r="Z770" s="2046"/>
      <c r="AA770" s="2046"/>
      <c r="AB770" s="2046"/>
      <c r="AC770" s="2046"/>
    </row>
    <row r="771" spans="1:29">
      <c r="A771" s="2046"/>
      <c r="B771" s="2046"/>
      <c r="C771" s="2046"/>
      <c r="D771" s="2046"/>
      <c r="E771" s="2046"/>
      <c r="F771" s="2046"/>
      <c r="G771" s="2046"/>
      <c r="H771" s="2046"/>
      <c r="I771" s="2046"/>
      <c r="J771" s="2046"/>
      <c r="K771" s="2047"/>
      <c r="L771" s="2048"/>
      <c r="M771" s="2046"/>
      <c r="N771" s="2046"/>
      <c r="O771" s="2046"/>
      <c r="P771" s="2086"/>
      <c r="Q771" s="2046"/>
      <c r="R771" s="2046"/>
      <c r="S771" s="2046"/>
      <c r="T771" s="2046"/>
      <c r="U771" s="2046"/>
      <c r="V771" s="2046"/>
      <c r="W771" s="2046"/>
      <c r="X771" s="2046"/>
      <c r="Y771" s="2046"/>
      <c r="Z771" s="2046"/>
      <c r="AA771" s="2046"/>
      <c r="AB771" s="2046"/>
      <c r="AC771" s="2046"/>
    </row>
    <row r="772" spans="1:29">
      <c r="A772" s="2046"/>
      <c r="B772" s="2046"/>
      <c r="C772" s="2046"/>
      <c r="D772" s="2046"/>
      <c r="E772" s="2046"/>
      <c r="F772" s="2046"/>
      <c r="G772" s="2046"/>
      <c r="H772" s="2046"/>
      <c r="I772" s="2046"/>
      <c r="J772" s="2046"/>
      <c r="K772" s="2047"/>
      <c r="L772" s="2048"/>
      <c r="M772" s="2046"/>
      <c r="N772" s="2046"/>
      <c r="O772" s="2046"/>
      <c r="P772" s="2086"/>
      <c r="Q772" s="2046"/>
      <c r="R772" s="2046"/>
      <c r="S772" s="2046"/>
      <c r="T772" s="2046"/>
      <c r="U772" s="2046"/>
      <c r="V772" s="2046"/>
      <c r="W772" s="2046"/>
      <c r="X772" s="2046"/>
      <c r="Y772" s="2046"/>
      <c r="Z772" s="2046"/>
      <c r="AA772" s="2046"/>
      <c r="AB772" s="2046"/>
      <c r="AC772" s="2046"/>
    </row>
    <row r="773" spans="1:29">
      <c r="A773" s="2046"/>
      <c r="B773" s="2046"/>
      <c r="C773" s="2046"/>
      <c r="D773" s="2046"/>
      <c r="E773" s="2046"/>
      <c r="F773" s="2046"/>
      <c r="G773" s="2046"/>
      <c r="H773" s="2046"/>
      <c r="I773" s="2046"/>
      <c r="J773" s="2046"/>
      <c r="K773" s="2047"/>
      <c r="L773" s="2048"/>
      <c r="M773" s="2046"/>
      <c r="N773" s="2046"/>
      <c r="O773" s="2046"/>
      <c r="P773" s="2086"/>
      <c r="Q773" s="2046"/>
      <c r="R773" s="2046"/>
      <c r="S773" s="2046"/>
      <c r="T773" s="2046"/>
      <c r="U773" s="2046"/>
      <c r="V773" s="2046"/>
      <c r="W773" s="2046"/>
      <c r="X773" s="2046"/>
      <c r="Y773" s="2046"/>
      <c r="Z773" s="2046"/>
      <c r="AA773" s="2046"/>
      <c r="AB773" s="2046"/>
      <c r="AC773" s="2046"/>
    </row>
    <row r="774" spans="1:29">
      <c r="A774" s="2046"/>
      <c r="B774" s="2046"/>
      <c r="C774" s="2046"/>
      <c r="D774" s="2046"/>
      <c r="E774" s="2046"/>
      <c r="F774" s="2046"/>
      <c r="G774" s="2046"/>
      <c r="H774" s="2046"/>
      <c r="I774" s="2046"/>
      <c r="J774" s="2046"/>
      <c r="K774" s="2047"/>
      <c r="L774" s="2048"/>
      <c r="M774" s="2046"/>
      <c r="N774" s="2046"/>
      <c r="O774" s="2046"/>
      <c r="P774" s="2086"/>
      <c r="Q774" s="2046"/>
      <c r="R774" s="2046"/>
      <c r="S774" s="2046"/>
      <c r="T774" s="2046"/>
      <c r="U774" s="2046"/>
      <c r="V774" s="2046"/>
      <c r="W774" s="2046"/>
      <c r="X774" s="2046"/>
      <c r="Y774" s="2046"/>
      <c r="Z774" s="2046"/>
      <c r="AA774" s="2046"/>
      <c r="AB774" s="2046"/>
      <c r="AC774" s="2046"/>
    </row>
    <row r="775" spans="1:29">
      <c r="A775" s="2046"/>
      <c r="B775" s="2046"/>
      <c r="C775" s="2046"/>
      <c r="D775" s="2046"/>
      <c r="E775" s="2046"/>
      <c r="F775" s="2046"/>
      <c r="G775" s="2046"/>
      <c r="H775" s="2046"/>
      <c r="I775" s="2046"/>
      <c r="J775" s="2046"/>
      <c r="K775" s="2047"/>
      <c r="L775" s="2048"/>
      <c r="M775" s="2046"/>
      <c r="N775" s="2046"/>
      <c r="O775" s="2046"/>
      <c r="P775" s="2086"/>
      <c r="Q775" s="2046"/>
      <c r="R775" s="2046"/>
      <c r="S775" s="2046"/>
      <c r="T775" s="2046"/>
      <c r="U775" s="2046"/>
      <c r="V775" s="2046"/>
      <c r="W775" s="2046"/>
      <c r="X775" s="2046"/>
      <c r="Y775" s="2046"/>
      <c r="Z775" s="2046"/>
      <c r="AA775" s="2046"/>
      <c r="AB775" s="2046"/>
      <c r="AC775" s="2046"/>
    </row>
    <row r="776" spans="1:29">
      <c r="A776" s="2046"/>
      <c r="B776" s="2046"/>
      <c r="C776" s="2046"/>
      <c r="D776" s="2046"/>
      <c r="E776" s="2046"/>
      <c r="F776" s="2046"/>
      <c r="G776" s="2046"/>
      <c r="H776" s="2046"/>
      <c r="I776" s="2046"/>
      <c r="J776" s="2046"/>
      <c r="K776" s="2047"/>
      <c r="L776" s="2048"/>
      <c r="M776" s="2046"/>
      <c r="N776" s="2046"/>
      <c r="O776" s="2046"/>
      <c r="P776" s="2086"/>
      <c r="Q776" s="2046"/>
      <c r="R776" s="2046"/>
      <c r="S776" s="2046"/>
      <c r="T776" s="2046"/>
      <c r="U776" s="2046"/>
      <c r="V776" s="2046"/>
      <c r="W776" s="2046"/>
      <c r="X776" s="2046"/>
      <c r="Y776" s="2046"/>
      <c r="Z776" s="2046"/>
      <c r="AA776" s="2046"/>
      <c r="AB776" s="2046"/>
      <c r="AC776" s="2046"/>
    </row>
    <row r="777" spans="1:29">
      <c r="A777" s="2046"/>
      <c r="B777" s="2046"/>
      <c r="C777" s="2046"/>
      <c r="D777" s="2046"/>
      <c r="E777" s="2046"/>
      <c r="F777" s="2046"/>
      <c r="G777" s="2046"/>
      <c r="H777" s="2046"/>
      <c r="I777" s="2046"/>
      <c r="J777" s="2046"/>
      <c r="K777" s="2047"/>
      <c r="L777" s="2048"/>
      <c r="M777" s="2046"/>
      <c r="N777" s="2046"/>
      <c r="O777" s="2046"/>
      <c r="P777" s="2086"/>
      <c r="Q777" s="2046"/>
      <c r="R777" s="2046"/>
      <c r="S777" s="2046"/>
      <c r="T777" s="2046"/>
      <c r="U777" s="2046"/>
      <c r="V777" s="2046"/>
      <c r="W777" s="2046"/>
      <c r="X777" s="2046"/>
      <c r="Y777" s="2046"/>
      <c r="Z777" s="2046"/>
      <c r="AA777" s="2046"/>
      <c r="AB777" s="2046"/>
      <c r="AC777" s="2046"/>
    </row>
    <row r="778" spans="1:29">
      <c r="A778" s="2046"/>
      <c r="B778" s="2046"/>
      <c r="C778" s="2046"/>
      <c r="D778" s="2046"/>
      <c r="E778" s="2046"/>
      <c r="F778" s="2046"/>
      <c r="G778" s="2046"/>
      <c r="H778" s="2046"/>
      <c r="I778" s="2046"/>
      <c r="J778" s="2046"/>
      <c r="K778" s="2047"/>
      <c r="L778" s="2048"/>
      <c r="M778" s="2046"/>
      <c r="N778" s="2046"/>
      <c r="O778" s="2046"/>
      <c r="P778" s="2086"/>
      <c r="Q778" s="2046"/>
      <c r="R778" s="2046"/>
      <c r="S778" s="2046"/>
      <c r="T778" s="2046"/>
      <c r="U778" s="2046"/>
      <c r="V778" s="2046"/>
      <c r="W778" s="2046"/>
      <c r="X778" s="2046"/>
      <c r="Y778" s="2046"/>
      <c r="Z778" s="2046"/>
      <c r="AA778" s="2046"/>
      <c r="AB778" s="2046"/>
      <c r="AC778" s="2046"/>
    </row>
    <row r="779" spans="1:29">
      <c r="A779" s="2046"/>
      <c r="B779" s="2046"/>
      <c r="C779" s="2046"/>
      <c r="D779" s="2046"/>
      <c r="E779" s="2046"/>
      <c r="F779" s="2046"/>
      <c r="G779" s="2046"/>
      <c r="H779" s="2046"/>
      <c r="I779" s="2046"/>
      <c r="J779" s="2046"/>
      <c r="K779" s="2047"/>
      <c r="L779" s="2048"/>
      <c r="M779" s="2046"/>
      <c r="N779" s="2046"/>
      <c r="O779" s="2046"/>
      <c r="P779" s="2086"/>
      <c r="Q779" s="2046"/>
      <c r="R779" s="2046"/>
      <c r="S779" s="2046"/>
      <c r="T779" s="2046"/>
      <c r="U779" s="2046"/>
      <c r="V779" s="2046"/>
      <c r="W779" s="2046"/>
      <c r="X779" s="2046"/>
      <c r="Y779" s="2046"/>
      <c r="Z779" s="2046"/>
      <c r="AA779" s="2046"/>
      <c r="AB779" s="2046"/>
      <c r="AC779" s="2046"/>
    </row>
    <row r="780" spans="1:29">
      <c r="A780" s="2046"/>
      <c r="B780" s="2046"/>
      <c r="C780" s="2046"/>
      <c r="D780" s="2046"/>
      <c r="E780" s="2046"/>
      <c r="F780" s="2046"/>
      <c r="G780" s="2046"/>
      <c r="H780" s="2046"/>
      <c r="I780" s="2046"/>
      <c r="J780" s="2046"/>
      <c r="K780" s="2047"/>
      <c r="L780" s="2048"/>
      <c r="M780" s="2046"/>
      <c r="N780" s="2046"/>
      <c r="O780" s="2046"/>
      <c r="P780" s="2086"/>
      <c r="Q780" s="2046"/>
      <c r="R780" s="2046"/>
      <c r="S780" s="2046"/>
      <c r="T780" s="2046"/>
      <c r="U780" s="2046"/>
      <c r="V780" s="2046"/>
      <c r="W780" s="2046"/>
      <c r="X780" s="2046"/>
      <c r="Y780" s="2046"/>
      <c r="Z780" s="2046"/>
      <c r="AA780" s="2046"/>
      <c r="AB780" s="2046"/>
      <c r="AC780" s="2046"/>
    </row>
    <row r="781" spans="1:29">
      <c r="A781" s="2046"/>
      <c r="B781" s="2046"/>
      <c r="C781" s="2046"/>
      <c r="D781" s="2046"/>
      <c r="E781" s="2046"/>
      <c r="F781" s="2046"/>
      <c r="G781" s="2046"/>
      <c r="H781" s="2046"/>
      <c r="I781" s="2046"/>
      <c r="J781" s="2046"/>
      <c r="K781" s="2047"/>
      <c r="L781" s="2048"/>
      <c r="M781" s="2046"/>
      <c r="N781" s="2046"/>
      <c r="O781" s="2046"/>
      <c r="P781" s="2086"/>
      <c r="Q781" s="2046"/>
      <c r="R781" s="2046"/>
      <c r="S781" s="2046"/>
      <c r="T781" s="2046"/>
      <c r="U781" s="2046"/>
      <c r="V781" s="2046"/>
      <c r="W781" s="2046"/>
      <c r="X781" s="2046"/>
      <c r="Y781" s="2046"/>
      <c r="Z781" s="2046"/>
      <c r="AA781" s="2046"/>
      <c r="AB781" s="2046"/>
      <c r="AC781" s="2046"/>
    </row>
    <row r="782" spans="1:29">
      <c r="A782" s="2046"/>
      <c r="B782" s="2046"/>
      <c r="C782" s="2046"/>
      <c r="D782" s="2046"/>
      <c r="E782" s="2046"/>
      <c r="F782" s="2046"/>
      <c r="G782" s="2046"/>
      <c r="H782" s="2046"/>
      <c r="I782" s="2046"/>
      <c r="J782" s="2046"/>
      <c r="K782" s="2047"/>
      <c r="L782" s="2048"/>
      <c r="M782" s="2046"/>
      <c r="N782" s="2046"/>
      <c r="O782" s="2046"/>
      <c r="P782" s="2086"/>
      <c r="Q782" s="2046"/>
      <c r="R782" s="2046"/>
      <c r="S782" s="2046"/>
      <c r="T782" s="2046"/>
      <c r="U782" s="2046"/>
      <c r="V782" s="2046"/>
      <c r="W782" s="2046"/>
      <c r="X782" s="2046"/>
      <c r="Y782" s="2046"/>
      <c r="Z782" s="2046"/>
      <c r="AA782" s="2046"/>
      <c r="AB782" s="2046"/>
      <c r="AC782" s="2046"/>
    </row>
    <row r="783" spans="1:29">
      <c r="A783" s="2046"/>
      <c r="B783" s="2046"/>
      <c r="C783" s="2046"/>
      <c r="D783" s="2046"/>
      <c r="E783" s="2046"/>
      <c r="F783" s="2046"/>
      <c r="G783" s="2046"/>
      <c r="H783" s="2046"/>
      <c r="I783" s="2046"/>
      <c r="J783" s="2046"/>
      <c r="K783" s="2047"/>
      <c r="L783" s="2048"/>
      <c r="M783" s="2046"/>
      <c r="N783" s="2046"/>
      <c r="O783" s="2046"/>
      <c r="P783" s="2086"/>
      <c r="Q783" s="2046"/>
      <c r="R783" s="2046"/>
      <c r="S783" s="2046"/>
      <c r="T783" s="2046"/>
      <c r="U783" s="2046"/>
      <c r="V783" s="2046"/>
      <c r="W783" s="2046"/>
      <c r="X783" s="2046"/>
      <c r="Y783" s="2046"/>
      <c r="Z783" s="2046"/>
      <c r="AA783" s="2046"/>
      <c r="AB783" s="2046"/>
      <c r="AC783" s="2046"/>
    </row>
    <row r="784" spans="1:29">
      <c r="A784" s="2046"/>
      <c r="B784" s="2046"/>
      <c r="C784" s="2046"/>
      <c r="D784" s="2046"/>
      <c r="E784" s="2046"/>
      <c r="F784" s="2046"/>
      <c r="G784" s="2046"/>
      <c r="H784" s="2046"/>
      <c r="I784" s="2046"/>
      <c r="J784" s="2046"/>
      <c r="K784" s="2047"/>
      <c r="L784" s="2048"/>
      <c r="M784" s="2046"/>
      <c r="N784" s="2046"/>
      <c r="O784" s="2046"/>
      <c r="P784" s="2086"/>
      <c r="Q784" s="2046"/>
      <c r="R784" s="2046"/>
      <c r="S784" s="2046"/>
      <c r="T784" s="2046"/>
      <c r="U784" s="2046"/>
      <c r="V784" s="2046"/>
      <c r="W784" s="2046"/>
      <c r="X784" s="2046"/>
      <c r="Y784" s="2046"/>
      <c r="Z784" s="2046"/>
      <c r="AA784" s="2046"/>
      <c r="AB784" s="2046"/>
      <c r="AC784" s="2046"/>
    </row>
    <row r="785" spans="1:29">
      <c r="A785" s="2046"/>
      <c r="B785" s="2046"/>
      <c r="C785" s="2046"/>
      <c r="D785" s="2046"/>
      <c r="E785" s="2046"/>
      <c r="F785" s="2046"/>
      <c r="G785" s="2046"/>
      <c r="H785" s="2046"/>
      <c r="I785" s="2046"/>
      <c r="J785" s="2046"/>
      <c r="K785" s="2047"/>
      <c r="L785" s="2048"/>
      <c r="M785" s="2046"/>
      <c r="N785" s="2046"/>
      <c r="O785" s="2046"/>
      <c r="P785" s="2086"/>
      <c r="Q785" s="2046"/>
      <c r="R785" s="2046"/>
      <c r="S785" s="2046"/>
      <c r="T785" s="2046"/>
      <c r="U785" s="2046"/>
      <c r="V785" s="2046"/>
      <c r="W785" s="2046"/>
      <c r="X785" s="2046"/>
      <c r="Y785" s="2046"/>
      <c r="Z785" s="2046"/>
      <c r="AA785" s="2046"/>
      <c r="AB785" s="2046"/>
      <c r="AC785" s="2046"/>
    </row>
    <row r="786" spans="1:29">
      <c r="A786" s="2046"/>
      <c r="B786" s="2046"/>
      <c r="C786" s="2046"/>
      <c r="D786" s="2046"/>
      <c r="E786" s="2046"/>
      <c r="F786" s="2046"/>
      <c r="G786" s="2046"/>
      <c r="H786" s="2046"/>
      <c r="I786" s="2046"/>
      <c r="J786" s="2046"/>
      <c r="K786" s="2047"/>
      <c r="L786" s="2048"/>
      <c r="M786" s="2046"/>
      <c r="N786" s="2046"/>
      <c r="O786" s="2046"/>
      <c r="P786" s="2086"/>
      <c r="Q786" s="2046"/>
      <c r="R786" s="2046"/>
      <c r="S786" s="2046"/>
      <c r="T786" s="2046"/>
      <c r="U786" s="2046"/>
      <c r="V786" s="2046"/>
      <c r="W786" s="2046"/>
      <c r="X786" s="2046"/>
      <c r="Y786" s="2046"/>
      <c r="Z786" s="2046"/>
      <c r="AA786" s="2046"/>
      <c r="AB786" s="2046"/>
      <c r="AC786" s="2046"/>
    </row>
    <row r="787" spans="1:29">
      <c r="A787" s="2046"/>
      <c r="B787" s="2046"/>
      <c r="C787" s="2046"/>
      <c r="D787" s="2046"/>
      <c r="E787" s="2046"/>
      <c r="F787" s="2046"/>
      <c r="G787" s="2046"/>
      <c r="H787" s="2046"/>
      <c r="I787" s="2046"/>
      <c r="J787" s="2046"/>
      <c r="K787" s="2047"/>
      <c r="L787" s="2048"/>
      <c r="M787" s="2046"/>
      <c r="N787" s="2046"/>
      <c r="O787" s="2046"/>
      <c r="P787" s="2086"/>
      <c r="Q787" s="2046"/>
      <c r="R787" s="2046"/>
      <c r="S787" s="2046"/>
      <c r="T787" s="2046"/>
      <c r="U787" s="2046"/>
      <c r="V787" s="2046"/>
      <c r="W787" s="2046"/>
      <c r="X787" s="2046"/>
      <c r="Y787" s="2046"/>
      <c r="Z787" s="2046"/>
      <c r="AA787" s="2046"/>
      <c r="AB787" s="2046"/>
      <c r="AC787" s="2046"/>
    </row>
    <row r="788" spans="1:29">
      <c r="A788" s="2046"/>
      <c r="B788" s="2046"/>
      <c r="C788" s="2046"/>
      <c r="D788" s="2046"/>
      <c r="E788" s="2046"/>
      <c r="F788" s="2046"/>
      <c r="G788" s="2046"/>
      <c r="H788" s="2046"/>
      <c r="I788" s="2046"/>
      <c r="J788" s="2046"/>
      <c r="K788" s="2047"/>
      <c r="L788" s="2048"/>
      <c r="M788" s="2046"/>
      <c r="N788" s="2046"/>
      <c r="O788" s="2046"/>
      <c r="P788" s="2086"/>
      <c r="Q788" s="2046"/>
      <c r="R788" s="2046"/>
      <c r="S788" s="2046"/>
      <c r="T788" s="2046"/>
      <c r="U788" s="2046"/>
      <c r="V788" s="2046"/>
      <c r="W788" s="2046"/>
      <c r="X788" s="2046"/>
      <c r="Y788" s="2046"/>
      <c r="Z788" s="2046"/>
      <c r="AA788" s="2046"/>
      <c r="AB788" s="2046"/>
      <c r="AC788" s="2046"/>
    </row>
    <row r="789" spans="1:29">
      <c r="A789" s="2046"/>
      <c r="B789" s="2046"/>
      <c r="C789" s="2046"/>
      <c r="D789" s="2046"/>
      <c r="E789" s="2046"/>
      <c r="F789" s="2046"/>
      <c r="G789" s="2046"/>
      <c r="H789" s="2046"/>
      <c r="I789" s="2046"/>
      <c r="J789" s="2046"/>
      <c r="K789" s="2047"/>
      <c r="L789" s="2048"/>
      <c r="M789" s="2046"/>
      <c r="N789" s="2046"/>
      <c r="O789" s="2046"/>
      <c r="P789" s="2086"/>
      <c r="Q789" s="2046"/>
      <c r="R789" s="2046"/>
      <c r="S789" s="2046"/>
      <c r="T789" s="2046"/>
      <c r="U789" s="2046"/>
      <c r="V789" s="2046"/>
      <c r="W789" s="2046"/>
      <c r="X789" s="2046"/>
      <c r="Y789" s="2046"/>
      <c r="Z789" s="2046"/>
      <c r="AA789" s="2046"/>
      <c r="AB789" s="2046"/>
      <c r="AC789" s="2046"/>
    </row>
    <row r="790" spans="1:29">
      <c r="A790" s="2046"/>
      <c r="B790" s="2046"/>
      <c r="C790" s="2046"/>
      <c r="D790" s="2046"/>
      <c r="E790" s="2046"/>
      <c r="F790" s="2046"/>
      <c r="G790" s="2046"/>
      <c r="H790" s="2046"/>
      <c r="I790" s="2046"/>
      <c r="J790" s="2046"/>
      <c r="K790" s="2047"/>
      <c r="L790" s="2048"/>
      <c r="M790" s="2046"/>
      <c r="N790" s="2046"/>
      <c r="O790" s="2046"/>
      <c r="P790" s="2086"/>
      <c r="Q790" s="2046"/>
      <c r="R790" s="2046"/>
      <c r="S790" s="2046"/>
      <c r="T790" s="2046"/>
      <c r="U790" s="2046"/>
      <c r="V790" s="2046"/>
      <c r="W790" s="2046"/>
      <c r="X790" s="2046"/>
      <c r="Y790" s="2046"/>
      <c r="Z790" s="2046"/>
      <c r="AA790" s="2046"/>
      <c r="AB790" s="2046"/>
      <c r="AC790" s="2046"/>
    </row>
    <row r="791" spans="1:29">
      <c r="A791" s="2046"/>
      <c r="B791" s="2046"/>
      <c r="C791" s="2046"/>
      <c r="D791" s="2046"/>
      <c r="E791" s="2046"/>
      <c r="F791" s="2046"/>
      <c r="G791" s="2046"/>
      <c r="H791" s="2046"/>
      <c r="I791" s="2046"/>
      <c r="J791" s="2046"/>
      <c r="K791" s="2047"/>
      <c r="L791" s="2048"/>
      <c r="M791" s="2046"/>
      <c r="N791" s="2046"/>
      <c r="O791" s="2046"/>
      <c r="P791" s="2086"/>
      <c r="Q791" s="2046"/>
      <c r="R791" s="2046"/>
      <c r="S791" s="2046"/>
      <c r="T791" s="2046"/>
      <c r="U791" s="2046"/>
      <c r="V791" s="2046"/>
      <c r="W791" s="2046"/>
      <c r="X791" s="2046"/>
      <c r="Y791" s="2046"/>
      <c r="Z791" s="2046"/>
      <c r="AA791" s="2046"/>
      <c r="AB791" s="2046"/>
      <c r="AC791" s="2046"/>
    </row>
    <row r="792" spans="1:29">
      <c r="A792" s="2046"/>
      <c r="B792" s="2046"/>
      <c r="C792" s="2046"/>
      <c r="D792" s="2046"/>
      <c r="E792" s="2046"/>
      <c r="F792" s="2046"/>
      <c r="G792" s="2046"/>
      <c r="H792" s="2046"/>
      <c r="I792" s="2046"/>
      <c r="J792" s="2046"/>
      <c r="K792" s="2047"/>
      <c r="L792" s="2048"/>
      <c r="M792" s="2046"/>
      <c r="N792" s="2046"/>
      <c r="O792" s="2046"/>
      <c r="P792" s="2086"/>
      <c r="Q792" s="2046"/>
      <c r="R792" s="2046"/>
      <c r="S792" s="2046"/>
      <c r="T792" s="2046"/>
      <c r="U792" s="2046"/>
      <c r="V792" s="2046"/>
      <c r="W792" s="2046"/>
      <c r="X792" s="2046"/>
      <c r="Y792" s="2046"/>
      <c r="Z792" s="2046"/>
      <c r="AA792" s="2046"/>
      <c r="AB792" s="2046"/>
      <c r="AC792" s="2046"/>
    </row>
    <row r="793" spans="1:29">
      <c r="A793" s="2046"/>
      <c r="B793" s="2046"/>
      <c r="C793" s="2046"/>
      <c r="D793" s="2046"/>
      <c r="E793" s="2046"/>
      <c r="F793" s="2046"/>
      <c r="G793" s="2046"/>
      <c r="H793" s="2046"/>
      <c r="I793" s="2046"/>
      <c r="J793" s="2046"/>
      <c r="K793" s="2047"/>
      <c r="L793" s="2048"/>
      <c r="M793" s="2046"/>
      <c r="N793" s="2046"/>
      <c r="O793" s="2046"/>
      <c r="P793" s="2086"/>
      <c r="Q793" s="2046"/>
      <c r="R793" s="2046"/>
      <c r="S793" s="2046"/>
      <c r="T793" s="2046"/>
      <c r="U793" s="2046"/>
      <c r="V793" s="2046"/>
      <c r="W793" s="2046"/>
      <c r="X793" s="2046"/>
      <c r="Y793" s="2046"/>
      <c r="Z793" s="2046"/>
      <c r="AA793" s="2046"/>
      <c r="AB793" s="2046"/>
      <c r="AC793" s="2046"/>
    </row>
    <row r="794" spans="1:29">
      <c r="A794" s="2046"/>
      <c r="B794" s="2046"/>
      <c r="C794" s="2046"/>
      <c r="D794" s="2046"/>
      <c r="E794" s="2046"/>
      <c r="F794" s="2046"/>
      <c r="G794" s="2046"/>
      <c r="H794" s="2046"/>
      <c r="I794" s="2046"/>
      <c r="J794" s="2046"/>
      <c r="K794" s="2047"/>
      <c r="L794" s="2048"/>
      <c r="M794" s="2046"/>
      <c r="N794" s="2046"/>
      <c r="O794" s="2046"/>
      <c r="P794" s="2086"/>
      <c r="Q794" s="2046"/>
      <c r="R794" s="2046"/>
      <c r="S794" s="2046"/>
      <c r="T794" s="2046"/>
      <c r="U794" s="2046"/>
      <c r="V794" s="2046"/>
      <c r="W794" s="2046"/>
      <c r="X794" s="2046"/>
      <c r="Y794" s="2046"/>
      <c r="Z794" s="2046"/>
      <c r="AA794" s="2046"/>
      <c r="AB794" s="2046"/>
      <c r="AC794" s="2046"/>
    </row>
    <row r="795" spans="1:29">
      <c r="A795" s="2046"/>
      <c r="B795" s="2046"/>
      <c r="C795" s="2046"/>
      <c r="D795" s="2046"/>
      <c r="E795" s="2046"/>
      <c r="F795" s="2046"/>
      <c r="G795" s="2046"/>
      <c r="H795" s="2046"/>
      <c r="I795" s="2046"/>
      <c r="J795" s="2046"/>
      <c r="K795" s="2047"/>
      <c r="L795" s="2048"/>
      <c r="M795" s="2046"/>
      <c r="N795" s="2046"/>
      <c r="O795" s="2046"/>
      <c r="P795" s="2086"/>
      <c r="Q795" s="2046"/>
      <c r="R795" s="2046"/>
      <c r="S795" s="2046"/>
      <c r="T795" s="2046"/>
      <c r="U795" s="2046"/>
      <c r="V795" s="2046"/>
      <c r="W795" s="2046"/>
      <c r="X795" s="2046"/>
      <c r="Y795" s="2046"/>
      <c r="Z795" s="2046"/>
      <c r="AA795" s="2046"/>
      <c r="AB795" s="2046"/>
      <c r="AC795" s="2046"/>
    </row>
    <row r="796" spans="1:29">
      <c r="A796" s="2046"/>
      <c r="B796" s="2046"/>
      <c r="C796" s="2046"/>
      <c r="D796" s="2046"/>
      <c r="E796" s="2046"/>
      <c r="F796" s="2046"/>
      <c r="G796" s="2046"/>
      <c r="H796" s="2046"/>
      <c r="I796" s="2046"/>
      <c r="J796" s="2046"/>
      <c r="K796" s="2047"/>
      <c r="L796" s="2048"/>
      <c r="M796" s="2046"/>
      <c r="N796" s="2046"/>
      <c r="O796" s="2046"/>
      <c r="P796" s="2086"/>
      <c r="Q796" s="2046"/>
      <c r="R796" s="2046"/>
      <c r="S796" s="2046"/>
      <c r="T796" s="2046"/>
      <c r="U796" s="2046"/>
      <c r="V796" s="2046"/>
      <c r="W796" s="2046"/>
      <c r="X796" s="2046"/>
      <c r="Y796" s="2046"/>
      <c r="Z796" s="2046"/>
      <c r="AA796" s="2046"/>
      <c r="AB796" s="2046"/>
      <c r="AC796" s="2046"/>
    </row>
    <row r="797" spans="1:29">
      <c r="A797" s="2046"/>
      <c r="B797" s="2046"/>
      <c r="C797" s="2046"/>
      <c r="D797" s="2046"/>
      <c r="E797" s="2046"/>
      <c r="F797" s="2046"/>
      <c r="G797" s="2046"/>
      <c r="H797" s="2046"/>
      <c r="I797" s="2046"/>
      <c r="J797" s="2046"/>
      <c r="K797" s="2047"/>
      <c r="L797" s="2048"/>
      <c r="M797" s="2046"/>
      <c r="N797" s="2046"/>
      <c r="O797" s="2046"/>
      <c r="P797" s="2086"/>
      <c r="Q797" s="2046"/>
      <c r="R797" s="2046"/>
      <c r="S797" s="2046"/>
      <c r="T797" s="2046"/>
      <c r="U797" s="2046"/>
      <c r="V797" s="2046"/>
      <c r="W797" s="2046"/>
      <c r="X797" s="2046"/>
      <c r="Y797" s="2046"/>
      <c r="Z797" s="2046"/>
      <c r="AA797" s="2046"/>
      <c r="AB797" s="2046"/>
      <c r="AC797" s="2046"/>
    </row>
    <row r="798" spans="1:29">
      <c r="A798" s="2046"/>
      <c r="B798" s="2046"/>
      <c r="C798" s="2046"/>
      <c r="D798" s="2046"/>
      <c r="E798" s="2046"/>
      <c r="F798" s="2046"/>
      <c r="G798" s="2046"/>
      <c r="H798" s="2046"/>
      <c r="I798" s="2046"/>
      <c r="J798" s="2046"/>
      <c r="K798" s="2047"/>
      <c r="L798" s="2048"/>
      <c r="M798" s="2046"/>
      <c r="N798" s="2046"/>
      <c r="O798" s="2046"/>
      <c r="P798" s="2086"/>
      <c r="Q798" s="2046"/>
      <c r="R798" s="2046"/>
      <c r="S798" s="2046"/>
      <c r="T798" s="2046"/>
      <c r="U798" s="2046"/>
      <c r="V798" s="2046"/>
      <c r="W798" s="2046"/>
      <c r="X798" s="2046"/>
      <c r="Y798" s="2046"/>
      <c r="Z798" s="2046"/>
      <c r="AA798" s="2046"/>
      <c r="AB798" s="2046"/>
      <c r="AC798" s="2046"/>
    </row>
    <row r="799" spans="1:29">
      <c r="A799" s="2046"/>
      <c r="B799" s="2046"/>
      <c r="C799" s="2046"/>
      <c r="D799" s="2046"/>
      <c r="E799" s="2046"/>
      <c r="F799" s="2046"/>
      <c r="G799" s="2046"/>
      <c r="H799" s="2046"/>
      <c r="I799" s="2046"/>
      <c r="J799" s="2046"/>
      <c r="K799" s="2047"/>
      <c r="L799" s="2048"/>
      <c r="M799" s="2046"/>
      <c r="N799" s="2046"/>
      <c r="O799" s="2046"/>
      <c r="P799" s="2086"/>
      <c r="Q799" s="2046"/>
      <c r="R799" s="2046"/>
      <c r="S799" s="2046"/>
      <c r="T799" s="2046"/>
      <c r="U799" s="2046"/>
      <c r="V799" s="2046"/>
      <c r="W799" s="2046"/>
      <c r="X799" s="2046"/>
      <c r="Y799" s="2046"/>
      <c r="Z799" s="2046"/>
      <c r="AA799" s="2046"/>
      <c r="AB799" s="2046"/>
      <c r="AC799" s="2046"/>
    </row>
    <row r="800" spans="1:29">
      <c r="A800" s="2046"/>
      <c r="B800" s="2046"/>
      <c r="C800" s="2046"/>
      <c r="D800" s="2046"/>
      <c r="E800" s="2046"/>
      <c r="F800" s="2046"/>
      <c r="G800" s="2046"/>
      <c r="H800" s="2046"/>
      <c r="I800" s="2046"/>
      <c r="J800" s="2046"/>
      <c r="K800" s="2047"/>
      <c r="L800" s="2048"/>
      <c r="M800" s="2046"/>
      <c r="N800" s="2046"/>
      <c r="O800" s="2046"/>
      <c r="P800" s="2086"/>
      <c r="Q800" s="2046"/>
      <c r="R800" s="2046"/>
      <c r="S800" s="2046"/>
      <c r="T800" s="2046"/>
      <c r="U800" s="2046"/>
      <c r="V800" s="2046"/>
      <c r="W800" s="2046"/>
      <c r="X800" s="2046"/>
      <c r="Y800" s="2046"/>
      <c r="Z800" s="2046"/>
      <c r="AA800" s="2046"/>
      <c r="AB800" s="2046"/>
      <c r="AC800" s="2046"/>
    </row>
    <row r="801" spans="1:29">
      <c r="A801" s="2046"/>
      <c r="B801" s="2046"/>
      <c r="C801" s="2046"/>
      <c r="D801" s="2046"/>
      <c r="E801" s="2046"/>
      <c r="F801" s="2046"/>
      <c r="G801" s="2046"/>
      <c r="H801" s="2046"/>
      <c r="I801" s="2046"/>
      <c r="J801" s="2046"/>
      <c r="K801" s="2047"/>
      <c r="L801" s="2048"/>
      <c r="M801" s="2046"/>
      <c r="N801" s="2046"/>
      <c r="O801" s="2046"/>
      <c r="P801" s="2086"/>
      <c r="Q801" s="2046"/>
      <c r="R801" s="2046"/>
      <c r="S801" s="2046"/>
      <c r="T801" s="2046"/>
      <c r="U801" s="2046"/>
      <c r="V801" s="2046"/>
      <c r="W801" s="2046"/>
      <c r="X801" s="2046"/>
      <c r="Y801" s="2046"/>
      <c r="Z801" s="2046"/>
      <c r="AA801" s="2046"/>
      <c r="AB801" s="2046"/>
      <c r="AC801" s="2046"/>
    </row>
    <row r="802" spans="1:29">
      <c r="A802" s="2046"/>
      <c r="B802" s="2046"/>
      <c r="C802" s="2046"/>
      <c r="D802" s="2046"/>
      <c r="E802" s="2046"/>
      <c r="F802" s="2046"/>
      <c r="G802" s="2046"/>
      <c r="H802" s="2046"/>
      <c r="I802" s="2046"/>
      <c r="J802" s="2046"/>
      <c r="K802" s="2047"/>
      <c r="L802" s="2048"/>
      <c r="M802" s="2046"/>
      <c r="N802" s="2046"/>
      <c r="O802" s="2046"/>
      <c r="P802" s="2086"/>
      <c r="Q802" s="2046"/>
      <c r="R802" s="2046"/>
      <c r="S802" s="2046"/>
      <c r="T802" s="2046"/>
      <c r="U802" s="2046"/>
      <c r="V802" s="2046"/>
      <c r="W802" s="2046"/>
      <c r="X802" s="2046"/>
      <c r="Y802" s="2046"/>
      <c r="Z802" s="2046"/>
      <c r="AA802" s="2046"/>
      <c r="AB802" s="2046"/>
      <c r="AC802" s="2046"/>
    </row>
    <row r="803" spans="1:29">
      <c r="A803" s="2046"/>
      <c r="B803" s="2046"/>
      <c r="C803" s="2046"/>
      <c r="D803" s="2046"/>
      <c r="E803" s="2046"/>
      <c r="F803" s="2046"/>
      <c r="G803" s="2046"/>
      <c r="H803" s="2046"/>
      <c r="I803" s="2046"/>
      <c r="J803" s="2046"/>
      <c r="K803" s="2047"/>
      <c r="L803" s="2048"/>
      <c r="M803" s="2046"/>
      <c r="N803" s="2046"/>
      <c r="O803" s="2046"/>
      <c r="P803" s="2086"/>
      <c r="Q803" s="2046"/>
      <c r="R803" s="2046"/>
      <c r="S803" s="2046"/>
      <c r="T803" s="2046"/>
      <c r="U803" s="2046"/>
      <c r="V803" s="2046"/>
      <c r="W803" s="2046"/>
      <c r="X803" s="2046"/>
      <c r="Y803" s="2046"/>
      <c r="Z803" s="2046"/>
      <c r="AA803" s="2046"/>
      <c r="AB803" s="2046"/>
      <c r="AC803" s="2046"/>
    </row>
    <row r="804" spans="1:29">
      <c r="A804" s="2046"/>
      <c r="B804" s="2046"/>
      <c r="C804" s="2046"/>
      <c r="D804" s="2046"/>
      <c r="E804" s="2046"/>
      <c r="F804" s="2046"/>
      <c r="G804" s="2046"/>
      <c r="H804" s="2046"/>
      <c r="I804" s="2046"/>
      <c r="J804" s="2046"/>
      <c r="K804" s="2047"/>
      <c r="L804" s="2048"/>
      <c r="M804" s="2046"/>
      <c r="N804" s="2046"/>
      <c r="O804" s="2046"/>
      <c r="P804" s="2086"/>
      <c r="Q804" s="2046"/>
      <c r="R804" s="2046"/>
      <c r="S804" s="2046"/>
      <c r="T804" s="2046"/>
      <c r="U804" s="2046"/>
      <c r="V804" s="2046"/>
      <c r="W804" s="2046"/>
      <c r="X804" s="2046"/>
      <c r="Y804" s="2046"/>
      <c r="Z804" s="2046"/>
      <c r="AA804" s="2046"/>
      <c r="AB804" s="2046"/>
      <c r="AC804" s="2046"/>
    </row>
    <row r="805" spans="1:29">
      <c r="A805" s="2046"/>
      <c r="B805" s="2046"/>
      <c r="C805" s="2046"/>
      <c r="D805" s="2046"/>
      <c r="E805" s="2046"/>
      <c r="F805" s="2046"/>
      <c r="G805" s="2046"/>
      <c r="H805" s="2046"/>
      <c r="I805" s="2046"/>
      <c r="J805" s="2046"/>
      <c r="K805" s="2047"/>
      <c r="L805" s="2048"/>
      <c r="M805" s="2046"/>
      <c r="N805" s="2046"/>
      <c r="O805" s="2046"/>
      <c r="P805" s="2086"/>
      <c r="Q805" s="2046"/>
      <c r="R805" s="2046"/>
      <c r="S805" s="2046"/>
      <c r="T805" s="2046"/>
      <c r="U805" s="2046"/>
      <c r="V805" s="2046"/>
      <c r="W805" s="2046"/>
      <c r="X805" s="2046"/>
      <c r="Y805" s="2046"/>
      <c r="Z805" s="2046"/>
      <c r="AA805" s="2046"/>
      <c r="AB805" s="2046"/>
      <c r="AC805" s="2046"/>
    </row>
    <row r="806" spans="1:29">
      <c r="A806" s="2046"/>
      <c r="B806" s="2046"/>
      <c r="C806" s="2046"/>
      <c r="D806" s="2046"/>
      <c r="E806" s="2046"/>
      <c r="F806" s="2046"/>
      <c r="G806" s="2046"/>
      <c r="H806" s="2046"/>
      <c r="I806" s="2046"/>
      <c r="J806" s="2046"/>
      <c r="K806" s="2047"/>
      <c r="L806" s="2048"/>
      <c r="M806" s="2046"/>
      <c r="N806" s="2046"/>
      <c r="O806" s="2046"/>
      <c r="P806" s="2086"/>
      <c r="Q806" s="2046"/>
      <c r="R806" s="2046"/>
      <c r="S806" s="2046"/>
      <c r="T806" s="2046"/>
      <c r="U806" s="2046"/>
      <c r="V806" s="2046"/>
      <c r="W806" s="2046"/>
      <c r="X806" s="2046"/>
      <c r="Y806" s="2046"/>
      <c r="Z806" s="2046"/>
      <c r="AA806" s="2046"/>
      <c r="AB806" s="2046"/>
      <c r="AC806" s="2046"/>
    </row>
    <row r="807" spans="1:29">
      <c r="A807" s="2046"/>
      <c r="B807" s="2046"/>
      <c r="C807" s="2046"/>
      <c r="D807" s="2046"/>
      <c r="E807" s="2046"/>
      <c r="F807" s="2046"/>
      <c r="G807" s="2046"/>
      <c r="H807" s="2046"/>
      <c r="I807" s="2046"/>
      <c r="J807" s="2046"/>
      <c r="K807" s="2047"/>
      <c r="L807" s="2048"/>
      <c r="M807" s="2046"/>
      <c r="N807" s="2046"/>
      <c r="O807" s="2046"/>
      <c r="P807" s="2086"/>
      <c r="Q807" s="2046"/>
      <c r="R807" s="2046"/>
      <c r="S807" s="2046"/>
      <c r="T807" s="2046"/>
      <c r="U807" s="2046"/>
      <c r="V807" s="2046"/>
      <c r="W807" s="2046"/>
      <c r="X807" s="2046"/>
      <c r="Y807" s="2046"/>
      <c r="Z807" s="2046"/>
      <c r="AA807" s="2046"/>
      <c r="AB807" s="2046"/>
      <c r="AC807" s="2046"/>
    </row>
    <row r="808" spans="1:29">
      <c r="A808" s="2046"/>
      <c r="B808" s="2046"/>
      <c r="C808" s="2046"/>
      <c r="D808" s="2046"/>
      <c r="E808" s="2046"/>
      <c r="F808" s="2046"/>
      <c r="G808" s="2046"/>
      <c r="H808" s="2046"/>
      <c r="I808" s="2046"/>
      <c r="J808" s="2046"/>
      <c r="K808" s="2047"/>
      <c r="L808" s="2048"/>
      <c r="M808" s="2046"/>
      <c r="N808" s="2046"/>
      <c r="O808" s="2046"/>
      <c r="P808" s="2086"/>
      <c r="Q808" s="2046"/>
      <c r="R808" s="2046"/>
      <c r="S808" s="2046"/>
      <c r="T808" s="2046"/>
      <c r="U808" s="2046"/>
      <c r="V808" s="2046"/>
      <c r="W808" s="2046"/>
      <c r="X808" s="2046"/>
      <c r="Y808" s="2046"/>
      <c r="Z808" s="2046"/>
      <c r="AA808" s="2046"/>
      <c r="AB808" s="2046"/>
      <c r="AC808" s="2046"/>
    </row>
    <row r="809" spans="1:29">
      <c r="A809" s="2046"/>
      <c r="B809" s="2046"/>
      <c r="C809" s="2046"/>
      <c r="D809" s="2046"/>
      <c r="E809" s="2046"/>
      <c r="F809" s="2046"/>
      <c r="G809" s="2046"/>
      <c r="H809" s="2046"/>
      <c r="I809" s="2046"/>
      <c r="J809" s="2046"/>
      <c r="K809" s="2047"/>
      <c r="L809" s="2048"/>
      <c r="M809" s="2046"/>
      <c r="N809" s="2046"/>
      <c r="O809" s="2046"/>
      <c r="P809" s="2086"/>
      <c r="Q809" s="2046"/>
      <c r="R809" s="2046"/>
      <c r="S809" s="2046"/>
      <c r="T809" s="2046"/>
      <c r="U809" s="2046"/>
      <c r="V809" s="2046"/>
      <c r="W809" s="2046"/>
      <c r="X809" s="2046"/>
      <c r="Y809" s="2046"/>
      <c r="Z809" s="2046"/>
      <c r="AA809" s="2046"/>
      <c r="AB809" s="2046"/>
      <c r="AC809" s="2046"/>
    </row>
    <row r="810" spans="1:29">
      <c r="A810" s="2046"/>
      <c r="B810" s="2046"/>
      <c r="C810" s="2046"/>
      <c r="D810" s="2046"/>
      <c r="E810" s="2046"/>
      <c r="F810" s="2046"/>
      <c r="G810" s="2046"/>
      <c r="H810" s="2046"/>
      <c r="I810" s="2046"/>
      <c r="J810" s="2046"/>
      <c r="K810" s="2047"/>
      <c r="L810" s="2048"/>
      <c r="M810" s="2046"/>
      <c r="N810" s="2046"/>
      <c r="O810" s="2046"/>
      <c r="P810" s="2086"/>
      <c r="Q810" s="2046"/>
      <c r="R810" s="2046"/>
      <c r="S810" s="2046"/>
      <c r="T810" s="2046"/>
      <c r="U810" s="2046"/>
      <c r="V810" s="2046"/>
      <c r="W810" s="2046"/>
      <c r="X810" s="2046"/>
      <c r="Y810" s="2046"/>
      <c r="Z810" s="2046"/>
      <c r="AA810" s="2046"/>
      <c r="AB810" s="2046"/>
      <c r="AC810" s="2046"/>
    </row>
    <row r="811" spans="1:29">
      <c r="A811" s="2046"/>
      <c r="B811" s="2046"/>
      <c r="C811" s="2046"/>
      <c r="D811" s="2046"/>
      <c r="E811" s="2046"/>
      <c r="F811" s="2046"/>
      <c r="G811" s="2046"/>
      <c r="H811" s="2046"/>
      <c r="I811" s="2046"/>
      <c r="J811" s="2046"/>
      <c r="K811" s="2047"/>
      <c r="L811" s="2048"/>
      <c r="M811" s="2046"/>
      <c r="N811" s="2046"/>
      <c r="O811" s="2046"/>
      <c r="P811" s="2086"/>
      <c r="Q811" s="2046"/>
      <c r="R811" s="2046"/>
      <c r="S811" s="2046"/>
      <c r="T811" s="2046"/>
      <c r="U811" s="2046"/>
      <c r="V811" s="2046"/>
      <c r="W811" s="2046"/>
      <c r="X811" s="2046"/>
      <c r="Y811" s="2046"/>
      <c r="Z811" s="2046"/>
      <c r="AA811" s="2046"/>
      <c r="AB811" s="2046"/>
      <c r="AC811" s="2046"/>
    </row>
    <row r="812" spans="1:29">
      <c r="A812" s="2046"/>
      <c r="B812" s="2046"/>
      <c r="C812" s="2046"/>
      <c r="D812" s="2046"/>
      <c r="E812" s="2046"/>
      <c r="F812" s="2046"/>
      <c r="G812" s="2046"/>
      <c r="H812" s="2046"/>
      <c r="I812" s="2046"/>
      <c r="J812" s="2046"/>
      <c r="K812" s="2047"/>
      <c r="L812" s="2048"/>
      <c r="M812" s="2046"/>
      <c r="N812" s="2046"/>
      <c r="O812" s="2046"/>
      <c r="P812" s="2086"/>
      <c r="Q812" s="2046"/>
      <c r="R812" s="2046"/>
      <c r="S812" s="2046"/>
      <c r="T812" s="2046"/>
      <c r="U812" s="2046"/>
      <c r="V812" s="2046"/>
      <c r="W812" s="2046"/>
      <c r="X812" s="2046"/>
      <c r="Y812" s="2046"/>
      <c r="Z812" s="2046"/>
      <c r="AA812" s="2046"/>
      <c r="AB812" s="2046"/>
      <c r="AC812" s="2046"/>
    </row>
    <row r="813" spans="1:29">
      <c r="A813" s="2046"/>
      <c r="B813" s="2046"/>
      <c r="C813" s="2046"/>
      <c r="D813" s="2046"/>
      <c r="E813" s="2046"/>
      <c r="F813" s="2046"/>
      <c r="G813" s="2046"/>
      <c r="H813" s="2046"/>
      <c r="I813" s="2046"/>
      <c r="J813" s="2046"/>
      <c r="K813" s="2047"/>
      <c r="L813" s="2048"/>
      <c r="M813" s="2046"/>
      <c r="N813" s="2046"/>
      <c r="O813" s="2046"/>
      <c r="P813" s="2086"/>
      <c r="Q813" s="2046"/>
      <c r="R813" s="2046"/>
      <c r="S813" s="2046"/>
      <c r="T813" s="2046"/>
      <c r="U813" s="2046"/>
      <c r="V813" s="2046"/>
      <c r="W813" s="2046"/>
      <c r="X813" s="2046"/>
      <c r="Y813" s="2046"/>
      <c r="Z813" s="2046"/>
      <c r="AA813" s="2046"/>
      <c r="AB813" s="2046"/>
      <c r="AC813" s="2046"/>
    </row>
    <row r="814" spans="1:29">
      <c r="A814" s="2046"/>
      <c r="B814" s="2046"/>
      <c r="C814" s="2046"/>
      <c r="D814" s="2046"/>
      <c r="E814" s="2046"/>
      <c r="F814" s="2046"/>
      <c r="G814" s="2046"/>
      <c r="H814" s="2046"/>
      <c r="I814" s="2046"/>
      <c r="J814" s="2046"/>
      <c r="K814" s="2047"/>
      <c r="L814" s="2048"/>
      <c r="M814" s="2046"/>
      <c r="N814" s="2046"/>
      <c r="O814" s="2046"/>
      <c r="P814" s="2086"/>
      <c r="Q814" s="2046"/>
      <c r="R814" s="2046"/>
      <c r="S814" s="2046"/>
      <c r="T814" s="2046"/>
      <c r="U814" s="2046"/>
      <c r="V814" s="2046"/>
      <c r="W814" s="2046"/>
      <c r="X814" s="2046"/>
      <c r="Y814" s="2046"/>
      <c r="Z814" s="2046"/>
      <c r="AA814" s="2046"/>
      <c r="AB814" s="2046"/>
      <c r="AC814" s="2046"/>
    </row>
    <row r="815" spans="1:29">
      <c r="A815" s="2046"/>
      <c r="B815" s="2046"/>
      <c r="C815" s="2046"/>
      <c r="D815" s="2046"/>
      <c r="E815" s="2046"/>
      <c r="F815" s="2046"/>
      <c r="G815" s="2046"/>
      <c r="H815" s="2046"/>
      <c r="I815" s="2046"/>
      <c r="J815" s="2046"/>
      <c r="K815" s="2047"/>
      <c r="L815" s="2048"/>
      <c r="M815" s="2046"/>
      <c r="N815" s="2046"/>
      <c r="O815" s="2046"/>
      <c r="P815" s="2086"/>
      <c r="Q815" s="2046"/>
      <c r="R815" s="2046"/>
      <c r="S815" s="2046"/>
      <c r="T815" s="2046"/>
      <c r="U815" s="2046"/>
      <c r="V815" s="2046"/>
      <c r="W815" s="2046"/>
      <c r="X815" s="2046"/>
      <c r="Y815" s="2046"/>
      <c r="Z815" s="2046"/>
      <c r="AA815" s="2046"/>
      <c r="AB815" s="2046"/>
      <c r="AC815" s="2046"/>
    </row>
    <row r="816" spans="1:29">
      <c r="A816" s="2046"/>
      <c r="B816" s="2046"/>
      <c r="C816" s="2046"/>
      <c r="D816" s="2046"/>
      <c r="E816" s="2046"/>
      <c r="F816" s="2046"/>
      <c r="G816" s="2046"/>
      <c r="H816" s="2046"/>
      <c r="I816" s="2046"/>
      <c r="J816" s="2046"/>
      <c r="K816" s="2047"/>
      <c r="L816" s="2048"/>
      <c r="M816" s="2046"/>
      <c r="N816" s="2046"/>
      <c r="O816" s="2046"/>
      <c r="P816" s="2086"/>
      <c r="Q816" s="2046"/>
      <c r="R816" s="2046"/>
      <c r="S816" s="2046"/>
      <c r="T816" s="2046"/>
      <c r="U816" s="2046"/>
      <c r="V816" s="2046"/>
      <c r="W816" s="2046"/>
      <c r="X816" s="2046"/>
      <c r="Y816" s="2046"/>
      <c r="Z816" s="2046"/>
      <c r="AA816" s="2046"/>
      <c r="AB816" s="2046"/>
      <c r="AC816" s="2046"/>
    </row>
    <row r="817" spans="1:29">
      <c r="A817" s="2046"/>
      <c r="B817" s="2046"/>
      <c r="C817" s="2046"/>
      <c r="D817" s="2046"/>
      <c r="E817" s="2046"/>
      <c r="F817" s="2046"/>
      <c r="G817" s="2046"/>
      <c r="H817" s="2046"/>
      <c r="I817" s="2046"/>
      <c r="J817" s="2046"/>
      <c r="K817" s="2047"/>
      <c r="L817" s="2048"/>
      <c r="M817" s="2046"/>
      <c r="N817" s="2046"/>
      <c r="O817" s="2046"/>
      <c r="P817" s="2086"/>
      <c r="Q817" s="2046"/>
      <c r="R817" s="2046"/>
      <c r="S817" s="2046"/>
      <c r="T817" s="2046"/>
      <c r="U817" s="2046"/>
      <c r="V817" s="2046"/>
      <c r="W817" s="2046"/>
      <c r="X817" s="2046"/>
      <c r="Y817" s="2046"/>
      <c r="Z817" s="2046"/>
      <c r="AA817" s="2046"/>
      <c r="AB817" s="2046"/>
      <c r="AC817" s="2046"/>
    </row>
    <row r="818" spans="1:29">
      <c r="A818" s="2046"/>
      <c r="B818" s="2046"/>
      <c r="C818" s="2046"/>
      <c r="D818" s="2046"/>
      <c r="E818" s="2046"/>
      <c r="F818" s="2046"/>
      <c r="G818" s="2046"/>
      <c r="H818" s="2046"/>
      <c r="I818" s="2046"/>
      <c r="J818" s="2046"/>
      <c r="K818" s="2047"/>
      <c r="L818" s="2048"/>
      <c r="M818" s="2046"/>
      <c r="N818" s="2046"/>
      <c r="O818" s="2046"/>
      <c r="P818" s="2086"/>
      <c r="Q818" s="2046"/>
      <c r="R818" s="2046"/>
      <c r="S818" s="2046"/>
      <c r="T818" s="2046"/>
      <c r="U818" s="2046"/>
      <c r="V818" s="2046"/>
      <c r="W818" s="2046"/>
      <c r="X818" s="2046"/>
      <c r="Y818" s="2046"/>
      <c r="Z818" s="2046"/>
      <c r="AA818" s="2046"/>
      <c r="AB818" s="2046"/>
      <c r="AC818" s="2046"/>
    </row>
    <row r="819" spans="1:29">
      <c r="A819" s="2046"/>
      <c r="B819" s="2046"/>
      <c r="C819" s="2046"/>
      <c r="D819" s="2046"/>
      <c r="E819" s="2046"/>
      <c r="F819" s="2046"/>
      <c r="G819" s="2046"/>
      <c r="H819" s="2046"/>
      <c r="I819" s="2046"/>
      <c r="J819" s="2046"/>
      <c r="K819" s="2047"/>
      <c r="L819" s="2048"/>
      <c r="M819" s="2046"/>
      <c r="N819" s="2046"/>
      <c r="O819" s="2046"/>
      <c r="P819" s="2086"/>
      <c r="Q819" s="2046"/>
      <c r="R819" s="2046"/>
      <c r="S819" s="2046"/>
      <c r="T819" s="2046"/>
      <c r="U819" s="2046"/>
      <c r="V819" s="2046"/>
      <c r="W819" s="2046"/>
      <c r="X819" s="2046"/>
      <c r="Y819" s="2046"/>
      <c r="Z819" s="2046"/>
      <c r="AA819" s="2046"/>
      <c r="AB819" s="2046"/>
      <c r="AC819" s="2046"/>
    </row>
    <row r="820" spans="1:29">
      <c r="A820" s="2046"/>
      <c r="B820" s="2046"/>
      <c r="C820" s="2046"/>
      <c r="D820" s="2046"/>
      <c r="E820" s="2046"/>
      <c r="F820" s="2046"/>
      <c r="G820" s="2046"/>
      <c r="H820" s="2046"/>
      <c r="I820" s="2046"/>
      <c r="J820" s="2046"/>
      <c r="K820" s="2047"/>
      <c r="L820" s="2048"/>
      <c r="M820" s="2046"/>
      <c r="N820" s="2046"/>
      <c r="O820" s="2046"/>
      <c r="P820" s="2086"/>
      <c r="Q820" s="2046"/>
      <c r="R820" s="2046"/>
      <c r="S820" s="2046"/>
      <c r="T820" s="2046"/>
      <c r="U820" s="2046"/>
      <c r="V820" s="2046"/>
      <c r="W820" s="2046"/>
      <c r="X820" s="2046"/>
      <c r="Y820" s="2046"/>
      <c r="Z820" s="2046"/>
      <c r="AA820" s="2046"/>
      <c r="AB820" s="2046"/>
      <c r="AC820" s="2046"/>
    </row>
    <row r="821" spans="1:29">
      <c r="A821" s="2046"/>
      <c r="B821" s="2046"/>
      <c r="C821" s="2046"/>
      <c r="D821" s="2046"/>
      <c r="E821" s="2046"/>
      <c r="F821" s="2046"/>
      <c r="G821" s="2046"/>
      <c r="H821" s="2046"/>
      <c r="I821" s="2046"/>
      <c r="J821" s="2046"/>
      <c r="K821" s="2047"/>
      <c r="L821" s="2048"/>
      <c r="M821" s="2046"/>
      <c r="N821" s="2046"/>
      <c r="O821" s="2046"/>
      <c r="P821" s="2086"/>
      <c r="Q821" s="2046"/>
      <c r="R821" s="2046"/>
      <c r="S821" s="2046"/>
      <c r="T821" s="2046"/>
      <c r="U821" s="2046"/>
      <c r="V821" s="2046"/>
      <c r="W821" s="2046"/>
      <c r="X821" s="2046"/>
      <c r="Y821" s="2046"/>
      <c r="Z821" s="2046"/>
      <c r="AA821" s="2046"/>
      <c r="AB821" s="2046"/>
      <c r="AC821" s="2046"/>
    </row>
    <row r="822" spans="1:29">
      <c r="A822" s="2046"/>
      <c r="B822" s="2046"/>
      <c r="C822" s="2046"/>
      <c r="D822" s="2046"/>
      <c r="E822" s="2046"/>
      <c r="F822" s="2046"/>
      <c r="G822" s="2046"/>
      <c r="H822" s="2046"/>
      <c r="I822" s="2046"/>
      <c r="J822" s="2046"/>
      <c r="K822" s="2047"/>
      <c r="L822" s="2048"/>
      <c r="M822" s="2046"/>
      <c r="N822" s="2046"/>
      <c r="O822" s="2046"/>
      <c r="P822" s="2086"/>
      <c r="Q822" s="2046"/>
      <c r="R822" s="2046"/>
      <c r="S822" s="2046"/>
      <c r="T822" s="2046"/>
      <c r="U822" s="2046"/>
      <c r="V822" s="2046"/>
      <c r="W822" s="2046"/>
      <c r="X822" s="2046"/>
      <c r="Y822" s="2046"/>
      <c r="Z822" s="2046"/>
      <c r="AA822" s="2046"/>
      <c r="AB822" s="2046"/>
      <c r="AC822" s="2046"/>
    </row>
    <row r="823" spans="1:29">
      <c r="A823" s="2046"/>
      <c r="B823" s="2046"/>
      <c r="C823" s="2046"/>
      <c r="D823" s="2046"/>
      <c r="E823" s="2046"/>
      <c r="F823" s="2046"/>
      <c r="G823" s="2046"/>
      <c r="H823" s="2046"/>
      <c r="I823" s="2046"/>
      <c r="J823" s="2046"/>
      <c r="K823" s="2047"/>
      <c r="L823" s="2048"/>
      <c r="M823" s="2046"/>
      <c r="N823" s="2046"/>
      <c r="O823" s="2046"/>
      <c r="P823" s="2086"/>
      <c r="Q823" s="2046"/>
      <c r="R823" s="2046"/>
      <c r="S823" s="2046"/>
      <c r="T823" s="2046"/>
      <c r="U823" s="2046"/>
      <c r="V823" s="2046"/>
      <c r="W823" s="2046"/>
      <c r="X823" s="2046"/>
      <c r="Y823" s="2046"/>
      <c r="Z823" s="2046"/>
      <c r="AA823" s="2046"/>
      <c r="AB823" s="2046"/>
      <c r="AC823" s="2046"/>
    </row>
    <row r="824" spans="1:29">
      <c r="A824" s="2046"/>
      <c r="B824" s="2046"/>
      <c r="C824" s="2046"/>
      <c r="D824" s="2046"/>
      <c r="E824" s="2046"/>
      <c r="F824" s="2046"/>
      <c r="G824" s="2046"/>
      <c r="H824" s="2046"/>
      <c r="I824" s="2046"/>
      <c r="J824" s="2046"/>
      <c r="K824" s="2047"/>
      <c r="L824" s="2048"/>
      <c r="M824" s="2046"/>
      <c r="N824" s="2046"/>
      <c r="O824" s="2046"/>
      <c r="P824" s="2086"/>
      <c r="Q824" s="2046"/>
      <c r="R824" s="2046"/>
      <c r="S824" s="2046"/>
      <c r="T824" s="2046"/>
      <c r="U824" s="2046"/>
      <c r="V824" s="2046"/>
      <c r="W824" s="2046"/>
      <c r="X824" s="2046"/>
      <c r="Y824" s="2046"/>
      <c r="Z824" s="2046"/>
      <c r="AA824" s="2046"/>
      <c r="AB824" s="2046"/>
      <c r="AC824" s="2046"/>
    </row>
    <row r="825" spans="1:29">
      <c r="A825" s="2046"/>
      <c r="B825" s="2046"/>
      <c r="C825" s="2046"/>
      <c r="D825" s="2046"/>
      <c r="E825" s="2046"/>
      <c r="F825" s="2046"/>
      <c r="G825" s="2046"/>
      <c r="H825" s="2046"/>
      <c r="I825" s="2046"/>
      <c r="J825" s="2046"/>
      <c r="K825" s="2047"/>
      <c r="L825" s="2048"/>
      <c r="M825" s="2046"/>
      <c r="N825" s="2046"/>
      <c r="O825" s="2046"/>
      <c r="P825" s="2086"/>
      <c r="Q825" s="2046"/>
      <c r="R825" s="2046"/>
      <c r="S825" s="2046"/>
      <c r="T825" s="2046"/>
      <c r="U825" s="2046"/>
      <c r="V825" s="2046"/>
      <c r="W825" s="2046"/>
      <c r="X825" s="2046"/>
      <c r="Y825" s="2046"/>
      <c r="Z825" s="2046"/>
      <c r="AA825" s="2046"/>
      <c r="AB825" s="2046"/>
      <c r="AC825" s="2046"/>
    </row>
    <row r="826" spans="1:29">
      <c r="A826" s="2046"/>
      <c r="B826" s="2046"/>
      <c r="C826" s="2046"/>
      <c r="D826" s="2046"/>
      <c r="E826" s="2046"/>
      <c r="F826" s="2046"/>
      <c r="G826" s="2046"/>
      <c r="H826" s="2046"/>
      <c r="I826" s="2046"/>
      <c r="J826" s="2046"/>
      <c r="K826" s="2047"/>
      <c r="L826" s="2048"/>
      <c r="M826" s="2046"/>
      <c r="N826" s="2046"/>
      <c r="O826" s="2046"/>
      <c r="P826" s="2086"/>
      <c r="Q826" s="2046"/>
      <c r="R826" s="2046"/>
      <c r="S826" s="2046"/>
      <c r="T826" s="2046"/>
      <c r="U826" s="2046"/>
      <c r="V826" s="2046"/>
      <c r="W826" s="2046"/>
      <c r="X826" s="2046"/>
      <c r="Y826" s="2046"/>
      <c r="Z826" s="2046"/>
      <c r="AA826" s="2046"/>
      <c r="AB826" s="2046"/>
      <c r="AC826" s="2046"/>
    </row>
    <row r="827" spans="1:29">
      <c r="A827" s="2046"/>
      <c r="B827" s="2046"/>
      <c r="C827" s="2046"/>
      <c r="D827" s="2046"/>
      <c r="E827" s="2046"/>
      <c r="F827" s="2046"/>
      <c r="G827" s="2046"/>
      <c r="H827" s="2046"/>
      <c r="I827" s="2046"/>
      <c r="J827" s="2046"/>
      <c r="K827" s="2047"/>
      <c r="L827" s="2048"/>
      <c r="M827" s="2046"/>
      <c r="N827" s="2046"/>
      <c r="O827" s="2046"/>
      <c r="P827" s="2086"/>
      <c r="Q827" s="2046"/>
      <c r="R827" s="2046"/>
      <c r="S827" s="2046"/>
      <c r="T827" s="2046"/>
      <c r="U827" s="2046"/>
      <c r="V827" s="2046"/>
      <c r="W827" s="2046"/>
      <c r="X827" s="2046"/>
      <c r="Y827" s="2046"/>
      <c r="Z827" s="2046"/>
      <c r="AA827" s="2046"/>
      <c r="AB827" s="2046"/>
      <c r="AC827" s="2046"/>
    </row>
    <row r="828" spans="1:29">
      <c r="A828" s="2046"/>
      <c r="B828" s="2046"/>
      <c r="C828" s="2046"/>
      <c r="D828" s="2046"/>
      <c r="E828" s="2046"/>
      <c r="F828" s="2046"/>
      <c r="G828" s="2046"/>
      <c r="H828" s="2046"/>
      <c r="I828" s="2046"/>
      <c r="J828" s="2046"/>
      <c r="K828" s="2047"/>
      <c r="L828" s="2048"/>
      <c r="M828" s="2046"/>
      <c r="N828" s="2046"/>
      <c r="O828" s="2046"/>
      <c r="P828" s="2086"/>
      <c r="Q828" s="2046"/>
      <c r="R828" s="2046"/>
      <c r="S828" s="2046"/>
      <c r="T828" s="2046"/>
      <c r="U828" s="2046"/>
      <c r="V828" s="2046"/>
      <c r="W828" s="2046"/>
      <c r="X828" s="2046"/>
      <c r="Y828" s="2046"/>
      <c r="Z828" s="2046"/>
      <c r="AA828" s="2046"/>
      <c r="AB828" s="2046"/>
      <c r="AC828" s="2046"/>
    </row>
    <row r="829" spans="1:29">
      <c r="A829" s="2046"/>
      <c r="B829" s="2046"/>
      <c r="C829" s="2046"/>
      <c r="D829" s="2046"/>
      <c r="E829" s="2046"/>
      <c r="F829" s="2046"/>
      <c r="G829" s="2046"/>
      <c r="H829" s="2046"/>
      <c r="I829" s="2046"/>
      <c r="J829" s="2046"/>
      <c r="K829" s="2047"/>
      <c r="L829" s="2048"/>
      <c r="M829" s="2046"/>
      <c r="N829" s="2046"/>
      <c r="O829" s="2046"/>
      <c r="P829" s="2086"/>
      <c r="Q829" s="2046"/>
      <c r="R829" s="2046"/>
      <c r="S829" s="2046"/>
      <c r="T829" s="2046"/>
      <c r="U829" s="2046"/>
      <c r="V829" s="2046"/>
      <c r="W829" s="2046"/>
      <c r="X829" s="2046"/>
      <c r="Y829" s="2046"/>
      <c r="Z829" s="2046"/>
      <c r="AA829" s="2046"/>
      <c r="AB829" s="2046"/>
      <c r="AC829" s="2046"/>
    </row>
    <row r="830" spans="1:29">
      <c r="A830" s="2046"/>
      <c r="B830" s="2046"/>
      <c r="C830" s="2046"/>
      <c r="D830" s="2046"/>
      <c r="E830" s="2046"/>
      <c r="F830" s="2046"/>
      <c r="G830" s="2046"/>
      <c r="H830" s="2046"/>
      <c r="I830" s="2046"/>
      <c r="J830" s="2046"/>
      <c r="K830" s="2047"/>
      <c r="L830" s="2048"/>
      <c r="M830" s="2046"/>
      <c r="N830" s="2046"/>
      <c r="O830" s="2046"/>
      <c r="P830" s="2086"/>
      <c r="Q830" s="2046"/>
      <c r="R830" s="2046"/>
      <c r="S830" s="2046"/>
      <c r="T830" s="2046"/>
      <c r="U830" s="2046"/>
      <c r="V830" s="2046"/>
      <c r="W830" s="2046"/>
      <c r="X830" s="2046"/>
      <c r="Y830" s="2046"/>
      <c r="Z830" s="2046"/>
      <c r="AA830" s="2046"/>
      <c r="AB830" s="2046"/>
      <c r="AC830" s="2046"/>
    </row>
    <row r="831" spans="1:29">
      <c r="A831" s="2046"/>
      <c r="B831" s="2046"/>
      <c r="C831" s="2046"/>
      <c r="D831" s="2046"/>
      <c r="E831" s="2046"/>
      <c r="F831" s="2046"/>
      <c r="G831" s="2046"/>
      <c r="H831" s="2046"/>
      <c r="I831" s="2046"/>
      <c r="J831" s="2046"/>
      <c r="K831" s="2047"/>
      <c r="L831" s="2048"/>
      <c r="M831" s="2046"/>
      <c r="N831" s="2046"/>
      <c r="O831" s="2046"/>
      <c r="P831" s="2086"/>
      <c r="Q831" s="2046"/>
      <c r="R831" s="2046"/>
      <c r="S831" s="2046"/>
      <c r="T831" s="2046"/>
      <c r="U831" s="2046"/>
      <c r="V831" s="2046"/>
      <c r="W831" s="2046"/>
      <c r="X831" s="2046"/>
      <c r="Y831" s="2046"/>
      <c r="Z831" s="2046"/>
      <c r="AA831" s="2046"/>
      <c r="AB831" s="2046"/>
      <c r="AC831" s="2046"/>
    </row>
    <row r="832" spans="1:29">
      <c r="A832" s="2046"/>
      <c r="B832" s="2046"/>
      <c r="C832" s="2046"/>
      <c r="D832" s="2046"/>
      <c r="E832" s="2046"/>
      <c r="F832" s="2046"/>
      <c r="G832" s="2046"/>
      <c r="H832" s="2046"/>
      <c r="I832" s="2046"/>
      <c r="J832" s="2046"/>
      <c r="K832" s="2047"/>
      <c r="L832" s="2048"/>
      <c r="M832" s="2046"/>
      <c r="N832" s="2046"/>
      <c r="O832" s="2046"/>
      <c r="P832" s="2086"/>
      <c r="Q832" s="2046"/>
      <c r="R832" s="2046"/>
      <c r="S832" s="2046"/>
      <c r="T832" s="2046"/>
      <c r="U832" s="2046"/>
      <c r="V832" s="2046"/>
      <c r="W832" s="2046"/>
      <c r="X832" s="2046"/>
      <c r="Y832" s="2046"/>
      <c r="Z832" s="2046"/>
      <c r="AA832" s="2046"/>
      <c r="AB832" s="2046"/>
      <c r="AC832" s="2046"/>
    </row>
    <row r="833" spans="1:29">
      <c r="A833" s="2046"/>
      <c r="B833" s="2046"/>
      <c r="C833" s="2046"/>
      <c r="D833" s="2046"/>
      <c r="E833" s="2046"/>
      <c r="F833" s="2046"/>
      <c r="G833" s="2046"/>
      <c r="H833" s="2046"/>
      <c r="I833" s="2046"/>
      <c r="J833" s="2046"/>
      <c r="K833" s="2047"/>
      <c r="L833" s="2048"/>
      <c r="M833" s="2046"/>
      <c r="N833" s="2046"/>
      <c r="O833" s="2046"/>
      <c r="P833" s="2086"/>
      <c r="Q833" s="2046"/>
      <c r="R833" s="2046"/>
      <c r="S833" s="2046"/>
      <c r="T833" s="2046"/>
      <c r="U833" s="2046"/>
      <c r="V833" s="2046"/>
      <c r="W833" s="2046"/>
      <c r="X833" s="2046"/>
      <c r="Y833" s="2046"/>
      <c r="Z833" s="2046"/>
      <c r="AA833" s="2046"/>
      <c r="AB833" s="2046"/>
      <c r="AC833" s="2046"/>
    </row>
    <row r="834" spans="1:29">
      <c r="A834" s="2046"/>
      <c r="B834" s="2046"/>
      <c r="C834" s="2046"/>
      <c r="D834" s="2046"/>
      <c r="E834" s="2046"/>
      <c r="F834" s="2046"/>
      <c r="G834" s="2046"/>
      <c r="H834" s="2046"/>
      <c r="I834" s="2046"/>
      <c r="J834" s="2046"/>
      <c r="K834" s="2047"/>
      <c r="L834" s="2048"/>
      <c r="M834" s="2046"/>
      <c r="N834" s="2046"/>
      <c r="O834" s="2046"/>
      <c r="P834" s="2086"/>
      <c r="Q834" s="2046"/>
      <c r="R834" s="2046"/>
      <c r="S834" s="2046"/>
      <c r="T834" s="2046"/>
      <c r="U834" s="2046"/>
      <c r="V834" s="2046"/>
      <c r="W834" s="2046"/>
      <c r="X834" s="2046"/>
      <c r="Y834" s="2046"/>
      <c r="Z834" s="2046"/>
      <c r="AA834" s="2046"/>
      <c r="AB834" s="2046"/>
      <c r="AC834" s="2046"/>
    </row>
    <row r="835" spans="1:29">
      <c r="A835" s="2046"/>
      <c r="B835" s="2046"/>
      <c r="C835" s="2046"/>
      <c r="D835" s="2046"/>
      <c r="E835" s="2046"/>
      <c r="F835" s="2046"/>
      <c r="G835" s="2046"/>
      <c r="H835" s="2046"/>
      <c r="I835" s="2046"/>
      <c r="J835" s="2046"/>
      <c r="K835" s="2047"/>
      <c r="L835" s="2048"/>
      <c r="M835" s="2046"/>
      <c r="N835" s="2046"/>
      <c r="O835" s="2046"/>
      <c r="P835" s="2086"/>
      <c r="Q835" s="2046"/>
      <c r="R835" s="2046"/>
      <c r="S835" s="2046"/>
      <c r="T835" s="2046"/>
      <c r="U835" s="2046"/>
      <c r="V835" s="2046"/>
      <c r="W835" s="2046"/>
      <c r="X835" s="2046"/>
      <c r="Y835" s="2046"/>
      <c r="Z835" s="2046"/>
      <c r="AA835" s="2046"/>
      <c r="AB835" s="2046"/>
      <c r="AC835" s="2046"/>
    </row>
    <row r="836" spans="1:29">
      <c r="A836" s="2046"/>
      <c r="B836" s="2046"/>
      <c r="C836" s="2046"/>
      <c r="D836" s="2046"/>
      <c r="E836" s="2046"/>
      <c r="F836" s="2046"/>
      <c r="G836" s="2046"/>
      <c r="H836" s="2046"/>
      <c r="I836" s="2046"/>
      <c r="J836" s="2046"/>
      <c r="K836" s="2047"/>
      <c r="L836" s="2048"/>
      <c r="M836" s="2046"/>
      <c r="N836" s="2046"/>
      <c r="O836" s="2046"/>
      <c r="P836" s="2086"/>
      <c r="Q836" s="2046"/>
      <c r="R836" s="2046"/>
      <c r="S836" s="2046"/>
      <c r="T836" s="2046"/>
      <c r="U836" s="2046"/>
      <c r="V836" s="2046"/>
      <c r="W836" s="2046"/>
      <c r="X836" s="2046"/>
      <c r="Y836" s="2046"/>
      <c r="Z836" s="2046"/>
      <c r="AA836" s="2046"/>
      <c r="AB836" s="2046"/>
      <c r="AC836" s="2046"/>
    </row>
    <row r="837" spans="1:29">
      <c r="A837" s="2046"/>
      <c r="B837" s="2046"/>
      <c r="C837" s="2046"/>
      <c r="D837" s="2046"/>
      <c r="E837" s="2046"/>
      <c r="F837" s="2046"/>
      <c r="G837" s="2046"/>
      <c r="H837" s="2046"/>
      <c r="I837" s="2046"/>
      <c r="J837" s="2046"/>
      <c r="K837" s="2047"/>
      <c r="L837" s="2048"/>
      <c r="M837" s="2046"/>
      <c r="N837" s="2046"/>
      <c r="O837" s="2046"/>
      <c r="P837" s="2086"/>
      <c r="Q837" s="2046"/>
      <c r="R837" s="2046"/>
      <c r="S837" s="2046"/>
      <c r="T837" s="2046"/>
      <c r="U837" s="2046"/>
      <c r="V837" s="2046"/>
      <c r="W837" s="2046"/>
      <c r="X837" s="2046"/>
      <c r="Y837" s="2046"/>
      <c r="Z837" s="2046"/>
      <c r="AA837" s="2046"/>
      <c r="AB837" s="2046"/>
      <c r="AC837" s="2046"/>
    </row>
    <row r="838" spans="1:29">
      <c r="A838" s="2046"/>
      <c r="B838" s="2046"/>
      <c r="C838" s="2046"/>
      <c r="D838" s="2046"/>
      <c r="E838" s="2046"/>
      <c r="F838" s="2046"/>
      <c r="G838" s="2046"/>
      <c r="H838" s="2046"/>
      <c r="I838" s="2046"/>
      <c r="J838" s="2046"/>
      <c r="K838" s="2047"/>
      <c r="L838" s="2048"/>
      <c r="M838" s="2046"/>
      <c r="N838" s="2046"/>
      <c r="O838" s="2046"/>
      <c r="P838" s="2086"/>
      <c r="Q838" s="2046"/>
      <c r="R838" s="2046"/>
      <c r="S838" s="2046"/>
      <c r="T838" s="2046"/>
      <c r="U838" s="2046"/>
      <c r="V838" s="2046"/>
      <c r="W838" s="2046"/>
      <c r="X838" s="2046"/>
      <c r="Y838" s="2046"/>
      <c r="Z838" s="2046"/>
      <c r="AA838" s="2046"/>
      <c r="AB838" s="2046"/>
      <c r="AC838" s="2046"/>
    </row>
    <row r="839" spans="1:29">
      <c r="A839" s="2046"/>
      <c r="B839" s="2046"/>
      <c r="C839" s="2046"/>
      <c r="D839" s="2046"/>
      <c r="E839" s="2046"/>
      <c r="F839" s="2046"/>
      <c r="G839" s="2046"/>
      <c r="H839" s="2046"/>
      <c r="I839" s="2046"/>
      <c r="J839" s="2046"/>
      <c r="K839" s="2047"/>
      <c r="L839" s="2048"/>
      <c r="M839" s="2046"/>
      <c r="N839" s="2046"/>
      <c r="O839" s="2046"/>
      <c r="P839" s="2086"/>
      <c r="Q839" s="2046"/>
      <c r="R839" s="2046"/>
      <c r="S839" s="2046"/>
      <c r="T839" s="2046"/>
      <c r="U839" s="2046"/>
      <c r="V839" s="2046"/>
      <c r="W839" s="2046"/>
      <c r="X839" s="2046"/>
      <c r="Y839" s="2046"/>
      <c r="Z839" s="2046"/>
      <c r="AA839" s="2046"/>
      <c r="AB839" s="2046"/>
      <c r="AC839" s="2046"/>
    </row>
    <row r="840" spans="1:29">
      <c r="A840" s="2046"/>
      <c r="B840" s="2046"/>
      <c r="C840" s="2046"/>
      <c r="D840" s="2046"/>
      <c r="E840" s="2046"/>
      <c r="F840" s="2046"/>
      <c r="G840" s="2046"/>
      <c r="H840" s="2046"/>
      <c r="I840" s="2046"/>
      <c r="J840" s="2046"/>
      <c r="K840" s="2047"/>
      <c r="L840" s="2048"/>
      <c r="M840" s="2046"/>
      <c r="N840" s="2046"/>
      <c r="O840" s="2046"/>
      <c r="P840" s="2086"/>
      <c r="Q840" s="2046"/>
      <c r="R840" s="2046"/>
      <c r="S840" s="2046"/>
      <c r="T840" s="2046"/>
      <c r="U840" s="2046"/>
      <c r="V840" s="2046"/>
      <c r="W840" s="2046"/>
      <c r="X840" s="2046"/>
      <c r="Y840" s="2046"/>
      <c r="Z840" s="2046"/>
      <c r="AA840" s="2046"/>
      <c r="AB840" s="2046"/>
      <c r="AC840" s="2046"/>
    </row>
    <row r="841" spans="1:29">
      <c r="A841" s="2046"/>
      <c r="B841" s="2046"/>
      <c r="C841" s="2046"/>
      <c r="D841" s="2046"/>
      <c r="E841" s="2046"/>
      <c r="F841" s="2046"/>
      <c r="G841" s="2046"/>
      <c r="H841" s="2046"/>
      <c r="I841" s="2046"/>
      <c r="J841" s="2046"/>
      <c r="K841" s="2047"/>
      <c r="L841" s="2048"/>
      <c r="M841" s="2046"/>
      <c r="N841" s="2046"/>
      <c r="O841" s="2046"/>
      <c r="P841" s="2086"/>
      <c r="Q841" s="2046"/>
      <c r="R841" s="2046"/>
      <c r="S841" s="2046"/>
      <c r="T841" s="2046"/>
      <c r="U841" s="2046"/>
      <c r="V841" s="2046"/>
      <c r="W841" s="2046"/>
      <c r="X841" s="2046"/>
      <c r="Y841" s="2046"/>
      <c r="Z841" s="2046"/>
      <c r="AA841" s="2046"/>
      <c r="AB841" s="2046"/>
      <c r="AC841" s="2046"/>
    </row>
    <row r="842" spans="1:29">
      <c r="A842" s="2046"/>
      <c r="B842" s="2046"/>
      <c r="C842" s="2046"/>
      <c r="D842" s="2046"/>
      <c r="E842" s="2046"/>
      <c r="F842" s="2046"/>
      <c r="G842" s="2046"/>
      <c r="H842" s="2046"/>
      <c r="I842" s="2046"/>
      <c r="J842" s="2046"/>
      <c r="K842" s="2047"/>
      <c r="L842" s="2048"/>
      <c r="M842" s="2046"/>
      <c r="N842" s="2046"/>
      <c r="O842" s="2046"/>
      <c r="P842" s="2086"/>
      <c r="Q842" s="2046"/>
      <c r="R842" s="2046"/>
      <c r="S842" s="2046"/>
      <c r="T842" s="2046"/>
      <c r="U842" s="2046"/>
      <c r="V842" s="2046"/>
      <c r="W842" s="2046"/>
      <c r="X842" s="2046"/>
      <c r="Y842" s="2046"/>
      <c r="Z842" s="2046"/>
      <c r="AA842" s="2046"/>
      <c r="AB842" s="2046"/>
      <c r="AC842" s="2046"/>
    </row>
    <row r="843" spans="1:29">
      <c r="A843" s="2046"/>
      <c r="B843" s="2046"/>
      <c r="C843" s="2046"/>
      <c r="D843" s="2046"/>
      <c r="E843" s="2046"/>
      <c r="F843" s="2046"/>
      <c r="G843" s="2046"/>
      <c r="H843" s="2046"/>
      <c r="I843" s="2046"/>
      <c r="J843" s="2046"/>
      <c r="K843" s="2047"/>
      <c r="L843" s="2048"/>
      <c r="M843" s="2046"/>
      <c r="N843" s="2046"/>
      <c r="O843" s="2046"/>
      <c r="P843" s="2086"/>
      <c r="Q843" s="2046"/>
      <c r="R843" s="2046"/>
      <c r="S843" s="2046"/>
      <c r="T843" s="2046"/>
      <c r="U843" s="2046"/>
      <c r="V843" s="2046"/>
      <c r="W843" s="2046"/>
      <c r="X843" s="2046"/>
      <c r="Y843" s="2046"/>
      <c r="Z843" s="2046"/>
      <c r="AA843" s="2046"/>
      <c r="AB843" s="2046"/>
      <c r="AC843" s="2046"/>
    </row>
    <row r="844" spans="1:29">
      <c r="A844" s="2046"/>
      <c r="B844" s="2046"/>
      <c r="C844" s="2046"/>
      <c r="D844" s="2046"/>
      <c r="E844" s="2046"/>
      <c r="F844" s="2046"/>
      <c r="G844" s="2046"/>
      <c r="H844" s="2046"/>
      <c r="I844" s="2046"/>
      <c r="J844" s="2046"/>
      <c r="K844" s="2047"/>
      <c r="L844" s="2048"/>
      <c r="M844" s="2046"/>
      <c r="N844" s="2046"/>
      <c r="O844" s="2046"/>
      <c r="P844" s="2086"/>
      <c r="Q844" s="2046"/>
      <c r="R844" s="2046"/>
      <c r="S844" s="2046"/>
      <c r="T844" s="2046"/>
      <c r="U844" s="2046"/>
      <c r="V844" s="2046"/>
      <c r="W844" s="2046"/>
      <c r="X844" s="2046"/>
      <c r="Y844" s="2046"/>
      <c r="Z844" s="2046"/>
      <c r="AA844" s="2046"/>
      <c r="AB844" s="2046"/>
      <c r="AC844" s="2046"/>
    </row>
    <row r="845" spans="1:29">
      <c r="A845" s="2046"/>
      <c r="B845" s="2046"/>
      <c r="C845" s="2046"/>
      <c r="D845" s="2046"/>
      <c r="E845" s="2046"/>
      <c r="F845" s="2046"/>
      <c r="G845" s="2046"/>
      <c r="H845" s="2046"/>
      <c r="I845" s="2046"/>
      <c r="J845" s="2046"/>
      <c r="K845" s="2047"/>
      <c r="L845" s="2048"/>
      <c r="M845" s="2046"/>
      <c r="N845" s="2046"/>
      <c r="O845" s="2046"/>
      <c r="P845" s="2086"/>
      <c r="Q845" s="2046"/>
      <c r="R845" s="2046"/>
      <c r="S845" s="2046"/>
      <c r="T845" s="2046"/>
      <c r="U845" s="2046"/>
      <c r="V845" s="2046"/>
      <c r="W845" s="2046"/>
      <c r="X845" s="2046"/>
      <c r="Y845" s="2046"/>
      <c r="Z845" s="2046"/>
      <c r="AA845" s="2046"/>
      <c r="AB845" s="2046"/>
      <c r="AC845" s="2046"/>
    </row>
    <row r="846" spans="1:29">
      <c r="A846" s="2046"/>
      <c r="B846" s="2046"/>
      <c r="C846" s="2046"/>
      <c r="D846" s="2046"/>
      <c r="E846" s="2046"/>
      <c r="F846" s="2046"/>
      <c r="G846" s="2046"/>
      <c r="H846" s="2046"/>
      <c r="I846" s="2046"/>
      <c r="J846" s="2046"/>
      <c r="K846" s="2047"/>
      <c r="L846" s="2048"/>
      <c r="M846" s="2046"/>
      <c r="N846" s="2046"/>
      <c r="O846" s="2046"/>
      <c r="P846" s="2086"/>
      <c r="Q846" s="2046"/>
      <c r="R846" s="2046"/>
      <c r="S846" s="2046"/>
      <c r="T846" s="2046"/>
      <c r="U846" s="2046"/>
      <c r="V846" s="2046"/>
      <c r="W846" s="2046"/>
      <c r="X846" s="2046"/>
      <c r="Y846" s="2046"/>
      <c r="Z846" s="2046"/>
      <c r="AA846" s="2046"/>
      <c r="AB846" s="2046"/>
      <c r="AC846" s="2046"/>
    </row>
    <row r="847" spans="1:29">
      <c r="A847" s="2046"/>
      <c r="B847" s="2046"/>
      <c r="C847" s="2046"/>
      <c r="D847" s="2046"/>
      <c r="E847" s="2046"/>
      <c r="F847" s="2046"/>
      <c r="G847" s="2046"/>
      <c r="H847" s="2046"/>
      <c r="I847" s="2046"/>
      <c r="J847" s="2046"/>
      <c r="K847" s="2047"/>
      <c r="L847" s="2048"/>
      <c r="M847" s="2046"/>
      <c r="N847" s="2046"/>
      <c r="O847" s="2046"/>
      <c r="P847" s="2086"/>
      <c r="Q847" s="2046"/>
      <c r="R847" s="2046"/>
      <c r="S847" s="2046"/>
      <c r="T847" s="2046"/>
      <c r="U847" s="2046"/>
      <c r="V847" s="2046"/>
      <c r="W847" s="2046"/>
      <c r="X847" s="2046"/>
      <c r="Y847" s="2046"/>
      <c r="Z847" s="2046"/>
      <c r="AA847" s="2046"/>
      <c r="AB847" s="2046"/>
      <c r="AC847" s="2046"/>
    </row>
    <row r="848" spans="1:29">
      <c r="A848" s="2046"/>
      <c r="B848" s="2046"/>
      <c r="C848" s="2046"/>
      <c r="D848" s="2046"/>
      <c r="E848" s="2046"/>
      <c r="F848" s="2046"/>
      <c r="G848" s="2046"/>
      <c r="H848" s="2046"/>
      <c r="I848" s="2046"/>
      <c r="J848" s="2046"/>
      <c r="K848" s="2047"/>
      <c r="L848" s="2048"/>
      <c r="M848" s="2046"/>
      <c r="N848" s="2046"/>
      <c r="O848" s="2046"/>
      <c r="P848" s="2086"/>
      <c r="Q848" s="2046"/>
      <c r="R848" s="2046"/>
      <c r="S848" s="2046"/>
      <c r="T848" s="2046"/>
      <c r="U848" s="2046"/>
      <c r="V848" s="2046"/>
      <c r="W848" s="2046"/>
      <c r="X848" s="2046"/>
      <c r="Y848" s="2046"/>
      <c r="Z848" s="2046"/>
      <c r="AA848" s="2046"/>
      <c r="AB848" s="2046"/>
      <c r="AC848" s="2046"/>
    </row>
    <row r="849" spans="1:29">
      <c r="A849" s="2046"/>
      <c r="B849" s="2046"/>
      <c r="C849" s="2046"/>
      <c r="D849" s="2046"/>
      <c r="E849" s="2046"/>
      <c r="F849" s="2046"/>
      <c r="G849" s="2046"/>
      <c r="H849" s="2046"/>
      <c r="I849" s="2046"/>
      <c r="J849" s="2046"/>
      <c r="K849" s="2047"/>
      <c r="L849" s="2048"/>
      <c r="M849" s="2046"/>
      <c r="N849" s="2046"/>
      <c r="O849" s="2046"/>
      <c r="P849" s="2086"/>
      <c r="Q849" s="2046"/>
      <c r="R849" s="2046"/>
      <c r="S849" s="2046"/>
      <c r="T849" s="2046"/>
      <c r="U849" s="2046"/>
      <c r="V849" s="2046"/>
      <c r="W849" s="2046"/>
      <c r="X849" s="2046"/>
      <c r="Y849" s="2046"/>
      <c r="Z849" s="2046"/>
      <c r="AA849" s="2046"/>
      <c r="AB849" s="2046"/>
      <c r="AC849" s="2046"/>
    </row>
    <row r="850" spans="1:29">
      <c r="A850" s="2046"/>
      <c r="B850" s="2046"/>
      <c r="C850" s="2046"/>
      <c r="D850" s="2046"/>
      <c r="E850" s="2046"/>
      <c r="F850" s="2046"/>
      <c r="G850" s="2046"/>
      <c r="H850" s="2046"/>
      <c r="I850" s="2046"/>
      <c r="J850" s="2046"/>
      <c r="K850" s="2047"/>
      <c r="L850" s="2048"/>
      <c r="M850" s="2046"/>
      <c r="N850" s="2046"/>
      <c r="O850" s="2046"/>
      <c r="P850" s="2086"/>
      <c r="Q850" s="2046"/>
      <c r="R850" s="2046"/>
      <c r="S850" s="2046"/>
      <c r="T850" s="2046"/>
      <c r="U850" s="2046"/>
      <c r="V850" s="2046"/>
      <c r="W850" s="2046"/>
      <c r="X850" s="2046"/>
      <c r="Y850" s="2046"/>
      <c r="Z850" s="2046"/>
      <c r="AA850" s="2046"/>
      <c r="AB850" s="2046"/>
      <c r="AC850" s="2046"/>
    </row>
    <row r="851" spans="1:29">
      <c r="A851" s="2046"/>
      <c r="B851" s="2046"/>
      <c r="C851" s="2046"/>
      <c r="D851" s="2046"/>
      <c r="E851" s="2046"/>
      <c r="F851" s="2046"/>
      <c r="G851" s="2046"/>
      <c r="H851" s="2046"/>
      <c r="I851" s="2046"/>
      <c r="J851" s="2046"/>
      <c r="K851" s="2047"/>
      <c r="L851" s="2048"/>
      <c r="M851" s="2046"/>
      <c r="N851" s="2046"/>
      <c r="O851" s="2046"/>
      <c r="P851" s="2086"/>
      <c r="Q851" s="2046"/>
      <c r="R851" s="2046"/>
      <c r="S851" s="2046"/>
      <c r="T851" s="2046"/>
      <c r="U851" s="2046"/>
      <c r="V851" s="2046"/>
      <c r="W851" s="2046"/>
      <c r="X851" s="2046"/>
      <c r="Y851" s="2046"/>
      <c r="Z851" s="2046"/>
      <c r="AA851" s="2046"/>
      <c r="AB851" s="2046"/>
      <c r="AC851" s="2046"/>
    </row>
    <row r="852" spans="1:29">
      <c r="A852" s="2046"/>
      <c r="B852" s="2046"/>
      <c r="C852" s="2046"/>
      <c r="D852" s="2046"/>
      <c r="E852" s="2046"/>
      <c r="F852" s="2046"/>
      <c r="G852" s="2046"/>
      <c r="H852" s="2046"/>
      <c r="I852" s="2046"/>
      <c r="J852" s="2046"/>
      <c r="K852" s="2047"/>
      <c r="L852" s="2048"/>
      <c r="M852" s="2046"/>
      <c r="N852" s="2046"/>
      <c r="O852" s="2046"/>
      <c r="P852" s="2086"/>
      <c r="Q852" s="2046"/>
      <c r="R852" s="2046"/>
      <c r="S852" s="2046"/>
      <c r="T852" s="2046"/>
      <c r="U852" s="2046"/>
      <c r="V852" s="2046"/>
      <c r="W852" s="2046"/>
      <c r="X852" s="2046"/>
      <c r="Y852" s="2046"/>
      <c r="Z852" s="2046"/>
      <c r="AA852" s="2046"/>
      <c r="AB852" s="2046"/>
      <c r="AC852" s="2046"/>
    </row>
    <row r="853" spans="1:29">
      <c r="A853" s="2046"/>
      <c r="B853" s="2046"/>
      <c r="C853" s="2046"/>
      <c r="D853" s="2046"/>
      <c r="E853" s="2046"/>
      <c r="F853" s="2046"/>
      <c r="G853" s="2046"/>
      <c r="H853" s="2046"/>
      <c r="I853" s="2046"/>
      <c r="J853" s="2046"/>
      <c r="K853" s="2047"/>
      <c r="L853" s="2048"/>
      <c r="M853" s="2046"/>
      <c r="N853" s="2046"/>
      <c r="O853" s="2046"/>
      <c r="P853" s="2086"/>
      <c r="Q853" s="2046"/>
      <c r="R853" s="2046"/>
      <c r="S853" s="2046"/>
      <c r="T853" s="2046"/>
      <c r="U853" s="2046"/>
      <c r="V853" s="2046"/>
      <c r="W853" s="2046"/>
      <c r="X853" s="2046"/>
      <c r="Y853" s="2046"/>
      <c r="Z853" s="2046"/>
      <c r="AA853" s="2046"/>
      <c r="AB853" s="2046"/>
      <c r="AC853" s="2046"/>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107" priority="20" stopIfTrue="1" operator="containsText" text="超过">
      <formula>NOT(ISERROR(SEARCH("超过",F53)))</formula>
    </cfRule>
  </conditionalFormatting>
  <conditionalFormatting sqref="H55">
    <cfRule type="containsText" dxfId="106" priority="19" stopIfTrue="1" operator="containsText" text="超过">
      <formula>NOT(ISERROR(SEARCH("超过",H55)))</formula>
    </cfRule>
  </conditionalFormatting>
  <conditionalFormatting sqref="F55">
    <cfRule type="containsText" dxfId="105" priority="18" stopIfTrue="1" operator="containsText" text="超过">
      <formula>NOT(ISERROR(SEARCH("超过",F55)))</formula>
    </cfRule>
  </conditionalFormatting>
  <conditionalFormatting sqref="F54 H54">
    <cfRule type="containsText" dxfId="104" priority="17" stopIfTrue="1" operator="containsText" text="超过">
      <formula>NOT(ISERROR(SEARCH("超过",F54)))</formula>
    </cfRule>
  </conditionalFormatting>
  <conditionalFormatting sqref="E53">
    <cfRule type="expression" dxfId="103" priority="16" stopIfTrue="1">
      <formula>$F$53="超过30%"</formula>
    </cfRule>
  </conditionalFormatting>
  <conditionalFormatting sqref="E54">
    <cfRule type="expression" dxfId="102" priority="15" stopIfTrue="1">
      <formula>$F$54="超过20%"</formula>
    </cfRule>
  </conditionalFormatting>
  <conditionalFormatting sqref="E55">
    <cfRule type="expression" dxfId="101" priority="14" stopIfTrue="1">
      <formula>$F$55="超过30%"</formula>
    </cfRule>
  </conditionalFormatting>
  <conditionalFormatting sqref="G55">
    <cfRule type="expression" dxfId="100" priority="13" stopIfTrue="1">
      <formula>$H$55="超过30%"</formula>
    </cfRule>
  </conditionalFormatting>
  <conditionalFormatting sqref="G53">
    <cfRule type="expression" dxfId="99" priority="12" stopIfTrue="1">
      <formula>$H$53="超过30%"</formula>
    </cfRule>
  </conditionalFormatting>
  <conditionalFormatting sqref="G54">
    <cfRule type="expression" dxfId="98" priority="11" stopIfTrue="1">
      <formula>$H$54="超过20%"</formula>
    </cfRule>
  </conditionalFormatting>
  <conditionalFormatting sqref="J53">
    <cfRule type="containsText" dxfId="97" priority="10" stopIfTrue="1" operator="containsText" text="超过">
      <formula>NOT(ISERROR(SEARCH("超过",J53)))</formula>
    </cfRule>
  </conditionalFormatting>
  <conditionalFormatting sqref="J55">
    <cfRule type="containsText" dxfId="96" priority="9" stopIfTrue="1" operator="containsText" text="超过">
      <formula>NOT(ISERROR(SEARCH("超过",J55)))</formula>
    </cfRule>
  </conditionalFormatting>
  <conditionalFormatting sqref="J54">
    <cfRule type="containsText" dxfId="95" priority="8" stopIfTrue="1" operator="containsText" text="超过">
      <formula>NOT(ISERROR(SEARCH("超过",J54)))</formula>
    </cfRule>
  </conditionalFormatting>
  <conditionalFormatting sqref="I53">
    <cfRule type="expression" dxfId="94" priority="7" stopIfTrue="1">
      <formula>$J$53="超过30%"</formula>
    </cfRule>
  </conditionalFormatting>
  <conditionalFormatting sqref="I54">
    <cfRule type="expression" dxfId="93" priority="6" stopIfTrue="1">
      <formula>$J$53+$J$54="超过20%"</formula>
    </cfRule>
  </conditionalFormatting>
  <conditionalFormatting sqref="I55">
    <cfRule type="expression" dxfId="92" priority="5" stopIfTrue="1">
      <formula>$J$55="超过30%"</formula>
    </cfRule>
  </conditionalFormatting>
  <conditionalFormatting sqref="F49">
    <cfRule type="expression" dxfId="91" priority="4">
      <formula>$D$49="简单平均"</formula>
    </cfRule>
  </conditionalFormatting>
  <conditionalFormatting sqref="H49">
    <cfRule type="expression" dxfId="90" priority="3">
      <formula>$D$49="简单平均"</formula>
    </cfRule>
  </conditionalFormatting>
  <conditionalFormatting sqref="J49">
    <cfRule type="expression" dxfId="89" priority="2">
      <formula>$D$49="简单平均"</formula>
    </cfRule>
  </conditionalFormatting>
  <conditionalFormatting sqref="F7:F47 H7:H47 J7:J47">
    <cfRule type="cellIs" dxfId="88"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C24" sqref="C24:C524"/>
    </sheetView>
  </sheetViews>
  <sheetFormatPr defaultColWidth="9" defaultRowHeight="14.25"/>
  <cols>
    <col min="1" max="1" width="10.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489" t="s">
        <v>782</v>
      </c>
      <c r="C1" s="490" t="s">
        <v>714</v>
      </c>
      <c r="D1" s="830"/>
      <c r="E1" s="492"/>
      <c r="F1" s="2510"/>
      <c r="G1" s="1519" t="s">
        <v>715</v>
      </c>
      <c r="H1" s="492"/>
      <c r="I1" s="492"/>
      <c r="J1" s="492"/>
      <c r="K1" s="493"/>
      <c r="L1" s="3195"/>
      <c r="M1" s="3196"/>
      <c r="N1" s="3196"/>
      <c r="O1" s="3196"/>
      <c r="P1" s="2000"/>
      <c r="Q1" s="2000"/>
      <c r="R1" s="2000"/>
      <c r="S1" s="2000"/>
      <c r="T1" s="2000"/>
      <c r="U1" s="2000"/>
      <c r="V1" s="2000"/>
      <c r="W1" s="2000"/>
      <c r="X1" s="2000"/>
      <c r="Y1" s="2000"/>
      <c r="Z1" s="2000"/>
      <c r="AA1" s="2000"/>
      <c r="AB1" s="2000"/>
      <c r="AC1" s="1930"/>
    </row>
    <row r="2" spans="1:29" s="1280" customFormat="1" ht="28.5" customHeight="1">
      <c r="A2" s="409" t="s">
        <v>461</v>
      </c>
      <c r="B2" s="831" t="e">
        <f>ROUND(B3*D3/10000,0)</f>
        <v>#DIV/0!</v>
      </c>
      <c r="C2" s="1995"/>
      <c r="D2" s="1995"/>
      <c r="E2" s="1996"/>
      <c r="F2" s="1997"/>
      <c r="G2" s="1996"/>
      <c r="H2" s="1996"/>
      <c r="I2" s="1996"/>
      <c r="J2" s="1996"/>
      <c r="K2" s="1996"/>
      <c r="L2" s="1999"/>
      <c r="M2" s="2000"/>
      <c r="N2" s="2000"/>
      <c r="O2" s="2000"/>
      <c r="P2" s="2000"/>
      <c r="Q2" s="2000"/>
      <c r="R2" s="2000"/>
      <c r="S2" s="2000"/>
      <c r="T2" s="2000"/>
      <c r="U2" s="2000"/>
      <c r="V2" s="2000"/>
      <c r="W2" s="2000"/>
      <c r="X2" s="2000"/>
      <c r="Y2" s="2000"/>
      <c r="Z2" s="2000"/>
      <c r="AA2" s="2000"/>
      <c r="AB2" s="2000"/>
      <c r="AC2" s="1930"/>
    </row>
    <row r="3" spans="1:29" s="1280" customFormat="1" ht="28.5" customHeight="1" thickBot="1">
      <c r="A3" s="495" t="s">
        <v>513</v>
      </c>
      <c r="B3" s="496" t="e">
        <f>C43</f>
        <v>#DIV/0!</v>
      </c>
      <c r="C3" s="833" t="s">
        <v>716</v>
      </c>
      <c r="D3" s="832">
        <f>SUMIF('数据-汇总表'!$C19:$C33,D1,'数据-汇总表'!$E19:$E33)</f>
        <v>0</v>
      </c>
      <c r="E3" s="1996"/>
      <c r="F3" s="1997"/>
      <c r="G3" s="1996"/>
      <c r="H3" s="1996"/>
      <c r="I3" s="1996"/>
      <c r="J3" s="1996"/>
      <c r="K3" s="1998"/>
      <c r="L3" s="1999"/>
      <c r="M3" s="2000"/>
      <c r="N3" s="2000"/>
      <c r="O3" s="2000"/>
      <c r="P3" s="2000"/>
      <c r="Q3" s="2000"/>
      <c r="R3" s="2000"/>
      <c r="S3" s="2000"/>
      <c r="T3" s="2000"/>
      <c r="U3" s="2000"/>
      <c r="V3" s="2000"/>
      <c r="W3" s="2000"/>
      <c r="X3" s="2000"/>
      <c r="Y3" s="2000"/>
      <c r="Z3" s="2000"/>
      <c r="AA3" s="2000"/>
      <c r="AB3" s="3198"/>
      <c r="AC3" s="1930"/>
    </row>
    <row r="4" spans="1:29" ht="15">
      <c r="A4" s="498" t="s">
        <v>515</v>
      </c>
      <c r="B4" s="499"/>
      <c r="C4" s="3856" t="s">
        <v>516</v>
      </c>
      <c r="D4" s="3857"/>
      <c r="E4" s="3883" t="s">
        <v>517</v>
      </c>
      <c r="F4" s="3884"/>
      <c r="G4" s="3856" t="s">
        <v>518</v>
      </c>
      <c r="H4" s="3857"/>
      <c r="I4" s="3856" t="s">
        <v>519</v>
      </c>
      <c r="J4" s="3857"/>
      <c r="K4" s="500" t="s">
        <v>520</v>
      </c>
      <c r="L4" s="2001"/>
      <c r="M4" s="2002"/>
      <c r="N4" s="2002"/>
      <c r="O4" s="2002"/>
      <c r="P4" s="3858" t="s">
        <v>521</v>
      </c>
      <c r="Q4" s="3859"/>
      <c r="R4" s="3844" t="s">
        <v>517</v>
      </c>
      <c r="S4" s="3845"/>
      <c r="T4" s="3844" t="s">
        <v>518</v>
      </c>
      <c r="U4" s="3845"/>
      <c r="V4" s="3864" t="s">
        <v>519</v>
      </c>
      <c r="W4" s="3864"/>
      <c r="X4" s="1489"/>
      <c r="Y4" s="3844" t="s">
        <v>521</v>
      </c>
      <c r="Z4" s="3845"/>
      <c r="AA4" s="3839" t="s">
        <v>517</v>
      </c>
      <c r="AB4" s="3840" t="s">
        <v>518</v>
      </c>
      <c r="AC4" s="3839" t="s">
        <v>519</v>
      </c>
    </row>
    <row r="5" spans="1:29" ht="15">
      <c r="A5" s="501"/>
      <c r="B5" s="502"/>
      <c r="C5" s="3867" t="s">
        <v>2887</v>
      </c>
      <c r="D5" s="3868"/>
      <c r="E5" s="3885" t="s">
        <v>2888</v>
      </c>
      <c r="F5" s="3886"/>
      <c r="G5" s="3867" t="s">
        <v>2889</v>
      </c>
      <c r="H5" s="3868"/>
      <c r="I5" s="3867" t="s">
        <v>2890</v>
      </c>
      <c r="J5" s="3868"/>
      <c r="K5" s="500"/>
      <c r="L5" s="2001"/>
      <c r="M5" s="2002"/>
      <c r="N5" s="2002"/>
      <c r="O5" s="2002"/>
      <c r="P5" s="3860"/>
      <c r="Q5" s="3861"/>
      <c r="R5" s="3846"/>
      <c r="S5" s="3847"/>
      <c r="T5" s="3846"/>
      <c r="U5" s="3847"/>
      <c r="V5" s="3864"/>
      <c r="W5" s="3864"/>
      <c r="X5" s="1489"/>
      <c r="Y5" s="3846"/>
      <c r="Z5" s="3847"/>
      <c r="AA5" s="3840"/>
      <c r="AB5" s="3840"/>
      <c r="AC5" s="3840"/>
    </row>
    <row r="6" spans="1:29" ht="15.75" thickBot="1">
      <c r="A6" s="503"/>
      <c r="B6" s="504"/>
      <c r="C6" s="3865" t="s">
        <v>2891</v>
      </c>
      <c r="D6" s="3866"/>
      <c r="E6" s="3887" t="s">
        <v>2891</v>
      </c>
      <c r="F6" s="3888"/>
      <c r="G6" s="3865" t="s">
        <v>2891</v>
      </c>
      <c r="H6" s="3866"/>
      <c r="I6" s="3865" t="s">
        <v>2891</v>
      </c>
      <c r="J6" s="3866"/>
      <c r="K6" s="500" t="s">
        <v>522</v>
      </c>
      <c r="L6" s="2001"/>
      <c r="M6" s="2002"/>
      <c r="N6" s="2002"/>
      <c r="O6" s="2002"/>
      <c r="P6" s="3862"/>
      <c r="Q6" s="3863"/>
      <c r="R6" s="3846"/>
      <c r="S6" s="3847"/>
      <c r="T6" s="3848"/>
      <c r="U6" s="3849"/>
      <c r="V6" s="3864"/>
      <c r="W6" s="3864"/>
      <c r="X6" s="1489"/>
      <c r="Y6" s="3848"/>
      <c r="Z6" s="3849"/>
      <c r="AA6" s="3841"/>
      <c r="AB6" s="3841"/>
      <c r="AC6" s="3841"/>
    </row>
    <row r="7" spans="1:29" s="1194" customFormat="1" ht="15.75" thickBot="1">
      <c r="A7" s="2615"/>
      <c r="B7" s="2622" t="s">
        <v>523</v>
      </c>
      <c r="C7" s="505">
        <f>'数据-取费表'!B2</f>
        <v>44191</v>
      </c>
      <c r="D7" s="506">
        <v>100</v>
      </c>
      <c r="E7" s="507"/>
      <c r="F7" s="508">
        <f>SUMIF(52:52,YEAR(E7)&amp;"-"&amp;MONTH(E7),53:53)</f>
        <v>0</v>
      </c>
      <c r="G7" s="507"/>
      <c r="H7" s="506">
        <f>SUMIF(52:52,YEAR(G7)&amp;"-"&amp;MONTH(G7),53:53)</f>
        <v>0</v>
      </c>
      <c r="I7" s="507"/>
      <c r="J7" s="506">
        <f>SUMIF(52:52,YEAR(I7)&amp;"-"&amp;MONTH(I7),53:53)</f>
        <v>0</v>
      </c>
      <c r="K7" s="510"/>
      <c r="L7" s="2003"/>
      <c r="M7" s="2004"/>
      <c r="N7" s="2004"/>
      <c r="O7" s="2004"/>
      <c r="P7" s="3842" t="s">
        <v>524</v>
      </c>
      <c r="Q7" s="3851"/>
      <c r="R7" s="1490" t="s">
        <v>8</v>
      </c>
      <c r="S7" s="1491">
        <f t="shared" ref="S7:S15" si="0">F7</f>
        <v>0</v>
      </c>
      <c r="T7" s="1490" t="s">
        <v>8</v>
      </c>
      <c r="U7" s="1491">
        <f t="shared" ref="U7:U15" si="1">H7</f>
        <v>0</v>
      </c>
      <c r="V7" s="1490" t="s">
        <v>8</v>
      </c>
      <c r="W7" s="1491">
        <f t="shared" ref="W7:W15" si="2">J7</f>
        <v>0</v>
      </c>
      <c r="X7" s="1492"/>
      <c r="Y7" s="3842" t="s">
        <v>524</v>
      </c>
      <c r="Z7" s="3843"/>
      <c r="AA7" s="1493" t="e">
        <f>D7/F7</f>
        <v>#DIV/0!</v>
      </c>
      <c r="AB7" s="1493" t="e">
        <f>D7/H7</f>
        <v>#DIV/0!</v>
      </c>
      <c r="AC7" s="1493" t="e">
        <f>D7/J7</f>
        <v>#DIV/0!</v>
      </c>
    </row>
    <row r="8" spans="1:29" s="1194" customFormat="1" ht="15.75" thickBot="1">
      <c r="A8" s="2616"/>
      <c r="B8" s="2623" t="s">
        <v>525</v>
      </c>
      <c r="C8" s="511" t="s">
        <v>570</v>
      </c>
      <c r="D8" s="506">
        <v>100</v>
      </c>
      <c r="E8" s="511"/>
      <c r="F8" s="508">
        <f>SUMIF(55:55,E8,56:56)-SUMIF(55:55,C8,56:56)+100</f>
        <v>0</v>
      </c>
      <c r="G8" s="511"/>
      <c r="H8" s="506">
        <f>SUMIF(55:55,G8,56:56)-SUMIF(55:55,C8,56:56)+100</f>
        <v>0</v>
      </c>
      <c r="I8" s="511"/>
      <c r="J8" s="506">
        <f>SUMIF(55:55,I8,56:56)-SUMIF(55:55,C8,56:56)+100</f>
        <v>0</v>
      </c>
      <c r="K8" s="510"/>
      <c r="L8" s="2003"/>
      <c r="M8" s="2004"/>
      <c r="N8" s="2004"/>
      <c r="O8" s="2004"/>
      <c r="P8" s="3842" t="s">
        <v>527</v>
      </c>
      <c r="Q8" s="3843"/>
      <c r="R8" s="1490" t="s">
        <v>8</v>
      </c>
      <c r="S8" s="1491">
        <f t="shared" si="0"/>
        <v>0</v>
      </c>
      <c r="T8" s="1490" t="s">
        <v>8</v>
      </c>
      <c r="U8" s="1491">
        <f t="shared" si="1"/>
        <v>0</v>
      </c>
      <c r="V8" s="1490" t="s">
        <v>8</v>
      </c>
      <c r="W8" s="1491">
        <f t="shared" si="2"/>
        <v>0</v>
      </c>
      <c r="X8" s="1492"/>
      <c r="Y8" s="3842" t="s">
        <v>527</v>
      </c>
      <c r="Z8" s="3843"/>
      <c r="AA8" s="1493" t="e">
        <f t="shared" ref="AA8:AA40" si="3">D8/F8</f>
        <v>#DIV/0!</v>
      </c>
      <c r="AB8" s="1493" t="e">
        <f t="shared" ref="AB8:AB40" si="4">D8/H8</f>
        <v>#DIV/0!</v>
      </c>
      <c r="AC8" s="1493" t="e">
        <f t="shared" ref="AC8:AC40" si="5">D8/J8</f>
        <v>#DIV/0!</v>
      </c>
    </row>
    <row r="9" spans="1:29" s="1194" customFormat="1" ht="15">
      <c r="A9" s="2617"/>
      <c r="B9" s="2624" t="s">
        <v>2730</v>
      </c>
      <c r="C9" s="838"/>
      <c r="D9" s="244">
        <v>100</v>
      </c>
      <c r="E9" s="841"/>
      <c r="F9" s="244">
        <f>SUMIF(57:57,E9,58:58)-SUMIF(57:57,C9,58:58)+100</f>
        <v>100</v>
      </c>
      <c r="G9" s="839"/>
      <c r="H9" s="244">
        <f>SUMIF(57:57,G9,58:58)-SUMIF(57:57,C9,58:58)+100</f>
        <v>100</v>
      </c>
      <c r="I9" s="839"/>
      <c r="J9" s="244">
        <f>SUMIF(57:57,I9,58:58)-SUMIF(57:57,C9,58:58)+100</f>
        <v>100</v>
      </c>
      <c r="K9" s="510"/>
      <c r="L9" s="2003"/>
      <c r="M9" s="2004"/>
      <c r="N9" s="2004"/>
      <c r="O9" s="2005"/>
      <c r="P9" s="3850" t="s">
        <v>529</v>
      </c>
      <c r="Q9" s="1125" t="str">
        <f t="shared" ref="Q9:Q15" si="6">B9</f>
        <v>用途</v>
      </c>
      <c r="R9" s="1490" t="s">
        <v>8</v>
      </c>
      <c r="S9" s="1491">
        <f t="shared" si="0"/>
        <v>100</v>
      </c>
      <c r="T9" s="1490" t="s">
        <v>8</v>
      </c>
      <c r="U9" s="1491">
        <f t="shared" si="1"/>
        <v>100</v>
      </c>
      <c r="V9" s="1490" t="s">
        <v>8</v>
      </c>
      <c r="W9" s="1491">
        <f t="shared" si="2"/>
        <v>100</v>
      </c>
      <c r="X9" s="1492"/>
      <c r="Y9" s="3801" t="s">
        <v>530</v>
      </c>
      <c r="Z9" s="1124" t="str">
        <f t="shared" ref="Z9:Z15" si="7">Q9</f>
        <v>用途</v>
      </c>
      <c r="AA9" s="1493">
        <f t="shared" si="3"/>
        <v>1</v>
      </c>
      <c r="AB9" s="1493">
        <f t="shared" si="4"/>
        <v>1</v>
      </c>
      <c r="AC9" s="1493">
        <f t="shared" si="5"/>
        <v>1</v>
      </c>
    </row>
    <row r="10" spans="1:29" s="1282" customFormat="1" ht="27">
      <c r="A10" s="2618"/>
      <c r="B10" s="2623" t="s">
        <v>2731</v>
      </c>
      <c r="C10" s="842"/>
      <c r="D10" s="245">
        <v>100</v>
      </c>
      <c r="E10" s="842"/>
      <c r="F10" s="245">
        <f>SUMIF(59:59,E10,60:60)-SUMIF(59:59,C10,60:60)+100</f>
        <v>100</v>
      </c>
      <c r="G10" s="843"/>
      <c r="H10" s="245">
        <f>SUMIF(59:59,G10,60:60)-SUMIF(59:59,C10,60:60)+100</f>
        <v>100</v>
      </c>
      <c r="I10" s="842"/>
      <c r="J10" s="245">
        <f>SUMIF(59:59,I10,60:60)-SUMIF(59:59,C10,60:60)+100</f>
        <v>100</v>
      </c>
      <c r="K10" s="570"/>
      <c r="L10" s="2006"/>
      <c r="M10" s="2045"/>
      <c r="N10" s="2045"/>
      <c r="O10" s="2007"/>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19"/>
      <c r="B11" s="2623" t="s">
        <v>2732</v>
      </c>
      <c r="C11" s="519"/>
      <c r="D11" s="245">
        <v>100</v>
      </c>
      <c r="E11" s="519"/>
      <c r="F11" s="245" t="e">
        <f>LOOKUP(E11,62:62,63:63)-LOOKUP(C11,62:62,63:63)+100</f>
        <v>#N/A</v>
      </c>
      <c r="G11" s="520"/>
      <c r="H11" s="245" t="e">
        <f>LOOKUP(G11,62:62,63:63)-LOOKUP(C11,62:62,63:63)+100</f>
        <v>#N/A</v>
      </c>
      <c r="I11" s="519"/>
      <c r="J11" s="245" t="e">
        <f>LOOKUP(I11,62:62,63:63)-LOOKUP(C11,62:62,63:63)+100</f>
        <v>#N/A</v>
      </c>
      <c r="K11" s="570"/>
      <c r="L11" s="2008"/>
      <c r="M11" s="2002"/>
      <c r="N11" s="2002"/>
      <c r="O11" s="2009"/>
      <c r="P11" s="3850"/>
      <c r="Q11" s="1125" t="str">
        <f t="shared" si="6"/>
        <v>容积率</v>
      </c>
      <c r="R11" s="1490" t="s">
        <v>8</v>
      </c>
      <c r="S11" s="1491" t="e">
        <f t="shared" si="0"/>
        <v>#N/A</v>
      </c>
      <c r="T11" s="1490" t="s">
        <v>8</v>
      </c>
      <c r="U11" s="1491" t="e">
        <f t="shared" si="1"/>
        <v>#N/A</v>
      </c>
      <c r="V11" s="1490" t="s">
        <v>8</v>
      </c>
      <c r="W11" s="1491" t="e">
        <f t="shared" si="2"/>
        <v>#N/A</v>
      </c>
      <c r="X11" s="1492"/>
      <c r="Y11" s="3801"/>
      <c r="Z11" s="1124" t="str">
        <f t="shared" si="7"/>
        <v>容积率</v>
      </c>
      <c r="AA11" s="1493" t="e">
        <f t="shared" si="3"/>
        <v>#N/A</v>
      </c>
      <c r="AB11" s="1493" t="e">
        <f t="shared" si="4"/>
        <v>#N/A</v>
      </c>
      <c r="AC11" s="1493" t="e">
        <f t="shared" si="5"/>
        <v>#N/A</v>
      </c>
    </row>
    <row r="12" spans="1:29" s="1194" customFormat="1" ht="15">
      <c r="A12" s="2620"/>
      <c r="B12" s="2626">
        <v>111</v>
      </c>
      <c r="C12" s="514"/>
      <c r="D12" s="524">
        <v>100</v>
      </c>
      <c r="E12" s="525"/>
      <c r="F12" s="245">
        <f>SUMIF(64:64,E12,65:65)-SUMIF(64:64,C12,65:65)+100</f>
        <v>100</v>
      </c>
      <c r="G12" s="901"/>
      <c r="H12" s="245">
        <f>SUMIF(64:64,G12,65:65)-SUMIF(64:64,C12,65:65)+100</f>
        <v>100</v>
      </c>
      <c r="I12" s="861"/>
      <c r="J12" s="245">
        <f>SUMIF(64:64,I12,65:65)-SUMIF(64:64,C12,65:65)+100</f>
        <v>100</v>
      </c>
      <c r="K12" s="567"/>
      <c r="L12" s="2003"/>
      <c r="M12" s="2004"/>
      <c r="N12" s="2004"/>
      <c r="O12" s="2005"/>
      <c r="P12" s="3850"/>
      <c r="Q12" s="1125">
        <f t="shared" si="6"/>
        <v>111</v>
      </c>
      <c r="R12" s="1490" t="s">
        <v>8</v>
      </c>
      <c r="S12" s="1491">
        <f t="shared" si="0"/>
        <v>100</v>
      </c>
      <c r="T12" s="1490" t="s">
        <v>8</v>
      </c>
      <c r="U12" s="1491">
        <f t="shared" si="1"/>
        <v>100</v>
      </c>
      <c r="V12" s="1490" t="s">
        <v>8</v>
      </c>
      <c r="W12" s="1491">
        <f t="shared" si="2"/>
        <v>100</v>
      </c>
      <c r="X12" s="1492"/>
      <c r="Y12" s="3801"/>
      <c r="Z12" s="1124">
        <f t="shared" si="7"/>
        <v>111</v>
      </c>
      <c r="AA12" s="1493">
        <f>D12/F12</f>
        <v>1</v>
      </c>
      <c r="AB12" s="1493">
        <f>D12/H12</f>
        <v>1</v>
      </c>
      <c r="AC12" s="1493">
        <f>D12/J12</f>
        <v>1</v>
      </c>
    </row>
    <row r="13" spans="1:29" ht="15">
      <c r="A13" s="2620"/>
      <c r="B13" s="2626">
        <v>111</v>
      </c>
      <c r="C13" s="525"/>
      <c r="D13" s="526">
        <v>100</v>
      </c>
      <c r="E13" s="525"/>
      <c r="F13" s="245">
        <f>SUMIF(66:66,E13,67:67)-SUMIF(66:66,C13,67:67)+100</f>
        <v>100</v>
      </c>
      <c r="G13" s="901"/>
      <c r="H13" s="526">
        <f>SUMIF(66:66,G13,67:67)-SUMIF(66:66,C13,67:67)+100</f>
        <v>100</v>
      </c>
      <c r="I13" s="861"/>
      <c r="J13" s="526">
        <f>SUMIF(66:66,I13,67:67)-SUMIF(66:66,C13,67:67)+100</f>
        <v>100</v>
      </c>
      <c r="K13" s="567"/>
      <c r="L13" s="2010"/>
      <c r="M13" s="2002"/>
      <c r="N13" s="2002"/>
      <c r="O13" s="2009"/>
      <c r="P13" s="3850"/>
      <c r="Q13" s="1125">
        <f t="shared" si="6"/>
        <v>111</v>
      </c>
      <c r="R13" s="1490" t="s">
        <v>8</v>
      </c>
      <c r="S13" s="1491">
        <f t="shared" si="0"/>
        <v>100</v>
      </c>
      <c r="T13" s="1490" t="s">
        <v>8</v>
      </c>
      <c r="U13" s="1491">
        <f t="shared" si="1"/>
        <v>100</v>
      </c>
      <c r="V13" s="1490" t="s">
        <v>8</v>
      </c>
      <c r="W13" s="1491">
        <f t="shared" si="2"/>
        <v>100</v>
      </c>
      <c r="X13" s="1492"/>
      <c r="Y13" s="3801"/>
      <c r="Z13" s="1124">
        <f t="shared" si="7"/>
        <v>111</v>
      </c>
      <c r="AA13" s="1493">
        <f t="shared" si="3"/>
        <v>1</v>
      </c>
      <c r="AB13" s="1493">
        <f t="shared" si="4"/>
        <v>1</v>
      </c>
      <c r="AC13" s="1493">
        <f t="shared" si="5"/>
        <v>1</v>
      </c>
    </row>
    <row r="14" spans="1:29" ht="15.75" thickBot="1">
      <c r="A14" s="2621"/>
      <c r="B14" s="2627">
        <v>111</v>
      </c>
      <c r="C14" s="531"/>
      <c r="D14" s="532">
        <v>100</v>
      </c>
      <c r="E14" s="531"/>
      <c r="F14" s="532">
        <f>SUMIF(68:68,E14,69:69)-SUMIF(68:68,C14,69:69)+100</f>
        <v>100</v>
      </c>
      <c r="G14" s="901"/>
      <c r="H14" s="532">
        <f>SUMIF(68:68,G14,69:69)-SUMIF(68:68,C14,69:69)+100</f>
        <v>100</v>
      </c>
      <c r="I14" s="861"/>
      <c r="J14" s="532">
        <f>SUMIF(68:68,I14,69:69)-SUMIF(68:68,C14,69:69)+100</f>
        <v>100</v>
      </c>
      <c r="K14" s="567"/>
      <c r="L14" s="2010"/>
      <c r="M14" s="2002"/>
      <c r="N14" s="2002"/>
      <c r="O14" s="2009"/>
      <c r="P14" s="3850"/>
      <c r="Q14" s="1125">
        <f t="shared" si="6"/>
        <v>111</v>
      </c>
      <c r="R14" s="1490" t="s">
        <v>8</v>
      </c>
      <c r="S14" s="1491">
        <f t="shared" si="0"/>
        <v>100</v>
      </c>
      <c r="T14" s="1490" t="s">
        <v>8</v>
      </c>
      <c r="U14" s="1491">
        <f t="shared" si="1"/>
        <v>100</v>
      </c>
      <c r="V14" s="1490" t="s">
        <v>8</v>
      </c>
      <c r="W14" s="1491">
        <f t="shared" si="2"/>
        <v>100</v>
      </c>
      <c r="X14" s="1492"/>
      <c r="Y14" s="3801"/>
      <c r="Z14" s="1124">
        <f t="shared" si="7"/>
        <v>111</v>
      </c>
      <c r="AA14" s="1493">
        <f t="shared" si="3"/>
        <v>1</v>
      </c>
      <c r="AB14" s="1493">
        <f t="shared" si="4"/>
        <v>1</v>
      </c>
      <c r="AC14" s="1493">
        <f t="shared" si="5"/>
        <v>1</v>
      </c>
    </row>
    <row r="15" spans="1:29" ht="57">
      <c r="A15" s="2613" t="s">
        <v>2728</v>
      </c>
      <c r="B15" s="164" t="s">
        <v>783</v>
      </c>
      <c r="C15" s="902" t="str">
        <f>估价对象房地状况!G3</f>
        <v>估价对象位于XX开发区，园区建设成熟度XX，产业集聚程度XX</v>
      </c>
      <c r="D15" s="535">
        <v>100</v>
      </c>
      <c r="E15" s="536"/>
      <c r="F15" s="537">
        <f>SUMIF(70:70,E16,71:71)-SUMIF(70:70,C16,71:71)+100</f>
        <v>100</v>
      </c>
      <c r="G15" s="538"/>
      <c r="H15" s="535">
        <f>SUMIF(70:70,G16,71:71)-SUMIF(70:70,C16,71:71)+100</f>
        <v>100</v>
      </c>
      <c r="I15" s="536"/>
      <c r="J15" s="535">
        <f>SUMIF(70:70,I16,71:71)-SUMIF(70:70,C16,71:71)+100</f>
        <v>100</v>
      </c>
      <c r="K15" s="879"/>
      <c r="L15" s="2010"/>
      <c r="M15" s="2002"/>
      <c r="N15" s="2002"/>
      <c r="O15" s="2009"/>
      <c r="P15" s="3852" t="s">
        <v>534</v>
      </c>
      <c r="Q15" s="1494" t="str">
        <f t="shared" si="6"/>
        <v>产业集聚程度</v>
      </c>
      <c r="R15" s="1495" t="s">
        <v>8</v>
      </c>
      <c r="S15" s="1496">
        <f t="shared" si="0"/>
        <v>100</v>
      </c>
      <c r="T15" s="1495" t="s">
        <v>8</v>
      </c>
      <c r="U15" s="1496">
        <f t="shared" si="1"/>
        <v>100</v>
      </c>
      <c r="V15" s="1495" t="s">
        <v>8</v>
      </c>
      <c r="W15" s="1496">
        <f t="shared" si="2"/>
        <v>100</v>
      </c>
      <c r="X15" s="1489"/>
      <c r="Y15" s="3852" t="s">
        <v>534</v>
      </c>
      <c r="Z15" s="1497" t="str">
        <f t="shared" si="7"/>
        <v>产业集聚程度</v>
      </c>
      <c r="AA15" s="1498">
        <f t="shared" si="3"/>
        <v>1</v>
      </c>
      <c r="AB15" s="1498">
        <f t="shared" si="4"/>
        <v>1</v>
      </c>
      <c r="AC15" s="1498">
        <f t="shared" si="5"/>
        <v>1</v>
      </c>
    </row>
    <row r="16" spans="1:29" ht="15">
      <c r="A16" s="518"/>
      <c r="B16" s="850"/>
      <c r="C16" s="562"/>
      <c r="D16" s="541"/>
      <c r="E16" s="562"/>
      <c r="F16" s="543"/>
      <c r="G16" s="562"/>
      <c r="H16" s="545"/>
      <c r="I16" s="562"/>
      <c r="J16" s="541"/>
      <c r="K16" s="880"/>
      <c r="L16" s="2010"/>
      <c r="M16" s="2002"/>
      <c r="N16" s="2002"/>
      <c r="O16" s="2009"/>
      <c r="P16" s="3853"/>
      <c r="Q16" s="1494"/>
      <c r="R16" s="1495"/>
      <c r="S16" s="1496"/>
      <c r="T16" s="1495"/>
      <c r="U16" s="1496"/>
      <c r="V16" s="1495"/>
      <c r="W16" s="1496"/>
      <c r="X16" s="1489"/>
      <c r="Y16" s="3853"/>
      <c r="Z16" s="1497"/>
      <c r="AA16" s="1498">
        <v>1</v>
      </c>
      <c r="AB16" s="1498">
        <v>1</v>
      </c>
      <c r="AC16" s="1498">
        <v>1</v>
      </c>
    </row>
    <row r="17" spans="1:29" ht="85.5">
      <c r="A17" s="518"/>
      <c r="B17" s="852" t="s">
        <v>296</v>
      </c>
      <c r="C17" s="853" t="str">
        <f>估价对象房地状况!G4</f>
        <v>估价对象周边道路状况、公共交通通达情况、停车便捷程度，综合评价交通便捷度较好</v>
      </c>
      <c r="D17" s="545">
        <v>100</v>
      </c>
      <c r="E17" s="548"/>
      <c r="F17" s="549">
        <f>SUMIF(72:72,E18,73:73)-SUMIF(72:72,C18,73:73)+100</f>
        <v>100</v>
      </c>
      <c r="G17" s="550"/>
      <c r="H17" s="551">
        <f>SUMIF(72:72,G18,73:73)-SUMIF(72:72,C18,73:73)+100</f>
        <v>100</v>
      </c>
      <c r="I17" s="548"/>
      <c r="J17" s="551">
        <f>SUMIF(72:72,I18,73:73)-SUMIF(72:72,C18,73:73)+100</f>
        <v>100</v>
      </c>
      <c r="K17" s="879"/>
      <c r="L17" s="2010"/>
      <c r="M17" s="2002"/>
      <c r="N17" s="2002"/>
      <c r="O17" s="2009"/>
      <c r="P17" s="3853"/>
      <c r="Q17" s="1494" t="str">
        <f>B17</f>
        <v>交通便捷度</v>
      </c>
      <c r="R17" s="1495" t="s">
        <v>8</v>
      </c>
      <c r="S17" s="1496">
        <f>F17</f>
        <v>100</v>
      </c>
      <c r="T17" s="1495" t="s">
        <v>8</v>
      </c>
      <c r="U17" s="1496">
        <f>H17</f>
        <v>100</v>
      </c>
      <c r="V17" s="1495" t="s">
        <v>8</v>
      </c>
      <c r="W17" s="1496">
        <f>J17</f>
        <v>100</v>
      </c>
      <c r="X17" s="1489"/>
      <c r="Y17" s="3853"/>
      <c r="Z17" s="1497" t="str">
        <f>Q17</f>
        <v>交通便捷度</v>
      </c>
      <c r="AA17" s="1498">
        <f t="shared" si="3"/>
        <v>1</v>
      </c>
      <c r="AB17" s="1498">
        <f t="shared" si="4"/>
        <v>1</v>
      </c>
      <c r="AC17" s="1498">
        <f t="shared" si="5"/>
        <v>1</v>
      </c>
    </row>
    <row r="18" spans="1:29" ht="15">
      <c r="A18" s="518"/>
      <c r="B18" s="581"/>
      <c r="C18" s="854"/>
      <c r="D18" s="545"/>
      <c r="E18" s="554"/>
      <c r="F18" s="549"/>
      <c r="G18" s="555"/>
      <c r="H18" s="541"/>
      <c r="I18" s="554"/>
      <c r="J18" s="541"/>
      <c r="K18" s="880"/>
      <c r="L18" s="2010"/>
      <c r="M18" s="2002"/>
      <c r="N18" s="2002"/>
      <c r="O18" s="2009"/>
      <c r="P18" s="3853"/>
      <c r="Q18" s="1494"/>
      <c r="R18" s="1495"/>
      <c r="S18" s="1496"/>
      <c r="T18" s="1495"/>
      <c r="U18" s="1496"/>
      <c r="V18" s="1495"/>
      <c r="W18" s="1496"/>
      <c r="X18" s="1489"/>
      <c r="Y18" s="3853"/>
      <c r="Z18" s="1497"/>
      <c r="AA18" s="1498">
        <v>1</v>
      </c>
      <c r="AB18" s="1498">
        <v>1</v>
      </c>
      <c r="AC18" s="1498">
        <v>1</v>
      </c>
    </row>
    <row r="19" spans="1:29" ht="42.75">
      <c r="A19" s="518"/>
      <c r="B19" s="2433" t="s">
        <v>2522</v>
      </c>
      <c r="C19" s="853" t="str">
        <f>估价对象房地状况!G5</f>
        <v>估价对象所在区域公共配套设施齐备情况</v>
      </c>
      <c r="D19" s="551">
        <v>100</v>
      </c>
      <c r="E19" s="556"/>
      <c r="F19" s="557">
        <f>SUMIF(74:74,E20,75:75)-SUMIF(74:74,C20,75:75)+100</f>
        <v>100</v>
      </c>
      <c r="G19" s="558"/>
      <c r="H19" s="545">
        <f>SUMIF(74:74,G20,75:75)-SUMIF(74:74,C20,75:75)+100</f>
        <v>100</v>
      </c>
      <c r="I19" s="556"/>
      <c r="J19" s="545">
        <f>SUMIF(74:74,I20,75:75)-SUMIF(74:74,C20,75:75)+100</f>
        <v>100</v>
      </c>
      <c r="K19" s="879"/>
      <c r="L19" s="2010"/>
      <c r="M19" s="2002"/>
      <c r="N19" s="2002"/>
      <c r="O19" s="2009"/>
      <c r="P19" s="3853"/>
      <c r="Q19" s="1494" t="str">
        <f>B19</f>
        <v>公共配套设施</v>
      </c>
      <c r="R19" s="1495" t="s">
        <v>8</v>
      </c>
      <c r="S19" s="1496">
        <f>F19</f>
        <v>100</v>
      </c>
      <c r="T19" s="1495" t="s">
        <v>8</v>
      </c>
      <c r="U19" s="1496">
        <f>H19</f>
        <v>100</v>
      </c>
      <c r="V19" s="1495" t="s">
        <v>8</v>
      </c>
      <c r="W19" s="1496">
        <f>J19</f>
        <v>100</v>
      </c>
      <c r="X19" s="1489"/>
      <c r="Y19" s="3853"/>
      <c r="Z19" s="1497" t="str">
        <f>Q19</f>
        <v>公共配套设施</v>
      </c>
      <c r="AA19" s="1498">
        <f t="shared" si="3"/>
        <v>1</v>
      </c>
      <c r="AB19" s="1498">
        <f t="shared" si="4"/>
        <v>1</v>
      </c>
      <c r="AC19" s="1498">
        <f t="shared" si="5"/>
        <v>1</v>
      </c>
    </row>
    <row r="20" spans="1:29" ht="15">
      <c r="A20" s="518"/>
      <c r="B20" s="552"/>
      <c r="C20" s="562"/>
      <c r="D20" s="541"/>
      <c r="E20" s="542"/>
      <c r="F20" s="543"/>
      <c r="G20" s="544"/>
      <c r="H20" s="541"/>
      <c r="I20" s="542"/>
      <c r="J20" s="541"/>
      <c r="K20" s="880"/>
      <c r="L20" s="2010"/>
      <c r="M20" s="2002"/>
      <c r="N20" s="2002"/>
      <c r="O20" s="2009"/>
      <c r="P20" s="3853"/>
      <c r="Q20" s="1494"/>
      <c r="R20" s="1495"/>
      <c r="S20" s="1496"/>
      <c r="T20" s="1495"/>
      <c r="U20" s="1496"/>
      <c r="V20" s="1495"/>
      <c r="W20" s="1496"/>
      <c r="X20" s="1489"/>
      <c r="Y20" s="3853"/>
      <c r="Z20" s="1497"/>
      <c r="AA20" s="1498">
        <v>1</v>
      </c>
      <c r="AB20" s="1498">
        <v>1</v>
      </c>
      <c r="AC20" s="1498">
        <v>1</v>
      </c>
    </row>
    <row r="21" spans="1:29" ht="28.5">
      <c r="A21" s="518"/>
      <c r="B21" s="2421" t="s">
        <v>2534</v>
      </c>
      <c r="C21" s="853" t="str">
        <f>估价对象房地状况!G6</f>
        <v>估价对象所在区域基础设施水平</v>
      </c>
      <c r="D21" s="551">
        <v>100</v>
      </c>
      <c r="E21" s="558"/>
      <c r="F21" s="557">
        <f>SUMIF(76:76,E22,77:77)-SUMIF(76:76,C22,77:77)+100</f>
        <v>100</v>
      </c>
      <c r="G21" s="558"/>
      <c r="H21" s="551">
        <f>SUMIF(76:76,G22,77:77)-SUMIF(76:76,C22,77:77)+100</f>
        <v>100</v>
      </c>
      <c r="I21" s="556"/>
      <c r="J21" s="551">
        <f>SUMIF(76:76,I22,77:77)-SUMIF(76:76,C22,77:77)+100</f>
        <v>100</v>
      </c>
      <c r="K21" s="879"/>
      <c r="L21" s="2010"/>
      <c r="M21" s="2002"/>
      <c r="N21" s="2002"/>
      <c r="O21" s="2009"/>
      <c r="P21" s="3853"/>
      <c r="Q21" s="2415" t="str">
        <f>B21</f>
        <v>基础设施水平</v>
      </c>
      <c r="R21" s="1495" t="s">
        <v>8</v>
      </c>
      <c r="S21" s="1496">
        <f>F21</f>
        <v>100</v>
      </c>
      <c r="T21" s="1495" t="s">
        <v>8</v>
      </c>
      <c r="U21" s="1496">
        <f>H21</f>
        <v>100</v>
      </c>
      <c r="V21" s="1495" t="s">
        <v>8</v>
      </c>
      <c r="W21" s="1496">
        <f>J21</f>
        <v>100</v>
      </c>
      <c r="X21" s="2417"/>
      <c r="Y21" s="3853"/>
      <c r="Z21" s="2416" t="str">
        <f>Q21</f>
        <v>基础设施水平</v>
      </c>
      <c r="AA21" s="1498">
        <f t="shared" ref="AA21" si="8">D21/F21</f>
        <v>1</v>
      </c>
      <c r="AB21" s="1498">
        <f t="shared" ref="AB21" si="9">D21/H21</f>
        <v>1</v>
      </c>
      <c r="AC21" s="1498">
        <f t="shared" ref="AC21" si="10">D21/J21</f>
        <v>1</v>
      </c>
    </row>
    <row r="22" spans="1:29" ht="15">
      <c r="A22" s="518"/>
      <c r="B22" s="564"/>
      <c r="C22" s="854"/>
      <c r="D22" s="541"/>
      <c r="E22" s="562"/>
      <c r="F22" s="543"/>
      <c r="G22" s="562"/>
      <c r="H22" s="541"/>
      <c r="I22" s="562"/>
      <c r="J22" s="541"/>
      <c r="K22" s="2432"/>
      <c r="L22" s="2010"/>
      <c r="M22" s="2002"/>
      <c r="N22" s="2002"/>
      <c r="O22" s="2009"/>
      <c r="P22" s="3853"/>
      <c r="Q22" s="2415"/>
      <c r="R22" s="1495"/>
      <c r="S22" s="1496"/>
      <c r="T22" s="1495"/>
      <c r="U22" s="1496"/>
      <c r="V22" s="1495"/>
      <c r="W22" s="1496"/>
      <c r="X22" s="2417"/>
      <c r="Y22" s="3853"/>
      <c r="Z22" s="2416"/>
      <c r="AA22" s="1498">
        <v>1</v>
      </c>
      <c r="AB22" s="1498">
        <v>1</v>
      </c>
      <c r="AC22" s="1498">
        <v>1</v>
      </c>
    </row>
    <row r="23" spans="1:29" ht="71.25">
      <c r="A23" s="518"/>
      <c r="B23" s="852" t="s">
        <v>772</v>
      </c>
      <c r="C23" s="853" t="str">
        <f>估价对象房地状况!G7</f>
        <v>该园区内是否有污染型企业，绿化情况，卫生条件，整体环境状况判断</v>
      </c>
      <c r="D23" s="545">
        <v>100</v>
      </c>
      <c r="E23" s="548"/>
      <c r="F23" s="549">
        <f>SUMIF(78:78,E24,79:79)-SUMIF(78:78,C24,79:79)+100</f>
        <v>100</v>
      </c>
      <c r="G23" s="550"/>
      <c r="H23" s="545">
        <f>SUMIF(78:78,G24,79:79)-SUMIF(78:78,C24,79:79)+100</f>
        <v>100</v>
      </c>
      <c r="I23" s="548"/>
      <c r="J23" s="545">
        <f>SUMIF(78:78,I24,79:79)-SUMIF(78:78,C24,79:79)+100</f>
        <v>100</v>
      </c>
      <c r="K23" s="879"/>
      <c r="L23" s="2010"/>
      <c r="M23" s="2002"/>
      <c r="N23" s="2002"/>
      <c r="O23" s="2009"/>
      <c r="P23" s="3853"/>
      <c r="Q23" s="1494" t="str">
        <f>B23</f>
        <v>环境质量</v>
      </c>
      <c r="R23" s="1495" t="s">
        <v>8</v>
      </c>
      <c r="S23" s="1496">
        <f>F23</f>
        <v>100</v>
      </c>
      <c r="T23" s="1495" t="s">
        <v>8</v>
      </c>
      <c r="U23" s="1496">
        <f>H23</f>
        <v>100</v>
      </c>
      <c r="V23" s="1495" t="s">
        <v>8</v>
      </c>
      <c r="W23" s="1496">
        <f>J23</f>
        <v>100</v>
      </c>
      <c r="X23" s="1489"/>
      <c r="Y23" s="3853"/>
      <c r="Z23" s="1497" t="str">
        <f>Q23</f>
        <v>环境质量</v>
      </c>
      <c r="AA23" s="1498">
        <f t="shared" si="3"/>
        <v>1</v>
      </c>
      <c r="AB23" s="1498">
        <f t="shared" si="4"/>
        <v>1</v>
      </c>
      <c r="AC23" s="1498">
        <f t="shared" si="5"/>
        <v>1</v>
      </c>
    </row>
    <row r="24" spans="1:29" ht="15">
      <c r="A24" s="518"/>
      <c r="B24" s="903"/>
      <c r="C24" s="562"/>
      <c r="D24" s="541"/>
      <c r="E24" s="542"/>
      <c r="F24" s="543"/>
      <c r="G24" s="544"/>
      <c r="H24" s="541"/>
      <c r="I24" s="542"/>
      <c r="J24" s="541"/>
      <c r="K24" s="880"/>
      <c r="L24" s="2010"/>
      <c r="M24" s="2002"/>
      <c r="N24" s="2002"/>
      <c r="O24" s="2009"/>
      <c r="P24" s="3853"/>
      <c r="Q24" s="1494"/>
      <c r="R24" s="1495"/>
      <c r="S24" s="1496"/>
      <c r="T24" s="1495"/>
      <c r="U24" s="1496"/>
      <c r="V24" s="1495"/>
      <c r="W24" s="1496"/>
      <c r="X24" s="1489"/>
      <c r="Y24" s="3853"/>
      <c r="Z24" s="1497"/>
      <c r="AA24" s="1498">
        <v>1</v>
      </c>
      <c r="AB24" s="1498">
        <v>1</v>
      </c>
      <c r="AC24" s="1498">
        <v>1</v>
      </c>
    </row>
    <row r="25" spans="1:29" ht="15">
      <c r="A25" s="501"/>
      <c r="B25" s="858">
        <v>111</v>
      </c>
      <c r="C25" s="525"/>
      <c r="D25" s="526">
        <v>100</v>
      </c>
      <c r="E25" s="525"/>
      <c r="F25" s="561">
        <f>SUMIF(80:80,E25,81:81)-SUMIF(80:80,C25,81:81)+100</f>
        <v>100</v>
      </c>
      <c r="G25" s="525"/>
      <c r="H25" s="526">
        <f>SUMIF(80:80,G25,81:81)-SUMIF(80:80,C25,81:81)+100</f>
        <v>100</v>
      </c>
      <c r="I25" s="525"/>
      <c r="J25" s="526">
        <f>SUMIF(80:80,I25,81:81)-SUMIF(80:80,C25,81:81)+100</f>
        <v>100</v>
      </c>
      <c r="K25" s="567"/>
      <c r="L25" s="2010"/>
      <c r="M25" s="2002"/>
      <c r="N25" s="2002"/>
      <c r="O25" s="2009"/>
      <c r="P25" s="3853"/>
      <c r="Q25" s="1494">
        <f>B25</f>
        <v>111</v>
      </c>
      <c r="R25" s="1495" t="s">
        <v>8</v>
      </c>
      <c r="S25" s="1496">
        <f>F25</f>
        <v>100</v>
      </c>
      <c r="T25" s="1495" t="s">
        <v>8</v>
      </c>
      <c r="U25" s="1496">
        <f>H25</f>
        <v>100</v>
      </c>
      <c r="V25" s="1495" t="s">
        <v>8</v>
      </c>
      <c r="W25" s="1496">
        <f>J25</f>
        <v>100</v>
      </c>
      <c r="X25" s="1489"/>
      <c r="Y25" s="3853"/>
      <c r="Z25" s="1497">
        <f>Q25</f>
        <v>111</v>
      </c>
      <c r="AA25" s="1498">
        <f t="shared" si="3"/>
        <v>1</v>
      </c>
      <c r="AB25" s="1498">
        <f t="shared" si="4"/>
        <v>1</v>
      </c>
      <c r="AC25" s="1498">
        <f t="shared" si="5"/>
        <v>1</v>
      </c>
    </row>
    <row r="26" spans="1:29" ht="15">
      <c r="A26" s="518"/>
      <c r="B26" s="858">
        <v>111</v>
      </c>
      <c r="C26" s="525"/>
      <c r="D26" s="526">
        <v>100</v>
      </c>
      <c r="E26" s="525"/>
      <c r="F26" s="561">
        <f>SUMIF(82:82,E26,83:83)-SUMIF(82:82,C26,83:83)+100</f>
        <v>100</v>
      </c>
      <c r="G26" s="525"/>
      <c r="H26" s="526">
        <f>SUMIF(82:82,G26,83:83)-SUMIF(82:82,C26,83:83)+100</f>
        <v>100</v>
      </c>
      <c r="I26" s="525"/>
      <c r="J26" s="526">
        <f>SUMIF(82:82,I26,83:83)-SUMIF(82:82,C26,83:83)+100</f>
        <v>100</v>
      </c>
      <c r="K26" s="567"/>
      <c r="L26" s="2010"/>
      <c r="M26" s="2002"/>
      <c r="N26" s="2002"/>
      <c r="O26" s="2009"/>
      <c r="P26" s="3853"/>
      <c r="Q26" s="1494">
        <f t="shared" ref="Q26:Q40" si="11">B26</f>
        <v>111</v>
      </c>
      <c r="R26" s="1495" t="s">
        <v>8</v>
      </c>
      <c r="S26" s="1496">
        <f>F26</f>
        <v>100</v>
      </c>
      <c r="T26" s="1495" t="s">
        <v>8</v>
      </c>
      <c r="U26" s="1496">
        <f>H26</f>
        <v>100</v>
      </c>
      <c r="V26" s="1495" t="s">
        <v>8</v>
      </c>
      <c r="W26" s="1496">
        <f>J26</f>
        <v>100</v>
      </c>
      <c r="X26" s="1489"/>
      <c r="Y26" s="3853"/>
      <c r="Z26" s="1497">
        <f>Q26</f>
        <v>111</v>
      </c>
      <c r="AA26" s="1498">
        <f t="shared" si="3"/>
        <v>1</v>
      </c>
      <c r="AB26" s="1498">
        <f t="shared" si="4"/>
        <v>1</v>
      </c>
      <c r="AC26" s="1498">
        <f t="shared" si="5"/>
        <v>1</v>
      </c>
    </row>
    <row r="27" spans="1:29" s="1194" customFormat="1" ht="15">
      <c r="A27" s="522"/>
      <c r="B27" s="858">
        <v>111</v>
      </c>
      <c r="C27" s="525"/>
      <c r="D27" s="856">
        <v>100</v>
      </c>
      <c r="E27" s="525"/>
      <c r="F27" s="857">
        <f>SUMIF(84:84,E27,85:85)-SUMIF(84:84,C27,85:85)+100</f>
        <v>100</v>
      </c>
      <c r="G27" s="525"/>
      <c r="H27" s="856">
        <f>SUMIF(84:84,G27,85:85)-SUMIF(84:84,C27,85:85)+100</f>
        <v>100</v>
      </c>
      <c r="I27" s="525"/>
      <c r="J27" s="856">
        <f>SUMIF(84:84,I27,85:85)-SUMIF(84:84,C27,85:85)+100</f>
        <v>100</v>
      </c>
      <c r="K27" s="567"/>
      <c r="L27" s="2003"/>
      <c r="M27" s="2004"/>
      <c r="N27" s="2004"/>
      <c r="O27" s="2005"/>
      <c r="P27" s="3853"/>
      <c r="Q27" s="1125">
        <f t="shared" si="11"/>
        <v>111</v>
      </c>
      <c r="R27" s="1490" t="s">
        <v>8</v>
      </c>
      <c r="S27" s="1491">
        <f>F27</f>
        <v>100</v>
      </c>
      <c r="T27" s="1490" t="s">
        <v>8</v>
      </c>
      <c r="U27" s="1491">
        <f>H27</f>
        <v>100</v>
      </c>
      <c r="V27" s="1490" t="s">
        <v>8</v>
      </c>
      <c r="W27" s="1491">
        <f>J27</f>
        <v>100</v>
      </c>
      <c r="X27" s="1492"/>
      <c r="Y27" s="3853"/>
      <c r="Z27" s="1124">
        <f>Q27</f>
        <v>111</v>
      </c>
      <c r="AA27" s="1498">
        <f>D27/F27</f>
        <v>1</v>
      </c>
      <c r="AB27" s="1498">
        <f>D27/H27</f>
        <v>1</v>
      </c>
      <c r="AC27" s="1498">
        <f>D27/J27</f>
        <v>1</v>
      </c>
    </row>
    <row r="28" spans="1:29" ht="15.75" thickBot="1">
      <c r="A28" s="529"/>
      <c r="B28" s="858">
        <v>111</v>
      </c>
      <c r="C28" s="531"/>
      <c r="D28" s="532">
        <v>100</v>
      </c>
      <c r="E28" s="525"/>
      <c r="F28" s="847">
        <f>SUMIF(86:86,E28,87:87)-SUMIF(86:86,C28,87:87)+100</f>
        <v>100</v>
      </c>
      <c r="G28" s="861"/>
      <c r="H28" s="532">
        <f>SUMIF(86:86,G28,87:87)-SUMIF(86:86,C28,87:87)+100</f>
        <v>100</v>
      </c>
      <c r="I28" s="861"/>
      <c r="J28" s="532">
        <f>SUMIF(86:86,I28,87:87)-SUMIF(86:86,C28,87:87)+100</f>
        <v>100</v>
      </c>
      <c r="K28" s="567"/>
      <c r="L28" s="2010"/>
      <c r="M28" s="2002"/>
      <c r="N28" s="2002"/>
      <c r="O28" s="2009"/>
      <c r="P28" s="3853"/>
      <c r="Q28" s="1494">
        <f t="shared" si="11"/>
        <v>111</v>
      </c>
      <c r="R28" s="1495" t="s">
        <v>8</v>
      </c>
      <c r="S28" s="1496">
        <f t="shared" ref="S28:S40" si="12">F28</f>
        <v>100</v>
      </c>
      <c r="T28" s="1495" t="s">
        <v>8</v>
      </c>
      <c r="U28" s="1496">
        <f t="shared" ref="U28:U40" si="13">H28</f>
        <v>100</v>
      </c>
      <c r="V28" s="1495" t="s">
        <v>8</v>
      </c>
      <c r="W28" s="1496">
        <f t="shared" ref="W28:W40" si="14">J28</f>
        <v>100</v>
      </c>
      <c r="X28" s="1489"/>
      <c r="Y28" s="3853"/>
      <c r="Z28" s="1497">
        <f t="shared" ref="Z28:Z40" si="15">Q28</f>
        <v>111</v>
      </c>
      <c r="AA28" s="1498">
        <f t="shared" si="3"/>
        <v>1</v>
      </c>
      <c r="AB28" s="1498">
        <f t="shared" si="4"/>
        <v>1</v>
      </c>
      <c r="AC28" s="1498">
        <f t="shared" si="5"/>
        <v>1</v>
      </c>
    </row>
    <row r="29" spans="1:29" ht="15">
      <c r="A29" s="2610" t="s">
        <v>2729</v>
      </c>
      <c r="B29" s="170" t="s">
        <v>774</v>
      </c>
      <c r="C29" s="897"/>
      <c r="D29" s="583">
        <v>100</v>
      </c>
      <c r="E29" s="897"/>
      <c r="F29" s="561">
        <f>SUMIF(88:88,E29,89:89)-SUMIF(88:88,C29,89:89)+100</f>
        <v>100</v>
      </c>
      <c r="G29" s="897"/>
      <c r="H29" s="526">
        <f>SUMIF(88:88,G29,89:89)-SUMIF(88:88,C29,89:89)+100</f>
        <v>100</v>
      </c>
      <c r="I29" s="897"/>
      <c r="J29" s="583">
        <f>SUMIF(88:88,I29,89:89)-SUMIF(88:88,C29,89:89)+100</f>
        <v>100</v>
      </c>
      <c r="K29" s="570"/>
      <c r="L29" s="2010"/>
      <c r="M29" s="2002"/>
      <c r="N29" s="2002"/>
      <c r="O29" s="2009"/>
      <c r="P29" s="3854" t="s">
        <v>544</v>
      </c>
      <c r="Q29" s="1494" t="str">
        <f t="shared" si="11"/>
        <v>建筑类型</v>
      </c>
      <c r="R29" s="1495" t="s">
        <v>8</v>
      </c>
      <c r="S29" s="1496">
        <f t="shared" si="12"/>
        <v>100</v>
      </c>
      <c r="T29" s="1495" t="s">
        <v>8</v>
      </c>
      <c r="U29" s="1496">
        <f t="shared" si="13"/>
        <v>100</v>
      </c>
      <c r="V29" s="1495" t="s">
        <v>8</v>
      </c>
      <c r="W29" s="1496">
        <f t="shared" si="14"/>
        <v>100</v>
      </c>
      <c r="X29" s="1489"/>
      <c r="Y29" s="3855" t="s">
        <v>544</v>
      </c>
      <c r="Z29" s="1497" t="str">
        <f t="shared" si="15"/>
        <v>建筑类型</v>
      </c>
      <c r="AA29" s="1498">
        <f t="shared" si="3"/>
        <v>1</v>
      </c>
      <c r="AB29" s="1498">
        <f t="shared" si="4"/>
        <v>1</v>
      </c>
      <c r="AC29" s="1498">
        <f t="shared" si="5"/>
        <v>1</v>
      </c>
    </row>
    <row r="30" spans="1:29" s="1283" customFormat="1" ht="15">
      <c r="A30" s="589"/>
      <c r="B30" s="513" t="s">
        <v>720</v>
      </c>
      <c r="C30" s="861"/>
      <c r="D30" s="245">
        <v>100</v>
      </c>
      <c r="E30" s="520"/>
      <c r="F30" s="844" t="e">
        <f>LOOKUP(E30,91:91,92:92)-LOOKUP(C30,91:91,92:92)+100</f>
        <v>#N/A</v>
      </c>
      <c r="G30" s="519"/>
      <c r="H30" s="245" t="e">
        <f>LOOKUP(G30,91:91,92:92)-LOOKUP(C30,91:91,92:92)+100</f>
        <v>#N/A</v>
      </c>
      <c r="I30" s="519"/>
      <c r="J30" s="245" t="e">
        <f>LOOKUP(I30,91:91,92:92)-LOOKUP(C30,91:91,92:92)+100</f>
        <v>#N/A</v>
      </c>
      <c r="K30" s="567"/>
      <c r="L30" s="2008"/>
      <c r="M30" s="2038"/>
      <c r="N30" s="2038"/>
      <c r="O30" s="2011"/>
      <c r="P30" s="3855"/>
      <c r="Q30" s="1523" t="str">
        <f t="shared" si="11"/>
        <v>项目建筑规模</v>
      </c>
      <c r="R30" s="1499" t="s">
        <v>8</v>
      </c>
      <c r="S30" s="1500" t="e">
        <f t="shared" si="12"/>
        <v>#N/A</v>
      </c>
      <c r="T30" s="1499" t="s">
        <v>8</v>
      </c>
      <c r="U30" s="1500" t="e">
        <f t="shared" si="13"/>
        <v>#N/A</v>
      </c>
      <c r="V30" s="1499" t="s">
        <v>8</v>
      </c>
      <c r="W30" s="1500" t="e">
        <f t="shared" si="14"/>
        <v>#N/A</v>
      </c>
      <c r="X30" s="1501"/>
      <c r="Y30" s="3855"/>
      <c r="Z30" s="1502" t="str">
        <f t="shared" si="15"/>
        <v>项目建筑规模</v>
      </c>
      <c r="AA30" s="1498" t="e">
        <f t="shared" si="3"/>
        <v>#N/A</v>
      </c>
      <c r="AB30" s="1498" t="e">
        <f t="shared" si="4"/>
        <v>#N/A</v>
      </c>
      <c r="AC30" s="1498" t="e">
        <f t="shared" si="5"/>
        <v>#N/A</v>
      </c>
    </row>
    <row r="31" spans="1:29" ht="15">
      <c r="A31" s="580"/>
      <c r="B31" s="513" t="s">
        <v>721</v>
      </c>
      <c r="C31" s="560"/>
      <c r="D31" s="526">
        <v>100</v>
      </c>
      <c r="E31" s="560"/>
      <c r="F31" s="561">
        <f>SUMIF(93:93,E31,94:94)-SUMIF(93:93,C31,94:94)+100</f>
        <v>100</v>
      </c>
      <c r="G31" s="560"/>
      <c r="H31" s="526">
        <f>SUMIF(93:93,G31,94:94)-SUMIF(93:93,C31,94:94)+100</f>
        <v>100</v>
      </c>
      <c r="I31" s="560"/>
      <c r="J31" s="526">
        <f>SUMIF(93:93,I31,94:94)-SUMIF(93:93,C31,94:94)+100</f>
        <v>100</v>
      </c>
      <c r="K31" s="570"/>
      <c r="L31" s="2010"/>
      <c r="M31" s="2002"/>
      <c r="N31" s="2002"/>
      <c r="O31" s="2009"/>
      <c r="P31" s="3855"/>
      <c r="Q31" s="1494" t="str">
        <f t="shared" si="11"/>
        <v>建筑结构</v>
      </c>
      <c r="R31" s="1495" t="s">
        <v>8</v>
      </c>
      <c r="S31" s="1496">
        <f t="shared" si="12"/>
        <v>100</v>
      </c>
      <c r="T31" s="1495" t="s">
        <v>8</v>
      </c>
      <c r="U31" s="1496">
        <f t="shared" si="13"/>
        <v>100</v>
      </c>
      <c r="V31" s="1495" t="s">
        <v>8</v>
      </c>
      <c r="W31" s="1496">
        <f t="shared" si="14"/>
        <v>100</v>
      </c>
      <c r="X31" s="1489"/>
      <c r="Y31" s="3855"/>
      <c r="Z31" s="1497" t="str">
        <f t="shared" si="15"/>
        <v>建筑结构</v>
      </c>
      <c r="AA31" s="1498">
        <f t="shared" si="3"/>
        <v>1</v>
      </c>
      <c r="AB31" s="1498">
        <f t="shared" si="4"/>
        <v>1</v>
      </c>
      <c r="AC31" s="1498">
        <f t="shared" si="5"/>
        <v>1</v>
      </c>
    </row>
    <row r="32" spans="1:29" ht="15">
      <c r="A32" s="580"/>
      <c r="B32" s="513" t="s">
        <v>757</v>
      </c>
      <c r="C32" s="560"/>
      <c r="D32" s="526">
        <v>100</v>
      </c>
      <c r="E32" s="560"/>
      <c r="F32" s="561">
        <f>SUMIF(95:95,E32,96:96)-SUMIF(95:95,C32,96:96)+100</f>
        <v>100</v>
      </c>
      <c r="G32" s="560"/>
      <c r="H32" s="526">
        <f>SUMIF(95:95,G32,96:96)-SUMIF(95:95,C32,96:96)+100</f>
        <v>100</v>
      </c>
      <c r="I32" s="560"/>
      <c r="J32" s="526">
        <f>SUMIF(95:95,I32,96:96)-SUMIF(95:95,C32,96:96)+100</f>
        <v>100</v>
      </c>
      <c r="K32" s="570"/>
      <c r="L32" s="2010"/>
      <c r="M32" s="2002"/>
      <c r="N32" s="2002"/>
      <c r="O32" s="2009"/>
      <c r="P32" s="3855"/>
      <c r="Q32" s="1494" t="str">
        <f t="shared" si="11"/>
        <v>公共部分装修</v>
      </c>
      <c r="R32" s="1495" t="s">
        <v>8</v>
      </c>
      <c r="S32" s="1496">
        <f t="shared" si="12"/>
        <v>100</v>
      </c>
      <c r="T32" s="1495" t="s">
        <v>8</v>
      </c>
      <c r="U32" s="1496">
        <f t="shared" si="13"/>
        <v>100</v>
      </c>
      <c r="V32" s="1495" t="s">
        <v>8</v>
      </c>
      <c r="W32" s="1496">
        <f t="shared" si="14"/>
        <v>100</v>
      </c>
      <c r="X32" s="1489"/>
      <c r="Y32" s="3855"/>
      <c r="Z32" s="1497" t="str">
        <f t="shared" si="15"/>
        <v>公共部分装修</v>
      </c>
      <c r="AA32" s="1498">
        <f t="shared" si="3"/>
        <v>1</v>
      </c>
      <c r="AB32" s="1498">
        <f t="shared" si="4"/>
        <v>1</v>
      </c>
      <c r="AC32" s="1498">
        <f t="shared" si="5"/>
        <v>1</v>
      </c>
    </row>
    <row r="33" spans="1:29" ht="15">
      <c r="A33" s="580"/>
      <c r="B33" s="513" t="s">
        <v>758</v>
      </c>
      <c r="C33" s="861"/>
      <c r="D33" s="526">
        <v>100</v>
      </c>
      <c r="E33" s="864"/>
      <c r="F33" s="561" t="e">
        <f>LOOKUP(E33,98:98,99:99)-LOOKUP(C33,98:98,99:99)+100</f>
        <v>#N/A</v>
      </c>
      <c r="G33" s="864"/>
      <c r="H33" s="561" t="e">
        <f>LOOKUP(G33,98:98,99:99)-LOOKUP(C33,98:98,99:99)+100</f>
        <v>#N/A</v>
      </c>
      <c r="I33" s="864"/>
      <c r="J33" s="526" t="e">
        <f>LOOKUP(I33,98:98,99:99)-LOOKUP(C33,98:98,99:99)+100</f>
        <v>#N/A</v>
      </c>
      <c r="K33" s="570"/>
      <c r="L33" s="2010"/>
      <c r="M33" s="2002"/>
      <c r="N33" s="2002"/>
      <c r="O33" s="2009"/>
      <c r="P33" s="3855"/>
      <c r="Q33" s="1494" t="str">
        <f t="shared" si="11"/>
        <v>成新度</v>
      </c>
      <c r="R33" s="1495" t="s">
        <v>8</v>
      </c>
      <c r="S33" s="1496" t="e">
        <f t="shared" si="12"/>
        <v>#N/A</v>
      </c>
      <c r="T33" s="1495" t="s">
        <v>8</v>
      </c>
      <c r="U33" s="1496" t="e">
        <f t="shared" si="13"/>
        <v>#N/A</v>
      </c>
      <c r="V33" s="1495" t="s">
        <v>8</v>
      </c>
      <c r="W33" s="1496" t="e">
        <f t="shared" si="14"/>
        <v>#N/A</v>
      </c>
      <c r="X33" s="1489"/>
      <c r="Y33" s="3855"/>
      <c r="Z33" s="1497" t="str">
        <f t="shared" si="15"/>
        <v>成新度</v>
      </c>
      <c r="AA33" s="1498" t="e">
        <f t="shared" si="3"/>
        <v>#N/A</v>
      </c>
      <c r="AB33" s="1498" t="e">
        <f t="shared" si="4"/>
        <v>#N/A</v>
      </c>
      <c r="AC33" s="1498" t="e">
        <f t="shared" si="5"/>
        <v>#N/A</v>
      </c>
    </row>
    <row r="34" spans="1:29" s="1194" customFormat="1" ht="15">
      <c r="A34" s="586"/>
      <c r="B34" s="513" t="s">
        <v>776</v>
      </c>
      <c r="C34" s="560"/>
      <c r="D34" s="245">
        <v>100</v>
      </c>
      <c r="E34" s="560"/>
      <c r="F34" s="561">
        <f>SUMIF(100:100,E34,101:101)-SUMIF(100:100,C34,101:101)+100</f>
        <v>100</v>
      </c>
      <c r="G34" s="560"/>
      <c r="H34" s="526">
        <f>SUMIF(100:100,G34,101:101)-SUMIF(100:100,C34,101:101)+100</f>
        <v>100</v>
      </c>
      <c r="I34" s="560"/>
      <c r="J34" s="526">
        <f>SUMIF(100:100,I34,101:101)-SUMIF(100:100,C34,101:101)+100</f>
        <v>100</v>
      </c>
      <c r="K34" s="570"/>
      <c r="L34" s="2003"/>
      <c r="M34" s="2004"/>
      <c r="N34" s="2004"/>
      <c r="O34" s="2005"/>
      <c r="P34" s="3855"/>
      <c r="Q34" s="1125" t="str">
        <f t="shared" si="11"/>
        <v>物业管理</v>
      </c>
      <c r="R34" s="1490" t="s">
        <v>8</v>
      </c>
      <c r="S34" s="1491">
        <f t="shared" si="12"/>
        <v>100</v>
      </c>
      <c r="T34" s="1490" t="s">
        <v>8</v>
      </c>
      <c r="U34" s="1491">
        <f t="shared" si="13"/>
        <v>100</v>
      </c>
      <c r="V34" s="1490" t="s">
        <v>8</v>
      </c>
      <c r="W34" s="1491">
        <f t="shared" si="14"/>
        <v>100</v>
      </c>
      <c r="X34" s="1492"/>
      <c r="Y34" s="3855"/>
      <c r="Z34" s="1124" t="str">
        <f t="shared" si="15"/>
        <v>物业管理</v>
      </c>
      <c r="AA34" s="1493">
        <f t="shared" si="3"/>
        <v>1</v>
      </c>
      <c r="AB34" s="1493">
        <f t="shared" si="4"/>
        <v>1</v>
      </c>
      <c r="AC34" s="1493">
        <f t="shared" si="5"/>
        <v>1</v>
      </c>
    </row>
    <row r="35" spans="1:29" ht="15">
      <c r="A35" s="580"/>
      <c r="B35" s="1795" t="s">
        <v>2541</v>
      </c>
      <c r="C35" s="560"/>
      <c r="D35" s="526">
        <v>100</v>
      </c>
      <c r="E35" s="560"/>
      <c r="F35" s="561">
        <f>SUMIF(102:102,E35,103:103)-SUMIF(102:102,C35,103:103)+100</f>
        <v>100</v>
      </c>
      <c r="G35" s="560"/>
      <c r="H35" s="526">
        <f>SUMIF(102:102,G35,103:103)-SUMIF(102:102,C35,103:103)+100</f>
        <v>100</v>
      </c>
      <c r="I35" s="560"/>
      <c r="J35" s="526">
        <f>SUMIF(102:102,I35,103:103)-SUMIF(102:102,C35,103:103)+100</f>
        <v>100</v>
      </c>
      <c r="K35" s="570"/>
      <c r="L35" s="2010"/>
      <c r="M35" s="2002"/>
      <c r="N35" s="2002"/>
      <c r="O35" s="2009"/>
      <c r="P35" s="3855" t="s">
        <v>544</v>
      </c>
      <c r="Q35" s="1494" t="str">
        <f t="shared" si="11"/>
        <v>市政基础设施</v>
      </c>
      <c r="R35" s="1495" t="s">
        <v>8</v>
      </c>
      <c r="S35" s="1496">
        <f t="shared" si="12"/>
        <v>100</v>
      </c>
      <c r="T35" s="1495" t="s">
        <v>8</v>
      </c>
      <c r="U35" s="1496">
        <f t="shared" si="13"/>
        <v>100</v>
      </c>
      <c r="V35" s="1495" t="s">
        <v>8</v>
      </c>
      <c r="W35" s="1496">
        <f t="shared" si="14"/>
        <v>100</v>
      </c>
      <c r="X35" s="1489"/>
      <c r="Y35" s="3855" t="s">
        <v>544</v>
      </c>
      <c r="Z35" s="1497" t="str">
        <f t="shared" si="15"/>
        <v>市政基础设施</v>
      </c>
      <c r="AA35" s="1498">
        <f t="shared" si="3"/>
        <v>1</v>
      </c>
      <c r="AB35" s="1498">
        <f t="shared" si="4"/>
        <v>1</v>
      </c>
      <c r="AC35" s="1498">
        <f t="shared" si="5"/>
        <v>1</v>
      </c>
    </row>
    <row r="36" spans="1:29" ht="15">
      <c r="A36" s="580"/>
      <c r="B36" s="513" t="s">
        <v>764</v>
      </c>
      <c r="C36" s="560"/>
      <c r="D36" s="526">
        <v>100</v>
      </c>
      <c r="E36" s="560"/>
      <c r="F36" s="561">
        <f>SUMIF(104:104,E36,105:105)-SUMIF(104:104,C36,105:105)+100</f>
        <v>100</v>
      </c>
      <c r="G36" s="560"/>
      <c r="H36" s="526">
        <f>SUMIF(104:104,G36,105:105)-SUMIF(104:104,C36,105:105)+100</f>
        <v>100</v>
      </c>
      <c r="I36" s="560"/>
      <c r="J36" s="526">
        <f>SUMIF(104:104,I36,105:105)-SUMIF(104:104,C36,105:105)+100</f>
        <v>100</v>
      </c>
      <c r="K36" s="570"/>
      <c r="L36" s="2010"/>
      <c r="M36" s="2002"/>
      <c r="N36" s="2002"/>
      <c r="O36" s="2009"/>
      <c r="P36" s="3855"/>
      <c r="Q36" s="1494" t="str">
        <f t="shared" si="11"/>
        <v>内部装修</v>
      </c>
      <c r="R36" s="1495" t="s">
        <v>8</v>
      </c>
      <c r="S36" s="1496">
        <f t="shared" si="12"/>
        <v>100</v>
      </c>
      <c r="T36" s="1495" t="s">
        <v>8</v>
      </c>
      <c r="U36" s="1496">
        <f t="shared" si="13"/>
        <v>100</v>
      </c>
      <c r="V36" s="1495" t="s">
        <v>8</v>
      </c>
      <c r="W36" s="1496">
        <f t="shared" si="14"/>
        <v>100</v>
      </c>
      <c r="X36" s="1489"/>
      <c r="Y36" s="3855"/>
      <c r="Z36" s="1497" t="str">
        <f t="shared" si="15"/>
        <v>内部装修</v>
      </c>
      <c r="AA36" s="1498">
        <f t="shared" si="3"/>
        <v>1</v>
      </c>
      <c r="AB36" s="1498">
        <f t="shared" si="4"/>
        <v>1</v>
      </c>
      <c r="AC36" s="1498">
        <f t="shared" si="5"/>
        <v>1</v>
      </c>
    </row>
    <row r="37" spans="1:29" ht="15">
      <c r="A37" s="580"/>
      <c r="B37" s="513" t="s">
        <v>784</v>
      </c>
      <c r="C37" s="569"/>
      <c r="D37" s="526">
        <v>100</v>
      </c>
      <c r="E37" s="569"/>
      <c r="F37" s="561">
        <f>SUMIF(106:106,E37,107:107)-SUMIF(106:106,C37,107:107)+100</f>
        <v>100</v>
      </c>
      <c r="G37" s="569"/>
      <c r="H37" s="526">
        <f>SUMIF(106:106,G37,107:107)-SUMIF(106:106,C37,107:107)+100</f>
        <v>100</v>
      </c>
      <c r="I37" s="569"/>
      <c r="J37" s="526">
        <f>SUMIF(106:106,I37,107:107)-SUMIF(106:106,C37,107:107)+100</f>
        <v>100</v>
      </c>
      <c r="K37" s="570"/>
      <c r="L37" s="2010"/>
      <c r="M37" s="2002"/>
      <c r="N37" s="2002"/>
      <c r="O37" s="2009"/>
      <c r="P37" s="3855"/>
      <c r="Q37" s="1494" t="str">
        <f t="shared" si="11"/>
        <v>内部装修状况</v>
      </c>
      <c r="R37" s="1495" t="s">
        <v>8</v>
      </c>
      <c r="S37" s="1496">
        <f t="shared" si="12"/>
        <v>100</v>
      </c>
      <c r="T37" s="1495" t="s">
        <v>8</v>
      </c>
      <c r="U37" s="1496">
        <f t="shared" si="13"/>
        <v>100</v>
      </c>
      <c r="V37" s="1495" t="s">
        <v>8</v>
      </c>
      <c r="W37" s="1496">
        <f t="shared" si="14"/>
        <v>100</v>
      </c>
      <c r="X37" s="1489"/>
      <c r="Y37" s="3855"/>
      <c r="Z37" s="1497" t="str">
        <f t="shared" si="15"/>
        <v>内部装修状况</v>
      </c>
      <c r="AA37" s="1498">
        <f t="shared" si="3"/>
        <v>1</v>
      </c>
      <c r="AB37" s="1498">
        <f t="shared" si="4"/>
        <v>1</v>
      </c>
      <c r="AC37" s="1498">
        <f t="shared" si="5"/>
        <v>1</v>
      </c>
    </row>
    <row r="38" spans="1:29" s="1283" customFormat="1" ht="15">
      <c r="A38" s="589"/>
      <c r="B38" s="858">
        <v>111</v>
      </c>
      <c r="C38" s="861"/>
      <c r="D38" s="526">
        <v>100</v>
      </c>
      <c r="E38" s="525"/>
      <c r="F38" s="561">
        <f>SUMIF(108:108,E38,109:109)-SUMIF(108:108,C38,109:109)+100</f>
        <v>100</v>
      </c>
      <c r="G38" s="861"/>
      <c r="H38" s="526">
        <f>SUMIF(108:108,G38,109:109)-SUMIF(108:108,C38,109:109)+100</f>
        <v>100</v>
      </c>
      <c r="I38" s="861"/>
      <c r="J38" s="526">
        <f>SUMIF(108:108,I38,109:1038)-SUMIF(108:108,C38,109:109)+100</f>
        <v>100</v>
      </c>
      <c r="K38" s="567"/>
      <c r="L38" s="2008"/>
      <c r="M38" s="2038"/>
      <c r="N38" s="2038"/>
      <c r="O38" s="2011"/>
      <c r="P38" s="3855"/>
      <c r="Q38" s="1523">
        <f t="shared" si="11"/>
        <v>111</v>
      </c>
      <c r="R38" s="1499" t="s">
        <v>8</v>
      </c>
      <c r="S38" s="1500">
        <f t="shared" si="12"/>
        <v>100</v>
      </c>
      <c r="T38" s="1499" t="s">
        <v>8</v>
      </c>
      <c r="U38" s="1500">
        <f t="shared" si="13"/>
        <v>100</v>
      </c>
      <c r="V38" s="1499" t="s">
        <v>8</v>
      </c>
      <c r="W38" s="1500">
        <f t="shared" si="14"/>
        <v>100</v>
      </c>
      <c r="X38" s="1501"/>
      <c r="Y38" s="3855"/>
      <c r="Z38" s="1502">
        <f t="shared" si="15"/>
        <v>111</v>
      </c>
      <c r="AA38" s="1498">
        <f t="shared" si="3"/>
        <v>1</v>
      </c>
      <c r="AB38" s="1498">
        <f t="shared" si="4"/>
        <v>1</v>
      </c>
      <c r="AC38" s="1498">
        <f t="shared" si="5"/>
        <v>1</v>
      </c>
    </row>
    <row r="39" spans="1:29" ht="15">
      <c r="A39" s="580"/>
      <c r="B39" s="858">
        <v>111</v>
      </c>
      <c r="C39" s="861"/>
      <c r="D39" s="526">
        <v>100</v>
      </c>
      <c r="E39" s="525"/>
      <c r="F39" s="561">
        <f>SUMIF(110:110,E39,111:111)-SUMIF(110:110,C39,111:111)+100</f>
        <v>100</v>
      </c>
      <c r="G39" s="861"/>
      <c r="H39" s="526">
        <f>SUMIF(110:110,G39,111:111)-SUMIF(110:110,C39,111:111)+100</f>
        <v>100</v>
      </c>
      <c r="I39" s="861"/>
      <c r="J39" s="526">
        <f>SUMIF(110:110,I39,111:111)-SUMIF(110:110,C39,111:111)+100</f>
        <v>100</v>
      </c>
      <c r="K39" s="567"/>
      <c r="L39" s="2010"/>
      <c r="M39" s="2002"/>
      <c r="N39" s="2002"/>
      <c r="O39" s="2009"/>
      <c r="P39" s="3855"/>
      <c r="Q39" s="1494">
        <f t="shared" si="11"/>
        <v>111</v>
      </c>
      <c r="R39" s="1495" t="s">
        <v>8</v>
      </c>
      <c r="S39" s="1496">
        <f t="shared" si="12"/>
        <v>100</v>
      </c>
      <c r="T39" s="1495" t="s">
        <v>8</v>
      </c>
      <c r="U39" s="1496">
        <f t="shared" si="13"/>
        <v>100</v>
      </c>
      <c r="V39" s="1495" t="s">
        <v>8</v>
      </c>
      <c r="W39" s="1496">
        <f t="shared" si="14"/>
        <v>100</v>
      </c>
      <c r="X39" s="1489"/>
      <c r="Y39" s="3855"/>
      <c r="Z39" s="1497">
        <f t="shared" si="15"/>
        <v>111</v>
      </c>
      <c r="AA39" s="1498">
        <f t="shared" si="3"/>
        <v>1</v>
      </c>
      <c r="AB39" s="1498">
        <f t="shared" si="4"/>
        <v>1</v>
      </c>
      <c r="AC39" s="1498">
        <f t="shared" si="5"/>
        <v>1</v>
      </c>
    </row>
    <row r="40" spans="1:29" ht="15.75" thickBot="1">
      <c r="A40" s="867"/>
      <c r="B40" s="530">
        <v>111</v>
      </c>
      <c r="C40" s="531"/>
      <c r="D40" s="532">
        <v>100</v>
      </c>
      <c r="E40" s="525"/>
      <c r="F40" s="847">
        <f>SUMIF(112:112,E40,113:113)-SUMIF(112:112,C40,113:113)+100</f>
        <v>100</v>
      </c>
      <c r="G40" s="861"/>
      <c r="H40" s="532">
        <f>SUMIF(112:112,G40,113:113)-SUMIF(112:112,C40,113:113)+100</f>
        <v>100</v>
      </c>
      <c r="I40" s="861"/>
      <c r="J40" s="532">
        <f>SUMIF(112:112,I40,113:113)-SUMIF(112:112,C40,113:113)+100</f>
        <v>100</v>
      </c>
      <c r="K40" s="567"/>
      <c r="L40" s="2010"/>
      <c r="M40" s="2002"/>
      <c r="N40" s="2002"/>
      <c r="O40" s="2009"/>
      <c r="P40" s="3961"/>
      <c r="Q40" s="1494">
        <f t="shared" si="11"/>
        <v>111</v>
      </c>
      <c r="R40" s="1495" t="s">
        <v>8</v>
      </c>
      <c r="S40" s="1496">
        <f t="shared" si="12"/>
        <v>100</v>
      </c>
      <c r="T40" s="1495" t="s">
        <v>8</v>
      </c>
      <c r="U40" s="1496">
        <f t="shared" si="13"/>
        <v>100</v>
      </c>
      <c r="V40" s="1495" t="s">
        <v>8</v>
      </c>
      <c r="W40" s="1496">
        <f t="shared" si="14"/>
        <v>100</v>
      </c>
      <c r="X40" s="1489"/>
      <c r="Y40" s="3961"/>
      <c r="Z40" s="1497">
        <f t="shared" si="15"/>
        <v>111</v>
      </c>
      <c r="AA40" s="1498">
        <f t="shared" si="3"/>
        <v>1</v>
      </c>
      <c r="AB40" s="1498">
        <f t="shared" si="4"/>
        <v>1</v>
      </c>
      <c r="AC40" s="1498">
        <f t="shared" si="5"/>
        <v>1</v>
      </c>
    </row>
    <row r="41" spans="1:29" ht="15">
      <c r="A41" s="593" t="s">
        <v>730</v>
      </c>
      <c r="B41" s="868"/>
      <c r="C41" s="2456" t="s">
        <v>1</v>
      </c>
      <c r="D41" s="2457"/>
      <c r="E41" s="2458"/>
      <c r="F41" s="2459"/>
      <c r="G41" s="2460"/>
      <c r="H41" s="2461"/>
      <c r="I41" s="2458"/>
      <c r="J41" s="2461"/>
      <c r="K41" s="1528"/>
      <c r="L41" s="2012"/>
      <c r="M41" s="2013"/>
      <c r="N41" s="2002"/>
      <c r="O41" s="2013"/>
      <c r="P41" s="3850" t="str">
        <f>A41</f>
        <v>成交单价（元/平方米）</v>
      </c>
      <c r="Q41" s="3850"/>
      <c r="R41" s="3960">
        <f>E41</f>
        <v>0</v>
      </c>
      <c r="S41" s="3960"/>
      <c r="T41" s="3960">
        <f>G41</f>
        <v>0</v>
      </c>
      <c r="U41" s="3960"/>
      <c r="V41" s="3960">
        <f>I41</f>
        <v>0</v>
      </c>
      <c r="W41" s="3960"/>
      <c r="X41" s="1484"/>
      <c r="Y41" s="1503"/>
      <c r="Z41" s="1484"/>
      <c r="AA41" s="1484"/>
      <c r="AB41" s="1484"/>
      <c r="AC41" s="1484"/>
    </row>
    <row r="42" spans="1:29" ht="15.75" thickBot="1">
      <c r="A42" s="601" t="s">
        <v>2734</v>
      </c>
      <c r="B42" s="869"/>
      <c r="C42" s="2462" t="e">
        <f>R43</f>
        <v>#DIV/0!</v>
      </c>
      <c r="D42" s="2999" t="s">
        <v>2961</v>
      </c>
      <c r="E42" s="2463" t="e">
        <f>R42</f>
        <v>#DIV/0!</v>
      </c>
      <c r="F42" s="3000"/>
      <c r="G42" s="2462" t="e">
        <f>T42</f>
        <v>#DIV/0!</v>
      </c>
      <c r="H42" s="3000"/>
      <c r="I42" s="2463" t="e">
        <f>V42</f>
        <v>#DIV/0!</v>
      </c>
      <c r="J42" s="3000"/>
      <c r="K42" s="3008">
        <f>F42+H42+J42</f>
        <v>0</v>
      </c>
      <c r="L42" s="2012"/>
      <c r="M42" s="2013"/>
      <c r="N42" s="2002"/>
      <c r="O42" s="2013"/>
      <c r="P42" s="3850" t="str">
        <f>A42</f>
        <v>比较价格（元/平方米）</v>
      </c>
      <c r="Q42" s="3850"/>
      <c r="R42" s="3960" t="e">
        <f>IF(F1="售价",ROUND(PRODUCT(R41,AA7:AA40),0),ROUND(PRODUCT(R41,AA7:AA40),1))</f>
        <v>#DIV/0!</v>
      </c>
      <c r="S42" s="3960"/>
      <c r="T42" s="3960" t="e">
        <f>IF(F1="售价",ROUND(PRODUCT(T41,AB7:AB40),0),ROUND(PRODUCT(T41,AB7:AB40),1))</f>
        <v>#DIV/0!</v>
      </c>
      <c r="U42" s="3960"/>
      <c r="V42" s="3960" t="e">
        <f>IF(F1="售价",ROUND(PRODUCT(V41,AC7:AC40),0),ROUND(PRODUCT(V41,AC7:AC40),1))</f>
        <v>#DIV/0!</v>
      </c>
      <c r="W42" s="3960"/>
      <c r="X42" s="1484"/>
      <c r="Y42" s="1484"/>
      <c r="Z42" s="1484"/>
      <c r="AA42" s="1484"/>
      <c r="AB42" s="1484"/>
      <c r="AC42" s="1484"/>
    </row>
    <row r="43" spans="1:29" ht="15.75" thickBot="1">
      <c r="A43" s="605" t="s">
        <v>2893</v>
      </c>
      <c r="B43" s="606"/>
      <c r="C43" s="2464" t="e">
        <f>R43</f>
        <v>#DIV/0!</v>
      </c>
      <c r="D43" s="2464"/>
      <c r="E43" s="2464"/>
      <c r="F43" s="2464"/>
      <c r="G43" s="2464"/>
      <c r="H43" s="2464"/>
      <c r="I43" s="2464"/>
      <c r="J43" s="2464"/>
      <c r="K43" s="1529"/>
      <c r="L43" s="2012"/>
      <c r="M43" s="2013"/>
      <c r="N43" s="2013"/>
      <c r="O43" s="2013"/>
      <c r="P43" s="3871" t="str">
        <f>A43</f>
        <v>估价对象XX用房的比较价格（楼面单价，元/平方米）</v>
      </c>
      <c r="Q43" s="3872"/>
      <c r="R43" s="3959" t="e">
        <f>IF(F1="售价",ROUND(IF(D42="简单平均",AVERAGE(R42:V42),R42*F42+T42*H42+V42*J42),0),ROUND(IF(D42="简单平均",AVERAGE(R42:V42),R42*F42+T42*H42+V42*J42),1))</f>
        <v>#DIV/0!</v>
      </c>
      <c r="S43" s="3959"/>
      <c r="T43" s="3959"/>
      <c r="U43" s="3959"/>
      <c r="V43" s="3959"/>
      <c r="W43" s="3959"/>
      <c r="X43" s="1484"/>
      <c r="Y43" s="1484"/>
      <c r="Z43" s="1484"/>
      <c r="AA43" s="1484"/>
      <c r="AB43" s="1484"/>
      <c r="AC43" s="1484"/>
    </row>
    <row r="44" spans="1:29">
      <c r="A44" s="3199"/>
      <c r="B44" s="3199"/>
      <c r="C44" s="3199"/>
      <c r="D44" s="3199"/>
      <c r="E44" s="3199"/>
      <c r="F44" s="3199"/>
      <c r="G44" s="3201"/>
      <c r="H44" s="3199"/>
      <c r="I44" s="3199"/>
      <c r="J44" s="3199"/>
      <c r="K44" s="3202"/>
      <c r="L44" s="2017"/>
      <c r="M44" s="2013"/>
      <c r="N44" s="2013"/>
      <c r="O44" s="2013"/>
      <c r="P44" s="2013"/>
      <c r="Q44" s="2013"/>
      <c r="R44" s="2013"/>
      <c r="S44" s="2013"/>
      <c r="T44" s="2013"/>
      <c r="U44" s="2013"/>
      <c r="V44" s="2013"/>
      <c r="W44" s="2013"/>
      <c r="X44" s="2013"/>
      <c r="Y44" s="2013"/>
      <c r="Z44" s="2013"/>
      <c r="AA44" s="2013"/>
      <c r="AB44" s="2013"/>
      <c r="AC44" s="2013"/>
    </row>
    <row r="45" spans="1:29">
      <c r="A45" s="3199"/>
      <c r="B45" s="3199"/>
      <c r="C45" s="3199"/>
      <c r="D45" s="3199"/>
      <c r="E45" s="3199"/>
      <c r="F45" s="3199"/>
      <c r="G45" s="3199"/>
      <c r="H45" s="3199"/>
      <c r="I45" s="3199"/>
      <c r="J45" s="3199"/>
      <c r="K45" s="3202"/>
      <c r="L45" s="2017"/>
      <c r="M45" s="2013"/>
      <c r="N45" s="2013"/>
      <c r="O45" s="2013"/>
      <c r="P45" s="2013"/>
      <c r="Q45" s="2013"/>
      <c r="R45" s="2013"/>
      <c r="S45" s="2013"/>
      <c r="T45" s="2013"/>
      <c r="U45" s="2013"/>
      <c r="V45" s="2013"/>
      <c r="W45" s="2013"/>
      <c r="X45" s="2013"/>
      <c r="Y45" s="2013"/>
      <c r="Z45" s="2013"/>
      <c r="AA45" s="2013"/>
      <c r="AB45" s="2013"/>
      <c r="AC45" s="2013"/>
    </row>
    <row r="46" spans="1:29" ht="13.5" customHeight="1">
      <c r="A46" s="3199"/>
      <c r="B46" s="3199"/>
      <c r="C46" s="608" t="s">
        <v>551</v>
      </c>
      <c r="D46" s="609"/>
      <c r="E46" s="610" t="e">
        <f>IF(E41&lt;E42,E42/E41-1,E41/E42-1)</f>
        <v>#DIV/0!</v>
      </c>
      <c r="F46" s="611" t="e">
        <f>IF(OR(E46&gt;=0.3,E46&lt;=-0.3),"超过30%","")</f>
        <v>#DIV/0!</v>
      </c>
      <c r="G46" s="610" t="e">
        <f>IF(G41&lt;G42,G42/G41-1,G41/G42-1)</f>
        <v>#DIV/0!</v>
      </c>
      <c r="H46" s="611" t="e">
        <f>IF(OR(G46&gt;=0.3,G46&lt;=-0.3),"超过30%","")</f>
        <v>#DIV/0!</v>
      </c>
      <c r="I46" s="610" t="e">
        <f>IF(I41&lt;I42,I42/I41-1,I41/I42-1)</f>
        <v>#DIV/0!</v>
      </c>
      <c r="J46" s="611" t="e">
        <f>IF(OR(I46&gt;=0.3,I46&lt;=-0.3),"超过30%","")</f>
        <v>#DIV/0!</v>
      </c>
      <c r="K46" s="3202"/>
      <c r="L46" s="2017"/>
      <c r="M46" s="2013"/>
      <c r="N46" s="2013"/>
      <c r="O46" s="2013"/>
      <c r="P46" s="2013"/>
      <c r="Q46" s="2013"/>
      <c r="R46" s="2013"/>
      <c r="S46" s="2013"/>
      <c r="T46" s="2013"/>
      <c r="U46" s="2013"/>
      <c r="V46" s="2013"/>
      <c r="W46" s="2013"/>
      <c r="X46" s="2013"/>
      <c r="Y46" s="2013"/>
      <c r="Z46" s="2013"/>
      <c r="AA46" s="2013"/>
      <c r="AB46" s="2013"/>
      <c r="AC46" s="2013"/>
    </row>
    <row r="47" spans="1:29" ht="13.5" customHeight="1">
      <c r="A47" s="3199"/>
      <c r="B47" s="3199"/>
      <c r="C47" s="608" t="s">
        <v>552</v>
      </c>
      <c r="D47" s="612"/>
      <c r="E47" s="610" t="e">
        <f>IF(E42&lt;G42,G42/E42-1,E42/G42-1)</f>
        <v>#DIV/0!</v>
      </c>
      <c r="F47" s="611" t="e">
        <f>IF(OR(E47&gt;=0.2,E47&lt;=-0.2),"超过20%","")</f>
        <v>#DIV/0!</v>
      </c>
      <c r="G47" s="610" t="e">
        <f>IF(G42&lt;I42,I42/G42-1,G42/I42-1)</f>
        <v>#DIV/0!</v>
      </c>
      <c r="H47" s="611" t="e">
        <f>IF(OR(G47&gt;=0.2,G47&lt;=-0.2),"超过20%","")</f>
        <v>#DIV/0!</v>
      </c>
      <c r="I47" s="610" t="e">
        <f>IF(I42&lt;E42,E42/I42-1,I42/E42-1)</f>
        <v>#DIV/0!</v>
      </c>
      <c r="J47" s="611" t="e">
        <f>IF(OR(I47&gt;=0.2,I47&lt;=-0.2),"超过20%","")</f>
        <v>#DIV/0!</v>
      </c>
      <c r="K47" s="3202"/>
      <c r="L47" s="2017"/>
      <c r="M47" s="2013"/>
      <c r="N47" s="2013"/>
      <c r="O47" s="2013"/>
      <c r="P47" s="2013"/>
      <c r="Q47" s="2013"/>
      <c r="R47" s="2013"/>
      <c r="S47" s="2013"/>
      <c r="T47" s="2013"/>
      <c r="U47" s="2013"/>
      <c r="V47" s="2013"/>
      <c r="W47" s="2013"/>
      <c r="X47" s="2013"/>
      <c r="Y47" s="2013"/>
      <c r="Z47" s="2013"/>
      <c r="AA47" s="2013"/>
      <c r="AB47" s="2013"/>
      <c r="AC47" s="2013"/>
    </row>
    <row r="48" spans="1:29" s="1288" customFormat="1" ht="13.5" customHeight="1">
      <c r="A48" s="3200"/>
      <c r="B48" s="3200"/>
      <c r="C48" s="608" t="s">
        <v>553</v>
      </c>
      <c r="D48" s="612"/>
      <c r="E48" s="610" t="e">
        <f>IF(E41&lt;G41,G41/E41-1,E41/G41-1)</f>
        <v>#DIV/0!</v>
      </c>
      <c r="F48" s="611" t="e">
        <f>IF(OR(E48&gt;=0.3,E48&lt;=-0.3),"超过30%","")</f>
        <v>#DIV/0!</v>
      </c>
      <c r="G48" s="610" t="e">
        <f>IF(G41&lt;I41,I41/G41-1,G41/I41-1)</f>
        <v>#DIV/0!</v>
      </c>
      <c r="H48" s="611" t="e">
        <f>IF(OR(G48&gt;=0.3,G48&lt;=-0.3),"超过30%","")</f>
        <v>#DIV/0!</v>
      </c>
      <c r="I48" s="610" t="e">
        <f>IF(I41&lt;E41,E41/I41-1,I41/E41-1)</f>
        <v>#DIV/0!</v>
      </c>
      <c r="J48" s="611" t="e">
        <f>IF(OR(I48&gt;=0.3,I48&lt;=-0.3),"超过30%","")</f>
        <v>#DIV/0!</v>
      </c>
      <c r="K48" s="3203"/>
      <c r="L48" s="2020"/>
      <c r="M48" s="2014"/>
      <c r="N48" s="2014"/>
      <c r="O48" s="2014"/>
      <c r="P48" s="2014"/>
      <c r="Q48" s="2014"/>
      <c r="R48" s="2014"/>
      <c r="S48" s="2014"/>
      <c r="T48" s="2014"/>
      <c r="U48" s="2014"/>
      <c r="V48" s="2014"/>
      <c r="W48" s="2014"/>
      <c r="X48" s="2014"/>
      <c r="Y48" s="2014"/>
      <c r="Z48" s="2014"/>
      <c r="AA48" s="2014"/>
      <c r="AB48" s="2014"/>
      <c r="AC48" s="2014"/>
    </row>
    <row r="49" spans="1:29" s="1288" customFormat="1">
      <c r="A49" s="2014"/>
      <c r="B49" s="2015"/>
      <c r="C49" s="2018"/>
      <c r="D49" s="2014"/>
      <c r="E49" s="2014"/>
      <c r="F49" s="2014"/>
      <c r="G49" s="2014"/>
      <c r="H49" s="2014"/>
      <c r="I49" s="2014"/>
      <c r="J49" s="2014"/>
      <c r="K49" s="2019"/>
      <c r="L49" s="2020"/>
      <c r="M49" s="2014"/>
      <c r="N49" s="2014"/>
      <c r="O49" s="2014"/>
      <c r="P49" s="2014"/>
      <c r="Q49" s="2014"/>
      <c r="R49" s="2014"/>
      <c r="S49" s="2014"/>
      <c r="T49" s="2014"/>
      <c r="U49" s="2014"/>
      <c r="V49" s="2014"/>
      <c r="W49" s="2014"/>
      <c r="X49" s="2014"/>
      <c r="Y49" s="2014"/>
      <c r="Z49" s="2014"/>
      <c r="AA49" s="2014"/>
      <c r="AB49" s="2014"/>
      <c r="AC49" s="2014"/>
    </row>
    <row r="50" spans="1:29">
      <c r="A50" s="2013"/>
      <c r="B50" s="2015"/>
      <c r="C50" s="2018"/>
      <c r="D50" s="2013"/>
      <c r="E50" s="2013"/>
      <c r="F50" s="2013"/>
      <c r="G50" s="2013"/>
      <c r="H50" s="2013"/>
      <c r="I50" s="2013"/>
      <c r="J50" s="2013"/>
      <c r="K50" s="2016"/>
      <c r="L50" s="2017"/>
      <c r="M50" s="2013"/>
      <c r="N50" s="2013"/>
      <c r="O50" s="2013"/>
      <c r="P50" s="2013"/>
      <c r="Q50" s="2013"/>
      <c r="R50" s="2013"/>
      <c r="S50" s="2013"/>
      <c r="T50" s="2013"/>
      <c r="U50" s="2013"/>
      <c r="V50" s="2013"/>
      <c r="W50" s="2013"/>
      <c r="X50" s="2013"/>
      <c r="Y50" s="2013"/>
      <c r="Z50" s="2013"/>
      <c r="AA50" s="2013"/>
      <c r="AB50" s="2013"/>
      <c r="AC50" s="2013"/>
    </row>
    <row r="51" spans="1:29" ht="21.75" thickBot="1">
      <c r="A51" s="1506" t="s">
        <v>568</v>
      </c>
      <c r="B51" s="1484"/>
      <c r="C51" s="1505"/>
      <c r="D51" s="1505"/>
      <c r="E51" s="1505"/>
      <c r="F51" s="1507"/>
      <c r="G51" s="1507"/>
      <c r="H51" s="1505"/>
      <c r="I51" s="1505"/>
      <c r="J51" s="1505"/>
      <c r="K51" s="1508"/>
      <c r="L51" s="1504"/>
      <c r="M51" s="1505"/>
      <c r="N51" s="2024"/>
      <c r="O51" s="2024"/>
      <c r="P51" s="2024"/>
      <c r="Q51" s="2025"/>
      <c r="R51" s="2013"/>
      <c r="S51" s="2013"/>
      <c r="T51" s="2013"/>
      <c r="U51" s="2013"/>
      <c r="V51" s="2013"/>
      <c r="W51" s="2013"/>
      <c r="X51" s="2013"/>
      <c r="Y51" s="2013"/>
      <c r="Z51" s="2013"/>
      <c r="AA51" s="2013"/>
      <c r="AB51" s="2013"/>
      <c r="AC51" s="2013"/>
    </row>
    <row r="52" spans="1:29" s="1290" customFormat="1" ht="15">
      <c r="A52" s="629" t="s">
        <v>523</v>
      </c>
      <c r="B52" s="630"/>
      <c r="C52" s="2505" t="str">
        <f>YEAR(C7)&amp;"-"&amp;MONTH(C7)</f>
        <v>2020-12</v>
      </c>
      <c r="D52" s="2507">
        <f>EDATE(C52,-1)</f>
        <v>44136</v>
      </c>
      <c r="E52" s="2507">
        <f t="shared" ref="E52:O52" si="16">EDATE(D52,-1)</f>
        <v>44105</v>
      </c>
      <c r="F52" s="2507">
        <f t="shared" si="16"/>
        <v>44075</v>
      </c>
      <c r="G52" s="2507">
        <f t="shared" si="16"/>
        <v>44044</v>
      </c>
      <c r="H52" s="2507">
        <f t="shared" si="16"/>
        <v>44013</v>
      </c>
      <c r="I52" s="2507">
        <f t="shared" si="16"/>
        <v>43983</v>
      </c>
      <c r="J52" s="2507">
        <f t="shared" si="16"/>
        <v>43952</v>
      </c>
      <c r="K52" s="2507">
        <f t="shared" si="16"/>
        <v>43922</v>
      </c>
      <c r="L52" s="2507">
        <f t="shared" si="16"/>
        <v>43891</v>
      </c>
      <c r="M52" s="2507">
        <f t="shared" si="16"/>
        <v>43862</v>
      </c>
      <c r="N52" s="2507">
        <f t="shared" si="16"/>
        <v>43831</v>
      </c>
      <c r="O52" s="2507">
        <f t="shared" si="16"/>
        <v>43800</v>
      </c>
      <c r="P52" s="2027"/>
      <c r="Q52" s="2028"/>
      <c r="R52" s="2028"/>
      <c r="S52" s="2028"/>
      <c r="T52" s="2028"/>
      <c r="U52" s="2028"/>
      <c r="V52" s="2028"/>
      <c r="W52" s="2028"/>
      <c r="X52" s="2028"/>
      <c r="Y52" s="2028"/>
      <c r="Z52" s="2028"/>
      <c r="AA52" s="2028"/>
      <c r="AB52" s="2028"/>
      <c r="AC52" s="2028"/>
    </row>
    <row r="53" spans="1:29" s="1194" customFormat="1" ht="15">
      <c r="A53" s="631"/>
      <c r="B53" s="632"/>
      <c r="C53" s="633">
        <v>100</v>
      </c>
      <c r="D53" s="634"/>
      <c r="E53" s="634"/>
      <c r="F53" s="634"/>
      <c r="G53" s="634"/>
      <c r="H53" s="634"/>
      <c r="I53" s="634"/>
      <c r="J53" s="634"/>
      <c r="K53" s="634"/>
      <c r="L53" s="634"/>
      <c r="M53" s="635"/>
      <c r="N53" s="634"/>
      <c r="O53" s="636"/>
      <c r="P53" s="2025"/>
      <c r="Q53" s="1891"/>
      <c r="R53" s="1891"/>
      <c r="S53" s="1891"/>
      <c r="T53" s="1891"/>
      <c r="U53" s="1891"/>
      <c r="V53" s="1891"/>
      <c r="W53" s="1891"/>
      <c r="X53" s="1891"/>
      <c r="Y53" s="1891"/>
      <c r="Z53" s="1891"/>
      <c r="AA53" s="1891"/>
      <c r="AB53" s="1891"/>
      <c r="AC53" s="1891"/>
    </row>
    <row r="54" spans="1:29" s="1194" customFormat="1" ht="15.75" thickBot="1">
      <c r="A54" s="637" t="s">
        <v>569</v>
      </c>
      <c r="B54" s="638"/>
      <c r="C54" s="639"/>
      <c r="D54" s="640"/>
      <c r="E54" s="640"/>
      <c r="F54" s="640"/>
      <c r="G54" s="640"/>
      <c r="H54" s="640"/>
      <c r="I54" s="640"/>
      <c r="J54" s="640"/>
      <c r="K54" s="640"/>
      <c r="L54" s="640"/>
      <c r="M54" s="641"/>
      <c r="N54" s="640"/>
      <c r="O54" s="642"/>
      <c r="P54" s="2025"/>
      <c r="Q54" s="2025"/>
      <c r="R54" s="1891"/>
      <c r="S54" s="1891"/>
      <c r="T54" s="1891"/>
      <c r="U54" s="1891"/>
      <c r="V54" s="1891"/>
      <c r="W54" s="1891"/>
      <c r="X54" s="1891"/>
      <c r="Y54" s="1891"/>
      <c r="Z54" s="1891"/>
      <c r="AA54" s="1891"/>
      <c r="AB54" s="1891"/>
      <c r="AC54" s="1891"/>
    </row>
    <row r="55" spans="1:29" s="1194" customFormat="1" ht="15">
      <c r="A55" s="643" t="s">
        <v>525</v>
      </c>
      <c r="B55" s="632"/>
      <c r="C55" s="644" t="s">
        <v>570</v>
      </c>
      <c r="D55" s="645"/>
      <c r="E55" s="645"/>
      <c r="F55" s="645"/>
      <c r="G55" s="645"/>
      <c r="H55" s="645"/>
      <c r="I55" s="645"/>
      <c r="J55" s="645"/>
      <c r="K55" s="645"/>
      <c r="L55" s="646"/>
      <c r="M55" s="647"/>
      <c r="N55" s="2029"/>
      <c r="O55" s="2029"/>
      <c r="P55" s="2030"/>
      <c r="Q55" s="2025"/>
      <c r="R55" s="1891"/>
      <c r="S55" s="1891"/>
      <c r="T55" s="1891"/>
      <c r="U55" s="1891"/>
      <c r="V55" s="1891"/>
      <c r="W55" s="1891"/>
      <c r="X55" s="1891"/>
      <c r="Y55" s="1891"/>
      <c r="Z55" s="1891"/>
      <c r="AA55" s="1891"/>
      <c r="AB55" s="1891"/>
      <c r="AC55" s="1891"/>
    </row>
    <row r="56" spans="1:29" s="1194" customFormat="1" ht="15.75" thickBot="1">
      <c r="A56" s="643"/>
      <c r="B56" s="632"/>
      <c r="C56" s="633">
        <v>100</v>
      </c>
      <c r="D56" s="634"/>
      <c r="E56" s="634"/>
      <c r="F56" s="634"/>
      <c r="G56" s="634"/>
      <c r="H56" s="634"/>
      <c r="I56" s="634"/>
      <c r="J56" s="634"/>
      <c r="K56" s="634"/>
      <c r="L56" s="634"/>
      <c r="M56" s="636"/>
      <c r="N56" s="2029"/>
      <c r="O56" s="2029"/>
      <c r="P56" s="2025"/>
      <c r="Q56" s="2025"/>
      <c r="R56" s="1891"/>
      <c r="S56" s="1891"/>
      <c r="T56" s="1891"/>
      <c r="U56" s="1891"/>
      <c r="V56" s="1891"/>
      <c r="W56" s="1891"/>
      <c r="X56" s="1891"/>
      <c r="Y56" s="1891"/>
      <c r="Z56" s="1891"/>
      <c r="AA56" s="1891"/>
      <c r="AB56" s="1891"/>
      <c r="AC56" s="1891"/>
    </row>
    <row r="57" spans="1:29">
      <c r="A57" s="648" t="s">
        <v>571</v>
      </c>
      <c r="B57" s="649" t="s">
        <v>528</v>
      </c>
      <c r="C57" s="688">
        <f>C9</f>
        <v>0</v>
      </c>
      <c r="D57" s="584"/>
      <c r="E57" s="584"/>
      <c r="F57" s="584"/>
      <c r="G57" s="584"/>
      <c r="H57" s="584"/>
      <c r="I57" s="584"/>
      <c r="J57" s="584"/>
      <c r="K57" s="650"/>
      <c r="L57" s="651"/>
      <c r="M57" s="652"/>
      <c r="N57" s="2031"/>
      <c r="O57" s="2031"/>
      <c r="P57" s="2032"/>
      <c r="Q57" s="2025"/>
      <c r="R57" s="2013"/>
      <c r="S57" s="2013"/>
      <c r="T57" s="2013"/>
      <c r="U57" s="2013"/>
      <c r="V57" s="2013"/>
      <c r="W57" s="2013"/>
      <c r="X57" s="2013"/>
      <c r="Y57" s="2013"/>
      <c r="Z57" s="2013"/>
      <c r="AA57" s="2013"/>
      <c r="AB57" s="2013"/>
      <c r="AC57" s="2013"/>
    </row>
    <row r="58" spans="1:29" ht="15.75" thickBot="1">
      <c r="A58" s="653"/>
      <c r="B58" s="654"/>
      <c r="C58" s="655"/>
      <c r="D58" s="655"/>
      <c r="E58" s="655"/>
      <c r="F58" s="655"/>
      <c r="G58" s="655"/>
      <c r="H58" s="655"/>
      <c r="I58" s="655"/>
      <c r="J58" s="655"/>
      <c r="K58" s="655"/>
      <c r="L58" s="655"/>
      <c r="M58" s="656"/>
      <c r="N58" s="2033"/>
      <c r="O58" s="2033"/>
      <c r="P58" s="2032"/>
      <c r="Q58" s="2025"/>
      <c r="R58" s="2013"/>
      <c r="S58" s="2013"/>
      <c r="T58" s="2013"/>
      <c r="U58" s="2013"/>
      <c r="V58" s="2013"/>
      <c r="W58" s="2013"/>
      <c r="X58" s="2013"/>
      <c r="Y58" s="2013"/>
      <c r="Z58" s="2013"/>
      <c r="AA58" s="2013"/>
      <c r="AB58" s="2013"/>
      <c r="AC58" s="2013"/>
    </row>
    <row r="59" spans="1:29" ht="27.75" thickTop="1">
      <c r="A59" s="653"/>
      <c r="B59" s="657" t="s">
        <v>531</v>
      </c>
      <c r="C59" s="658" t="s">
        <v>731</v>
      </c>
      <c r="D59" s="658" t="s">
        <v>732</v>
      </c>
      <c r="E59" s="658" t="s">
        <v>733</v>
      </c>
      <c r="F59" s="658" t="s">
        <v>734</v>
      </c>
      <c r="G59" s="658" t="s">
        <v>735</v>
      </c>
      <c r="H59" s="658" t="s">
        <v>736</v>
      </c>
      <c r="I59" s="658" t="s">
        <v>737</v>
      </c>
      <c r="J59" s="658"/>
      <c r="K59" s="659"/>
      <c r="L59" s="660"/>
      <c r="M59" s="661"/>
      <c r="N59" s="2031"/>
      <c r="O59" s="2031"/>
      <c r="P59" s="2032"/>
      <c r="Q59" s="2025"/>
      <c r="R59" s="2013"/>
      <c r="S59" s="2013"/>
      <c r="T59" s="2013"/>
      <c r="U59" s="2013"/>
      <c r="V59" s="2013"/>
      <c r="W59" s="2013"/>
      <c r="X59" s="2013"/>
      <c r="Y59" s="2013"/>
      <c r="Z59" s="2013"/>
      <c r="AA59" s="2013"/>
      <c r="AB59" s="2013"/>
      <c r="AC59" s="2013"/>
    </row>
    <row r="60" spans="1:29" ht="15.75" thickBot="1">
      <c r="A60" s="653"/>
      <c r="B60" s="662"/>
      <c r="C60" s="663" t="s">
        <v>14</v>
      </c>
      <c r="D60" s="663" t="s">
        <v>15</v>
      </c>
      <c r="E60" s="663">
        <v>100</v>
      </c>
      <c r="F60" s="663">
        <f>E60-$K10</f>
        <v>100</v>
      </c>
      <c r="G60" s="663">
        <f>F60-$K10</f>
        <v>100</v>
      </c>
      <c r="H60" s="663">
        <f>G60-$K10</f>
        <v>100</v>
      </c>
      <c r="I60" s="663">
        <f>H60-$K10</f>
        <v>100</v>
      </c>
      <c r="J60" s="663"/>
      <c r="K60" s="663"/>
      <c r="L60" s="663"/>
      <c r="M60" s="664"/>
      <c r="N60" s="2033"/>
      <c r="O60" s="2033"/>
      <c r="P60" s="2032"/>
      <c r="Q60" s="2025"/>
      <c r="R60" s="2013"/>
      <c r="S60" s="2013"/>
      <c r="T60" s="2013"/>
      <c r="U60" s="2013"/>
      <c r="V60" s="2013"/>
      <c r="W60" s="2013"/>
      <c r="X60" s="2013"/>
      <c r="Y60" s="2013"/>
      <c r="Z60" s="2013"/>
      <c r="AA60" s="2013"/>
      <c r="AB60" s="2013"/>
      <c r="AC60" s="2013"/>
    </row>
    <row r="61" spans="1:29" ht="15.75" thickTop="1">
      <c r="A61" s="653"/>
      <c r="B61" s="665" t="s">
        <v>532</v>
      </c>
      <c r="C61" s="666" t="str">
        <f>C62&amp;"（含）"&amp;"-"&amp;D62</f>
        <v>（含）-</v>
      </c>
      <c r="D61" s="666" t="str">
        <f t="shared" ref="D61:L61" si="17">D62&amp;"（含）"&amp;"-"&amp;E62</f>
        <v>（含）-</v>
      </c>
      <c r="E61" s="666" t="str">
        <f t="shared" si="17"/>
        <v>（含）-</v>
      </c>
      <c r="F61" s="666" t="str">
        <f t="shared" si="17"/>
        <v>（含）-</v>
      </c>
      <c r="G61" s="666" t="str">
        <f t="shared" si="17"/>
        <v>（含）-</v>
      </c>
      <c r="H61" s="666" t="str">
        <f t="shared" si="17"/>
        <v>（含）-</v>
      </c>
      <c r="I61" s="666" t="str">
        <f t="shared" si="17"/>
        <v>（含）-</v>
      </c>
      <c r="J61" s="666" t="str">
        <f t="shared" si="17"/>
        <v>（含）-</v>
      </c>
      <c r="K61" s="666" t="str">
        <f t="shared" si="17"/>
        <v>（含）-</v>
      </c>
      <c r="L61" s="666" t="str">
        <f t="shared" si="17"/>
        <v>（含）-</v>
      </c>
      <c r="M61" s="541" t="str">
        <f>M62&amp;"（含）"&amp;"-"&amp;P62</f>
        <v>（含）-</v>
      </c>
      <c r="N61" s="2033"/>
      <c r="O61" s="2033"/>
      <c r="P61" s="2032"/>
      <c r="Q61" s="2025"/>
      <c r="R61" s="2013"/>
      <c r="S61" s="2013"/>
      <c r="T61" s="2013"/>
      <c r="U61" s="2013"/>
      <c r="V61" s="2013"/>
      <c r="W61" s="2013"/>
      <c r="X61" s="2013"/>
      <c r="Y61" s="2013"/>
      <c r="Z61" s="2013"/>
      <c r="AA61" s="2013"/>
      <c r="AB61" s="2013"/>
      <c r="AC61" s="2013"/>
    </row>
    <row r="62" spans="1:29" ht="15">
      <c r="A62" s="653"/>
      <c r="B62" s="667"/>
      <c r="C62" s="527"/>
      <c r="D62" s="527"/>
      <c r="E62" s="527"/>
      <c r="F62" s="527"/>
      <c r="G62" s="527"/>
      <c r="H62" s="527"/>
      <c r="I62" s="527"/>
      <c r="J62" s="527"/>
      <c r="K62" s="668"/>
      <c r="L62" s="669"/>
      <c r="M62" s="670"/>
      <c r="N62" s="2031"/>
      <c r="O62" s="2031"/>
      <c r="P62" s="2032"/>
      <c r="Q62" s="2025"/>
      <c r="R62" s="2013"/>
      <c r="S62" s="2013"/>
      <c r="T62" s="2013"/>
      <c r="U62" s="2013"/>
      <c r="V62" s="2013"/>
      <c r="W62" s="2013"/>
      <c r="X62" s="2013"/>
      <c r="Y62" s="2013"/>
      <c r="Z62" s="2013"/>
      <c r="AA62" s="2013"/>
      <c r="AB62" s="2013"/>
      <c r="AC62" s="2013"/>
    </row>
    <row r="63" spans="1:29" ht="15.75" thickBot="1">
      <c r="A63" s="653"/>
      <c r="B63" s="654"/>
      <c r="C63" s="663">
        <v>100</v>
      </c>
      <c r="D63" s="663">
        <f t="shared" ref="D63:M63" si="18">C63-$K11</f>
        <v>100</v>
      </c>
      <c r="E63" s="663">
        <f t="shared" si="18"/>
        <v>100</v>
      </c>
      <c r="F63" s="663">
        <f t="shared" si="18"/>
        <v>100</v>
      </c>
      <c r="G63" s="663">
        <f t="shared" si="18"/>
        <v>100</v>
      </c>
      <c r="H63" s="663">
        <f t="shared" si="18"/>
        <v>100</v>
      </c>
      <c r="I63" s="663">
        <f t="shared" si="18"/>
        <v>100</v>
      </c>
      <c r="J63" s="663">
        <f t="shared" si="18"/>
        <v>100</v>
      </c>
      <c r="K63" s="663">
        <f t="shared" si="18"/>
        <v>100</v>
      </c>
      <c r="L63" s="663">
        <f t="shared" si="18"/>
        <v>100</v>
      </c>
      <c r="M63" s="664">
        <f t="shared" si="18"/>
        <v>100</v>
      </c>
      <c r="N63" s="2033"/>
      <c r="O63" s="2033"/>
      <c r="P63" s="2032"/>
      <c r="Q63" s="2025"/>
      <c r="R63" s="2013"/>
      <c r="S63" s="2013"/>
      <c r="T63" s="2013"/>
      <c r="U63" s="2013"/>
      <c r="V63" s="2013"/>
      <c r="W63" s="2013"/>
      <c r="X63" s="2013"/>
      <c r="Y63" s="2013"/>
      <c r="Z63" s="2013"/>
      <c r="AA63" s="2013"/>
      <c r="AB63" s="2013"/>
      <c r="AC63" s="2013"/>
    </row>
    <row r="64" spans="1:29" s="1283" customFormat="1" ht="15.75" thickTop="1">
      <c r="A64" s="671"/>
      <c r="B64" s="657">
        <f>B12</f>
        <v>111</v>
      </c>
      <c r="C64" s="672"/>
      <c r="D64" s="672"/>
      <c r="E64" s="672"/>
      <c r="F64" s="672"/>
      <c r="G64" s="672"/>
      <c r="H64" s="673"/>
      <c r="I64" s="673"/>
      <c r="J64" s="673"/>
      <c r="K64" s="673"/>
      <c r="L64" s="674"/>
      <c r="M64" s="675"/>
      <c r="N64" s="2034"/>
      <c r="O64" s="2034"/>
      <c r="P64" s="2035"/>
      <c r="Q64" s="2036"/>
      <c r="R64" s="2037"/>
      <c r="S64" s="2037"/>
      <c r="T64" s="2037"/>
      <c r="U64" s="2037"/>
      <c r="V64" s="2037"/>
      <c r="W64" s="2037"/>
      <c r="X64" s="2037"/>
      <c r="Y64" s="2037"/>
      <c r="Z64" s="2037"/>
      <c r="AA64" s="2037"/>
      <c r="AB64" s="2037"/>
      <c r="AC64" s="2037"/>
    </row>
    <row r="65" spans="1:29" s="1283" customFormat="1" ht="15.75" thickBot="1">
      <c r="A65" s="671"/>
      <c r="B65" s="662"/>
      <c r="C65" s="676"/>
      <c r="D65" s="655"/>
      <c r="E65" s="655"/>
      <c r="F65" s="655"/>
      <c r="G65" s="655"/>
      <c r="H65" s="655"/>
      <c r="I65" s="655"/>
      <c r="J65" s="655"/>
      <c r="K65" s="655"/>
      <c r="L65" s="655"/>
      <c r="M65" s="656"/>
      <c r="N65" s="2033"/>
      <c r="O65" s="2033"/>
      <c r="P65" s="2035"/>
      <c r="Q65" s="2036"/>
      <c r="R65" s="2037"/>
      <c r="S65" s="2037"/>
      <c r="T65" s="2037"/>
      <c r="U65" s="2037"/>
      <c r="V65" s="2037"/>
      <c r="W65" s="2037"/>
      <c r="X65" s="2037"/>
      <c r="Y65" s="2037"/>
      <c r="Z65" s="2037"/>
      <c r="AA65" s="2037"/>
      <c r="AB65" s="2037"/>
      <c r="AC65" s="2037"/>
    </row>
    <row r="66" spans="1:29" s="1283" customFormat="1" ht="15.75" thickTop="1">
      <c r="A66" s="671"/>
      <c r="B66" s="657">
        <f>B13</f>
        <v>111</v>
      </c>
      <c r="C66" s="672"/>
      <c r="D66" s="672"/>
      <c r="E66" s="672"/>
      <c r="F66" s="672"/>
      <c r="G66" s="672"/>
      <c r="H66" s="673"/>
      <c r="I66" s="673"/>
      <c r="J66" s="673"/>
      <c r="K66" s="673"/>
      <c r="L66" s="674"/>
      <c r="M66" s="675"/>
      <c r="N66" s="2034"/>
      <c r="O66" s="2034"/>
      <c r="P66" s="2038"/>
      <c r="Q66" s="2039"/>
      <c r="R66" s="2037"/>
      <c r="S66" s="2037"/>
      <c r="T66" s="2037"/>
      <c r="U66" s="2037"/>
      <c r="V66" s="2037"/>
      <c r="W66" s="2037"/>
      <c r="X66" s="2037"/>
      <c r="Y66" s="2037"/>
      <c r="Z66" s="2037"/>
      <c r="AA66" s="2037"/>
      <c r="AB66" s="2037"/>
      <c r="AC66" s="2037"/>
    </row>
    <row r="67" spans="1:29" s="1283" customFormat="1" ht="15.75" thickBot="1">
      <c r="A67" s="671"/>
      <c r="B67" s="662"/>
      <c r="C67" s="676"/>
      <c r="D67" s="655"/>
      <c r="E67" s="655"/>
      <c r="F67" s="655"/>
      <c r="G67" s="676"/>
      <c r="H67" s="677"/>
      <c r="I67" s="677"/>
      <c r="J67" s="677"/>
      <c r="K67" s="677"/>
      <c r="L67" s="677"/>
      <c r="M67" s="678"/>
      <c r="N67" s="2034"/>
      <c r="O67" s="2034"/>
      <c r="P67" s="2035"/>
      <c r="Q67" s="2036"/>
      <c r="R67" s="2037"/>
      <c r="S67" s="2037"/>
      <c r="T67" s="2037"/>
      <c r="U67" s="2037"/>
      <c r="V67" s="2037"/>
      <c r="W67" s="2037"/>
      <c r="X67" s="2037"/>
      <c r="Y67" s="2037"/>
      <c r="Z67" s="2037"/>
      <c r="AA67" s="2037"/>
      <c r="AB67" s="2037"/>
      <c r="AC67" s="2037"/>
    </row>
    <row r="68" spans="1:29" s="1283" customFormat="1" ht="15.75" thickTop="1">
      <c r="A68" s="671"/>
      <c r="B68" s="665">
        <f>B14</f>
        <v>111</v>
      </c>
      <c r="C68" s="645"/>
      <c r="D68" s="645"/>
      <c r="E68" s="645"/>
      <c r="F68" s="645"/>
      <c r="G68" s="645"/>
      <c r="H68" s="679"/>
      <c r="I68" s="679"/>
      <c r="J68" s="679"/>
      <c r="K68" s="679"/>
      <c r="L68" s="680"/>
      <c r="M68" s="681"/>
      <c r="N68" s="2034"/>
      <c r="O68" s="2034"/>
      <c r="P68" s="2040"/>
      <c r="Q68" s="2036"/>
      <c r="R68" s="2037"/>
      <c r="S68" s="2037"/>
      <c r="T68" s="2037"/>
      <c r="U68" s="2037"/>
      <c r="V68" s="2037"/>
      <c r="W68" s="2037"/>
      <c r="X68" s="2037"/>
      <c r="Y68" s="2037"/>
      <c r="Z68" s="2037"/>
      <c r="AA68" s="2037"/>
      <c r="AB68" s="2037"/>
      <c r="AC68" s="2037"/>
    </row>
    <row r="69" spans="1:29" s="1283" customFormat="1" ht="15.75" thickBot="1">
      <c r="A69" s="682"/>
      <c r="B69" s="683"/>
      <c r="C69" s="684"/>
      <c r="D69" s="684"/>
      <c r="E69" s="684"/>
      <c r="F69" s="684"/>
      <c r="G69" s="684"/>
      <c r="H69" s="685"/>
      <c r="I69" s="685"/>
      <c r="J69" s="685"/>
      <c r="K69" s="685"/>
      <c r="L69" s="685"/>
      <c r="M69" s="686"/>
      <c r="N69" s="2034"/>
      <c r="O69" s="2034"/>
      <c r="P69" s="2035"/>
      <c r="Q69" s="2036"/>
      <c r="R69" s="2037"/>
      <c r="S69" s="2037"/>
      <c r="T69" s="2037"/>
      <c r="U69" s="2037"/>
      <c r="V69" s="2037"/>
      <c r="W69" s="2037"/>
      <c r="X69" s="2037"/>
      <c r="Y69" s="2037"/>
      <c r="Z69" s="2037"/>
      <c r="AA69" s="2037"/>
      <c r="AB69" s="2037"/>
      <c r="AC69" s="2037"/>
    </row>
    <row r="70" spans="1:29">
      <c r="A70" s="648" t="s">
        <v>533</v>
      </c>
      <c r="B70" s="649" t="s">
        <v>579</v>
      </c>
      <c r="C70" s="687" t="s">
        <v>573</v>
      </c>
      <c r="D70" s="687" t="s">
        <v>574</v>
      </c>
      <c r="E70" s="687" t="s">
        <v>575</v>
      </c>
      <c r="F70" s="687" t="s">
        <v>576</v>
      </c>
      <c r="G70" s="687" t="s">
        <v>577</v>
      </c>
      <c r="H70" s="688"/>
      <c r="I70" s="688"/>
      <c r="J70" s="688"/>
      <c r="K70" s="689"/>
      <c r="L70" s="690"/>
      <c r="M70" s="691"/>
      <c r="N70" s="2031"/>
      <c r="O70" s="2031"/>
      <c r="P70" s="2041"/>
      <c r="Q70" s="2025"/>
      <c r="R70" s="2013"/>
      <c r="S70" s="2013"/>
      <c r="T70" s="2013"/>
      <c r="U70" s="2013"/>
      <c r="V70" s="2013"/>
      <c r="W70" s="2013"/>
      <c r="X70" s="2013"/>
      <c r="Y70" s="2013"/>
      <c r="Z70" s="2013"/>
      <c r="AA70" s="2013"/>
      <c r="AB70" s="2013"/>
      <c r="AC70" s="2013"/>
    </row>
    <row r="71" spans="1:29" ht="15.75" thickBot="1">
      <c r="A71" s="653"/>
      <c r="B71" s="662"/>
      <c r="C71" s="663">
        <v>100</v>
      </c>
      <c r="D71" s="663">
        <f>C71-$K15</f>
        <v>100</v>
      </c>
      <c r="E71" s="663">
        <f>D71-$K15</f>
        <v>100</v>
      </c>
      <c r="F71" s="663">
        <f>E71-$K15</f>
        <v>100</v>
      </c>
      <c r="G71" s="663">
        <f>F71-$K15</f>
        <v>100</v>
      </c>
      <c r="H71" s="663"/>
      <c r="I71" s="663"/>
      <c r="J71" s="663"/>
      <c r="K71" s="663"/>
      <c r="L71" s="663"/>
      <c r="M71" s="664"/>
      <c r="N71" s="2033"/>
      <c r="O71" s="2033"/>
      <c r="P71" s="2032"/>
      <c r="Q71" s="2025"/>
      <c r="R71" s="2013"/>
      <c r="S71" s="2013"/>
      <c r="T71" s="2013"/>
      <c r="U71" s="2013"/>
      <c r="V71" s="2013"/>
      <c r="W71" s="2013"/>
      <c r="X71" s="2013"/>
      <c r="Y71" s="2013"/>
      <c r="Z71" s="2013"/>
      <c r="AA71" s="2013"/>
      <c r="AB71" s="2013"/>
      <c r="AC71" s="2013"/>
    </row>
    <row r="72" spans="1:29" ht="15.75" thickTop="1">
      <c r="A72" s="653"/>
      <c r="B72" s="657" t="s">
        <v>580</v>
      </c>
      <c r="C72" s="692" t="s">
        <v>573</v>
      </c>
      <c r="D72" s="692" t="s">
        <v>574</v>
      </c>
      <c r="E72" s="692" t="s">
        <v>575</v>
      </c>
      <c r="F72" s="692" t="s">
        <v>576</v>
      </c>
      <c r="G72" s="692" t="s">
        <v>577</v>
      </c>
      <c r="H72" s="658"/>
      <c r="I72" s="658"/>
      <c r="J72" s="658"/>
      <c r="K72" s="659"/>
      <c r="L72" s="660"/>
      <c r="M72" s="661"/>
      <c r="N72" s="2031"/>
      <c r="O72" s="2031"/>
      <c r="P72" s="2032"/>
      <c r="Q72" s="2025"/>
      <c r="R72" s="2013"/>
      <c r="S72" s="2013"/>
      <c r="T72" s="2013"/>
      <c r="U72" s="2013"/>
      <c r="V72" s="2013"/>
      <c r="W72" s="2013"/>
      <c r="X72" s="2013"/>
      <c r="Y72" s="2013"/>
      <c r="Z72" s="2013"/>
      <c r="AA72" s="2013"/>
      <c r="AB72" s="2013"/>
      <c r="AC72" s="2013"/>
    </row>
    <row r="73" spans="1:29" ht="15.75" thickBot="1">
      <c r="A73" s="653"/>
      <c r="B73" s="662"/>
      <c r="C73" s="663">
        <v>100</v>
      </c>
      <c r="D73" s="663">
        <f>C73-$K17</f>
        <v>100</v>
      </c>
      <c r="E73" s="663">
        <f>D73-$K17</f>
        <v>100</v>
      </c>
      <c r="F73" s="663">
        <f>E73-$K17</f>
        <v>100</v>
      </c>
      <c r="G73" s="663">
        <f>F73-$K17</f>
        <v>100</v>
      </c>
      <c r="H73" s="663"/>
      <c r="I73" s="663"/>
      <c r="J73" s="663"/>
      <c r="K73" s="663"/>
      <c r="L73" s="663"/>
      <c r="M73" s="664"/>
      <c r="N73" s="2033"/>
      <c r="O73" s="2033"/>
      <c r="P73" s="2032"/>
      <c r="Q73" s="2025"/>
      <c r="R73" s="2013"/>
      <c r="S73" s="2013"/>
      <c r="T73" s="2013"/>
      <c r="U73" s="2013"/>
      <c r="V73" s="2013"/>
      <c r="W73" s="2013"/>
      <c r="X73" s="2013"/>
      <c r="Y73" s="2013"/>
      <c r="Z73" s="2013"/>
      <c r="AA73" s="2013"/>
      <c r="AB73" s="2013"/>
      <c r="AC73" s="2013"/>
    </row>
    <row r="74" spans="1:29" ht="15.75" thickTop="1">
      <c r="A74" s="653"/>
      <c r="B74" s="1796" t="s">
        <v>2533</v>
      </c>
      <c r="C74" s="692" t="s">
        <v>573</v>
      </c>
      <c r="D74" s="692" t="s">
        <v>574</v>
      </c>
      <c r="E74" s="692" t="s">
        <v>575</v>
      </c>
      <c r="F74" s="692" t="s">
        <v>576</v>
      </c>
      <c r="G74" s="692" t="s">
        <v>577</v>
      </c>
      <c r="H74" s="658"/>
      <c r="I74" s="658"/>
      <c r="J74" s="658"/>
      <c r="K74" s="659"/>
      <c r="L74" s="660"/>
      <c r="M74" s="661"/>
      <c r="N74" s="2031"/>
      <c r="O74" s="2031"/>
      <c r="P74" s="2032"/>
      <c r="Q74" s="2025"/>
      <c r="R74" s="2013"/>
      <c r="S74" s="2013"/>
      <c r="T74" s="2013"/>
      <c r="U74" s="2013"/>
      <c r="V74" s="2013"/>
      <c r="W74" s="2013"/>
      <c r="X74" s="2013"/>
      <c r="Y74" s="2013"/>
      <c r="Z74" s="2013"/>
      <c r="AA74" s="2013"/>
      <c r="AB74" s="2013"/>
      <c r="AC74" s="2013"/>
    </row>
    <row r="75" spans="1:29" ht="15.75" thickBot="1">
      <c r="A75" s="653"/>
      <c r="B75" s="662"/>
      <c r="C75" s="663">
        <v>100</v>
      </c>
      <c r="D75" s="663">
        <f>C75-$K19</f>
        <v>100</v>
      </c>
      <c r="E75" s="663">
        <f>D75-$K19</f>
        <v>100</v>
      </c>
      <c r="F75" s="663">
        <f>E75-$K19</f>
        <v>100</v>
      </c>
      <c r="G75" s="663">
        <f>F75-$K19</f>
        <v>100</v>
      </c>
      <c r="H75" s="663"/>
      <c r="I75" s="663"/>
      <c r="J75" s="663"/>
      <c r="K75" s="663"/>
      <c r="L75" s="663"/>
      <c r="M75" s="664"/>
      <c r="N75" s="2033"/>
      <c r="O75" s="2033"/>
      <c r="P75" s="2032"/>
      <c r="Q75" s="2025"/>
      <c r="R75" s="2013"/>
      <c r="S75" s="2013"/>
      <c r="T75" s="2013"/>
      <c r="U75" s="2013"/>
      <c r="V75" s="2013"/>
      <c r="W75" s="2013"/>
      <c r="X75" s="2013"/>
      <c r="Y75" s="2013"/>
      <c r="Z75" s="2013"/>
      <c r="AA75" s="2013"/>
      <c r="AB75" s="2013"/>
      <c r="AC75" s="2013"/>
    </row>
    <row r="76" spans="1:29" ht="15.75" thickTop="1">
      <c r="A76" s="653"/>
      <c r="B76" s="2427" t="s">
        <v>2534</v>
      </c>
      <c r="C76" s="2428" t="s">
        <v>2535</v>
      </c>
      <c r="D76" s="2428" t="s">
        <v>2536</v>
      </c>
      <c r="E76" s="2428" t="s">
        <v>2537</v>
      </c>
      <c r="F76" s="2428" t="s">
        <v>2538</v>
      </c>
      <c r="G76" s="2428" t="s">
        <v>2539</v>
      </c>
      <c r="H76" s="916"/>
      <c r="I76" s="916"/>
      <c r="J76" s="916"/>
      <c r="K76" s="916"/>
      <c r="L76" s="916"/>
      <c r="M76" s="545"/>
      <c r="N76" s="2033"/>
      <c r="O76" s="2033"/>
      <c r="P76" s="2032"/>
      <c r="Q76" s="2025"/>
      <c r="R76" s="2013"/>
      <c r="S76" s="2013"/>
      <c r="T76" s="2013"/>
      <c r="U76" s="2013"/>
      <c r="V76" s="2013"/>
      <c r="W76" s="2013"/>
      <c r="X76" s="2013"/>
      <c r="Y76" s="2013"/>
      <c r="Z76" s="2013"/>
      <c r="AA76" s="2013"/>
      <c r="AB76" s="2013"/>
      <c r="AC76" s="2013"/>
    </row>
    <row r="77" spans="1:29" ht="15.75" thickBot="1">
      <c r="A77" s="653"/>
      <c r="B77" s="665"/>
      <c r="C77" s="663">
        <v>100</v>
      </c>
      <c r="D77" s="663">
        <f>C77-$K21</f>
        <v>100</v>
      </c>
      <c r="E77" s="663">
        <f>D77-$K21</f>
        <v>100</v>
      </c>
      <c r="F77" s="663">
        <f>E77-$K21</f>
        <v>100</v>
      </c>
      <c r="G77" s="663">
        <f>F77-$K21</f>
        <v>100</v>
      </c>
      <c r="H77" s="663"/>
      <c r="I77" s="663"/>
      <c r="J77" s="663"/>
      <c r="K77" s="663"/>
      <c r="L77" s="663"/>
      <c r="M77" s="664"/>
      <c r="N77" s="2033"/>
      <c r="O77" s="2033"/>
      <c r="P77" s="2032"/>
      <c r="Q77" s="2025"/>
      <c r="R77" s="2013"/>
      <c r="S77" s="2013"/>
      <c r="T77" s="2013"/>
      <c r="U77" s="2013"/>
      <c r="V77" s="2013"/>
      <c r="W77" s="2013"/>
      <c r="X77" s="2013"/>
      <c r="Y77" s="2013"/>
      <c r="Z77" s="2013"/>
      <c r="AA77" s="2013"/>
      <c r="AB77" s="2013"/>
      <c r="AC77" s="2013"/>
    </row>
    <row r="78" spans="1:29" ht="15.75" thickTop="1">
      <c r="A78" s="653"/>
      <c r="B78" s="657" t="s">
        <v>778</v>
      </c>
      <c r="C78" s="692" t="s">
        <v>573</v>
      </c>
      <c r="D78" s="692" t="s">
        <v>574</v>
      </c>
      <c r="E78" s="692" t="s">
        <v>575</v>
      </c>
      <c r="F78" s="692" t="s">
        <v>576</v>
      </c>
      <c r="G78" s="692" t="s">
        <v>577</v>
      </c>
      <c r="H78" s="658"/>
      <c r="I78" s="658"/>
      <c r="J78" s="658"/>
      <c r="K78" s="659"/>
      <c r="L78" s="660"/>
      <c r="M78" s="661"/>
      <c r="N78" s="2031"/>
      <c r="O78" s="2031"/>
      <c r="P78" s="2032"/>
      <c r="Q78" s="2025"/>
      <c r="R78" s="2013"/>
      <c r="S78" s="2013"/>
      <c r="T78" s="2013"/>
      <c r="U78" s="2013"/>
      <c r="V78" s="2013"/>
      <c r="W78" s="2013"/>
      <c r="X78" s="2013"/>
      <c r="Y78" s="2013"/>
      <c r="Z78" s="2013"/>
      <c r="AA78" s="2013"/>
      <c r="AB78" s="2013"/>
      <c r="AC78" s="2013"/>
    </row>
    <row r="79" spans="1:29" ht="15.75" thickBot="1">
      <c r="A79" s="653"/>
      <c r="B79" s="662"/>
      <c r="C79" s="663">
        <v>100</v>
      </c>
      <c r="D79" s="663">
        <f>C79-$K23</f>
        <v>100</v>
      </c>
      <c r="E79" s="663">
        <f>D79-$K23</f>
        <v>100</v>
      </c>
      <c r="F79" s="663">
        <f>E79-$K23</f>
        <v>100</v>
      </c>
      <c r="G79" s="663">
        <f>F79-$K23</f>
        <v>100</v>
      </c>
      <c r="H79" s="663"/>
      <c r="I79" s="663"/>
      <c r="J79" s="663"/>
      <c r="K79" s="663"/>
      <c r="L79" s="663"/>
      <c r="M79" s="664"/>
      <c r="N79" s="2033"/>
      <c r="O79" s="2033"/>
      <c r="P79" s="2032"/>
      <c r="Q79" s="2025"/>
      <c r="R79" s="2013"/>
      <c r="S79" s="2013"/>
      <c r="T79" s="2013"/>
      <c r="U79" s="2013"/>
      <c r="V79" s="2013"/>
      <c r="W79" s="2013"/>
      <c r="X79" s="2013"/>
      <c r="Y79" s="2013"/>
      <c r="Z79" s="2013"/>
      <c r="AA79" s="2013"/>
      <c r="AB79" s="2013"/>
      <c r="AC79" s="2013"/>
    </row>
    <row r="80" spans="1:29" s="1194" customFormat="1" ht="15.75" thickTop="1">
      <c r="A80" s="693"/>
      <c r="B80" s="657">
        <f>B25</f>
        <v>111</v>
      </c>
      <c r="C80" s="672"/>
      <c r="D80" s="672"/>
      <c r="E80" s="672"/>
      <c r="F80" s="672"/>
      <c r="G80" s="672"/>
      <c r="H80" s="672"/>
      <c r="I80" s="672"/>
      <c r="J80" s="672"/>
      <c r="K80" s="672"/>
      <c r="L80" s="871"/>
      <c r="M80" s="872"/>
      <c r="N80" s="2029"/>
      <c r="O80" s="2029"/>
      <c r="P80" s="2032"/>
      <c r="Q80" s="2025"/>
      <c r="R80" s="1891"/>
      <c r="S80" s="1891"/>
      <c r="T80" s="1891"/>
      <c r="U80" s="1891"/>
      <c r="V80" s="1891"/>
      <c r="W80" s="1891"/>
      <c r="X80" s="1891"/>
      <c r="Y80" s="1891"/>
      <c r="Z80" s="1891"/>
      <c r="AA80" s="1891"/>
      <c r="AB80" s="1891"/>
      <c r="AC80" s="1891"/>
    </row>
    <row r="81" spans="1:29" s="1194" customFormat="1" ht="15.75" thickBot="1">
      <c r="A81" s="693"/>
      <c r="B81" s="662"/>
      <c r="C81" s="676"/>
      <c r="D81" s="655"/>
      <c r="E81" s="655"/>
      <c r="F81" s="655"/>
      <c r="G81" s="655"/>
      <c r="H81" s="655"/>
      <c r="I81" s="655"/>
      <c r="J81" s="655"/>
      <c r="K81" s="655"/>
      <c r="L81" s="655"/>
      <c r="M81" s="656"/>
      <c r="N81" s="2033"/>
      <c r="O81" s="2033"/>
      <c r="P81" s="2032"/>
      <c r="Q81" s="2025"/>
      <c r="R81" s="1891"/>
      <c r="S81" s="1891"/>
      <c r="T81" s="1891"/>
      <c r="U81" s="1891"/>
      <c r="V81" s="1891"/>
      <c r="W81" s="1891"/>
      <c r="X81" s="1891"/>
      <c r="Y81" s="1891"/>
      <c r="Z81" s="1891"/>
      <c r="AA81" s="1891"/>
      <c r="AB81" s="1891"/>
      <c r="AC81" s="1891"/>
    </row>
    <row r="82" spans="1:29" s="1194" customFormat="1" ht="15.75" thickTop="1">
      <c r="A82" s="693"/>
      <c r="B82" s="657">
        <f>B26</f>
        <v>111</v>
      </c>
      <c r="C82" s="672"/>
      <c r="D82" s="672"/>
      <c r="E82" s="672"/>
      <c r="F82" s="672"/>
      <c r="G82" s="672"/>
      <c r="H82" s="672"/>
      <c r="I82" s="672"/>
      <c r="J82" s="672"/>
      <c r="K82" s="672"/>
      <c r="L82" s="871"/>
      <c r="M82" s="872"/>
      <c r="N82" s="2029"/>
      <c r="O82" s="2029"/>
      <c r="P82" s="2032"/>
      <c r="Q82" s="2025"/>
      <c r="R82" s="1891"/>
      <c r="S82" s="1891"/>
      <c r="T82" s="1891"/>
      <c r="U82" s="1891"/>
      <c r="V82" s="1891"/>
      <c r="W82" s="1891"/>
      <c r="X82" s="1891"/>
      <c r="Y82" s="1891"/>
      <c r="Z82" s="1891"/>
      <c r="AA82" s="1891"/>
      <c r="AB82" s="1891"/>
      <c r="AC82" s="1891"/>
    </row>
    <row r="83" spans="1:29" s="1194" customFormat="1" ht="15.75" thickBot="1">
      <c r="A83" s="693"/>
      <c r="B83" s="662"/>
      <c r="C83" s="676"/>
      <c r="D83" s="655"/>
      <c r="E83" s="655"/>
      <c r="F83" s="655"/>
      <c r="G83" s="655"/>
      <c r="H83" s="655"/>
      <c r="I83" s="655"/>
      <c r="J83" s="655"/>
      <c r="K83" s="655"/>
      <c r="L83" s="655"/>
      <c r="M83" s="656"/>
      <c r="N83" s="2033"/>
      <c r="O83" s="2033"/>
      <c r="P83" s="2032"/>
      <c r="Q83" s="2025"/>
      <c r="R83" s="1891"/>
      <c r="S83" s="1891"/>
      <c r="T83" s="1891"/>
      <c r="U83" s="1891"/>
      <c r="V83" s="1891"/>
      <c r="W83" s="1891"/>
      <c r="X83" s="1891"/>
      <c r="Y83" s="1891"/>
      <c r="Z83" s="1891"/>
      <c r="AA83" s="1891"/>
      <c r="AB83" s="1891"/>
      <c r="AC83" s="1891"/>
    </row>
    <row r="84" spans="1:29" s="1283" customFormat="1" ht="15.75" thickTop="1">
      <c r="A84" s="671"/>
      <c r="B84" s="657">
        <f>B27</f>
        <v>111</v>
      </c>
      <c r="C84" s="672"/>
      <c r="D84" s="672"/>
      <c r="E84" s="672"/>
      <c r="F84" s="672"/>
      <c r="G84" s="672"/>
      <c r="H84" s="672"/>
      <c r="I84" s="672"/>
      <c r="J84" s="672"/>
      <c r="K84" s="672"/>
      <c r="L84" s="871"/>
      <c r="M84" s="872"/>
      <c r="N84" s="2034"/>
      <c r="O84" s="2034"/>
      <c r="P84" s="2035"/>
      <c r="Q84" s="2036"/>
      <c r="R84" s="2037"/>
      <c r="S84" s="2037"/>
      <c r="T84" s="2037"/>
      <c r="U84" s="2037"/>
      <c r="V84" s="2037"/>
      <c r="W84" s="2037"/>
      <c r="X84" s="2037"/>
      <c r="Y84" s="2037"/>
      <c r="Z84" s="2037"/>
      <c r="AA84" s="2037"/>
      <c r="AB84" s="2037"/>
      <c r="AC84" s="2037"/>
    </row>
    <row r="85" spans="1:29" s="1283" customFormat="1" ht="15.75" thickBot="1">
      <c r="A85" s="671"/>
      <c r="B85" s="662"/>
      <c r="C85" s="676"/>
      <c r="D85" s="655"/>
      <c r="E85" s="655"/>
      <c r="F85" s="655"/>
      <c r="G85" s="655"/>
      <c r="H85" s="655"/>
      <c r="I85" s="655"/>
      <c r="J85" s="655"/>
      <c r="K85" s="655"/>
      <c r="L85" s="655"/>
      <c r="M85" s="656"/>
      <c r="N85" s="2034"/>
      <c r="O85" s="2034"/>
      <c r="P85" s="2035"/>
      <c r="Q85" s="2036"/>
      <c r="R85" s="2037"/>
      <c r="S85" s="2037"/>
      <c r="T85" s="2037"/>
      <c r="U85" s="2037"/>
      <c r="V85" s="2037"/>
      <c r="W85" s="2037"/>
      <c r="X85" s="2037"/>
      <c r="Y85" s="2037"/>
      <c r="Z85" s="2037"/>
      <c r="AA85" s="2037"/>
      <c r="AB85" s="2037"/>
      <c r="AC85" s="2037"/>
    </row>
    <row r="86" spans="1:29" ht="15.75" thickTop="1">
      <c r="A86" s="653"/>
      <c r="B86" s="665">
        <f>B28</f>
        <v>111</v>
      </c>
      <c r="C86" s="645"/>
      <c r="D86" s="645"/>
      <c r="E86" s="645"/>
      <c r="F86" s="645"/>
      <c r="G86" s="706"/>
      <c r="H86" s="706"/>
      <c r="I86" s="706"/>
      <c r="J86" s="706"/>
      <c r="K86" s="707"/>
      <c r="L86" s="708"/>
      <c r="M86" s="709"/>
      <c r="N86" s="2031"/>
      <c r="O86" s="2031"/>
      <c r="P86" s="2032"/>
      <c r="Q86" s="2025"/>
      <c r="R86" s="2013"/>
      <c r="S86" s="2013"/>
      <c r="T86" s="2013"/>
      <c r="U86" s="2013"/>
      <c r="V86" s="2013"/>
      <c r="W86" s="2013"/>
      <c r="X86" s="2013"/>
      <c r="Y86" s="2013"/>
      <c r="Z86" s="2013"/>
      <c r="AA86" s="2013"/>
      <c r="AB86" s="2013"/>
      <c r="AC86" s="2013"/>
    </row>
    <row r="87" spans="1:29" ht="15.75" thickBot="1">
      <c r="A87" s="874"/>
      <c r="B87" s="683"/>
      <c r="C87" s="684"/>
      <c r="D87" s="684"/>
      <c r="E87" s="684"/>
      <c r="F87" s="684"/>
      <c r="G87" s="710"/>
      <c r="H87" s="710"/>
      <c r="I87" s="710"/>
      <c r="J87" s="710"/>
      <c r="K87" s="710"/>
      <c r="L87" s="710"/>
      <c r="M87" s="711"/>
      <c r="N87" s="2033"/>
      <c r="O87" s="2033"/>
      <c r="P87" s="2032"/>
      <c r="Q87" s="2025"/>
      <c r="R87" s="2013"/>
      <c r="S87" s="2013"/>
      <c r="T87" s="2013"/>
      <c r="U87" s="2013"/>
      <c r="V87" s="2013"/>
      <c r="W87" s="2013"/>
      <c r="X87" s="2013"/>
      <c r="Y87" s="2013"/>
      <c r="Z87" s="2013"/>
      <c r="AA87" s="2013"/>
      <c r="AB87" s="2013"/>
      <c r="AC87" s="2013"/>
    </row>
    <row r="88" spans="1:29">
      <c r="A88" s="648" t="s">
        <v>545</v>
      </c>
      <c r="B88" s="649" t="s">
        <v>741</v>
      </c>
      <c r="C88" s="584"/>
      <c r="D88" s="584"/>
      <c r="E88" s="584"/>
      <c r="F88" s="584"/>
      <c r="G88" s="584"/>
      <c r="H88" s="584"/>
      <c r="I88" s="584"/>
      <c r="J88" s="584"/>
      <c r="K88" s="650"/>
      <c r="L88" s="651"/>
      <c r="M88" s="652"/>
      <c r="N88" s="2031"/>
      <c r="O88" s="2031"/>
      <c r="P88" s="2032"/>
      <c r="Q88" s="2025"/>
      <c r="R88" s="2013"/>
      <c r="S88" s="2013"/>
      <c r="T88" s="2013"/>
      <c r="U88" s="2013"/>
      <c r="V88" s="2013"/>
      <c r="W88" s="2013"/>
      <c r="X88" s="2013"/>
      <c r="Y88" s="2013"/>
      <c r="Z88" s="2013"/>
      <c r="AA88" s="2013"/>
      <c r="AB88" s="2013"/>
      <c r="AC88" s="2013"/>
    </row>
    <row r="89" spans="1:29" ht="15.75" thickBot="1">
      <c r="A89" s="653"/>
      <c r="B89" s="662"/>
      <c r="C89" s="663">
        <v>100</v>
      </c>
      <c r="D89" s="663">
        <f t="shared" ref="D89:M89" si="19">C89-$K29</f>
        <v>100</v>
      </c>
      <c r="E89" s="663">
        <f t="shared" si="19"/>
        <v>100</v>
      </c>
      <c r="F89" s="663">
        <f t="shared" si="19"/>
        <v>100</v>
      </c>
      <c r="G89" s="663">
        <f t="shared" si="19"/>
        <v>100</v>
      </c>
      <c r="H89" s="663">
        <f t="shared" si="19"/>
        <v>100</v>
      </c>
      <c r="I89" s="663">
        <f t="shared" si="19"/>
        <v>100</v>
      </c>
      <c r="J89" s="663">
        <f t="shared" si="19"/>
        <v>100</v>
      </c>
      <c r="K89" s="663">
        <f t="shared" si="19"/>
        <v>100</v>
      </c>
      <c r="L89" s="663">
        <f t="shared" si="19"/>
        <v>100</v>
      </c>
      <c r="M89" s="664">
        <f t="shared" si="19"/>
        <v>100</v>
      </c>
      <c r="N89" s="2033"/>
      <c r="O89" s="2033"/>
      <c r="P89" s="2032"/>
      <c r="Q89" s="2025"/>
      <c r="R89" s="2013"/>
      <c r="S89" s="2013"/>
      <c r="T89" s="2013"/>
      <c r="U89" s="2013"/>
      <c r="V89" s="2013"/>
      <c r="W89" s="2013"/>
      <c r="X89" s="2013"/>
      <c r="Y89" s="2013"/>
      <c r="Z89" s="2013"/>
      <c r="AA89" s="2013"/>
      <c r="AB89" s="2013"/>
      <c r="AC89" s="2013"/>
    </row>
    <row r="90" spans="1:29" ht="15.75" thickTop="1">
      <c r="A90" s="653"/>
      <c r="B90" s="657" t="s">
        <v>742</v>
      </c>
      <c r="C90" s="692" t="str">
        <f>C91&amp;"(含)"&amp;"-"&amp;D91</f>
        <v>(含)-</v>
      </c>
      <c r="D90" s="692" t="str">
        <f t="shared" ref="D90:L90" si="20">D91&amp;"(含)"&amp;"-"&amp;E91</f>
        <v>(含)-</v>
      </c>
      <c r="E90" s="692" t="str">
        <f t="shared" si="20"/>
        <v>(含)-</v>
      </c>
      <c r="F90" s="692" t="str">
        <f t="shared" si="20"/>
        <v>(含)-</v>
      </c>
      <c r="G90" s="692" t="str">
        <f t="shared" si="20"/>
        <v>(含)-</v>
      </c>
      <c r="H90" s="692" t="str">
        <f t="shared" si="20"/>
        <v>(含)-</v>
      </c>
      <c r="I90" s="692" t="str">
        <f t="shared" si="20"/>
        <v>(含)-</v>
      </c>
      <c r="J90" s="692" t="str">
        <f t="shared" si="20"/>
        <v>(含)-</v>
      </c>
      <c r="K90" s="692" t="str">
        <f t="shared" si="20"/>
        <v>(含)-</v>
      </c>
      <c r="L90" s="692" t="str">
        <f t="shared" si="20"/>
        <v>(含)-</v>
      </c>
      <c r="M90" s="695" t="str">
        <f>M91&amp;"(含)"&amp;"-"&amp;P91</f>
        <v>(含)-</v>
      </c>
      <c r="N90" s="2029"/>
      <c r="O90" s="2029"/>
      <c r="P90" s="2032"/>
      <c r="Q90" s="2025"/>
      <c r="R90" s="2013"/>
      <c r="S90" s="2013"/>
      <c r="T90" s="2013"/>
      <c r="U90" s="2013"/>
      <c r="V90" s="2013"/>
      <c r="W90" s="2013"/>
      <c r="X90" s="2013"/>
      <c r="Y90" s="2013"/>
      <c r="Z90" s="2013"/>
      <c r="AA90" s="2013"/>
      <c r="AB90" s="2013"/>
      <c r="AC90" s="2013"/>
    </row>
    <row r="91" spans="1:29" s="1283" customFormat="1">
      <c r="A91" s="712"/>
      <c r="B91" s="713"/>
      <c r="C91" s="714"/>
      <c r="D91" s="714"/>
      <c r="E91" s="714"/>
      <c r="F91" s="714"/>
      <c r="G91" s="714"/>
      <c r="H91" s="714"/>
      <c r="I91" s="714"/>
      <c r="J91" s="715"/>
      <c r="K91" s="715"/>
      <c r="L91" s="716"/>
      <c r="M91" s="717"/>
      <c r="N91" s="2034"/>
      <c r="O91" s="2034"/>
      <c r="P91" s="2035"/>
      <c r="Q91" s="2036"/>
      <c r="R91" s="2037"/>
      <c r="S91" s="2037"/>
      <c r="T91" s="2037"/>
      <c r="U91" s="2037"/>
      <c r="V91" s="2037"/>
      <c r="W91" s="2037"/>
      <c r="X91" s="2037"/>
      <c r="Y91" s="2037"/>
      <c r="Z91" s="2037"/>
      <c r="AA91" s="2037"/>
      <c r="AB91" s="2037"/>
      <c r="AC91" s="2037"/>
    </row>
    <row r="92" spans="1:29" s="1283" customFormat="1" ht="15.75" thickBot="1">
      <c r="A92" s="671"/>
      <c r="B92" s="662"/>
      <c r="C92" s="676"/>
      <c r="D92" s="655"/>
      <c r="E92" s="655"/>
      <c r="F92" s="655"/>
      <c r="G92" s="655"/>
      <c r="H92" s="655"/>
      <c r="I92" s="655"/>
      <c r="J92" s="655"/>
      <c r="K92" s="655"/>
      <c r="L92" s="655"/>
      <c r="M92" s="656"/>
      <c r="N92" s="2033"/>
      <c r="O92" s="2033"/>
      <c r="P92" s="2035"/>
      <c r="Q92" s="2036"/>
      <c r="R92" s="2037"/>
      <c r="S92" s="2037"/>
      <c r="T92" s="2037"/>
      <c r="U92" s="2037"/>
      <c r="V92" s="2037"/>
      <c r="W92" s="2037"/>
      <c r="X92" s="2037"/>
      <c r="Y92" s="2037"/>
      <c r="Z92" s="2037"/>
      <c r="AA92" s="2037"/>
      <c r="AB92" s="2037"/>
      <c r="AC92" s="2037"/>
    </row>
    <row r="93" spans="1:29" ht="15" thickTop="1">
      <c r="A93" s="719"/>
      <c r="B93" s="657" t="s">
        <v>743</v>
      </c>
      <c r="C93" s="672"/>
      <c r="D93" s="672"/>
      <c r="E93" s="702"/>
      <c r="F93" s="702"/>
      <c r="G93" s="702"/>
      <c r="H93" s="702"/>
      <c r="I93" s="702"/>
      <c r="J93" s="702"/>
      <c r="K93" s="703"/>
      <c r="L93" s="704"/>
      <c r="M93" s="705"/>
      <c r="N93" s="2031"/>
      <c r="O93" s="2031"/>
      <c r="P93" s="2032"/>
      <c r="Q93" s="2025"/>
      <c r="R93" s="2013"/>
      <c r="S93" s="2013"/>
      <c r="T93" s="2013"/>
      <c r="U93" s="2013"/>
      <c r="V93" s="2013"/>
      <c r="W93" s="2013"/>
      <c r="X93" s="2013"/>
      <c r="Y93" s="2013"/>
      <c r="Z93" s="2013"/>
      <c r="AA93" s="2013"/>
      <c r="AB93" s="2013"/>
      <c r="AC93" s="2013"/>
    </row>
    <row r="94" spans="1:29" ht="15.75" thickBot="1">
      <c r="A94" s="653"/>
      <c r="B94" s="662"/>
      <c r="C94" s="663">
        <v>100</v>
      </c>
      <c r="D94" s="663">
        <f t="shared" ref="D94:M94" si="21">C94-$K31</f>
        <v>100</v>
      </c>
      <c r="E94" s="663">
        <f t="shared" si="21"/>
        <v>100</v>
      </c>
      <c r="F94" s="663">
        <f t="shared" si="21"/>
        <v>100</v>
      </c>
      <c r="G94" s="663">
        <f t="shared" si="21"/>
        <v>100</v>
      </c>
      <c r="H94" s="663">
        <f t="shared" si="21"/>
        <v>100</v>
      </c>
      <c r="I94" s="663">
        <f t="shared" si="21"/>
        <v>100</v>
      </c>
      <c r="J94" s="663">
        <f t="shared" si="21"/>
        <v>100</v>
      </c>
      <c r="K94" s="663">
        <f t="shared" si="21"/>
        <v>100</v>
      </c>
      <c r="L94" s="663">
        <f t="shared" si="21"/>
        <v>100</v>
      </c>
      <c r="M94" s="664">
        <f t="shared" si="21"/>
        <v>100</v>
      </c>
      <c r="N94" s="2033"/>
      <c r="O94" s="2033"/>
      <c r="P94" s="2032"/>
      <c r="Q94" s="2025"/>
      <c r="R94" s="2013"/>
      <c r="S94" s="2013"/>
      <c r="T94" s="2013"/>
      <c r="U94" s="2013"/>
      <c r="V94" s="2013"/>
      <c r="W94" s="2013"/>
      <c r="X94" s="2013"/>
      <c r="Y94" s="2013"/>
      <c r="Z94" s="2013"/>
      <c r="AA94" s="2013"/>
      <c r="AB94" s="2013"/>
      <c r="AC94" s="2013"/>
    </row>
    <row r="95" spans="1:29" ht="15" thickTop="1">
      <c r="A95" s="719"/>
      <c r="B95" s="657" t="s">
        <v>745</v>
      </c>
      <c r="C95" s="672"/>
      <c r="D95" s="672"/>
      <c r="E95" s="672"/>
      <c r="F95" s="702"/>
      <c r="G95" s="702"/>
      <c r="H95" s="702"/>
      <c r="I95" s="702"/>
      <c r="J95" s="702"/>
      <c r="K95" s="703"/>
      <c r="L95" s="704"/>
      <c r="M95" s="705"/>
      <c r="N95" s="2031"/>
      <c r="O95" s="2031"/>
      <c r="P95" s="2032"/>
      <c r="Q95" s="2025"/>
      <c r="R95" s="2013"/>
      <c r="S95" s="2013"/>
      <c r="T95" s="2013"/>
      <c r="U95" s="2013"/>
      <c r="V95" s="2013"/>
      <c r="W95" s="2013"/>
      <c r="X95" s="2013"/>
      <c r="Y95" s="2013"/>
      <c r="Z95" s="2013"/>
      <c r="AA95" s="2013"/>
      <c r="AB95" s="2013"/>
      <c r="AC95" s="2013"/>
    </row>
    <row r="96" spans="1:29" ht="15.75" thickBot="1">
      <c r="A96" s="653"/>
      <c r="B96" s="662"/>
      <c r="C96" s="663">
        <v>100</v>
      </c>
      <c r="D96" s="663">
        <f t="shared" ref="D96:M96" si="22">C96-$K32</f>
        <v>100</v>
      </c>
      <c r="E96" s="663">
        <f t="shared" si="22"/>
        <v>100</v>
      </c>
      <c r="F96" s="663">
        <f t="shared" si="22"/>
        <v>100</v>
      </c>
      <c r="G96" s="663">
        <f t="shared" si="22"/>
        <v>100</v>
      </c>
      <c r="H96" s="663">
        <f t="shared" si="22"/>
        <v>100</v>
      </c>
      <c r="I96" s="663">
        <f t="shared" si="22"/>
        <v>100</v>
      </c>
      <c r="J96" s="663">
        <f t="shared" si="22"/>
        <v>100</v>
      </c>
      <c r="K96" s="663">
        <f t="shared" si="22"/>
        <v>100</v>
      </c>
      <c r="L96" s="663">
        <f t="shared" si="22"/>
        <v>100</v>
      </c>
      <c r="M96" s="664">
        <f t="shared" si="22"/>
        <v>100</v>
      </c>
      <c r="N96" s="2033"/>
      <c r="O96" s="2033"/>
      <c r="P96" s="2032"/>
      <c r="Q96" s="2025"/>
      <c r="R96" s="2013"/>
      <c r="S96" s="2013"/>
      <c r="T96" s="2013"/>
      <c r="U96" s="2013"/>
      <c r="V96" s="2013"/>
      <c r="W96" s="2013"/>
      <c r="X96" s="2013"/>
      <c r="Y96" s="2013"/>
      <c r="Z96" s="2013"/>
      <c r="AA96" s="2013"/>
      <c r="AB96" s="2013"/>
      <c r="AC96" s="2013"/>
    </row>
    <row r="97" spans="1:29" ht="15" thickTop="1">
      <c r="A97" s="719"/>
      <c r="B97" s="657" t="s">
        <v>746</v>
      </c>
      <c r="C97" s="692" t="str">
        <f>C98&amp;"(含)"&amp;"-"&amp;D98</f>
        <v>0.5(含)-0.6</v>
      </c>
      <c r="D97" s="692" t="str">
        <f>D98&amp;"(含)"&amp;"-"&amp;E98</f>
        <v>0.6(含)-0.7</v>
      </c>
      <c r="E97" s="692" t="str">
        <f>E98&amp;"(含)"&amp;"-"&amp;F98</f>
        <v>0.7(含)-0.8</v>
      </c>
      <c r="F97" s="692" t="str">
        <f>F98&amp;"(含)"&amp;"-"&amp;G98</f>
        <v>0.8(含)-0.9</v>
      </c>
      <c r="G97" s="692" t="str">
        <f>G98&amp;"(含)"&amp;"-"&amp;ROUND(H98,0)</f>
        <v>0.9(含)-1</v>
      </c>
      <c r="H97" s="692"/>
      <c r="I97" s="702"/>
      <c r="J97" s="702"/>
      <c r="K97" s="703"/>
      <c r="L97" s="704"/>
      <c r="M97" s="705"/>
      <c r="N97" s="2031"/>
      <c r="O97" s="2031"/>
      <c r="P97" s="2032"/>
      <c r="Q97" s="2025"/>
      <c r="R97" s="2013"/>
      <c r="S97" s="2013"/>
      <c r="T97" s="2013"/>
      <c r="U97" s="2013"/>
      <c r="V97" s="2013"/>
      <c r="W97" s="2013"/>
      <c r="X97" s="2013"/>
      <c r="Y97" s="2013"/>
      <c r="Z97" s="2013"/>
      <c r="AA97" s="2013"/>
      <c r="AB97" s="2013"/>
      <c r="AC97" s="2013"/>
    </row>
    <row r="98" spans="1:29">
      <c r="A98" s="719"/>
      <c r="B98" s="665"/>
      <c r="C98" s="875">
        <v>0.5</v>
      </c>
      <c r="D98" s="875">
        <v>0.6</v>
      </c>
      <c r="E98" s="875">
        <v>0.7</v>
      </c>
      <c r="F98" s="875">
        <v>0.8</v>
      </c>
      <c r="G98" s="875">
        <v>0.9</v>
      </c>
      <c r="H98" s="875">
        <v>1.0001</v>
      </c>
      <c r="I98" s="886"/>
      <c r="J98" s="886"/>
      <c r="K98" s="887"/>
      <c r="L98" s="888"/>
      <c r="M98" s="889"/>
      <c r="N98" s="2031"/>
      <c r="O98" s="2031"/>
      <c r="P98" s="2032"/>
      <c r="Q98" s="2025"/>
      <c r="R98" s="2013"/>
      <c r="S98" s="2013"/>
      <c r="T98" s="2013"/>
      <c r="U98" s="2013"/>
      <c r="V98" s="2013"/>
      <c r="W98" s="2013"/>
      <c r="X98" s="2013"/>
      <c r="Y98" s="2013"/>
      <c r="Z98" s="2013"/>
      <c r="AA98" s="2013"/>
      <c r="AB98" s="2013"/>
      <c r="AC98" s="2013"/>
    </row>
    <row r="99" spans="1:29" ht="15.75" thickBot="1">
      <c r="A99" s="653"/>
      <c r="B99" s="662"/>
      <c r="C99" s="696">
        <v>100</v>
      </c>
      <c r="D99" s="663">
        <f>C99+$K33</f>
        <v>100</v>
      </c>
      <c r="E99" s="663">
        <f t="shared" ref="E99:M99" si="23">D99+$K33</f>
        <v>100</v>
      </c>
      <c r="F99" s="663">
        <f t="shared" si="23"/>
        <v>100</v>
      </c>
      <c r="G99" s="663">
        <f t="shared" si="23"/>
        <v>100</v>
      </c>
      <c r="H99" s="663">
        <f t="shared" si="23"/>
        <v>100</v>
      </c>
      <c r="I99" s="663">
        <f t="shared" si="23"/>
        <v>100</v>
      </c>
      <c r="J99" s="663">
        <f t="shared" si="23"/>
        <v>100</v>
      </c>
      <c r="K99" s="663">
        <f t="shared" si="23"/>
        <v>100</v>
      </c>
      <c r="L99" s="663">
        <f t="shared" si="23"/>
        <v>100</v>
      </c>
      <c r="M99" s="663">
        <f t="shared" si="23"/>
        <v>100</v>
      </c>
      <c r="N99" s="2033"/>
      <c r="O99" s="2033"/>
      <c r="P99" s="2032"/>
      <c r="Q99" s="2025"/>
      <c r="R99" s="2013"/>
      <c r="S99" s="2013"/>
      <c r="T99" s="2013"/>
      <c r="U99" s="2013"/>
      <c r="V99" s="2013"/>
      <c r="W99" s="2013"/>
      <c r="X99" s="2013"/>
      <c r="Y99" s="2013"/>
      <c r="Z99" s="2013"/>
      <c r="AA99" s="2013"/>
      <c r="AB99" s="2013"/>
      <c r="AC99" s="2013"/>
    </row>
    <row r="100" spans="1:29" s="1283" customFormat="1" ht="15" thickTop="1">
      <c r="A100" s="712"/>
      <c r="B100" s="657" t="s">
        <v>747</v>
      </c>
      <c r="C100" s="672"/>
      <c r="D100" s="672"/>
      <c r="E100" s="672"/>
      <c r="F100" s="672"/>
      <c r="G100" s="672"/>
      <c r="H100" s="702"/>
      <c r="I100" s="702"/>
      <c r="J100" s="702"/>
      <c r="K100" s="703"/>
      <c r="L100" s="704"/>
      <c r="M100" s="705"/>
      <c r="N100" s="2034"/>
      <c r="O100" s="2034"/>
      <c r="P100" s="2035"/>
      <c r="Q100" s="2036"/>
      <c r="R100" s="2037"/>
      <c r="S100" s="2037"/>
      <c r="T100" s="2037"/>
      <c r="U100" s="2037"/>
      <c r="V100" s="2037"/>
      <c r="W100" s="2037"/>
      <c r="X100" s="2037"/>
      <c r="Y100" s="2037"/>
      <c r="Z100" s="2037"/>
      <c r="AA100" s="2037"/>
      <c r="AB100" s="2037"/>
      <c r="AC100" s="2037"/>
    </row>
    <row r="101" spans="1:29" s="1283" customFormat="1" ht="15.75" thickBot="1">
      <c r="A101" s="671"/>
      <c r="B101" s="662"/>
      <c r="C101" s="663">
        <v>100</v>
      </c>
      <c r="D101" s="663">
        <f>C101-$K34</f>
        <v>100</v>
      </c>
      <c r="E101" s="663">
        <f t="shared" ref="E101:M101" si="24">D101-$K34</f>
        <v>100</v>
      </c>
      <c r="F101" s="663">
        <f t="shared" si="24"/>
        <v>100</v>
      </c>
      <c r="G101" s="663">
        <f t="shared" si="24"/>
        <v>100</v>
      </c>
      <c r="H101" s="663">
        <f t="shared" si="24"/>
        <v>100</v>
      </c>
      <c r="I101" s="663">
        <f t="shared" si="24"/>
        <v>100</v>
      </c>
      <c r="J101" s="663">
        <f t="shared" si="24"/>
        <v>100</v>
      </c>
      <c r="K101" s="663">
        <f t="shared" si="24"/>
        <v>100</v>
      </c>
      <c r="L101" s="663">
        <f t="shared" si="24"/>
        <v>100</v>
      </c>
      <c r="M101" s="663">
        <f t="shared" si="24"/>
        <v>100</v>
      </c>
      <c r="N101" s="2034"/>
      <c r="O101" s="2034"/>
      <c r="P101" s="2035"/>
      <c r="Q101" s="2036"/>
      <c r="R101" s="2037"/>
      <c r="S101" s="2037"/>
      <c r="T101" s="2037"/>
      <c r="U101" s="2037"/>
      <c r="V101" s="2037"/>
      <c r="W101" s="2037"/>
      <c r="X101" s="2037"/>
      <c r="Y101" s="2037"/>
      <c r="Z101" s="2037"/>
      <c r="AA101" s="2037"/>
      <c r="AB101" s="2037"/>
      <c r="AC101" s="2037"/>
    </row>
    <row r="102" spans="1:29" ht="15" thickTop="1">
      <c r="A102" s="719"/>
      <c r="B102" s="1796" t="s">
        <v>2532</v>
      </c>
      <c r="C102" s="672"/>
      <c r="D102" s="672"/>
      <c r="E102" s="672"/>
      <c r="F102" s="672"/>
      <c r="G102" s="672"/>
      <c r="H102" s="702"/>
      <c r="I102" s="702"/>
      <c r="J102" s="702"/>
      <c r="K102" s="703"/>
      <c r="L102" s="704"/>
      <c r="M102" s="705"/>
      <c r="N102" s="2031"/>
      <c r="O102" s="2031"/>
      <c r="P102" s="2032"/>
      <c r="Q102" s="2025"/>
      <c r="R102" s="2013"/>
      <c r="S102" s="2013"/>
      <c r="T102" s="2013"/>
      <c r="U102" s="2013"/>
      <c r="V102" s="2013"/>
      <c r="W102" s="2013"/>
      <c r="X102" s="2013"/>
      <c r="Y102" s="2013"/>
      <c r="Z102" s="2013"/>
      <c r="AA102" s="2013"/>
      <c r="AB102" s="2013"/>
      <c r="AC102" s="2013"/>
    </row>
    <row r="103" spans="1:29" ht="15.75" thickBot="1">
      <c r="A103" s="653"/>
      <c r="B103" s="662"/>
      <c r="C103" s="663">
        <v>100</v>
      </c>
      <c r="D103" s="663">
        <f t="shared" ref="D103:M103" si="25">C103-$K35</f>
        <v>100</v>
      </c>
      <c r="E103" s="663">
        <f t="shared" si="25"/>
        <v>100</v>
      </c>
      <c r="F103" s="663">
        <f t="shared" si="25"/>
        <v>100</v>
      </c>
      <c r="G103" s="663">
        <f t="shared" si="25"/>
        <v>100</v>
      </c>
      <c r="H103" s="663">
        <f t="shared" si="25"/>
        <v>100</v>
      </c>
      <c r="I103" s="663">
        <f t="shared" si="25"/>
        <v>100</v>
      </c>
      <c r="J103" s="663">
        <f t="shared" si="25"/>
        <v>100</v>
      </c>
      <c r="K103" s="663">
        <f t="shared" si="25"/>
        <v>100</v>
      </c>
      <c r="L103" s="663">
        <f t="shared" si="25"/>
        <v>100</v>
      </c>
      <c r="M103" s="664">
        <f t="shared" si="25"/>
        <v>100</v>
      </c>
      <c r="N103" s="2033"/>
      <c r="O103" s="2033"/>
      <c r="P103" s="2032"/>
      <c r="Q103" s="2025"/>
      <c r="R103" s="2013"/>
      <c r="S103" s="2013"/>
      <c r="T103" s="2013"/>
      <c r="U103" s="2013"/>
      <c r="V103" s="2013"/>
      <c r="W103" s="2013"/>
      <c r="X103" s="2013"/>
      <c r="Y103" s="2013"/>
      <c r="Z103" s="2013"/>
      <c r="AA103" s="2013"/>
      <c r="AB103" s="2013"/>
      <c r="AC103" s="2013"/>
    </row>
    <row r="104" spans="1:29" ht="15" thickTop="1">
      <c r="A104" s="719"/>
      <c r="B104" s="657" t="s">
        <v>749</v>
      </c>
      <c r="C104" s="672"/>
      <c r="D104" s="672"/>
      <c r="E104" s="672"/>
      <c r="F104" s="672"/>
      <c r="G104" s="672"/>
      <c r="H104" s="702"/>
      <c r="I104" s="702"/>
      <c r="J104" s="702"/>
      <c r="K104" s="703"/>
      <c r="L104" s="704"/>
      <c r="M104" s="705"/>
      <c r="N104" s="2031"/>
      <c r="O104" s="2031"/>
      <c r="P104" s="2032"/>
      <c r="Q104" s="2025"/>
      <c r="R104" s="2013"/>
      <c r="S104" s="2013"/>
      <c r="T104" s="2013"/>
      <c r="U104" s="2013"/>
      <c r="V104" s="2013"/>
      <c r="W104" s="2013"/>
      <c r="X104" s="2013"/>
      <c r="Y104" s="2013"/>
      <c r="Z104" s="2013"/>
      <c r="AA104" s="2013"/>
      <c r="AB104" s="2013"/>
      <c r="AC104" s="2013"/>
    </row>
    <row r="105" spans="1:29" ht="15.75" thickBot="1">
      <c r="A105" s="653"/>
      <c r="B105" s="662"/>
      <c r="C105" s="663">
        <v>100</v>
      </c>
      <c r="D105" s="663">
        <f>C105-$K36</f>
        <v>100</v>
      </c>
      <c r="E105" s="663">
        <f>D105-$K36</f>
        <v>100</v>
      </c>
      <c r="F105" s="663">
        <f>E105-$K36</f>
        <v>100</v>
      </c>
      <c r="G105" s="663">
        <f>F105-$K36</f>
        <v>100</v>
      </c>
      <c r="H105" s="663"/>
      <c r="I105" s="663"/>
      <c r="J105" s="663"/>
      <c r="K105" s="663"/>
      <c r="L105" s="663"/>
      <c r="M105" s="664"/>
      <c r="N105" s="2033"/>
      <c r="O105" s="2033"/>
      <c r="P105" s="2032"/>
      <c r="Q105" s="2025"/>
      <c r="R105" s="2013"/>
      <c r="S105" s="2013"/>
      <c r="T105" s="2013"/>
      <c r="U105" s="2013"/>
      <c r="V105" s="2013"/>
      <c r="W105" s="2013"/>
      <c r="X105" s="2013"/>
      <c r="Y105" s="2013"/>
      <c r="Z105" s="2013"/>
      <c r="AA105" s="2013"/>
      <c r="AB105" s="2013"/>
      <c r="AC105" s="2013"/>
    </row>
    <row r="106" spans="1:29" ht="27.75" thickTop="1">
      <c r="A106" s="719"/>
      <c r="B106" s="898" t="s">
        <v>785</v>
      </c>
      <c r="C106" s="692" t="s">
        <v>573</v>
      </c>
      <c r="D106" s="692" t="s">
        <v>574</v>
      </c>
      <c r="E106" s="692" t="s">
        <v>575</v>
      </c>
      <c r="F106" s="692" t="s">
        <v>576</v>
      </c>
      <c r="G106" s="692" t="s">
        <v>577</v>
      </c>
      <c r="H106" s="658"/>
      <c r="I106" s="658"/>
      <c r="J106" s="658"/>
      <c r="K106" s="659"/>
      <c r="L106" s="660"/>
      <c r="M106" s="661"/>
      <c r="N106" s="2033"/>
      <c r="O106" s="2033"/>
      <c r="P106" s="2072"/>
      <c r="Q106" s="2073"/>
      <c r="R106" s="2013"/>
      <c r="S106" s="2013"/>
      <c r="T106" s="2013"/>
      <c r="U106" s="2013"/>
      <c r="V106" s="2013"/>
      <c r="W106" s="2013"/>
      <c r="X106" s="2013"/>
      <c r="Y106" s="2013"/>
      <c r="Z106" s="2013"/>
      <c r="AA106" s="2013"/>
      <c r="AB106" s="2013"/>
      <c r="AC106" s="2013"/>
    </row>
    <row r="107" spans="1:29" ht="15.75" thickBot="1">
      <c r="A107" s="653"/>
      <c r="B107" s="662"/>
      <c r="C107" s="696">
        <v>100</v>
      </c>
      <c r="D107" s="663">
        <f t="shared" ref="D107:M107" si="26">C107-$K37</f>
        <v>100</v>
      </c>
      <c r="E107" s="663">
        <f t="shared" si="26"/>
        <v>100</v>
      </c>
      <c r="F107" s="663">
        <f t="shared" si="26"/>
        <v>100</v>
      </c>
      <c r="G107" s="663">
        <f t="shared" si="26"/>
        <v>100</v>
      </c>
      <c r="H107" s="663">
        <f t="shared" si="26"/>
        <v>100</v>
      </c>
      <c r="I107" s="663">
        <f t="shared" si="26"/>
        <v>100</v>
      </c>
      <c r="J107" s="663">
        <f t="shared" si="26"/>
        <v>100</v>
      </c>
      <c r="K107" s="663">
        <f t="shared" si="26"/>
        <v>100</v>
      </c>
      <c r="L107" s="663">
        <f t="shared" si="26"/>
        <v>100</v>
      </c>
      <c r="M107" s="663">
        <f t="shared" si="26"/>
        <v>100</v>
      </c>
      <c r="N107" s="2033"/>
      <c r="O107" s="2033"/>
      <c r="P107" s="2032"/>
      <c r="Q107" s="2025"/>
      <c r="R107" s="2013"/>
      <c r="S107" s="2013"/>
      <c r="T107" s="2013"/>
      <c r="U107" s="2013"/>
      <c r="V107" s="2013"/>
      <c r="W107" s="2013"/>
      <c r="X107" s="2013"/>
      <c r="Y107" s="2013"/>
      <c r="Z107" s="2013"/>
      <c r="AA107" s="2013"/>
      <c r="AB107" s="2013"/>
      <c r="AC107" s="2013"/>
    </row>
    <row r="108" spans="1:29" s="1283" customFormat="1" ht="15" thickTop="1">
      <c r="A108" s="712"/>
      <c r="B108" s="657">
        <f>B38</f>
        <v>111</v>
      </c>
      <c r="C108" s="672"/>
      <c r="D108" s="672"/>
      <c r="E108" s="672"/>
      <c r="F108" s="672"/>
      <c r="G108" s="672"/>
      <c r="H108" s="673"/>
      <c r="I108" s="673"/>
      <c r="J108" s="673"/>
      <c r="K108" s="673"/>
      <c r="L108" s="674"/>
      <c r="M108" s="675"/>
      <c r="N108" s="2034"/>
      <c r="O108" s="2034"/>
      <c r="P108" s="2035"/>
      <c r="Q108" s="2036"/>
      <c r="R108" s="2037"/>
      <c r="S108" s="2037"/>
      <c r="T108" s="2037"/>
      <c r="U108" s="2037"/>
      <c r="V108" s="2037"/>
      <c r="W108" s="2037"/>
      <c r="X108" s="2037"/>
      <c r="Y108" s="2037"/>
      <c r="Z108" s="2037"/>
      <c r="AA108" s="2037"/>
      <c r="AB108" s="2037"/>
      <c r="AC108" s="2037"/>
    </row>
    <row r="109" spans="1:29" s="1283" customFormat="1" ht="15.75" thickBot="1">
      <c r="A109" s="671"/>
      <c r="B109" s="654"/>
      <c r="C109" s="676"/>
      <c r="D109" s="655"/>
      <c r="E109" s="655"/>
      <c r="F109" s="655"/>
      <c r="G109" s="676"/>
      <c r="H109" s="677"/>
      <c r="I109" s="677"/>
      <c r="J109" s="677"/>
      <c r="K109" s="677"/>
      <c r="L109" s="677"/>
      <c r="M109" s="678"/>
      <c r="N109" s="2034"/>
      <c r="O109" s="2034"/>
      <c r="P109" s="2035"/>
      <c r="Q109" s="2036"/>
      <c r="R109" s="2037"/>
      <c r="S109" s="2037"/>
      <c r="T109" s="2037"/>
      <c r="U109" s="2037"/>
      <c r="V109" s="2037"/>
      <c r="W109" s="2037"/>
      <c r="X109" s="2037"/>
      <c r="Y109" s="2037"/>
      <c r="Z109" s="2037"/>
      <c r="AA109" s="2037"/>
      <c r="AB109" s="2037"/>
      <c r="AC109" s="2037"/>
    </row>
    <row r="110" spans="1:29" ht="15" thickTop="1">
      <c r="A110" s="719"/>
      <c r="B110" s="657">
        <f>B39</f>
        <v>111</v>
      </c>
      <c r="C110" s="672"/>
      <c r="D110" s="672"/>
      <c r="E110" s="672"/>
      <c r="F110" s="672"/>
      <c r="G110" s="672"/>
      <c r="H110" s="673"/>
      <c r="I110" s="673"/>
      <c r="J110" s="673"/>
      <c r="K110" s="673"/>
      <c r="L110" s="674"/>
      <c r="M110" s="675"/>
      <c r="N110" s="2031"/>
      <c r="O110" s="2031"/>
      <c r="P110" s="2032"/>
      <c r="Q110" s="2025"/>
      <c r="R110" s="2013"/>
      <c r="S110" s="2013"/>
      <c r="T110" s="2013"/>
      <c r="U110" s="2013"/>
      <c r="V110" s="2013"/>
      <c r="W110" s="2013"/>
      <c r="X110" s="2013"/>
      <c r="Y110" s="2013"/>
      <c r="Z110" s="2013"/>
      <c r="AA110" s="2013"/>
      <c r="AB110" s="2013"/>
      <c r="AC110" s="2013"/>
    </row>
    <row r="111" spans="1:29" ht="15.75" thickBot="1">
      <c r="A111" s="653"/>
      <c r="B111" s="662"/>
      <c r="C111" s="676"/>
      <c r="D111" s="655"/>
      <c r="E111" s="655"/>
      <c r="F111" s="655"/>
      <c r="G111" s="676"/>
      <c r="H111" s="677"/>
      <c r="I111" s="677"/>
      <c r="J111" s="677"/>
      <c r="K111" s="677"/>
      <c r="L111" s="677"/>
      <c r="M111" s="678"/>
      <c r="N111" s="2033"/>
      <c r="O111" s="2033"/>
      <c r="P111" s="2032"/>
      <c r="Q111" s="2025"/>
      <c r="R111" s="2013"/>
      <c r="S111" s="2013"/>
      <c r="T111" s="2013"/>
      <c r="U111" s="2013"/>
      <c r="V111" s="2013"/>
      <c r="W111" s="2013"/>
      <c r="X111" s="2013"/>
      <c r="Y111" s="2013"/>
      <c r="Z111" s="2013"/>
      <c r="AA111" s="2013"/>
      <c r="AB111" s="2013"/>
      <c r="AC111" s="2013"/>
    </row>
    <row r="112" spans="1:29" ht="15" thickTop="1">
      <c r="A112" s="719"/>
      <c r="B112" s="665">
        <f>B40</f>
        <v>111</v>
      </c>
      <c r="C112" s="645"/>
      <c r="D112" s="645"/>
      <c r="E112" s="645"/>
      <c r="F112" s="645"/>
      <c r="G112" s="706"/>
      <c r="H112" s="706"/>
      <c r="I112" s="706"/>
      <c r="J112" s="706"/>
      <c r="K112" s="645"/>
      <c r="L112" s="646"/>
      <c r="M112" s="709"/>
      <c r="N112" s="2031"/>
      <c r="O112" s="2031"/>
      <c r="P112" s="2032"/>
      <c r="Q112" s="2025"/>
      <c r="R112" s="2013"/>
      <c r="S112" s="2013"/>
      <c r="T112" s="2013"/>
      <c r="U112" s="2013"/>
      <c r="V112" s="2013"/>
      <c r="W112" s="2013"/>
      <c r="X112" s="2013"/>
      <c r="Y112" s="2013"/>
      <c r="Z112" s="2013"/>
      <c r="AA112" s="2013"/>
      <c r="AB112" s="2013"/>
      <c r="AC112" s="2013"/>
    </row>
    <row r="113" spans="1:29" ht="15.75" thickBot="1">
      <c r="A113" s="874"/>
      <c r="B113" s="683"/>
      <c r="C113" s="684"/>
      <c r="D113" s="684"/>
      <c r="E113" s="684"/>
      <c r="F113" s="684"/>
      <c r="G113" s="710"/>
      <c r="H113" s="710"/>
      <c r="I113" s="710"/>
      <c r="J113" s="710"/>
      <c r="K113" s="710"/>
      <c r="L113" s="710"/>
      <c r="M113" s="711"/>
      <c r="N113" s="2033"/>
      <c r="O113" s="2033"/>
      <c r="P113" s="2032"/>
      <c r="Q113" s="2025"/>
      <c r="R113" s="2013"/>
      <c r="S113" s="2013"/>
      <c r="T113" s="2013"/>
      <c r="U113" s="2013"/>
      <c r="V113" s="2013"/>
      <c r="W113" s="2013"/>
      <c r="X113" s="2013"/>
      <c r="Y113" s="2013"/>
      <c r="Z113" s="2013"/>
      <c r="AA113" s="2013"/>
      <c r="AB113" s="2013"/>
      <c r="AC113" s="2013"/>
    </row>
    <row r="114" spans="1:29">
      <c r="A114" s="2046"/>
      <c r="B114" s="2046"/>
      <c r="C114" s="2046"/>
      <c r="D114" s="2046"/>
      <c r="E114" s="2046"/>
      <c r="F114" s="2046"/>
      <c r="G114" s="2046"/>
      <c r="H114" s="2046"/>
      <c r="I114" s="2046"/>
      <c r="J114" s="2046"/>
      <c r="K114" s="2047"/>
      <c r="L114" s="2048"/>
      <c r="M114" s="2046"/>
      <c r="N114" s="2046"/>
      <c r="O114" s="2046"/>
      <c r="P114" s="2046"/>
      <c r="Q114" s="2046"/>
      <c r="R114" s="2046"/>
      <c r="S114" s="2046"/>
      <c r="T114" s="2046"/>
      <c r="U114" s="2046"/>
      <c r="V114" s="2046"/>
      <c r="W114" s="2046"/>
      <c r="X114" s="2046"/>
      <c r="Y114" s="2046"/>
      <c r="Z114" s="2046"/>
      <c r="AA114" s="2046"/>
      <c r="AB114" s="2046"/>
      <c r="AC114" s="2046"/>
    </row>
    <row r="115" spans="1:29">
      <c r="A115" s="2046"/>
      <c r="B115" s="2046"/>
      <c r="C115" s="2046"/>
      <c r="D115" s="2046"/>
      <c r="E115" s="2046"/>
      <c r="F115" s="2046"/>
      <c r="G115" s="2046"/>
      <c r="H115" s="2046"/>
      <c r="I115" s="2046"/>
      <c r="J115" s="2046"/>
      <c r="K115" s="2047"/>
      <c r="L115" s="2048"/>
      <c r="M115" s="2046"/>
      <c r="N115" s="2046"/>
      <c r="O115" s="2046"/>
      <c r="P115" s="2046"/>
      <c r="Q115" s="2046"/>
      <c r="R115" s="2046"/>
      <c r="S115" s="2046"/>
      <c r="T115" s="2046"/>
      <c r="U115" s="2046"/>
      <c r="V115" s="2046"/>
      <c r="W115" s="2046"/>
      <c r="X115" s="2046"/>
      <c r="Y115" s="2046"/>
      <c r="Z115" s="2046"/>
      <c r="AA115" s="2046"/>
      <c r="AB115" s="2046"/>
      <c r="AC115" s="2046"/>
    </row>
    <row r="116" spans="1:29">
      <c r="A116" s="2046"/>
      <c r="B116" s="2046"/>
      <c r="C116" s="2046"/>
      <c r="D116" s="2046"/>
      <c r="E116" s="2046"/>
      <c r="F116" s="2046"/>
      <c r="G116" s="2046"/>
      <c r="H116" s="2046"/>
      <c r="I116" s="2046"/>
      <c r="J116" s="2046"/>
      <c r="K116" s="2047"/>
      <c r="L116" s="2048"/>
      <c r="M116" s="2046"/>
      <c r="N116" s="2046"/>
      <c r="O116" s="2046"/>
      <c r="P116" s="2046"/>
      <c r="Q116" s="2046"/>
      <c r="R116" s="2046"/>
      <c r="S116" s="2046"/>
      <c r="T116" s="2046"/>
      <c r="U116" s="2046"/>
      <c r="V116" s="2046"/>
      <c r="W116" s="2046"/>
      <c r="X116" s="2046"/>
      <c r="Y116" s="2046"/>
      <c r="Z116" s="2046"/>
      <c r="AA116" s="2046"/>
      <c r="AB116" s="2046"/>
      <c r="AC116" s="2046"/>
    </row>
    <row r="117" spans="1:29">
      <c r="A117" s="2046"/>
      <c r="B117" s="2046"/>
      <c r="C117" s="2046"/>
      <c r="D117" s="2046"/>
      <c r="E117" s="2046"/>
      <c r="F117" s="2046"/>
      <c r="G117" s="2046"/>
      <c r="H117" s="2046"/>
      <c r="I117" s="2046"/>
      <c r="J117" s="2046"/>
      <c r="K117" s="2047"/>
      <c r="L117" s="2048"/>
      <c r="M117" s="2046"/>
      <c r="N117" s="2046"/>
      <c r="O117" s="2046"/>
      <c r="P117" s="2046"/>
      <c r="Q117" s="2046"/>
      <c r="R117" s="2046"/>
      <c r="S117" s="2046"/>
      <c r="T117" s="2046"/>
      <c r="U117" s="2046"/>
      <c r="V117" s="2046"/>
      <c r="W117" s="2046"/>
      <c r="X117" s="2046"/>
      <c r="Y117" s="2046"/>
      <c r="Z117" s="2046"/>
      <c r="AA117" s="2046"/>
      <c r="AB117" s="2046"/>
      <c r="AC117" s="2046"/>
    </row>
    <row r="118" spans="1:29">
      <c r="A118" s="2046"/>
      <c r="B118" s="2046"/>
      <c r="C118" s="2046"/>
      <c r="D118" s="2046"/>
      <c r="E118" s="2046"/>
      <c r="F118" s="2046"/>
      <c r="G118" s="2046"/>
      <c r="H118" s="2046"/>
      <c r="I118" s="2046"/>
      <c r="J118" s="2046"/>
      <c r="K118" s="2047"/>
      <c r="L118" s="2048"/>
      <c r="M118" s="2046"/>
      <c r="N118" s="2046"/>
      <c r="O118" s="2046"/>
      <c r="P118" s="2046"/>
      <c r="Q118" s="2046"/>
      <c r="R118" s="2046"/>
      <c r="S118" s="2046"/>
      <c r="T118" s="2046"/>
      <c r="U118" s="2046"/>
      <c r="V118" s="2046"/>
      <c r="W118" s="2046"/>
      <c r="X118" s="2046"/>
      <c r="Y118" s="2046"/>
      <c r="Z118" s="2046"/>
      <c r="AA118" s="2046"/>
      <c r="AB118" s="2046"/>
      <c r="AC118" s="2046"/>
    </row>
    <row r="119" spans="1:29">
      <c r="A119" s="2046"/>
      <c r="B119" s="2046"/>
      <c r="C119" s="2046"/>
      <c r="D119" s="2046"/>
      <c r="E119" s="2046"/>
      <c r="F119" s="2046"/>
      <c r="G119" s="2046"/>
      <c r="H119" s="2046"/>
      <c r="I119" s="2046"/>
      <c r="J119" s="2046"/>
      <c r="K119" s="2047"/>
      <c r="L119" s="2048"/>
      <c r="M119" s="2046"/>
      <c r="N119" s="2046"/>
      <c r="O119" s="2046"/>
      <c r="P119" s="2046"/>
      <c r="Q119" s="2046"/>
      <c r="R119" s="2046"/>
      <c r="S119" s="2046"/>
      <c r="T119" s="2046"/>
      <c r="U119" s="2046"/>
      <c r="V119" s="2046"/>
      <c r="W119" s="2046"/>
      <c r="X119" s="2046"/>
      <c r="Y119" s="2046"/>
      <c r="Z119" s="2046"/>
      <c r="AA119" s="2046"/>
      <c r="AB119" s="2046"/>
      <c r="AC119" s="2046"/>
    </row>
    <row r="120" spans="1:29">
      <c r="A120" s="2046"/>
      <c r="B120" s="2046"/>
      <c r="C120" s="2046"/>
      <c r="D120" s="2046"/>
      <c r="E120" s="2046"/>
      <c r="F120" s="2046"/>
      <c r="G120" s="2046"/>
      <c r="H120" s="2046"/>
      <c r="I120" s="2046"/>
      <c r="J120" s="2046"/>
      <c r="K120" s="2047"/>
      <c r="L120" s="2048"/>
      <c r="M120" s="2046"/>
      <c r="N120" s="2046"/>
      <c r="O120" s="2046"/>
      <c r="P120" s="2046"/>
      <c r="Q120" s="2046"/>
      <c r="R120" s="2046"/>
      <c r="S120" s="2046"/>
      <c r="T120" s="2046"/>
      <c r="U120" s="2046"/>
      <c r="V120" s="2046"/>
      <c r="W120" s="2046"/>
      <c r="X120" s="2046"/>
      <c r="Y120" s="2046"/>
      <c r="Z120" s="2046"/>
      <c r="AA120" s="2046"/>
      <c r="AB120" s="2046"/>
      <c r="AC120" s="2046"/>
    </row>
    <row r="121" spans="1:29">
      <c r="A121" s="2046"/>
      <c r="B121" s="2046"/>
      <c r="C121" s="2046"/>
      <c r="D121" s="2046"/>
      <c r="E121" s="2046"/>
      <c r="F121" s="2046"/>
      <c r="G121" s="2046"/>
      <c r="H121" s="2046"/>
      <c r="I121" s="2046"/>
      <c r="J121" s="2046"/>
      <c r="K121" s="2047"/>
      <c r="L121" s="2048"/>
      <c r="M121" s="2046"/>
      <c r="N121" s="2046"/>
      <c r="O121" s="2046"/>
      <c r="P121" s="2046"/>
      <c r="Q121" s="2046"/>
      <c r="R121" s="2046"/>
      <c r="S121" s="2046"/>
      <c r="T121" s="2046"/>
      <c r="U121" s="2046"/>
      <c r="V121" s="2046"/>
      <c r="W121" s="2046"/>
      <c r="X121" s="2046"/>
      <c r="Y121" s="2046"/>
      <c r="Z121" s="2046"/>
      <c r="AA121" s="2046"/>
      <c r="AB121" s="2046"/>
      <c r="AC121" s="2046"/>
    </row>
    <row r="122" spans="1:29">
      <c r="A122" s="2046"/>
      <c r="B122" s="2046"/>
      <c r="C122" s="2046"/>
      <c r="D122" s="2046"/>
      <c r="E122" s="2046"/>
      <c r="F122" s="2046"/>
      <c r="G122" s="2046"/>
      <c r="H122" s="2046"/>
      <c r="I122" s="2046"/>
      <c r="J122" s="2046"/>
      <c r="K122" s="2047"/>
      <c r="L122" s="2048"/>
      <c r="M122" s="2046"/>
      <c r="N122" s="2046"/>
      <c r="O122" s="2046"/>
      <c r="P122" s="2046"/>
      <c r="Q122" s="2046"/>
      <c r="R122" s="2046"/>
      <c r="S122" s="2046"/>
      <c r="T122" s="2046"/>
      <c r="U122" s="2046"/>
      <c r="V122" s="2046"/>
      <c r="W122" s="2046"/>
      <c r="X122" s="2046"/>
      <c r="Y122" s="2046"/>
      <c r="Z122" s="2046"/>
      <c r="AA122" s="2046"/>
      <c r="AB122" s="2046"/>
      <c r="AC122" s="2046"/>
    </row>
    <row r="123" spans="1:29">
      <c r="A123" s="2046"/>
      <c r="B123" s="2046"/>
      <c r="C123" s="2046"/>
      <c r="D123" s="2046"/>
      <c r="E123" s="2046"/>
      <c r="F123" s="2046"/>
      <c r="G123" s="2046"/>
      <c r="H123" s="2046"/>
      <c r="I123" s="2046"/>
      <c r="J123" s="2046"/>
      <c r="K123" s="2047"/>
      <c r="L123" s="2048"/>
      <c r="M123" s="2046"/>
      <c r="N123" s="2046"/>
      <c r="O123" s="2046"/>
      <c r="P123" s="2046"/>
      <c r="Q123" s="2046"/>
      <c r="R123" s="2046"/>
      <c r="S123" s="2046"/>
      <c r="T123" s="2046"/>
      <c r="U123" s="2046"/>
      <c r="V123" s="2046"/>
      <c r="W123" s="2046"/>
      <c r="X123" s="2046"/>
      <c r="Y123" s="2046"/>
      <c r="Z123" s="2046"/>
      <c r="AA123" s="2046"/>
      <c r="AB123" s="2046"/>
      <c r="AC123" s="2046"/>
    </row>
    <row r="124" spans="1:29">
      <c r="A124" s="2046"/>
      <c r="B124" s="2046"/>
      <c r="C124" s="2046"/>
      <c r="D124" s="2046"/>
      <c r="E124" s="2046"/>
      <c r="F124" s="2046"/>
      <c r="G124" s="2046"/>
      <c r="H124" s="2046"/>
      <c r="I124" s="2046"/>
      <c r="J124" s="2046"/>
      <c r="K124" s="2047"/>
      <c r="L124" s="2048"/>
      <c r="M124" s="2046"/>
      <c r="N124" s="2046"/>
      <c r="O124" s="2046"/>
      <c r="P124" s="2046"/>
      <c r="Q124" s="2046"/>
      <c r="R124" s="2046"/>
      <c r="S124" s="2046"/>
      <c r="T124" s="2046"/>
      <c r="U124" s="2046"/>
      <c r="V124" s="2046"/>
      <c r="W124" s="2046"/>
      <c r="X124" s="2046"/>
      <c r="Y124" s="2046"/>
      <c r="Z124" s="2046"/>
      <c r="AA124" s="2046"/>
      <c r="AB124" s="2046"/>
      <c r="AC124" s="2046"/>
    </row>
    <row r="125" spans="1:29">
      <c r="A125" s="2046"/>
      <c r="B125" s="2046"/>
      <c r="C125" s="2046"/>
      <c r="D125" s="2046"/>
      <c r="E125" s="2046"/>
      <c r="F125" s="2046"/>
      <c r="G125" s="2046"/>
      <c r="H125" s="2046"/>
      <c r="I125" s="2046"/>
      <c r="J125" s="2046"/>
      <c r="K125" s="2047"/>
      <c r="L125" s="2048"/>
      <c r="M125" s="2046"/>
      <c r="N125" s="2046"/>
      <c r="O125" s="2046"/>
      <c r="P125" s="2046"/>
      <c r="Q125" s="2046"/>
      <c r="R125" s="2046"/>
      <c r="S125" s="2046"/>
      <c r="T125" s="2046"/>
      <c r="U125" s="2046"/>
      <c r="V125" s="2046"/>
      <c r="W125" s="2046"/>
      <c r="X125" s="2046"/>
      <c r="Y125" s="2046"/>
      <c r="Z125" s="2046"/>
      <c r="AA125" s="2046"/>
      <c r="AB125" s="2046"/>
      <c r="AC125" s="2046"/>
    </row>
    <row r="126" spans="1:29">
      <c r="A126" s="2046"/>
      <c r="B126" s="2046"/>
      <c r="C126" s="2046"/>
      <c r="D126" s="2046"/>
      <c r="E126" s="2046"/>
      <c r="F126" s="2046"/>
      <c r="G126" s="2046"/>
      <c r="H126" s="2046"/>
      <c r="I126" s="2046"/>
      <c r="J126" s="2046"/>
      <c r="K126" s="2047"/>
      <c r="L126" s="2048"/>
      <c r="M126" s="2046"/>
      <c r="N126" s="2046"/>
      <c r="O126" s="2046"/>
      <c r="P126" s="2046"/>
      <c r="Q126" s="2046"/>
      <c r="R126" s="2046"/>
      <c r="S126" s="2046"/>
      <c r="T126" s="2046"/>
      <c r="U126" s="2046"/>
      <c r="V126" s="2046"/>
      <c r="W126" s="2046"/>
      <c r="X126" s="2046"/>
      <c r="Y126" s="2046"/>
      <c r="Z126" s="2046"/>
      <c r="AA126" s="2046"/>
      <c r="AB126" s="2046"/>
      <c r="AC126" s="2046"/>
    </row>
    <row r="127" spans="1:29">
      <c r="A127" s="2046"/>
      <c r="B127" s="2046"/>
      <c r="C127" s="2046"/>
      <c r="D127" s="2046"/>
      <c r="E127" s="2046"/>
      <c r="F127" s="2046"/>
      <c r="G127" s="2046"/>
      <c r="H127" s="2046"/>
      <c r="I127" s="2046"/>
      <c r="J127" s="2046"/>
      <c r="K127" s="2047"/>
      <c r="L127" s="2048"/>
      <c r="M127" s="2046"/>
      <c r="N127" s="2046"/>
      <c r="O127" s="2046"/>
      <c r="P127" s="2046"/>
      <c r="Q127" s="2046"/>
      <c r="R127" s="2046"/>
      <c r="S127" s="2046"/>
      <c r="T127" s="2046"/>
      <c r="U127" s="2046"/>
      <c r="V127" s="2046"/>
      <c r="W127" s="2046"/>
      <c r="X127" s="2046"/>
      <c r="Y127" s="2046"/>
      <c r="Z127" s="2046"/>
      <c r="AA127" s="2046"/>
      <c r="AB127" s="2046"/>
      <c r="AC127" s="2046"/>
    </row>
    <row r="128" spans="1:29">
      <c r="A128" s="2046"/>
      <c r="B128" s="2046"/>
      <c r="C128" s="2046"/>
      <c r="D128" s="2046"/>
      <c r="E128" s="2046"/>
      <c r="F128" s="2046"/>
      <c r="G128" s="2046"/>
      <c r="H128" s="2046"/>
      <c r="I128" s="2046"/>
      <c r="J128" s="2046"/>
      <c r="K128" s="2047"/>
      <c r="L128" s="2048"/>
      <c r="M128" s="2046"/>
      <c r="N128" s="2046"/>
      <c r="O128" s="2046"/>
      <c r="P128" s="2046"/>
      <c r="Q128" s="2046"/>
      <c r="R128" s="2046"/>
      <c r="S128" s="2046"/>
      <c r="T128" s="2046"/>
      <c r="U128" s="2046"/>
      <c r="V128" s="2046"/>
      <c r="W128" s="2046"/>
      <c r="X128" s="2046"/>
      <c r="Y128" s="2046"/>
      <c r="Z128" s="2046"/>
      <c r="AA128" s="2046"/>
      <c r="AB128" s="2046"/>
      <c r="AC128" s="2046"/>
    </row>
    <row r="129" spans="1:29">
      <c r="A129" s="2046"/>
      <c r="B129" s="2046"/>
      <c r="C129" s="2046"/>
      <c r="D129" s="2046"/>
      <c r="E129" s="2046"/>
      <c r="F129" s="2046"/>
      <c r="G129" s="2046"/>
      <c r="H129" s="2046"/>
      <c r="I129" s="2046"/>
      <c r="J129" s="2046"/>
      <c r="K129" s="2047"/>
      <c r="L129" s="2048"/>
      <c r="M129" s="2046"/>
      <c r="N129" s="2046"/>
      <c r="O129" s="2046"/>
      <c r="P129" s="2046"/>
      <c r="Q129" s="2046"/>
      <c r="R129" s="2046"/>
      <c r="S129" s="2046"/>
      <c r="T129" s="2046"/>
      <c r="U129" s="2046"/>
      <c r="V129" s="2046"/>
      <c r="W129" s="2046"/>
      <c r="X129" s="2046"/>
      <c r="Y129" s="2046"/>
      <c r="Z129" s="2046"/>
      <c r="AA129" s="2046"/>
      <c r="AB129" s="2046"/>
      <c r="AC129" s="2046"/>
    </row>
    <row r="130" spans="1:29">
      <c r="A130" s="2046"/>
      <c r="B130" s="2046"/>
      <c r="C130" s="2046"/>
      <c r="D130" s="2046"/>
      <c r="E130" s="2046"/>
      <c r="F130" s="2046"/>
      <c r="G130" s="2046"/>
      <c r="H130" s="2046"/>
      <c r="I130" s="2046"/>
      <c r="J130" s="2046"/>
      <c r="K130" s="2047"/>
      <c r="L130" s="2048"/>
      <c r="M130" s="2046"/>
      <c r="N130" s="2046"/>
      <c r="O130" s="2046"/>
      <c r="P130" s="2046"/>
      <c r="Q130" s="2046"/>
      <c r="R130" s="2046"/>
      <c r="S130" s="2046"/>
      <c r="T130" s="2046"/>
      <c r="U130" s="2046"/>
      <c r="V130" s="2046"/>
      <c r="W130" s="2046"/>
      <c r="X130" s="2046"/>
      <c r="Y130" s="2046"/>
      <c r="Z130" s="2046"/>
      <c r="AA130" s="2046"/>
      <c r="AB130" s="2046"/>
      <c r="AC130" s="2046"/>
    </row>
    <row r="131" spans="1:29">
      <c r="A131" s="2046"/>
      <c r="B131" s="2046"/>
      <c r="C131" s="2046"/>
      <c r="D131" s="2046"/>
      <c r="E131" s="2046"/>
      <c r="F131" s="2046"/>
      <c r="G131" s="2046"/>
      <c r="H131" s="2046"/>
      <c r="I131" s="2046"/>
      <c r="J131" s="2046"/>
      <c r="K131" s="2047"/>
      <c r="L131" s="2048"/>
      <c r="M131" s="2046"/>
      <c r="N131" s="2046"/>
      <c r="O131" s="2046"/>
      <c r="P131" s="2046"/>
      <c r="Q131" s="2046"/>
      <c r="R131" s="2046"/>
      <c r="S131" s="2046"/>
      <c r="T131" s="2046"/>
      <c r="U131" s="2046"/>
      <c r="V131" s="2046"/>
      <c r="W131" s="2046"/>
      <c r="X131" s="2046"/>
      <c r="Y131" s="2046"/>
      <c r="Z131" s="2046"/>
      <c r="AA131" s="2046"/>
      <c r="AB131" s="2046"/>
      <c r="AC131" s="2046"/>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4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4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4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4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4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4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4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row r="236" spans="1:29">
      <c r="N236" s="2046"/>
      <c r="O236" s="2046"/>
      <c r="P236" s="2046"/>
      <c r="Q236" s="2046"/>
      <c r="R236" s="2046"/>
      <c r="S236" s="2046"/>
      <c r="T236" s="2046"/>
      <c r="U236" s="2046"/>
      <c r="V236" s="2046"/>
      <c r="W236" s="2046"/>
      <c r="X236" s="2046"/>
      <c r="Y236" s="2046"/>
      <c r="Z236" s="2046"/>
      <c r="AA236" s="2046"/>
      <c r="AB236" s="2046"/>
      <c r="AC236" s="2046"/>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87" priority="20" stopIfTrue="1" operator="containsText" text="超过">
      <formula>NOT(ISERROR(SEARCH("超过",F46)))</formula>
    </cfRule>
  </conditionalFormatting>
  <conditionalFormatting sqref="H48">
    <cfRule type="containsText" dxfId="86" priority="19" stopIfTrue="1" operator="containsText" text="超过">
      <formula>NOT(ISERROR(SEARCH("超过",H48)))</formula>
    </cfRule>
  </conditionalFormatting>
  <conditionalFormatting sqref="F48">
    <cfRule type="containsText" dxfId="85" priority="18" stopIfTrue="1" operator="containsText" text="超过">
      <formula>NOT(ISERROR(SEARCH("超过",F48)))</formula>
    </cfRule>
  </conditionalFormatting>
  <conditionalFormatting sqref="F47 H47">
    <cfRule type="containsText" dxfId="84" priority="17" stopIfTrue="1" operator="containsText" text="超过">
      <formula>NOT(ISERROR(SEARCH("超过",F47)))</formula>
    </cfRule>
  </conditionalFormatting>
  <conditionalFormatting sqref="E46">
    <cfRule type="expression" dxfId="83" priority="16" stopIfTrue="1">
      <formula>$F$46="超过30%"</formula>
    </cfRule>
  </conditionalFormatting>
  <conditionalFormatting sqref="E47">
    <cfRule type="expression" dxfId="82" priority="15" stopIfTrue="1">
      <formula>$F$47="超过20%"</formula>
    </cfRule>
  </conditionalFormatting>
  <conditionalFormatting sqref="E48">
    <cfRule type="expression" dxfId="81" priority="14" stopIfTrue="1">
      <formula>$F$48="超过30%"</formula>
    </cfRule>
  </conditionalFormatting>
  <conditionalFormatting sqref="G48">
    <cfRule type="expression" dxfId="80" priority="13" stopIfTrue="1">
      <formula>$H$48="超过30%"</formula>
    </cfRule>
  </conditionalFormatting>
  <conditionalFormatting sqref="G46">
    <cfRule type="expression" dxfId="79" priority="12" stopIfTrue="1">
      <formula>$H$46="超过30%"</formula>
    </cfRule>
  </conditionalFormatting>
  <conditionalFormatting sqref="G47">
    <cfRule type="expression" dxfId="78" priority="11" stopIfTrue="1">
      <formula>$H$47="超过20%"</formula>
    </cfRule>
  </conditionalFormatting>
  <conditionalFormatting sqref="J46">
    <cfRule type="containsText" dxfId="77" priority="10" stopIfTrue="1" operator="containsText" text="超过">
      <formula>NOT(ISERROR(SEARCH("超过",J46)))</formula>
    </cfRule>
  </conditionalFormatting>
  <conditionalFormatting sqref="J48">
    <cfRule type="containsText" dxfId="76" priority="9" stopIfTrue="1" operator="containsText" text="超过">
      <formula>NOT(ISERROR(SEARCH("超过",J48)))</formula>
    </cfRule>
  </conditionalFormatting>
  <conditionalFormatting sqref="J47">
    <cfRule type="containsText" dxfId="75" priority="8" stopIfTrue="1" operator="containsText" text="超过">
      <formula>NOT(ISERROR(SEARCH("超过",J47)))</formula>
    </cfRule>
  </conditionalFormatting>
  <conditionalFormatting sqref="I46">
    <cfRule type="expression" dxfId="74" priority="7" stopIfTrue="1">
      <formula>$J$46="超过30%"</formula>
    </cfRule>
  </conditionalFormatting>
  <conditionalFormatting sqref="I47">
    <cfRule type="expression" dxfId="73" priority="6" stopIfTrue="1">
      <formula>$J$47="超过20%"</formula>
    </cfRule>
  </conditionalFormatting>
  <conditionalFormatting sqref="I48">
    <cfRule type="expression" dxfId="72" priority="5" stopIfTrue="1">
      <formula>$J$48="超过30%"</formula>
    </cfRule>
  </conditionalFormatting>
  <conditionalFormatting sqref="F42">
    <cfRule type="expression" dxfId="71" priority="4">
      <formula>$D$42="简单平均"</formula>
    </cfRule>
  </conditionalFormatting>
  <conditionalFormatting sqref="H42">
    <cfRule type="expression" dxfId="70" priority="3">
      <formula>$D$42="简单平均"</formula>
    </cfRule>
  </conditionalFormatting>
  <conditionalFormatting sqref="J42">
    <cfRule type="expression" dxfId="69" priority="2">
      <formula>$D$42="简单平均"</formula>
    </cfRule>
  </conditionalFormatting>
  <conditionalFormatting sqref="F7:F40 H7:H40 J7:J40">
    <cfRule type="cellIs" dxfId="6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C24" sqref="C24:C524"/>
    </sheetView>
  </sheetViews>
  <sheetFormatPr defaultColWidth="9" defaultRowHeight="14.25"/>
  <cols>
    <col min="1" max="1" width="10.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904"/>
      <c r="C1" s="490" t="s">
        <v>786</v>
      </c>
      <c r="D1" s="830"/>
      <c r="E1" s="492"/>
      <c r="F1" s="2510"/>
      <c r="G1" s="1519" t="s">
        <v>787</v>
      </c>
      <c r="H1" s="492"/>
      <c r="I1" s="492"/>
      <c r="J1" s="492"/>
      <c r="K1" s="493"/>
      <c r="L1" s="3195"/>
      <c r="M1" s="3196"/>
      <c r="N1" s="3196"/>
      <c r="O1" s="3196"/>
      <c r="P1" s="2000"/>
      <c r="Q1" s="2000"/>
      <c r="R1" s="2000"/>
      <c r="S1" s="2000"/>
      <c r="T1" s="2000"/>
      <c r="U1" s="2000"/>
      <c r="V1" s="2000"/>
      <c r="W1" s="2000"/>
      <c r="X1" s="2000"/>
      <c r="Y1" s="2000"/>
      <c r="Z1" s="2000"/>
      <c r="AA1" s="2000"/>
      <c r="AB1" s="2000"/>
      <c r="AC1" s="3197"/>
    </row>
    <row r="2" spans="1:29" s="1280" customFormat="1" ht="28.5" customHeight="1">
      <c r="A2" s="409" t="s">
        <v>788</v>
      </c>
      <c r="B2" s="831" t="e">
        <f>IF(B37="元/平方米",ROUND(B3*D3/10000,0),ROUND(F3*C39/10000,0))</f>
        <v>#DIV/0!</v>
      </c>
      <c r="C2" s="1995"/>
      <c r="D2" s="1995"/>
      <c r="E2" s="1996"/>
      <c r="F2" s="1997"/>
      <c r="G2" s="1996"/>
      <c r="H2" s="1996"/>
      <c r="I2" s="1996"/>
      <c r="J2" s="1996"/>
      <c r="K2" s="1998"/>
      <c r="L2" s="1999"/>
      <c r="M2" s="2000"/>
      <c r="N2" s="2000"/>
      <c r="O2" s="2000"/>
      <c r="P2" s="2000"/>
      <c r="Q2" s="2000"/>
      <c r="R2" s="2000"/>
      <c r="S2" s="2000"/>
      <c r="T2" s="2000"/>
      <c r="U2" s="2000"/>
      <c r="V2" s="2000"/>
      <c r="W2" s="2000"/>
      <c r="X2" s="2000"/>
      <c r="Y2" s="2000"/>
      <c r="Z2" s="2000"/>
      <c r="AA2" s="2000"/>
      <c r="AB2" s="2000"/>
      <c r="AC2" s="3197"/>
    </row>
    <row r="3" spans="1:29" s="1280" customFormat="1" ht="28.5" customHeight="1" thickBot="1">
      <c r="A3" s="495" t="s">
        <v>789</v>
      </c>
      <c r="B3" s="496" t="e">
        <f>IF(B37="元/平方米",C39,ROUND(B2*10000/D3,0))</f>
        <v>#DIV/0!</v>
      </c>
      <c r="C3" s="833" t="s">
        <v>790</v>
      </c>
      <c r="D3" s="832">
        <f>SUMIF('数据-汇总表'!$C19:$C33,D1,'数据-汇总表'!$E19:$E33)</f>
        <v>0</v>
      </c>
      <c r="E3" s="1748" t="s">
        <v>2062</v>
      </c>
      <c r="F3" s="832">
        <f>SUMIF('数据-取费表'!A5:A15,D1,'数据-取费表'!AH5:AH15)</f>
        <v>0</v>
      </c>
      <c r="G3" s="1996"/>
      <c r="H3" s="1996"/>
      <c r="I3" s="1996"/>
      <c r="J3" s="1996"/>
      <c r="K3" s="1998"/>
      <c r="L3" s="1999"/>
      <c r="M3" s="2000"/>
      <c r="N3" s="2000"/>
      <c r="O3" s="2000"/>
      <c r="P3" s="2000"/>
      <c r="Q3" s="2000"/>
      <c r="R3" s="2000"/>
      <c r="S3" s="2000"/>
      <c r="T3" s="2000"/>
      <c r="U3" s="2000"/>
      <c r="V3" s="2000"/>
      <c r="W3" s="2000"/>
      <c r="X3" s="2000"/>
      <c r="Y3" s="2000"/>
      <c r="Z3" s="2000"/>
      <c r="AA3" s="2000"/>
      <c r="AB3" s="3198"/>
      <c r="AC3" s="1930"/>
    </row>
    <row r="4" spans="1:29" ht="15">
      <c r="A4" s="498" t="s">
        <v>791</v>
      </c>
      <c r="B4" s="499"/>
      <c r="C4" s="3856" t="s">
        <v>792</v>
      </c>
      <c r="D4" s="3857"/>
      <c r="E4" s="3856" t="s">
        <v>793</v>
      </c>
      <c r="F4" s="3857"/>
      <c r="G4" s="3856" t="s">
        <v>794</v>
      </c>
      <c r="H4" s="3857"/>
      <c r="I4" s="3856" t="s">
        <v>795</v>
      </c>
      <c r="J4" s="3857"/>
      <c r="K4" s="500" t="s">
        <v>796</v>
      </c>
      <c r="L4" s="2001"/>
      <c r="M4" s="2002"/>
      <c r="N4" s="2002"/>
      <c r="O4" s="2002"/>
      <c r="P4" s="3858" t="s">
        <v>797</v>
      </c>
      <c r="Q4" s="3859"/>
      <c r="R4" s="3844" t="s">
        <v>793</v>
      </c>
      <c r="S4" s="3845"/>
      <c r="T4" s="3844" t="s">
        <v>794</v>
      </c>
      <c r="U4" s="3845"/>
      <c r="V4" s="3864" t="s">
        <v>795</v>
      </c>
      <c r="W4" s="3864"/>
      <c r="X4" s="1489"/>
      <c r="Y4" s="3844" t="s">
        <v>797</v>
      </c>
      <c r="Z4" s="3845"/>
      <c r="AA4" s="3839" t="s">
        <v>793</v>
      </c>
      <c r="AB4" s="3840" t="s">
        <v>794</v>
      </c>
      <c r="AC4" s="3839" t="s">
        <v>795</v>
      </c>
    </row>
    <row r="5" spans="1:29" ht="15">
      <c r="A5" s="501"/>
      <c r="B5" s="502"/>
      <c r="C5" s="3867" t="s">
        <v>2887</v>
      </c>
      <c r="D5" s="3868"/>
      <c r="E5" s="3867" t="s">
        <v>2888</v>
      </c>
      <c r="F5" s="3868"/>
      <c r="G5" s="3867" t="s">
        <v>2889</v>
      </c>
      <c r="H5" s="3868"/>
      <c r="I5" s="3867" t="s">
        <v>2890</v>
      </c>
      <c r="J5" s="3868"/>
      <c r="K5" s="500"/>
      <c r="L5" s="2001"/>
      <c r="M5" s="2002"/>
      <c r="N5" s="2002"/>
      <c r="O5" s="2002"/>
      <c r="P5" s="3860"/>
      <c r="Q5" s="3861"/>
      <c r="R5" s="3846"/>
      <c r="S5" s="3847"/>
      <c r="T5" s="3846"/>
      <c r="U5" s="3847"/>
      <c r="V5" s="3864"/>
      <c r="W5" s="3864"/>
      <c r="X5" s="1489"/>
      <c r="Y5" s="3846"/>
      <c r="Z5" s="3847"/>
      <c r="AA5" s="3840"/>
      <c r="AB5" s="3840"/>
      <c r="AC5" s="3840"/>
    </row>
    <row r="6" spans="1:29" ht="15.75" thickBot="1">
      <c r="A6" s="503"/>
      <c r="B6" s="504"/>
      <c r="C6" s="3865" t="s">
        <v>2891</v>
      </c>
      <c r="D6" s="3866"/>
      <c r="E6" s="3869" t="s">
        <v>2891</v>
      </c>
      <c r="F6" s="3870"/>
      <c r="G6" s="3865" t="s">
        <v>2891</v>
      </c>
      <c r="H6" s="3866"/>
      <c r="I6" s="3865" t="s">
        <v>2891</v>
      </c>
      <c r="J6" s="3866"/>
      <c r="K6" s="500" t="s">
        <v>522</v>
      </c>
      <c r="L6" s="2001"/>
      <c r="M6" s="2002"/>
      <c r="N6" s="2002"/>
      <c r="O6" s="2002"/>
      <c r="P6" s="3862"/>
      <c r="Q6" s="3863"/>
      <c r="R6" s="3846"/>
      <c r="S6" s="3847"/>
      <c r="T6" s="3848"/>
      <c r="U6" s="3849"/>
      <c r="V6" s="3864"/>
      <c r="W6" s="3864"/>
      <c r="X6" s="1489"/>
      <c r="Y6" s="3848"/>
      <c r="Z6" s="3849"/>
      <c r="AA6" s="3841"/>
      <c r="AB6" s="3841"/>
      <c r="AC6" s="3841"/>
    </row>
    <row r="7" spans="1:29" s="1194" customFormat="1" ht="15.75" thickBot="1">
      <c r="A7" s="2615"/>
      <c r="B7" s="2622" t="s">
        <v>523</v>
      </c>
      <c r="C7" s="505">
        <f>'数据-取费表'!B2</f>
        <v>44191</v>
      </c>
      <c r="D7" s="506">
        <v>100</v>
      </c>
      <c r="E7" s="507"/>
      <c r="F7" s="508">
        <f>SUMIF(48:48,YEAR(E7)&amp;"-"&amp;MONTH(E7),49:49)</f>
        <v>0</v>
      </c>
      <c r="G7" s="509"/>
      <c r="H7" s="506">
        <f>SUMIF(48:48,YEAR(G7)&amp;"-"&amp;MONTH(G7),49:49)</f>
        <v>0</v>
      </c>
      <c r="I7" s="509"/>
      <c r="J7" s="506">
        <f>SUMIF(48:48,YEAR(I7)&amp;"-"&amp;MONTH(I7),49:49)</f>
        <v>0</v>
      </c>
      <c r="K7" s="510"/>
      <c r="L7" s="2003"/>
      <c r="M7" s="2004"/>
      <c r="N7" s="2004"/>
      <c r="O7" s="2004"/>
      <c r="P7" s="3842" t="s">
        <v>524</v>
      </c>
      <c r="Q7" s="3851"/>
      <c r="R7" s="1490" t="s">
        <v>8</v>
      </c>
      <c r="S7" s="1491">
        <f t="shared" ref="S7:S14" si="0">F7</f>
        <v>0</v>
      </c>
      <c r="T7" s="1490" t="s">
        <v>8</v>
      </c>
      <c r="U7" s="1491">
        <f t="shared" ref="U7:U14" si="1">H7</f>
        <v>0</v>
      </c>
      <c r="V7" s="1490" t="s">
        <v>8</v>
      </c>
      <c r="W7" s="1491">
        <f t="shared" ref="W7:W14" si="2">J7</f>
        <v>0</v>
      </c>
      <c r="X7" s="1492"/>
      <c r="Y7" s="3842" t="s">
        <v>524</v>
      </c>
      <c r="Z7" s="3843"/>
      <c r="AA7" s="1493" t="e">
        <f>D7/F7</f>
        <v>#DIV/0!</v>
      </c>
      <c r="AB7" s="1493" t="e">
        <f>D7/H7</f>
        <v>#DIV/0!</v>
      </c>
      <c r="AC7" s="1493" t="e">
        <f>D7/J7</f>
        <v>#DIV/0!</v>
      </c>
    </row>
    <row r="8" spans="1:29" s="1194" customFormat="1" ht="15.75" thickBot="1">
      <c r="A8" s="2616"/>
      <c r="B8" s="2623" t="s">
        <v>525</v>
      </c>
      <c r="C8" s="511" t="s">
        <v>570</v>
      </c>
      <c r="D8" s="506">
        <v>100</v>
      </c>
      <c r="E8" s="511"/>
      <c r="F8" s="508">
        <f>SUMIF(51:51,E8,52:52)-SUMIF(51:51,C8,52:52)+100</f>
        <v>0</v>
      </c>
      <c r="G8" s="511"/>
      <c r="H8" s="506">
        <f>SUMIF(51:51,G8,52:52)-SUMIF(51:51,C8,52:52)+100</f>
        <v>0</v>
      </c>
      <c r="I8" s="511"/>
      <c r="J8" s="506">
        <f>SUMIF(51:51,I8,52:52)-SUMIF(51:51,C8,52:52)+100</f>
        <v>0</v>
      </c>
      <c r="K8" s="510"/>
      <c r="L8" s="2003"/>
      <c r="M8" s="2004"/>
      <c r="N8" s="2004"/>
      <c r="O8" s="2004"/>
      <c r="P8" s="3842" t="s">
        <v>527</v>
      </c>
      <c r="Q8" s="3843"/>
      <c r="R8" s="1490" t="s">
        <v>8</v>
      </c>
      <c r="S8" s="1491">
        <f t="shared" si="0"/>
        <v>0</v>
      </c>
      <c r="T8" s="1490" t="s">
        <v>8</v>
      </c>
      <c r="U8" s="1491">
        <f t="shared" si="1"/>
        <v>0</v>
      </c>
      <c r="V8" s="1490" t="s">
        <v>8</v>
      </c>
      <c r="W8" s="1491">
        <f t="shared" si="2"/>
        <v>0</v>
      </c>
      <c r="X8" s="1492"/>
      <c r="Y8" s="3842" t="s">
        <v>527</v>
      </c>
      <c r="Z8" s="3843"/>
      <c r="AA8" s="1493" t="e">
        <f t="shared" ref="AA8:AA36" si="3">D8/F8</f>
        <v>#DIV/0!</v>
      </c>
      <c r="AB8" s="1493" t="e">
        <f t="shared" ref="AB8:AB36" si="4">D8/H8</f>
        <v>#DIV/0!</v>
      </c>
      <c r="AC8" s="1493" t="e">
        <f t="shared" ref="AC8:AC36" si="5">D8/J8</f>
        <v>#DIV/0!</v>
      </c>
    </row>
    <row r="9" spans="1:29" s="1194" customFormat="1" ht="15">
      <c r="A9" s="2617"/>
      <c r="B9" s="2624" t="s">
        <v>2730</v>
      </c>
      <c r="C9" s="838"/>
      <c r="D9" s="244">
        <v>100</v>
      </c>
      <c r="E9" s="841"/>
      <c r="F9" s="244">
        <f>SUMIF(53:53,E9,54:54)-SUMIF(53:53,C9,54:54)+100</f>
        <v>100</v>
      </c>
      <c r="G9" s="839"/>
      <c r="H9" s="244">
        <f>SUMIF(53:53,G9,54:54)-SUMIF(53:53,C9,54:54)+100</f>
        <v>100</v>
      </c>
      <c r="I9" s="839"/>
      <c r="J9" s="244">
        <f>SUMIF(53:53,I9,54:54)-SUMIF(53:53,C9,54:54)+100</f>
        <v>100</v>
      </c>
      <c r="K9" s="510"/>
      <c r="L9" s="2003"/>
      <c r="M9" s="2004"/>
      <c r="N9" s="2004"/>
      <c r="O9" s="2005"/>
      <c r="P9" s="3850" t="s">
        <v>529</v>
      </c>
      <c r="Q9" s="1125" t="str">
        <f t="shared" ref="Q9:Q14" si="6">B9</f>
        <v>用途</v>
      </c>
      <c r="R9" s="1490" t="s">
        <v>8</v>
      </c>
      <c r="S9" s="1491">
        <f t="shared" si="0"/>
        <v>100</v>
      </c>
      <c r="T9" s="1490" t="s">
        <v>8</v>
      </c>
      <c r="U9" s="1491">
        <f t="shared" si="1"/>
        <v>100</v>
      </c>
      <c r="V9" s="1490" t="s">
        <v>8</v>
      </c>
      <c r="W9" s="1491">
        <f t="shared" si="2"/>
        <v>100</v>
      </c>
      <c r="X9" s="1492"/>
      <c r="Y9" s="3801" t="s">
        <v>530</v>
      </c>
      <c r="Z9" s="1124" t="str">
        <f t="shared" ref="Z9:Z14" si="7">Q9</f>
        <v>用途</v>
      </c>
      <c r="AA9" s="1493">
        <f t="shared" si="3"/>
        <v>1</v>
      </c>
      <c r="AB9" s="1493">
        <f t="shared" si="4"/>
        <v>1</v>
      </c>
      <c r="AC9" s="1493">
        <f t="shared" si="5"/>
        <v>1</v>
      </c>
    </row>
    <row r="10" spans="1:29" s="1282" customFormat="1" ht="27">
      <c r="A10" s="2618"/>
      <c r="B10" s="2623" t="s">
        <v>2731</v>
      </c>
      <c r="C10" s="842"/>
      <c r="D10" s="245">
        <v>100</v>
      </c>
      <c r="E10" s="842"/>
      <c r="F10" s="245">
        <f>SUMIF(55:55,E10,56:56)-SUMIF(55:55,C10,56:56)+100</f>
        <v>100</v>
      </c>
      <c r="G10" s="843"/>
      <c r="H10" s="245">
        <f>SUMIF(55:55,G10,56:56)-SUMIF(55:55,C10,56:56)+100</f>
        <v>100</v>
      </c>
      <c r="I10" s="842"/>
      <c r="J10" s="245">
        <f>SUMIF(55:55,I10,56:56)-SUMIF(55:55,C10,56:56)+100</f>
        <v>100</v>
      </c>
      <c r="K10" s="570"/>
      <c r="L10" s="2006"/>
      <c r="M10" s="2045"/>
      <c r="N10" s="2045"/>
      <c r="O10" s="2007"/>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20"/>
      <c r="B11" s="2626">
        <v>111</v>
      </c>
      <c r="C11" s="514"/>
      <c r="D11" s="245">
        <v>100</v>
      </c>
      <c r="E11" s="514"/>
      <c r="F11" s="245">
        <f>SUMIF(57:57,E11,58:58)-SUMIF(57:57,C11,58:58)+100</f>
        <v>100</v>
      </c>
      <c r="G11" s="514"/>
      <c r="H11" s="245">
        <f>SUMIF(57:57,G11,58:58)-SUMIF(57:57,C11,58:58)+100</f>
        <v>100</v>
      </c>
      <c r="I11" s="514"/>
      <c r="J11" s="245">
        <f>SUMIF(57:57,I11,58:58)-SUMIF(57:57,C11,58:58)+100</f>
        <v>100</v>
      </c>
      <c r="K11" s="567"/>
      <c r="L11" s="2008"/>
      <c r="M11" s="2002"/>
      <c r="N11" s="2002"/>
      <c r="O11" s="2009"/>
      <c r="P11" s="3850"/>
      <c r="Q11" s="1125">
        <f t="shared" si="6"/>
        <v>111</v>
      </c>
      <c r="R11" s="1490" t="s">
        <v>8</v>
      </c>
      <c r="S11" s="1491">
        <f t="shared" si="0"/>
        <v>100</v>
      </c>
      <c r="T11" s="1490" t="s">
        <v>8</v>
      </c>
      <c r="U11" s="1491">
        <f t="shared" si="1"/>
        <v>100</v>
      </c>
      <c r="V11" s="1490" t="s">
        <v>8</v>
      </c>
      <c r="W11" s="1491">
        <f t="shared" si="2"/>
        <v>100</v>
      </c>
      <c r="X11" s="1492"/>
      <c r="Y11" s="3801"/>
      <c r="Z11" s="1124">
        <f t="shared" si="7"/>
        <v>111</v>
      </c>
      <c r="AA11" s="1493">
        <f t="shared" si="3"/>
        <v>1</v>
      </c>
      <c r="AB11" s="1493">
        <f t="shared" si="4"/>
        <v>1</v>
      </c>
      <c r="AC11" s="1493">
        <f t="shared" si="5"/>
        <v>1</v>
      </c>
    </row>
    <row r="12" spans="1:29" s="1194" customFormat="1" ht="15">
      <c r="A12" s="2620"/>
      <c r="B12" s="2626">
        <v>111</v>
      </c>
      <c r="C12" s="514"/>
      <c r="D12" s="524">
        <v>100</v>
      </c>
      <c r="E12" s="514"/>
      <c r="F12" s="245">
        <f>SUMIF(59:59,E12,60:60)-SUMIF(59:59,C12,60:60)+100</f>
        <v>100</v>
      </c>
      <c r="G12" s="514"/>
      <c r="H12" s="245">
        <f>SUMIF(59:59,G12,60:60)-SUMIF(59:59,C12,60:60)+100</f>
        <v>100</v>
      </c>
      <c r="I12" s="514"/>
      <c r="J12" s="245">
        <f>SUMIF(59:59,I12,60:60)-SUMIF(59:59,C12,60:60)+100</f>
        <v>100</v>
      </c>
      <c r="K12" s="567"/>
      <c r="L12" s="2003"/>
      <c r="M12" s="2004"/>
      <c r="N12" s="2004"/>
      <c r="O12" s="2005"/>
      <c r="P12" s="3850"/>
      <c r="Q12" s="1125">
        <f t="shared" si="6"/>
        <v>111</v>
      </c>
      <c r="R12" s="1490" t="s">
        <v>8</v>
      </c>
      <c r="S12" s="1491">
        <f t="shared" si="0"/>
        <v>100</v>
      </c>
      <c r="T12" s="1490" t="s">
        <v>8</v>
      </c>
      <c r="U12" s="1491">
        <f t="shared" si="1"/>
        <v>100</v>
      </c>
      <c r="V12" s="1490" t="s">
        <v>8</v>
      </c>
      <c r="W12" s="1491">
        <f t="shared" si="2"/>
        <v>100</v>
      </c>
      <c r="X12" s="1492"/>
      <c r="Y12" s="3801"/>
      <c r="Z12" s="1124">
        <f t="shared" si="7"/>
        <v>111</v>
      </c>
      <c r="AA12" s="1493">
        <f>D12/F12</f>
        <v>1</v>
      </c>
      <c r="AB12" s="1493">
        <f>D12/H12</f>
        <v>1</v>
      </c>
      <c r="AC12" s="1493">
        <f>D12/J12</f>
        <v>1</v>
      </c>
    </row>
    <row r="13" spans="1:29" ht="15.75" thickBot="1">
      <c r="A13" s="2621"/>
      <c r="B13" s="2627">
        <v>111</v>
      </c>
      <c r="C13" s="525"/>
      <c r="D13" s="526">
        <v>100</v>
      </c>
      <c r="E13" s="514"/>
      <c r="F13" s="245">
        <f>SUMIF(61:61,E13,62:62)-SUMIF(61:61,C13,62:62)+100</f>
        <v>100</v>
      </c>
      <c r="G13" s="514"/>
      <c r="H13" s="526">
        <f>SUMIF(61:61,G13,62:62)-SUMIF(61:61,C13,62:62)+100</f>
        <v>100</v>
      </c>
      <c r="I13" s="514"/>
      <c r="J13" s="526">
        <f>SUMIF(61:61,I13,62:62)-SUMIF(61:61,C13,62:62)+100</f>
        <v>100</v>
      </c>
      <c r="K13" s="567"/>
      <c r="L13" s="2010"/>
      <c r="M13" s="2002"/>
      <c r="N13" s="2002"/>
      <c r="O13" s="2009"/>
      <c r="P13" s="3850"/>
      <c r="Q13" s="1125">
        <f t="shared" si="6"/>
        <v>111</v>
      </c>
      <c r="R13" s="1490" t="s">
        <v>8</v>
      </c>
      <c r="S13" s="1491">
        <f t="shared" si="0"/>
        <v>100</v>
      </c>
      <c r="T13" s="1490" t="s">
        <v>8</v>
      </c>
      <c r="U13" s="1491">
        <f t="shared" si="1"/>
        <v>100</v>
      </c>
      <c r="V13" s="1490" t="s">
        <v>8</v>
      </c>
      <c r="W13" s="1491">
        <f t="shared" si="2"/>
        <v>100</v>
      </c>
      <c r="X13" s="1492"/>
      <c r="Y13" s="3801"/>
      <c r="Z13" s="1124">
        <f t="shared" si="7"/>
        <v>111</v>
      </c>
      <c r="AA13" s="1493">
        <f t="shared" si="3"/>
        <v>1</v>
      </c>
      <c r="AB13" s="1493">
        <f t="shared" si="4"/>
        <v>1</v>
      </c>
      <c r="AC13" s="1493">
        <f t="shared" si="5"/>
        <v>1</v>
      </c>
    </row>
    <row r="14" spans="1:29" ht="85.5">
      <c r="A14" s="2613" t="s">
        <v>2728</v>
      </c>
      <c r="B14" s="533" t="s">
        <v>537</v>
      </c>
      <c r="C14" s="902" t="str">
        <f>IF(B1="工业",估价对象房地状况!G4,估价对象房地状况!C6)</f>
        <v>估价对象周边道路状况、公共交通通达情况、停车便捷程度，综合评价交通便捷度较好</v>
      </c>
      <c r="D14" s="535">
        <v>100</v>
      </c>
      <c r="E14" s="536"/>
      <c r="F14" s="537">
        <f>SUMIF(63:63,E15,64:64)-SUMIF(63:63,C15,64:64)+100</f>
        <v>100</v>
      </c>
      <c r="G14" s="538"/>
      <c r="H14" s="535">
        <f>SUMIF(63:63,G15,64:64)-SUMIF(63:63,C15,64:64)+100</f>
        <v>100</v>
      </c>
      <c r="I14" s="536"/>
      <c r="J14" s="535">
        <f>SUMIF(63:63,I15,64:64)-SUMIF(63:63,C15,64:64)+100</f>
        <v>100</v>
      </c>
      <c r="K14" s="879"/>
      <c r="L14" s="2010"/>
      <c r="M14" s="2002"/>
      <c r="N14" s="2002"/>
      <c r="O14" s="2009"/>
      <c r="P14" s="3852" t="s">
        <v>534</v>
      </c>
      <c r="Q14" s="1494" t="str">
        <f t="shared" si="6"/>
        <v>交通便捷度</v>
      </c>
      <c r="R14" s="1495" t="s">
        <v>8</v>
      </c>
      <c r="S14" s="1496">
        <f t="shared" si="0"/>
        <v>100</v>
      </c>
      <c r="T14" s="1495" t="s">
        <v>8</v>
      </c>
      <c r="U14" s="1496">
        <f t="shared" si="1"/>
        <v>100</v>
      </c>
      <c r="V14" s="1495" t="s">
        <v>8</v>
      </c>
      <c r="W14" s="1496">
        <f t="shared" si="2"/>
        <v>100</v>
      </c>
      <c r="X14" s="1489"/>
      <c r="Y14" s="3852" t="s">
        <v>534</v>
      </c>
      <c r="Z14" s="1497" t="str">
        <f t="shared" si="7"/>
        <v>交通便捷度</v>
      </c>
      <c r="AA14" s="1498">
        <f t="shared" si="3"/>
        <v>1</v>
      </c>
      <c r="AB14" s="1498">
        <f t="shared" si="4"/>
        <v>1</v>
      </c>
      <c r="AC14" s="1498">
        <f t="shared" si="5"/>
        <v>1</v>
      </c>
    </row>
    <row r="15" spans="1:29" ht="15">
      <c r="A15" s="501"/>
      <c r="B15" s="905"/>
      <c r="C15" s="562"/>
      <c r="D15" s="541"/>
      <c r="E15" s="562"/>
      <c r="F15" s="543"/>
      <c r="G15" s="562"/>
      <c r="H15" s="545"/>
      <c r="I15" s="562"/>
      <c r="J15" s="541"/>
      <c r="K15" s="880"/>
      <c r="L15" s="2010"/>
      <c r="M15" s="2002"/>
      <c r="N15" s="2002"/>
      <c r="O15" s="2009"/>
      <c r="P15" s="3853"/>
      <c r="Q15" s="1494"/>
      <c r="R15" s="1495"/>
      <c r="S15" s="1496"/>
      <c r="T15" s="1495"/>
      <c r="U15" s="1496"/>
      <c r="V15" s="1495"/>
      <c r="W15" s="1496"/>
      <c r="X15" s="1489"/>
      <c r="Y15" s="3853"/>
      <c r="Z15" s="1497"/>
      <c r="AA15" s="1498">
        <v>1</v>
      </c>
      <c r="AB15" s="1498">
        <v>1</v>
      </c>
      <c r="AC15" s="1498">
        <v>1</v>
      </c>
    </row>
    <row r="16" spans="1:29" ht="42.75">
      <c r="A16" s="501"/>
      <c r="B16" s="2433" t="s">
        <v>2522</v>
      </c>
      <c r="C16" s="853" t="str">
        <f>IF(B1="工业",估价对象房地状况!G5,估价对象房地状况!C7)</f>
        <v>估价对象所在区域公共配套设施齐备情况</v>
      </c>
      <c r="D16" s="551">
        <v>100</v>
      </c>
      <c r="E16" s="558"/>
      <c r="F16" s="557">
        <f>SUMIF(65:65,E17,66:66)-SUMIF(65:65,C17,66:66)+100</f>
        <v>100</v>
      </c>
      <c r="G16" s="558"/>
      <c r="H16" s="551">
        <f>SUMIF(65:65,G17,66:66)-SUMIF(65:65,C17,66:66)+100</f>
        <v>100</v>
      </c>
      <c r="I16" s="556"/>
      <c r="J16" s="551">
        <f>SUMIF(65:65,I17,66:66)-SUMIF(65:65,C17,66:66)+100</f>
        <v>100</v>
      </c>
      <c r="K16" s="879"/>
      <c r="L16" s="2010"/>
      <c r="M16" s="2002"/>
      <c r="N16" s="2002"/>
      <c r="O16" s="2009"/>
      <c r="P16" s="3853"/>
      <c r="Q16" s="1494" t="str">
        <f>B16</f>
        <v>公共配套设施</v>
      </c>
      <c r="R16" s="1495" t="s">
        <v>8</v>
      </c>
      <c r="S16" s="1496">
        <f>F16</f>
        <v>100</v>
      </c>
      <c r="T16" s="1495" t="s">
        <v>8</v>
      </c>
      <c r="U16" s="1496">
        <f>H16</f>
        <v>100</v>
      </c>
      <c r="V16" s="1495" t="s">
        <v>8</v>
      </c>
      <c r="W16" s="1496">
        <f>J16</f>
        <v>100</v>
      </c>
      <c r="X16" s="1489"/>
      <c r="Y16" s="3853"/>
      <c r="Z16" s="1497" t="str">
        <f>Q16</f>
        <v>公共配套设施</v>
      </c>
      <c r="AA16" s="1498">
        <f t="shared" si="3"/>
        <v>1</v>
      </c>
      <c r="AB16" s="1498">
        <f t="shared" si="4"/>
        <v>1</v>
      </c>
      <c r="AC16" s="1498">
        <f t="shared" si="5"/>
        <v>1</v>
      </c>
    </row>
    <row r="17" spans="1:29" ht="15">
      <c r="A17" s="501"/>
      <c r="B17" s="552"/>
      <c r="C17" s="854"/>
      <c r="D17" s="541"/>
      <c r="E17" s="562"/>
      <c r="F17" s="543"/>
      <c r="G17" s="562"/>
      <c r="H17" s="541"/>
      <c r="I17" s="562"/>
      <c r="J17" s="541"/>
      <c r="K17" s="880"/>
      <c r="L17" s="2010"/>
      <c r="M17" s="2002"/>
      <c r="N17" s="2002"/>
      <c r="O17" s="2009"/>
      <c r="P17" s="3853"/>
      <c r="Q17" s="1494"/>
      <c r="R17" s="1495"/>
      <c r="S17" s="1496"/>
      <c r="T17" s="1495"/>
      <c r="U17" s="1496"/>
      <c r="V17" s="1495"/>
      <c r="W17" s="1496"/>
      <c r="X17" s="1489"/>
      <c r="Y17" s="3853"/>
      <c r="Z17" s="1497"/>
      <c r="AA17" s="1498">
        <v>1</v>
      </c>
      <c r="AB17" s="1498">
        <v>1</v>
      </c>
      <c r="AC17" s="1498">
        <v>1</v>
      </c>
    </row>
    <row r="18" spans="1:29" ht="28.5">
      <c r="A18" s="501"/>
      <c r="B18" s="2421" t="s">
        <v>2534</v>
      </c>
      <c r="C18" s="853" t="str">
        <f>IF(B1="工业",估价对象房地状况!G6,估价对象房地状况!C8)</f>
        <v>估价对象所在区域基础设施水平</v>
      </c>
      <c r="D18" s="545">
        <v>100</v>
      </c>
      <c r="E18" s="558"/>
      <c r="F18" s="557">
        <f>SUMIF(67:67,E19,68:68)-SUMIF(67:67,C19,68:68)+100</f>
        <v>100</v>
      </c>
      <c r="G18" s="558"/>
      <c r="H18" s="551">
        <f>SUMIF(67:67,G19,68:68)-SUMIF(67:67,C19,68:68)+100</f>
        <v>100</v>
      </c>
      <c r="I18" s="556"/>
      <c r="J18" s="551">
        <f>SUMIF(67:67,I19,68:68)-SUMIF(67:67,C19,68:68)+100</f>
        <v>100</v>
      </c>
      <c r="K18" s="879"/>
      <c r="L18" s="2010"/>
      <c r="M18" s="2002"/>
      <c r="N18" s="2002"/>
      <c r="O18" s="2009"/>
      <c r="P18" s="3853"/>
      <c r="Q18" s="2415" t="str">
        <f>B18</f>
        <v>基础设施水平</v>
      </c>
      <c r="R18" s="1495" t="s">
        <v>8</v>
      </c>
      <c r="S18" s="1496">
        <f>F18</f>
        <v>100</v>
      </c>
      <c r="T18" s="1495" t="s">
        <v>8</v>
      </c>
      <c r="U18" s="1496">
        <f>H18</f>
        <v>100</v>
      </c>
      <c r="V18" s="1495" t="s">
        <v>8</v>
      </c>
      <c r="W18" s="1496">
        <f>J18</f>
        <v>100</v>
      </c>
      <c r="X18" s="2417"/>
      <c r="Y18" s="3853"/>
      <c r="Z18" s="2416" t="str">
        <f>Q18</f>
        <v>基础设施水平</v>
      </c>
      <c r="AA18" s="1498">
        <f t="shared" ref="AA18" si="8">D18/F18</f>
        <v>1</v>
      </c>
      <c r="AB18" s="1498">
        <f t="shared" ref="AB18" si="9">D18/H18</f>
        <v>1</v>
      </c>
      <c r="AC18" s="1498">
        <f t="shared" ref="AC18" si="10">D18/J18</f>
        <v>1</v>
      </c>
    </row>
    <row r="19" spans="1:29" ht="15">
      <c r="A19" s="501"/>
      <c r="B19" s="564"/>
      <c r="C19" s="854"/>
      <c r="D19" s="545"/>
      <c r="E19" s="562"/>
      <c r="F19" s="543"/>
      <c r="G19" s="562"/>
      <c r="H19" s="541"/>
      <c r="I19" s="562"/>
      <c r="J19" s="541"/>
      <c r="K19" s="2432"/>
      <c r="L19" s="2010"/>
      <c r="M19" s="2002"/>
      <c r="N19" s="2002"/>
      <c r="O19" s="2009"/>
      <c r="P19" s="3853"/>
      <c r="Q19" s="2415"/>
      <c r="R19" s="1495"/>
      <c r="S19" s="1496"/>
      <c r="T19" s="1495"/>
      <c r="U19" s="1496"/>
      <c r="V19" s="1495"/>
      <c r="W19" s="1496"/>
      <c r="X19" s="2417"/>
      <c r="Y19" s="3853"/>
      <c r="Z19" s="2416"/>
      <c r="AA19" s="1498">
        <v>1</v>
      </c>
      <c r="AB19" s="1498">
        <v>1</v>
      </c>
      <c r="AC19" s="1498">
        <v>1</v>
      </c>
    </row>
    <row r="20" spans="1:29" ht="57">
      <c r="A20" s="501"/>
      <c r="B20" s="546" t="s">
        <v>798</v>
      </c>
      <c r="C20" s="853" t="str">
        <f>IF(B1="工业",估价对象房地状况!G7,估价对象房地状况!C9)</f>
        <v>区域自然环境：；人文环境；综合评价环境状况一般</v>
      </c>
      <c r="D20" s="551">
        <v>100</v>
      </c>
      <c r="E20" s="548"/>
      <c r="F20" s="549">
        <f>SUMIF(69:69,E21,70:70)-SUMIF(69:69,C21,70:70)+100</f>
        <v>100</v>
      </c>
      <c r="G20" s="550"/>
      <c r="H20" s="545">
        <f>SUMIF(69:69,G21,70:70)-SUMIF(69:69,C21,70:70)+100</f>
        <v>100</v>
      </c>
      <c r="I20" s="548"/>
      <c r="J20" s="545">
        <f>SUMIF(69:69,I21,70:70)-SUMIF(69:69,C21,70:70)+100</f>
        <v>100</v>
      </c>
      <c r="K20" s="879"/>
      <c r="L20" s="2010"/>
      <c r="M20" s="2002"/>
      <c r="N20" s="2002"/>
      <c r="O20" s="2009"/>
      <c r="P20" s="3853"/>
      <c r="Q20" s="1494" t="str">
        <f>B20</f>
        <v>自然及人文环境</v>
      </c>
      <c r="R20" s="1495" t="s">
        <v>8</v>
      </c>
      <c r="S20" s="1496">
        <f>F20</f>
        <v>100</v>
      </c>
      <c r="T20" s="1495" t="s">
        <v>8</v>
      </c>
      <c r="U20" s="1496">
        <f>H20</f>
        <v>100</v>
      </c>
      <c r="V20" s="1495" t="s">
        <v>8</v>
      </c>
      <c r="W20" s="1496">
        <f>J20</f>
        <v>100</v>
      </c>
      <c r="X20" s="1489"/>
      <c r="Y20" s="3853"/>
      <c r="Z20" s="1497" t="str">
        <f>Q20</f>
        <v>自然及人文环境</v>
      </c>
      <c r="AA20" s="1498">
        <f t="shared" si="3"/>
        <v>1</v>
      </c>
      <c r="AB20" s="1498">
        <f t="shared" si="4"/>
        <v>1</v>
      </c>
      <c r="AC20" s="1498">
        <f t="shared" si="5"/>
        <v>1</v>
      </c>
    </row>
    <row r="21" spans="1:29" ht="15">
      <c r="A21" s="501"/>
      <c r="B21" s="552"/>
      <c r="C21" s="562"/>
      <c r="D21" s="541"/>
      <c r="E21" s="562"/>
      <c r="F21" s="543"/>
      <c r="G21" s="562"/>
      <c r="H21" s="541"/>
      <c r="I21" s="562"/>
      <c r="J21" s="541"/>
      <c r="K21" s="880"/>
      <c r="L21" s="2010"/>
      <c r="M21" s="2002"/>
      <c r="N21" s="2002"/>
      <c r="O21" s="2009"/>
      <c r="P21" s="3853"/>
      <c r="Q21" s="1494"/>
      <c r="R21" s="1495"/>
      <c r="S21" s="1496"/>
      <c r="T21" s="1495"/>
      <c r="U21" s="1496"/>
      <c r="V21" s="1495"/>
      <c r="W21" s="1496"/>
      <c r="X21" s="1489"/>
      <c r="Y21" s="3853"/>
      <c r="Z21" s="1497"/>
      <c r="AA21" s="1498">
        <v>1</v>
      </c>
      <c r="AB21" s="1498">
        <v>1</v>
      </c>
      <c r="AC21" s="1498">
        <v>1</v>
      </c>
    </row>
    <row r="22" spans="1:29" ht="15">
      <c r="A22" s="501"/>
      <c r="B22" s="546" t="s">
        <v>799</v>
      </c>
      <c r="C22" s="569"/>
      <c r="D22" s="545">
        <v>100</v>
      </c>
      <c r="E22" s="569"/>
      <c r="F22" s="561">
        <f>SUMIF(71:71,E22,72:72)-SUMIF(71:71,C22,72:72)+100</f>
        <v>100</v>
      </c>
      <c r="G22" s="569"/>
      <c r="H22" s="526">
        <f>SUMIF(71:71,G22,72:72)-SUMIF(71:71,C22,72:72)+100</f>
        <v>100</v>
      </c>
      <c r="I22" s="569"/>
      <c r="J22" s="526">
        <f>SUMIF(71:71,I22,72:72)-SUMIF(71:71,C22,72:72)+100</f>
        <v>100</v>
      </c>
      <c r="K22" s="570"/>
      <c r="L22" s="2010"/>
      <c r="M22" s="2002"/>
      <c r="N22" s="2002"/>
      <c r="O22" s="2009"/>
      <c r="P22" s="3853"/>
      <c r="Q22" s="1494" t="str">
        <f>B22</f>
        <v>楼层</v>
      </c>
      <c r="R22" s="1495" t="s">
        <v>8</v>
      </c>
      <c r="S22" s="1496">
        <f>F22</f>
        <v>100</v>
      </c>
      <c r="T22" s="1495" t="s">
        <v>8</v>
      </c>
      <c r="U22" s="1496">
        <f>H22</f>
        <v>100</v>
      </c>
      <c r="V22" s="1495" t="s">
        <v>8</v>
      </c>
      <c r="W22" s="1496">
        <f>J22</f>
        <v>100</v>
      </c>
      <c r="X22" s="1489"/>
      <c r="Y22" s="3853"/>
      <c r="Z22" s="1497" t="str">
        <f>Q22</f>
        <v>楼层</v>
      </c>
      <c r="AA22" s="1498">
        <f t="shared" si="3"/>
        <v>1</v>
      </c>
      <c r="AB22" s="1498">
        <f t="shared" si="4"/>
        <v>1</v>
      </c>
      <c r="AC22" s="1498">
        <f t="shared" si="5"/>
        <v>1</v>
      </c>
    </row>
    <row r="23" spans="1:29" ht="15">
      <c r="A23" s="501"/>
      <c r="B23" s="906">
        <v>111</v>
      </c>
      <c r="C23" s="514"/>
      <c r="D23" s="526">
        <v>100</v>
      </c>
      <c r="E23" s="514"/>
      <c r="F23" s="561">
        <f>SUMIF(73:73,E23,74:74)-SUMIF(73:73,C23,74:74)+100</f>
        <v>100</v>
      </c>
      <c r="G23" s="514"/>
      <c r="H23" s="526">
        <f>SUMIF(73:73,G23,74:74)-SUMIF(73:73,C23,74:74)+100</f>
        <v>100</v>
      </c>
      <c r="I23" s="514"/>
      <c r="J23" s="526">
        <f>SUMIF(73:73,I23,74:74)-SUMIF(73:73,C23,74:74)+100</f>
        <v>100</v>
      </c>
      <c r="K23" s="567"/>
      <c r="L23" s="2010"/>
      <c r="M23" s="2002"/>
      <c r="N23" s="2002"/>
      <c r="O23" s="2009"/>
      <c r="P23" s="3853"/>
      <c r="Q23" s="1494">
        <f>B23</f>
        <v>111</v>
      </c>
      <c r="R23" s="1495" t="s">
        <v>8</v>
      </c>
      <c r="S23" s="1496">
        <f>F23</f>
        <v>100</v>
      </c>
      <c r="T23" s="1495" t="s">
        <v>8</v>
      </c>
      <c r="U23" s="1496">
        <f>H23</f>
        <v>100</v>
      </c>
      <c r="V23" s="1495" t="s">
        <v>8</v>
      </c>
      <c r="W23" s="1496">
        <f>J23</f>
        <v>100</v>
      </c>
      <c r="X23" s="1489"/>
      <c r="Y23" s="3853"/>
      <c r="Z23" s="1497">
        <f>Q23</f>
        <v>111</v>
      </c>
      <c r="AA23" s="1498">
        <f t="shared" si="3"/>
        <v>1</v>
      </c>
      <c r="AB23" s="1498">
        <f t="shared" si="4"/>
        <v>1</v>
      </c>
      <c r="AC23" s="1498">
        <f t="shared" si="5"/>
        <v>1</v>
      </c>
    </row>
    <row r="24" spans="1:29" ht="15">
      <c r="A24" s="501"/>
      <c r="B24" s="906">
        <v>111</v>
      </c>
      <c r="C24" s="514"/>
      <c r="D24" s="526">
        <v>100</v>
      </c>
      <c r="E24" s="514"/>
      <c r="F24" s="561">
        <f>SUMIF(75:75,E24,76:76)-SUMIF(75:75,C24,76:76)+100</f>
        <v>100</v>
      </c>
      <c r="G24" s="514"/>
      <c r="H24" s="526">
        <f>SUMIF(75:75,G24,76:76)-SUMIF(75:75,C24,76:76)+100</f>
        <v>100</v>
      </c>
      <c r="I24" s="514"/>
      <c r="J24" s="526">
        <f>SUMIF(75:75,I24,76:76)-SUMIF(75:75,C24,76:76)+100</f>
        <v>100</v>
      </c>
      <c r="K24" s="567"/>
      <c r="L24" s="2010"/>
      <c r="M24" s="2002"/>
      <c r="N24" s="2002"/>
      <c r="O24" s="2009"/>
      <c r="P24" s="3853"/>
      <c r="Q24" s="1494">
        <f t="shared" ref="Q24:Q36" si="11">B24</f>
        <v>111</v>
      </c>
      <c r="R24" s="1495" t="s">
        <v>8</v>
      </c>
      <c r="S24" s="1496">
        <f>F24</f>
        <v>100</v>
      </c>
      <c r="T24" s="1495" t="s">
        <v>8</v>
      </c>
      <c r="U24" s="1496">
        <f>H24</f>
        <v>100</v>
      </c>
      <c r="V24" s="1495" t="s">
        <v>8</v>
      </c>
      <c r="W24" s="1496">
        <f>J24</f>
        <v>100</v>
      </c>
      <c r="X24" s="1489"/>
      <c r="Y24" s="3853"/>
      <c r="Z24" s="1497">
        <f>Q24</f>
        <v>111</v>
      </c>
      <c r="AA24" s="1498">
        <f t="shared" si="3"/>
        <v>1</v>
      </c>
      <c r="AB24" s="1498">
        <f t="shared" si="4"/>
        <v>1</v>
      </c>
      <c r="AC24" s="1498">
        <f t="shared" si="5"/>
        <v>1</v>
      </c>
    </row>
    <row r="25" spans="1:29" s="1194" customFormat="1" ht="15.75" thickBot="1">
      <c r="A25" s="563"/>
      <c r="B25" s="895">
        <v>111</v>
      </c>
      <c r="C25" s="531"/>
      <c r="D25" s="907">
        <v>100</v>
      </c>
      <c r="E25" s="892"/>
      <c r="F25" s="908">
        <f>SUMIF(77:77,E25,78:78)-SUMIF(77:77,C25,78:78)+100</f>
        <v>100</v>
      </c>
      <c r="G25" s="892"/>
      <c r="H25" s="907">
        <f>SUMIF(77:77,G25,78:78)-SUMIF(77:77,C25,78:78)+100</f>
        <v>100</v>
      </c>
      <c r="I25" s="892"/>
      <c r="J25" s="907">
        <f>SUMIF(77:77,I25,78:78)-SUMIF(77:77,C25,78:78)+100</f>
        <v>100</v>
      </c>
      <c r="K25" s="567"/>
      <c r="L25" s="2003"/>
      <c r="M25" s="2004"/>
      <c r="N25" s="2004"/>
      <c r="O25" s="2005"/>
      <c r="P25" s="3853"/>
      <c r="Q25" s="1125">
        <f t="shared" si="11"/>
        <v>111</v>
      </c>
      <c r="R25" s="1490" t="s">
        <v>8</v>
      </c>
      <c r="S25" s="1491">
        <f>F25</f>
        <v>100</v>
      </c>
      <c r="T25" s="1490" t="s">
        <v>8</v>
      </c>
      <c r="U25" s="1491">
        <f>H25</f>
        <v>100</v>
      </c>
      <c r="V25" s="1490" t="s">
        <v>8</v>
      </c>
      <c r="W25" s="1491">
        <f>J25</f>
        <v>100</v>
      </c>
      <c r="X25" s="1492"/>
      <c r="Y25" s="3853"/>
      <c r="Z25" s="1124">
        <f>Q25</f>
        <v>111</v>
      </c>
      <c r="AA25" s="1498">
        <f>D25/F25</f>
        <v>1</v>
      </c>
      <c r="AB25" s="1498">
        <f>D25/H25</f>
        <v>1</v>
      </c>
      <c r="AC25" s="1498">
        <f>D25/J25</f>
        <v>1</v>
      </c>
    </row>
    <row r="26" spans="1:29" ht="15">
      <c r="A26" s="2610" t="s">
        <v>2729</v>
      </c>
      <c r="B26" s="168" t="s">
        <v>800</v>
      </c>
      <c r="C26" s="909">
        <f>B1</f>
        <v>0</v>
      </c>
      <c r="D26" s="541">
        <v>100</v>
      </c>
      <c r="E26" s="562"/>
      <c r="F26" s="543">
        <f>SUMIF(79:79,E26,80:80)-SUMIF(79:79,C26,80:80)+100</f>
        <v>100</v>
      </c>
      <c r="G26" s="562"/>
      <c r="H26" s="541">
        <f>SUMIF(79:79,G26,80:80)-SUMIF(79:79,C26,80:80)+100</f>
        <v>100</v>
      </c>
      <c r="I26" s="562"/>
      <c r="J26" s="541">
        <f>SUMIF(79:79,I26,80:80)-SUMIF(79:79,C26,80:80)+100</f>
        <v>100</v>
      </c>
      <c r="K26" s="570"/>
      <c r="L26" s="2010"/>
      <c r="M26" s="2002"/>
      <c r="N26" s="2002"/>
      <c r="O26" s="2009"/>
      <c r="P26" s="3854" t="s">
        <v>544</v>
      </c>
      <c r="Q26" s="1494" t="str">
        <f t="shared" si="11"/>
        <v>配套类型</v>
      </c>
      <c r="R26" s="1495" t="s">
        <v>8</v>
      </c>
      <c r="S26" s="1496">
        <f t="shared" ref="S26:S36" si="12">F26</f>
        <v>100</v>
      </c>
      <c r="T26" s="1495" t="s">
        <v>8</v>
      </c>
      <c r="U26" s="1496">
        <f t="shared" ref="U26:U36" si="13">H26</f>
        <v>100</v>
      </c>
      <c r="V26" s="1495" t="s">
        <v>8</v>
      </c>
      <c r="W26" s="1496">
        <f t="shared" ref="W26:W36" si="14">J26</f>
        <v>100</v>
      </c>
      <c r="X26" s="1489"/>
      <c r="Y26" s="3855" t="s">
        <v>544</v>
      </c>
      <c r="Z26" s="1497" t="str">
        <f t="shared" ref="Z26:Z36" si="15">Q26</f>
        <v>配套类型</v>
      </c>
      <c r="AA26" s="1498">
        <f t="shared" si="3"/>
        <v>1</v>
      </c>
      <c r="AB26" s="1498">
        <f t="shared" si="4"/>
        <v>1</v>
      </c>
      <c r="AC26" s="1498">
        <f t="shared" si="5"/>
        <v>1</v>
      </c>
    </row>
    <row r="27" spans="1:29" s="1283" customFormat="1" ht="15">
      <c r="A27" s="910"/>
      <c r="B27" s="568" t="s">
        <v>801</v>
      </c>
      <c r="C27" s="911"/>
      <c r="D27" s="245">
        <v>100</v>
      </c>
      <c r="E27" s="911"/>
      <c r="F27" s="561">
        <f>SUMIF(81:81,E27,82:82)-SUMIF(81:81,C27,82:82)+100</f>
        <v>100</v>
      </c>
      <c r="G27" s="911"/>
      <c r="H27" s="526">
        <f>SUMIF(81:81,G27,82:82)-SUMIF(81:81,C27,82:82)+100</f>
        <v>100</v>
      </c>
      <c r="I27" s="911"/>
      <c r="J27" s="526">
        <f>SUMIF(81:81,I27,82:82)-SUMIF(81:81,C27,82:82)+100</f>
        <v>100</v>
      </c>
      <c r="K27" s="567"/>
      <c r="L27" s="2008"/>
      <c r="M27" s="2038"/>
      <c r="N27" s="2038"/>
      <c r="O27" s="2011"/>
      <c r="P27" s="3855"/>
      <c r="Q27" s="1523" t="str">
        <f t="shared" si="11"/>
        <v>项目停车位配比</v>
      </c>
      <c r="R27" s="1499" t="s">
        <v>8</v>
      </c>
      <c r="S27" s="1500">
        <f t="shared" si="12"/>
        <v>100</v>
      </c>
      <c r="T27" s="1499" t="s">
        <v>8</v>
      </c>
      <c r="U27" s="1500">
        <f t="shared" si="13"/>
        <v>100</v>
      </c>
      <c r="V27" s="1499" t="s">
        <v>8</v>
      </c>
      <c r="W27" s="1500">
        <f t="shared" si="14"/>
        <v>100</v>
      </c>
      <c r="X27" s="1501"/>
      <c r="Y27" s="3855"/>
      <c r="Z27" s="1502" t="str">
        <f t="shared" si="15"/>
        <v>项目停车位配比</v>
      </c>
      <c r="AA27" s="1498">
        <f t="shared" si="3"/>
        <v>1</v>
      </c>
      <c r="AB27" s="1498">
        <f t="shared" si="4"/>
        <v>1</v>
      </c>
      <c r="AC27" s="1498">
        <f t="shared" si="5"/>
        <v>1</v>
      </c>
    </row>
    <row r="28" spans="1:29" ht="15">
      <c r="A28" s="912"/>
      <c r="B28" s="568" t="s">
        <v>802</v>
      </c>
      <c r="C28" s="560"/>
      <c r="D28" s="526">
        <v>100</v>
      </c>
      <c r="E28" s="560"/>
      <c r="F28" s="561">
        <f>SUMIF(83:83,E28,84:84)-SUMIF(83:83,C28,84:84)+100</f>
        <v>100</v>
      </c>
      <c r="G28" s="560"/>
      <c r="H28" s="526">
        <f>SUMIF(83:83,G28,84:84)-SUMIF(83:83,C28,84:84)+100</f>
        <v>100</v>
      </c>
      <c r="I28" s="560"/>
      <c r="J28" s="526">
        <f>SUMIF(83:83,I28,84:84)-SUMIF(83:83,C28,84:84)+100</f>
        <v>100</v>
      </c>
      <c r="K28" s="570"/>
      <c r="L28" s="2010"/>
      <c r="M28" s="2002"/>
      <c r="N28" s="2002"/>
      <c r="O28" s="2009"/>
      <c r="P28" s="3855"/>
      <c r="Q28" s="1494" t="str">
        <f t="shared" si="11"/>
        <v>公共部分装修</v>
      </c>
      <c r="R28" s="1495" t="s">
        <v>8</v>
      </c>
      <c r="S28" s="1496">
        <f t="shared" si="12"/>
        <v>100</v>
      </c>
      <c r="T28" s="1495" t="s">
        <v>8</v>
      </c>
      <c r="U28" s="1496">
        <f t="shared" si="13"/>
        <v>100</v>
      </c>
      <c r="V28" s="1495" t="s">
        <v>8</v>
      </c>
      <c r="W28" s="1496">
        <f t="shared" si="14"/>
        <v>100</v>
      </c>
      <c r="X28" s="1489"/>
      <c r="Y28" s="3855"/>
      <c r="Z28" s="1497" t="str">
        <f t="shared" si="15"/>
        <v>公共部分装修</v>
      </c>
      <c r="AA28" s="1498">
        <f t="shared" si="3"/>
        <v>1</v>
      </c>
      <c r="AB28" s="1498">
        <f t="shared" si="4"/>
        <v>1</v>
      </c>
      <c r="AC28" s="1498">
        <f t="shared" si="5"/>
        <v>1</v>
      </c>
    </row>
    <row r="29" spans="1:29" ht="15">
      <c r="A29" s="912"/>
      <c r="B29" s="568" t="s">
        <v>803</v>
      </c>
      <c r="C29" s="861"/>
      <c r="D29" s="526">
        <v>100</v>
      </c>
      <c r="E29" s="864"/>
      <c r="F29" s="561" t="e">
        <f>LOOKUP(E29,86:86,87:87)-LOOKUP(C29,86:86,87:87)+100</f>
        <v>#N/A</v>
      </c>
      <c r="G29" s="864"/>
      <c r="H29" s="561" t="e">
        <f>LOOKUP(G29,86:86,87:87)-LOOKUP(C29,86:86,87:87)+100</f>
        <v>#N/A</v>
      </c>
      <c r="I29" s="864"/>
      <c r="J29" s="526" t="e">
        <f>LOOKUP(I29,86:86,87:87)-LOOKUP(C29,86:86,87:87)+100</f>
        <v>#N/A</v>
      </c>
      <c r="K29" s="570"/>
      <c r="L29" s="2010"/>
      <c r="M29" s="2002"/>
      <c r="N29" s="2002"/>
      <c r="O29" s="2009"/>
      <c r="P29" s="3855"/>
      <c r="Q29" s="1494" t="str">
        <f t="shared" si="11"/>
        <v>成新率</v>
      </c>
      <c r="R29" s="1495" t="s">
        <v>8</v>
      </c>
      <c r="S29" s="1496" t="e">
        <f t="shared" si="12"/>
        <v>#N/A</v>
      </c>
      <c r="T29" s="1495" t="s">
        <v>8</v>
      </c>
      <c r="U29" s="1496" t="e">
        <f t="shared" si="13"/>
        <v>#N/A</v>
      </c>
      <c r="V29" s="1495" t="s">
        <v>8</v>
      </c>
      <c r="W29" s="1496" t="e">
        <f t="shared" si="14"/>
        <v>#N/A</v>
      </c>
      <c r="X29" s="1489"/>
      <c r="Y29" s="3855"/>
      <c r="Z29" s="1497" t="str">
        <f t="shared" si="15"/>
        <v>成新率</v>
      </c>
      <c r="AA29" s="1498" t="e">
        <f t="shared" si="3"/>
        <v>#N/A</v>
      </c>
      <c r="AB29" s="1498" t="e">
        <f t="shared" si="4"/>
        <v>#N/A</v>
      </c>
      <c r="AC29" s="1498" t="e">
        <f t="shared" si="5"/>
        <v>#N/A</v>
      </c>
    </row>
    <row r="30" spans="1:29" ht="15">
      <c r="A30" s="912"/>
      <c r="B30" s="568" t="s">
        <v>804</v>
      </c>
      <c r="C30" s="913"/>
      <c r="D30" s="526">
        <v>100</v>
      </c>
      <c r="E30" s="913"/>
      <c r="F30" s="561">
        <f>SUMIF(88:88,E30,89:89)-SUMIF(88:88,C30,89:89)+100</f>
        <v>100</v>
      </c>
      <c r="G30" s="913"/>
      <c r="H30" s="526">
        <f>SUMIF(88:88,E30,89:89)-SUMIF(88:88,C30,89:89)+100</f>
        <v>100</v>
      </c>
      <c r="I30" s="913"/>
      <c r="J30" s="526">
        <f>SUMIF(88:88,E30,89:89)-SUMIF(88:88,C30,89:89)+100</f>
        <v>100</v>
      </c>
      <c r="K30" s="570"/>
      <c r="L30" s="2010"/>
      <c r="M30" s="2002"/>
      <c r="N30" s="2002"/>
      <c r="O30" s="2009"/>
      <c r="P30" s="3855"/>
      <c r="Q30" s="1494" t="str">
        <f t="shared" si="11"/>
        <v>物业等级</v>
      </c>
      <c r="R30" s="1495" t="s">
        <v>8</v>
      </c>
      <c r="S30" s="1496">
        <f t="shared" si="12"/>
        <v>100</v>
      </c>
      <c r="T30" s="1495" t="s">
        <v>8</v>
      </c>
      <c r="U30" s="1496">
        <f t="shared" si="13"/>
        <v>100</v>
      </c>
      <c r="V30" s="1495" t="s">
        <v>8</v>
      </c>
      <c r="W30" s="1496">
        <f t="shared" si="14"/>
        <v>100</v>
      </c>
      <c r="X30" s="1489"/>
      <c r="Y30" s="3855"/>
      <c r="Z30" s="1497" t="str">
        <f t="shared" si="15"/>
        <v>物业等级</v>
      </c>
      <c r="AA30" s="1498">
        <f t="shared" si="3"/>
        <v>1</v>
      </c>
      <c r="AB30" s="1498">
        <f t="shared" si="4"/>
        <v>1</v>
      </c>
      <c r="AC30" s="1498">
        <f t="shared" si="5"/>
        <v>1</v>
      </c>
    </row>
    <row r="31" spans="1:29" s="1194" customFormat="1" ht="15">
      <c r="A31" s="914"/>
      <c r="B31" s="568" t="s">
        <v>805</v>
      </c>
      <c r="C31" s="861"/>
      <c r="D31" s="245">
        <v>100</v>
      </c>
      <c r="E31" s="861"/>
      <c r="F31" s="561" t="e">
        <f>LOOKUP(E31,91:91,92:92)-LOOKUP(C31,91:91,92:92)+100</f>
        <v>#N/A</v>
      </c>
      <c r="G31" s="861"/>
      <c r="H31" s="526" t="e">
        <f>LOOKUP(G31,91:91,92:92)-LOOKUP(C31,91:91,92:92)+100</f>
        <v>#N/A</v>
      </c>
      <c r="I31" s="861"/>
      <c r="J31" s="526" t="e">
        <f>LOOKUP(I31,91:91,92:92)-LOOKUP(C31,91:91,92:92)+100</f>
        <v>#N/A</v>
      </c>
      <c r="K31" s="570"/>
      <c r="L31" s="2003"/>
      <c r="M31" s="2004"/>
      <c r="N31" s="2004"/>
      <c r="O31" s="2005"/>
      <c r="P31" s="3855"/>
      <c r="Q31" s="1125" t="str">
        <f t="shared" si="11"/>
        <v>停车位面积</v>
      </c>
      <c r="R31" s="1490" t="s">
        <v>8</v>
      </c>
      <c r="S31" s="1491" t="e">
        <f t="shared" si="12"/>
        <v>#N/A</v>
      </c>
      <c r="T31" s="1490" t="s">
        <v>8</v>
      </c>
      <c r="U31" s="1491" t="e">
        <f t="shared" si="13"/>
        <v>#N/A</v>
      </c>
      <c r="V31" s="1490" t="s">
        <v>8</v>
      </c>
      <c r="W31" s="1491" t="e">
        <f t="shared" si="14"/>
        <v>#N/A</v>
      </c>
      <c r="X31" s="1492"/>
      <c r="Y31" s="3855"/>
      <c r="Z31" s="1124" t="str">
        <f t="shared" si="15"/>
        <v>停车位面积</v>
      </c>
      <c r="AA31" s="1493" t="e">
        <f t="shared" si="3"/>
        <v>#N/A</v>
      </c>
      <c r="AB31" s="1493" t="e">
        <f t="shared" si="4"/>
        <v>#N/A</v>
      </c>
      <c r="AC31" s="1493" t="e">
        <f t="shared" si="5"/>
        <v>#N/A</v>
      </c>
    </row>
    <row r="32" spans="1:29" ht="15">
      <c r="A32" s="912"/>
      <c r="B32" s="568" t="s">
        <v>806</v>
      </c>
      <c r="C32" s="560"/>
      <c r="D32" s="526">
        <v>100</v>
      </c>
      <c r="E32" s="560"/>
      <c r="F32" s="561">
        <f>SUMIF(93:93,E32,94:94)-SUMIF(93:93,C32,94:94)+100</f>
        <v>100</v>
      </c>
      <c r="G32" s="560"/>
      <c r="H32" s="526">
        <f>SUMIF(93:93,G32,94:94)-SUMIF(93:93,C32,94:94)+100</f>
        <v>100</v>
      </c>
      <c r="I32" s="560"/>
      <c r="J32" s="526">
        <f>SUMIF(93:93,I32,94:94)-SUMIF(93:93,C32,94:94)+100</f>
        <v>100</v>
      </c>
      <c r="K32" s="570"/>
      <c r="L32" s="2010"/>
      <c r="M32" s="2002"/>
      <c r="N32" s="2002"/>
      <c r="O32" s="2009"/>
      <c r="P32" s="3855" t="s">
        <v>544</v>
      </c>
      <c r="Q32" s="1494" t="str">
        <f t="shared" si="11"/>
        <v>车位类型</v>
      </c>
      <c r="R32" s="1495" t="s">
        <v>8</v>
      </c>
      <c r="S32" s="1496">
        <f t="shared" si="12"/>
        <v>100</v>
      </c>
      <c r="T32" s="1495" t="s">
        <v>8</v>
      </c>
      <c r="U32" s="1496">
        <f t="shared" si="13"/>
        <v>100</v>
      </c>
      <c r="V32" s="1495" t="s">
        <v>8</v>
      </c>
      <c r="W32" s="1496">
        <f t="shared" si="14"/>
        <v>100</v>
      </c>
      <c r="X32" s="1489"/>
      <c r="Y32" s="3855" t="s">
        <v>544</v>
      </c>
      <c r="Z32" s="1497" t="str">
        <f t="shared" si="15"/>
        <v>车位类型</v>
      </c>
      <c r="AA32" s="1498">
        <f t="shared" si="3"/>
        <v>1</v>
      </c>
      <c r="AB32" s="1498">
        <f t="shared" si="4"/>
        <v>1</v>
      </c>
      <c r="AC32" s="1498">
        <f t="shared" si="5"/>
        <v>1</v>
      </c>
    </row>
    <row r="33" spans="1:29" ht="15">
      <c r="A33" s="912"/>
      <c r="B33" s="568" t="s">
        <v>807</v>
      </c>
      <c r="C33" s="560"/>
      <c r="D33" s="526">
        <v>100</v>
      </c>
      <c r="E33" s="560"/>
      <c r="F33" s="561">
        <f>SUMIF(95:95,E33,96:96)-SUMIF(95:95,C33,96:96)+100</f>
        <v>100</v>
      </c>
      <c r="G33" s="560"/>
      <c r="H33" s="526">
        <f>SUMIF(95:95,G33,96:96)-SUMIF(95:95,C33,96:96)+100</f>
        <v>100</v>
      </c>
      <c r="I33" s="560"/>
      <c r="J33" s="526">
        <f>SUMIF(95:95,I33,96:96)-SUMIF(95:95,C33,96:96)+100</f>
        <v>100</v>
      </c>
      <c r="K33" s="570"/>
      <c r="L33" s="2010"/>
      <c r="M33" s="2002"/>
      <c r="N33" s="2002"/>
      <c r="O33" s="2009"/>
      <c r="P33" s="3855"/>
      <c r="Q33" s="1494" t="str">
        <f t="shared" si="11"/>
        <v>是否直接入户</v>
      </c>
      <c r="R33" s="1495" t="s">
        <v>8</v>
      </c>
      <c r="S33" s="1496">
        <f t="shared" si="12"/>
        <v>100</v>
      </c>
      <c r="T33" s="1495" t="s">
        <v>8</v>
      </c>
      <c r="U33" s="1496">
        <f t="shared" si="13"/>
        <v>100</v>
      </c>
      <c r="V33" s="1495" t="s">
        <v>8</v>
      </c>
      <c r="W33" s="1496">
        <f t="shared" si="14"/>
        <v>100</v>
      </c>
      <c r="X33" s="1489"/>
      <c r="Y33" s="3855"/>
      <c r="Z33" s="1497" t="str">
        <f t="shared" si="15"/>
        <v>是否直接入户</v>
      </c>
      <c r="AA33" s="1498">
        <f t="shared" si="3"/>
        <v>1</v>
      </c>
      <c r="AB33" s="1498">
        <f t="shared" si="4"/>
        <v>1</v>
      </c>
      <c r="AC33" s="1498">
        <f t="shared" si="5"/>
        <v>1</v>
      </c>
    </row>
    <row r="34" spans="1:29" ht="15">
      <c r="A34" s="912"/>
      <c r="B34" s="906">
        <v>111</v>
      </c>
      <c r="C34" s="514"/>
      <c r="D34" s="526">
        <v>100</v>
      </c>
      <c r="E34" s="514"/>
      <c r="F34" s="561">
        <f>SUMIF(97:97,E34,98:98)-SUMIF(97:97,C34,98:98)+100</f>
        <v>100</v>
      </c>
      <c r="G34" s="514"/>
      <c r="H34" s="526">
        <f>SUMIF(97:97,G34,98:98)-SUMIF(97:97,C34,98:98)+100</f>
        <v>100</v>
      </c>
      <c r="I34" s="514"/>
      <c r="J34" s="526">
        <f>SUMIF(97:97,I34,98:98)-SUMIF(97:97,C34,98:98)+100</f>
        <v>100</v>
      </c>
      <c r="K34" s="567"/>
      <c r="L34" s="2010"/>
      <c r="M34" s="2002"/>
      <c r="N34" s="2002"/>
      <c r="O34" s="2009"/>
      <c r="P34" s="3855"/>
      <c r="Q34" s="1494">
        <f t="shared" si="11"/>
        <v>111</v>
      </c>
      <c r="R34" s="1495" t="s">
        <v>8</v>
      </c>
      <c r="S34" s="1496">
        <f t="shared" si="12"/>
        <v>100</v>
      </c>
      <c r="T34" s="1495" t="s">
        <v>8</v>
      </c>
      <c r="U34" s="1496">
        <f t="shared" si="13"/>
        <v>100</v>
      </c>
      <c r="V34" s="1495" t="s">
        <v>8</v>
      </c>
      <c r="W34" s="1496">
        <f t="shared" si="14"/>
        <v>100</v>
      </c>
      <c r="X34" s="1489"/>
      <c r="Y34" s="3855"/>
      <c r="Z34" s="1497">
        <f t="shared" si="15"/>
        <v>111</v>
      </c>
      <c r="AA34" s="1498">
        <f t="shared" si="3"/>
        <v>1</v>
      </c>
      <c r="AB34" s="1498">
        <f t="shared" si="4"/>
        <v>1</v>
      </c>
      <c r="AC34" s="1498">
        <f t="shared" si="5"/>
        <v>1</v>
      </c>
    </row>
    <row r="35" spans="1:29" s="1283" customFormat="1" ht="15">
      <c r="A35" s="910"/>
      <c r="B35" s="906">
        <v>111</v>
      </c>
      <c r="C35" s="514"/>
      <c r="D35" s="526">
        <v>100</v>
      </c>
      <c r="E35" s="514"/>
      <c r="F35" s="561">
        <f>SUMIF(99:99,E35,100:100)-SUMIF(99:99,C35,100:100)+100</f>
        <v>100</v>
      </c>
      <c r="G35" s="514"/>
      <c r="H35" s="526">
        <f>SUMIF(99:99,G35,100:100)-SUMIF(99:99,C35,100:100)+100</f>
        <v>100</v>
      </c>
      <c r="I35" s="514"/>
      <c r="J35" s="526">
        <f>SUMIF(99:99,I35,100:100)-SUMIF(99:99,C35,100:100)+100</f>
        <v>100</v>
      </c>
      <c r="K35" s="567"/>
      <c r="L35" s="2008"/>
      <c r="M35" s="2038"/>
      <c r="N35" s="2038"/>
      <c r="O35" s="2011"/>
      <c r="P35" s="3855"/>
      <c r="Q35" s="1523">
        <f t="shared" si="11"/>
        <v>111</v>
      </c>
      <c r="R35" s="1499" t="s">
        <v>8</v>
      </c>
      <c r="S35" s="1500">
        <f t="shared" si="12"/>
        <v>100</v>
      </c>
      <c r="T35" s="1499" t="s">
        <v>8</v>
      </c>
      <c r="U35" s="1500">
        <f t="shared" si="13"/>
        <v>100</v>
      </c>
      <c r="V35" s="1499" t="s">
        <v>8</v>
      </c>
      <c r="W35" s="1500">
        <f t="shared" si="14"/>
        <v>100</v>
      </c>
      <c r="X35" s="1501"/>
      <c r="Y35" s="3855"/>
      <c r="Z35" s="1502">
        <f t="shared" si="15"/>
        <v>111</v>
      </c>
      <c r="AA35" s="1498">
        <f t="shared" si="3"/>
        <v>1</v>
      </c>
      <c r="AB35" s="1498">
        <f t="shared" si="4"/>
        <v>1</v>
      </c>
      <c r="AC35" s="1498">
        <f t="shared" si="5"/>
        <v>1</v>
      </c>
    </row>
    <row r="36" spans="1:29" ht="15.75" thickBot="1">
      <c r="A36" s="915"/>
      <c r="B36" s="895">
        <v>111</v>
      </c>
      <c r="C36" s="525"/>
      <c r="D36" s="526">
        <v>100</v>
      </c>
      <c r="E36" s="514"/>
      <c r="F36" s="561">
        <f>SUMIF(101:101,E36,102:102)-SUMIF(101:101,C36,102:102)+100</f>
        <v>100</v>
      </c>
      <c r="G36" s="514"/>
      <c r="H36" s="526">
        <f>SUMIF(101:101,G36,102:102)-SUMIF(101:101,C36,102:102)+100</f>
        <v>100</v>
      </c>
      <c r="I36" s="514"/>
      <c r="J36" s="526">
        <f>SUMIF(101:101,I36,102:102)-SUMIF(101:101,C36,102:102)+100</f>
        <v>100</v>
      </c>
      <c r="K36" s="567"/>
      <c r="L36" s="2010"/>
      <c r="M36" s="2002"/>
      <c r="N36" s="2002"/>
      <c r="O36" s="2009"/>
      <c r="P36" s="3855"/>
      <c r="Q36" s="1494">
        <f t="shared" si="11"/>
        <v>111</v>
      </c>
      <c r="R36" s="1495" t="s">
        <v>8</v>
      </c>
      <c r="S36" s="1496">
        <f t="shared" si="12"/>
        <v>100</v>
      </c>
      <c r="T36" s="1495" t="s">
        <v>8</v>
      </c>
      <c r="U36" s="1496">
        <f t="shared" si="13"/>
        <v>100</v>
      </c>
      <c r="V36" s="1495" t="s">
        <v>8</v>
      </c>
      <c r="W36" s="1496">
        <f t="shared" si="14"/>
        <v>100</v>
      </c>
      <c r="X36" s="1489"/>
      <c r="Y36" s="3855"/>
      <c r="Z36" s="1497">
        <f t="shared" si="15"/>
        <v>111</v>
      </c>
      <c r="AA36" s="1498">
        <f t="shared" si="3"/>
        <v>1</v>
      </c>
      <c r="AB36" s="1498">
        <f t="shared" si="4"/>
        <v>1</v>
      </c>
      <c r="AC36" s="1498">
        <f t="shared" si="5"/>
        <v>1</v>
      </c>
    </row>
    <row r="37" spans="1:29" ht="15">
      <c r="A37" s="1746" t="s">
        <v>2063</v>
      </c>
      <c r="B37" s="1747" t="s">
        <v>2064</v>
      </c>
      <c r="C37" s="2456" t="s">
        <v>1</v>
      </c>
      <c r="D37" s="2457"/>
      <c r="E37" s="2458"/>
      <c r="F37" s="2459"/>
      <c r="G37" s="2460"/>
      <c r="H37" s="2461"/>
      <c r="I37" s="2458"/>
      <c r="J37" s="2461"/>
      <c r="K37" s="1528"/>
      <c r="L37" s="2012"/>
      <c r="M37" s="2013"/>
      <c r="N37" s="2002"/>
      <c r="O37" s="2013"/>
      <c r="P37" s="3850" t="str">
        <f>A37</f>
        <v>成交单价</v>
      </c>
      <c r="Q37" s="3850"/>
      <c r="R37" s="3960">
        <f>E37</f>
        <v>0</v>
      </c>
      <c r="S37" s="3960"/>
      <c r="T37" s="3960">
        <f>G37</f>
        <v>0</v>
      </c>
      <c r="U37" s="3960"/>
      <c r="V37" s="3960">
        <f>I37</f>
        <v>0</v>
      </c>
      <c r="W37" s="3960"/>
      <c r="X37" s="1484"/>
      <c r="Y37" s="1503"/>
      <c r="Z37" s="1484"/>
      <c r="AA37" s="1484"/>
      <c r="AB37" s="1484"/>
      <c r="AC37" s="1484"/>
    </row>
    <row r="38" spans="1:29" ht="15.75" thickBot="1">
      <c r="A38" s="601" t="s">
        <v>2734</v>
      </c>
      <c r="B38" s="869"/>
      <c r="C38" s="2462" t="e">
        <f>R39</f>
        <v>#DIV/0!</v>
      </c>
      <c r="D38" s="2999" t="s">
        <v>2961</v>
      </c>
      <c r="E38" s="2463" t="e">
        <f>R38</f>
        <v>#DIV/0!</v>
      </c>
      <c r="F38" s="3000"/>
      <c r="G38" s="2462" t="e">
        <f>T38</f>
        <v>#DIV/0!</v>
      </c>
      <c r="H38" s="3000"/>
      <c r="I38" s="2463" t="e">
        <f>V38</f>
        <v>#DIV/0!</v>
      </c>
      <c r="J38" s="3000"/>
      <c r="K38" s="3008">
        <f>F38+H38+J38</f>
        <v>0</v>
      </c>
      <c r="L38" s="2012"/>
      <c r="M38" s="2013"/>
      <c r="N38" s="2013"/>
      <c r="O38" s="2013"/>
      <c r="P38" s="3850" t="str">
        <f>A38</f>
        <v>比较价格（元/平方米）</v>
      </c>
      <c r="Q38" s="3850"/>
      <c r="R38" s="3960" t="e">
        <f>IF(F1="售价",ROUND(PRODUCT(R37,AA7:AA36),0),ROUND(PRODUCT(R37,AA7:AA36),1))</f>
        <v>#DIV/0!</v>
      </c>
      <c r="S38" s="3960"/>
      <c r="T38" s="3960" t="e">
        <f>IF(F1="售价",ROUND(PRODUCT(T37,AB7:AB36),0),ROUND(PRODUCT(T37,AB7:AB36),1))</f>
        <v>#DIV/0!</v>
      </c>
      <c r="U38" s="3960"/>
      <c r="V38" s="3960" t="e">
        <f>IF(F1="售价",ROUND(PRODUCT(V37,AC7:AC36),0),ROUND(PRODUCT(V37,AC7:AC36),1))</f>
        <v>#DIV/0!</v>
      </c>
      <c r="W38" s="3960"/>
      <c r="X38" s="1484"/>
      <c r="Y38" s="1484"/>
      <c r="Z38" s="1484"/>
      <c r="AA38" s="1484"/>
      <c r="AB38" s="1484"/>
      <c r="AC38" s="1484"/>
    </row>
    <row r="39" spans="1:29" ht="15.75" thickBot="1">
      <c r="A39" s="605" t="s">
        <v>2893</v>
      </c>
      <c r="B39" s="606"/>
      <c r="C39" s="2464" t="e">
        <f>R39</f>
        <v>#DIV/0!</v>
      </c>
      <c r="D39" s="2464"/>
      <c r="E39" s="2464"/>
      <c r="F39" s="2464"/>
      <c r="G39" s="2464"/>
      <c r="H39" s="2464"/>
      <c r="I39" s="2464"/>
      <c r="J39" s="2464"/>
      <c r="K39" s="1529"/>
      <c r="L39" s="2012"/>
      <c r="M39" s="2013"/>
      <c r="N39" s="2013"/>
      <c r="O39" s="2013"/>
      <c r="P39" s="3871" t="str">
        <f>A39</f>
        <v>估价对象XX用房的比较价格（楼面单价，元/平方米）</v>
      </c>
      <c r="Q39" s="3872"/>
      <c r="R39" s="3959" t="e">
        <f>IF(F1="售价",ROUND(IF(D38="简单平均",AVERAGE(R38:W38),R38*F38+T38*H38+V38*J38),0),ROUND(IF(D38="简单平均",AVERAGE(R38:V38),R38*F38+T38*H38+V38*J38),1))</f>
        <v>#DIV/0!</v>
      </c>
      <c r="S39" s="3959"/>
      <c r="T39" s="3959"/>
      <c r="U39" s="3959"/>
      <c r="V39" s="3959"/>
      <c r="W39" s="3959"/>
      <c r="X39" s="1484"/>
      <c r="Y39" s="1484"/>
      <c r="Z39" s="1484"/>
      <c r="AA39" s="1484"/>
      <c r="AB39" s="1484"/>
      <c r="AC39" s="1484"/>
    </row>
    <row r="40" spans="1:29">
      <c r="A40" s="3199"/>
      <c r="B40" s="3199"/>
      <c r="C40" s="3199"/>
      <c r="D40" s="3199"/>
      <c r="E40" s="3199"/>
      <c r="F40" s="3199"/>
      <c r="G40" s="3201"/>
      <c r="H40" s="3199"/>
      <c r="I40" s="3199"/>
      <c r="J40" s="3199"/>
      <c r="K40" s="3202"/>
      <c r="L40" s="2017"/>
      <c r="M40" s="2013"/>
      <c r="N40" s="2013"/>
      <c r="O40" s="2013"/>
      <c r="P40" s="2013"/>
      <c r="Q40" s="2013"/>
      <c r="R40" s="2013"/>
      <c r="S40" s="2013"/>
      <c r="T40" s="2013"/>
      <c r="U40" s="2013"/>
      <c r="V40" s="2013"/>
      <c r="W40" s="2013"/>
      <c r="X40" s="2013"/>
      <c r="Y40" s="2013"/>
      <c r="Z40" s="2013"/>
      <c r="AA40" s="2013"/>
      <c r="AB40" s="2013"/>
      <c r="AC40" s="2013"/>
    </row>
    <row r="41" spans="1:29">
      <c r="A41" s="3199"/>
      <c r="B41" s="3199"/>
      <c r="C41" s="3199"/>
      <c r="D41" s="3199"/>
      <c r="E41" s="3199"/>
      <c r="F41" s="3199"/>
      <c r="G41" s="3199"/>
      <c r="H41" s="3199"/>
      <c r="I41" s="3199"/>
      <c r="J41" s="3199"/>
      <c r="K41" s="3202"/>
      <c r="L41" s="2017"/>
      <c r="M41" s="2013"/>
      <c r="N41" s="2013"/>
      <c r="O41" s="2013"/>
      <c r="P41" s="2013"/>
      <c r="Q41" s="2013"/>
      <c r="R41" s="2013"/>
      <c r="S41" s="2013"/>
      <c r="T41" s="2013"/>
      <c r="U41" s="2013"/>
      <c r="V41" s="2013"/>
      <c r="W41" s="2013"/>
      <c r="X41" s="2013"/>
      <c r="Y41" s="2013"/>
      <c r="Z41" s="2013"/>
      <c r="AA41" s="2013"/>
      <c r="AB41" s="2013"/>
      <c r="AC41" s="2013"/>
    </row>
    <row r="42" spans="1:29" ht="13.5" customHeight="1">
      <c r="A42" s="3199"/>
      <c r="B42" s="3199"/>
      <c r="C42" s="608" t="s">
        <v>551</v>
      </c>
      <c r="D42" s="609"/>
      <c r="E42" s="610" t="e">
        <f>IF(E37&lt;E38,E38/E37-1,E37/E38-1)</f>
        <v>#DIV/0!</v>
      </c>
      <c r="F42" s="611" t="e">
        <f>IF(OR(E42&gt;=0.3,E42&lt;=-0.3),"超过30%","")</f>
        <v>#DIV/0!</v>
      </c>
      <c r="G42" s="610" t="e">
        <f>IF(G37&lt;G38,G38/G37-1,G37/G38-1)</f>
        <v>#DIV/0!</v>
      </c>
      <c r="H42" s="611" t="e">
        <f>IF(OR(G42&gt;=0.3,G42&lt;=-0.3),"超过30%","")</f>
        <v>#DIV/0!</v>
      </c>
      <c r="I42" s="610" t="e">
        <f>IF(I37&lt;I38,I38/I37-1,I37/I38-1)</f>
        <v>#DIV/0!</v>
      </c>
      <c r="J42" s="611" t="e">
        <f>IF(OR(I42&gt;=0.3,I42&lt;=-0.3),"超过30%","")</f>
        <v>#DIV/0!</v>
      </c>
      <c r="K42" s="3202"/>
      <c r="L42" s="2017"/>
      <c r="M42" s="2013"/>
      <c r="N42" s="2013"/>
      <c r="O42" s="2013"/>
      <c r="P42" s="2013"/>
      <c r="Q42" s="2013"/>
      <c r="R42" s="2013"/>
      <c r="S42" s="2013"/>
      <c r="T42" s="2013"/>
      <c r="U42" s="2013"/>
      <c r="V42" s="2013"/>
      <c r="W42" s="2013"/>
      <c r="X42" s="2013"/>
      <c r="Y42" s="2013"/>
      <c r="Z42" s="2013"/>
      <c r="AA42" s="2013"/>
      <c r="AB42" s="2013"/>
      <c r="AC42" s="2013"/>
    </row>
    <row r="43" spans="1:29" ht="13.5" customHeight="1">
      <c r="A43" s="3199"/>
      <c r="B43" s="3199"/>
      <c r="C43" s="608" t="s">
        <v>552</v>
      </c>
      <c r="D43" s="612"/>
      <c r="E43" s="610" t="e">
        <f>IF(E38&lt;G38,G38/E38-1,E38/G38-1)</f>
        <v>#DIV/0!</v>
      </c>
      <c r="F43" s="611" t="e">
        <f>IF(OR(E43&gt;=0.2,E43&lt;=-0.2),"超过20%","")</f>
        <v>#DIV/0!</v>
      </c>
      <c r="G43" s="610" t="e">
        <f>IF(G38&lt;I38,I38/G38-1,G38/I38-1)</f>
        <v>#DIV/0!</v>
      </c>
      <c r="H43" s="611" t="e">
        <f>IF(OR(G43&gt;=0.2,G43&lt;=-0.2),"超过20%","")</f>
        <v>#DIV/0!</v>
      </c>
      <c r="I43" s="610" t="e">
        <f>IF(I38&lt;E38,E38/I38-1,I38/E38-1)</f>
        <v>#DIV/0!</v>
      </c>
      <c r="J43" s="611" t="e">
        <f>IF(OR(I43&gt;=0.2,I43&lt;=-0.2),"超过20%","")</f>
        <v>#DIV/0!</v>
      </c>
      <c r="K43" s="3202"/>
      <c r="L43" s="2017"/>
      <c r="M43" s="2013"/>
      <c r="N43" s="2013"/>
      <c r="O43" s="2013"/>
      <c r="P43" s="2013"/>
      <c r="Q43" s="2013"/>
      <c r="R43" s="2013"/>
      <c r="S43" s="2013"/>
      <c r="T43" s="2013"/>
      <c r="U43" s="2013"/>
      <c r="V43" s="2013"/>
      <c r="W43" s="2013"/>
      <c r="X43" s="2013"/>
      <c r="Y43" s="2013"/>
      <c r="Z43" s="2013"/>
      <c r="AA43" s="2013"/>
      <c r="AB43" s="2013"/>
      <c r="AC43" s="2013"/>
    </row>
    <row r="44" spans="1:29" s="1288" customFormat="1" ht="13.5" customHeight="1">
      <c r="A44" s="3200"/>
      <c r="B44" s="3200"/>
      <c r="C44" s="608" t="s">
        <v>553</v>
      </c>
      <c r="D44" s="612"/>
      <c r="E44" s="610" t="e">
        <f>IF(E37&lt;G37,G37/E37-1,E37/G37-1)</f>
        <v>#DIV/0!</v>
      </c>
      <c r="F44" s="611" t="e">
        <f>IF(OR(E44&gt;=0.3,E44&lt;=-0.3),"超过30%","")</f>
        <v>#DIV/0!</v>
      </c>
      <c r="G44" s="610" t="e">
        <f>IF(G37&lt;I37,I37/G37-1,G37/I37-1)</f>
        <v>#DIV/0!</v>
      </c>
      <c r="H44" s="611" t="e">
        <f>IF(OR(G44&gt;=0.3,G44&lt;=-0.3),"超过30%","")</f>
        <v>#DIV/0!</v>
      </c>
      <c r="I44" s="610" t="e">
        <f>IF(I37&lt;E37,E37/I37-1,I37/E37-1)</f>
        <v>#DIV/0!</v>
      </c>
      <c r="J44" s="611" t="e">
        <f>IF(OR(I44&gt;=0.3,I44&lt;=-0.3),"超过30%","")</f>
        <v>#DIV/0!</v>
      </c>
      <c r="K44" s="3203"/>
      <c r="L44" s="2020"/>
      <c r="M44" s="2014"/>
      <c r="N44" s="2014"/>
      <c r="O44" s="2014"/>
      <c r="P44" s="2014"/>
      <c r="Q44" s="2014"/>
      <c r="R44" s="2014"/>
      <c r="S44" s="2014"/>
      <c r="T44" s="2014"/>
      <c r="U44" s="2014"/>
      <c r="V44" s="2014"/>
      <c r="W44" s="2014"/>
      <c r="X44" s="2014"/>
      <c r="Y44" s="2014"/>
      <c r="Z44" s="2014"/>
      <c r="AA44" s="2014"/>
      <c r="AB44" s="2014"/>
      <c r="AC44" s="2014"/>
    </row>
    <row r="45" spans="1:29" s="1288" customFormat="1">
      <c r="A45" s="2014"/>
      <c r="B45" s="2015"/>
      <c r="C45" s="2018"/>
      <c r="D45" s="2014"/>
      <c r="E45" s="2014"/>
      <c r="F45" s="2014"/>
      <c r="G45" s="2014"/>
      <c r="H45" s="2014"/>
      <c r="I45" s="2014"/>
      <c r="J45" s="2014"/>
      <c r="K45" s="2019"/>
      <c r="L45" s="2020"/>
      <c r="M45" s="2014"/>
      <c r="N45" s="2014"/>
      <c r="O45" s="2014"/>
      <c r="P45" s="2014"/>
      <c r="Q45" s="2014"/>
      <c r="R45" s="2014"/>
      <c r="S45" s="2014"/>
      <c r="T45" s="2014"/>
      <c r="U45" s="2014"/>
      <c r="V45" s="2014"/>
      <c r="W45" s="2014"/>
      <c r="X45" s="2014"/>
      <c r="Y45" s="2014"/>
      <c r="Z45" s="2014"/>
      <c r="AA45" s="2014"/>
      <c r="AB45" s="2014"/>
      <c r="AC45" s="2014"/>
    </row>
    <row r="46" spans="1:29">
      <c r="A46" s="2013"/>
      <c r="B46" s="2015"/>
      <c r="C46" s="2018"/>
      <c r="D46" s="2013"/>
      <c r="E46" s="2013"/>
      <c r="F46" s="2013"/>
      <c r="G46" s="2013"/>
      <c r="H46" s="2013"/>
      <c r="I46" s="2013"/>
      <c r="J46" s="2013"/>
      <c r="K46" s="2016"/>
      <c r="L46" s="2017"/>
      <c r="M46" s="2013"/>
      <c r="N46" s="2013"/>
      <c r="O46" s="2013"/>
      <c r="P46" s="2013"/>
      <c r="Q46" s="2013"/>
      <c r="R46" s="2013"/>
      <c r="S46" s="2013"/>
      <c r="T46" s="2013"/>
      <c r="U46" s="2013"/>
      <c r="V46" s="2013"/>
      <c r="W46" s="2013"/>
      <c r="X46" s="2013"/>
      <c r="Y46" s="2013"/>
      <c r="Z46" s="2013"/>
      <c r="AA46" s="2013"/>
      <c r="AB46" s="2013"/>
      <c r="AC46" s="2013"/>
    </row>
    <row r="47" spans="1:29" ht="21.75" thickBot="1">
      <c r="A47" s="1506" t="s">
        <v>568</v>
      </c>
      <c r="B47" s="1484"/>
      <c r="C47" s="2024"/>
      <c r="D47" s="2024"/>
      <c r="E47" s="2024"/>
      <c r="F47" s="2088"/>
      <c r="G47" s="2088"/>
      <c r="H47" s="2024"/>
      <c r="I47" s="2024"/>
      <c r="J47" s="2024"/>
      <c r="K47" s="2089"/>
      <c r="L47" s="2090"/>
      <c r="M47" s="2024"/>
      <c r="N47" s="2024"/>
      <c r="O47" s="2024"/>
      <c r="P47" s="2024"/>
      <c r="Q47" s="2025"/>
      <c r="R47" s="2013"/>
      <c r="S47" s="2013"/>
      <c r="T47" s="2013"/>
      <c r="U47" s="2013"/>
      <c r="V47" s="2013"/>
      <c r="W47" s="2013"/>
      <c r="X47" s="2013"/>
      <c r="Y47" s="2013"/>
      <c r="Z47" s="2013"/>
      <c r="AA47" s="2013"/>
      <c r="AB47" s="2013"/>
      <c r="AC47" s="2013"/>
    </row>
    <row r="48" spans="1:29" s="1290" customFormat="1" ht="15">
      <c r="A48" s="629" t="s">
        <v>523</v>
      </c>
      <c r="B48" s="630"/>
      <c r="C48" s="2505" t="str">
        <f>YEAR(C7)&amp;"-"&amp;MONTH(C7)</f>
        <v>2020-12</v>
      </c>
      <c r="D48" s="2507">
        <f>EDATE(C48,-1)</f>
        <v>44136</v>
      </c>
      <c r="E48" s="2507">
        <f t="shared" ref="E48:O48" si="16">EDATE(D48,-1)</f>
        <v>44105</v>
      </c>
      <c r="F48" s="2507">
        <f t="shared" si="16"/>
        <v>44075</v>
      </c>
      <c r="G48" s="2507">
        <f t="shared" si="16"/>
        <v>44044</v>
      </c>
      <c r="H48" s="2507">
        <f t="shared" si="16"/>
        <v>44013</v>
      </c>
      <c r="I48" s="2507">
        <f t="shared" si="16"/>
        <v>43983</v>
      </c>
      <c r="J48" s="2507">
        <f t="shared" si="16"/>
        <v>43952</v>
      </c>
      <c r="K48" s="2507">
        <f t="shared" si="16"/>
        <v>43922</v>
      </c>
      <c r="L48" s="2507">
        <f t="shared" si="16"/>
        <v>43891</v>
      </c>
      <c r="M48" s="2507">
        <f t="shared" si="16"/>
        <v>43862</v>
      </c>
      <c r="N48" s="2507">
        <f t="shared" si="16"/>
        <v>43831</v>
      </c>
      <c r="O48" s="2507">
        <f t="shared" si="16"/>
        <v>43800</v>
      </c>
      <c r="P48" s="2027"/>
      <c r="Q48" s="2028"/>
      <c r="R48" s="2028"/>
      <c r="S48" s="2028"/>
      <c r="T48" s="2028"/>
      <c r="U48" s="2028"/>
      <c r="V48" s="2028"/>
      <c r="W48" s="2028"/>
      <c r="X48" s="2028"/>
      <c r="Y48" s="2028"/>
      <c r="Z48" s="2028"/>
      <c r="AA48" s="2028"/>
      <c r="AB48" s="2028"/>
      <c r="AC48" s="2028"/>
    </row>
    <row r="49" spans="1:29" s="1194" customFormat="1" ht="15">
      <c r="A49" s="631"/>
      <c r="B49" s="632"/>
      <c r="C49" s="2506">
        <v>100</v>
      </c>
      <c r="D49" s="634"/>
      <c r="E49" s="634"/>
      <c r="F49" s="634"/>
      <c r="G49" s="634"/>
      <c r="H49" s="634"/>
      <c r="I49" s="634"/>
      <c r="J49" s="634"/>
      <c r="K49" s="634"/>
      <c r="L49" s="634"/>
      <c r="M49" s="635"/>
      <c r="N49" s="634"/>
      <c r="O49" s="636"/>
      <c r="P49" s="2025"/>
      <c r="Q49" s="1891"/>
      <c r="R49" s="1891"/>
      <c r="S49" s="1891"/>
      <c r="T49" s="1891"/>
      <c r="U49" s="1891"/>
      <c r="V49" s="1891"/>
      <c r="W49" s="1891"/>
      <c r="X49" s="1891"/>
      <c r="Y49" s="1891"/>
      <c r="Z49" s="1891"/>
      <c r="AA49" s="1891"/>
      <c r="AB49" s="1891"/>
      <c r="AC49" s="1891"/>
    </row>
    <row r="50" spans="1:29" s="1194" customFormat="1" ht="15.75" thickBot="1">
      <c r="A50" s="637" t="s">
        <v>569</v>
      </c>
      <c r="B50" s="638"/>
      <c r="C50" s="639"/>
      <c r="D50" s="640"/>
      <c r="E50" s="640"/>
      <c r="F50" s="640"/>
      <c r="G50" s="640"/>
      <c r="H50" s="640"/>
      <c r="I50" s="640"/>
      <c r="J50" s="640"/>
      <c r="K50" s="640"/>
      <c r="L50" s="640"/>
      <c r="M50" s="641"/>
      <c r="N50" s="640"/>
      <c r="O50" s="642"/>
      <c r="P50" s="2025"/>
      <c r="Q50" s="2025"/>
      <c r="R50" s="1891"/>
      <c r="S50" s="1891"/>
      <c r="T50" s="1891"/>
      <c r="U50" s="1891"/>
      <c r="V50" s="1891"/>
      <c r="W50" s="1891"/>
      <c r="X50" s="1891"/>
      <c r="Y50" s="1891"/>
      <c r="Z50" s="1891"/>
      <c r="AA50" s="1891"/>
      <c r="AB50" s="1891"/>
      <c r="AC50" s="1891"/>
    </row>
    <row r="51" spans="1:29" s="1194" customFormat="1" ht="15">
      <c r="A51" s="643" t="s">
        <v>525</v>
      </c>
      <c r="B51" s="632"/>
      <c r="C51" s="644" t="s">
        <v>570</v>
      </c>
      <c r="D51" s="645"/>
      <c r="E51" s="645"/>
      <c r="F51" s="645"/>
      <c r="G51" s="645"/>
      <c r="H51" s="645"/>
      <c r="I51" s="645"/>
      <c r="J51" s="645"/>
      <c r="K51" s="645"/>
      <c r="L51" s="646"/>
      <c r="M51" s="647"/>
      <c r="N51" s="2029"/>
      <c r="O51" s="2029"/>
      <c r="P51" s="2030"/>
      <c r="Q51" s="2025"/>
      <c r="R51" s="1891"/>
      <c r="S51" s="1891"/>
      <c r="T51" s="1891"/>
      <c r="U51" s="1891"/>
      <c r="V51" s="1891"/>
      <c r="W51" s="1891"/>
      <c r="X51" s="1891"/>
      <c r="Y51" s="1891"/>
      <c r="Z51" s="1891"/>
      <c r="AA51" s="1891"/>
      <c r="AB51" s="1891"/>
      <c r="AC51" s="1891"/>
    </row>
    <row r="52" spans="1:29" s="1194" customFormat="1" ht="15.75" thickBot="1">
      <c r="A52" s="643"/>
      <c r="B52" s="632"/>
      <c r="C52" s="633">
        <v>100</v>
      </c>
      <c r="D52" s="634"/>
      <c r="E52" s="634"/>
      <c r="F52" s="634"/>
      <c r="G52" s="634"/>
      <c r="H52" s="634"/>
      <c r="I52" s="634"/>
      <c r="J52" s="634"/>
      <c r="K52" s="634"/>
      <c r="L52" s="634"/>
      <c r="M52" s="636"/>
      <c r="N52" s="2029"/>
      <c r="O52" s="2029"/>
      <c r="P52" s="2025"/>
      <c r="Q52" s="2025"/>
      <c r="R52" s="1891"/>
      <c r="S52" s="1891"/>
      <c r="T52" s="1891"/>
      <c r="U52" s="1891"/>
      <c r="V52" s="1891"/>
      <c r="W52" s="1891"/>
      <c r="X52" s="1891"/>
      <c r="Y52" s="1891"/>
      <c r="Z52" s="1891"/>
      <c r="AA52" s="1891"/>
      <c r="AB52" s="1891"/>
      <c r="AC52" s="1891"/>
    </row>
    <row r="53" spans="1:29">
      <c r="A53" s="648" t="s">
        <v>571</v>
      </c>
      <c r="B53" s="649" t="s">
        <v>528</v>
      </c>
      <c r="C53" s="688">
        <f>C9</f>
        <v>0</v>
      </c>
      <c r="D53" s="584"/>
      <c r="E53" s="584"/>
      <c r="F53" s="584"/>
      <c r="G53" s="584"/>
      <c r="H53" s="584"/>
      <c r="I53" s="584"/>
      <c r="J53" s="584"/>
      <c r="K53" s="650"/>
      <c r="L53" s="651"/>
      <c r="M53" s="652"/>
      <c r="N53" s="2031"/>
      <c r="O53" s="2031"/>
      <c r="P53" s="2032"/>
      <c r="Q53" s="2025"/>
      <c r="R53" s="2013"/>
      <c r="S53" s="2013"/>
      <c r="T53" s="2013"/>
      <c r="U53" s="2013"/>
      <c r="V53" s="2013"/>
      <c r="W53" s="2013"/>
      <c r="X53" s="2013"/>
      <c r="Y53" s="2013"/>
      <c r="Z53" s="2013"/>
      <c r="AA53" s="2013"/>
      <c r="AB53" s="2013"/>
      <c r="AC53" s="2013"/>
    </row>
    <row r="54" spans="1:29" ht="15.75" thickBot="1">
      <c r="A54" s="653"/>
      <c r="B54" s="654"/>
      <c r="C54" s="655"/>
      <c r="D54" s="655"/>
      <c r="E54" s="655"/>
      <c r="F54" s="655"/>
      <c r="G54" s="655"/>
      <c r="H54" s="655"/>
      <c r="I54" s="655"/>
      <c r="J54" s="655"/>
      <c r="K54" s="655"/>
      <c r="L54" s="655"/>
      <c r="M54" s="656"/>
      <c r="N54" s="2033"/>
      <c r="O54" s="2033"/>
      <c r="P54" s="2032"/>
      <c r="Q54" s="2025"/>
      <c r="R54" s="2013"/>
      <c r="S54" s="2013"/>
      <c r="T54" s="2013"/>
      <c r="U54" s="2013"/>
      <c r="V54" s="2013"/>
      <c r="W54" s="2013"/>
      <c r="X54" s="2013"/>
      <c r="Y54" s="2013"/>
      <c r="Z54" s="2013"/>
      <c r="AA54" s="2013"/>
      <c r="AB54" s="2013"/>
      <c r="AC54" s="2013"/>
    </row>
    <row r="55" spans="1:29" ht="27.75" thickTop="1">
      <c r="A55" s="653"/>
      <c r="B55" s="657" t="s">
        <v>531</v>
      </c>
      <c r="C55" s="658" t="s">
        <v>731</v>
      </c>
      <c r="D55" s="658" t="s">
        <v>732</v>
      </c>
      <c r="E55" s="658" t="s">
        <v>733</v>
      </c>
      <c r="F55" s="658" t="s">
        <v>734</v>
      </c>
      <c r="G55" s="658" t="s">
        <v>735</v>
      </c>
      <c r="H55" s="658" t="s">
        <v>736</v>
      </c>
      <c r="I55" s="658" t="s">
        <v>737</v>
      </c>
      <c r="J55" s="658"/>
      <c r="K55" s="659"/>
      <c r="L55" s="660"/>
      <c r="M55" s="661"/>
      <c r="N55" s="2031"/>
      <c r="O55" s="2031"/>
      <c r="P55" s="2032"/>
      <c r="Q55" s="2025"/>
      <c r="R55" s="2013"/>
      <c r="S55" s="2013"/>
      <c r="T55" s="2013"/>
      <c r="U55" s="2013"/>
      <c r="V55" s="2013"/>
      <c r="W55" s="2013"/>
      <c r="X55" s="2013"/>
      <c r="Y55" s="2013"/>
      <c r="Z55" s="2013"/>
      <c r="AA55" s="2013"/>
      <c r="AB55" s="2013"/>
      <c r="AC55" s="2013"/>
    </row>
    <row r="56" spans="1:29" ht="15.75" thickBot="1">
      <c r="A56" s="653"/>
      <c r="B56" s="662"/>
      <c r="C56" s="663" t="s">
        <v>14</v>
      </c>
      <c r="D56" s="663" t="s">
        <v>15</v>
      </c>
      <c r="E56" s="663">
        <v>100</v>
      </c>
      <c r="F56" s="663">
        <f>E56-$K10</f>
        <v>100</v>
      </c>
      <c r="G56" s="663">
        <f>F56-$K10</f>
        <v>100</v>
      </c>
      <c r="H56" s="663">
        <f>G56-$K10</f>
        <v>100</v>
      </c>
      <c r="I56" s="663">
        <f>H56-$K10</f>
        <v>100</v>
      </c>
      <c r="J56" s="663"/>
      <c r="K56" s="663"/>
      <c r="L56" s="663"/>
      <c r="M56" s="664"/>
      <c r="N56" s="2033"/>
      <c r="O56" s="2033"/>
      <c r="P56" s="2032"/>
      <c r="Q56" s="2025"/>
      <c r="R56" s="2013"/>
      <c r="S56" s="2013"/>
      <c r="T56" s="2013"/>
      <c r="U56" s="2013"/>
      <c r="V56" s="2013"/>
      <c r="W56" s="2013"/>
      <c r="X56" s="2013"/>
      <c r="Y56" s="2013"/>
      <c r="Z56" s="2013"/>
      <c r="AA56" s="2013"/>
      <c r="AB56" s="2013"/>
      <c r="AC56" s="2013"/>
    </row>
    <row r="57" spans="1:29" ht="15.75" thickTop="1">
      <c r="A57" s="653"/>
      <c r="B57" s="916">
        <f>B11</f>
        <v>111</v>
      </c>
      <c r="C57" s="527"/>
      <c r="D57" s="527"/>
      <c r="E57" s="527"/>
      <c r="F57" s="527"/>
      <c r="G57" s="527"/>
      <c r="H57" s="527"/>
      <c r="I57" s="527"/>
      <c r="J57" s="527"/>
      <c r="K57" s="668"/>
      <c r="L57" s="669"/>
      <c r="M57" s="670"/>
      <c r="N57" s="2031"/>
      <c r="O57" s="2031"/>
      <c r="P57" s="2032"/>
      <c r="Q57" s="2025"/>
      <c r="R57" s="2013"/>
      <c r="S57" s="2013"/>
      <c r="T57" s="2013"/>
      <c r="U57" s="2013"/>
      <c r="V57" s="2013"/>
      <c r="W57" s="2013"/>
      <c r="X57" s="2013"/>
      <c r="Y57" s="2013"/>
      <c r="Z57" s="2013"/>
      <c r="AA57" s="2013"/>
      <c r="AB57" s="2013"/>
      <c r="AC57" s="2013"/>
    </row>
    <row r="58" spans="1:29" ht="15.75" thickBot="1">
      <c r="A58" s="653"/>
      <c r="B58" s="654"/>
      <c r="C58" s="676"/>
      <c r="D58" s="655"/>
      <c r="E58" s="655"/>
      <c r="F58" s="655"/>
      <c r="G58" s="655"/>
      <c r="H58" s="655"/>
      <c r="I58" s="655"/>
      <c r="J58" s="655"/>
      <c r="K58" s="655"/>
      <c r="L58" s="655"/>
      <c r="M58" s="656"/>
      <c r="N58" s="2033"/>
      <c r="O58" s="2033"/>
      <c r="P58" s="2032"/>
      <c r="Q58" s="2025"/>
      <c r="R58" s="2013"/>
      <c r="S58" s="2013"/>
      <c r="T58" s="2013"/>
      <c r="U58" s="2013"/>
      <c r="V58" s="2013"/>
      <c r="W58" s="2013"/>
      <c r="X58" s="2013"/>
      <c r="Y58" s="2013"/>
      <c r="Z58" s="2013"/>
      <c r="AA58" s="2013"/>
      <c r="AB58" s="2013"/>
      <c r="AC58" s="2013"/>
    </row>
    <row r="59" spans="1:29" s="1283" customFormat="1" ht="15.75" thickTop="1">
      <c r="A59" s="671"/>
      <c r="B59" s="657">
        <f>B12</f>
        <v>111</v>
      </c>
      <c r="C59" s="527"/>
      <c r="D59" s="527"/>
      <c r="E59" s="527"/>
      <c r="F59" s="527"/>
      <c r="G59" s="672"/>
      <c r="H59" s="673"/>
      <c r="I59" s="673"/>
      <c r="J59" s="673"/>
      <c r="K59" s="673"/>
      <c r="L59" s="674"/>
      <c r="M59" s="675"/>
      <c r="N59" s="2034"/>
      <c r="O59" s="2034"/>
      <c r="P59" s="2035"/>
      <c r="Q59" s="2036"/>
      <c r="R59" s="2037"/>
      <c r="S59" s="2037"/>
      <c r="T59" s="2037"/>
      <c r="U59" s="2037"/>
      <c r="V59" s="2037"/>
      <c r="W59" s="2037"/>
      <c r="X59" s="2037"/>
      <c r="Y59" s="2037"/>
      <c r="Z59" s="2037"/>
      <c r="AA59" s="2037"/>
      <c r="AB59" s="2037"/>
      <c r="AC59" s="2037"/>
    </row>
    <row r="60" spans="1:29" s="1283" customFormat="1" ht="15.75" thickBot="1">
      <c r="A60" s="671"/>
      <c r="B60" s="662"/>
      <c r="C60" s="676"/>
      <c r="D60" s="655"/>
      <c r="E60" s="655"/>
      <c r="F60" s="655"/>
      <c r="G60" s="655"/>
      <c r="H60" s="655"/>
      <c r="I60" s="655"/>
      <c r="J60" s="655"/>
      <c r="K60" s="655"/>
      <c r="L60" s="655"/>
      <c r="M60" s="656"/>
      <c r="N60" s="2033"/>
      <c r="O60" s="2033"/>
      <c r="P60" s="2035"/>
      <c r="Q60" s="2036"/>
      <c r="R60" s="2037"/>
      <c r="S60" s="2037"/>
      <c r="T60" s="2037"/>
      <c r="U60" s="2037"/>
      <c r="V60" s="2037"/>
      <c r="W60" s="2037"/>
      <c r="X60" s="2037"/>
      <c r="Y60" s="2037"/>
      <c r="Z60" s="2037"/>
      <c r="AA60" s="2037"/>
      <c r="AB60" s="2037"/>
      <c r="AC60" s="2037"/>
    </row>
    <row r="61" spans="1:29" s="1283" customFormat="1" ht="15.75" thickTop="1">
      <c r="A61" s="671"/>
      <c r="B61" s="657">
        <f>B13</f>
        <v>111</v>
      </c>
      <c r="C61" s="672"/>
      <c r="D61" s="672"/>
      <c r="E61" s="672"/>
      <c r="F61" s="672"/>
      <c r="G61" s="672"/>
      <c r="H61" s="673"/>
      <c r="I61" s="673"/>
      <c r="J61" s="673"/>
      <c r="K61" s="673"/>
      <c r="L61" s="674"/>
      <c r="M61" s="675"/>
      <c r="N61" s="2034"/>
      <c r="O61" s="2034"/>
      <c r="P61" s="2038"/>
      <c r="Q61" s="2039"/>
      <c r="R61" s="2037"/>
      <c r="S61" s="2037"/>
      <c r="T61" s="2037"/>
      <c r="U61" s="2037"/>
      <c r="V61" s="2037"/>
      <c r="W61" s="2037"/>
      <c r="X61" s="2037"/>
      <c r="Y61" s="2037"/>
      <c r="Z61" s="2037"/>
      <c r="AA61" s="2037"/>
      <c r="AB61" s="2037"/>
      <c r="AC61" s="2037"/>
    </row>
    <row r="62" spans="1:29" s="1283" customFormat="1" ht="15.75" thickBot="1">
      <c r="A62" s="671"/>
      <c r="B62" s="662"/>
      <c r="C62" s="676"/>
      <c r="D62" s="676"/>
      <c r="E62" s="676"/>
      <c r="F62" s="676"/>
      <c r="G62" s="676"/>
      <c r="H62" s="677"/>
      <c r="I62" s="677"/>
      <c r="J62" s="677"/>
      <c r="K62" s="677"/>
      <c r="L62" s="677"/>
      <c r="M62" s="678"/>
      <c r="N62" s="2034"/>
      <c r="O62" s="2034"/>
      <c r="P62" s="2035"/>
      <c r="Q62" s="2036"/>
      <c r="R62" s="2037"/>
      <c r="S62" s="2037"/>
      <c r="T62" s="2037"/>
      <c r="U62" s="2037"/>
      <c r="V62" s="2037"/>
      <c r="W62" s="2037"/>
      <c r="X62" s="2037"/>
      <c r="Y62" s="2037"/>
      <c r="Z62" s="2037"/>
      <c r="AA62" s="2037"/>
      <c r="AB62" s="2037"/>
      <c r="AC62" s="2037"/>
    </row>
    <row r="63" spans="1:29" ht="15" thickTop="1">
      <c r="A63" s="648" t="s">
        <v>533</v>
      </c>
      <c r="B63" s="649" t="s">
        <v>580</v>
      </c>
      <c r="C63" s="687" t="s">
        <v>573</v>
      </c>
      <c r="D63" s="687" t="s">
        <v>574</v>
      </c>
      <c r="E63" s="687" t="s">
        <v>575</v>
      </c>
      <c r="F63" s="687" t="s">
        <v>576</v>
      </c>
      <c r="G63" s="687" t="s">
        <v>577</v>
      </c>
      <c r="H63" s="688"/>
      <c r="I63" s="688"/>
      <c r="J63" s="688"/>
      <c r="K63" s="689"/>
      <c r="L63" s="690"/>
      <c r="M63" s="691"/>
      <c r="N63" s="2031"/>
      <c r="O63" s="2031"/>
      <c r="P63" s="2041"/>
      <c r="Q63" s="2025"/>
      <c r="R63" s="2013"/>
      <c r="S63" s="2013"/>
      <c r="T63" s="2013"/>
      <c r="U63" s="2013"/>
      <c r="V63" s="2013"/>
      <c r="W63" s="2013"/>
      <c r="X63" s="2013"/>
      <c r="Y63" s="2013"/>
      <c r="Z63" s="2013"/>
      <c r="AA63" s="2013"/>
      <c r="AB63" s="2013"/>
      <c r="AC63" s="2013"/>
    </row>
    <row r="64" spans="1:29" ht="15.75" thickBot="1">
      <c r="A64" s="653"/>
      <c r="B64" s="662"/>
      <c r="C64" s="663">
        <v>100</v>
      </c>
      <c r="D64" s="663">
        <f>C64-$K14</f>
        <v>100</v>
      </c>
      <c r="E64" s="663">
        <f>D64-$K14</f>
        <v>100</v>
      </c>
      <c r="F64" s="663">
        <f>E64-$K14</f>
        <v>100</v>
      </c>
      <c r="G64" s="663">
        <f>F64-$K14</f>
        <v>100</v>
      </c>
      <c r="H64" s="663"/>
      <c r="I64" s="663"/>
      <c r="J64" s="663"/>
      <c r="K64" s="663"/>
      <c r="L64" s="663"/>
      <c r="M64" s="664"/>
      <c r="N64" s="2033"/>
      <c r="O64" s="2033"/>
      <c r="P64" s="2032"/>
      <c r="Q64" s="2025"/>
      <c r="R64" s="2013"/>
      <c r="S64" s="2013"/>
      <c r="T64" s="2013"/>
      <c r="U64" s="2013"/>
      <c r="V64" s="2013"/>
      <c r="W64" s="2013"/>
      <c r="X64" s="2013"/>
      <c r="Y64" s="2013"/>
      <c r="Z64" s="2013"/>
      <c r="AA64" s="2013"/>
      <c r="AB64" s="2013"/>
      <c r="AC64" s="2013"/>
    </row>
    <row r="65" spans="1:29" ht="15.75" thickTop="1">
      <c r="A65" s="653"/>
      <c r="B65" s="1796" t="s">
        <v>2533</v>
      </c>
      <c r="C65" s="692" t="s">
        <v>573</v>
      </c>
      <c r="D65" s="692" t="s">
        <v>574</v>
      </c>
      <c r="E65" s="692" t="s">
        <v>575</v>
      </c>
      <c r="F65" s="692" t="s">
        <v>576</v>
      </c>
      <c r="G65" s="692" t="s">
        <v>577</v>
      </c>
      <c r="H65" s="658"/>
      <c r="I65" s="658"/>
      <c r="J65" s="658"/>
      <c r="K65" s="659"/>
      <c r="L65" s="660"/>
      <c r="M65" s="661"/>
      <c r="N65" s="2031"/>
      <c r="O65" s="2031"/>
      <c r="P65" s="2032"/>
      <c r="Q65" s="2025"/>
      <c r="R65" s="2013"/>
      <c r="S65" s="2013"/>
      <c r="T65" s="2013"/>
      <c r="U65" s="2013"/>
      <c r="V65" s="2013"/>
      <c r="W65" s="2013"/>
      <c r="X65" s="2013"/>
      <c r="Y65" s="2013"/>
      <c r="Z65" s="2013"/>
      <c r="AA65" s="2013"/>
      <c r="AB65" s="2013"/>
      <c r="AC65" s="2013"/>
    </row>
    <row r="66" spans="1:29" ht="15.75" thickBot="1">
      <c r="A66" s="653"/>
      <c r="B66" s="662"/>
      <c r="C66" s="663">
        <v>100</v>
      </c>
      <c r="D66" s="663">
        <f>C66-$K16</f>
        <v>100</v>
      </c>
      <c r="E66" s="663">
        <f>D66-$K16</f>
        <v>100</v>
      </c>
      <c r="F66" s="663">
        <f>E66-$K16</f>
        <v>100</v>
      </c>
      <c r="G66" s="663">
        <f>F66-$K16</f>
        <v>100</v>
      </c>
      <c r="H66" s="663"/>
      <c r="I66" s="663"/>
      <c r="J66" s="663"/>
      <c r="K66" s="663"/>
      <c r="L66" s="663"/>
      <c r="M66" s="664"/>
      <c r="N66" s="2033"/>
      <c r="O66" s="2033"/>
      <c r="P66" s="2032"/>
      <c r="Q66" s="2025"/>
      <c r="R66" s="2013"/>
      <c r="S66" s="2013"/>
      <c r="T66" s="2013"/>
      <c r="U66" s="2013"/>
      <c r="V66" s="2013"/>
      <c r="W66" s="2013"/>
      <c r="X66" s="2013"/>
      <c r="Y66" s="2013"/>
      <c r="Z66" s="2013"/>
      <c r="AA66" s="2013"/>
      <c r="AB66" s="2013"/>
      <c r="AC66" s="2013"/>
    </row>
    <row r="67" spans="1:29" ht="15.75" thickTop="1">
      <c r="A67" s="653"/>
      <c r="B67" s="2427" t="s">
        <v>2534</v>
      </c>
      <c r="C67" s="2428" t="s">
        <v>2535</v>
      </c>
      <c r="D67" s="2428" t="s">
        <v>2536</v>
      </c>
      <c r="E67" s="2428" t="s">
        <v>2537</v>
      </c>
      <c r="F67" s="2428" t="s">
        <v>2538</v>
      </c>
      <c r="G67" s="2428" t="s">
        <v>2539</v>
      </c>
      <c r="H67" s="658"/>
      <c r="I67" s="658"/>
      <c r="J67" s="658"/>
      <c r="K67" s="658"/>
      <c r="L67" s="658"/>
      <c r="M67" s="2431"/>
      <c r="N67" s="2033"/>
      <c r="O67" s="2033"/>
      <c r="P67" s="2032"/>
      <c r="Q67" s="2025"/>
      <c r="R67" s="2013"/>
      <c r="S67" s="2013"/>
      <c r="T67" s="2013"/>
      <c r="U67" s="2013"/>
      <c r="V67" s="2013"/>
      <c r="W67" s="2013"/>
      <c r="X67" s="2013"/>
      <c r="Y67" s="2013"/>
      <c r="Z67" s="2013"/>
      <c r="AA67" s="2013"/>
      <c r="AB67" s="2013"/>
      <c r="AC67" s="2013"/>
    </row>
    <row r="68" spans="1:29" ht="15.75" thickBot="1">
      <c r="A68" s="653"/>
      <c r="B68" s="665"/>
      <c r="C68" s="663">
        <v>100</v>
      </c>
      <c r="D68" s="663">
        <f>C68-$K18</f>
        <v>100</v>
      </c>
      <c r="E68" s="663">
        <f>D68-$K18</f>
        <v>100</v>
      </c>
      <c r="F68" s="663">
        <f>E68-$K18</f>
        <v>100</v>
      </c>
      <c r="G68" s="663">
        <f>F68-$K18</f>
        <v>100</v>
      </c>
      <c r="H68" s="916"/>
      <c r="I68" s="916"/>
      <c r="J68" s="916"/>
      <c r="K68" s="916"/>
      <c r="L68" s="916"/>
      <c r="M68" s="545"/>
      <c r="N68" s="2033"/>
      <c r="O68" s="2033"/>
      <c r="P68" s="2032"/>
      <c r="Q68" s="2025"/>
      <c r="R68" s="2013"/>
      <c r="S68" s="2013"/>
      <c r="T68" s="2013"/>
      <c r="U68" s="2013"/>
      <c r="V68" s="2013"/>
      <c r="W68" s="2013"/>
      <c r="X68" s="2013"/>
      <c r="Y68" s="2013"/>
      <c r="Z68" s="2013"/>
      <c r="AA68" s="2013"/>
      <c r="AB68" s="2013"/>
      <c r="AC68" s="2013"/>
    </row>
    <row r="69" spans="1:29" ht="15.75" thickTop="1">
      <c r="A69" s="653"/>
      <c r="B69" s="657" t="s">
        <v>738</v>
      </c>
      <c r="C69" s="692" t="s">
        <v>573</v>
      </c>
      <c r="D69" s="692" t="s">
        <v>574</v>
      </c>
      <c r="E69" s="692" t="s">
        <v>575</v>
      </c>
      <c r="F69" s="692" t="s">
        <v>576</v>
      </c>
      <c r="G69" s="692" t="s">
        <v>577</v>
      </c>
      <c r="H69" s="658"/>
      <c r="I69" s="658"/>
      <c r="J69" s="658"/>
      <c r="K69" s="659"/>
      <c r="L69" s="660"/>
      <c r="M69" s="661"/>
      <c r="N69" s="2031"/>
      <c r="O69" s="2031"/>
      <c r="P69" s="2032"/>
      <c r="Q69" s="2025"/>
      <c r="R69" s="2013"/>
      <c r="S69" s="2013"/>
      <c r="T69" s="2013"/>
      <c r="U69" s="2013"/>
      <c r="V69" s="2013"/>
      <c r="W69" s="2013"/>
      <c r="X69" s="2013"/>
      <c r="Y69" s="2013"/>
      <c r="Z69" s="2013"/>
      <c r="AA69" s="2013"/>
      <c r="AB69" s="2013"/>
      <c r="AC69" s="2013"/>
    </row>
    <row r="70" spans="1:29" ht="15.75" thickBot="1">
      <c r="A70" s="653"/>
      <c r="B70" s="662"/>
      <c r="C70" s="663">
        <v>100</v>
      </c>
      <c r="D70" s="663">
        <f>C70-$K20</f>
        <v>100</v>
      </c>
      <c r="E70" s="663">
        <f>D70-$K20</f>
        <v>100</v>
      </c>
      <c r="F70" s="663">
        <f>E70-$K20</f>
        <v>100</v>
      </c>
      <c r="G70" s="663">
        <f>F70-$K20</f>
        <v>100</v>
      </c>
      <c r="H70" s="663"/>
      <c r="I70" s="663"/>
      <c r="J70" s="663"/>
      <c r="K70" s="663"/>
      <c r="L70" s="663"/>
      <c r="M70" s="664"/>
      <c r="N70" s="2033"/>
      <c r="O70" s="2033"/>
      <c r="P70" s="2032"/>
      <c r="Q70" s="2025"/>
      <c r="R70" s="2013"/>
      <c r="S70" s="2013"/>
      <c r="T70" s="2013"/>
      <c r="U70" s="2013"/>
      <c r="V70" s="2013"/>
      <c r="W70" s="2013"/>
      <c r="X70" s="2013"/>
      <c r="Y70" s="2013"/>
      <c r="Z70" s="2013"/>
      <c r="AA70" s="2013"/>
      <c r="AB70" s="2013"/>
      <c r="AC70" s="2013"/>
    </row>
    <row r="71" spans="1:29" ht="15.75" thickTop="1">
      <c r="A71" s="653"/>
      <c r="B71" s="657" t="s">
        <v>739</v>
      </c>
      <c r="C71" s="672"/>
      <c r="D71" s="672"/>
      <c r="E71" s="672"/>
      <c r="F71" s="672"/>
      <c r="G71" s="672"/>
      <c r="H71" s="702"/>
      <c r="I71" s="702"/>
      <c r="J71" s="702"/>
      <c r="K71" s="703"/>
      <c r="L71" s="704"/>
      <c r="M71" s="705"/>
      <c r="N71" s="2031"/>
      <c r="O71" s="2031"/>
      <c r="P71" s="2032"/>
      <c r="Q71" s="2025"/>
      <c r="R71" s="2013"/>
      <c r="S71" s="2013"/>
      <c r="T71" s="2013"/>
      <c r="U71" s="2013"/>
      <c r="V71" s="2013"/>
      <c r="W71" s="2013"/>
      <c r="X71" s="2013"/>
      <c r="Y71" s="2013"/>
      <c r="Z71" s="2013"/>
      <c r="AA71" s="2013"/>
      <c r="AB71" s="2013"/>
      <c r="AC71" s="2013"/>
    </row>
    <row r="72" spans="1:29" ht="15.75" thickBot="1">
      <c r="A72" s="653"/>
      <c r="B72" s="662"/>
      <c r="C72" s="663">
        <v>100</v>
      </c>
      <c r="D72" s="663">
        <f>C72-$K22</f>
        <v>100</v>
      </c>
      <c r="E72" s="663">
        <f>D72-$K22</f>
        <v>100</v>
      </c>
      <c r="F72" s="663">
        <f>E72-$K22</f>
        <v>100</v>
      </c>
      <c r="G72" s="663">
        <f>F72-$K22</f>
        <v>100</v>
      </c>
      <c r="H72" s="663"/>
      <c r="I72" s="663"/>
      <c r="J72" s="663"/>
      <c r="K72" s="663"/>
      <c r="L72" s="663"/>
      <c r="M72" s="664"/>
      <c r="N72" s="2033"/>
      <c r="O72" s="2033"/>
      <c r="P72" s="2032"/>
      <c r="Q72" s="2025"/>
      <c r="R72" s="2013"/>
      <c r="S72" s="2013"/>
      <c r="T72" s="2013"/>
      <c r="U72" s="2013"/>
      <c r="V72" s="2013"/>
      <c r="W72" s="2013"/>
      <c r="X72" s="2013"/>
      <c r="Y72" s="2013"/>
      <c r="Z72" s="2013"/>
      <c r="AA72" s="2013"/>
      <c r="AB72" s="2013"/>
      <c r="AC72" s="2013"/>
    </row>
    <row r="73" spans="1:29" s="1194" customFormat="1" ht="15.75" thickTop="1">
      <c r="A73" s="693"/>
      <c r="B73" s="657">
        <f>B23</f>
        <v>111</v>
      </c>
      <c r="C73" s="527"/>
      <c r="D73" s="527"/>
      <c r="E73" s="527"/>
      <c r="F73" s="527"/>
      <c r="G73" s="672"/>
      <c r="H73" s="672"/>
      <c r="I73" s="672"/>
      <c r="J73" s="672"/>
      <c r="K73" s="672"/>
      <c r="L73" s="871"/>
      <c r="M73" s="872"/>
      <c r="N73" s="2029"/>
      <c r="O73" s="2029"/>
      <c r="P73" s="2032"/>
      <c r="Q73" s="2025"/>
      <c r="R73" s="1891"/>
      <c r="S73" s="1891"/>
      <c r="T73" s="1891"/>
      <c r="U73" s="1891"/>
      <c r="V73" s="1891"/>
      <c r="W73" s="1891"/>
      <c r="X73" s="1891"/>
      <c r="Y73" s="1891"/>
      <c r="Z73" s="1891"/>
      <c r="AA73" s="1891"/>
      <c r="AB73" s="1891"/>
      <c r="AC73" s="1891"/>
    </row>
    <row r="74" spans="1:29" s="1194" customFormat="1" ht="15.75" thickBot="1">
      <c r="A74" s="693"/>
      <c r="B74" s="662"/>
      <c r="C74" s="676"/>
      <c r="D74" s="655"/>
      <c r="E74" s="655"/>
      <c r="F74" s="655"/>
      <c r="G74" s="655"/>
      <c r="H74" s="655"/>
      <c r="I74" s="655"/>
      <c r="J74" s="655"/>
      <c r="K74" s="655"/>
      <c r="L74" s="655"/>
      <c r="M74" s="656"/>
      <c r="N74" s="2033"/>
      <c r="O74" s="2033"/>
      <c r="P74" s="2032"/>
      <c r="Q74" s="2025"/>
      <c r="R74" s="1891"/>
      <c r="S74" s="1891"/>
      <c r="T74" s="1891"/>
      <c r="U74" s="1891"/>
      <c r="V74" s="1891"/>
      <c r="W74" s="1891"/>
      <c r="X74" s="1891"/>
      <c r="Y74" s="1891"/>
      <c r="Z74" s="1891"/>
      <c r="AA74" s="1891"/>
      <c r="AB74" s="1891"/>
      <c r="AC74" s="1891"/>
    </row>
    <row r="75" spans="1:29" s="1194" customFormat="1" ht="15.75" thickTop="1">
      <c r="A75" s="693"/>
      <c r="B75" s="657">
        <f>B24</f>
        <v>111</v>
      </c>
      <c r="C75" s="527"/>
      <c r="D75" s="527"/>
      <c r="E75" s="527"/>
      <c r="F75" s="527"/>
      <c r="G75" s="672"/>
      <c r="H75" s="672"/>
      <c r="I75" s="672"/>
      <c r="J75" s="672"/>
      <c r="K75" s="672"/>
      <c r="L75" s="672"/>
      <c r="M75" s="872"/>
      <c r="N75" s="2029"/>
      <c r="O75" s="2029"/>
      <c r="P75" s="2032"/>
      <c r="Q75" s="2025"/>
      <c r="R75" s="1891"/>
      <c r="S75" s="1891"/>
      <c r="T75" s="1891"/>
      <c r="U75" s="1891"/>
      <c r="V75" s="1891"/>
      <c r="W75" s="1891"/>
      <c r="X75" s="1891"/>
      <c r="Y75" s="1891"/>
      <c r="Z75" s="1891"/>
      <c r="AA75" s="1891"/>
      <c r="AB75" s="1891"/>
      <c r="AC75" s="1891"/>
    </row>
    <row r="76" spans="1:29" s="1194" customFormat="1" ht="15.75" thickBot="1">
      <c r="A76" s="693"/>
      <c r="B76" s="662"/>
      <c r="C76" s="676"/>
      <c r="D76" s="655"/>
      <c r="E76" s="655"/>
      <c r="F76" s="655"/>
      <c r="G76" s="655"/>
      <c r="H76" s="655"/>
      <c r="I76" s="655"/>
      <c r="J76" s="655"/>
      <c r="K76" s="655"/>
      <c r="L76" s="655"/>
      <c r="M76" s="656"/>
      <c r="N76" s="2033"/>
      <c r="O76" s="2033"/>
      <c r="P76" s="2032"/>
      <c r="Q76" s="2025"/>
      <c r="R76" s="1891"/>
      <c r="S76" s="1891"/>
      <c r="T76" s="1891"/>
      <c r="U76" s="1891"/>
      <c r="V76" s="1891"/>
      <c r="W76" s="1891"/>
      <c r="X76" s="1891"/>
      <c r="Y76" s="1891"/>
      <c r="Z76" s="1891"/>
      <c r="AA76" s="1891"/>
      <c r="AB76" s="1891"/>
      <c r="AC76" s="1891"/>
    </row>
    <row r="77" spans="1:29" s="1283" customFormat="1" ht="15.75" thickTop="1">
      <c r="A77" s="671"/>
      <c r="B77" s="657">
        <f>B25</f>
        <v>111</v>
      </c>
      <c r="C77" s="672"/>
      <c r="D77" s="672"/>
      <c r="E77" s="672"/>
      <c r="F77" s="672"/>
      <c r="G77" s="672"/>
      <c r="H77" s="673"/>
      <c r="I77" s="673"/>
      <c r="J77" s="673"/>
      <c r="K77" s="673"/>
      <c r="L77" s="674"/>
      <c r="M77" s="675"/>
      <c r="N77" s="2034"/>
      <c r="O77" s="2034"/>
      <c r="P77" s="2035"/>
      <c r="Q77" s="2036"/>
      <c r="R77" s="2037"/>
      <c r="S77" s="2037"/>
      <c r="T77" s="2037"/>
      <c r="U77" s="2037"/>
      <c r="V77" s="2037"/>
      <c r="W77" s="2037"/>
      <c r="X77" s="2037"/>
      <c r="Y77" s="2037"/>
      <c r="Z77" s="2037"/>
      <c r="AA77" s="2037"/>
      <c r="AB77" s="2037"/>
      <c r="AC77" s="2037"/>
    </row>
    <row r="78" spans="1:29" s="1283" customFormat="1" ht="15.75" thickBot="1">
      <c r="A78" s="671"/>
      <c r="B78" s="662"/>
      <c r="C78" s="676"/>
      <c r="D78" s="676"/>
      <c r="E78" s="676"/>
      <c r="F78" s="676"/>
      <c r="G78" s="655"/>
      <c r="H78" s="655"/>
      <c r="I78" s="655"/>
      <c r="J78" s="655"/>
      <c r="K78" s="655"/>
      <c r="L78" s="655"/>
      <c r="M78" s="656"/>
      <c r="N78" s="2034"/>
      <c r="O78" s="2034"/>
      <c r="P78" s="2035"/>
      <c r="Q78" s="2036"/>
      <c r="R78" s="2037"/>
      <c r="S78" s="2037"/>
      <c r="T78" s="2037"/>
      <c r="U78" s="2037"/>
      <c r="V78" s="2037"/>
      <c r="W78" s="2037"/>
      <c r="X78" s="2037"/>
      <c r="Y78" s="2037"/>
      <c r="Z78" s="2037"/>
      <c r="AA78" s="2037"/>
      <c r="AB78" s="2037"/>
      <c r="AC78" s="2037"/>
    </row>
    <row r="79" spans="1:29" ht="27.75" thickTop="1">
      <c r="A79" s="648" t="s">
        <v>545</v>
      </c>
      <c r="B79" s="649" t="s">
        <v>808</v>
      </c>
      <c r="C79" s="688">
        <f>C26</f>
        <v>0</v>
      </c>
      <c r="D79" s="584"/>
      <c r="E79" s="584"/>
      <c r="F79" s="584"/>
      <c r="G79" s="584"/>
      <c r="H79" s="584"/>
      <c r="I79" s="584"/>
      <c r="J79" s="584"/>
      <c r="K79" s="650"/>
      <c r="L79" s="651"/>
      <c r="M79" s="652"/>
      <c r="N79" s="2031"/>
      <c r="O79" s="2031"/>
      <c r="P79" s="2032"/>
      <c r="Q79" s="2025"/>
      <c r="R79" s="2013"/>
      <c r="S79" s="2013"/>
      <c r="T79" s="2013"/>
      <c r="U79" s="2013"/>
      <c r="V79" s="2013"/>
      <c r="W79" s="2013"/>
      <c r="X79" s="2013"/>
      <c r="Y79" s="2013"/>
      <c r="Z79" s="2013"/>
      <c r="AA79" s="2013"/>
      <c r="AB79" s="2013"/>
      <c r="AC79" s="2013"/>
    </row>
    <row r="80" spans="1:29" ht="15.75" thickBot="1">
      <c r="A80" s="653"/>
      <c r="B80" s="662"/>
      <c r="C80" s="663">
        <v>100</v>
      </c>
      <c r="D80" s="663">
        <f t="shared" ref="D80:M80" si="17">C80-$K26</f>
        <v>100</v>
      </c>
      <c r="E80" s="663">
        <f t="shared" si="17"/>
        <v>100</v>
      </c>
      <c r="F80" s="663">
        <f t="shared" si="17"/>
        <v>100</v>
      </c>
      <c r="G80" s="663">
        <f t="shared" si="17"/>
        <v>100</v>
      </c>
      <c r="H80" s="663">
        <f t="shared" si="17"/>
        <v>100</v>
      </c>
      <c r="I80" s="663">
        <f t="shared" si="17"/>
        <v>100</v>
      </c>
      <c r="J80" s="663">
        <f t="shared" si="17"/>
        <v>100</v>
      </c>
      <c r="K80" s="663">
        <f t="shared" si="17"/>
        <v>100</v>
      </c>
      <c r="L80" s="663">
        <f t="shared" si="17"/>
        <v>100</v>
      </c>
      <c r="M80" s="664">
        <f t="shared" si="17"/>
        <v>100</v>
      </c>
      <c r="N80" s="2033"/>
      <c r="O80" s="2033"/>
      <c r="P80" s="2032"/>
      <c r="Q80" s="2025"/>
      <c r="R80" s="2013"/>
      <c r="S80" s="2013"/>
      <c r="T80" s="2013"/>
      <c r="U80" s="2013"/>
      <c r="V80" s="2013"/>
      <c r="W80" s="2013"/>
      <c r="X80" s="2013"/>
      <c r="Y80" s="2013"/>
      <c r="Z80" s="2013"/>
      <c r="AA80" s="2013"/>
      <c r="AB80" s="2013"/>
      <c r="AC80" s="2013"/>
    </row>
    <row r="81" spans="1:29" ht="15.75" thickTop="1">
      <c r="A81" s="653"/>
      <c r="B81" s="657" t="s">
        <v>809</v>
      </c>
      <c r="C81" s="917"/>
      <c r="D81" s="917"/>
      <c r="E81" s="917"/>
      <c r="F81" s="917"/>
      <c r="G81" s="917"/>
      <c r="H81" s="917"/>
      <c r="I81" s="917"/>
      <c r="J81" s="917"/>
      <c r="K81" s="918"/>
      <c r="L81" s="919"/>
      <c r="M81" s="920"/>
      <c r="N81" s="2029"/>
      <c r="O81" s="2029"/>
      <c r="P81" s="2032"/>
      <c r="Q81" s="2025"/>
      <c r="R81" s="2013"/>
      <c r="S81" s="2013"/>
      <c r="T81" s="2013"/>
      <c r="U81" s="2013"/>
      <c r="V81" s="2013"/>
      <c r="W81" s="2013"/>
      <c r="X81" s="2013"/>
      <c r="Y81" s="2013"/>
      <c r="Z81" s="2013"/>
      <c r="AA81" s="2013"/>
      <c r="AB81" s="2013"/>
      <c r="AC81" s="2013"/>
    </row>
    <row r="82" spans="1:29" s="1283" customFormat="1" ht="15.75" thickBot="1">
      <c r="A82" s="671"/>
      <c r="B82" s="662"/>
      <c r="C82" s="676"/>
      <c r="D82" s="655"/>
      <c r="E82" s="655"/>
      <c r="F82" s="655"/>
      <c r="G82" s="655"/>
      <c r="H82" s="655"/>
      <c r="I82" s="655"/>
      <c r="J82" s="655"/>
      <c r="K82" s="655"/>
      <c r="L82" s="655"/>
      <c r="M82" s="656"/>
      <c r="N82" s="2033"/>
      <c r="O82" s="2033"/>
      <c r="P82" s="2035"/>
      <c r="Q82" s="2036"/>
      <c r="R82" s="2037"/>
      <c r="S82" s="2037"/>
      <c r="T82" s="2037"/>
      <c r="U82" s="2037"/>
      <c r="V82" s="2037"/>
      <c r="W82" s="2037"/>
      <c r="X82" s="2037"/>
      <c r="Y82" s="2037"/>
      <c r="Z82" s="2037"/>
      <c r="AA82" s="2037"/>
      <c r="AB82" s="2037"/>
      <c r="AC82" s="2037"/>
    </row>
    <row r="83" spans="1:29" ht="15" thickTop="1">
      <c r="A83" s="719"/>
      <c r="B83" s="657" t="s">
        <v>745</v>
      </c>
      <c r="C83" s="672"/>
      <c r="D83" s="672"/>
      <c r="E83" s="702"/>
      <c r="F83" s="702"/>
      <c r="G83" s="702"/>
      <c r="H83" s="702"/>
      <c r="I83" s="702"/>
      <c r="J83" s="702"/>
      <c r="K83" s="703"/>
      <c r="L83" s="704"/>
      <c r="M83" s="705"/>
      <c r="N83" s="2031"/>
      <c r="O83" s="2031"/>
      <c r="P83" s="2032"/>
      <c r="Q83" s="2025"/>
      <c r="R83" s="2013"/>
      <c r="S83" s="2013"/>
      <c r="T83" s="2013"/>
      <c r="U83" s="2013"/>
      <c r="V83" s="2013"/>
      <c r="W83" s="2013"/>
      <c r="X83" s="2013"/>
      <c r="Y83" s="2013"/>
      <c r="Z83" s="2013"/>
      <c r="AA83" s="2013"/>
      <c r="AB83" s="2013"/>
      <c r="AC83" s="2013"/>
    </row>
    <row r="84" spans="1:29" ht="15.75" thickBot="1">
      <c r="A84" s="653"/>
      <c r="B84" s="662"/>
      <c r="C84" s="663">
        <v>100</v>
      </c>
      <c r="D84" s="663">
        <f t="shared" ref="D84:M84" si="18">C84-$K28</f>
        <v>100</v>
      </c>
      <c r="E84" s="663">
        <f t="shared" si="18"/>
        <v>100</v>
      </c>
      <c r="F84" s="663">
        <f t="shared" si="18"/>
        <v>100</v>
      </c>
      <c r="G84" s="663">
        <f t="shared" si="18"/>
        <v>100</v>
      </c>
      <c r="H84" s="663">
        <f t="shared" si="18"/>
        <v>100</v>
      </c>
      <c r="I84" s="663">
        <f t="shared" si="18"/>
        <v>100</v>
      </c>
      <c r="J84" s="663">
        <f t="shared" si="18"/>
        <v>100</v>
      </c>
      <c r="K84" s="663">
        <f t="shared" si="18"/>
        <v>100</v>
      </c>
      <c r="L84" s="663">
        <f t="shared" si="18"/>
        <v>100</v>
      </c>
      <c r="M84" s="664">
        <f t="shared" si="18"/>
        <v>100</v>
      </c>
      <c r="N84" s="2033"/>
      <c r="O84" s="2033"/>
      <c r="P84" s="2032"/>
      <c r="Q84" s="2025"/>
      <c r="R84" s="2013"/>
      <c r="S84" s="2013"/>
      <c r="T84" s="2013"/>
      <c r="U84" s="2013"/>
      <c r="V84" s="2013"/>
      <c r="W84" s="2013"/>
      <c r="X84" s="2013"/>
      <c r="Y84" s="2013"/>
      <c r="Z84" s="2013"/>
      <c r="AA84" s="2013"/>
      <c r="AB84" s="2013"/>
      <c r="AC84" s="2013"/>
    </row>
    <row r="85" spans="1:29" ht="15" thickTop="1">
      <c r="A85" s="719"/>
      <c r="B85" s="657" t="s">
        <v>810</v>
      </c>
      <c r="C85" s="692" t="str">
        <f>C86&amp;"(含)"&amp;"-"&amp;D86</f>
        <v>0.5(含)-0.6</v>
      </c>
      <c r="D85" s="692" t="str">
        <f>D86&amp;"(含)"&amp;"-"&amp;E86</f>
        <v>0.6(含)-0.7</v>
      </c>
      <c r="E85" s="692" t="str">
        <f>E86&amp;"(含)"&amp;"-"&amp;F86</f>
        <v>0.7(含)-0.8</v>
      </c>
      <c r="F85" s="692" t="str">
        <f>F86&amp;"(含)"&amp;"-"&amp;G86</f>
        <v>0.8(含)-0.9</v>
      </c>
      <c r="G85" s="692" t="str">
        <f>G86&amp;"(含)"&amp;"-"&amp;ROUND(H86,0)</f>
        <v>0.9(含)-1</v>
      </c>
      <c r="H85" s="692"/>
      <c r="I85" s="702"/>
      <c r="J85" s="702"/>
      <c r="K85" s="703"/>
      <c r="L85" s="704"/>
      <c r="M85" s="705"/>
      <c r="N85" s="2031"/>
      <c r="O85" s="2031"/>
      <c r="P85" s="2032"/>
      <c r="Q85" s="2025"/>
      <c r="R85" s="2013"/>
      <c r="S85" s="2013"/>
      <c r="T85" s="2013"/>
      <c r="U85" s="2013"/>
      <c r="V85" s="2013"/>
      <c r="W85" s="2013"/>
      <c r="X85" s="2013"/>
      <c r="Y85" s="2013"/>
      <c r="Z85" s="2013"/>
      <c r="AA85" s="2013"/>
      <c r="AB85" s="2013"/>
      <c r="AC85" s="2013"/>
    </row>
    <row r="86" spans="1:29">
      <c r="A86" s="719"/>
      <c r="B86" s="665"/>
      <c r="C86" s="875">
        <v>0.5</v>
      </c>
      <c r="D86" s="875">
        <v>0.6</v>
      </c>
      <c r="E86" s="875">
        <v>0.7</v>
      </c>
      <c r="F86" s="875">
        <v>0.8</v>
      </c>
      <c r="G86" s="875">
        <v>0.9</v>
      </c>
      <c r="H86" s="875">
        <v>1.0001</v>
      </c>
      <c r="I86" s="886"/>
      <c r="J86" s="886"/>
      <c r="K86" s="887"/>
      <c r="L86" s="888"/>
      <c r="M86" s="889"/>
      <c r="N86" s="2031"/>
      <c r="O86" s="2031"/>
      <c r="P86" s="2032"/>
      <c r="Q86" s="2025"/>
      <c r="R86" s="2013"/>
      <c r="S86" s="2013"/>
      <c r="T86" s="2013"/>
      <c r="U86" s="2013"/>
      <c r="V86" s="2013"/>
      <c r="W86" s="2013"/>
      <c r="X86" s="2013"/>
      <c r="Y86" s="2013"/>
      <c r="Z86" s="2013"/>
      <c r="AA86" s="2013"/>
      <c r="AB86" s="2013"/>
      <c r="AC86" s="2013"/>
    </row>
    <row r="87" spans="1:29" ht="15.75" thickBot="1">
      <c r="A87" s="653"/>
      <c r="B87" s="662"/>
      <c r="C87" s="696">
        <v>100</v>
      </c>
      <c r="D87" s="663">
        <f>C87+$K$29</f>
        <v>100</v>
      </c>
      <c r="E87" s="663">
        <f t="shared" ref="E87:M87" si="19">D87+$K$29</f>
        <v>100</v>
      </c>
      <c r="F87" s="663">
        <f t="shared" si="19"/>
        <v>100</v>
      </c>
      <c r="G87" s="663">
        <f t="shared" si="19"/>
        <v>100</v>
      </c>
      <c r="H87" s="663">
        <f t="shared" si="19"/>
        <v>100</v>
      </c>
      <c r="I87" s="663">
        <f t="shared" si="19"/>
        <v>100</v>
      </c>
      <c r="J87" s="663">
        <f t="shared" si="19"/>
        <v>100</v>
      </c>
      <c r="K87" s="663">
        <f t="shared" si="19"/>
        <v>100</v>
      </c>
      <c r="L87" s="663">
        <f t="shared" si="19"/>
        <v>100</v>
      </c>
      <c r="M87" s="663">
        <f t="shared" si="19"/>
        <v>100</v>
      </c>
      <c r="N87" s="2033"/>
      <c r="O87" s="2033"/>
      <c r="P87" s="2032"/>
      <c r="Q87" s="2025"/>
      <c r="R87" s="2013"/>
      <c r="S87" s="2013"/>
      <c r="T87" s="2013"/>
      <c r="U87" s="2013"/>
      <c r="V87" s="2013"/>
      <c r="W87" s="2013"/>
      <c r="X87" s="2013"/>
      <c r="Y87" s="2013"/>
      <c r="Z87" s="2013"/>
      <c r="AA87" s="2013"/>
      <c r="AB87" s="2013"/>
      <c r="AC87" s="2013"/>
    </row>
    <row r="88" spans="1:29" ht="15" thickTop="1">
      <c r="A88" s="719"/>
      <c r="B88" s="665" t="s">
        <v>811</v>
      </c>
      <c r="C88" s="584"/>
      <c r="D88" s="584"/>
      <c r="E88" s="584"/>
      <c r="F88" s="584"/>
      <c r="G88" s="584"/>
      <c r="H88" s="584"/>
      <c r="I88" s="584"/>
      <c r="J88" s="584"/>
      <c r="K88" s="650"/>
      <c r="L88" s="651"/>
      <c r="M88" s="652"/>
      <c r="N88" s="2031"/>
      <c r="O88" s="2031"/>
      <c r="P88" s="2032"/>
      <c r="Q88" s="2025"/>
      <c r="R88" s="2013"/>
      <c r="S88" s="2013"/>
      <c r="T88" s="2013"/>
      <c r="U88" s="2013"/>
      <c r="V88" s="2013"/>
      <c r="W88" s="2013"/>
      <c r="X88" s="2013"/>
      <c r="Y88" s="2013"/>
      <c r="Z88" s="2013"/>
      <c r="AA88" s="2013"/>
      <c r="AB88" s="2013"/>
      <c r="AC88" s="2013"/>
    </row>
    <row r="89" spans="1:29" ht="15.75" thickBot="1">
      <c r="A89" s="653"/>
      <c r="B89" s="662"/>
      <c r="C89" s="696">
        <v>100</v>
      </c>
      <c r="D89" s="663">
        <f t="shared" ref="D89:M89" si="20">C89+$K30</f>
        <v>100</v>
      </c>
      <c r="E89" s="663">
        <f t="shared" si="20"/>
        <v>100</v>
      </c>
      <c r="F89" s="663">
        <f t="shared" si="20"/>
        <v>100</v>
      </c>
      <c r="G89" s="663">
        <f t="shared" si="20"/>
        <v>100</v>
      </c>
      <c r="H89" s="663">
        <f t="shared" si="20"/>
        <v>100</v>
      </c>
      <c r="I89" s="663">
        <f t="shared" si="20"/>
        <v>100</v>
      </c>
      <c r="J89" s="663">
        <f t="shared" si="20"/>
        <v>100</v>
      </c>
      <c r="K89" s="663">
        <f t="shared" si="20"/>
        <v>100</v>
      </c>
      <c r="L89" s="663">
        <f t="shared" si="20"/>
        <v>100</v>
      </c>
      <c r="M89" s="663">
        <f t="shared" si="20"/>
        <v>100</v>
      </c>
      <c r="N89" s="2033"/>
      <c r="O89" s="2033"/>
      <c r="P89" s="2032"/>
      <c r="Q89" s="2025"/>
      <c r="R89" s="2013"/>
      <c r="S89" s="2013"/>
      <c r="T89" s="2013"/>
      <c r="U89" s="2013"/>
      <c r="V89" s="2013"/>
      <c r="W89" s="2013"/>
      <c r="X89" s="2013"/>
      <c r="Y89" s="2013"/>
      <c r="Z89" s="2013"/>
      <c r="AA89" s="2013"/>
      <c r="AB89" s="2013"/>
      <c r="AC89" s="2013"/>
    </row>
    <row r="90" spans="1:29" s="1283" customFormat="1" ht="15" thickTop="1">
      <c r="A90" s="712"/>
      <c r="B90" s="657" t="s">
        <v>812</v>
      </c>
      <c r="C90" s="692" t="str">
        <f>C91&amp;"(含)"&amp;"-"&amp;D91</f>
        <v>(含)-</v>
      </c>
      <c r="D90" s="692" t="str">
        <f t="shared" ref="D90:L90" si="21">D91&amp;"(含)"&amp;"-"&amp;E91</f>
        <v>(含)-</v>
      </c>
      <c r="E90" s="692" t="str">
        <f t="shared" si="21"/>
        <v>(含)-</v>
      </c>
      <c r="F90" s="692" t="str">
        <f t="shared" si="21"/>
        <v>(含)-</v>
      </c>
      <c r="G90" s="692" t="str">
        <f t="shared" si="21"/>
        <v>(含)-</v>
      </c>
      <c r="H90" s="692" t="str">
        <f t="shared" si="21"/>
        <v>(含)-</v>
      </c>
      <c r="I90" s="692" t="str">
        <f t="shared" si="21"/>
        <v>(含)-</v>
      </c>
      <c r="J90" s="692" t="str">
        <f t="shared" si="21"/>
        <v>(含)-</v>
      </c>
      <c r="K90" s="692" t="str">
        <f t="shared" si="21"/>
        <v>(含)-</v>
      </c>
      <c r="L90" s="692" t="str">
        <f t="shared" si="21"/>
        <v>(含)-</v>
      </c>
      <c r="M90" s="695" t="str">
        <f>M91&amp;"(含)"&amp;"-"&amp;P91</f>
        <v>(含)-</v>
      </c>
      <c r="N90" s="2034"/>
      <c r="O90" s="2034"/>
      <c r="P90" s="2035"/>
      <c r="Q90" s="2036"/>
      <c r="R90" s="2037"/>
      <c r="S90" s="2037"/>
      <c r="T90" s="2037"/>
      <c r="U90" s="2037"/>
      <c r="V90" s="2037"/>
      <c r="W90" s="2037"/>
      <c r="X90" s="2037"/>
      <c r="Y90" s="2037"/>
      <c r="Z90" s="2037"/>
      <c r="AA90" s="2037"/>
      <c r="AB90" s="2037"/>
      <c r="AC90" s="2037"/>
    </row>
    <row r="91" spans="1:29" s="1283" customFormat="1">
      <c r="A91" s="712"/>
      <c r="B91" s="665"/>
      <c r="C91" s="714"/>
      <c r="D91" s="714"/>
      <c r="E91" s="714"/>
      <c r="F91" s="714"/>
      <c r="G91" s="714"/>
      <c r="H91" s="714"/>
      <c r="I91" s="714"/>
      <c r="J91" s="715"/>
      <c r="K91" s="715"/>
      <c r="L91" s="716"/>
      <c r="M91" s="717"/>
      <c r="N91" s="2034"/>
      <c r="O91" s="2034"/>
      <c r="P91" s="2035"/>
      <c r="Q91" s="2036"/>
      <c r="R91" s="2037"/>
      <c r="S91" s="2037"/>
      <c r="T91" s="2037"/>
      <c r="U91" s="2037"/>
      <c r="V91" s="2037"/>
      <c r="W91" s="2037"/>
      <c r="X91" s="2037"/>
      <c r="Y91" s="2037"/>
      <c r="Z91" s="2037"/>
      <c r="AA91" s="2037"/>
      <c r="AB91" s="2037"/>
      <c r="AC91" s="2037"/>
    </row>
    <row r="92" spans="1:29" s="1283" customFormat="1" ht="15.75" thickBot="1">
      <c r="A92" s="671"/>
      <c r="B92" s="662"/>
      <c r="C92" s="676"/>
      <c r="D92" s="655"/>
      <c r="E92" s="655"/>
      <c r="F92" s="655"/>
      <c r="G92" s="655"/>
      <c r="H92" s="655"/>
      <c r="I92" s="655"/>
      <c r="J92" s="655"/>
      <c r="K92" s="655"/>
      <c r="L92" s="655"/>
      <c r="M92" s="656"/>
      <c r="N92" s="2034"/>
      <c r="O92" s="2034"/>
      <c r="P92" s="2035"/>
      <c r="Q92" s="2036"/>
      <c r="R92" s="2037"/>
      <c r="S92" s="2037"/>
      <c r="T92" s="2037"/>
      <c r="U92" s="2037"/>
      <c r="V92" s="2037"/>
      <c r="W92" s="2037"/>
      <c r="X92" s="2037"/>
      <c r="Y92" s="2037"/>
      <c r="Z92" s="2037"/>
      <c r="AA92" s="2037"/>
      <c r="AB92" s="2037"/>
      <c r="AC92" s="2037"/>
    </row>
    <row r="93" spans="1:29" ht="15" thickTop="1">
      <c r="A93" s="719"/>
      <c r="B93" s="657" t="s">
        <v>813</v>
      </c>
      <c r="C93" s="672"/>
      <c r="D93" s="672"/>
      <c r="E93" s="702"/>
      <c r="F93" s="702"/>
      <c r="G93" s="702"/>
      <c r="H93" s="702"/>
      <c r="I93" s="702"/>
      <c r="J93" s="702"/>
      <c r="K93" s="703"/>
      <c r="L93" s="704"/>
      <c r="M93" s="705"/>
      <c r="N93" s="2031"/>
      <c r="O93" s="2031"/>
      <c r="P93" s="2032"/>
      <c r="Q93" s="2025"/>
      <c r="R93" s="2013"/>
      <c r="S93" s="2013"/>
      <c r="T93" s="2013"/>
      <c r="U93" s="2013"/>
      <c r="V93" s="2013"/>
      <c r="W93" s="2013"/>
      <c r="X93" s="2013"/>
      <c r="Y93" s="2013"/>
      <c r="Z93" s="2013"/>
      <c r="AA93" s="2013"/>
      <c r="AB93" s="2013"/>
      <c r="AC93" s="2013"/>
    </row>
    <row r="94" spans="1:29" ht="15.75" thickBot="1">
      <c r="A94" s="653"/>
      <c r="B94" s="662"/>
      <c r="C94" s="663">
        <v>100</v>
      </c>
      <c r="D94" s="663">
        <f t="shared" ref="D94:M94" si="22">C94-$K32</f>
        <v>100</v>
      </c>
      <c r="E94" s="663">
        <f t="shared" si="22"/>
        <v>100</v>
      </c>
      <c r="F94" s="663">
        <f t="shared" si="22"/>
        <v>100</v>
      </c>
      <c r="G94" s="663">
        <f t="shared" si="22"/>
        <v>100</v>
      </c>
      <c r="H94" s="663">
        <f t="shared" si="22"/>
        <v>100</v>
      </c>
      <c r="I94" s="663">
        <f t="shared" si="22"/>
        <v>100</v>
      </c>
      <c r="J94" s="663">
        <f t="shared" si="22"/>
        <v>100</v>
      </c>
      <c r="K94" s="663">
        <f t="shared" si="22"/>
        <v>100</v>
      </c>
      <c r="L94" s="663">
        <f t="shared" si="22"/>
        <v>100</v>
      </c>
      <c r="M94" s="664">
        <f t="shared" si="22"/>
        <v>100</v>
      </c>
      <c r="N94" s="2033"/>
      <c r="O94" s="2033"/>
      <c r="P94" s="2032"/>
      <c r="Q94" s="2025"/>
      <c r="R94" s="2013"/>
      <c r="S94" s="2013"/>
      <c r="T94" s="2013"/>
      <c r="U94" s="2013"/>
      <c r="V94" s="2013"/>
      <c r="W94" s="2013"/>
      <c r="X94" s="2013"/>
      <c r="Y94" s="2013"/>
      <c r="Z94" s="2013"/>
      <c r="AA94" s="2013"/>
      <c r="AB94" s="2013"/>
      <c r="AC94" s="2013"/>
    </row>
    <row r="95" spans="1:29" ht="15" thickTop="1">
      <c r="A95" s="719"/>
      <c r="B95" s="657" t="s">
        <v>814</v>
      </c>
      <c r="C95" s="584"/>
      <c r="D95" s="584"/>
      <c r="E95" s="584"/>
      <c r="F95" s="584"/>
      <c r="G95" s="584"/>
      <c r="H95" s="584"/>
      <c r="I95" s="584"/>
      <c r="J95" s="584"/>
      <c r="K95" s="650"/>
      <c r="L95" s="651"/>
      <c r="M95" s="652"/>
      <c r="N95" s="2031"/>
      <c r="O95" s="2031"/>
      <c r="P95" s="2032"/>
      <c r="Q95" s="2025"/>
      <c r="R95" s="2013"/>
      <c r="S95" s="2013"/>
      <c r="T95" s="2013"/>
      <c r="U95" s="2013"/>
      <c r="V95" s="2013"/>
      <c r="W95" s="2013"/>
      <c r="X95" s="2013"/>
      <c r="Y95" s="2013"/>
      <c r="Z95" s="2013"/>
      <c r="AA95" s="2013"/>
      <c r="AB95" s="2013"/>
      <c r="AC95" s="2013"/>
    </row>
    <row r="96" spans="1:29" ht="15.75" thickBot="1">
      <c r="A96" s="653"/>
      <c r="B96" s="662"/>
      <c r="C96" s="663">
        <v>100</v>
      </c>
      <c r="D96" s="663">
        <f>C96-$K33</f>
        <v>100</v>
      </c>
      <c r="E96" s="663">
        <f>D96-$K33</f>
        <v>100</v>
      </c>
      <c r="F96" s="663">
        <f>E96-$K33</f>
        <v>100</v>
      </c>
      <c r="G96" s="663">
        <f>F96-$K33</f>
        <v>100</v>
      </c>
      <c r="H96" s="663"/>
      <c r="I96" s="663"/>
      <c r="J96" s="663"/>
      <c r="K96" s="663"/>
      <c r="L96" s="663"/>
      <c r="M96" s="664"/>
      <c r="N96" s="2033"/>
      <c r="O96" s="2033"/>
      <c r="P96" s="2032"/>
      <c r="Q96" s="2025"/>
      <c r="R96" s="2013"/>
      <c r="S96" s="2013"/>
      <c r="T96" s="2013"/>
      <c r="U96" s="2013"/>
      <c r="V96" s="2013"/>
      <c r="W96" s="2013"/>
      <c r="X96" s="2013"/>
      <c r="Y96" s="2013"/>
      <c r="Z96" s="2013"/>
      <c r="AA96" s="2013"/>
      <c r="AB96" s="2013"/>
      <c r="AC96" s="2013"/>
    </row>
    <row r="97" spans="1:29" ht="15" thickTop="1">
      <c r="A97" s="719"/>
      <c r="B97" s="898">
        <f>B34</f>
        <v>111</v>
      </c>
      <c r="C97" s="527"/>
      <c r="D97" s="527"/>
      <c r="E97" s="527"/>
      <c r="F97" s="527"/>
      <c r="G97" s="672"/>
      <c r="H97" s="673"/>
      <c r="I97" s="673"/>
      <c r="J97" s="673"/>
      <c r="K97" s="673"/>
      <c r="L97" s="674"/>
      <c r="M97" s="675"/>
      <c r="N97" s="2033"/>
      <c r="O97" s="2033"/>
      <c r="P97" s="2072"/>
      <c r="Q97" s="2073"/>
      <c r="R97" s="2013"/>
      <c r="S97" s="2013"/>
      <c r="T97" s="2013"/>
      <c r="U97" s="2013"/>
      <c r="V97" s="2013"/>
      <c r="W97" s="2013"/>
      <c r="X97" s="2013"/>
      <c r="Y97" s="2013"/>
      <c r="Z97" s="2013"/>
      <c r="AA97" s="2013"/>
      <c r="AB97" s="2013"/>
      <c r="AC97" s="2013"/>
    </row>
    <row r="98" spans="1:29" ht="15.75" thickBot="1">
      <c r="A98" s="653"/>
      <c r="B98" s="662"/>
      <c r="C98" s="676"/>
      <c r="D98" s="655"/>
      <c r="E98" s="655"/>
      <c r="F98" s="655"/>
      <c r="G98" s="676"/>
      <c r="H98" s="677"/>
      <c r="I98" s="677"/>
      <c r="J98" s="677"/>
      <c r="K98" s="677"/>
      <c r="L98" s="677"/>
      <c r="M98" s="678"/>
      <c r="N98" s="2033"/>
      <c r="O98" s="2033"/>
      <c r="P98" s="2032"/>
      <c r="Q98" s="2025"/>
      <c r="R98" s="2013"/>
      <c r="S98" s="2013"/>
      <c r="T98" s="2013"/>
      <c r="U98" s="2013"/>
      <c r="V98" s="2013"/>
      <c r="W98" s="2013"/>
      <c r="X98" s="2013"/>
      <c r="Y98" s="2013"/>
      <c r="Z98" s="2013"/>
      <c r="AA98" s="2013"/>
      <c r="AB98" s="2013"/>
      <c r="AC98" s="2013"/>
    </row>
    <row r="99" spans="1:29" s="1283" customFormat="1" ht="15" thickTop="1">
      <c r="A99" s="712"/>
      <c r="B99" s="657">
        <f>B35</f>
        <v>111</v>
      </c>
      <c r="C99" s="527"/>
      <c r="D99" s="527"/>
      <c r="E99" s="527"/>
      <c r="F99" s="527"/>
      <c r="G99" s="672"/>
      <c r="H99" s="673"/>
      <c r="I99" s="673"/>
      <c r="J99" s="673"/>
      <c r="K99" s="673"/>
      <c r="L99" s="674"/>
      <c r="M99" s="675"/>
      <c r="N99" s="2034"/>
      <c r="O99" s="2034"/>
      <c r="P99" s="2035"/>
      <c r="Q99" s="2036"/>
      <c r="R99" s="2037"/>
      <c r="S99" s="2037"/>
      <c r="T99" s="2037"/>
      <c r="U99" s="2037"/>
      <c r="V99" s="2037"/>
      <c r="W99" s="2037"/>
      <c r="X99" s="2037"/>
      <c r="Y99" s="2037"/>
      <c r="Z99" s="2037"/>
      <c r="AA99" s="2037"/>
      <c r="AB99" s="2037"/>
      <c r="AC99" s="2037"/>
    </row>
    <row r="100" spans="1:29" s="1283" customFormat="1" ht="15.75" thickBot="1">
      <c r="A100" s="671"/>
      <c r="B100" s="654"/>
      <c r="C100" s="676"/>
      <c r="D100" s="655"/>
      <c r="E100" s="655"/>
      <c r="F100" s="655"/>
      <c r="G100" s="676"/>
      <c r="H100" s="677"/>
      <c r="I100" s="677"/>
      <c r="J100" s="677"/>
      <c r="K100" s="677"/>
      <c r="L100" s="677"/>
      <c r="M100" s="678"/>
      <c r="N100" s="2034"/>
      <c r="O100" s="2034"/>
      <c r="P100" s="2035"/>
      <c r="Q100" s="2036"/>
      <c r="R100" s="2037"/>
      <c r="S100" s="2037"/>
      <c r="T100" s="2037"/>
      <c r="U100" s="2037"/>
      <c r="V100" s="2037"/>
      <c r="W100" s="2037"/>
      <c r="X100" s="2037"/>
      <c r="Y100" s="2037"/>
      <c r="Z100" s="2037"/>
      <c r="AA100" s="2037"/>
      <c r="AB100" s="2037"/>
      <c r="AC100" s="2037"/>
    </row>
    <row r="101" spans="1:29" ht="15" thickTop="1">
      <c r="A101" s="719"/>
      <c r="B101" s="657">
        <f>B36</f>
        <v>111</v>
      </c>
      <c r="C101" s="672"/>
      <c r="D101" s="672"/>
      <c r="E101" s="672"/>
      <c r="F101" s="672"/>
      <c r="G101" s="672"/>
      <c r="H101" s="673"/>
      <c r="I101" s="673"/>
      <c r="J101" s="673"/>
      <c r="K101" s="673"/>
      <c r="L101" s="674"/>
      <c r="M101" s="675"/>
      <c r="N101" s="2031"/>
      <c r="O101" s="2031"/>
      <c r="P101" s="2032"/>
      <c r="Q101" s="2025"/>
      <c r="R101" s="2013"/>
      <c r="S101" s="2013"/>
      <c r="T101" s="2013"/>
      <c r="U101" s="2013"/>
      <c r="V101" s="2013"/>
      <c r="W101" s="2013"/>
      <c r="X101" s="2013"/>
      <c r="Y101" s="2013"/>
      <c r="Z101" s="2013"/>
      <c r="AA101" s="2013"/>
      <c r="AB101" s="2013"/>
      <c r="AC101" s="2013"/>
    </row>
    <row r="102" spans="1:29" ht="15.75" thickBot="1">
      <c r="A102" s="653"/>
      <c r="B102" s="662"/>
      <c r="C102" s="676"/>
      <c r="D102" s="676"/>
      <c r="E102" s="676"/>
      <c r="F102" s="676"/>
      <c r="G102" s="676"/>
      <c r="H102" s="677"/>
      <c r="I102" s="677"/>
      <c r="J102" s="677"/>
      <c r="K102" s="677"/>
      <c r="L102" s="677"/>
      <c r="M102" s="678"/>
      <c r="N102" s="2033"/>
      <c r="O102" s="2033"/>
      <c r="P102" s="2032"/>
      <c r="Q102" s="2025"/>
      <c r="R102" s="2013"/>
      <c r="S102" s="2013"/>
      <c r="T102" s="2013"/>
      <c r="U102" s="2013"/>
      <c r="V102" s="2013"/>
      <c r="W102" s="2013"/>
      <c r="X102" s="2013"/>
      <c r="Y102" s="2013"/>
      <c r="Z102" s="2013"/>
      <c r="AA102" s="2013"/>
      <c r="AB102" s="2013"/>
      <c r="AC102" s="2013"/>
    </row>
    <row r="103" spans="1:29" ht="15" thickTop="1">
      <c r="A103" s="2046"/>
      <c r="B103" s="2046"/>
      <c r="C103" s="2046"/>
      <c r="D103" s="2046"/>
      <c r="E103" s="2046"/>
      <c r="F103" s="2046"/>
      <c r="G103" s="2046"/>
      <c r="H103" s="2046"/>
      <c r="I103" s="2046"/>
      <c r="J103" s="2046"/>
      <c r="K103" s="2047"/>
      <c r="L103" s="2048"/>
      <c r="M103" s="2046"/>
      <c r="N103" s="2046"/>
      <c r="O103" s="2046"/>
      <c r="P103" s="2046"/>
      <c r="Q103" s="2046"/>
      <c r="R103" s="2046"/>
      <c r="S103" s="2046"/>
      <c r="T103" s="2046"/>
      <c r="U103" s="2046"/>
      <c r="V103" s="2046"/>
      <c r="W103" s="2046"/>
      <c r="X103" s="2046"/>
      <c r="Y103" s="2046"/>
      <c r="Z103" s="2046"/>
      <c r="AA103" s="2046"/>
      <c r="AB103" s="2046"/>
      <c r="AC103" s="2046"/>
    </row>
    <row r="104" spans="1:29">
      <c r="A104" s="2046"/>
      <c r="B104" s="2046"/>
      <c r="C104" s="2046"/>
      <c r="D104" s="2046"/>
      <c r="E104" s="2046"/>
      <c r="F104" s="2046"/>
      <c r="G104" s="2046"/>
      <c r="H104" s="2046"/>
      <c r="I104" s="2046"/>
      <c r="J104" s="2046"/>
      <c r="K104" s="2047"/>
      <c r="L104" s="2048"/>
      <c r="M104" s="2046"/>
      <c r="N104" s="2046"/>
      <c r="O104" s="2046"/>
      <c r="P104" s="2046"/>
      <c r="Q104" s="2046"/>
      <c r="R104" s="2046"/>
      <c r="S104" s="2046"/>
      <c r="T104" s="2046"/>
      <c r="U104" s="2046"/>
      <c r="V104" s="2046"/>
      <c r="W104" s="2046"/>
      <c r="X104" s="2046"/>
      <c r="Y104" s="2046"/>
      <c r="Z104" s="2046"/>
      <c r="AA104" s="2046"/>
      <c r="AB104" s="2046"/>
      <c r="AC104" s="2046"/>
    </row>
    <row r="105" spans="1:29">
      <c r="A105" s="2046"/>
      <c r="B105" s="2046"/>
      <c r="C105" s="2046"/>
      <c r="D105" s="2046"/>
      <c r="E105" s="2046"/>
      <c r="F105" s="2046"/>
      <c r="G105" s="2046"/>
      <c r="H105" s="2046"/>
      <c r="I105" s="2046"/>
      <c r="J105" s="2046"/>
      <c r="K105" s="2047"/>
      <c r="L105" s="2048"/>
      <c r="M105" s="2046"/>
      <c r="N105" s="2046"/>
      <c r="O105" s="2046"/>
      <c r="P105" s="2046"/>
      <c r="Q105" s="2046"/>
      <c r="R105" s="2046"/>
      <c r="S105" s="2046"/>
      <c r="T105" s="2046"/>
      <c r="U105" s="2046"/>
      <c r="V105" s="2046"/>
      <c r="W105" s="2046"/>
      <c r="X105" s="2046"/>
      <c r="Y105" s="2046"/>
      <c r="Z105" s="2046"/>
      <c r="AA105" s="2046"/>
      <c r="AB105" s="2046"/>
      <c r="AC105" s="2046"/>
    </row>
    <row r="106" spans="1:29">
      <c r="A106" s="2046"/>
      <c r="B106" s="2046"/>
      <c r="C106" s="2046"/>
      <c r="D106" s="2046"/>
      <c r="E106" s="2046"/>
      <c r="F106" s="2046"/>
      <c r="G106" s="2046"/>
      <c r="H106" s="2046"/>
      <c r="I106" s="2046"/>
      <c r="J106" s="2046"/>
      <c r="K106" s="2047"/>
      <c r="L106" s="2048"/>
      <c r="M106" s="2046"/>
      <c r="N106" s="2046"/>
      <c r="O106" s="2046"/>
      <c r="P106" s="2046"/>
      <c r="Q106" s="2046"/>
      <c r="R106" s="2046"/>
      <c r="S106" s="2046"/>
      <c r="T106" s="2046"/>
      <c r="U106" s="2046"/>
      <c r="V106" s="2046"/>
      <c r="W106" s="2046"/>
      <c r="X106" s="2046"/>
      <c r="Y106" s="2046"/>
      <c r="Z106" s="2046"/>
      <c r="AA106" s="2046"/>
      <c r="AB106" s="2046"/>
      <c r="AC106" s="2046"/>
    </row>
    <row r="107" spans="1:29">
      <c r="A107" s="2046"/>
      <c r="B107" s="2046"/>
      <c r="C107" s="2046"/>
      <c r="D107" s="2046"/>
      <c r="E107" s="2046"/>
      <c r="F107" s="2046"/>
      <c r="G107" s="2046"/>
      <c r="H107" s="2046"/>
      <c r="I107" s="2046"/>
      <c r="J107" s="2046"/>
      <c r="K107" s="2047"/>
      <c r="L107" s="2048"/>
      <c r="M107" s="2046"/>
      <c r="N107" s="2046"/>
      <c r="O107" s="2046"/>
      <c r="P107" s="2046"/>
      <c r="Q107" s="2046"/>
      <c r="R107" s="2046"/>
      <c r="S107" s="2046"/>
      <c r="T107" s="2046"/>
      <c r="U107" s="2046"/>
      <c r="V107" s="2046"/>
      <c r="W107" s="2046"/>
      <c r="X107" s="2046"/>
      <c r="Y107" s="2046"/>
      <c r="Z107" s="2046"/>
      <c r="AA107" s="2046"/>
      <c r="AB107" s="2046"/>
      <c r="AC107" s="2046"/>
    </row>
    <row r="108" spans="1:29">
      <c r="A108" s="2046"/>
      <c r="B108" s="2046"/>
      <c r="C108" s="2046"/>
      <c r="D108" s="2046"/>
      <c r="E108" s="2046"/>
      <c r="F108" s="2046"/>
      <c r="G108" s="2046"/>
      <c r="H108" s="2046"/>
      <c r="I108" s="2046"/>
      <c r="J108" s="2046"/>
      <c r="K108" s="2047"/>
      <c r="L108" s="2048"/>
      <c r="M108" s="2046"/>
      <c r="N108" s="2046"/>
      <c r="O108" s="2046"/>
      <c r="P108" s="2046"/>
      <c r="Q108" s="2046"/>
      <c r="R108" s="2046"/>
      <c r="S108" s="2046"/>
      <c r="T108" s="2046"/>
      <c r="U108" s="2046"/>
      <c r="V108" s="2046"/>
      <c r="W108" s="2046"/>
      <c r="X108" s="2046"/>
      <c r="Y108" s="2046"/>
      <c r="Z108" s="2046"/>
      <c r="AA108" s="2046"/>
      <c r="AB108" s="2046"/>
      <c r="AC108" s="2046"/>
    </row>
    <row r="109" spans="1:29">
      <c r="A109" s="2046"/>
      <c r="B109" s="2046"/>
      <c r="C109" s="2046"/>
      <c r="D109" s="2046"/>
      <c r="E109" s="2046"/>
      <c r="F109" s="2046"/>
      <c r="G109" s="2046"/>
      <c r="H109" s="2046"/>
      <c r="I109" s="2046"/>
      <c r="J109" s="2046"/>
      <c r="K109" s="2047"/>
      <c r="L109" s="2048"/>
      <c r="M109" s="2046"/>
      <c r="N109" s="2046"/>
      <c r="O109" s="2046"/>
      <c r="P109" s="2046"/>
      <c r="Q109" s="2046"/>
      <c r="R109" s="2046"/>
      <c r="S109" s="2046"/>
      <c r="T109" s="2046"/>
      <c r="U109" s="2046"/>
      <c r="V109" s="2046"/>
      <c r="W109" s="2046"/>
      <c r="X109" s="2046"/>
      <c r="Y109" s="2046"/>
      <c r="Z109" s="2046"/>
      <c r="AA109" s="2046"/>
      <c r="AB109" s="2046"/>
      <c r="AC109" s="2046"/>
    </row>
    <row r="110" spans="1:29">
      <c r="A110" s="2046"/>
      <c r="B110" s="2046"/>
      <c r="C110" s="2046"/>
      <c r="D110" s="2046"/>
      <c r="E110" s="2046"/>
      <c r="F110" s="2046"/>
      <c r="G110" s="2046"/>
      <c r="H110" s="2046"/>
      <c r="I110" s="2046"/>
      <c r="J110" s="2046"/>
      <c r="K110" s="2047"/>
      <c r="L110" s="2048"/>
      <c r="M110" s="2046"/>
      <c r="N110" s="2046"/>
      <c r="O110" s="2046"/>
      <c r="P110" s="2046"/>
      <c r="Q110" s="2046"/>
      <c r="R110" s="2046"/>
      <c r="S110" s="2046"/>
      <c r="T110" s="2046"/>
      <c r="U110" s="2046"/>
      <c r="V110" s="2046"/>
      <c r="W110" s="2046"/>
      <c r="X110" s="2046"/>
      <c r="Y110" s="2046"/>
      <c r="Z110" s="2046"/>
      <c r="AA110" s="2046"/>
      <c r="AB110" s="2046"/>
      <c r="AC110" s="2046"/>
    </row>
    <row r="111" spans="1:29">
      <c r="A111" s="2046"/>
      <c r="B111" s="2046"/>
      <c r="C111" s="2046"/>
      <c r="D111" s="2046"/>
      <c r="E111" s="2046"/>
      <c r="F111" s="2046"/>
      <c r="G111" s="2046"/>
      <c r="H111" s="2046"/>
      <c r="I111" s="2046"/>
      <c r="J111" s="2046"/>
      <c r="K111" s="2047"/>
      <c r="L111" s="2048"/>
      <c r="M111" s="2046"/>
      <c r="N111" s="2046"/>
      <c r="O111" s="2046"/>
      <c r="P111" s="2046"/>
      <c r="Q111" s="2046"/>
      <c r="R111" s="2046"/>
      <c r="S111" s="2046"/>
      <c r="T111" s="2046"/>
      <c r="U111" s="2046"/>
      <c r="V111" s="2046"/>
      <c r="W111" s="2046"/>
      <c r="X111" s="2046"/>
      <c r="Y111" s="2046"/>
      <c r="Z111" s="2046"/>
      <c r="AA111" s="2046"/>
      <c r="AB111" s="2046"/>
      <c r="AC111" s="2046"/>
    </row>
    <row r="112" spans="1:29">
      <c r="A112" s="2046"/>
      <c r="B112" s="2046"/>
      <c r="C112" s="2046"/>
      <c r="D112" s="2046"/>
      <c r="E112" s="2046"/>
      <c r="F112" s="2046"/>
      <c r="G112" s="2046"/>
      <c r="H112" s="2046"/>
      <c r="I112" s="2046"/>
      <c r="J112" s="2046"/>
      <c r="K112" s="2047"/>
      <c r="L112" s="2048"/>
      <c r="M112" s="2046"/>
      <c r="N112" s="2046"/>
      <c r="O112" s="2046"/>
      <c r="P112" s="2046"/>
      <c r="Q112" s="2046"/>
      <c r="R112" s="2046"/>
      <c r="S112" s="2046"/>
      <c r="T112" s="2046"/>
      <c r="U112" s="2046"/>
      <c r="V112" s="2046"/>
      <c r="W112" s="2046"/>
      <c r="X112" s="2046"/>
      <c r="Y112" s="2046"/>
      <c r="Z112" s="2046"/>
      <c r="AA112" s="2046"/>
      <c r="AB112" s="2046"/>
      <c r="AC112" s="2046"/>
    </row>
    <row r="113" spans="1:29">
      <c r="A113" s="2046"/>
      <c r="B113" s="2046"/>
      <c r="C113" s="2046"/>
      <c r="D113" s="2046"/>
      <c r="E113" s="2046"/>
      <c r="F113" s="2046"/>
      <c r="G113" s="2046"/>
      <c r="H113" s="2046"/>
      <c r="I113" s="2046"/>
      <c r="J113" s="2046"/>
      <c r="K113" s="2047"/>
      <c r="L113" s="2048"/>
      <c r="M113" s="2046"/>
      <c r="N113" s="2046"/>
      <c r="O113" s="2046"/>
      <c r="P113" s="2046"/>
      <c r="Q113" s="2046"/>
      <c r="R113" s="2046"/>
      <c r="S113" s="2046"/>
      <c r="T113" s="2046"/>
      <c r="U113" s="2046"/>
      <c r="V113" s="2046"/>
      <c r="W113" s="2046"/>
      <c r="X113" s="2046"/>
      <c r="Y113" s="2046"/>
      <c r="Z113" s="2046"/>
      <c r="AA113" s="2046"/>
      <c r="AB113" s="2046"/>
      <c r="AC113" s="2046"/>
    </row>
    <row r="114" spans="1:29">
      <c r="A114" s="2046"/>
      <c r="B114" s="2046"/>
      <c r="C114" s="2046"/>
      <c r="D114" s="2046"/>
      <c r="E114" s="2046"/>
      <c r="F114" s="2046"/>
      <c r="G114" s="2046"/>
      <c r="H114" s="2046"/>
      <c r="I114" s="2046"/>
      <c r="J114" s="2046"/>
      <c r="K114" s="2047"/>
      <c r="L114" s="2048"/>
      <c r="M114" s="2046"/>
      <c r="N114" s="2046"/>
      <c r="O114" s="2046"/>
      <c r="P114" s="2046"/>
      <c r="Q114" s="2046"/>
      <c r="R114" s="2046"/>
      <c r="S114" s="2046"/>
      <c r="T114" s="2046"/>
      <c r="U114" s="2046"/>
      <c r="V114" s="2046"/>
      <c r="W114" s="2046"/>
      <c r="X114" s="2046"/>
      <c r="Y114" s="2046"/>
      <c r="Z114" s="2046"/>
      <c r="AA114" s="2046"/>
      <c r="AB114" s="2046"/>
      <c r="AC114" s="2046"/>
    </row>
    <row r="115" spans="1:29">
      <c r="A115" s="2046"/>
      <c r="B115" s="2046"/>
      <c r="C115" s="2046"/>
      <c r="D115" s="2046"/>
      <c r="E115" s="2046"/>
      <c r="F115" s="2046"/>
      <c r="G115" s="2046"/>
      <c r="H115" s="2046"/>
      <c r="I115" s="2046"/>
      <c r="J115" s="2046"/>
      <c r="K115" s="2047"/>
      <c r="L115" s="2048"/>
      <c r="M115" s="2046"/>
      <c r="N115" s="2046"/>
      <c r="O115" s="2046"/>
      <c r="P115" s="2046"/>
      <c r="Q115" s="2046"/>
      <c r="R115" s="2046"/>
      <c r="S115" s="2046"/>
      <c r="T115" s="2046"/>
      <c r="U115" s="2046"/>
      <c r="V115" s="2046"/>
      <c r="W115" s="2046"/>
      <c r="X115" s="2046"/>
      <c r="Y115" s="2046"/>
      <c r="Z115" s="2046"/>
      <c r="AA115" s="2046"/>
      <c r="AB115" s="2046"/>
      <c r="AC115" s="2046"/>
    </row>
    <row r="116" spans="1:29">
      <c r="A116" s="2046"/>
      <c r="B116" s="2046"/>
      <c r="C116" s="2046"/>
      <c r="D116" s="2046"/>
      <c r="E116" s="2046"/>
      <c r="F116" s="2046"/>
      <c r="G116" s="2046"/>
      <c r="H116" s="2046"/>
      <c r="I116" s="2046"/>
      <c r="J116" s="2046"/>
      <c r="K116" s="2047"/>
      <c r="L116" s="2048"/>
      <c r="M116" s="2046"/>
      <c r="N116" s="2046"/>
      <c r="O116" s="2046"/>
      <c r="P116" s="2046"/>
      <c r="Q116" s="2046"/>
      <c r="R116" s="2046"/>
      <c r="S116" s="2046"/>
      <c r="T116" s="2046"/>
      <c r="U116" s="2046"/>
      <c r="V116" s="2046"/>
      <c r="W116" s="2046"/>
      <c r="X116" s="2046"/>
      <c r="Y116" s="2046"/>
      <c r="Z116" s="2046"/>
      <c r="AA116" s="2046"/>
      <c r="AB116" s="2046"/>
      <c r="AC116" s="2046"/>
    </row>
    <row r="117" spans="1:29">
      <c r="A117" s="2046"/>
      <c r="B117" s="2046"/>
      <c r="C117" s="2046"/>
      <c r="D117" s="2046"/>
      <c r="E117" s="2046"/>
      <c r="F117" s="2046"/>
      <c r="G117" s="2046"/>
      <c r="H117" s="2046"/>
      <c r="I117" s="2046"/>
      <c r="J117" s="2046"/>
      <c r="K117" s="2047"/>
      <c r="L117" s="2048"/>
      <c r="M117" s="2046"/>
      <c r="N117" s="2046"/>
      <c r="O117" s="2046"/>
      <c r="P117" s="2046"/>
      <c r="Q117" s="2046"/>
      <c r="R117" s="2046"/>
      <c r="S117" s="2046"/>
      <c r="T117" s="2046"/>
      <c r="U117" s="2046"/>
      <c r="V117" s="2046"/>
      <c r="W117" s="2046"/>
      <c r="X117" s="2046"/>
      <c r="Y117" s="2046"/>
      <c r="Z117" s="2046"/>
      <c r="AA117" s="2046"/>
      <c r="AB117" s="2046"/>
      <c r="AC117" s="2046"/>
    </row>
    <row r="118" spans="1:29">
      <c r="A118" s="2046"/>
      <c r="B118" s="2046"/>
      <c r="C118" s="2046"/>
      <c r="D118" s="2046"/>
      <c r="E118" s="2046"/>
      <c r="F118" s="2046"/>
      <c r="G118" s="2046"/>
      <c r="H118" s="2046"/>
      <c r="I118" s="2046"/>
      <c r="J118" s="2046"/>
      <c r="K118" s="2047"/>
      <c r="L118" s="2048"/>
      <c r="M118" s="2046"/>
      <c r="N118" s="2046"/>
      <c r="O118" s="2046"/>
      <c r="P118" s="2046"/>
      <c r="Q118" s="2046"/>
      <c r="R118" s="2046"/>
      <c r="S118" s="2046"/>
      <c r="T118" s="2046"/>
      <c r="U118" s="2046"/>
      <c r="V118" s="2046"/>
      <c r="W118" s="2046"/>
      <c r="X118" s="2046"/>
      <c r="Y118" s="2046"/>
      <c r="Z118" s="2046"/>
      <c r="AA118" s="2046"/>
      <c r="AB118" s="2046"/>
      <c r="AC118" s="2046"/>
    </row>
    <row r="119" spans="1:29">
      <c r="A119" s="2046"/>
      <c r="B119" s="2046"/>
      <c r="C119" s="2046"/>
      <c r="D119" s="2046"/>
      <c r="E119" s="2046"/>
      <c r="F119" s="2046"/>
      <c r="G119" s="2046"/>
      <c r="H119" s="2046"/>
      <c r="I119" s="2046"/>
      <c r="J119" s="2046"/>
      <c r="K119" s="2047"/>
      <c r="L119" s="2048"/>
      <c r="M119" s="2046"/>
      <c r="N119" s="2046"/>
      <c r="O119" s="2046"/>
      <c r="P119" s="2046"/>
      <c r="Q119" s="2046"/>
      <c r="R119" s="2046"/>
      <c r="S119" s="2046"/>
      <c r="T119" s="2046"/>
      <c r="U119" s="2046"/>
      <c r="V119" s="2046"/>
      <c r="W119" s="2046"/>
      <c r="X119" s="2046"/>
      <c r="Y119" s="2046"/>
      <c r="Z119" s="2046"/>
      <c r="AA119" s="2046"/>
      <c r="AB119" s="2046"/>
      <c r="AC119" s="2046"/>
    </row>
    <row r="120" spans="1:29">
      <c r="A120" s="2046"/>
      <c r="B120" s="2046"/>
      <c r="C120" s="2046"/>
      <c r="D120" s="2046"/>
      <c r="E120" s="2046"/>
      <c r="F120" s="2046"/>
      <c r="G120" s="2046"/>
      <c r="H120" s="2046"/>
      <c r="I120" s="2046"/>
      <c r="J120" s="2046"/>
      <c r="K120" s="2047"/>
      <c r="L120" s="2048"/>
      <c r="M120" s="2046"/>
      <c r="N120" s="2046"/>
      <c r="O120" s="2046"/>
      <c r="P120" s="2046"/>
      <c r="Q120" s="2046"/>
      <c r="R120" s="2046"/>
      <c r="S120" s="2046"/>
      <c r="T120" s="2046"/>
      <c r="U120" s="2046"/>
      <c r="V120" s="2046"/>
      <c r="W120" s="2046"/>
      <c r="X120" s="2046"/>
      <c r="Y120" s="2046"/>
      <c r="Z120" s="2046"/>
      <c r="AA120" s="2046"/>
      <c r="AB120" s="2046"/>
      <c r="AC120" s="2046"/>
    </row>
    <row r="121" spans="1:29">
      <c r="A121" s="2046"/>
      <c r="B121" s="2046"/>
      <c r="C121" s="2046"/>
      <c r="D121" s="2046"/>
      <c r="E121" s="2046"/>
      <c r="F121" s="2046"/>
      <c r="G121" s="2046"/>
      <c r="H121" s="2046"/>
      <c r="I121" s="2046"/>
      <c r="J121" s="2046"/>
      <c r="K121" s="2047"/>
      <c r="L121" s="2048"/>
      <c r="M121" s="2046"/>
      <c r="N121" s="2046"/>
      <c r="O121" s="2046"/>
      <c r="P121" s="2046"/>
      <c r="Q121" s="2046"/>
      <c r="R121" s="2046"/>
      <c r="S121" s="2046"/>
      <c r="T121" s="2046"/>
      <c r="U121" s="2046"/>
      <c r="V121" s="2046"/>
      <c r="W121" s="2046"/>
      <c r="X121" s="2046"/>
      <c r="Y121" s="2046"/>
      <c r="Z121" s="2046"/>
      <c r="AA121" s="2046"/>
      <c r="AB121" s="2046"/>
      <c r="AC121" s="2046"/>
    </row>
    <row r="122" spans="1:29">
      <c r="A122" s="2046"/>
      <c r="B122" s="2046"/>
      <c r="C122" s="2046"/>
      <c r="D122" s="2046"/>
      <c r="E122" s="2046"/>
      <c r="F122" s="2046"/>
      <c r="G122" s="2046"/>
      <c r="H122" s="2046"/>
      <c r="I122" s="2046"/>
      <c r="J122" s="2046"/>
      <c r="K122" s="2047"/>
      <c r="L122" s="2048"/>
      <c r="M122" s="2046"/>
      <c r="N122" s="2046"/>
      <c r="O122" s="2046"/>
      <c r="P122" s="2046"/>
      <c r="Q122" s="2046"/>
      <c r="R122" s="2046"/>
      <c r="S122" s="2046"/>
      <c r="T122" s="2046"/>
      <c r="U122" s="2046"/>
      <c r="V122" s="2046"/>
      <c r="W122" s="2046"/>
      <c r="X122" s="2046"/>
      <c r="Y122" s="2046"/>
      <c r="Z122" s="2046"/>
      <c r="AA122" s="2046"/>
      <c r="AB122" s="2046"/>
      <c r="AC122" s="2046"/>
    </row>
    <row r="123" spans="1:29">
      <c r="A123" s="2046"/>
      <c r="B123" s="2046"/>
      <c r="C123" s="2046"/>
      <c r="D123" s="2046"/>
      <c r="E123" s="2046"/>
      <c r="F123" s="2046"/>
      <c r="G123" s="2046"/>
      <c r="H123" s="2046"/>
      <c r="I123" s="2046"/>
      <c r="J123" s="2046"/>
      <c r="K123" s="2047"/>
      <c r="L123" s="2048"/>
      <c r="M123" s="2046"/>
      <c r="N123" s="2046"/>
      <c r="O123" s="2046"/>
      <c r="P123" s="2046"/>
      <c r="Q123" s="2046"/>
      <c r="R123" s="2046"/>
      <c r="S123" s="2046"/>
      <c r="T123" s="2046"/>
      <c r="U123" s="2046"/>
      <c r="V123" s="2046"/>
      <c r="W123" s="2046"/>
      <c r="X123" s="2046"/>
      <c r="Y123" s="2046"/>
      <c r="Z123" s="2046"/>
      <c r="AA123" s="2046"/>
      <c r="AB123" s="2046"/>
      <c r="AC123" s="2046"/>
    </row>
    <row r="124" spans="1:29">
      <c r="A124" s="2046"/>
      <c r="B124" s="2046"/>
      <c r="C124" s="2046"/>
      <c r="D124" s="2046"/>
      <c r="E124" s="2046"/>
      <c r="F124" s="2046"/>
      <c r="G124" s="2046"/>
      <c r="H124" s="2046"/>
      <c r="I124" s="2046"/>
      <c r="J124" s="2046"/>
      <c r="K124" s="2047"/>
      <c r="L124" s="2048"/>
      <c r="M124" s="2046"/>
      <c r="N124" s="2046"/>
      <c r="O124" s="2046"/>
      <c r="P124" s="2046"/>
      <c r="Q124" s="2046"/>
      <c r="R124" s="2046"/>
      <c r="S124" s="2046"/>
      <c r="T124" s="2046"/>
      <c r="U124" s="2046"/>
      <c r="V124" s="2046"/>
      <c r="W124" s="2046"/>
      <c r="X124" s="2046"/>
      <c r="Y124" s="2046"/>
      <c r="Z124" s="2046"/>
      <c r="AA124" s="2046"/>
      <c r="AB124" s="2046"/>
      <c r="AC124" s="2046"/>
    </row>
    <row r="125" spans="1:29">
      <c r="A125" s="2046"/>
      <c r="B125" s="2046"/>
      <c r="C125" s="2046"/>
      <c r="D125" s="2046"/>
      <c r="E125" s="2046"/>
      <c r="F125" s="2046"/>
      <c r="G125" s="2046"/>
      <c r="H125" s="2046"/>
      <c r="I125" s="2046"/>
      <c r="J125" s="2046"/>
      <c r="K125" s="2047"/>
      <c r="L125" s="2048"/>
      <c r="M125" s="2046"/>
      <c r="N125" s="2046"/>
      <c r="O125" s="2046"/>
      <c r="P125" s="2046"/>
      <c r="Q125" s="2046"/>
      <c r="R125" s="2046"/>
      <c r="S125" s="2046"/>
      <c r="T125" s="2046"/>
      <c r="U125" s="2046"/>
      <c r="V125" s="2046"/>
      <c r="W125" s="2046"/>
      <c r="X125" s="2046"/>
      <c r="Y125" s="2046"/>
      <c r="Z125" s="2046"/>
      <c r="AA125" s="2046"/>
      <c r="AB125" s="2046"/>
      <c r="AC125" s="2046"/>
    </row>
    <row r="126" spans="1:29">
      <c r="A126" s="2046"/>
      <c r="B126" s="2046"/>
      <c r="C126" s="2046"/>
      <c r="D126" s="2046"/>
      <c r="E126" s="2046"/>
      <c r="F126" s="2046"/>
      <c r="G126" s="2046"/>
      <c r="H126" s="2046"/>
      <c r="I126" s="2046"/>
      <c r="J126" s="2046"/>
      <c r="K126" s="2047"/>
      <c r="L126" s="2048"/>
      <c r="M126" s="2046"/>
      <c r="N126" s="2046"/>
      <c r="O126" s="2046"/>
      <c r="P126" s="2046"/>
      <c r="Q126" s="2046"/>
      <c r="R126" s="2046"/>
      <c r="S126" s="2046"/>
      <c r="T126" s="2046"/>
      <c r="U126" s="2046"/>
      <c r="V126" s="2046"/>
      <c r="W126" s="2046"/>
      <c r="X126" s="2046"/>
      <c r="Y126" s="2046"/>
      <c r="Z126" s="2046"/>
      <c r="AA126" s="2046"/>
      <c r="AB126" s="2046"/>
      <c r="AC126" s="2046"/>
    </row>
    <row r="127" spans="1:29">
      <c r="A127" s="2046"/>
      <c r="B127" s="2046"/>
      <c r="C127" s="2046"/>
      <c r="D127" s="2046"/>
      <c r="E127" s="2046"/>
      <c r="F127" s="2046"/>
      <c r="G127" s="2046"/>
      <c r="H127" s="2046"/>
      <c r="I127" s="2046"/>
      <c r="J127" s="2046"/>
      <c r="K127" s="2047"/>
      <c r="L127" s="2048"/>
      <c r="M127" s="2046"/>
      <c r="N127" s="2046"/>
      <c r="O127" s="2046"/>
      <c r="P127" s="2046"/>
      <c r="Q127" s="2046"/>
      <c r="R127" s="2046"/>
      <c r="S127" s="2046"/>
      <c r="T127" s="2046"/>
      <c r="U127" s="2046"/>
      <c r="V127" s="2046"/>
      <c r="W127" s="2046"/>
      <c r="X127" s="2046"/>
      <c r="Y127" s="2046"/>
      <c r="Z127" s="2046"/>
      <c r="AA127" s="2046"/>
      <c r="AB127" s="2046"/>
      <c r="AC127" s="2046"/>
    </row>
    <row r="128" spans="1:29">
      <c r="A128" s="2046"/>
      <c r="B128" s="2046"/>
      <c r="C128" s="2046"/>
      <c r="D128" s="2046"/>
      <c r="E128" s="2046"/>
      <c r="F128" s="2046"/>
      <c r="G128" s="2046"/>
      <c r="H128" s="2046"/>
      <c r="I128" s="2046"/>
      <c r="J128" s="2046"/>
      <c r="K128" s="2047"/>
      <c r="L128" s="2048"/>
      <c r="M128" s="2046"/>
      <c r="N128" s="2046"/>
      <c r="O128" s="2046"/>
      <c r="P128" s="2046"/>
      <c r="Q128" s="2046"/>
      <c r="R128" s="2046"/>
      <c r="S128" s="2046"/>
      <c r="T128" s="2046"/>
      <c r="U128" s="2046"/>
      <c r="V128" s="2046"/>
      <c r="W128" s="2046"/>
      <c r="X128" s="2046"/>
      <c r="Y128" s="2046"/>
      <c r="Z128" s="2046"/>
      <c r="AA128" s="2046"/>
      <c r="AB128" s="2046"/>
      <c r="AC128" s="2046"/>
    </row>
    <row r="129" spans="1:29">
      <c r="A129" s="2046"/>
      <c r="B129" s="2046"/>
      <c r="C129" s="2046"/>
      <c r="D129" s="2046"/>
      <c r="E129" s="2046"/>
      <c r="F129" s="2046"/>
      <c r="G129" s="2046"/>
      <c r="H129" s="2046"/>
      <c r="I129" s="2046"/>
      <c r="J129" s="2046"/>
      <c r="K129" s="2047"/>
      <c r="L129" s="2048"/>
      <c r="M129" s="2046"/>
      <c r="N129" s="2046"/>
      <c r="O129" s="2046"/>
      <c r="P129" s="2046"/>
      <c r="Q129" s="2046"/>
      <c r="R129" s="2046"/>
      <c r="S129" s="2046"/>
      <c r="T129" s="2046"/>
      <c r="U129" s="2046"/>
      <c r="V129" s="2046"/>
      <c r="W129" s="2046"/>
      <c r="X129" s="2046"/>
      <c r="Y129" s="2046"/>
      <c r="Z129" s="2046"/>
      <c r="AA129" s="2046"/>
      <c r="AB129" s="2046"/>
      <c r="AC129" s="2046"/>
    </row>
    <row r="130" spans="1:29">
      <c r="A130" s="2046"/>
      <c r="B130" s="2046"/>
      <c r="C130" s="2046"/>
      <c r="D130" s="2046"/>
      <c r="E130" s="2046"/>
      <c r="F130" s="2046"/>
      <c r="G130" s="2046"/>
      <c r="H130" s="2046"/>
      <c r="I130" s="2046"/>
      <c r="J130" s="2046"/>
      <c r="K130" s="2047"/>
      <c r="L130" s="2048"/>
      <c r="M130" s="2046"/>
      <c r="N130" s="2046"/>
      <c r="O130" s="2046"/>
      <c r="P130" s="2046"/>
      <c r="Q130" s="2046"/>
      <c r="R130" s="2046"/>
      <c r="S130" s="2046"/>
      <c r="T130" s="2046"/>
      <c r="U130" s="2046"/>
      <c r="V130" s="2046"/>
      <c r="W130" s="2046"/>
      <c r="X130" s="2046"/>
      <c r="Y130" s="2046"/>
      <c r="Z130" s="2046"/>
      <c r="AA130" s="2046"/>
      <c r="AB130" s="2046"/>
      <c r="AC130" s="2046"/>
    </row>
    <row r="131" spans="1:29">
      <c r="A131" s="2046"/>
      <c r="B131" s="2046"/>
      <c r="C131" s="2046"/>
      <c r="D131" s="2046"/>
      <c r="E131" s="2046"/>
      <c r="F131" s="2046"/>
      <c r="G131" s="2046"/>
      <c r="H131" s="2046"/>
      <c r="I131" s="2046"/>
      <c r="J131" s="2046"/>
      <c r="K131" s="2047"/>
      <c r="L131" s="2048"/>
      <c r="M131" s="2046"/>
      <c r="N131" s="2046"/>
      <c r="O131" s="2046"/>
      <c r="P131" s="2046"/>
      <c r="Q131" s="2046"/>
      <c r="R131" s="2046"/>
      <c r="S131" s="2046"/>
      <c r="T131" s="2046"/>
      <c r="U131" s="2046"/>
      <c r="V131" s="2046"/>
      <c r="W131" s="2046"/>
      <c r="X131" s="2046"/>
      <c r="Y131" s="2046"/>
      <c r="Z131" s="2046"/>
      <c r="AA131" s="2046"/>
      <c r="AB131" s="2046"/>
      <c r="AC131" s="2046"/>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4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4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4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4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4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4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4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67" priority="18" stopIfTrue="1" operator="containsText" text="超过">
      <formula>NOT(ISERROR(SEARCH("超过",F42)))</formula>
    </cfRule>
  </conditionalFormatting>
  <conditionalFormatting sqref="J44">
    <cfRule type="containsText" dxfId="66" priority="17" stopIfTrue="1" operator="containsText" text="超过">
      <formula>NOT(ISERROR(SEARCH("超过",J44)))</formula>
    </cfRule>
  </conditionalFormatting>
  <conditionalFormatting sqref="H44">
    <cfRule type="containsText" dxfId="65" priority="16" stopIfTrue="1" operator="containsText" text="超过">
      <formula>NOT(ISERROR(SEARCH("超过",H44)))</formula>
    </cfRule>
  </conditionalFormatting>
  <conditionalFormatting sqref="F44">
    <cfRule type="containsText" dxfId="64" priority="15" stopIfTrue="1" operator="containsText" text="超过">
      <formula>NOT(ISERROR(SEARCH("超过",F44)))</formula>
    </cfRule>
  </conditionalFormatting>
  <conditionalFormatting sqref="F43 H43 J43">
    <cfRule type="containsText" dxfId="63" priority="14" stopIfTrue="1" operator="containsText" text="超过">
      <formula>NOT(ISERROR(SEARCH("超过",F43)))</formula>
    </cfRule>
  </conditionalFormatting>
  <conditionalFormatting sqref="E42">
    <cfRule type="expression" dxfId="62" priority="13" stopIfTrue="1">
      <formula>$F$42="超过30%"</formula>
    </cfRule>
  </conditionalFormatting>
  <conditionalFormatting sqref="G44">
    <cfRule type="expression" dxfId="61" priority="12" stopIfTrue="1">
      <formula>$H$54+$H$44="超过30%"</formula>
    </cfRule>
  </conditionalFormatting>
  <conditionalFormatting sqref="E43">
    <cfRule type="expression" dxfId="60" priority="11" stopIfTrue="1">
      <formula>$F$43="超过20%"</formula>
    </cfRule>
  </conditionalFormatting>
  <conditionalFormatting sqref="E44">
    <cfRule type="expression" dxfId="59" priority="10" stopIfTrue="1">
      <formula>$F$44="超过30%"</formula>
    </cfRule>
  </conditionalFormatting>
  <conditionalFormatting sqref="G42">
    <cfRule type="expression" dxfId="58" priority="9" stopIfTrue="1">
      <formula>$H$52+$H$42="超过30%"</formula>
    </cfRule>
  </conditionalFormatting>
  <conditionalFormatting sqref="G43">
    <cfRule type="expression" dxfId="57" priority="8" stopIfTrue="1">
      <formula>$H$43="超过20%"</formula>
    </cfRule>
  </conditionalFormatting>
  <conditionalFormatting sqref="I42">
    <cfRule type="expression" dxfId="56" priority="7" stopIfTrue="1">
      <formula>$J$52+$J$42="超过30%"</formula>
    </cfRule>
  </conditionalFormatting>
  <conditionalFormatting sqref="I43">
    <cfRule type="expression" dxfId="55" priority="6" stopIfTrue="1">
      <formula>$J$53+$J$43="超过20%"</formula>
    </cfRule>
  </conditionalFormatting>
  <conditionalFormatting sqref="I44">
    <cfRule type="expression" dxfId="54" priority="5" stopIfTrue="1">
      <formula>$J$44="超过30%"</formula>
    </cfRule>
  </conditionalFormatting>
  <conditionalFormatting sqref="F38">
    <cfRule type="expression" dxfId="53" priority="4">
      <formula>$D$38="简单平均"</formula>
    </cfRule>
  </conditionalFormatting>
  <conditionalFormatting sqref="H38">
    <cfRule type="expression" dxfId="52" priority="3">
      <formula>$D$38="简单平均"</formula>
    </cfRule>
  </conditionalFormatting>
  <conditionalFormatting sqref="J38">
    <cfRule type="expression" dxfId="51" priority="2">
      <formula>$D$38="简单平均"</formula>
    </cfRule>
  </conditionalFormatting>
  <conditionalFormatting sqref="F7:F36 H7:H36 J7:J36">
    <cfRule type="cellIs" dxfId="50"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24" sqref="C24:C524"/>
    </sheetView>
  </sheetViews>
  <sheetFormatPr defaultColWidth="9" defaultRowHeight="14.25"/>
  <cols>
    <col min="1" max="1" width="10.5" style="1281" customWidth="1"/>
    <col min="2" max="2" width="15.75" style="1281" customWidth="1"/>
    <col min="3" max="3" width="14.37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904"/>
      <c r="C1" s="490" t="s">
        <v>786</v>
      </c>
      <c r="D1" s="830"/>
      <c r="E1" s="492"/>
      <c r="F1" s="2510"/>
      <c r="G1" s="1519" t="s">
        <v>787</v>
      </c>
      <c r="H1" s="492"/>
      <c r="I1" s="492"/>
      <c r="J1" s="492"/>
      <c r="K1" s="493"/>
      <c r="L1" s="3195"/>
      <c r="M1" s="3196"/>
      <c r="N1" s="3196"/>
      <c r="O1" s="3196"/>
      <c r="P1" s="2000"/>
      <c r="Q1" s="2000"/>
      <c r="R1" s="2000"/>
      <c r="S1" s="2000"/>
      <c r="T1" s="2000"/>
      <c r="U1" s="2000"/>
      <c r="V1" s="2000"/>
      <c r="W1" s="2000"/>
      <c r="X1" s="2000"/>
      <c r="Y1" s="2000"/>
      <c r="Z1" s="2000"/>
      <c r="AA1" s="2000"/>
      <c r="AB1" s="2000"/>
      <c r="AC1" s="3197"/>
    </row>
    <row r="2" spans="1:29" s="1280" customFormat="1" ht="28.5" customHeight="1">
      <c r="A2" s="409" t="s">
        <v>788</v>
      </c>
      <c r="B2" s="831" t="e">
        <f>ROUND(B3*D3/10000,0)</f>
        <v>#DIV/0!</v>
      </c>
      <c r="C2" s="1995"/>
      <c r="D2" s="1995"/>
      <c r="E2" s="1996"/>
      <c r="F2" s="1997"/>
      <c r="G2" s="1996"/>
      <c r="H2" s="1996"/>
      <c r="I2" s="1996"/>
      <c r="J2" s="1996"/>
      <c r="K2" s="1998"/>
      <c r="L2" s="1999"/>
      <c r="M2" s="2000"/>
      <c r="N2" s="2000"/>
      <c r="O2" s="2000"/>
      <c r="P2" s="2000"/>
      <c r="Q2" s="2000"/>
      <c r="R2" s="2000"/>
      <c r="S2" s="2000"/>
      <c r="T2" s="2000"/>
      <c r="U2" s="2000"/>
      <c r="V2" s="2000"/>
      <c r="W2" s="2000"/>
      <c r="X2" s="2000"/>
      <c r="Y2" s="2000"/>
      <c r="Z2" s="2000"/>
      <c r="AA2" s="2000"/>
      <c r="AB2" s="2000"/>
      <c r="AC2" s="3197"/>
    </row>
    <row r="3" spans="1:29" s="1280" customFormat="1" ht="28.5" customHeight="1" thickBot="1">
      <c r="A3" s="495" t="s">
        <v>789</v>
      </c>
      <c r="B3" s="496" t="e">
        <f>C37</f>
        <v>#DIV/0!</v>
      </c>
      <c r="C3" s="833" t="s">
        <v>790</v>
      </c>
      <c r="D3" s="832">
        <f>SUMIF('数据-汇总表'!$C19:$C33,D1,'数据-汇总表'!$E19:$E33)</f>
        <v>0</v>
      </c>
      <c r="E3" s="1996"/>
      <c r="F3" s="1997"/>
      <c r="G3" s="1996"/>
      <c r="H3" s="1996"/>
      <c r="I3" s="1996"/>
      <c r="J3" s="1996"/>
      <c r="K3" s="1998"/>
      <c r="L3" s="1999"/>
      <c r="M3" s="2000"/>
      <c r="N3" s="2000"/>
      <c r="O3" s="2000"/>
      <c r="P3" s="2000"/>
      <c r="Q3" s="2000"/>
      <c r="R3" s="2000"/>
      <c r="S3" s="2000"/>
      <c r="T3" s="2000"/>
      <c r="U3" s="2000"/>
      <c r="V3" s="2000"/>
      <c r="W3" s="2000"/>
      <c r="X3" s="2000"/>
      <c r="Y3" s="2000"/>
      <c r="Z3" s="2000"/>
      <c r="AA3" s="2000"/>
      <c r="AB3" s="3198"/>
      <c r="AC3" s="1930"/>
    </row>
    <row r="4" spans="1:29" ht="15">
      <c r="A4" s="498" t="s">
        <v>791</v>
      </c>
      <c r="B4" s="499"/>
      <c r="C4" s="3856" t="s">
        <v>792</v>
      </c>
      <c r="D4" s="3857"/>
      <c r="E4" s="3883" t="s">
        <v>793</v>
      </c>
      <c r="F4" s="3884"/>
      <c r="G4" s="3856" t="s">
        <v>794</v>
      </c>
      <c r="H4" s="3857"/>
      <c r="I4" s="3856" t="s">
        <v>795</v>
      </c>
      <c r="J4" s="3857"/>
      <c r="K4" s="500" t="s">
        <v>796</v>
      </c>
      <c r="L4" s="2001"/>
      <c r="M4" s="2002"/>
      <c r="N4" s="2002"/>
      <c r="O4" s="2002"/>
      <c r="P4" s="3858" t="s">
        <v>797</v>
      </c>
      <c r="Q4" s="3859"/>
      <c r="R4" s="3844" t="s">
        <v>793</v>
      </c>
      <c r="S4" s="3845"/>
      <c r="T4" s="3844" t="s">
        <v>794</v>
      </c>
      <c r="U4" s="3845"/>
      <c r="V4" s="3864" t="s">
        <v>795</v>
      </c>
      <c r="W4" s="3864"/>
      <c r="X4" s="1489"/>
      <c r="Y4" s="3844" t="s">
        <v>797</v>
      </c>
      <c r="Z4" s="3845"/>
      <c r="AA4" s="3839" t="s">
        <v>793</v>
      </c>
      <c r="AB4" s="3840" t="s">
        <v>794</v>
      </c>
      <c r="AC4" s="3839" t="s">
        <v>795</v>
      </c>
    </row>
    <row r="5" spans="1:29" ht="15">
      <c r="A5" s="501"/>
      <c r="B5" s="502"/>
      <c r="C5" s="3867" t="s">
        <v>2887</v>
      </c>
      <c r="D5" s="3868"/>
      <c r="E5" s="3885" t="s">
        <v>2888</v>
      </c>
      <c r="F5" s="3886"/>
      <c r="G5" s="3867" t="s">
        <v>2889</v>
      </c>
      <c r="H5" s="3868"/>
      <c r="I5" s="3867" t="s">
        <v>2890</v>
      </c>
      <c r="J5" s="3868"/>
      <c r="K5" s="500"/>
      <c r="L5" s="2001"/>
      <c r="M5" s="2002"/>
      <c r="N5" s="2002"/>
      <c r="O5" s="2002"/>
      <c r="P5" s="3860"/>
      <c r="Q5" s="3861"/>
      <c r="R5" s="3846"/>
      <c r="S5" s="3847"/>
      <c r="T5" s="3846"/>
      <c r="U5" s="3847"/>
      <c r="V5" s="3864"/>
      <c r="W5" s="3864"/>
      <c r="X5" s="1489"/>
      <c r="Y5" s="3846"/>
      <c r="Z5" s="3847"/>
      <c r="AA5" s="3840"/>
      <c r="AB5" s="3840"/>
      <c r="AC5" s="3840"/>
    </row>
    <row r="6" spans="1:29" ht="15.75" thickBot="1">
      <c r="A6" s="503"/>
      <c r="B6" s="504"/>
      <c r="C6" s="3865" t="s">
        <v>2891</v>
      </c>
      <c r="D6" s="3866"/>
      <c r="E6" s="3887" t="s">
        <v>2891</v>
      </c>
      <c r="F6" s="3888"/>
      <c r="G6" s="3865" t="s">
        <v>2891</v>
      </c>
      <c r="H6" s="3866"/>
      <c r="I6" s="3865" t="s">
        <v>2891</v>
      </c>
      <c r="J6" s="3866"/>
      <c r="K6" s="500" t="s">
        <v>522</v>
      </c>
      <c r="L6" s="2001"/>
      <c r="M6" s="2002"/>
      <c r="N6" s="2002"/>
      <c r="O6" s="2002"/>
      <c r="P6" s="3862"/>
      <c r="Q6" s="3863"/>
      <c r="R6" s="3846"/>
      <c r="S6" s="3847"/>
      <c r="T6" s="3848"/>
      <c r="U6" s="3849"/>
      <c r="V6" s="3864"/>
      <c r="W6" s="3864"/>
      <c r="X6" s="1489"/>
      <c r="Y6" s="3848"/>
      <c r="Z6" s="3849"/>
      <c r="AA6" s="3841"/>
      <c r="AB6" s="3841"/>
      <c r="AC6" s="3841"/>
    </row>
    <row r="7" spans="1:29" s="1194" customFormat="1" ht="15.75" thickBot="1">
      <c r="A7" s="2615"/>
      <c r="B7" s="2622" t="s">
        <v>523</v>
      </c>
      <c r="C7" s="505">
        <f>'数据-取费表'!B2</f>
        <v>44191</v>
      </c>
      <c r="D7" s="506">
        <v>100</v>
      </c>
      <c r="E7" s="507"/>
      <c r="F7" s="508">
        <f>SUMIF(46:46,YEAR(E7)&amp;"-"&amp;MONTH(E7),47:47)</f>
        <v>0</v>
      </c>
      <c r="G7" s="509"/>
      <c r="H7" s="506">
        <f>SUMIF(46:46,YEAR(G7)&amp;"-"&amp;MONTH(G7),47:47)</f>
        <v>0</v>
      </c>
      <c r="I7" s="509"/>
      <c r="J7" s="506">
        <f>SUMIF(46:46,YEAR(I7)&amp;"-"&amp;MONTH(I7),47:47)</f>
        <v>0</v>
      </c>
      <c r="K7" s="510"/>
      <c r="L7" s="2003"/>
      <c r="M7" s="2004"/>
      <c r="N7" s="2004"/>
      <c r="O7" s="2004"/>
      <c r="P7" s="3842" t="s">
        <v>524</v>
      </c>
      <c r="Q7" s="3851"/>
      <c r="R7" s="1490" t="s">
        <v>8</v>
      </c>
      <c r="S7" s="1491">
        <f t="shared" ref="S7:S14" si="0">F7</f>
        <v>0</v>
      </c>
      <c r="T7" s="1490" t="s">
        <v>8</v>
      </c>
      <c r="U7" s="1491">
        <f t="shared" ref="U7:U14" si="1">H7</f>
        <v>0</v>
      </c>
      <c r="V7" s="1490" t="s">
        <v>8</v>
      </c>
      <c r="W7" s="1491">
        <f t="shared" ref="W7:W14" si="2">J7</f>
        <v>0</v>
      </c>
      <c r="X7" s="1492"/>
      <c r="Y7" s="3842" t="s">
        <v>524</v>
      </c>
      <c r="Z7" s="3843"/>
      <c r="AA7" s="1493" t="e">
        <f>D7/F7</f>
        <v>#DIV/0!</v>
      </c>
      <c r="AB7" s="1493" t="e">
        <f>D7/H7</f>
        <v>#DIV/0!</v>
      </c>
      <c r="AC7" s="1493" t="e">
        <f>D7/J7</f>
        <v>#DIV/0!</v>
      </c>
    </row>
    <row r="8" spans="1:29" s="1194" customFormat="1" ht="15.75" thickBot="1">
      <c r="A8" s="2616"/>
      <c r="B8" s="2623" t="s">
        <v>525</v>
      </c>
      <c r="C8" s="511" t="s">
        <v>570</v>
      </c>
      <c r="D8" s="506">
        <v>100</v>
      </c>
      <c r="E8" s="511"/>
      <c r="F8" s="508">
        <f>SUMIF(49:49,E8,50:50)-SUMIF(49:49,C8,50:50)+100</f>
        <v>0</v>
      </c>
      <c r="G8" s="511"/>
      <c r="H8" s="506">
        <f>SUMIF(49:49,G8,50:50)-SUMIF(49:49,C8,50:50)+100</f>
        <v>0</v>
      </c>
      <c r="I8" s="511"/>
      <c r="J8" s="506">
        <f>SUMIF(49:49,I8,50:50)-SUMIF(49:49,C8,50:50)+100</f>
        <v>0</v>
      </c>
      <c r="K8" s="510"/>
      <c r="L8" s="2003"/>
      <c r="M8" s="2004"/>
      <c r="N8" s="2004"/>
      <c r="O8" s="2004"/>
      <c r="P8" s="3842" t="s">
        <v>527</v>
      </c>
      <c r="Q8" s="3843"/>
      <c r="R8" s="1490" t="s">
        <v>8</v>
      </c>
      <c r="S8" s="1491">
        <f t="shared" si="0"/>
        <v>0</v>
      </c>
      <c r="T8" s="1490" t="s">
        <v>8</v>
      </c>
      <c r="U8" s="1491">
        <f t="shared" si="1"/>
        <v>0</v>
      </c>
      <c r="V8" s="1490" t="s">
        <v>8</v>
      </c>
      <c r="W8" s="1491">
        <f t="shared" si="2"/>
        <v>0</v>
      </c>
      <c r="X8" s="1492"/>
      <c r="Y8" s="3842" t="s">
        <v>527</v>
      </c>
      <c r="Z8" s="3843"/>
      <c r="AA8" s="1493" t="e">
        <f t="shared" ref="AA8:AA34" si="3">D8/F8</f>
        <v>#DIV/0!</v>
      </c>
      <c r="AB8" s="1493" t="e">
        <f t="shared" ref="AB8:AB34" si="4">D8/H8</f>
        <v>#DIV/0!</v>
      </c>
      <c r="AC8" s="1493" t="e">
        <f t="shared" ref="AC8:AC34" si="5">D8/J8</f>
        <v>#DIV/0!</v>
      </c>
    </row>
    <row r="9" spans="1:29" s="1194" customFormat="1" ht="15">
      <c r="A9" s="2617"/>
      <c r="B9" s="2624" t="s">
        <v>2730</v>
      </c>
      <c r="C9" s="838"/>
      <c r="D9" s="244">
        <v>100</v>
      </c>
      <c r="E9" s="841"/>
      <c r="F9" s="244">
        <f>SUMIF(51:51,E9,52:52)-SUMIF(51:51,C9,52:52)+100</f>
        <v>100</v>
      </c>
      <c r="G9" s="841"/>
      <c r="H9" s="244">
        <f>SUMIF(51:51,G9,52:52)-SUMIF(51:51,C9,52:52)+100</f>
        <v>100</v>
      </c>
      <c r="I9" s="841"/>
      <c r="J9" s="244">
        <f>SUMIF(51:51,I9,52:52)-SUMIF(51:51,C9,52:52)+100</f>
        <v>100</v>
      </c>
      <c r="K9" s="510"/>
      <c r="L9" s="2003"/>
      <c r="M9" s="2004"/>
      <c r="N9" s="2004"/>
      <c r="O9" s="2005"/>
      <c r="P9" s="3850" t="s">
        <v>529</v>
      </c>
      <c r="Q9" s="1125" t="str">
        <f t="shared" ref="Q9:Q14" si="6">B9</f>
        <v>用途</v>
      </c>
      <c r="R9" s="1490" t="s">
        <v>8</v>
      </c>
      <c r="S9" s="1491">
        <f t="shared" si="0"/>
        <v>100</v>
      </c>
      <c r="T9" s="1490" t="s">
        <v>8</v>
      </c>
      <c r="U9" s="1491">
        <f t="shared" si="1"/>
        <v>100</v>
      </c>
      <c r="V9" s="1490" t="s">
        <v>8</v>
      </c>
      <c r="W9" s="1491">
        <f t="shared" si="2"/>
        <v>100</v>
      </c>
      <c r="X9" s="1492"/>
      <c r="Y9" s="3801" t="s">
        <v>530</v>
      </c>
      <c r="Z9" s="1124" t="str">
        <f t="shared" ref="Z9:Z14" si="7">Q9</f>
        <v>用途</v>
      </c>
      <c r="AA9" s="1493">
        <f t="shared" si="3"/>
        <v>1</v>
      </c>
      <c r="AB9" s="1493">
        <f t="shared" si="4"/>
        <v>1</v>
      </c>
      <c r="AC9" s="1493">
        <f t="shared" si="5"/>
        <v>1</v>
      </c>
    </row>
    <row r="10" spans="1:29" s="1282" customFormat="1" ht="27">
      <c r="A10" s="2618"/>
      <c r="B10" s="2623" t="s">
        <v>2731</v>
      </c>
      <c r="C10" s="842"/>
      <c r="D10" s="245">
        <v>100</v>
      </c>
      <c r="E10" s="842"/>
      <c r="F10" s="245">
        <f>SUMIF(53:53,E10,54:54)-SUMIF(53:53,C10,54:54)+100</f>
        <v>100</v>
      </c>
      <c r="G10" s="843"/>
      <c r="H10" s="245">
        <f>SUMIF(53:53,G10,54:54)-SUMIF(53:53,C10,54:54)+100</f>
        <v>100</v>
      </c>
      <c r="I10" s="842"/>
      <c r="J10" s="245">
        <f>SUMIF(53:53,I10,54:54)-SUMIF(53:53,C10,54:54)+100</f>
        <v>100</v>
      </c>
      <c r="K10" s="570"/>
      <c r="L10" s="2006"/>
      <c r="M10" s="2045"/>
      <c r="N10" s="2045"/>
      <c r="O10" s="2007"/>
      <c r="P10" s="3850"/>
      <c r="Q10" s="1125" t="str">
        <f t="shared" si="6"/>
        <v>土地使用年限（年）</v>
      </c>
      <c r="R10" s="1490" t="s">
        <v>8</v>
      </c>
      <c r="S10" s="1491">
        <f t="shared" si="0"/>
        <v>100</v>
      </c>
      <c r="T10" s="1490" t="s">
        <v>8</v>
      </c>
      <c r="U10" s="1491">
        <f t="shared" si="1"/>
        <v>100</v>
      </c>
      <c r="V10" s="1490" t="s">
        <v>8</v>
      </c>
      <c r="W10" s="1491">
        <f t="shared" si="2"/>
        <v>100</v>
      </c>
      <c r="X10" s="1492"/>
      <c r="Y10" s="3801"/>
      <c r="Z10" s="1124" t="str">
        <f t="shared" si="7"/>
        <v>土地使用年限（年）</v>
      </c>
      <c r="AA10" s="1493">
        <f t="shared" si="3"/>
        <v>1</v>
      </c>
      <c r="AB10" s="1493">
        <f t="shared" si="4"/>
        <v>1</v>
      </c>
      <c r="AC10" s="1493">
        <f t="shared" si="5"/>
        <v>1</v>
      </c>
    </row>
    <row r="11" spans="1:29" ht="15">
      <c r="A11" s="2620"/>
      <c r="B11" s="2626">
        <v>111</v>
      </c>
      <c r="C11" s="514"/>
      <c r="D11" s="245">
        <v>100</v>
      </c>
      <c r="E11" s="861"/>
      <c r="F11" s="245">
        <f>SUMIF(55:55,E11,56:56)-SUMIF(55:55,C11,56:56)+100</f>
        <v>100</v>
      </c>
      <c r="G11" s="861"/>
      <c r="H11" s="245">
        <f>SUMIF(55:55,G11,56:56)-SUMIF(55:55,C11,56:56)+100</f>
        <v>100</v>
      </c>
      <c r="I11" s="861"/>
      <c r="J11" s="245">
        <f>SUMIF(55:55,I11,56:56)-SUMIF(55:55,C11,56:56)+100</f>
        <v>100</v>
      </c>
      <c r="K11" s="567"/>
      <c r="L11" s="2008"/>
      <c r="M11" s="2002"/>
      <c r="N11" s="2002"/>
      <c r="O11" s="2009"/>
      <c r="P11" s="3850"/>
      <c r="Q11" s="1125">
        <f t="shared" si="6"/>
        <v>111</v>
      </c>
      <c r="R11" s="1490" t="s">
        <v>8</v>
      </c>
      <c r="S11" s="1491">
        <f t="shared" si="0"/>
        <v>100</v>
      </c>
      <c r="T11" s="1490" t="s">
        <v>8</v>
      </c>
      <c r="U11" s="1491">
        <f t="shared" si="1"/>
        <v>100</v>
      </c>
      <c r="V11" s="1490" t="s">
        <v>8</v>
      </c>
      <c r="W11" s="1491">
        <f t="shared" si="2"/>
        <v>100</v>
      </c>
      <c r="X11" s="1492"/>
      <c r="Y11" s="3801"/>
      <c r="Z11" s="1124">
        <f t="shared" si="7"/>
        <v>111</v>
      </c>
      <c r="AA11" s="1493">
        <f t="shared" si="3"/>
        <v>1</v>
      </c>
      <c r="AB11" s="1493">
        <f t="shared" si="4"/>
        <v>1</v>
      </c>
      <c r="AC11" s="1493">
        <f t="shared" si="5"/>
        <v>1</v>
      </c>
    </row>
    <row r="12" spans="1:29" s="1194" customFormat="1" ht="15">
      <c r="A12" s="2620"/>
      <c r="B12" s="2626">
        <v>111</v>
      </c>
      <c r="C12" s="514"/>
      <c r="D12" s="524">
        <v>100</v>
      </c>
      <c r="E12" s="861"/>
      <c r="F12" s="245">
        <f>SUMIF(57:57,E12,58:58)-SUMIF(57:57,C12,58:58)+100</f>
        <v>100</v>
      </c>
      <c r="G12" s="861"/>
      <c r="H12" s="245">
        <f>SUMIF(57:57,G12,58:58)-SUMIF(57:57,C12,58:58)+100</f>
        <v>100</v>
      </c>
      <c r="I12" s="861"/>
      <c r="J12" s="245">
        <f>SUMIF(57:57,I12,58:58)-SUMIF(57:57,C12,58:58)+100</f>
        <v>100</v>
      </c>
      <c r="K12" s="567"/>
      <c r="L12" s="2003"/>
      <c r="M12" s="2004"/>
      <c r="N12" s="2004"/>
      <c r="O12" s="2005"/>
      <c r="P12" s="3850"/>
      <c r="Q12" s="1125">
        <f t="shared" si="6"/>
        <v>111</v>
      </c>
      <c r="R12" s="1490" t="s">
        <v>8</v>
      </c>
      <c r="S12" s="1491">
        <f t="shared" si="0"/>
        <v>100</v>
      </c>
      <c r="T12" s="1490" t="s">
        <v>8</v>
      </c>
      <c r="U12" s="1491">
        <f t="shared" si="1"/>
        <v>100</v>
      </c>
      <c r="V12" s="1490" t="s">
        <v>8</v>
      </c>
      <c r="W12" s="1491">
        <f t="shared" si="2"/>
        <v>100</v>
      </c>
      <c r="X12" s="1492"/>
      <c r="Y12" s="3801"/>
      <c r="Z12" s="1124">
        <f t="shared" si="7"/>
        <v>111</v>
      </c>
      <c r="AA12" s="1493">
        <f>D12/F12</f>
        <v>1</v>
      </c>
      <c r="AB12" s="1493">
        <f>D12/H12</f>
        <v>1</v>
      </c>
      <c r="AC12" s="1493">
        <f>D12/J12</f>
        <v>1</v>
      </c>
    </row>
    <row r="13" spans="1:29" ht="15.75" thickBot="1">
      <c r="A13" s="2621"/>
      <c r="B13" s="2627">
        <v>111</v>
      </c>
      <c r="C13" s="525"/>
      <c r="D13" s="526">
        <v>100</v>
      </c>
      <c r="E13" s="861"/>
      <c r="F13" s="245">
        <f>SUMIF(59:59,E13,60:60)-SUMIF(59:59,C13,60:60)+100</f>
        <v>100</v>
      </c>
      <c r="G13" s="861"/>
      <c r="H13" s="526">
        <f>SUMIF(59:59,G13,60:60)-SUMIF(59:59,C13,60:60)+100</f>
        <v>100</v>
      </c>
      <c r="I13" s="861"/>
      <c r="J13" s="526">
        <f>SUMIF(59:59,I13,60:60)-SUMIF(59:59,C13,60:60)+100</f>
        <v>100</v>
      </c>
      <c r="K13" s="567"/>
      <c r="L13" s="2010"/>
      <c r="M13" s="2002"/>
      <c r="N13" s="2002"/>
      <c r="O13" s="2009"/>
      <c r="P13" s="3850"/>
      <c r="Q13" s="1125">
        <f t="shared" si="6"/>
        <v>111</v>
      </c>
      <c r="R13" s="1490" t="s">
        <v>8</v>
      </c>
      <c r="S13" s="1491">
        <f t="shared" si="0"/>
        <v>100</v>
      </c>
      <c r="T13" s="1490" t="s">
        <v>8</v>
      </c>
      <c r="U13" s="1491">
        <f t="shared" si="1"/>
        <v>100</v>
      </c>
      <c r="V13" s="1490" t="s">
        <v>8</v>
      </c>
      <c r="W13" s="1491">
        <f t="shared" si="2"/>
        <v>100</v>
      </c>
      <c r="X13" s="1492"/>
      <c r="Y13" s="3801"/>
      <c r="Z13" s="1124">
        <f t="shared" si="7"/>
        <v>111</v>
      </c>
      <c r="AA13" s="1493">
        <f t="shared" si="3"/>
        <v>1</v>
      </c>
      <c r="AB13" s="1493">
        <f t="shared" si="4"/>
        <v>1</v>
      </c>
      <c r="AC13" s="1493">
        <f t="shared" si="5"/>
        <v>1</v>
      </c>
    </row>
    <row r="14" spans="1:29" ht="85.5">
      <c r="A14" s="2613" t="s">
        <v>2728</v>
      </c>
      <c r="B14" s="164" t="s">
        <v>537</v>
      </c>
      <c r="C14" s="902" t="str">
        <f>IF(B1="工业",估价对象房地状况!G4,估价对象房地状况!C6)</f>
        <v>估价对象周边道路状况、公共交通通达情况、停车便捷程度，综合评价交通便捷度较好</v>
      </c>
      <c r="D14" s="535">
        <v>100</v>
      </c>
      <c r="E14" s="536"/>
      <c r="F14" s="537">
        <f>SUMIF(61:61,E15,62:62)-SUMIF(61:61,C15,62:62)+100</f>
        <v>100</v>
      </c>
      <c r="G14" s="538"/>
      <c r="H14" s="535">
        <f>SUMIF(61:61,G15,62:62)-SUMIF(61:61,C15,62:62)+100</f>
        <v>100</v>
      </c>
      <c r="I14" s="536"/>
      <c r="J14" s="535">
        <f>SUMIF(61:61,I15,62:62)-SUMIF(61:61,C15,62:62)+100</f>
        <v>100</v>
      </c>
      <c r="K14" s="879"/>
      <c r="L14" s="2010"/>
      <c r="M14" s="2002"/>
      <c r="N14" s="2002"/>
      <c r="O14" s="2009"/>
      <c r="P14" s="3852" t="s">
        <v>534</v>
      </c>
      <c r="Q14" s="1494" t="str">
        <f t="shared" si="6"/>
        <v>交通便捷度</v>
      </c>
      <c r="R14" s="1495" t="s">
        <v>8</v>
      </c>
      <c r="S14" s="1496">
        <f t="shared" si="0"/>
        <v>100</v>
      </c>
      <c r="T14" s="1495" t="s">
        <v>8</v>
      </c>
      <c r="U14" s="1496">
        <f t="shared" si="1"/>
        <v>100</v>
      </c>
      <c r="V14" s="1495" t="s">
        <v>8</v>
      </c>
      <c r="W14" s="1496">
        <f t="shared" si="2"/>
        <v>100</v>
      </c>
      <c r="X14" s="1489"/>
      <c r="Y14" s="3852" t="s">
        <v>534</v>
      </c>
      <c r="Z14" s="1497" t="str">
        <f t="shared" si="7"/>
        <v>交通便捷度</v>
      </c>
      <c r="AA14" s="1498">
        <f t="shared" si="3"/>
        <v>1</v>
      </c>
      <c r="AB14" s="1498">
        <f t="shared" si="4"/>
        <v>1</v>
      </c>
      <c r="AC14" s="1498">
        <f t="shared" si="5"/>
        <v>1</v>
      </c>
    </row>
    <row r="15" spans="1:29" ht="15">
      <c r="A15" s="518"/>
      <c r="B15" s="850"/>
      <c r="C15" s="562"/>
      <c r="D15" s="541"/>
      <c r="E15" s="562"/>
      <c r="F15" s="543"/>
      <c r="G15" s="562"/>
      <c r="H15" s="545"/>
      <c r="I15" s="562"/>
      <c r="J15" s="541"/>
      <c r="K15" s="880"/>
      <c r="L15" s="2010"/>
      <c r="M15" s="2002"/>
      <c r="N15" s="2002"/>
      <c r="O15" s="2009"/>
      <c r="P15" s="3853"/>
      <c r="Q15" s="1494"/>
      <c r="R15" s="1495"/>
      <c r="S15" s="1496"/>
      <c r="T15" s="1495"/>
      <c r="U15" s="1496"/>
      <c r="V15" s="1495"/>
      <c r="W15" s="1496"/>
      <c r="X15" s="1489"/>
      <c r="Y15" s="3853"/>
      <c r="Z15" s="1497"/>
      <c r="AA15" s="1498">
        <v>1</v>
      </c>
      <c r="AB15" s="1498">
        <v>1</v>
      </c>
      <c r="AC15" s="1498">
        <v>1</v>
      </c>
    </row>
    <row r="16" spans="1:29" ht="42.75">
      <c r="A16" s="518"/>
      <c r="B16" s="2433" t="s">
        <v>2522</v>
      </c>
      <c r="C16" s="853" t="str">
        <f>IF(B1="工业",估价对象房地状况!G5,估价对象房地状况!C7)</f>
        <v>估价对象所在区域公共配套设施齐备情况</v>
      </c>
      <c r="D16" s="551">
        <v>100</v>
      </c>
      <c r="E16" s="556"/>
      <c r="F16" s="557">
        <f>SUMIF(63:63,E17,64:64)-SUMIF(63:63,C17,64:64)+100</f>
        <v>100</v>
      </c>
      <c r="G16" s="558"/>
      <c r="H16" s="551">
        <f>SUMIF(63:63,G17,64:64)-SUMIF(63:63,C17,64:64)+100</f>
        <v>100</v>
      </c>
      <c r="I16" s="556"/>
      <c r="J16" s="551">
        <f>SUMIF(63:63,I17,64:64)-SUMIF(63:63,C17,64:64)+100</f>
        <v>100</v>
      </c>
      <c r="K16" s="879"/>
      <c r="L16" s="2010"/>
      <c r="M16" s="2002"/>
      <c r="N16" s="2002"/>
      <c r="O16" s="2009"/>
      <c r="P16" s="3853"/>
      <c r="Q16" s="1494" t="str">
        <f>B16</f>
        <v>公共配套设施</v>
      </c>
      <c r="R16" s="1495" t="s">
        <v>8</v>
      </c>
      <c r="S16" s="1496">
        <f>F16</f>
        <v>100</v>
      </c>
      <c r="T16" s="1495" t="s">
        <v>8</v>
      </c>
      <c r="U16" s="1496">
        <f>H16</f>
        <v>100</v>
      </c>
      <c r="V16" s="1495" t="s">
        <v>8</v>
      </c>
      <c r="W16" s="1496">
        <f>J16</f>
        <v>100</v>
      </c>
      <c r="X16" s="1489"/>
      <c r="Y16" s="3853"/>
      <c r="Z16" s="1497" t="str">
        <f>Q16</f>
        <v>公共配套设施</v>
      </c>
      <c r="AA16" s="1498">
        <f t="shared" si="3"/>
        <v>1</v>
      </c>
      <c r="AB16" s="1498">
        <f t="shared" si="4"/>
        <v>1</v>
      </c>
      <c r="AC16" s="1498">
        <f t="shared" si="5"/>
        <v>1</v>
      </c>
    </row>
    <row r="17" spans="1:29" ht="15">
      <c r="A17" s="518"/>
      <c r="B17" s="552"/>
      <c r="C17" s="854"/>
      <c r="D17" s="541"/>
      <c r="E17" s="562"/>
      <c r="F17" s="543"/>
      <c r="G17" s="562"/>
      <c r="H17" s="541"/>
      <c r="I17" s="562"/>
      <c r="J17" s="541"/>
      <c r="K17" s="880"/>
      <c r="L17" s="2010"/>
      <c r="M17" s="2002"/>
      <c r="N17" s="2002"/>
      <c r="O17" s="2009"/>
      <c r="P17" s="3853"/>
      <c r="Q17" s="1494"/>
      <c r="R17" s="1495"/>
      <c r="S17" s="1496"/>
      <c r="T17" s="1495"/>
      <c r="U17" s="1496"/>
      <c r="V17" s="1495"/>
      <c r="W17" s="1496"/>
      <c r="X17" s="1489"/>
      <c r="Y17" s="3853"/>
      <c r="Z17" s="1497"/>
      <c r="AA17" s="1498">
        <v>1</v>
      </c>
      <c r="AB17" s="1498">
        <v>1</v>
      </c>
      <c r="AC17" s="1498">
        <v>1</v>
      </c>
    </row>
    <row r="18" spans="1:29" ht="28.5">
      <c r="A18" s="518"/>
      <c r="B18" s="2421" t="s">
        <v>2534</v>
      </c>
      <c r="C18" s="853" t="str">
        <f>IF(B1="工业",估价对象房地状况!G6,估价对象房地状况!C8)</f>
        <v>估价对象所在区域基础设施水平</v>
      </c>
      <c r="D18" s="545">
        <v>100</v>
      </c>
      <c r="E18" s="548"/>
      <c r="F18" s="549">
        <f>SUMIF(65:65,E19,66:66)-SUMIF(65:65,C19,66:66)+100</f>
        <v>100</v>
      </c>
      <c r="G18" s="550"/>
      <c r="H18" s="551">
        <f>SUMIF(65:65,G19,66:66)-SUMIF(65:65,C19,66:66)+100</f>
        <v>100</v>
      </c>
      <c r="I18" s="556"/>
      <c r="J18" s="551">
        <f>SUMIF(65:65,I19,66:66)-SUMIF(65:65,C19,66:66)+100</f>
        <v>100</v>
      </c>
      <c r="K18" s="879"/>
      <c r="L18" s="2010"/>
      <c r="M18" s="2002"/>
      <c r="N18" s="2002"/>
      <c r="O18" s="2009"/>
      <c r="P18" s="3853"/>
      <c r="Q18" s="2415" t="str">
        <f>B18</f>
        <v>基础设施水平</v>
      </c>
      <c r="R18" s="1495" t="s">
        <v>8</v>
      </c>
      <c r="S18" s="1496">
        <f>F18</f>
        <v>100</v>
      </c>
      <c r="T18" s="1495" t="s">
        <v>8</v>
      </c>
      <c r="U18" s="1496">
        <f>H18</f>
        <v>100</v>
      </c>
      <c r="V18" s="1495" t="s">
        <v>8</v>
      </c>
      <c r="W18" s="1496">
        <f>J18</f>
        <v>100</v>
      </c>
      <c r="X18" s="2417"/>
      <c r="Y18" s="3853"/>
      <c r="Z18" s="2416" t="str">
        <f>Q18</f>
        <v>基础设施水平</v>
      </c>
      <c r="AA18" s="1498">
        <f t="shared" ref="AA18" si="8">D18/F18</f>
        <v>1</v>
      </c>
      <c r="AB18" s="1498">
        <f t="shared" ref="AB18" si="9">D18/H18</f>
        <v>1</v>
      </c>
      <c r="AC18" s="1498">
        <f t="shared" ref="AC18" si="10">D18/J18</f>
        <v>1</v>
      </c>
    </row>
    <row r="19" spans="1:29" ht="15">
      <c r="A19" s="518"/>
      <c r="B19" s="564"/>
      <c r="C19" s="854"/>
      <c r="D19" s="545"/>
      <c r="E19" s="854"/>
      <c r="F19" s="549"/>
      <c r="G19" s="854"/>
      <c r="H19" s="541"/>
      <c r="I19" s="562"/>
      <c r="J19" s="541"/>
      <c r="K19" s="2432"/>
      <c r="L19" s="2010"/>
      <c r="M19" s="2002"/>
      <c r="N19" s="2002"/>
      <c r="O19" s="2009"/>
      <c r="P19" s="3853"/>
      <c r="Q19" s="2415"/>
      <c r="R19" s="1495"/>
      <c r="S19" s="1496"/>
      <c r="T19" s="1495"/>
      <c r="U19" s="1496"/>
      <c r="V19" s="1495"/>
      <c r="W19" s="1496"/>
      <c r="X19" s="2417"/>
      <c r="Y19" s="3853"/>
      <c r="Z19" s="2416"/>
      <c r="AA19" s="1498">
        <v>1</v>
      </c>
      <c r="AB19" s="1498">
        <v>1</v>
      </c>
      <c r="AC19" s="1498">
        <v>1</v>
      </c>
    </row>
    <row r="20" spans="1:29" ht="57">
      <c r="A20" s="518"/>
      <c r="B20" s="852" t="s">
        <v>798</v>
      </c>
      <c r="C20" s="853" t="str">
        <f>IF(B1="工业",估价对象房地状况!G7,估价对象房地状况!C9)</f>
        <v>区域自然环境：；人文环境；综合评价环境状况一般</v>
      </c>
      <c r="D20" s="551">
        <v>100</v>
      </c>
      <c r="E20" s="556"/>
      <c r="F20" s="557">
        <f>SUMIF(67:67,E21,68:68)-SUMIF(67:67,C21,68:68)+100</f>
        <v>100</v>
      </c>
      <c r="G20" s="558"/>
      <c r="H20" s="545">
        <f>SUMIF(67:67,G21,68:68)-SUMIF(67:67,C21,68:68)+100</f>
        <v>100</v>
      </c>
      <c r="I20" s="548"/>
      <c r="J20" s="545">
        <f>SUMIF(67:67,I21,68:68)-SUMIF(67:67,C21,68:68)+100</f>
        <v>100</v>
      </c>
      <c r="K20" s="879"/>
      <c r="L20" s="2010"/>
      <c r="M20" s="2002"/>
      <c r="N20" s="2002"/>
      <c r="O20" s="2009"/>
      <c r="P20" s="3853"/>
      <c r="Q20" s="1494" t="str">
        <f>B20</f>
        <v>自然及人文环境</v>
      </c>
      <c r="R20" s="1495" t="s">
        <v>8</v>
      </c>
      <c r="S20" s="1496">
        <f>F20</f>
        <v>100</v>
      </c>
      <c r="T20" s="1495" t="s">
        <v>8</v>
      </c>
      <c r="U20" s="1496">
        <f>H20</f>
        <v>100</v>
      </c>
      <c r="V20" s="1495" t="s">
        <v>8</v>
      </c>
      <c r="W20" s="1496">
        <f>J20</f>
        <v>100</v>
      </c>
      <c r="X20" s="1489"/>
      <c r="Y20" s="3853"/>
      <c r="Z20" s="1497" t="str">
        <f>Q20</f>
        <v>自然及人文环境</v>
      </c>
      <c r="AA20" s="1498">
        <f t="shared" si="3"/>
        <v>1</v>
      </c>
      <c r="AB20" s="1498">
        <f t="shared" si="4"/>
        <v>1</v>
      </c>
      <c r="AC20" s="1498">
        <f t="shared" si="5"/>
        <v>1</v>
      </c>
    </row>
    <row r="21" spans="1:29" ht="15">
      <c r="A21" s="518"/>
      <c r="B21" s="581"/>
      <c r="C21" s="562"/>
      <c r="D21" s="541"/>
      <c r="E21" s="562"/>
      <c r="F21" s="543"/>
      <c r="G21" s="562"/>
      <c r="H21" s="541"/>
      <c r="I21" s="562"/>
      <c r="J21" s="541"/>
      <c r="K21" s="880"/>
      <c r="L21" s="2010"/>
      <c r="M21" s="2002"/>
      <c r="N21" s="2002"/>
      <c r="O21" s="2009"/>
      <c r="P21" s="3853"/>
      <c r="Q21" s="1494"/>
      <c r="R21" s="1495"/>
      <c r="S21" s="1496"/>
      <c r="T21" s="1495"/>
      <c r="U21" s="1496"/>
      <c r="V21" s="1495"/>
      <c r="W21" s="1496"/>
      <c r="X21" s="1489"/>
      <c r="Y21" s="3853"/>
      <c r="Z21" s="1497"/>
      <c r="AA21" s="1498">
        <v>1</v>
      </c>
      <c r="AB21" s="1498">
        <v>1</v>
      </c>
      <c r="AC21" s="1498">
        <v>1</v>
      </c>
    </row>
    <row r="22" spans="1:29" ht="15">
      <c r="A22" s="518"/>
      <c r="B22" s="852" t="s">
        <v>799</v>
      </c>
      <c r="C22" s="569"/>
      <c r="D22" s="545">
        <v>100</v>
      </c>
      <c r="E22" s="569"/>
      <c r="F22" s="561">
        <f>SUMIF(69:69,E22,70:70)-SUMIF(69:69,C22,70:70)+100</f>
        <v>100</v>
      </c>
      <c r="G22" s="569"/>
      <c r="H22" s="526">
        <f>SUMIF(69:69,G22,70:70)-SUMIF(69:69,C22,70:70)+100</f>
        <v>100</v>
      </c>
      <c r="I22" s="569"/>
      <c r="J22" s="526">
        <f>SUMIF(69:69,I22,70:70)-SUMIF(69:69,C22,70:70)+100</f>
        <v>100</v>
      </c>
      <c r="K22" s="570"/>
      <c r="L22" s="2010"/>
      <c r="M22" s="2002"/>
      <c r="N22" s="2002"/>
      <c r="O22" s="2009"/>
      <c r="P22" s="3853"/>
      <c r="Q22" s="1494" t="str">
        <f>B22</f>
        <v>楼层</v>
      </c>
      <c r="R22" s="1495" t="s">
        <v>8</v>
      </c>
      <c r="S22" s="1496">
        <f>F22</f>
        <v>100</v>
      </c>
      <c r="T22" s="1495" t="s">
        <v>8</v>
      </c>
      <c r="U22" s="1496">
        <f>H22</f>
        <v>100</v>
      </c>
      <c r="V22" s="1495" t="s">
        <v>8</v>
      </c>
      <c r="W22" s="1496">
        <f>J22</f>
        <v>100</v>
      </c>
      <c r="X22" s="1489"/>
      <c r="Y22" s="3853"/>
      <c r="Z22" s="1497" t="str">
        <f>Q22</f>
        <v>楼层</v>
      </c>
      <c r="AA22" s="1498">
        <f t="shared" si="3"/>
        <v>1</v>
      </c>
      <c r="AB22" s="1498">
        <f t="shared" si="4"/>
        <v>1</v>
      </c>
      <c r="AC22" s="1498">
        <f t="shared" si="5"/>
        <v>1</v>
      </c>
    </row>
    <row r="23" spans="1:29" ht="15">
      <c r="A23" s="501"/>
      <c r="B23" s="523">
        <v>111</v>
      </c>
      <c r="C23" s="514"/>
      <c r="D23" s="526">
        <v>100</v>
      </c>
      <c r="E23" s="525"/>
      <c r="F23" s="561">
        <f>SUMIF(71:71,E23,72:72)-SUMIF(71:71,C23,72:72)+100</f>
        <v>100</v>
      </c>
      <c r="G23" s="525"/>
      <c r="H23" s="526">
        <f>SUMIF(71:71,G23,72:72)-SUMIF(71:71,C23,72:72)+100</f>
        <v>100</v>
      </c>
      <c r="I23" s="525"/>
      <c r="J23" s="526">
        <f>SUMIF(71:71,I23,72:72)-SUMIF(71:71,C23,72:72)+100</f>
        <v>100</v>
      </c>
      <c r="K23" s="567"/>
      <c r="L23" s="2010"/>
      <c r="M23" s="2002"/>
      <c r="N23" s="2002"/>
      <c r="O23" s="2009"/>
      <c r="P23" s="3853"/>
      <c r="Q23" s="1494">
        <f>B23</f>
        <v>111</v>
      </c>
      <c r="R23" s="1495" t="s">
        <v>8</v>
      </c>
      <c r="S23" s="1496">
        <f>F23</f>
        <v>100</v>
      </c>
      <c r="T23" s="1495" t="s">
        <v>8</v>
      </c>
      <c r="U23" s="1496">
        <f>H23</f>
        <v>100</v>
      </c>
      <c r="V23" s="1495" t="s">
        <v>8</v>
      </c>
      <c r="W23" s="1496">
        <f>J23</f>
        <v>100</v>
      </c>
      <c r="X23" s="1489"/>
      <c r="Y23" s="3853"/>
      <c r="Z23" s="1497">
        <f>Q23</f>
        <v>111</v>
      </c>
      <c r="AA23" s="1498">
        <f t="shared" si="3"/>
        <v>1</v>
      </c>
      <c r="AB23" s="1498">
        <f t="shared" si="4"/>
        <v>1</v>
      </c>
      <c r="AC23" s="1498">
        <f t="shared" si="5"/>
        <v>1</v>
      </c>
    </row>
    <row r="24" spans="1:29" ht="15">
      <c r="A24" s="518"/>
      <c r="B24" s="523">
        <v>111</v>
      </c>
      <c r="C24" s="514"/>
      <c r="D24" s="526">
        <v>100</v>
      </c>
      <c r="E24" s="525"/>
      <c r="F24" s="561">
        <f>SUMIF(73:73,E24,74:74)-SUMIF(73:73,C24,74:74)+100</f>
        <v>100</v>
      </c>
      <c r="G24" s="525"/>
      <c r="H24" s="526">
        <f>SUMIF(73:73,G24,74:74)-SUMIF(73:73,C24,74:74)+100</f>
        <v>100</v>
      </c>
      <c r="I24" s="525"/>
      <c r="J24" s="526">
        <f>SUMIF(73:73,I24,74:74)-SUMIF(73:73,C24,74:74)+100</f>
        <v>100</v>
      </c>
      <c r="K24" s="567"/>
      <c r="L24" s="2010"/>
      <c r="M24" s="2002"/>
      <c r="N24" s="2002"/>
      <c r="O24" s="2009"/>
      <c r="P24" s="3853"/>
      <c r="Q24" s="1494">
        <f t="shared" ref="Q24:Q34" si="11">B24</f>
        <v>111</v>
      </c>
      <c r="R24" s="1495" t="s">
        <v>8</v>
      </c>
      <c r="S24" s="1496">
        <f>F24</f>
        <v>100</v>
      </c>
      <c r="T24" s="1495" t="s">
        <v>8</v>
      </c>
      <c r="U24" s="1496">
        <f>H24</f>
        <v>100</v>
      </c>
      <c r="V24" s="1495" t="s">
        <v>8</v>
      </c>
      <c r="W24" s="1496">
        <f>J24</f>
        <v>100</v>
      </c>
      <c r="X24" s="1489"/>
      <c r="Y24" s="3853"/>
      <c r="Z24" s="1497">
        <f>Q24</f>
        <v>111</v>
      </c>
      <c r="AA24" s="1498">
        <f t="shared" si="3"/>
        <v>1</v>
      </c>
      <c r="AB24" s="1498">
        <f t="shared" si="4"/>
        <v>1</v>
      </c>
      <c r="AC24" s="1498">
        <f t="shared" si="5"/>
        <v>1</v>
      </c>
    </row>
    <row r="25" spans="1:29" s="1194" customFormat="1" ht="15.75" thickBot="1">
      <c r="A25" s="522"/>
      <c r="B25" s="523">
        <v>111</v>
      </c>
      <c r="C25" s="921"/>
      <c r="D25" s="922">
        <v>100</v>
      </c>
      <c r="E25" s="921"/>
      <c r="F25" s="923">
        <f>SUMIF(75:75,E25,76:76)-SUMIF(75:75,C25,76:76)+100</f>
        <v>100</v>
      </c>
      <c r="G25" s="921"/>
      <c r="H25" s="922">
        <f>SUMIF(75:75,G25,76:76)-SUMIF(75:75,C25,76:76)+100</f>
        <v>100</v>
      </c>
      <c r="I25" s="921"/>
      <c r="J25" s="922">
        <f>SUMIF(75:75,I25,76:76)-SUMIF(75:75,C25,76:76)+100</f>
        <v>100</v>
      </c>
      <c r="K25" s="567"/>
      <c r="L25" s="2003"/>
      <c r="M25" s="2004"/>
      <c r="N25" s="2004"/>
      <c r="O25" s="2005"/>
      <c r="P25" s="3853"/>
      <c r="Q25" s="1125">
        <f t="shared" si="11"/>
        <v>111</v>
      </c>
      <c r="R25" s="1490" t="s">
        <v>8</v>
      </c>
      <c r="S25" s="1491">
        <f>F25</f>
        <v>100</v>
      </c>
      <c r="T25" s="1490" t="s">
        <v>8</v>
      </c>
      <c r="U25" s="1491">
        <f>H25</f>
        <v>100</v>
      </c>
      <c r="V25" s="1490" t="s">
        <v>8</v>
      </c>
      <c r="W25" s="1491">
        <f>J25</f>
        <v>100</v>
      </c>
      <c r="X25" s="1492"/>
      <c r="Y25" s="3853"/>
      <c r="Z25" s="1124">
        <f>Q25</f>
        <v>111</v>
      </c>
      <c r="AA25" s="1498">
        <f>D25/F25</f>
        <v>1</v>
      </c>
      <c r="AB25" s="1498">
        <f>D25/H25</f>
        <v>1</v>
      </c>
      <c r="AC25" s="1498">
        <f>D25/J25</f>
        <v>1</v>
      </c>
    </row>
    <row r="26" spans="1:29" ht="15">
      <c r="A26" s="2610" t="s">
        <v>2729</v>
      </c>
      <c r="B26" s="170" t="s">
        <v>802</v>
      </c>
      <c r="C26" s="897"/>
      <c r="D26" s="583">
        <v>100</v>
      </c>
      <c r="E26" s="897"/>
      <c r="F26" s="924">
        <f>SUMIF(77:77,E26,78:78)-SUMIF(77:77,C26,78:78)+100</f>
        <v>100</v>
      </c>
      <c r="G26" s="897"/>
      <c r="H26" s="583">
        <f>SUMIF(77:77,G26,78:78)-SUMIF(77:77,C26,78:78)+100</f>
        <v>100</v>
      </c>
      <c r="I26" s="897"/>
      <c r="J26" s="583">
        <f>SUMIF(77:77,I26,78:78)-SUMIF(77:77,C26,78:78)+100</f>
        <v>100</v>
      </c>
      <c r="K26" s="570"/>
      <c r="L26" s="2010"/>
      <c r="M26" s="2002"/>
      <c r="N26" s="2002"/>
      <c r="O26" s="2009"/>
      <c r="P26" s="3854" t="s">
        <v>815</v>
      </c>
      <c r="Q26" s="1494" t="str">
        <f t="shared" si="11"/>
        <v>公共部分装修</v>
      </c>
      <c r="R26" s="1495" t="s">
        <v>8</v>
      </c>
      <c r="S26" s="1496">
        <f t="shared" ref="S26:S34" si="12">F26</f>
        <v>100</v>
      </c>
      <c r="T26" s="1495" t="s">
        <v>8</v>
      </c>
      <c r="U26" s="1496">
        <f t="shared" ref="U26:U34" si="13">H26</f>
        <v>100</v>
      </c>
      <c r="V26" s="1495" t="s">
        <v>8</v>
      </c>
      <c r="W26" s="1496">
        <f t="shared" ref="W26:W34" si="14">J26</f>
        <v>100</v>
      </c>
      <c r="X26" s="1489"/>
      <c r="Y26" s="3855" t="s">
        <v>815</v>
      </c>
      <c r="Z26" s="1497" t="str">
        <f t="shared" ref="Z26:Z34" si="15">Q26</f>
        <v>公共部分装修</v>
      </c>
      <c r="AA26" s="1498">
        <f t="shared" si="3"/>
        <v>1</v>
      </c>
      <c r="AB26" s="1498">
        <f t="shared" si="4"/>
        <v>1</v>
      </c>
      <c r="AC26" s="1498">
        <f t="shared" si="5"/>
        <v>1</v>
      </c>
    </row>
    <row r="27" spans="1:29" s="1283" customFormat="1" ht="15">
      <c r="A27" s="589"/>
      <c r="B27" s="513" t="s">
        <v>803</v>
      </c>
      <c r="C27" s="864"/>
      <c r="D27" s="245">
        <v>100</v>
      </c>
      <c r="E27" s="865"/>
      <c r="F27" s="561" t="e">
        <f>LOOKUP(E27,80:80,81:81)-LOOKUP(C27,80:80,81:81)+100</f>
        <v>#N/A</v>
      </c>
      <c r="G27" s="866"/>
      <c r="H27" s="526" t="e">
        <f>LOOKUP(G27,80:80,81:81)-LOOKUP(C27,80:80,81:81)+100</f>
        <v>#N/A</v>
      </c>
      <c r="I27" s="866"/>
      <c r="J27" s="526" t="e">
        <f>LOOKUP(I27,80:80,81:81)-LOOKUP(C27,80:80,81:81)+100</f>
        <v>#N/A</v>
      </c>
      <c r="K27" s="570"/>
      <c r="L27" s="2008"/>
      <c r="M27" s="2038"/>
      <c r="N27" s="2038"/>
      <c r="O27" s="2011"/>
      <c r="P27" s="3855"/>
      <c r="Q27" s="1523" t="str">
        <f t="shared" si="11"/>
        <v>成新率</v>
      </c>
      <c r="R27" s="1499" t="s">
        <v>8</v>
      </c>
      <c r="S27" s="1500" t="e">
        <f t="shared" si="12"/>
        <v>#N/A</v>
      </c>
      <c r="T27" s="1499" t="s">
        <v>8</v>
      </c>
      <c r="U27" s="1500" t="e">
        <f t="shared" si="13"/>
        <v>#N/A</v>
      </c>
      <c r="V27" s="1499" t="s">
        <v>8</v>
      </c>
      <c r="W27" s="1500" t="e">
        <f t="shared" si="14"/>
        <v>#N/A</v>
      </c>
      <c r="X27" s="1501"/>
      <c r="Y27" s="3855"/>
      <c r="Z27" s="1502" t="str">
        <f t="shared" si="15"/>
        <v>成新率</v>
      </c>
      <c r="AA27" s="1498" t="e">
        <f t="shared" si="3"/>
        <v>#N/A</v>
      </c>
      <c r="AB27" s="1498" t="e">
        <f t="shared" si="4"/>
        <v>#N/A</v>
      </c>
      <c r="AC27" s="1498" t="e">
        <f t="shared" si="5"/>
        <v>#N/A</v>
      </c>
    </row>
    <row r="28" spans="1:29" ht="15">
      <c r="A28" s="580"/>
      <c r="B28" s="513" t="s">
        <v>804</v>
      </c>
      <c r="C28" s="560"/>
      <c r="D28" s="526">
        <v>100</v>
      </c>
      <c r="E28" s="560"/>
      <c r="F28" s="561">
        <f>SUMIF(82:82,E28,83:83)-SUMIF(82:82,C28,83:83)+100</f>
        <v>100</v>
      </c>
      <c r="G28" s="560"/>
      <c r="H28" s="526">
        <f>SUMIF(82:82,G28,83:83)-SUMIF(82:82,C28,83:83)+100</f>
        <v>100</v>
      </c>
      <c r="I28" s="560"/>
      <c r="J28" s="526">
        <f>SUMIF(82:82,I28,83:83)-SUMIF(82:82,C28,83:83)+100</f>
        <v>100</v>
      </c>
      <c r="K28" s="570"/>
      <c r="L28" s="2010"/>
      <c r="M28" s="2002"/>
      <c r="N28" s="2002"/>
      <c r="O28" s="2009"/>
      <c r="P28" s="3855"/>
      <c r="Q28" s="1494" t="str">
        <f t="shared" si="11"/>
        <v>物业等级</v>
      </c>
      <c r="R28" s="1495" t="s">
        <v>8</v>
      </c>
      <c r="S28" s="1496">
        <f t="shared" si="12"/>
        <v>100</v>
      </c>
      <c r="T28" s="1495" t="s">
        <v>8</v>
      </c>
      <c r="U28" s="1496">
        <f t="shared" si="13"/>
        <v>100</v>
      </c>
      <c r="V28" s="1495" t="s">
        <v>8</v>
      </c>
      <c r="W28" s="1496">
        <f t="shared" si="14"/>
        <v>100</v>
      </c>
      <c r="X28" s="1489"/>
      <c r="Y28" s="3855"/>
      <c r="Z28" s="1497" t="str">
        <f t="shared" si="15"/>
        <v>物业等级</v>
      </c>
      <c r="AA28" s="1498">
        <f t="shared" si="3"/>
        <v>1</v>
      </c>
      <c r="AB28" s="1498">
        <f t="shared" si="4"/>
        <v>1</v>
      </c>
      <c r="AC28" s="1498">
        <f t="shared" si="5"/>
        <v>1</v>
      </c>
    </row>
    <row r="29" spans="1:29" ht="15">
      <c r="A29" s="580"/>
      <c r="B29" s="513" t="s">
        <v>816</v>
      </c>
      <c r="C29" s="913"/>
      <c r="D29" s="526">
        <v>100</v>
      </c>
      <c r="E29" s="913"/>
      <c r="F29" s="561">
        <f>SUMIF(84:84,E29,85:85)-SUMIF(84:84,C29,85:85)+100</f>
        <v>100</v>
      </c>
      <c r="G29" s="913"/>
      <c r="H29" s="526">
        <f>SUMIF(84:84,G29,85:85)-SUMIF(84:84,C29,85:85)+100</f>
        <v>100</v>
      </c>
      <c r="I29" s="913"/>
      <c r="J29" s="526">
        <f>SUMIF(84:84,I29,85:85)-SUMIF(84:84,C29,85:85)+100</f>
        <v>100</v>
      </c>
      <c r="K29" s="570"/>
      <c r="L29" s="2010"/>
      <c r="M29" s="2002"/>
      <c r="N29" s="2002"/>
      <c r="O29" s="2009"/>
      <c r="P29" s="3855"/>
      <c r="Q29" s="1494" t="str">
        <f t="shared" si="11"/>
        <v>有无电梯</v>
      </c>
      <c r="R29" s="1495" t="s">
        <v>8</v>
      </c>
      <c r="S29" s="1496">
        <f t="shared" si="12"/>
        <v>100</v>
      </c>
      <c r="T29" s="1495" t="s">
        <v>8</v>
      </c>
      <c r="U29" s="1496">
        <f t="shared" si="13"/>
        <v>100</v>
      </c>
      <c r="V29" s="1495" t="s">
        <v>8</v>
      </c>
      <c r="W29" s="1496">
        <f t="shared" si="14"/>
        <v>100</v>
      </c>
      <c r="X29" s="1489"/>
      <c r="Y29" s="3855"/>
      <c r="Z29" s="1497" t="str">
        <f t="shared" si="15"/>
        <v>有无电梯</v>
      </c>
      <c r="AA29" s="1498">
        <f t="shared" si="3"/>
        <v>1</v>
      </c>
      <c r="AB29" s="1498">
        <f t="shared" si="4"/>
        <v>1</v>
      </c>
      <c r="AC29" s="1498">
        <f t="shared" si="5"/>
        <v>1</v>
      </c>
    </row>
    <row r="30" spans="1:29" ht="15">
      <c r="A30" s="580"/>
      <c r="B30" s="513" t="s">
        <v>817</v>
      </c>
      <c r="C30" s="861"/>
      <c r="D30" s="526">
        <v>100</v>
      </c>
      <c r="E30" s="861"/>
      <c r="F30" s="561" t="e">
        <f>LOOKUP(E30,87:87,88:88)-LOOKUP(C30,87:87,88:88)+100</f>
        <v>#N/A</v>
      </c>
      <c r="G30" s="861"/>
      <c r="H30" s="526" t="e">
        <f>LOOKUP(G30,87:87,88:88)-LOOKUP(C30,87:87,88:88)+100</f>
        <v>#N/A</v>
      </c>
      <c r="I30" s="861"/>
      <c r="J30" s="526" t="e">
        <f>LOOKUP(I30,87:87,88:88)-LOOKUP(C30,87:87,88:88)+100</f>
        <v>#N/A</v>
      </c>
      <c r="K30" s="567"/>
      <c r="L30" s="2010"/>
      <c r="M30" s="2002"/>
      <c r="N30" s="2002"/>
      <c r="O30" s="2009"/>
      <c r="P30" s="3855"/>
      <c r="Q30" s="1494" t="str">
        <f t="shared" si="11"/>
        <v>建筑面积</v>
      </c>
      <c r="R30" s="1495" t="s">
        <v>8</v>
      </c>
      <c r="S30" s="1496" t="e">
        <f t="shared" si="12"/>
        <v>#N/A</v>
      </c>
      <c r="T30" s="1495" t="s">
        <v>8</v>
      </c>
      <c r="U30" s="1496" t="e">
        <f t="shared" si="13"/>
        <v>#N/A</v>
      </c>
      <c r="V30" s="1495" t="s">
        <v>8</v>
      </c>
      <c r="W30" s="1496" t="e">
        <f t="shared" si="14"/>
        <v>#N/A</v>
      </c>
      <c r="X30" s="1489"/>
      <c r="Y30" s="3855"/>
      <c r="Z30" s="1497" t="str">
        <f t="shared" si="15"/>
        <v>建筑面积</v>
      </c>
      <c r="AA30" s="1498" t="e">
        <f t="shared" si="3"/>
        <v>#N/A</v>
      </c>
      <c r="AB30" s="1498" t="e">
        <f t="shared" si="4"/>
        <v>#N/A</v>
      </c>
      <c r="AC30" s="1498" t="e">
        <f t="shared" si="5"/>
        <v>#N/A</v>
      </c>
    </row>
    <row r="31" spans="1:29" s="1194" customFormat="1" ht="15">
      <c r="A31" s="586"/>
      <c r="B31" s="513" t="s">
        <v>818</v>
      </c>
      <c r="C31" s="913"/>
      <c r="D31" s="245">
        <v>100</v>
      </c>
      <c r="E31" s="913"/>
      <c r="F31" s="561">
        <f>SUMIF(89:89,E31,90:90)-SUMIF(89:89,C31,90:90)+100</f>
        <v>100</v>
      </c>
      <c r="G31" s="913"/>
      <c r="H31" s="526">
        <f>SUMIF(89:89,G31,90:90)-SUMIF(89:89,C31,90:90)+100</f>
        <v>100</v>
      </c>
      <c r="I31" s="913"/>
      <c r="J31" s="526">
        <f>SUMIF(89:89,I31,90:90)-SUMIF(89:89,C31,90:90)+100</f>
        <v>100</v>
      </c>
      <c r="K31" s="570"/>
      <c r="L31" s="2003"/>
      <c r="M31" s="2004"/>
      <c r="N31" s="2004"/>
      <c r="O31" s="2005"/>
      <c r="P31" s="3855"/>
      <c r="Q31" s="1125" t="str">
        <f t="shared" si="11"/>
        <v>是否封闭</v>
      </c>
      <c r="R31" s="1490" t="s">
        <v>8</v>
      </c>
      <c r="S31" s="1491">
        <f t="shared" si="12"/>
        <v>100</v>
      </c>
      <c r="T31" s="1490" t="s">
        <v>8</v>
      </c>
      <c r="U31" s="1491">
        <f t="shared" si="13"/>
        <v>100</v>
      </c>
      <c r="V31" s="1490" t="s">
        <v>8</v>
      </c>
      <c r="W31" s="1491">
        <f t="shared" si="14"/>
        <v>100</v>
      </c>
      <c r="X31" s="1492"/>
      <c r="Y31" s="3855"/>
      <c r="Z31" s="1124" t="str">
        <f t="shared" si="15"/>
        <v>是否封闭</v>
      </c>
      <c r="AA31" s="1493">
        <f t="shared" si="3"/>
        <v>1</v>
      </c>
      <c r="AB31" s="1493">
        <f t="shared" si="4"/>
        <v>1</v>
      </c>
      <c r="AC31" s="1493">
        <f t="shared" si="5"/>
        <v>1</v>
      </c>
    </row>
    <row r="32" spans="1:29" ht="15">
      <c r="A32" s="580"/>
      <c r="B32" s="523">
        <v>111</v>
      </c>
      <c r="C32" s="514"/>
      <c r="D32" s="526">
        <v>100</v>
      </c>
      <c r="E32" s="861"/>
      <c r="F32" s="561">
        <f>SUMIF(91:91,E32,92:92)-SUMIF(91:91,C32,92:92)+100</f>
        <v>100</v>
      </c>
      <c r="G32" s="861"/>
      <c r="H32" s="526">
        <f>SUMIF(91:91,G32,92:92)-SUMIF(91:91,C32,92:92)+100</f>
        <v>100</v>
      </c>
      <c r="I32" s="861"/>
      <c r="J32" s="526">
        <f>SUMIF(91:91,I32,92:92)-SUMIF(91:91,C32,92:92)+100</f>
        <v>100</v>
      </c>
      <c r="K32" s="567"/>
      <c r="L32" s="2010"/>
      <c r="M32" s="2002"/>
      <c r="N32" s="2002"/>
      <c r="O32" s="2009"/>
      <c r="P32" s="3855" t="s">
        <v>544</v>
      </c>
      <c r="Q32" s="1494">
        <f t="shared" si="11"/>
        <v>111</v>
      </c>
      <c r="R32" s="1495" t="s">
        <v>8</v>
      </c>
      <c r="S32" s="1496">
        <f t="shared" si="12"/>
        <v>100</v>
      </c>
      <c r="T32" s="1495" t="s">
        <v>8</v>
      </c>
      <c r="U32" s="1496">
        <f t="shared" si="13"/>
        <v>100</v>
      </c>
      <c r="V32" s="1495" t="s">
        <v>8</v>
      </c>
      <c r="W32" s="1496">
        <f t="shared" si="14"/>
        <v>100</v>
      </c>
      <c r="X32" s="1489"/>
      <c r="Y32" s="3855" t="s">
        <v>544</v>
      </c>
      <c r="Z32" s="1497">
        <f t="shared" si="15"/>
        <v>111</v>
      </c>
      <c r="AA32" s="1498">
        <f t="shared" si="3"/>
        <v>1</v>
      </c>
      <c r="AB32" s="1498">
        <f t="shared" si="4"/>
        <v>1</v>
      </c>
      <c r="AC32" s="1498">
        <f t="shared" si="5"/>
        <v>1</v>
      </c>
    </row>
    <row r="33" spans="1:29" ht="15">
      <c r="A33" s="580"/>
      <c r="B33" s="523">
        <v>111</v>
      </c>
      <c r="C33" s="514"/>
      <c r="D33" s="526">
        <v>100</v>
      </c>
      <c r="E33" s="861"/>
      <c r="F33" s="561">
        <f>SUMIF(93:93,E33,94:94)-SUMIF(93:93,C33,94:94)+100</f>
        <v>100</v>
      </c>
      <c r="G33" s="861"/>
      <c r="H33" s="526">
        <f>SUMIF(93:93,G33,94:94)-SUMIF(93:93,C33,94:94)+100</f>
        <v>100</v>
      </c>
      <c r="I33" s="861"/>
      <c r="J33" s="526">
        <f>SUMIF(93:93,I33,94:94)-SUMIF(93:93,C33,94:94)+100</f>
        <v>100</v>
      </c>
      <c r="K33" s="567"/>
      <c r="L33" s="2010"/>
      <c r="M33" s="2002"/>
      <c r="N33" s="2002"/>
      <c r="O33" s="2009"/>
      <c r="P33" s="3855"/>
      <c r="Q33" s="1494">
        <f t="shared" si="11"/>
        <v>111</v>
      </c>
      <c r="R33" s="1495" t="s">
        <v>8</v>
      </c>
      <c r="S33" s="1496">
        <f t="shared" si="12"/>
        <v>100</v>
      </c>
      <c r="T33" s="1495" t="s">
        <v>8</v>
      </c>
      <c r="U33" s="1496">
        <f t="shared" si="13"/>
        <v>100</v>
      </c>
      <c r="V33" s="1495" t="s">
        <v>8</v>
      </c>
      <c r="W33" s="1496">
        <f t="shared" si="14"/>
        <v>100</v>
      </c>
      <c r="X33" s="1489"/>
      <c r="Y33" s="3855"/>
      <c r="Z33" s="1497">
        <f t="shared" si="15"/>
        <v>111</v>
      </c>
      <c r="AA33" s="1498">
        <f t="shared" si="3"/>
        <v>1</v>
      </c>
      <c r="AB33" s="1498">
        <f t="shared" si="4"/>
        <v>1</v>
      </c>
      <c r="AC33" s="1498">
        <f t="shared" si="5"/>
        <v>1</v>
      </c>
    </row>
    <row r="34" spans="1:29" ht="15.75" thickBot="1">
      <c r="A34" s="867"/>
      <c r="B34" s="530">
        <v>111</v>
      </c>
      <c r="C34" s="531"/>
      <c r="D34" s="532">
        <v>100</v>
      </c>
      <c r="E34" s="925"/>
      <c r="F34" s="847">
        <f>SUMIF(95:95,E34,96:96)-SUMIF(95:95,C34,96:96)+100</f>
        <v>100</v>
      </c>
      <c r="G34" s="925"/>
      <c r="H34" s="532">
        <f>SUMIF(95:95,G34,96:96)-SUMIF(95:95,C34,96:96)+100</f>
        <v>100</v>
      </c>
      <c r="I34" s="925"/>
      <c r="J34" s="532">
        <f>SUMIF(95:95,I34,96:96)-SUMIF(95:95,C34,96:96)+100</f>
        <v>100</v>
      </c>
      <c r="K34" s="567"/>
      <c r="L34" s="2010"/>
      <c r="M34" s="2002"/>
      <c r="N34" s="2002"/>
      <c r="O34" s="2009"/>
      <c r="P34" s="3855"/>
      <c r="Q34" s="1494">
        <f t="shared" si="11"/>
        <v>111</v>
      </c>
      <c r="R34" s="1495" t="s">
        <v>8</v>
      </c>
      <c r="S34" s="1496">
        <f t="shared" si="12"/>
        <v>100</v>
      </c>
      <c r="T34" s="1495" t="s">
        <v>8</v>
      </c>
      <c r="U34" s="1496">
        <f t="shared" si="13"/>
        <v>100</v>
      </c>
      <c r="V34" s="1495" t="s">
        <v>8</v>
      </c>
      <c r="W34" s="1496">
        <f t="shared" si="14"/>
        <v>100</v>
      </c>
      <c r="X34" s="1489"/>
      <c r="Y34" s="3855"/>
      <c r="Z34" s="1497">
        <f t="shared" si="15"/>
        <v>111</v>
      </c>
      <c r="AA34" s="1498">
        <f t="shared" si="3"/>
        <v>1</v>
      </c>
      <c r="AB34" s="1498">
        <f t="shared" si="4"/>
        <v>1</v>
      </c>
      <c r="AC34" s="1498">
        <f t="shared" si="5"/>
        <v>1</v>
      </c>
    </row>
    <row r="35" spans="1:29" ht="15">
      <c r="A35" s="593" t="s">
        <v>730</v>
      </c>
      <c r="B35" s="868"/>
      <c r="C35" s="2456" t="s">
        <v>1</v>
      </c>
      <c r="D35" s="2457"/>
      <c r="E35" s="2458"/>
      <c r="F35" s="2459"/>
      <c r="G35" s="2460"/>
      <c r="H35" s="2461"/>
      <c r="I35" s="2458"/>
      <c r="J35" s="2461"/>
      <c r="K35" s="1528"/>
      <c r="L35" s="2012"/>
      <c r="M35" s="2013"/>
      <c r="N35" s="2002"/>
      <c r="O35" s="2013"/>
      <c r="P35" s="3850" t="str">
        <f>A35</f>
        <v>成交单价（元/平方米）</v>
      </c>
      <c r="Q35" s="3850"/>
      <c r="R35" s="3960">
        <f>E35</f>
        <v>0</v>
      </c>
      <c r="S35" s="3960"/>
      <c r="T35" s="3960">
        <f>G35</f>
        <v>0</v>
      </c>
      <c r="U35" s="3960"/>
      <c r="V35" s="3960">
        <f>I35</f>
        <v>0</v>
      </c>
      <c r="W35" s="3960"/>
      <c r="X35" s="1484"/>
      <c r="Y35" s="1503"/>
      <c r="Z35" s="1484"/>
      <c r="AA35" s="1484"/>
      <c r="AB35" s="1484"/>
      <c r="AC35" s="1484"/>
    </row>
    <row r="36" spans="1:29" ht="15.75" thickBot="1">
      <c r="A36" s="601" t="s">
        <v>2734</v>
      </c>
      <c r="B36" s="869"/>
      <c r="C36" s="2462" t="e">
        <f>R37</f>
        <v>#DIV/0!</v>
      </c>
      <c r="D36" s="2999" t="s">
        <v>2962</v>
      </c>
      <c r="E36" s="2463" t="e">
        <f>R36</f>
        <v>#DIV/0!</v>
      </c>
      <c r="F36" s="3000"/>
      <c r="G36" s="2462" t="e">
        <f>T36</f>
        <v>#DIV/0!</v>
      </c>
      <c r="H36" s="3000"/>
      <c r="I36" s="2463" t="e">
        <f>V36</f>
        <v>#DIV/0!</v>
      </c>
      <c r="J36" s="3000"/>
      <c r="K36" s="3008">
        <f>F36+H36+J36</f>
        <v>0</v>
      </c>
      <c r="L36" s="2012"/>
      <c r="M36" s="2013"/>
      <c r="N36" s="2002"/>
      <c r="O36" s="2013"/>
      <c r="P36" s="3850" t="str">
        <f>A36</f>
        <v>比较价格（元/平方米）</v>
      </c>
      <c r="Q36" s="3850"/>
      <c r="R36" s="3960" t="e">
        <f>IF(F1="售价",ROUND(PRODUCT(R35,AA7:AA34),0),ROUND(PRODUCT(R35,AA7:AA34),1))</f>
        <v>#DIV/0!</v>
      </c>
      <c r="S36" s="3960"/>
      <c r="T36" s="3960" t="e">
        <f>IF(F1="售价",ROUND(PRODUCT(T35,AB7:AB34),0),ROUND(PRODUCT(T35,AB7:AB34),1))</f>
        <v>#DIV/0!</v>
      </c>
      <c r="U36" s="3960"/>
      <c r="V36" s="3960" t="e">
        <f>IF(F1="售价",ROUND(PRODUCT(V35,AC7:AC34),0),ROUND(PRODUCT(V35,AC7:AC34),1))</f>
        <v>#DIV/0!</v>
      </c>
      <c r="W36" s="3960"/>
      <c r="X36" s="1484"/>
      <c r="Y36" s="1484"/>
      <c r="Z36" s="1484"/>
      <c r="AA36" s="1484"/>
      <c r="AB36" s="1484"/>
      <c r="AC36" s="1484"/>
    </row>
    <row r="37" spans="1:29" ht="15.75" thickBot="1">
      <c r="A37" s="605" t="s">
        <v>2893</v>
      </c>
      <c r="B37" s="606"/>
      <c r="C37" s="2464" t="e">
        <f>R37</f>
        <v>#DIV/0!</v>
      </c>
      <c r="D37" s="2464"/>
      <c r="E37" s="2464"/>
      <c r="F37" s="2464"/>
      <c r="G37" s="2464"/>
      <c r="H37" s="2464"/>
      <c r="I37" s="2464"/>
      <c r="J37" s="2464"/>
      <c r="K37" s="1529"/>
      <c r="L37" s="2012"/>
      <c r="M37" s="2013"/>
      <c r="N37" s="2013"/>
      <c r="O37" s="2013"/>
      <c r="P37" s="3871" t="str">
        <f>A37</f>
        <v>估价对象XX用房的比较价格（楼面单价，元/平方米）</v>
      </c>
      <c r="Q37" s="3872"/>
      <c r="R37" s="3959" t="e">
        <f>IF(F1="售价",ROUND(IF(D36="简单平均",AVERAGE(R36:W36),R36*F36+T36*H36+V36*J36),0),ROUND(IF(D36="简单平均",AVERAGE(R36:V36),R36*F36+T36*H36+V36*J36),1))</f>
        <v>#DIV/0!</v>
      </c>
      <c r="S37" s="3959"/>
      <c r="T37" s="3959"/>
      <c r="U37" s="3959"/>
      <c r="V37" s="3959"/>
      <c r="W37" s="3959"/>
      <c r="X37" s="1484"/>
      <c r="Y37" s="1484"/>
      <c r="Z37" s="1484"/>
      <c r="AA37" s="1484"/>
      <c r="AB37" s="1484"/>
      <c r="AC37" s="1484"/>
    </row>
    <row r="38" spans="1:29">
      <c r="A38" s="3199"/>
      <c r="B38" s="3199"/>
      <c r="C38" s="3199"/>
      <c r="D38" s="3199"/>
      <c r="E38" s="3199"/>
      <c r="F38" s="3199"/>
      <c r="G38" s="3201"/>
      <c r="H38" s="3199"/>
      <c r="I38" s="3199"/>
      <c r="J38" s="3199"/>
      <c r="K38" s="3202"/>
      <c r="L38" s="2017"/>
      <c r="M38" s="2013"/>
      <c r="N38" s="2013"/>
      <c r="O38" s="2013"/>
      <c r="P38" s="2013"/>
      <c r="Q38" s="2013"/>
      <c r="R38" s="2013"/>
      <c r="S38" s="2013"/>
      <c r="T38" s="2013"/>
      <c r="U38" s="2013"/>
      <c r="V38" s="2013"/>
      <c r="W38" s="2013"/>
      <c r="X38" s="2013"/>
      <c r="Y38" s="2013"/>
      <c r="Z38" s="2013"/>
      <c r="AA38" s="2013"/>
      <c r="AB38" s="2013"/>
      <c r="AC38" s="2013"/>
    </row>
    <row r="39" spans="1:29">
      <c r="A39" s="3199"/>
      <c r="B39" s="3199"/>
      <c r="C39" s="3199"/>
      <c r="D39" s="3199"/>
      <c r="E39" s="3199"/>
      <c r="F39" s="3199"/>
      <c r="G39" s="3199"/>
      <c r="H39" s="3199"/>
      <c r="I39" s="3199"/>
      <c r="J39" s="3199"/>
      <c r="K39" s="3202"/>
      <c r="L39" s="2017"/>
      <c r="M39" s="2013"/>
      <c r="N39" s="2013"/>
      <c r="O39" s="2013"/>
      <c r="P39" s="2013"/>
      <c r="Q39" s="2013"/>
      <c r="R39" s="2013"/>
      <c r="S39" s="2013"/>
      <c r="T39" s="2013"/>
      <c r="U39" s="2013"/>
      <c r="V39" s="2013"/>
      <c r="W39" s="2013"/>
      <c r="X39" s="2013"/>
      <c r="Y39" s="2013"/>
      <c r="Z39" s="2013"/>
      <c r="AA39" s="2013"/>
      <c r="AB39" s="2013"/>
      <c r="AC39" s="2013"/>
    </row>
    <row r="40" spans="1:29" ht="13.5" customHeight="1">
      <c r="A40" s="3199"/>
      <c r="B40" s="3199"/>
      <c r="C40" s="608" t="s">
        <v>551</v>
      </c>
      <c r="D40" s="609"/>
      <c r="E40" s="610" t="e">
        <f>IF(E35&lt;E36,E36/E35-1,E35/E36-1)</f>
        <v>#DIV/0!</v>
      </c>
      <c r="F40" s="611" t="e">
        <f>IF(OR(E40&gt;=0.3,E40&lt;=-0.3),"超过30%","")</f>
        <v>#DIV/0!</v>
      </c>
      <c r="G40" s="610" t="e">
        <f>IF(G35&lt;G36,G36/G35-1,G35/G36-1)</f>
        <v>#DIV/0!</v>
      </c>
      <c r="H40" s="611" t="e">
        <f>IF(OR(G40&gt;=0.3,G40&lt;=-0.3),"超过30%","")</f>
        <v>#DIV/0!</v>
      </c>
      <c r="I40" s="610" t="e">
        <f>IF(I35&lt;I36,I36/I35-1,I35/I36-1)</f>
        <v>#DIV/0!</v>
      </c>
      <c r="J40" s="611" t="e">
        <f>IF(OR(I40&gt;=0.3,I40&lt;=-0.3),"超过30%","")</f>
        <v>#DIV/0!</v>
      </c>
      <c r="K40" s="3202"/>
      <c r="L40" s="2017"/>
      <c r="M40" s="2013"/>
      <c r="N40" s="2013"/>
      <c r="O40" s="2013"/>
      <c r="P40" s="2013"/>
      <c r="Q40" s="2013"/>
      <c r="R40" s="2013"/>
      <c r="S40" s="2013"/>
      <c r="T40" s="2013"/>
      <c r="U40" s="2013"/>
      <c r="V40" s="2013"/>
      <c r="W40" s="2013"/>
      <c r="X40" s="2013"/>
      <c r="Y40" s="2013"/>
      <c r="Z40" s="2013"/>
      <c r="AA40" s="2013"/>
      <c r="AB40" s="2013"/>
      <c r="AC40" s="2013"/>
    </row>
    <row r="41" spans="1:29" ht="13.5" customHeight="1">
      <c r="A41" s="3199"/>
      <c r="B41" s="3199"/>
      <c r="C41" s="608" t="s">
        <v>552</v>
      </c>
      <c r="D41" s="612"/>
      <c r="E41" s="610" t="e">
        <f>IF(E36&lt;G36,G36/E36-1,E36/G36-1)</f>
        <v>#DIV/0!</v>
      </c>
      <c r="F41" s="611" t="e">
        <f>IF(OR(E41&gt;=0.2,E41&lt;=-0.2),"超过20%","")</f>
        <v>#DIV/0!</v>
      </c>
      <c r="G41" s="610" t="e">
        <f>IF(G36&lt;I36,I36/G36-1,G36/I36-1)</f>
        <v>#DIV/0!</v>
      </c>
      <c r="H41" s="611" t="e">
        <f>IF(OR(G41&gt;=0.2,G41&lt;=-0.2),"超过20%","")</f>
        <v>#DIV/0!</v>
      </c>
      <c r="I41" s="610" t="e">
        <f>IF(I36&lt;E36,E36/I36-1,I36/E36-1)</f>
        <v>#DIV/0!</v>
      </c>
      <c r="J41" s="611" t="e">
        <f>IF(OR(I41&gt;=0.2,I41&lt;=-0.2),"超过20%","")</f>
        <v>#DIV/0!</v>
      </c>
      <c r="K41" s="3202"/>
      <c r="L41" s="2017"/>
      <c r="M41" s="2013"/>
      <c r="N41" s="2013"/>
      <c r="O41" s="2013"/>
      <c r="P41" s="2013"/>
      <c r="Q41" s="2013"/>
      <c r="R41" s="2013"/>
      <c r="S41" s="2013"/>
      <c r="T41" s="2013"/>
      <c r="U41" s="2013"/>
      <c r="V41" s="2013"/>
      <c r="W41" s="2013"/>
      <c r="X41" s="2013"/>
      <c r="Y41" s="2013"/>
      <c r="Z41" s="2013"/>
      <c r="AA41" s="2013"/>
      <c r="AB41" s="2013"/>
      <c r="AC41" s="2013"/>
    </row>
    <row r="42" spans="1:29" s="1288" customFormat="1" ht="13.5" customHeight="1">
      <c r="A42" s="3200"/>
      <c r="B42" s="3200"/>
      <c r="C42" s="608" t="s">
        <v>553</v>
      </c>
      <c r="D42" s="612"/>
      <c r="E42" s="610" t="e">
        <f>IF(E35&lt;G35,G35/E35-1,E35/G35-1)</f>
        <v>#DIV/0!</v>
      </c>
      <c r="F42" s="611" t="e">
        <f>IF(OR(E42&gt;=0.3,E42&lt;=-0.3),"超过30%","")</f>
        <v>#DIV/0!</v>
      </c>
      <c r="G42" s="610" t="e">
        <f>IF(G35&lt;I35,I35/G35-1,G35/I35-1)</f>
        <v>#DIV/0!</v>
      </c>
      <c r="H42" s="611" t="e">
        <f>IF(OR(G42&gt;=0.3,G42&lt;=-0.3),"超过30%","")</f>
        <v>#DIV/0!</v>
      </c>
      <c r="I42" s="610" t="e">
        <f>IF(I35&lt;E35,E35/I35-1,I35/E35-1)</f>
        <v>#DIV/0!</v>
      </c>
      <c r="J42" s="611" t="e">
        <f>IF(OR(I42&gt;=0.3,I42&lt;=-0.3),"超过30%","")</f>
        <v>#DIV/0!</v>
      </c>
      <c r="K42" s="3203"/>
      <c r="L42" s="2020"/>
      <c r="M42" s="2014"/>
      <c r="N42" s="2014"/>
      <c r="O42" s="2014"/>
      <c r="P42" s="2014"/>
      <c r="Q42" s="2014"/>
      <c r="R42" s="2014"/>
      <c r="S42" s="2014"/>
      <c r="T42" s="2014"/>
      <c r="U42" s="2014"/>
      <c r="V42" s="2014"/>
      <c r="W42" s="2014"/>
      <c r="X42" s="2014"/>
      <c r="Y42" s="2014"/>
      <c r="Z42" s="2014"/>
      <c r="AA42" s="2014"/>
      <c r="AB42" s="2014"/>
      <c r="AC42" s="2014"/>
    </row>
    <row r="43" spans="1:29" s="1288" customFormat="1">
      <c r="A43" s="2014"/>
      <c r="B43" s="2015"/>
      <c r="C43" s="2018"/>
      <c r="D43" s="2014"/>
      <c r="E43" s="2014"/>
      <c r="F43" s="2014"/>
      <c r="G43" s="2014"/>
      <c r="H43" s="2014"/>
      <c r="I43" s="2014"/>
      <c r="J43" s="2014"/>
      <c r="K43" s="2019"/>
      <c r="L43" s="2020"/>
      <c r="M43" s="2014"/>
      <c r="N43" s="2014"/>
      <c r="O43" s="2014"/>
      <c r="P43" s="2014"/>
      <c r="Q43" s="2014"/>
      <c r="R43" s="2014"/>
      <c r="S43" s="2014"/>
      <c r="T43" s="2014"/>
      <c r="U43" s="2014"/>
      <c r="V43" s="2014"/>
      <c r="W43" s="2014"/>
      <c r="X43" s="2014"/>
      <c r="Y43" s="2014"/>
      <c r="Z43" s="2014"/>
      <c r="AA43" s="2014"/>
      <c r="AB43" s="2014"/>
      <c r="AC43" s="2014"/>
    </row>
    <row r="44" spans="1:29">
      <c r="A44" s="2013"/>
      <c r="B44" s="2015"/>
      <c r="C44" s="2018"/>
      <c r="D44" s="2013"/>
      <c r="E44" s="2013"/>
      <c r="F44" s="2013"/>
      <c r="G44" s="2013"/>
      <c r="H44" s="2013"/>
      <c r="I44" s="2013"/>
      <c r="J44" s="2013"/>
      <c r="K44" s="2016"/>
      <c r="L44" s="2017"/>
      <c r="M44" s="2013"/>
      <c r="N44" s="2013"/>
      <c r="O44" s="2013"/>
      <c r="P44" s="2013"/>
      <c r="Q44" s="2013"/>
      <c r="R44" s="2013"/>
      <c r="S44" s="2013"/>
      <c r="T44" s="2013"/>
      <c r="U44" s="2013"/>
      <c r="V44" s="2013"/>
      <c r="W44" s="2013"/>
      <c r="X44" s="2013"/>
      <c r="Y44" s="2013"/>
      <c r="Z44" s="2013"/>
      <c r="AA44" s="2013"/>
      <c r="AB44" s="2013"/>
      <c r="AC44" s="2013"/>
    </row>
    <row r="45" spans="1:29" ht="21.75" thickBot="1">
      <c r="A45" s="1506" t="s">
        <v>568</v>
      </c>
      <c r="B45" s="1484"/>
      <c r="C45" s="1505"/>
      <c r="D45" s="1505"/>
      <c r="E45" s="1505"/>
      <c r="F45" s="1507"/>
      <c r="G45" s="1507"/>
      <c r="H45" s="1505"/>
      <c r="I45" s="1505"/>
      <c r="J45" s="1505"/>
      <c r="K45" s="1508"/>
      <c r="L45" s="1504"/>
      <c r="M45" s="1505"/>
      <c r="N45" s="2024"/>
      <c r="O45" s="2024"/>
      <c r="P45" s="2024"/>
      <c r="Q45" s="2025"/>
      <c r="R45" s="2013"/>
      <c r="S45" s="2013"/>
      <c r="T45" s="2013"/>
      <c r="U45" s="2013"/>
      <c r="V45" s="2013"/>
      <c r="W45" s="2013"/>
      <c r="X45" s="2013"/>
      <c r="Y45" s="2013"/>
      <c r="Z45" s="2013"/>
      <c r="AA45" s="2013"/>
      <c r="AB45" s="2013"/>
      <c r="AC45" s="2013"/>
    </row>
    <row r="46" spans="1:29" s="1290" customFormat="1" ht="15">
      <c r="A46" s="629" t="s">
        <v>523</v>
      </c>
      <c r="B46" s="630"/>
      <c r="C46" s="2505" t="str">
        <f>YEAR(C7)&amp;"-"&amp;MONTH(C7)</f>
        <v>2020-12</v>
      </c>
      <c r="D46" s="2507">
        <f>EDATE(C46,-1)</f>
        <v>44136</v>
      </c>
      <c r="E46" s="2507">
        <f t="shared" ref="E46:O46" si="16">EDATE(D46,-1)</f>
        <v>44105</v>
      </c>
      <c r="F46" s="2507">
        <f t="shared" si="16"/>
        <v>44075</v>
      </c>
      <c r="G46" s="2507">
        <f t="shared" si="16"/>
        <v>44044</v>
      </c>
      <c r="H46" s="2507">
        <f t="shared" si="16"/>
        <v>44013</v>
      </c>
      <c r="I46" s="2507">
        <f t="shared" si="16"/>
        <v>43983</v>
      </c>
      <c r="J46" s="2507">
        <f t="shared" si="16"/>
        <v>43952</v>
      </c>
      <c r="K46" s="2507">
        <f t="shared" si="16"/>
        <v>43922</v>
      </c>
      <c r="L46" s="2507">
        <f t="shared" si="16"/>
        <v>43891</v>
      </c>
      <c r="M46" s="2507">
        <f t="shared" si="16"/>
        <v>43862</v>
      </c>
      <c r="N46" s="2507">
        <f t="shared" si="16"/>
        <v>43831</v>
      </c>
      <c r="O46" s="2507">
        <f t="shared" si="16"/>
        <v>43800</v>
      </c>
      <c r="P46" s="2027"/>
      <c r="Q46" s="2028"/>
      <c r="R46" s="2028"/>
      <c r="S46" s="2028"/>
      <c r="T46" s="2028"/>
      <c r="U46" s="2028"/>
      <c r="V46" s="2028"/>
      <c r="W46" s="2028"/>
      <c r="X46" s="2028"/>
      <c r="Y46" s="2028"/>
      <c r="Z46" s="2028"/>
      <c r="AA46" s="2028"/>
      <c r="AB46" s="2028"/>
      <c r="AC46" s="2028"/>
    </row>
    <row r="47" spans="1:29" s="1194" customFormat="1" ht="15">
      <c r="A47" s="631"/>
      <c r="B47" s="632"/>
      <c r="C47" s="633">
        <v>100</v>
      </c>
      <c r="D47" s="634"/>
      <c r="E47" s="634"/>
      <c r="F47" s="634"/>
      <c r="G47" s="634"/>
      <c r="H47" s="634"/>
      <c r="I47" s="634"/>
      <c r="J47" s="634"/>
      <c r="K47" s="634"/>
      <c r="L47" s="634"/>
      <c r="M47" s="635"/>
      <c r="N47" s="634"/>
      <c r="O47" s="636"/>
      <c r="P47" s="2025"/>
      <c r="Q47" s="1891"/>
      <c r="R47" s="1891"/>
      <c r="S47" s="1891"/>
      <c r="T47" s="1891"/>
      <c r="U47" s="1891"/>
      <c r="V47" s="1891"/>
      <c r="W47" s="1891"/>
      <c r="X47" s="1891"/>
      <c r="Y47" s="1891"/>
      <c r="Z47" s="1891"/>
      <c r="AA47" s="1891"/>
      <c r="AB47" s="1891"/>
      <c r="AC47" s="1891"/>
    </row>
    <row r="48" spans="1:29" s="1194" customFormat="1" ht="15.75" thickBot="1">
      <c r="A48" s="637" t="s">
        <v>569</v>
      </c>
      <c r="B48" s="638"/>
      <c r="C48" s="639"/>
      <c r="D48" s="640"/>
      <c r="E48" s="640"/>
      <c r="F48" s="640"/>
      <c r="G48" s="640"/>
      <c r="H48" s="640"/>
      <c r="I48" s="640"/>
      <c r="J48" s="640"/>
      <c r="K48" s="640"/>
      <c r="L48" s="640"/>
      <c r="M48" s="641"/>
      <c r="N48" s="640"/>
      <c r="O48" s="642"/>
      <c r="P48" s="2025"/>
      <c r="Q48" s="2025"/>
      <c r="R48" s="1891"/>
      <c r="S48" s="1891"/>
      <c r="T48" s="1891"/>
      <c r="U48" s="1891"/>
      <c r="V48" s="1891"/>
      <c r="W48" s="1891"/>
      <c r="X48" s="1891"/>
      <c r="Y48" s="1891"/>
      <c r="Z48" s="1891"/>
      <c r="AA48" s="1891"/>
      <c r="AB48" s="1891"/>
      <c r="AC48" s="1891"/>
    </row>
    <row r="49" spans="1:29" s="1194" customFormat="1" ht="15">
      <c r="A49" s="643" t="s">
        <v>525</v>
      </c>
      <c r="B49" s="632"/>
      <c r="C49" s="644" t="s">
        <v>570</v>
      </c>
      <c r="D49" s="645"/>
      <c r="E49" s="645"/>
      <c r="F49" s="645"/>
      <c r="G49" s="645"/>
      <c r="H49" s="645"/>
      <c r="I49" s="645"/>
      <c r="J49" s="645"/>
      <c r="K49" s="645"/>
      <c r="L49" s="646"/>
      <c r="M49" s="647"/>
      <c r="N49" s="2029"/>
      <c r="O49" s="2029"/>
      <c r="P49" s="2030"/>
      <c r="Q49" s="2025"/>
      <c r="R49" s="1891"/>
      <c r="S49" s="1891"/>
      <c r="T49" s="1891"/>
      <c r="U49" s="1891"/>
      <c r="V49" s="1891"/>
      <c r="W49" s="1891"/>
      <c r="X49" s="1891"/>
      <c r="Y49" s="1891"/>
      <c r="Z49" s="1891"/>
      <c r="AA49" s="1891"/>
      <c r="AB49" s="1891"/>
      <c r="AC49" s="1891"/>
    </row>
    <row r="50" spans="1:29" s="1194" customFormat="1" ht="15.75" thickBot="1">
      <c r="A50" s="643"/>
      <c r="B50" s="632"/>
      <c r="C50" s="633">
        <v>100</v>
      </c>
      <c r="D50" s="634"/>
      <c r="E50" s="634"/>
      <c r="F50" s="634"/>
      <c r="G50" s="634"/>
      <c r="H50" s="634"/>
      <c r="I50" s="634"/>
      <c r="J50" s="634"/>
      <c r="K50" s="634"/>
      <c r="L50" s="634"/>
      <c r="M50" s="636"/>
      <c r="N50" s="2029"/>
      <c r="O50" s="2029"/>
      <c r="P50" s="2025"/>
      <c r="Q50" s="2025"/>
      <c r="R50" s="1891"/>
      <c r="S50" s="1891"/>
      <c r="T50" s="1891"/>
      <c r="U50" s="1891"/>
      <c r="V50" s="1891"/>
      <c r="W50" s="1891"/>
      <c r="X50" s="1891"/>
      <c r="Y50" s="1891"/>
      <c r="Z50" s="1891"/>
      <c r="AA50" s="1891"/>
      <c r="AB50" s="1891"/>
      <c r="AC50" s="1891"/>
    </row>
    <row r="51" spans="1:29">
      <c r="A51" s="648" t="s">
        <v>571</v>
      </c>
      <c r="B51" s="649" t="s">
        <v>528</v>
      </c>
      <c r="C51" s="688">
        <f>C9</f>
        <v>0</v>
      </c>
      <c r="D51" s="584"/>
      <c r="E51" s="584"/>
      <c r="F51" s="584"/>
      <c r="G51" s="584"/>
      <c r="H51" s="584"/>
      <c r="I51" s="584"/>
      <c r="J51" s="584"/>
      <c r="K51" s="650"/>
      <c r="L51" s="651"/>
      <c r="M51" s="652"/>
      <c r="N51" s="2031"/>
      <c r="O51" s="2031"/>
      <c r="P51" s="2032"/>
      <c r="Q51" s="2025"/>
      <c r="R51" s="2013"/>
      <c r="S51" s="2013"/>
      <c r="T51" s="2013"/>
      <c r="U51" s="2013"/>
      <c r="V51" s="2013"/>
      <c r="W51" s="2013"/>
      <c r="X51" s="2013"/>
      <c r="Y51" s="2013"/>
      <c r="Z51" s="2013"/>
      <c r="AA51" s="2013"/>
      <c r="AB51" s="2013"/>
      <c r="AC51" s="2013"/>
    </row>
    <row r="52" spans="1:29" ht="15.75" thickBot="1">
      <c r="A52" s="653"/>
      <c r="B52" s="654"/>
      <c r="C52" s="655">
        <v>100</v>
      </c>
      <c r="D52" s="655"/>
      <c r="E52" s="655"/>
      <c r="F52" s="655"/>
      <c r="G52" s="655"/>
      <c r="H52" s="655"/>
      <c r="I52" s="655"/>
      <c r="J52" s="655"/>
      <c r="K52" s="655"/>
      <c r="L52" s="655"/>
      <c r="M52" s="656"/>
      <c r="N52" s="2033"/>
      <c r="O52" s="2033"/>
      <c r="P52" s="2032"/>
      <c r="Q52" s="2025"/>
      <c r="R52" s="2013"/>
      <c r="S52" s="2013"/>
      <c r="T52" s="2013"/>
      <c r="U52" s="2013"/>
      <c r="V52" s="2013"/>
      <c r="W52" s="2013"/>
      <c r="X52" s="2013"/>
      <c r="Y52" s="2013"/>
      <c r="Z52" s="2013"/>
      <c r="AA52" s="2013"/>
      <c r="AB52" s="2013"/>
      <c r="AC52" s="2013"/>
    </row>
    <row r="53" spans="1:29" ht="27.75" thickTop="1">
      <c r="A53" s="653"/>
      <c r="B53" s="657" t="s">
        <v>531</v>
      </c>
      <c r="C53" s="658" t="s">
        <v>731</v>
      </c>
      <c r="D53" s="658" t="s">
        <v>732</v>
      </c>
      <c r="E53" s="658" t="s">
        <v>733</v>
      </c>
      <c r="F53" s="658" t="s">
        <v>734</v>
      </c>
      <c r="G53" s="658" t="s">
        <v>735</v>
      </c>
      <c r="H53" s="658" t="s">
        <v>736</v>
      </c>
      <c r="I53" s="658" t="s">
        <v>737</v>
      </c>
      <c r="J53" s="658"/>
      <c r="K53" s="659"/>
      <c r="L53" s="660"/>
      <c r="M53" s="661"/>
      <c r="N53" s="2031"/>
      <c r="O53" s="2031"/>
      <c r="P53" s="2032"/>
      <c r="Q53" s="2025"/>
      <c r="R53" s="2013"/>
      <c r="S53" s="2013"/>
      <c r="T53" s="2013"/>
      <c r="U53" s="2013"/>
      <c r="V53" s="2013"/>
      <c r="W53" s="2013"/>
      <c r="X53" s="2013"/>
      <c r="Y53" s="2013"/>
      <c r="Z53" s="2013"/>
      <c r="AA53" s="2013"/>
      <c r="AB53" s="2013"/>
      <c r="AC53" s="2013"/>
    </row>
    <row r="54" spans="1:29" ht="15.75" thickBot="1">
      <c r="A54" s="653"/>
      <c r="B54" s="662"/>
      <c r="C54" s="663" t="s">
        <v>14</v>
      </c>
      <c r="D54" s="663" t="s">
        <v>15</v>
      </c>
      <c r="E54" s="663">
        <v>100</v>
      </c>
      <c r="F54" s="663">
        <f>E54-$K10</f>
        <v>100</v>
      </c>
      <c r="G54" s="663">
        <f>F54-$K10</f>
        <v>100</v>
      </c>
      <c r="H54" s="663">
        <f>G54-$K10</f>
        <v>100</v>
      </c>
      <c r="I54" s="663">
        <f>H54-$K10</f>
        <v>100</v>
      </c>
      <c r="J54" s="663"/>
      <c r="K54" s="663"/>
      <c r="L54" s="663"/>
      <c r="M54" s="664"/>
      <c r="N54" s="2033"/>
      <c r="O54" s="2033"/>
      <c r="P54" s="2032"/>
      <c r="Q54" s="2025"/>
      <c r="R54" s="2013"/>
      <c r="S54" s="2013"/>
      <c r="T54" s="2013"/>
      <c r="U54" s="2013"/>
      <c r="V54" s="2013"/>
      <c r="W54" s="2013"/>
      <c r="X54" s="2013"/>
      <c r="Y54" s="2013"/>
      <c r="Z54" s="2013"/>
      <c r="AA54" s="2013"/>
      <c r="AB54" s="2013"/>
      <c r="AC54" s="2013"/>
    </row>
    <row r="55" spans="1:29" ht="15.75" thickTop="1">
      <c r="A55" s="653"/>
      <c r="B55" s="916">
        <f>B11</f>
        <v>111</v>
      </c>
      <c r="C55" s="527"/>
      <c r="D55" s="527"/>
      <c r="E55" s="527"/>
      <c r="F55" s="527"/>
      <c r="G55" s="527"/>
      <c r="H55" s="527"/>
      <c r="I55" s="527"/>
      <c r="J55" s="527"/>
      <c r="K55" s="668"/>
      <c r="L55" s="669"/>
      <c r="M55" s="670"/>
      <c r="N55" s="2031"/>
      <c r="O55" s="2031"/>
      <c r="P55" s="2032"/>
      <c r="Q55" s="2025"/>
      <c r="R55" s="2013"/>
      <c r="S55" s="2013"/>
      <c r="T55" s="2013"/>
      <c r="U55" s="2013"/>
      <c r="V55" s="2013"/>
      <c r="W55" s="2013"/>
      <c r="X55" s="2013"/>
      <c r="Y55" s="2013"/>
      <c r="Z55" s="2013"/>
      <c r="AA55" s="2013"/>
      <c r="AB55" s="2013"/>
      <c r="AC55" s="2013"/>
    </row>
    <row r="56" spans="1:29" ht="15.75" thickBot="1">
      <c r="A56" s="653"/>
      <c r="B56" s="654"/>
      <c r="C56" s="676"/>
      <c r="D56" s="655"/>
      <c r="E56" s="655"/>
      <c r="F56" s="655"/>
      <c r="G56" s="655"/>
      <c r="H56" s="655"/>
      <c r="I56" s="655"/>
      <c r="J56" s="655"/>
      <c r="K56" s="655"/>
      <c r="L56" s="655"/>
      <c r="M56" s="656"/>
      <c r="N56" s="2033"/>
      <c r="O56" s="2033"/>
      <c r="P56" s="2032"/>
      <c r="Q56" s="2025"/>
      <c r="R56" s="2013"/>
      <c r="S56" s="2013"/>
      <c r="T56" s="2013"/>
      <c r="U56" s="2013"/>
      <c r="V56" s="2013"/>
      <c r="W56" s="2013"/>
      <c r="X56" s="2013"/>
      <c r="Y56" s="2013"/>
      <c r="Z56" s="2013"/>
      <c r="AA56" s="2013"/>
      <c r="AB56" s="2013"/>
      <c r="AC56" s="2013"/>
    </row>
    <row r="57" spans="1:29" s="1283" customFormat="1" ht="15.75" thickTop="1">
      <c r="A57" s="671"/>
      <c r="B57" s="657">
        <f>B12</f>
        <v>111</v>
      </c>
      <c r="C57" s="527"/>
      <c r="D57" s="527"/>
      <c r="E57" s="527"/>
      <c r="F57" s="527"/>
      <c r="G57" s="672"/>
      <c r="H57" s="673"/>
      <c r="I57" s="673"/>
      <c r="J57" s="673"/>
      <c r="K57" s="673"/>
      <c r="L57" s="674"/>
      <c r="M57" s="675"/>
      <c r="N57" s="2034"/>
      <c r="O57" s="2034"/>
      <c r="P57" s="2035"/>
      <c r="Q57" s="2036"/>
      <c r="R57" s="2037"/>
      <c r="S57" s="2037"/>
      <c r="T57" s="2037"/>
      <c r="U57" s="2037"/>
      <c r="V57" s="2037"/>
      <c r="W57" s="2037"/>
      <c r="X57" s="2037"/>
      <c r="Y57" s="2037"/>
      <c r="Z57" s="2037"/>
      <c r="AA57" s="2037"/>
      <c r="AB57" s="2037"/>
      <c r="AC57" s="2037"/>
    </row>
    <row r="58" spans="1:29" s="1283" customFormat="1" ht="15.75" thickBot="1">
      <c r="A58" s="671"/>
      <c r="B58" s="662"/>
      <c r="C58" s="676"/>
      <c r="D58" s="655"/>
      <c r="E58" s="655"/>
      <c r="F58" s="655"/>
      <c r="G58" s="655"/>
      <c r="H58" s="655"/>
      <c r="I58" s="655"/>
      <c r="J58" s="655"/>
      <c r="K58" s="655"/>
      <c r="L58" s="655"/>
      <c r="M58" s="656"/>
      <c r="N58" s="2033"/>
      <c r="O58" s="2033"/>
      <c r="P58" s="2035"/>
      <c r="Q58" s="2036"/>
      <c r="R58" s="2037"/>
      <c r="S58" s="2037"/>
      <c r="T58" s="2037"/>
      <c r="U58" s="2037"/>
      <c r="V58" s="2037"/>
      <c r="W58" s="2037"/>
      <c r="X58" s="2037"/>
      <c r="Y58" s="2037"/>
      <c r="Z58" s="2037"/>
      <c r="AA58" s="2037"/>
      <c r="AB58" s="2037"/>
      <c r="AC58" s="2037"/>
    </row>
    <row r="59" spans="1:29" s="1283" customFormat="1" ht="15.75" thickTop="1">
      <c r="A59" s="671"/>
      <c r="B59" s="657">
        <f>B13</f>
        <v>111</v>
      </c>
      <c r="C59" s="527"/>
      <c r="D59" s="527"/>
      <c r="E59" s="527"/>
      <c r="F59" s="527"/>
      <c r="G59" s="672"/>
      <c r="H59" s="673"/>
      <c r="I59" s="673"/>
      <c r="J59" s="673"/>
      <c r="K59" s="673"/>
      <c r="L59" s="674"/>
      <c r="M59" s="675"/>
      <c r="N59" s="2034"/>
      <c r="O59" s="2034"/>
      <c r="P59" s="2038"/>
      <c r="Q59" s="2039"/>
      <c r="R59" s="2037"/>
      <c r="S59" s="2037"/>
      <c r="T59" s="2037"/>
      <c r="U59" s="2037"/>
      <c r="V59" s="2037"/>
      <c r="W59" s="2037"/>
      <c r="X59" s="2037"/>
      <c r="Y59" s="2037"/>
      <c r="Z59" s="2037"/>
      <c r="AA59" s="2037"/>
      <c r="AB59" s="2037"/>
      <c r="AC59" s="2037"/>
    </row>
    <row r="60" spans="1:29" s="1283" customFormat="1" ht="15.75" thickBot="1">
      <c r="A60" s="671"/>
      <c r="B60" s="662"/>
      <c r="C60" s="676"/>
      <c r="D60" s="676"/>
      <c r="E60" s="676"/>
      <c r="F60" s="676"/>
      <c r="G60" s="676"/>
      <c r="H60" s="677"/>
      <c r="I60" s="677"/>
      <c r="J60" s="677"/>
      <c r="K60" s="677"/>
      <c r="L60" s="677"/>
      <c r="M60" s="678"/>
      <c r="N60" s="2034"/>
      <c r="O60" s="2034"/>
      <c r="P60" s="2035"/>
      <c r="Q60" s="2036"/>
      <c r="R60" s="2037"/>
      <c r="S60" s="2037"/>
      <c r="T60" s="2037"/>
      <c r="U60" s="2037"/>
      <c r="V60" s="2037"/>
      <c r="W60" s="2037"/>
      <c r="X60" s="2037"/>
      <c r="Y60" s="2037"/>
      <c r="Z60" s="2037"/>
      <c r="AA60" s="2037"/>
      <c r="AB60" s="2037"/>
      <c r="AC60" s="2037"/>
    </row>
    <row r="61" spans="1:29" ht="15" thickTop="1">
      <c r="A61" s="648" t="s">
        <v>533</v>
      </c>
      <c r="B61" s="649" t="s">
        <v>580</v>
      </c>
      <c r="C61" s="687" t="s">
        <v>573</v>
      </c>
      <c r="D61" s="687" t="s">
        <v>574</v>
      </c>
      <c r="E61" s="687" t="s">
        <v>575</v>
      </c>
      <c r="F61" s="687" t="s">
        <v>576</v>
      </c>
      <c r="G61" s="687" t="s">
        <v>577</v>
      </c>
      <c r="H61" s="688"/>
      <c r="I61" s="688"/>
      <c r="J61" s="688"/>
      <c r="K61" s="689"/>
      <c r="L61" s="690"/>
      <c r="M61" s="691"/>
      <c r="N61" s="2031"/>
      <c r="O61" s="2031"/>
      <c r="P61" s="2041"/>
      <c r="Q61" s="2025"/>
      <c r="R61" s="2013"/>
      <c r="S61" s="2013"/>
      <c r="T61" s="2013"/>
      <c r="U61" s="2013"/>
      <c r="V61" s="2013"/>
      <c r="W61" s="2013"/>
      <c r="X61" s="2013"/>
      <c r="Y61" s="2013"/>
      <c r="Z61" s="2013"/>
      <c r="AA61" s="2013"/>
      <c r="AB61" s="2013"/>
      <c r="AC61" s="2013"/>
    </row>
    <row r="62" spans="1:29" ht="15.75" thickBot="1">
      <c r="A62" s="653"/>
      <c r="B62" s="662"/>
      <c r="C62" s="663">
        <v>100</v>
      </c>
      <c r="D62" s="663">
        <f>C62-$K14</f>
        <v>100</v>
      </c>
      <c r="E62" s="663">
        <f>D62-$K14</f>
        <v>100</v>
      </c>
      <c r="F62" s="663">
        <f>E62-$K14</f>
        <v>100</v>
      </c>
      <c r="G62" s="663">
        <f>F62-$K14</f>
        <v>100</v>
      </c>
      <c r="H62" s="663"/>
      <c r="I62" s="663"/>
      <c r="J62" s="663"/>
      <c r="K62" s="663"/>
      <c r="L62" s="663"/>
      <c r="M62" s="664"/>
      <c r="N62" s="2033"/>
      <c r="O62" s="2033"/>
      <c r="P62" s="2032"/>
      <c r="Q62" s="2025"/>
      <c r="R62" s="2013"/>
      <c r="S62" s="2013"/>
      <c r="T62" s="2013"/>
      <c r="U62" s="2013"/>
      <c r="V62" s="2013"/>
      <c r="W62" s="2013"/>
      <c r="X62" s="2013"/>
      <c r="Y62" s="2013"/>
      <c r="Z62" s="2013"/>
      <c r="AA62" s="2013"/>
      <c r="AB62" s="2013"/>
      <c r="AC62" s="2013"/>
    </row>
    <row r="63" spans="1:29" ht="15.75" thickTop="1">
      <c r="A63" s="653"/>
      <c r="B63" s="1796" t="s">
        <v>2533</v>
      </c>
      <c r="C63" s="692" t="s">
        <v>573</v>
      </c>
      <c r="D63" s="692" t="s">
        <v>574</v>
      </c>
      <c r="E63" s="692" t="s">
        <v>575</v>
      </c>
      <c r="F63" s="692" t="s">
        <v>576</v>
      </c>
      <c r="G63" s="692" t="s">
        <v>577</v>
      </c>
      <c r="H63" s="658"/>
      <c r="I63" s="658"/>
      <c r="J63" s="658"/>
      <c r="K63" s="659"/>
      <c r="L63" s="660"/>
      <c r="M63" s="661"/>
      <c r="N63" s="2031"/>
      <c r="O63" s="2031"/>
      <c r="P63" s="2032"/>
      <c r="Q63" s="2025"/>
      <c r="R63" s="2013"/>
      <c r="S63" s="2013"/>
      <c r="T63" s="2013"/>
      <c r="U63" s="2013"/>
      <c r="V63" s="2013"/>
      <c r="W63" s="2013"/>
      <c r="X63" s="2013"/>
      <c r="Y63" s="2013"/>
      <c r="Z63" s="2013"/>
      <c r="AA63" s="2013"/>
      <c r="AB63" s="2013"/>
      <c r="AC63" s="2013"/>
    </row>
    <row r="64" spans="1:29" ht="15.75" thickBot="1">
      <c r="A64" s="653"/>
      <c r="B64" s="662"/>
      <c r="C64" s="663">
        <v>100</v>
      </c>
      <c r="D64" s="663">
        <f>C64-$K16</f>
        <v>100</v>
      </c>
      <c r="E64" s="663">
        <f>D64-$K16</f>
        <v>100</v>
      </c>
      <c r="F64" s="663">
        <f>E64-$K16</f>
        <v>100</v>
      </c>
      <c r="G64" s="663">
        <f>F64-$K16</f>
        <v>100</v>
      </c>
      <c r="H64" s="663"/>
      <c r="I64" s="663"/>
      <c r="J64" s="663"/>
      <c r="K64" s="663"/>
      <c r="L64" s="663"/>
      <c r="M64" s="664"/>
      <c r="N64" s="2033"/>
      <c r="O64" s="2033"/>
      <c r="P64" s="2032"/>
      <c r="Q64" s="2025"/>
      <c r="R64" s="2013"/>
      <c r="S64" s="2013"/>
      <c r="T64" s="2013"/>
      <c r="U64" s="2013"/>
      <c r="V64" s="2013"/>
      <c r="W64" s="2013"/>
      <c r="X64" s="2013"/>
      <c r="Y64" s="2013"/>
      <c r="Z64" s="2013"/>
      <c r="AA64" s="2013"/>
      <c r="AB64" s="2013"/>
      <c r="AC64" s="2013"/>
    </row>
    <row r="65" spans="1:29" ht="15.75" thickTop="1">
      <c r="A65" s="653"/>
      <c r="B65" s="2427" t="s">
        <v>2534</v>
      </c>
      <c r="C65" s="2428" t="s">
        <v>2535</v>
      </c>
      <c r="D65" s="2428" t="s">
        <v>2536</v>
      </c>
      <c r="E65" s="2428" t="s">
        <v>2537</v>
      </c>
      <c r="F65" s="2428" t="s">
        <v>2538</v>
      </c>
      <c r="G65" s="2428" t="s">
        <v>2539</v>
      </c>
      <c r="H65" s="658"/>
      <c r="I65" s="658"/>
      <c r="J65" s="658"/>
      <c r="K65" s="658"/>
      <c r="L65" s="658"/>
      <c r="M65" s="2431"/>
      <c r="N65" s="2033"/>
      <c r="O65" s="2033"/>
      <c r="P65" s="2032"/>
      <c r="Q65" s="2025"/>
      <c r="R65" s="2013"/>
      <c r="S65" s="2013"/>
      <c r="T65" s="2013"/>
      <c r="U65" s="2013"/>
      <c r="V65" s="2013"/>
      <c r="W65" s="2013"/>
      <c r="X65" s="2013"/>
      <c r="Y65" s="2013"/>
      <c r="Z65" s="2013"/>
      <c r="AA65" s="2013"/>
      <c r="AB65" s="2013"/>
      <c r="AC65" s="2013"/>
    </row>
    <row r="66" spans="1:29" ht="15.75" thickBot="1">
      <c r="A66" s="653"/>
      <c r="B66" s="665"/>
      <c r="C66" s="663">
        <v>100</v>
      </c>
      <c r="D66" s="663">
        <f>C66-$K18</f>
        <v>100</v>
      </c>
      <c r="E66" s="663">
        <f>D66-$K18</f>
        <v>100</v>
      </c>
      <c r="F66" s="663">
        <f>E66-$K18</f>
        <v>100</v>
      </c>
      <c r="G66" s="663">
        <f>F66-$K18</f>
        <v>100</v>
      </c>
      <c r="H66" s="916"/>
      <c r="I66" s="916"/>
      <c r="J66" s="916"/>
      <c r="K66" s="916"/>
      <c r="L66" s="916"/>
      <c r="M66" s="545"/>
      <c r="N66" s="2033"/>
      <c r="O66" s="2033"/>
      <c r="P66" s="2032"/>
      <c r="Q66" s="2025"/>
      <c r="R66" s="2013"/>
      <c r="S66" s="2013"/>
      <c r="T66" s="2013"/>
      <c r="U66" s="2013"/>
      <c r="V66" s="2013"/>
      <c r="W66" s="2013"/>
      <c r="X66" s="2013"/>
      <c r="Y66" s="2013"/>
      <c r="Z66" s="2013"/>
      <c r="AA66" s="2013"/>
      <c r="AB66" s="2013"/>
      <c r="AC66" s="2013"/>
    </row>
    <row r="67" spans="1:29" ht="15.75" thickTop="1">
      <c r="A67" s="653"/>
      <c r="B67" s="657" t="s">
        <v>738</v>
      </c>
      <c r="C67" s="692" t="s">
        <v>573</v>
      </c>
      <c r="D67" s="692" t="s">
        <v>574</v>
      </c>
      <c r="E67" s="692" t="s">
        <v>575</v>
      </c>
      <c r="F67" s="692" t="s">
        <v>576</v>
      </c>
      <c r="G67" s="692" t="s">
        <v>577</v>
      </c>
      <c r="H67" s="658"/>
      <c r="I67" s="658"/>
      <c r="J67" s="658"/>
      <c r="K67" s="659"/>
      <c r="L67" s="660"/>
      <c r="M67" s="661"/>
      <c r="N67" s="2031"/>
      <c r="O67" s="2031"/>
      <c r="P67" s="2032"/>
      <c r="Q67" s="2025"/>
      <c r="R67" s="2013"/>
      <c r="S67" s="2013"/>
      <c r="T67" s="2013"/>
      <c r="U67" s="2013"/>
      <c r="V67" s="2013"/>
      <c r="W67" s="2013"/>
      <c r="X67" s="2013"/>
      <c r="Y67" s="2013"/>
      <c r="Z67" s="2013"/>
      <c r="AA67" s="2013"/>
      <c r="AB67" s="2013"/>
      <c r="AC67" s="2013"/>
    </row>
    <row r="68" spans="1:29" ht="15.75" thickBot="1">
      <c r="A68" s="653"/>
      <c r="B68" s="662"/>
      <c r="C68" s="663">
        <v>100</v>
      </c>
      <c r="D68" s="663">
        <f>C68-$K20</f>
        <v>100</v>
      </c>
      <c r="E68" s="663">
        <f>D68-$K20</f>
        <v>100</v>
      </c>
      <c r="F68" s="663">
        <f>E68-$K20</f>
        <v>100</v>
      </c>
      <c r="G68" s="663">
        <f>F68-$K20</f>
        <v>100</v>
      </c>
      <c r="H68" s="663"/>
      <c r="I68" s="663"/>
      <c r="J68" s="663"/>
      <c r="K68" s="663"/>
      <c r="L68" s="663"/>
      <c r="M68" s="664"/>
      <c r="N68" s="2033"/>
      <c r="O68" s="2033"/>
      <c r="P68" s="2032"/>
      <c r="Q68" s="2025"/>
      <c r="R68" s="2013"/>
      <c r="S68" s="2013"/>
      <c r="T68" s="2013"/>
      <c r="U68" s="2013"/>
      <c r="V68" s="2013"/>
      <c r="W68" s="2013"/>
      <c r="X68" s="2013"/>
      <c r="Y68" s="2013"/>
      <c r="Z68" s="2013"/>
      <c r="AA68" s="2013"/>
      <c r="AB68" s="2013"/>
      <c r="AC68" s="2013"/>
    </row>
    <row r="69" spans="1:29" ht="15.75" thickTop="1">
      <c r="A69" s="653"/>
      <c r="B69" s="657" t="s">
        <v>739</v>
      </c>
      <c r="C69" s="672"/>
      <c r="D69" s="672"/>
      <c r="E69" s="672"/>
      <c r="F69" s="672"/>
      <c r="G69" s="672"/>
      <c r="H69" s="702"/>
      <c r="I69" s="702"/>
      <c r="J69" s="702"/>
      <c r="K69" s="703"/>
      <c r="L69" s="704"/>
      <c r="M69" s="705"/>
      <c r="N69" s="2031"/>
      <c r="O69" s="2031"/>
      <c r="P69" s="2032"/>
      <c r="Q69" s="2025"/>
      <c r="R69" s="2013"/>
      <c r="S69" s="2013"/>
      <c r="T69" s="2013"/>
      <c r="U69" s="2013"/>
      <c r="V69" s="2013"/>
      <c r="W69" s="2013"/>
      <c r="X69" s="2013"/>
      <c r="Y69" s="2013"/>
      <c r="Z69" s="2013"/>
      <c r="AA69" s="2013"/>
      <c r="AB69" s="2013"/>
      <c r="AC69" s="2013"/>
    </row>
    <row r="70" spans="1:29" ht="15.75" thickBot="1">
      <c r="A70" s="653"/>
      <c r="B70" s="662"/>
      <c r="C70" s="663">
        <v>100</v>
      </c>
      <c r="D70" s="663">
        <f>C70-$K22</f>
        <v>100</v>
      </c>
      <c r="E70" s="663"/>
      <c r="F70" s="663"/>
      <c r="G70" s="663"/>
      <c r="H70" s="663"/>
      <c r="I70" s="663"/>
      <c r="J70" s="663"/>
      <c r="K70" s="663"/>
      <c r="L70" s="663"/>
      <c r="M70" s="664"/>
      <c r="N70" s="2033"/>
      <c r="O70" s="2033"/>
      <c r="P70" s="2032"/>
      <c r="Q70" s="2025"/>
      <c r="R70" s="2013"/>
      <c r="S70" s="2013"/>
      <c r="T70" s="2013"/>
      <c r="U70" s="2013"/>
      <c r="V70" s="2013"/>
      <c r="W70" s="2013"/>
      <c r="X70" s="2013"/>
      <c r="Y70" s="2013"/>
      <c r="Z70" s="2013"/>
      <c r="AA70" s="2013"/>
      <c r="AB70" s="2013"/>
      <c r="AC70" s="2013"/>
    </row>
    <row r="71" spans="1:29" s="1194" customFormat="1" ht="15.75" thickTop="1">
      <c r="A71" s="693"/>
      <c r="B71" s="657">
        <f>B23</f>
        <v>111</v>
      </c>
      <c r="C71" s="527"/>
      <c r="D71" s="527"/>
      <c r="E71" s="527"/>
      <c r="F71" s="527"/>
      <c r="G71" s="672"/>
      <c r="H71" s="672"/>
      <c r="I71" s="672"/>
      <c r="J71" s="672"/>
      <c r="K71" s="672"/>
      <c r="L71" s="871"/>
      <c r="M71" s="872"/>
      <c r="N71" s="2029"/>
      <c r="O71" s="2029"/>
      <c r="P71" s="2032"/>
      <c r="Q71" s="2025"/>
      <c r="R71" s="1891"/>
      <c r="S71" s="1891"/>
      <c r="T71" s="1891"/>
      <c r="U71" s="1891"/>
      <c r="V71" s="1891"/>
      <c r="W71" s="1891"/>
      <c r="X71" s="1891"/>
      <c r="Y71" s="1891"/>
      <c r="Z71" s="1891"/>
      <c r="AA71" s="1891"/>
      <c r="AB71" s="1891"/>
      <c r="AC71" s="1891"/>
    </row>
    <row r="72" spans="1:29" s="1194" customFormat="1" ht="15.75" thickBot="1">
      <c r="A72" s="693"/>
      <c r="B72" s="662"/>
      <c r="C72" s="676"/>
      <c r="D72" s="655"/>
      <c r="E72" s="655"/>
      <c r="F72" s="655"/>
      <c r="G72" s="655"/>
      <c r="H72" s="655"/>
      <c r="I72" s="655"/>
      <c r="J72" s="655"/>
      <c r="K72" s="655"/>
      <c r="L72" s="655"/>
      <c r="M72" s="656"/>
      <c r="N72" s="2033"/>
      <c r="O72" s="2033"/>
      <c r="P72" s="2032"/>
      <c r="Q72" s="2025"/>
      <c r="R72" s="1891"/>
      <c r="S72" s="1891"/>
      <c r="T72" s="1891"/>
      <c r="U72" s="1891"/>
      <c r="V72" s="1891"/>
      <c r="W72" s="1891"/>
      <c r="X72" s="1891"/>
      <c r="Y72" s="1891"/>
      <c r="Z72" s="1891"/>
      <c r="AA72" s="1891"/>
      <c r="AB72" s="1891"/>
      <c r="AC72" s="1891"/>
    </row>
    <row r="73" spans="1:29" s="1194" customFormat="1" ht="15.75" thickTop="1">
      <c r="A73" s="693"/>
      <c r="B73" s="657">
        <f>B24</f>
        <v>111</v>
      </c>
      <c r="C73" s="527"/>
      <c r="D73" s="527"/>
      <c r="E73" s="527"/>
      <c r="F73" s="527"/>
      <c r="G73" s="672"/>
      <c r="H73" s="672"/>
      <c r="I73" s="672"/>
      <c r="J73" s="672"/>
      <c r="K73" s="672"/>
      <c r="L73" s="672"/>
      <c r="M73" s="872"/>
      <c r="N73" s="2029"/>
      <c r="O73" s="2029"/>
      <c r="P73" s="2032"/>
      <c r="Q73" s="2025"/>
      <c r="R73" s="1891"/>
      <c r="S73" s="1891"/>
      <c r="T73" s="1891"/>
      <c r="U73" s="1891"/>
      <c r="V73" s="1891"/>
      <c r="W73" s="1891"/>
      <c r="X73" s="1891"/>
      <c r="Y73" s="1891"/>
      <c r="Z73" s="1891"/>
      <c r="AA73" s="1891"/>
      <c r="AB73" s="1891"/>
      <c r="AC73" s="1891"/>
    </row>
    <row r="74" spans="1:29" s="1194" customFormat="1" ht="15.75" thickBot="1">
      <c r="A74" s="693"/>
      <c r="B74" s="662"/>
      <c r="C74" s="676"/>
      <c r="D74" s="655"/>
      <c r="E74" s="655"/>
      <c r="F74" s="655"/>
      <c r="G74" s="655"/>
      <c r="H74" s="655"/>
      <c r="I74" s="655"/>
      <c r="J74" s="655"/>
      <c r="K74" s="655"/>
      <c r="L74" s="655"/>
      <c r="M74" s="656"/>
      <c r="N74" s="2033"/>
      <c r="O74" s="2033"/>
      <c r="P74" s="2032"/>
      <c r="Q74" s="2025"/>
      <c r="R74" s="1891"/>
      <c r="S74" s="1891"/>
      <c r="T74" s="1891"/>
      <c r="U74" s="1891"/>
      <c r="V74" s="1891"/>
      <c r="W74" s="1891"/>
      <c r="X74" s="1891"/>
      <c r="Y74" s="1891"/>
      <c r="Z74" s="1891"/>
      <c r="AA74" s="1891"/>
      <c r="AB74" s="1891"/>
      <c r="AC74" s="1891"/>
    </row>
    <row r="75" spans="1:29" s="1283" customFormat="1" ht="15.75" thickTop="1">
      <c r="A75" s="671"/>
      <c r="B75" s="657">
        <f>B25</f>
        <v>111</v>
      </c>
      <c r="C75" s="527"/>
      <c r="D75" s="527"/>
      <c r="E75" s="527"/>
      <c r="F75" s="527"/>
      <c r="G75" s="672"/>
      <c r="H75" s="673"/>
      <c r="I75" s="673"/>
      <c r="J75" s="673"/>
      <c r="K75" s="673"/>
      <c r="L75" s="674"/>
      <c r="M75" s="675"/>
      <c r="N75" s="2034"/>
      <c r="O75" s="2034"/>
      <c r="P75" s="2035"/>
      <c r="Q75" s="2036"/>
      <c r="R75" s="2037"/>
      <c r="S75" s="2037"/>
      <c r="T75" s="2037"/>
      <c r="U75" s="2037"/>
      <c r="V75" s="2037"/>
      <c r="W75" s="2037"/>
      <c r="X75" s="2037"/>
      <c r="Y75" s="2037"/>
      <c r="Z75" s="2037"/>
      <c r="AA75" s="2037"/>
      <c r="AB75" s="2037"/>
      <c r="AC75" s="2037"/>
    </row>
    <row r="76" spans="1:29" s="1283" customFormat="1" ht="15.75" thickBot="1">
      <c r="A76" s="671"/>
      <c r="B76" s="662"/>
      <c r="C76" s="676"/>
      <c r="D76" s="676"/>
      <c r="E76" s="676"/>
      <c r="F76" s="676"/>
      <c r="G76" s="655"/>
      <c r="H76" s="655"/>
      <c r="I76" s="655"/>
      <c r="J76" s="655"/>
      <c r="K76" s="655"/>
      <c r="L76" s="655"/>
      <c r="M76" s="656"/>
      <c r="N76" s="2034"/>
      <c r="O76" s="2034"/>
      <c r="P76" s="2035"/>
      <c r="Q76" s="2036"/>
      <c r="R76" s="2037"/>
      <c r="S76" s="2037"/>
      <c r="T76" s="2037"/>
      <c r="U76" s="2037"/>
      <c r="V76" s="2037"/>
      <c r="W76" s="2037"/>
      <c r="X76" s="2037"/>
      <c r="Y76" s="2037"/>
      <c r="Z76" s="2037"/>
      <c r="AA76" s="2037"/>
      <c r="AB76" s="2037"/>
      <c r="AC76" s="2037"/>
    </row>
    <row r="77" spans="1:29" ht="15" thickTop="1">
      <c r="A77" s="648" t="s">
        <v>545</v>
      </c>
      <c r="B77" s="649" t="s">
        <v>745</v>
      </c>
      <c r="C77" s="672"/>
      <c r="D77" s="672"/>
      <c r="E77" s="584"/>
      <c r="F77" s="584"/>
      <c r="G77" s="584"/>
      <c r="H77" s="584"/>
      <c r="I77" s="584"/>
      <c r="J77" s="584"/>
      <c r="K77" s="650"/>
      <c r="L77" s="651"/>
      <c r="M77" s="652"/>
      <c r="N77" s="2031"/>
      <c r="O77" s="2031"/>
      <c r="P77" s="2032"/>
      <c r="Q77" s="2025"/>
      <c r="R77" s="2013"/>
      <c r="S77" s="2013"/>
      <c r="T77" s="2013"/>
      <c r="U77" s="2013"/>
      <c r="V77" s="2013"/>
      <c r="W77" s="2013"/>
      <c r="X77" s="2013"/>
      <c r="Y77" s="2013"/>
      <c r="Z77" s="2013"/>
      <c r="AA77" s="2013"/>
      <c r="AB77" s="2013"/>
      <c r="AC77" s="2013"/>
    </row>
    <row r="78" spans="1:29" ht="15.75" thickBot="1">
      <c r="A78" s="653"/>
      <c r="B78" s="662"/>
      <c r="C78" s="663">
        <v>100</v>
      </c>
      <c r="D78" s="663">
        <f t="shared" ref="D78:M78" si="17">C78-$K26</f>
        <v>100</v>
      </c>
      <c r="E78" s="663">
        <f t="shared" si="17"/>
        <v>100</v>
      </c>
      <c r="F78" s="663">
        <f t="shared" si="17"/>
        <v>100</v>
      </c>
      <c r="G78" s="663">
        <f t="shared" si="17"/>
        <v>100</v>
      </c>
      <c r="H78" s="663">
        <f t="shared" si="17"/>
        <v>100</v>
      </c>
      <c r="I78" s="663">
        <f t="shared" si="17"/>
        <v>100</v>
      </c>
      <c r="J78" s="663">
        <f t="shared" si="17"/>
        <v>100</v>
      </c>
      <c r="K78" s="663">
        <f t="shared" si="17"/>
        <v>100</v>
      </c>
      <c r="L78" s="663">
        <f t="shared" si="17"/>
        <v>100</v>
      </c>
      <c r="M78" s="664">
        <f t="shared" si="17"/>
        <v>100</v>
      </c>
      <c r="N78" s="2033"/>
      <c r="O78" s="2033"/>
      <c r="P78" s="2032"/>
      <c r="Q78" s="2025"/>
      <c r="R78" s="2013"/>
      <c r="S78" s="2013"/>
      <c r="T78" s="2013"/>
      <c r="U78" s="2013"/>
      <c r="V78" s="2013"/>
      <c r="W78" s="2013"/>
      <c r="X78" s="2013"/>
      <c r="Y78" s="2013"/>
      <c r="Z78" s="2013"/>
      <c r="AA78" s="2013"/>
      <c r="AB78" s="2013"/>
      <c r="AC78" s="2013"/>
    </row>
    <row r="79" spans="1:29" ht="15.75" thickTop="1">
      <c r="A79" s="653"/>
      <c r="B79" s="657" t="s">
        <v>810</v>
      </c>
      <c r="C79" s="692" t="str">
        <f>C80&amp;"(含)"&amp;"-"&amp;D80</f>
        <v>0.5(含)-0.6</v>
      </c>
      <c r="D79" s="692" t="str">
        <f>D80&amp;"(含)"&amp;"-"&amp;E80</f>
        <v>0.6(含)-0.7</v>
      </c>
      <c r="E79" s="692" t="str">
        <f>E80&amp;"(含)"&amp;"-"&amp;F80</f>
        <v>0.7(含)-0.8</v>
      </c>
      <c r="F79" s="692" t="str">
        <f>F80&amp;"(含)"&amp;"-"&amp;G80</f>
        <v>0.8(含)-0.9</v>
      </c>
      <c r="G79" s="692" t="str">
        <f>G80&amp;"(含)"&amp;"-"&amp;ROUND(H80,0)</f>
        <v>0.9(含)-1</v>
      </c>
      <c r="H79" s="692"/>
      <c r="I79" s="658"/>
      <c r="J79" s="658"/>
      <c r="K79" s="659"/>
      <c r="L79" s="660"/>
      <c r="M79" s="661"/>
      <c r="N79" s="2029"/>
      <c r="O79" s="2029"/>
      <c r="P79" s="2032"/>
      <c r="Q79" s="2025"/>
      <c r="R79" s="2013"/>
      <c r="S79" s="2013"/>
      <c r="T79" s="2013"/>
      <c r="U79" s="2013"/>
      <c r="V79" s="2013"/>
      <c r="W79" s="2013"/>
      <c r="X79" s="2013"/>
      <c r="Y79" s="2013"/>
      <c r="Z79" s="2013"/>
      <c r="AA79" s="2013"/>
      <c r="AB79" s="2013"/>
      <c r="AC79" s="2013"/>
    </row>
    <row r="80" spans="1:29" ht="15">
      <c r="A80" s="653"/>
      <c r="B80" s="665"/>
      <c r="C80" s="875">
        <v>0.5</v>
      </c>
      <c r="D80" s="875">
        <v>0.6</v>
      </c>
      <c r="E80" s="875">
        <v>0.7</v>
      </c>
      <c r="F80" s="875">
        <v>0.8</v>
      </c>
      <c r="G80" s="875">
        <v>0.9</v>
      </c>
      <c r="H80" s="875">
        <v>1.0001</v>
      </c>
      <c r="I80" s="916"/>
      <c r="J80" s="916"/>
      <c r="K80" s="926"/>
      <c r="L80" s="927"/>
      <c r="M80" s="928"/>
      <c r="N80" s="2029"/>
      <c r="O80" s="2029"/>
      <c r="P80" s="2032"/>
      <c r="Q80" s="2025"/>
      <c r="R80" s="2013"/>
      <c r="S80" s="2013"/>
      <c r="T80" s="2013"/>
      <c r="U80" s="2013"/>
      <c r="V80" s="2013"/>
      <c r="W80" s="2013"/>
      <c r="X80" s="2013"/>
      <c r="Y80" s="2013"/>
      <c r="Z80" s="2013"/>
      <c r="AA80" s="2013"/>
      <c r="AB80" s="2013"/>
      <c r="AC80" s="2013"/>
    </row>
    <row r="81" spans="1:29" s="1283" customFormat="1" ht="15.75" thickBot="1">
      <c r="A81" s="671"/>
      <c r="B81" s="662"/>
      <c r="C81" s="696">
        <v>100</v>
      </c>
      <c r="D81" s="663">
        <f t="shared" ref="D81:M81" si="18">C81+$K27</f>
        <v>100</v>
      </c>
      <c r="E81" s="663">
        <f t="shared" si="18"/>
        <v>100</v>
      </c>
      <c r="F81" s="663">
        <f t="shared" si="18"/>
        <v>100</v>
      </c>
      <c r="G81" s="663">
        <f t="shared" si="18"/>
        <v>100</v>
      </c>
      <c r="H81" s="663">
        <f t="shared" si="18"/>
        <v>100</v>
      </c>
      <c r="I81" s="663">
        <f t="shared" si="18"/>
        <v>100</v>
      </c>
      <c r="J81" s="663">
        <f t="shared" si="18"/>
        <v>100</v>
      </c>
      <c r="K81" s="663">
        <f t="shared" si="18"/>
        <v>100</v>
      </c>
      <c r="L81" s="663">
        <f t="shared" si="18"/>
        <v>100</v>
      </c>
      <c r="M81" s="663">
        <f t="shared" si="18"/>
        <v>100</v>
      </c>
      <c r="N81" s="2033"/>
      <c r="O81" s="2033"/>
      <c r="P81" s="2035"/>
      <c r="Q81" s="2036"/>
      <c r="R81" s="2037"/>
      <c r="S81" s="2037"/>
      <c r="T81" s="2037"/>
      <c r="U81" s="2037"/>
      <c r="V81" s="2037"/>
      <c r="W81" s="2037"/>
      <c r="X81" s="2037"/>
      <c r="Y81" s="2037"/>
      <c r="Z81" s="2037"/>
      <c r="AA81" s="2037"/>
      <c r="AB81" s="2037"/>
      <c r="AC81" s="2037"/>
    </row>
    <row r="82" spans="1:29" ht="15" thickTop="1">
      <c r="A82" s="719"/>
      <c r="B82" s="665" t="s">
        <v>811</v>
      </c>
      <c r="C82" s="672"/>
      <c r="D82" s="672"/>
      <c r="E82" s="702"/>
      <c r="F82" s="702"/>
      <c r="G82" s="702"/>
      <c r="H82" s="702"/>
      <c r="I82" s="702"/>
      <c r="J82" s="702"/>
      <c r="K82" s="703"/>
      <c r="L82" s="704"/>
      <c r="M82" s="705"/>
      <c r="N82" s="2031"/>
      <c r="O82" s="2031"/>
      <c r="P82" s="2032"/>
      <c r="Q82" s="2025"/>
      <c r="R82" s="2013"/>
      <c r="S82" s="2013"/>
      <c r="T82" s="2013"/>
      <c r="U82" s="2013"/>
      <c r="V82" s="2013"/>
      <c r="W82" s="2013"/>
      <c r="X82" s="2013"/>
      <c r="Y82" s="2013"/>
      <c r="Z82" s="2013"/>
      <c r="AA82" s="2013"/>
      <c r="AB82" s="2013"/>
      <c r="AC82" s="2013"/>
    </row>
    <row r="83" spans="1:29" ht="15.75" thickBot="1">
      <c r="A83" s="653"/>
      <c r="B83" s="662"/>
      <c r="C83" s="663">
        <v>100</v>
      </c>
      <c r="D83" s="663">
        <f t="shared" ref="D83:M83" si="19">C83-$K28</f>
        <v>100</v>
      </c>
      <c r="E83" s="663">
        <f t="shared" si="19"/>
        <v>100</v>
      </c>
      <c r="F83" s="663">
        <f t="shared" si="19"/>
        <v>100</v>
      </c>
      <c r="G83" s="663">
        <f t="shared" si="19"/>
        <v>100</v>
      </c>
      <c r="H83" s="663">
        <f t="shared" si="19"/>
        <v>100</v>
      </c>
      <c r="I83" s="663">
        <f t="shared" si="19"/>
        <v>100</v>
      </c>
      <c r="J83" s="663">
        <f t="shared" si="19"/>
        <v>100</v>
      </c>
      <c r="K83" s="663">
        <f t="shared" si="19"/>
        <v>100</v>
      </c>
      <c r="L83" s="663">
        <f t="shared" si="19"/>
        <v>100</v>
      </c>
      <c r="M83" s="664">
        <f t="shared" si="19"/>
        <v>100</v>
      </c>
      <c r="N83" s="2033"/>
      <c r="O83" s="2033"/>
      <c r="P83" s="2032"/>
      <c r="Q83" s="2025"/>
      <c r="R83" s="2013"/>
      <c r="S83" s="2013"/>
      <c r="T83" s="2013"/>
      <c r="U83" s="2013"/>
      <c r="V83" s="2013"/>
      <c r="W83" s="2013"/>
      <c r="X83" s="2013"/>
      <c r="Y83" s="2013"/>
      <c r="Z83" s="2013"/>
      <c r="AA83" s="2013"/>
      <c r="AB83" s="2013"/>
      <c r="AC83" s="2013"/>
    </row>
    <row r="84" spans="1:29" ht="15" thickTop="1">
      <c r="A84" s="719"/>
      <c r="B84" s="657" t="s">
        <v>819</v>
      </c>
      <c r="C84" s="672"/>
      <c r="D84" s="672"/>
      <c r="E84" s="672"/>
      <c r="F84" s="672"/>
      <c r="G84" s="672"/>
      <c r="H84" s="672"/>
      <c r="I84" s="702"/>
      <c r="J84" s="702"/>
      <c r="K84" s="703"/>
      <c r="L84" s="704"/>
      <c r="M84" s="705"/>
      <c r="N84" s="2031"/>
      <c r="O84" s="2031"/>
      <c r="P84" s="2032"/>
      <c r="Q84" s="2025"/>
      <c r="R84" s="2013"/>
      <c r="S84" s="2013"/>
      <c r="T84" s="2013"/>
      <c r="U84" s="2013"/>
      <c r="V84" s="2013"/>
      <c r="W84" s="2013"/>
      <c r="X84" s="2013"/>
      <c r="Y84" s="2013"/>
      <c r="Z84" s="2013"/>
      <c r="AA84" s="2013"/>
      <c r="AB84" s="2013"/>
      <c r="AC84" s="2013"/>
    </row>
    <row r="85" spans="1:29" ht="15.75" thickBot="1">
      <c r="A85" s="653"/>
      <c r="B85" s="662"/>
      <c r="C85" s="696">
        <v>100</v>
      </c>
      <c r="D85" s="663">
        <f t="shared" ref="D85:M85" si="20">C85+$K29</f>
        <v>100</v>
      </c>
      <c r="E85" s="663">
        <f t="shared" si="20"/>
        <v>100</v>
      </c>
      <c r="F85" s="663">
        <f t="shared" si="20"/>
        <v>100</v>
      </c>
      <c r="G85" s="663">
        <f t="shared" si="20"/>
        <v>100</v>
      </c>
      <c r="H85" s="663">
        <f t="shared" si="20"/>
        <v>100</v>
      </c>
      <c r="I85" s="663">
        <f t="shared" si="20"/>
        <v>100</v>
      </c>
      <c r="J85" s="663">
        <f t="shared" si="20"/>
        <v>100</v>
      </c>
      <c r="K85" s="663">
        <f t="shared" si="20"/>
        <v>100</v>
      </c>
      <c r="L85" s="663">
        <f t="shared" si="20"/>
        <v>100</v>
      </c>
      <c r="M85" s="663">
        <f t="shared" si="20"/>
        <v>100</v>
      </c>
      <c r="N85" s="2033"/>
      <c r="O85" s="2033"/>
      <c r="P85" s="2032"/>
      <c r="Q85" s="2025"/>
      <c r="R85" s="2013"/>
      <c r="S85" s="2013"/>
      <c r="T85" s="2013"/>
      <c r="U85" s="2013"/>
      <c r="V85" s="2013"/>
      <c r="W85" s="2013"/>
      <c r="X85" s="2013"/>
      <c r="Y85" s="2013"/>
      <c r="Z85" s="2013"/>
      <c r="AA85" s="2013"/>
      <c r="AB85" s="2013"/>
      <c r="AC85" s="2013"/>
    </row>
    <row r="86" spans="1:29" ht="15" thickTop="1">
      <c r="A86" s="719"/>
      <c r="B86" s="665" t="s">
        <v>820</v>
      </c>
      <c r="C86" s="692" t="str">
        <f t="shared" ref="C86:L86" si="21">C87&amp;"(含)"&amp;"-"&amp;D87</f>
        <v>(含)-</v>
      </c>
      <c r="D86" s="692" t="str">
        <f t="shared" si="21"/>
        <v>(含)-</v>
      </c>
      <c r="E86" s="692" t="str">
        <f t="shared" si="21"/>
        <v>(含)-</v>
      </c>
      <c r="F86" s="692" t="str">
        <f t="shared" si="21"/>
        <v>(含)-</v>
      </c>
      <c r="G86" s="692" t="str">
        <f t="shared" si="21"/>
        <v>(含)-</v>
      </c>
      <c r="H86" s="692" t="str">
        <f t="shared" si="21"/>
        <v>(含)-</v>
      </c>
      <c r="I86" s="692" t="str">
        <f t="shared" si="21"/>
        <v>(含)-</v>
      </c>
      <c r="J86" s="692" t="str">
        <f t="shared" si="21"/>
        <v>(含)-</v>
      </c>
      <c r="K86" s="692" t="str">
        <f t="shared" si="21"/>
        <v>(含)-</v>
      </c>
      <c r="L86" s="692" t="str">
        <f t="shared" si="21"/>
        <v>(含)-</v>
      </c>
      <c r="M86" s="695" t="str">
        <f>M87&amp;"(含)"&amp;"-"&amp;P87</f>
        <v>(含)-</v>
      </c>
      <c r="N86" s="2031"/>
      <c r="O86" s="2031"/>
      <c r="P86" s="2032"/>
      <c r="Q86" s="2025"/>
      <c r="R86" s="2013"/>
      <c r="S86" s="2013"/>
      <c r="T86" s="2013"/>
      <c r="U86" s="2013"/>
      <c r="V86" s="2013"/>
      <c r="W86" s="2013"/>
      <c r="X86" s="2013"/>
      <c r="Y86" s="2013"/>
      <c r="Z86" s="2013"/>
      <c r="AA86" s="2013"/>
      <c r="AB86" s="2013"/>
      <c r="AC86" s="2013"/>
    </row>
    <row r="87" spans="1:29">
      <c r="A87" s="719"/>
      <c r="B87" s="665"/>
      <c r="C87" s="714"/>
      <c r="D87" s="714"/>
      <c r="E87" s="714"/>
      <c r="F87" s="714"/>
      <c r="G87" s="714"/>
      <c r="H87" s="714"/>
      <c r="I87" s="714"/>
      <c r="J87" s="715"/>
      <c r="K87" s="715"/>
      <c r="L87" s="716"/>
      <c r="M87" s="717"/>
      <c r="N87" s="2031"/>
      <c r="O87" s="2031"/>
      <c r="P87" s="2032"/>
      <c r="Q87" s="2025"/>
      <c r="R87" s="2013"/>
      <c r="S87" s="2013"/>
      <c r="T87" s="2013"/>
      <c r="U87" s="2013"/>
      <c r="V87" s="2013"/>
      <c r="W87" s="2013"/>
      <c r="X87" s="2013"/>
      <c r="Y87" s="2013"/>
      <c r="Z87" s="2013"/>
      <c r="AA87" s="2013"/>
      <c r="AB87" s="2013"/>
      <c r="AC87" s="2013"/>
    </row>
    <row r="88" spans="1:29" ht="15.75" thickBot="1">
      <c r="A88" s="653"/>
      <c r="B88" s="662"/>
      <c r="C88" s="676"/>
      <c r="D88" s="655"/>
      <c r="E88" s="655"/>
      <c r="F88" s="655"/>
      <c r="G88" s="655"/>
      <c r="H88" s="655"/>
      <c r="I88" s="655"/>
      <c r="J88" s="655"/>
      <c r="K88" s="655"/>
      <c r="L88" s="655"/>
      <c r="M88" s="655"/>
      <c r="N88" s="2033"/>
      <c r="O88" s="2033"/>
      <c r="P88" s="2032"/>
      <c r="Q88" s="2025"/>
      <c r="R88" s="2013"/>
      <c r="S88" s="2013"/>
      <c r="T88" s="2013"/>
      <c r="U88" s="2013"/>
      <c r="V88" s="2013"/>
      <c r="W88" s="2013"/>
      <c r="X88" s="2013"/>
      <c r="Y88" s="2013"/>
      <c r="Z88" s="2013"/>
      <c r="AA88" s="2013"/>
      <c r="AB88" s="2013"/>
      <c r="AC88" s="2013"/>
    </row>
    <row r="89" spans="1:29" s="1283" customFormat="1" ht="15" thickTop="1">
      <c r="A89" s="712"/>
      <c r="B89" s="657" t="s">
        <v>821</v>
      </c>
      <c r="C89" s="672"/>
      <c r="D89" s="672"/>
      <c r="E89" s="672"/>
      <c r="F89" s="672"/>
      <c r="G89" s="672"/>
      <c r="H89" s="672"/>
      <c r="I89" s="672"/>
      <c r="J89" s="672"/>
      <c r="K89" s="672"/>
      <c r="L89" s="672"/>
      <c r="M89" s="872"/>
      <c r="N89" s="2034"/>
      <c r="O89" s="2034"/>
      <c r="P89" s="2035"/>
      <c r="Q89" s="2036"/>
      <c r="R89" s="2037"/>
      <c r="S89" s="2037"/>
      <c r="T89" s="2037"/>
      <c r="U89" s="2037"/>
      <c r="V89" s="2037"/>
      <c r="W89" s="2037"/>
      <c r="X89" s="2037"/>
      <c r="Y89" s="2037"/>
      <c r="Z89" s="2037"/>
      <c r="AA89" s="2037"/>
      <c r="AB89" s="2037"/>
      <c r="AC89" s="2037"/>
    </row>
    <row r="90" spans="1:29" s="1283" customFormat="1" ht="15.75" thickBot="1">
      <c r="A90" s="671"/>
      <c r="B90" s="662"/>
      <c r="C90" s="676"/>
      <c r="D90" s="655"/>
      <c r="E90" s="655"/>
      <c r="F90" s="655"/>
      <c r="G90" s="655"/>
      <c r="H90" s="655"/>
      <c r="I90" s="655"/>
      <c r="J90" s="655"/>
      <c r="K90" s="655"/>
      <c r="L90" s="655"/>
      <c r="M90" s="656"/>
      <c r="N90" s="2034"/>
      <c r="O90" s="2034"/>
      <c r="P90" s="2035"/>
      <c r="Q90" s="2036"/>
      <c r="R90" s="2037"/>
      <c r="S90" s="2037"/>
      <c r="T90" s="2037"/>
      <c r="U90" s="2037"/>
      <c r="V90" s="2037"/>
      <c r="W90" s="2037"/>
      <c r="X90" s="2037"/>
      <c r="Y90" s="2037"/>
      <c r="Z90" s="2037"/>
      <c r="AA90" s="2037"/>
      <c r="AB90" s="2037"/>
      <c r="AC90" s="2037"/>
    </row>
    <row r="91" spans="1:29" ht="15" thickTop="1">
      <c r="A91" s="719"/>
      <c r="B91" s="657">
        <f>B32</f>
        <v>111</v>
      </c>
      <c r="C91" s="527"/>
      <c r="D91" s="527"/>
      <c r="E91" s="527"/>
      <c r="F91" s="527"/>
      <c r="G91" s="672"/>
      <c r="H91" s="673"/>
      <c r="I91" s="673"/>
      <c r="J91" s="673"/>
      <c r="K91" s="673"/>
      <c r="L91" s="674"/>
      <c r="M91" s="675"/>
      <c r="N91" s="2031"/>
      <c r="O91" s="2031"/>
      <c r="P91" s="2032"/>
      <c r="Q91" s="2025"/>
      <c r="R91" s="2013"/>
      <c r="S91" s="2013"/>
      <c r="T91" s="2013"/>
      <c r="U91" s="2013"/>
      <c r="V91" s="2013"/>
      <c r="W91" s="2013"/>
      <c r="X91" s="2013"/>
      <c r="Y91" s="2013"/>
      <c r="Z91" s="2013"/>
      <c r="AA91" s="2013"/>
      <c r="AB91" s="2013"/>
      <c r="AC91" s="2013"/>
    </row>
    <row r="92" spans="1:29" ht="15.75" thickBot="1">
      <c r="A92" s="653"/>
      <c r="B92" s="662"/>
      <c r="C92" s="676"/>
      <c r="D92" s="655"/>
      <c r="E92" s="655"/>
      <c r="F92" s="655"/>
      <c r="G92" s="676"/>
      <c r="H92" s="677"/>
      <c r="I92" s="677"/>
      <c r="J92" s="677"/>
      <c r="K92" s="677"/>
      <c r="L92" s="677"/>
      <c r="M92" s="678"/>
      <c r="N92" s="2033"/>
      <c r="O92" s="2033"/>
      <c r="P92" s="2032"/>
      <c r="Q92" s="2025"/>
      <c r="R92" s="2013"/>
      <c r="S92" s="2013"/>
      <c r="T92" s="2013"/>
      <c r="U92" s="2013"/>
      <c r="V92" s="2013"/>
      <c r="W92" s="2013"/>
      <c r="X92" s="2013"/>
      <c r="Y92" s="2013"/>
      <c r="Z92" s="2013"/>
      <c r="AA92" s="2013"/>
      <c r="AB92" s="2013"/>
      <c r="AC92" s="2013"/>
    </row>
    <row r="93" spans="1:29" ht="15" thickTop="1">
      <c r="A93" s="719"/>
      <c r="B93" s="657">
        <f>B33</f>
        <v>111</v>
      </c>
      <c r="C93" s="527"/>
      <c r="D93" s="527"/>
      <c r="E93" s="527"/>
      <c r="F93" s="527"/>
      <c r="G93" s="672"/>
      <c r="H93" s="673"/>
      <c r="I93" s="673"/>
      <c r="J93" s="673"/>
      <c r="K93" s="673"/>
      <c r="L93" s="674"/>
      <c r="M93" s="675"/>
      <c r="N93" s="2031"/>
      <c r="O93" s="2031"/>
      <c r="P93" s="2032"/>
      <c r="Q93" s="2025"/>
      <c r="R93" s="2013"/>
      <c r="S93" s="2013"/>
      <c r="T93" s="2013"/>
      <c r="U93" s="2013"/>
      <c r="V93" s="2013"/>
      <c r="W93" s="2013"/>
      <c r="X93" s="2013"/>
      <c r="Y93" s="2013"/>
      <c r="Z93" s="2013"/>
      <c r="AA93" s="2013"/>
      <c r="AB93" s="2013"/>
      <c r="AC93" s="2013"/>
    </row>
    <row r="94" spans="1:29" ht="15.75" thickBot="1">
      <c r="A94" s="653"/>
      <c r="B94" s="662"/>
      <c r="C94" s="676"/>
      <c r="D94" s="655"/>
      <c r="E94" s="655"/>
      <c r="F94" s="655"/>
      <c r="G94" s="676"/>
      <c r="H94" s="677"/>
      <c r="I94" s="677"/>
      <c r="J94" s="677"/>
      <c r="K94" s="677"/>
      <c r="L94" s="677"/>
      <c r="M94" s="678"/>
      <c r="N94" s="2033"/>
      <c r="O94" s="2033"/>
      <c r="P94" s="2032"/>
      <c r="Q94" s="2025"/>
      <c r="R94" s="2013"/>
      <c r="S94" s="2013"/>
      <c r="T94" s="2013"/>
      <c r="U94" s="2013"/>
      <c r="V94" s="2013"/>
      <c r="W94" s="2013"/>
      <c r="X94" s="2013"/>
      <c r="Y94" s="2013"/>
      <c r="Z94" s="2013"/>
      <c r="AA94" s="2013"/>
      <c r="AB94" s="2013"/>
      <c r="AC94" s="2013"/>
    </row>
    <row r="95" spans="1:29" ht="15" thickTop="1">
      <c r="A95" s="719"/>
      <c r="B95" s="898">
        <f>B34</f>
        <v>111</v>
      </c>
      <c r="C95" s="527"/>
      <c r="D95" s="527"/>
      <c r="E95" s="527"/>
      <c r="F95" s="527"/>
      <c r="G95" s="672"/>
      <c r="H95" s="673"/>
      <c r="I95" s="673"/>
      <c r="J95" s="673"/>
      <c r="K95" s="673"/>
      <c r="L95" s="674"/>
      <c r="M95" s="675"/>
      <c r="N95" s="2033"/>
      <c r="O95" s="2033"/>
      <c r="P95" s="2072"/>
      <c r="Q95" s="2073"/>
      <c r="R95" s="2013"/>
      <c r="S95" s="2013"/>
      <c r="T95" s="2013"/>
      <c r="U95" s="2013"/>
      <c r="V95" s="2013"/>
      <c r="W95" s="2013"/>
      <c r="X95" s="2013"/>
      <c r="Y95" s="2013"/>
      <c r="Z95" s="2013"/>
      <c r="AA95" s="2013"/>
      <c r="AB95" s="2013"/>
      <c r="AC95" s="2013"/>
    </row>
    <row r="96" spans="1:29" ht="15.75" thickBot="1">
      <c r="A96" s="653"/>
      <c r="B96" s="662"/>
      <c r="C96" s="676"/>
      <c r="D96" s="676"/>
      <c r="E96" s="676"/>
      <c r="F96" s="676"/>
      <c r="G96" s="676"/>
      <c r="H96" s="677"/>
      <c r="I96" s="677"/>
      <c r="J96" s="677"/>
      <c r="K96" s="677"/>
      <c r="L96" s="677"/>
      <c r="M96" s="678"/>
      <c r="N96" s="2033"/>
      <c r="O96" s="2033"/>
      <c r="P96" s="2032"/>
      <c r="Q96" s="2025"/>
      <c r="R96" s="2013"/>
      <c r="S96" s="2013"/>
      <c r="T96" s="2013"/>
      <c r="U96" s="2013"/>
      <c r="V96" s="2013"/>
      <c r="W96" s="2013"/>
      <c r="X96" s="2013"/>
      <c r="Y96" s="2013"/>
      <c r="Z96" s="2013"/>
      <c r="AA96" s="2013"/>
      <c r="AB96" s="2013"/>
      <c r="AC96" s="2013"/>
    </row>
    <row r="97" spans="1:29" ht="15" thickTop="1">
      <c r="A97" s="2046"/>
      <c r="B97" s="2046"/>
      <c r="C97" s="2046"/>
      <c r="D97" s="2046"/>
      <c r="E97" s="2046"/>
      <c r="F97" s="2046"/>
      <c r="G97" s="2046"/>
      <c r="H97" s="2046"/>
      <c r="I97" s="2046"/>
      <c r="J97" s="2046"/>
      <c r="K97" s="2047"/>
      <c r="L97" s="2048"/>
      <c r="M97" s="2046"/>
      <c r="N97" s="2046"/>
      <c r="O97" s="2046"/>
      <c r="P97" s="2046"/>
      <c r="Q97" s="2046"/>
      <c r="R97" s="2046"/>
      <c r="S97" s="2046"/>
      <c r="T97" s="2046"/>
      <c r="U97" s="2046"/>
      <c r="V97" s="2046"/>
      <c r="W97" s="2046"/>
      <c r="X97" s="2046"/>
      <c r="Y97" s="2046"/>
      <c r="Z97" s="2046"/>
      <c r="AA97" s="2046"/>
      <c r="AB97" s="2046"/>
      <c r="AC97" s="2046"/>
    </row>
    <row r="98" spans="1:29">
      <c r="A98" s="2046"/>
      <c r="B98" s="2046"/>
      <c r="C98" s="2046"/>
      <c r="D98" s="2046"/>
      <c r="E98" s="2046"/>
      <c r="F98" s="2046"/>
      <c r="G98" s="2046"/>
      <c r="H98" s="2046"/>
      <c r="I98" s="2046"/>
      <c r="J98" s="2046"/>
      <c r="K98" s="2047"/>
      <c r="L98" s="2048"/>
      <c r="M98" s="2046"/>
      <c r="N98" s="2046"/>
      <c r="O98" s="2046"/>
      <c r="P98" s="2046"/>
      <c r="Q98" s="2046"/>
      <c r="R98" s="2046"/>
      <c r="S98" s="2046"/>
      <c r="T98" s="2046"/>
      <c r="U98" s="2046"/>
      <c r="V98" s="2046"/>
      <c r="W98" s="2046"/>
      <c r="X98" s="2046"/>
      <c r="Y98" s="2046"/>
      <c r="Z98" s="2046"/>
      <c r="AA98" s="2046"/>
      <c r="AB98" s="2046"/>
      <c r="AC98" s="2046"/>
    </row>
    <row r="99" spans="1:29">
      <c r="A99" s="2046"/>
      <c r="B99" s="2046"/>
      <c r="C99" s="2046"/>
      <c r="D99" s="2046"/>
      <c r="E99" s="2046"/>
      <c r="F99" s="2046"/>
      <c r="G99" s="2046"/>
      <c r="H99" s="2046"/>
      <c r="I99" s="2046"/>
      <c r="J99" s="2046"/>
      <c r="K99" s="2047"/>
      <c r="L99" s="2048"/>
      <c r="M99" s="2046"/>
      <c r="N99" s="2046"/>
      <c r="O99" s="2046"/>
      <c r="P99" s="2046"/>
      <c r="Q99" s="2046"/>
      <c r="R99" s="2046"/>
      <c r="S99" s="2046"/>
      <c r="T99" s="2046"/>
      <c r="U99" s="2046"/>
      <c r="V99" s="2046"/>
      <c r="W99" s="2046"/>
      <c r="X99" s="2046"/>
      <c r="Y99" s="2046"/>
      <c r="Z99" s="2046"/>
      <c r="AA99" s="2046"/>
      <c r="AB99" s="2046"/>
      <c r="AC99" s="2046"/>
    </row>
    <row r="100" spans="1:29">
      <c r="A100" s="2046"/>
      <c r="B100" s="2046"/>
      <c r="C100" s="2046"/>
      <c r="D100" s="2046"/>
      <c r="E100" s="2046"/>
      <c r="F100" s="2046"/>
      <c r="G100" s="2046"/>
      <c r="H100" s="2046"/>
      <c r="I100" s="2046"/>
      <c r="J100" s="2046"/>
      <c r="K100" s="2047"/>
      <c r="L100" s="2048"/>
      <c r="M100" s="2046"/>
      <c r="N100" s="2046"/>
      <c r="O100" s="2046"/>
      <c r="P100" s="2046"/>
      <c r="Q100" s="2046"/>
      <c r="R100" s="2046"/>
      <c r="S100" s="2046"/>
      <c r="T100" s="2046"/>
      <c r="U100" s="2046"/>
      <c r="V100" s="2046"/>
      <c r="W100" s="2046"/>
      <c r="X100" s="2046"/>
      <c r="Y100" s="2046"/>
      <c r="Z100" s="2046"/>
      <c r="AA100" s="2046"/>
      <c r="AB100" s="2046"/>
      <c r="AC100" s="2046"/>
    </row>
    <row r="101" spans="1:29">
      <c r="A101" s="2046"/>
      <c r="B101" s="2046"/>
      <c r="C101" s="2046"/>
      <c r="D101" s="2046"/>
      <c r="E101" s="2046"/>
      <c r="F101" s="2046"/>
      <c r="G101" s="2046"/>
      <c r="H101" s="2046"/>
      <c r="I101" s="2046"/>
      <c r="J101" s="2046"/>
      <c r="K101" s="2047"/>
      <c r="L101" s="2048"/>
      <c r="M101" s="2046"/>
      <c r="N101" s="2046"/>
      <c r="O101" s="2046"/>
      <c r="P101" s="2046"/>
      <c r="Q101" s="2046"/>
      <c r="R101" s="2046"/>
      <c r="S101" s="2046"/>
      <c r="T101" s="2046"/>
      <c r="U101" s="2046"/>
      <c r="V101" s="2046"/>
      <c r="W101" s="2046"/>
      <c r="X101" s="2046"/>
      <c r="Y101" s="2046"/>
      <c r="Z101" s="2046"/>
      <c r="AA101" s="2046"/>
      <c r="AB101" s="2046"/>
      <c r="AC101" s="2046"/>
    </row>
    <row r="102" spans="1:29">
      <c r="A102" s="2046"/>
      <c r="B102" s="2046"/>
      <c r="C102" s="2046"/>
      <c r="D102" s="2046"/>
      <c r="E102" s="2046"/>
      <c r="F102" s="2046"/>
      <c r="G102" s="2046"/>
      <c r="H102" s="2046"/>
      <c r="I102" s="2046"/>
      <c r="J102" s="2046"/>
      <c r="K102" s="2047"/>
      <c r="L102" s="2048"/>
      <c r="M102" s="2046"/>
      <c r="N102" s="2046"/>
      <c r="O102" s="2046"/>
      <c r="P102" s="2046"/>
      <c r="Q102" s="2046"/>
      <c r="R102" s="2046"/>
      <c r="S102" s="2046"/>
      <c r="T102" s="2046"/>
      <c r="U102" s="2046"/>
      <c r="V102" s="2046"/>
      <c r="W102" s="2046"/>
      <c r="X102" s="2046"/>
      <c r="Y102" s="2046"/>
      <c r="Z102" s="2046"/>
      <c r="AA102" s="2046"/>
      <c r="AB102" s="2046"/>
      <c r="AC102" s="2046"/>
    </row>
    <row r="103" spans="1:29">
      <c r="A103" s="2046"/>
      <c r="B103" s="2046"/>
      <c r="C103" s="2046"/>
      <c r="D103" s="2046"/>
      <c r="E103" s="2046"/>
      <c r="F103" s="2046"/>
      <c r="G103" s="2046"/>
      <c r="H103" s="2046"/>
      <c r="I103" s="2046"/>
      <c r="J103" s="2046"/>
      <c r="K103" s="2047"/>
      <c r="L103" s="2048"/>
      <c r="M103" s="2046"/>
      <c r="N103" s="2046"/>
      <c r="O103" s="2046"/>
      <c r="P103" s="2046"/>
      <c r="Q103" s="2046"/>
      <c r="R103" s="2046"/>
      <c r="S103" s="2046"/>
      <c r="T103" s="2046"/>
      <c r="U103" s="2046"/>
      <c r="V103" s="2046"/>
      <c r="W103" s="2046"/>
      <c r="X103" s="2046"/>
      <c r="Y103" s="2046"/>
      <c r="Z103" s="2046"/>
      <c r="AA103" s="2046"/>
      <c r="AB103" s="2046"/>
      <c r="AC103" s="2046"/>
    </row>
    <row r="104" spans="1:29">
      <c r="A104" s="2046"/>
      <c r="B104" s="2046"/>
      <c r="C104" s="2046"/>
      <c r="D104" s="2046"/>
      <c r="E104" s="2046"/>
      <c r="F104" s="2046"/>
      <c r="G104" s="2046"/>
      <c r="H104" s="2046"/>
      <c r="I104" s="2046"/>
      <c r="J104" s="2046"/>
      <c r="K104" s="2047"/>
      <c r="L104" s="2048"/>
      <c r="M104" s="2046"/>
      <c r="N104" s="2046"/>
      <c r="O104" s="2046"/>
      <c r="P104" s="2046"/>
      <c r="Q104" s="2046"/>
      <c r="R104" s="2046"/>
      <c r="S104" s="2046"/>
      <c r="T104" s="2046"/>
      <c r="U104" s="2046"/>
      <c r="V104" s="2046"/>
      <c r="W104" s="2046"/>
      <c r="X104" s="2046"/>
      <c r="Y104" s="2046"/>
      <c r="Z104" s="2046"/>
      <c r="AA104" s="2046"/>
      <c r="AB104" s="2046"/>
      <c r="AC104" s="2046"/>
    </row>
    <row r="105" spans="1:29">
      <c r="A105" s="2046"/>
      <c r="B105" s="2046"/>
      <c r="C105" s="2046"/>
      <c r="D105" s="2046"/>
      <c r="E105" s="2046"/>
      <c r="F105" s="2046"/>
      <c r="G105" s="2046"/>
      <c r="H105" s="2046"/>
      <c r="I105" s="2046"/>
      <c r="J105" s="2046"/>
      <c r="K105" s="2047"/>
      <c r="L105" s="2048"/>
      <c r="M105" s="2046"/>
      <c r="N105" s="2046"/>
      <c r="O105" s="2046"/>
      <c r="P105" s="2046"/>
      <c r="Q105" s="2046"/>
      <c r="R105" s="2046"/>
      <c r="S105" s="2046"/>
      <c r="T105" s="2046"/>
      <c r="U105" s="2046"/>
      <c r="V105" s="2046"/>
      <c r="W105" s="2046"/>
      <c r="X105" s="2046"/>
      <c r="Y105" s="2046"/>
      <c r="Z105" s="2046"/>
      <c r="AA105" s="2046"/>
      <c r="AB105" s="2046"/>
      <c r="AC105" s="2046"/>
    </row>
    <row r="106" spans="1:29">
      <c r="A106" s="2046"/>
      <c r="B106" s="2046"/>
      <c r="C106" s="2046"/>
      <c r="D106" s="2046"/>
      <c r="E106" s="2046"/>
      <c r="F106" s="2046"/>
      <c r="G106" s="2046"/>
      <c r="H106" s="2046"/>
      <c r="I106" s="2046"/>
      <c r="J106" s="2046"/>
      <c r="K106" s="2047"/>
      <c r="L106" s="2048"/>
      <c r="M106" s="2046"/>
      <c r="N106" s="2046"/>
      <c r="O106" s="2046"/>
      <c r="P106" s="2046"/>
      <c r="Q106" s="2046"/>
      <c r="R106" s="2046"/>
      <c r="S106" s="2046"/>
      <c r="T106" s="2046"/>
      <c r="U106" s="2046"/>
      <c r="V106" s="2046"/>
      <c r="W106" s="2046"/>
      <c r="X106" s="2046"/>
      <c r="Y106" s="2046"/>
      <c r="Z106" s="2046"/>
      <c r="AA106" s="2046"/>
      <c r="AB106" s="2046"/>
      <c r="AC106" s="2046"/>
    </row>
    <row r="107" spans="1:29">
      <c r="A107" s="2046"/>
      <c r="B107" s="2046"/>
      <c r="C107" s="2046"/>
      <c r="D107" s="2046"/>
      <c r="E107" s="2046"/>
      <c r="F107" s="2046"/>
      <c r="G107" s="2046"/>
      <c r="H107" s="2046"/>
      <c r="I107" s="2046"/>
      <c r="J107" s="2046"/>
      <c r="K107" s="2047"/>
      <c r="L107" s="2048"/>
      <c r="M107" s="2046"/>
      <c r="N107" s="2046"/>
      <c r="O107" s="2046"/>
      <c r="P107" s="2046"/>
      <c r="Q107" s="2046"/>
      <c r="R107" s="2046"/>
      <c r="S107" s="2046"/>
      <c r="T107" s="2046"/>
      <c r="U107" s="2046"/>
      <c r="V107" s="2046"/>
      <c r="W107" s="2046"/>
      <c r="X107" s="2046"/>
      <c r="Y107" s="2046"/>
      <c r="Z107" s="2046"/>
      <c r="AA107" s="2046"/>
      <c r="AB107" s="2046"/>
      <c r="AC107" s="2046"/>
    </row>
    <row r="108" spans="1:29">
      <c r="A108" s="2046"/>
      <c r="B108" s="2046"/>
      <c r="C108" s="2046"/>
      <c r="D108" s="2046"/>
      <c r="E108" s="2046"/>
      <c r="F108" s="2046"/>
      <c r="G108" s="2046"/>
      <c r="H108" s="2046"/>
      <c r="I108" s="2046"/>
      <c r="J108" s="2046"/>
      <c r="K108" s="2047"/>
      <c r="L108" s="2048"/>
      <c r="M108" s="2046"/>
      <c r="N108" s="2046"/>
      <c r="O108" s="2046"/>
      <c r="P108" s="2046"/>
      <c r="Q108" s="2046"/>
      <c r="R108" s="2046"/>
      <c r="S108" s="2046"/>
      <c r="T108" s="2046"/>
      <c r="U108" s="2046"/>
      <c r="V108" s="2046"/>
      <c r="W108" s="2046"/>
      <c r="X108" s="2046"/>
      <c r="Y108" s="2046"/>
      <c r="Z108" s="2046"/>
      <c r="AA108" s="2046"/>
      <c r="AB108" s="2046"/>
      <c r="AC108" s="2046"/>
    </row>
    <row r="109" spans="1:29">
      <c r="A109" s="2046"/>
      <c r="B109" s="2046"/>
      <c r="C109" s="2046"/>
      <c r="D109" s="2046"/>
      <c r="E109" s="2046"/>
      <c r="F109" s="2046"/>
      <c r="G109" s="2046"/>
      <c r="H109" s="2046"/>
      <c r="I109" s="2046"/>
      <c r="J109" s="2046"/>
      <c r="K109" s="2047"/>
      <c r="L109" s="2048"/>
      <c r="M109" s="2046"/>
      <c r="N109" s="2046"/>
      <c r="O109" s="2046"/>
      <c r="P109" s="2046"/>
      <c r="Q109" s="2046"/>
      <c r="R109" s="2046"/>
      <c r="S109" s="2046"/>
      <c r="T109" s="2046"/>
      <c r="U109" s="2046"/>
      <c r="V109" s="2046"/>
      <c r="W109" s="2046"/>
      <c r="X109" s="2046"/>
      <c r="Y109" s="2046"/>
      <c r="Z109" s="2046"/>
      <c r="AA109" s="2046"/>
      <c r="AB109" s="2046"/>
      <c r="AC109" s="2046"/>
    </row>
    <row r="110" spans="1:29">
      <c r="A110" s="2046"/>
      <c r="B110" s="2046"/>
      <c r="C110" s="2046"/>
      <c r="D110" s="2046"/>
      <c r="E110" s="2046"/>
      <c r="F110" s="2046"/>
      <c r="G110" s="2046"/>
      <c r="H110" s="2046"/>
      <c r="I110" s="2046"/>
      <c r="J110" s="2046"/>
      <c r="K110" s="2047"/>
      <c r="L110" s="2048"/>
      <c r="M110" s="2046"/>
      <c r="N110" s="2046"/>
      <c r="O110" s="2046"/>
      <c r="P110" s="2046"/>
      <c r="Q110" s="2046"/>
      <c r="R110" s="2046"/>
      <c r="S110" s="2046"/>
      <c r="T110" s="2046"/>
      <c r="U110" s="2046"/>
      <c r="V110" s="2046"/>
      <c r="W110" s="2046"/>
      <c r="X110" s="2046"/>
      <c r="Y110" s="2046"/>
      <c r="Z110" s="2046"/>
      <c r="AA110" s="2046"/>
      <c r="AB110" s="2046"/>
      <c r="AC110" s="2046"/>
    </row>
    <row r="111" spans="1:29">
      <c r="A111" s="2046"/>
      <c r="B111" s="2046"/>
      <c r="C111" s="2046"/>
      <c r="D111" s="2046"/>
      <c r="E111" s="2046"/>
      <c r="F111" s="2046"/>
      <c r="G111" s="2046"/>
      <c r="H111" s="2046"/>
      <c r="I111" s="2046"/>
      <c r="J111" s="2046"/>
      <c r="K111" s="2047"/>
      <c r="L111" s="2048"/>
      <c r="M111" s="2046"/>
      <c r="N111" s="2046"/>
      <c r="O111" s="2046"/>
      <c r="P111" s="2046"/>
      <c r="Q111" s="2046"/>
      <c r="R111" s="2046"/>
      <c r="S111" s="2046"/>
      <c r="T111" s="2046"/>
      <c r="U111" s="2046"/>
      <c r="V111" s="2046"/>
      <c r="W111" s="2046"/>
      <c r="X111" s="2046"/>
      <c r="Y111" s="2046"/>
      <c r="Z111" s="2046"/>
      <c r="AA111" s="2046"/>
      <c r="AB111" s="2046"/>
      <c r="AC111" s="2046"/>
    </row>
    <row r="112" spans="1:29">
      <c r="A112" s="2046"/>
      <c r="B112" s="2046"/>
      <c r="C112" s="2046"/>
      <c r="D112" s="2046"/>
      <c r="E112" s="2046"/>
      <c r="F112" s="2046"/>
      <c r="G112" s="2046"/>
      <c r="H112" s="2046"/>
      <c r="I112" s="2046"/>
      <c r="J112" s="2046"/>
      <c r="K112" s="2047"/>
      <c r="L112" s="2048"/>
      <c r="M112" s="2046"/>
      <c r="N112" s="2046"/>
      <c r="O112" s="2046"/>
      <c r="P112" s="2046"/>
      <c r="Q112" s="2046"/>
      <c r="R112" s="2046"/>
      <c r="S112" s="2046"/>
      <c r="T112" s="2046"/>
      <c r="U112" s="2046"/>
      <c r="V112" s="2046"/>
      <c r="W112" s="2046"/>
      <c r="X112" s="2046"/>
      <c r="Y112" s="2046"/>
      <c r="Z112" s="2046"/>
      <c r="AA112" s="2046"/>
      <c r="AB112" s="2046"/>
      <c r="AC112" s="2046"/>
    </row>
    <row r="113" spans="1:29">
      <c r="A113" s="2046"/>
      <c r="B113" s="2046"/>
      <c r="C113" s="2046"/>
      <c r="D113" s="2046"/>
      <c r="E113" s="2046"/>
      <c r="F113" s="2046"/>
      <c r="G113" s="2046"/>
      <c r="H113" s="2046"/>
      <c r="I113" s="2046"/>
      <c r="J113" s="2046"/>
      <c r="K113" s="2047"/>
      <c r="L113" s="2048"/>
      <c r="M113" s="2046"/>
      <c r="N113" s="2046"/>
      <c r="O113" s="2046"/>
      <c r="P113" s="2046"/>
      <c r="Q113" s="2046"/>
      <c r="R113" s="2046"/>
      <c r="S113" s="2046"/>
      <c r="T113" s="2046"/>
      <c r="U113" s="2046"/>
      <c r="V113" s="2046"/>
      <c r="W113" s="2046"/>
      <c r="X113" s="2046"/>
      <c r="Y113" s="2046"/>
      <c r="Z113" s="2046"/>
      <c r="AA113" s="2046"/>
      <c r="AB113" s="2046"/>
      <c r="AC113" s="2046"/>
    </row>
    <row r="114" spans="1:29">
      <c r="A114" s="2046"/>
      <c r="B114" s="2046"/>
      <c r="C114" s="2046"/>
      <c r="D114" s="2046"/>
      <c r="E114" s="2046"/>
      <c r="F114" s="2046"/>
      <c r="G114" s="2046"/>
      <c r="H114" s="2046"/>
      <c r="I114" s="2046"/>
      <c r="J114" s="2046"/>
      <c r="K114" s="2047"/>
      <c r="L114" s="2048"/>
      <c r="M114" s="2046"/>
      <c r="N114" s="2046"/>
      <c r="O114" s="2046"/>
      <c r="P114" s="2046"/>
      <c r="Q114" s="2046"/>
      <c r="R114" s="2046"/>
      <c r="S114" s="2046"/>
      <c r="T114" s="2046"/>
      <c r="U114" s="2046"/>
      <c r="V114" s="2046"/>
      <c r="W114" s="2046"/>
      <c r="X114" s="2046"/>
      <c r="Y114" s="2046"/>
      <c r="Z114" s="2046"/>
      <c r="AA114" s="2046"/>
      <c r="AB114" s="2046"/>
      <c r="AC114" s="2046"/>
    </row>
    <row r="115" spans="1:29">
      <c r="A115" s="2046"/>
      <c r="B115" s="2046"/>
      <c r="C115" s="2046"/>
      <c r="D115" s="2046"/>
      <c r="E115" s="2046"/>
      <c r="F115" s="2046"/>
      <c r="G115" s="2046"/>
      <c r="H115" s="2046"/>
      <c r="I115" s="2046"/>
      <c r="J115" s="2046"/>
      <c r="K115" s="2047"/>
      <c r="L115" s="2048"/>
      <c r="M115" s="2046"/>
      <c r="N115" s="2046"/>
      <c r="O115" s="2046"/>
      <c r="P115" s="2046"/>
      <c r="Q115" s="2046"/>
      <c r="R115" s="2046"/>
      <c r="S115" s="2046"/>
      <c r="T115" s="2046"/>
      <c r="U115" s="2046"/>
      <c r="V115" s="2046"/>
      <c r="W115" s="2046"/>
      <c r="X115" s="2046"/>
      <c r="Y115" s="2046"/>
      <c r="Z115" s="2046"/>
      <c r="AA115" s="2046"/>
      <c r="AB115" s="2046"/>
      <c r="AC115" s="2046"/>
    </row>
    <row r="116" spans="1:29">
      <c r="A116" s="2046"/>
      <c r="B116" s="2046"/>
      <c r="C116" s="2046"/>
      <c r="D116" s="2046"/>
      <c r="E116" s="2046"/>
      <c r="F116" s="2046"/>
      <c r="G116" s="2046"/>
      <c r="H116" s="2046"/>
      <c r="I116" s="2046"/>
      <c r="J116" s="2046"/>
      <c r="K116" s="2047"/>
      <c r="L116" s="2048"/>
      <c r="M116" s="2046"/>
      <c r="N116" s="2046"/>
      <c r="O116" s="2046"/>
      <c r="P116" s="2046"/>
      <c r="Q116" s="2046"/>
      <c r="R116" s="2046"/>
      <c r="S116" s="2046"/>
      <c r="T116" s="2046"/>
      <c r="U116" s="2046"/>
      <c r="V116" s="2046"/>
      <c r="W116" s="2046"/>
      <c r="X116" s="2046"/>
      <c r="Y116" s="2046"/>
      <c r="Z116" s="2046"/>
      <c r="AA116" s="2046"/>
      <c r="AB116" s="2046"/>
      <c r="AC116" s="2046"/>
    </row>
    <row r="117" spans="1:29">
      <c r="A117" s="2046"/>
      <c r="B117" s="2046"/>
      <c r="C117" s="2046"/>
      <c r="D117" s="2046"/>
      <c r="E117" s="2046"/>
      <c r="F117" s="2046"/>
      <c r="G117" s="2046"/>
      <c r="H117" s="2046"/>
      <c r="I117" s="2046"/>
      <c r="J117" s="2046"/>
      <c r="K117" s="2047"/>
      <c r="L117" s="2048"/>
      <c r="M117" s="2046"/>
      <c r="N117" s="2046"/>
      <c r="O117" s="2046"/>
      <c r="P117" s="2046"/>
      <c r="Q117" s="2046"/>
      <c r="R117" s="2046"/>
      <c r="S117" s="2046"/>
      <c r="T117" s="2046"/>
      <c r="U117" s="2046"/>
      <c r="V117" s="2046"/>
      <c r="W117" s="2046"/>
      <c r="X117" s="2046"/>
      <c r="Y117" s="2046"/>
      <c r="Z117" s="2046"/>
      <c r="AA117" s="2046"/>
      <c r="AB117" s="2046"/>
      <c r="AC117" s="2046"/>
    </row>
    <row r="118" spans="1:29">
      <c r="A118" s="2046"/>
      <c r="B118" s="2046"/>
      <c r="C118" s="2046"/>
      <c r="D118" s="2046"/>
      <c r="E118" s="2046"/>
      <c r="F118" s="2046"/>
      <c r="G118" s="2046"/>
      <c r="H118" s="2046"/>
      <c r="I118" s="2046"/>
      <c r="J118" s="2046"/>
      <c r="K118" s="2047"/>
      <c r="L118" s="2048"/>
      <c r="M118" s="2046"/>
      <c r="N118" s="2046"/>
      <c r="O118" s="2046"/>
      <c r="P118" s="2046"/>
      <c r="Q118" s="2046"/>
      <c r="R118" s="2046"/>
      <c r="S118" s="2046"/>
      <c r="T118" s="2046"/>
      <c r="U118" s="2046"/>
      <c r="V118" s="2046"/>
      <c r="W118" s="2046"/>
      <c r="X118" s="2046"/>
      <c r="Y118" s="2046"/>
      <c r="Z118" s="2046"/>
      <c r="AA118" s="2046"/>
      <c r="AB118" s="2046"/>
      <c r="AC118" s="2046"/>
    </row>
    <row r="119" spans="1:29">
      <c r="A119" s="2046"/>
      <c r="B119" s="2046"/>
      <c r="C119" s="2046"/>
      <c r="D119" s="2046"/>
      <c r="E119" s="2046"/>
      <c r="F119" s="2046"/>
      <c r="G119" s="2046"/>
      <c r="H119" s="2046"/>
      <c r="I119" s="2046"/>
      <c r="J119" s="2046"/>
      <c r="K119" s="2047"/>
      <c r="L119" s="2048"/>
      <c r="M119" s="2046"/>
      <c r="N119" s="2046"/>
      <c r="O119" s="2046"/>
      <c r="P119" s="2046"/>
      <c r="Q119" s="2046"/>
      <c r="R119" s="2046"/>
      <c r="S119" s="2046"/>
      <c r="T119" s="2046"/>
      <c r="U119" s="2046"/>
      <c r="V119" s="2046"/>
      <c r="W119" s="2046"/>
      <c r="X119" s="2046"/>
      <c r="Y119" s="2046"/>
      <c r="Z119" s="2046"/>
      <c r="AA119" s="2046"/>
      <c r="AB119" s="2046"/>
      <c r="AC119" s="2046"/>
    </row>
    <row r="120" spans="1:29">
      <c r="A120" s="2046"/>
      <c r="B120" s="2046"/>
      <c r="C120" s="2046"/>
      <c r="D120" s="2046"/>
      <c r="E120" s="2046"/>
      <c r="F120" s="2046"/>
      <c r="G120" s="2046"/>
      <c r="H120" s="2046"/>
      <c r="I120" s="2046"/>
      <c r="J120" s="2046"/>
      <c r="K120" s="2047"/>
      <c r="L120" s="2048"/>
      <c r="M120" s="2046"/>
      <c r="N120" s="2046"/>
      <c r="O120" s="2046"/>
      <c r="P120" s="2046"/>
      <c r="Q120" s="2046"/>
      <c r="R120" s="2046"/>
      <c r="S120" s="2046"/>
      <c r="T120" s="2046"/>
      <c r="U120" s="2046"/>
      <c r="V120" s="2046"/>
      <c r="W120" s="2046"/>
      <c r="X120" s="2046"/>
      <c r="Y120" s="2046"/>
      <c r="Z120" s="2046"/>
      <c r="AA120" s="2046"/>
      <c r="AB120" s="2046"/>
      <c r="AC120" s="2046"/>
    </row>
    <row r="121" spans="1:29">
      <c r="A121" s="2046"/>
      <c r="B121" s="2046"/>
      <c r="C121" s="2046"/>
      <c r="D121" s="2046"/>
      <c r="E121" s="2046"/>
      <c r="F121" s="2046"/>
      <c r="G121" s="2046"/>
      <c r="H121" s="2046"/>
      <c r="I121" s="2046"/>
      <c r="J121" s="2046"/>
      <c r="K121" s="2047"/>
      <c r="L121" s="2048"/>
      <c r="M121" s="2046"/>
      <c r="N121" s="2046"/>
      <c r="O121" s="2046"/>
      <c r="P121" s="2046"/>
      <c r="Q121" s="2046"/>
      <c r="R121" s="2046"/>
      <c r="S121" s="2046"/>
      <c r="T121" s="2046"/>
      <c r="U121" s="2046"/>
      <c r="V121" s="2046"/>
      <c r="W121" s="2046"/>
      <c r="X121" s="2046"/>
      <c r="Y121" s="2046"/>
      <c r="Z121" s="2046"/>
      <c r="AA121" s="2046"/>
      <c r="AB121" s="2046"/>
      <c r="AC121" s="2046"/>
    </row>
    <row r="122" spans="1:29">
      <c r="A122" s="2046"/>
      <c r="B122" s="2046"/>
      <c r="C122" s="2046"/>
      <c r="D122" s="2046"/>
      <c r="E122" s="2046"/>
      <c r="F122" s="2046"/>
      <c r="G122" s="2046"/>
      <c r="H122" s="2046"/>
      <c r="I122" s="2046"/>
      <c r="J122" s="2046"/>
      <c r="K122" s="2047"/>
      <c r="L122" s="2048"/>
      <c r="M122" s="2046"/>
      <c r="N122" s="2046"/>
      <c r="O122" s="2046"/>
      <c r="P122" s="2046"/>
      <c r="Q122" s="2046"/>
      <c r="R122" s="2046"/>
      <c r="S122" s="2046"/>
      <c r="T122" s="2046"/>
      <c r="U122" s="2046"/>
      <c r="V122" s="2046"/>
      <c r="W122" s="2046"/>
      <c r="X122" s="2046"/>
      <c r="Y122" s="2046"/>
      <c r="Z122" s="2046"/>
      <c r="AA122" s="2046"/>
      <c r="AB122" s="2046"/>
      <c r="AC122" s="2046"/>
    </row>
    <row r="123" spans="1:29">
      <c r="A123" s="2046"/>
      <c r="B123" s="2046"/>
      <c r="C123" s="2046"/>
      <c r="D123" s="2046"/>
      <c r="E123" s="2046"/>
      <c r="F123" s="2046"/>
      <c r="G123" s="2046"/>
      <c r="H123" s="2046"/>
      <c r="I123" s="2046"/>
      <c r="J123" s="2046"/>
      <c r="K123" s="2047"/>
      <c r="L123" s="2048"/>
      <c r="M123" s="2046"/>
      <c r="N123" s="2046"/>
      <c r="O123" s="2046"/>
      <c r="P123" s="2046"/>
      <c r="Q123" s="2046"/>
      <c r="R123" s="2046"/>
      <c r="S123" s="2046"/>
      <c r="T123" s="2046"/>
      <c r="U123" s="2046"/>
      <c r="V123" s="2046"/>
      <c r="W123" s="2046"/>
      <c r="X123" s="2046"/>
      <c r="Y123" s="2046"/>
      <c r="Z123" s="2046"/>
      <c r="AA123" s="2046"/>
      <c r="AB123" s="2046"/>
      <c r="AC123" s="2046"/>
    </row>
    <row r="124" spans="1:29">
      <c r="A124" s="2046"/>
      <c r="B124" s="2046"/>
      <c r="C124" s="2046"/>
      <c r="D124" s="2046"/>
      <c r="E124" s="2046"/>
      <c r="F124" s="2046"/>
      <c r="G124" s="2046"/>
      <c r="H124" s="2046"/>
      <c r="I124" s="2046"/>
      <c r="J124" s="2046"/>
      <c r="K124" s="2047"/>
      <c r="L124" s="2048"/>
      <c r="M124" s="2046"/>
      <c r="N124" s="2046"/>
      <c r="O124" s="2046"/>
      <c r="P124" s="2046"/>
      <c r="Q124" s="2046"/>
      <c r="R124" s="2046"/>
      <c r="S124" s="2046"/>
      <c r="T124" s="2046"/>
      <c r="U124" s="2046"/>
      <c r="V124" s="2046"/>
      <c r="W124" s="2046"/>
      <c r="X124" s="2046"/>
      <c r="Y124" s="2046"/>
      <c r="Z124" s="2046"/>
      <c r="AA124" s="2046"/>
      <c r="AB124" s="2046"/>
      <c r="AC124" s="2046"/>
    </row>
    <row r="125" spans="1:29">
      <c r="A125" s="2046"/>
      <c r="B125" s="2046"/>
      <c r="C125" s="2046"/>
      <c r="D125" s="2046"/>
      <c r="E125" s="2046"/>
      <c r="F125" s="2046"/>
      <c r="G125" s="2046"/>
      <c r="H125" s="2046"/>
      <c r="I125" s="2046"/>
      <c r="J125" s="2046"/>
      <c r="K125" s="2047"/>
      <c r="L125" s="2048"/>
      <c r="M125" s="2046"/>
      <c r="N125" s="2046"/>
      <c r="O125" s="2046"/>
      <c r="P125" s="2046"/>
      <c r="Q125" s="2046"/>
      <c r="R125" s="2046"/>
      <c r="S125" s="2046"/>
      <c r="T125" s="2046"/>
      <c r="U125" s="2046"/>
      <c r="V125" s="2046"/>
      <c r="W125" s="2046"/>
      <c r="X125" s="2046"/>
      <c r="Y125" s="2046"/>
      <c r="Z125" s="2046"/>
      <c r="AA125" s="2046"/>
      <c r="AB125" s="2046"/>
      <c r="AC125" s="2046"/>
    </row>
    <row r="126" spans="1:29">
      <c r="A126" s="2046"/>
      <c r="B126" s="2046"/>
      <c r="C126" s="2046"/>
      <c r="D126" s="2046"/>
      <c r="E126" s="2046"/>
      <c r="F126" s="2046"/>
      <c r="G126" s="2046"/>
      <c r="H126" s="2046"/>
      <c r="I126" s="2046"/>
      <c r="J126" s="2046"/>
      <c r="K126" s="2047"/>
      <c r="L126" s="2048"/>
      <c r="M126" s="2046"/>
      <c r="N126" s="2046"/>
      <c r="O126" s="2046"/>
      <c r="P126" s="2046"/>
      <c r="Q126" s="2046"/>
      <c r="R126" s="2046"/>
      <c r="S126" s="2046"/>
      <c r="T126" s="2046"/>
      <c r="U126" s="2046"/>
      <c r="V126" s="2046"/>
      <c r="W126" s="2046"/>
      <c r="X126" s="2046"/>
      <c r="Y126" s="2046"/>
      <c r="Z126" s="2046"/>
      <c r="AA126" s="2046"/>
      <c r="AB126" s="2046"/>
      <c r="AC126" s="2046"/>
    </row>
    <row r="127" spans="1:29">
      <c r="A127" s="2046"/>
      <c r="B127" s="2046"/>
      <c r="C127" s="2046"/>
      <c r="D127" s="2046"/>
      <c r="E127" s="2046"/>
      <c r="F127" s="2046"/>
      <c r="G127" s="2046"/>
      <c r="H127" s="2046"/>
      <c r="I127" s="2046"/>
      <c r="J127" s="2046"/>
      <c r="K127" s="2047"/>
      <c r="L127" s="2048"/>
      <c r="M127" s="2046"/>
      <c r="N127" s="2046"/>
      <c r="O127" s="2046"/>
      <c r="P127" s="2046"/>
      <c r="Q127" s="2046"/>
      <c r="R127" s="2046"/>
      <c r="S127" s="2046"/>
      <c r="T127" s="2046"/>
      <c r="U127" s="2046"/>
      <c r="V127" s="2046"/>
      <c r="W127" s="2046"/>
      <c r="X127" s="2046"/>
      <c r="Y127" s="2046"/>
      <c r="Z127" s="2046"/>
      <c r="AA127" s="2046"/>
      <c r="AB127" s="2046"/>
      <c r="AC127" s="2046"/>
    </row>
    <row r="128" spans="1:29">
      <c r="A128" s="2046"/>
      <c r="B128" s="2046"/>
      <c r="C128" s="2046"/>
      <c r="D128" s="2046"/>
      <c r="E128" s="2046"/>
      <c r="F128" s="2046"/>
      <c r="G128" s="2046"/>
      <c r="H128" s="2046"/>
      <c r="I128" s="2046"/>
      <c r="J128" s="2046"/>
      <c r="K128" s="2047"/>
      <c r="L128" s="2048"/>
      <c r="M128" s="2046"/>
      <c r="N128" s="2046"/>
      <c r="O128" s="2046"/>
      <c r="P128" s="2046"/>
      <c r="Q128" s="2046"/>
      <c r="R128" s="2046"/>
      <c r="S128" s="2046"/>
      <c r="T128" s="2046"/>
      <c r="U128" s="2046"/>
      <c r="V128" s="2046"/>
      <c r="W128" s="2046"/>
      <c r="X128" s="2046"/>
      <c r="Y128" s="2046"/>
      <c r="Z128" s="2046"/>
      <c r="AA128" s="2046"/>
      <c r="AB128" s="2046"/>
      <c r="AC128" s="2046"/>
    </row>
    <row r="129" spans="1:29">
      <c r="A129" s="2046"/>
      <c r="B129" s="2046"/>
      <c r="C129" s="2046"/>
      <c r="D129" s="2046"/>
      <c r="E129" s="2046"/>
      <c r="F129" s="2046"/>
      <c r="G129" s="2046"/>
      <c r="H129" s="2046"/>
      <c r="I129" s="2046"/>
      <c r="J129" s="2046"/>
      <c r="K129" s="2047"/>
      <c r="L129" s="2048"/>
      <c r="M129" s="2046"/>
      <c r="N129" s="2046"/>
      <c r="O129" s="2046"/>
      <c r="P129" s="2046"/>
      <c r="Q129" s="2046"/>
      <c r="R129" s="2046"/>
      <c r="S129" s="2046"/>
      <c r="T129" s="2046"/>
      <c r="U129" s="2046"/>
      <c r="V129" s="2046"/>
      <c r="W129" s="2046"/>
      <c r="X129" s="2046"/>
      <c r="Y129" s="2046"/>
      <c r="Z129" s="2046"/>
      <c r="AA129" s="2046"/>
      <c r="AB129" s="2046"/>
      <c r="AC129" s="2046"/>
    </row>
    <row r="130" spans="1:29">
      <c r="A130" s="2046"/>
      <c r="B130" s="2046"/>
      <c r="C130" s="2046"/>
      <c r="D130" s="2046"/>
      <c r="E130" s="2046"/>
      <c r="F130" s="2046"/>
      <c r="G130" s="2046"/>
      <c r="H130" s="2046"/>
      <c r="I130" s="2046"/>
      <c r="J130" s="2046"/>
      <c r="K130" s="2047"/>
      <c r="L130" s="2048"/>
      <c r="M130" s="2046"/>
      <c r="N130" s="2046"/>
      <c r="O130" s="2046"/>
      <c r="P130" s="2046"/>
      <c r="Q130" s="2046"/>
      <c r="R130" s="2046"/>
      <c r="S130" s="2046"/>
      <c r="T130" s="2046"/>
      <c r="U130" s="2046"/>
      <c r="V130" s="2046"/>
      <c r="W130" s="2046"/>
      <c r="X130" s="2046"/>
      <c r="Y130" s="2046"/>
      <c r="Z130" s="2046"/>
      <c r="AA130" s="2046"/>
      <c r="AB130" s="2046"/>
      <c r="AC130" s="2046"/>
    </row>
    <row r="131" spans="1:29">
      <c r="A131" s="2046"/>
      <c r="B131" s="2046"/>
      <c r="C131" s="2046"/>
      <c r="D131" s="2046"/>
      <c r="E131" s="2046"/>
      <c r="F131" s="2046"/>
      <c r="G131" s="2046"/>
      <c r="H131" s="2046"/>
      <c r="I131" s="2046"/>
      <c r="J131" s="2046"/>
      <c r="K131" s="2047"/>
      <c r="L131" s="2048"/>
      <c r="M131" s="2046"/>
      <c r="N131" s="2046"/>
      <c r="O131" s="2046"/>
      <c r="P131" s="2046"/>
      <c r="Q131" s="2046"/>
      <c r="R131" s="2046"/>
      <c r="S131" s="2046"/>
      <c r="T131" s="2046"/>
      <c r="U131" s="2046"/>
      <c r="V131" s="2046"/>
      <c r="W131" s="2046"/>
      <c r="X131" s="2046"/>
      <c r="Y131" s="2046"/>
      <c r="Z131" s="2046"/>
      <c r="AA131" s="2046"/>
      <c r="AB131" s="2046"/>
      <c r="AC131" s="2046"/>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c r="A136" s="2046"/>
      <c r="B136" s="2046"/>
      <c r="C136" s="2046"/>
      <c r="D136" s="2046"/>
      <c r="E136" s="2046"/>
      <c r="F136" s="2046"/>
      <c r="G136" s="2046"/>
      <c r="H136" s="2046"/>
      <c r="I136" s="2046"/>
      <c r="J136" s="2046"/>
      <c r="K136" s="204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2046"/>
      <c r="C137" s="2046"/>
      <c r="D137" s="2046"/>
      <c r="E137" s="2046"/>
      <c r="F137" s="2046"/>
      <c r="G137" s="2046"/>
      <c r="H137" s="2046"/>
      <c r="I137" s="2046"/>
      <c r="J137" s="2046"/>
      <c r="K137" s="2047"/>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2046"/>
      <c r="C138" s="2046"/>
      <c r="D138" s="2046"/>
      <c r="E138" s="2046"/>
      <c r="F138" s="2046"/>
      <c r="G138" s="2046"/>
      <c r="H138" s="2046"/>
      <c r="I138" s="2046"/>
      <c r="J138" s="2046"/>
      <c r="K138" s="2047"/>
      <c r="L138" s="2048"/>
      <c r="M138" s="2046"/>
      <c r="N138" s="2046"/>
      <c r="O138" s="2046"/>
      <c r="P138" s="2046"/>
      <c r="Q138" s="2046"/>
      <c r="R138" s="2046"/>
      <c r="S138" s="2046"/>
      <c r="T138" s="2046"/>
      <c r="U138" s="2046"/>
      <c r="V138" s="2046"/>
      <c r="W138" s="2046"/>
      <c r="X138" s="2046"/>
      <c r="Y138" s="2046"/>
      <c r="Z138" s="2046"/>
      <c r="AA138" s="2046"/>
      <c r="AB138" s="2046"/>
      <c r="AC138" s="2046"/>
    </row>
    <row r="139" spans="1:29">
      <c r="A139" s="2046"/>
      <c r="B139" s="2046"/>
      <c r="C139" s="2046"/>
      <c r="D139" s="2046"/>
      <c r="E139" s="2046"/>
      <c r="F139" s="2046"/>
      <c r="G139" s="2046"/>
      <c r="H139" s="2046"/>
      <c r="I139" s="2046"/>
      <c r="J139" s="2046"/>
      <c r="K139" s="2047"/>
      <c r="L139" s="2048"/>
      <c r="M139" s="2046"/>
      <c r="N139" s="2046"/>
      <c r="O139" s="2046"/>
      <c r="P139" s="2046"/>
      <c r="Q139" s="2046"/>
      <c r="R139" s="2046"/>
      <c r="S139" s="2046"/>
      <c r="T139" s="2046"/>
      <c r="U139" s="2046"/>
      <c r="V139" s="2046"/>
      <c r="W139" s="2046"/>
      <c r="X139" s="2046"/>
      <c r="Y139" s="2046"/>
      <c r="Z139" s="2046"/>
      <c r="AA139" s="2046"/>
      <c r="AB139" s="2046"/>
      <c r="AC139" s="2046"/>
    </row>
    <row r="140" spans="1:29">
      <c r="A140" s="2046"/>
      <c r="B140" s="2046"/>
      <c r="C140" s="2046"/>
      <c r="D140" s="2046"/>
      <c r="E140" s="2046"/>
      <c r="F140" s="2046"/>
      <c r="G140" s="2046"/>
      <c r="H140" s="2046"/>
      <c r="I140" s="2046"/>
      <c r="J140" s="2046"/>
      <c r="K140" s="2047"/>
      <c r="L140" s="2048"/>
      <c r="M140" s="2046"/>
      <c r="N140" s="2046"/>
      <c r="O140" s="2046"/>
      <c r="P140" s="2046"/>
      <c r="Q140" s="2046"/>
      <c r="R140" s="2046"/>
      <c r="S140" s="2046"/>
      <c r="T140" s="2046"/>
      <c r="U140" s="2046"/>
      <c r="V140" s="2046"/>
      <c r="W140" s="2046"/>
      <c r="X140" s="2046"/>
      <c r="Y140" s="2046"/>
      <c r="Z140" s="2046"/>
      <c r="AA140" s="2046"/>
      <c r="AB140" s="2046"/>
      <c r="AC140" s="2046"/>
    </row>
    <row r="141" spans="1:29">
      <c r="A141" s="2046"/>
      <c r="B141" s="2046"/>
      <c r="C141" s="2046"/>
      <c r="D141" s="2046"/>
      <c r="E141" s="2046"/>
      <c r="F141" s="2046"/>
      <c r="G141" s="2046"/>
      <c r="H141" s="2046"/>
      <c r="I141" s="2046"/>
      <c r="J141" s="2046"/>
      <c r="K141" s="2047"/>
      <c r="L141" s="2048"/>
      <c r="M141" s="2046"/>
      <c r="N141" s="2046"/>
      <c r="O141" s="2046"/>
      <c r="P141" s="2046"/>
      <c r="Q141" s="2046"/>
      <c r="R141" s="2046"/>
      <c r="S141" s="2046"/>
      <c r="T141" s="2046"/>
      <c r="U141" s="2046"/>
      <c r="V141" s="2046"/>
      <c r="W141" s="2046"/>
      <c r="X141" s="2046"/>
      <c r="Y141" s="2046"/>
      <c r="Z141" s="2046"/>
      <c r="AA141" s="2046"/>
      <c r="AB141" s="2046"/>
      <c r="AC141" s="2046"/>
    </row>
    <row r="142" spans="1:29">
      <c r="A142" s="2046"/>
      <c r="B142" s="2046"/>
      <c r="C142" s="2046"/>
      <c r="D142" s="2046"/>
      <c r="E142" s="2046"/>
      <c r="F142" s="2046"/>
      <c r="G142" s="2046"/>
      <c r="H142" s="2046"/>
      <c r="I142" s="2046"/>
      <c r="J142" s="2046"/>
      <c r="K142" s="2047"/>
      <c r="L142" s="2048"/>
      <c r="M142" s="2046"/>
      <c r="N142" s="2046"/>
      <c r="O142" s="2046"/>
      <c r="P142" s="2046"/>
      <c r="Q142" s="2046"/>
      <c r="R142" s="2046"/>
      <c r="S142" s="2046"/>
      <c r="T142" s="2046"/>
      <c r="U142" s="2046"/>
      <c r="V142" s="2046"/>
      <c r="W142" s="2046"/>
      <c r="X142" s="2046"/>
      <c r="Y142" s="2046"/>
      <c r="Z142" s="2046"/>
      <c r="AA142" s="2046"/>
      <c r="AB142" s="2046"/>
      <c r="AC142" s="2046"/>
    </row>
    <row r="143" spans="1:29">
      <c r="A143" s="2046"/>
      <c r="B143" s="2046"/>
      <c r="C143" s="2046"/>
      <c r="D143" s="2046"/>
      <c r="E143" s="2046"/>
      <c r="F143" s="2046"/>
      <c r="G143" s="2046"/>
      <c r="H143" s="2046"/>
      <c r="I143" s="2046"/>
      <c r="J143" s="2046"/>
      <c r="K143" s="2047"/>
      <c r="L143" s="2048"/>
      <c r="M143" s="2046"/>
      <c r="N143" s="2046"/>
      <c r="O143" s="2046"/>
      <c r="P143" s="2046"/>
      <c r="Q143" s="2046"/>
      <c r="R143" s="2046"/>
      <c r="S143" s="2046"/>
      <c r="T143" s="2046"/>
      <c r="U143" s="2046"/>
      <c r="V143" s="2046"/>
      <c r="W143" s="2046"/>
      <c r="X143" s="2046"/>
      <c r="Y143" s="2046"/>
      <c r="Z143" s="2046"/>
      <c r="AA143" s="2046"/>
      <c r="AB143" s="2046"/>
      <c r="AC143" s="2046"/>
    </row>
    <row r="144" spans="1:29">
      <c r="A144" s="2046"/>
      <c r="B144" s="2046"/>
      <c r="C144" s="2046"/>
      <c r="D144" s="2046"/>
      <c r="E144" s="2046"/>
      <c r="F144" s="2046"/>
      <c r="G144" s="2046"/>
      <c r="H144" s="2046"/>
      <c r="I144" s="2046"/>
      <c r="J144" s="2046"/>
      <c r="K144" s="2047"/>
      <c r="L144" s="2048"/>
      <c r="M144" s="2046"/>
      <c r="N144" s="2046"/>
      <c r="O144" s="2046"/>
      <c r="P144" s="2046"/>
      <c r="Q144" s="2046"/>
      <c r="R144" s="2046"/>
      <c r="S144" s="2046"/>
      <c r="T144" s="2046"/>
      <c r="U144" s="2046"/>
      <c r="V144" s="2046"/>
      <c r="W144" s="2046"/>
      <c r="X144" s="2046"/>
      <c r="Y144" s="2046"/>
      <c r="Z144" s="2046"/>
      <c r="AA144" s="2046"/>
      <c r="AB144" s="2046"/>
      <c r="AC144" s="2046"/>
    </row>
    <row r="145" spans="1:29">
      <c r="A145" s="2046"/>
      <c r="B145" s="2046"/>
      <c r="C145" s="2046"/>
      <c r="D145" s="2046"/>
      <c r="E145" s="2046"/>
      <c r="F145" s="2046"/>
      <c r="G145" s="2046"/>
      <c r="H145" s="2046"/>
      <c r="I145" s="2046"/>
      <c r="J145" s="2046"/>
      <c r="K145" s="2047"/>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2046"/>
      <c r="C147" s="2046"/>
      <c r="D147" s="2046"/>
      <c r="E147" s="2046"/>
      <c r="F147" s="2046"/>
      <c r="G147" s="2046"/>
      <c r="H147" s="2046"/>
      <c r="I147" s="2046"/>
      <c r="J147" s="2046"/>
      <c r="K147" s="2047"/>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2046"/>
      <c r="C148" s="2046"/>
      <c r="D148" s="2046"/>
      <c r="E148" s="2046"/>
      <c r="F148" s="2046"/>
      <c r="G148" s="2046"/>
      <c r="H148" s="2046"/>
      <c r="I148" s="2046"/>
      <c r="J148" s="2046"/>
      <c r="K148" s="2047"/>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49" priority="18" stopIfTrue="1" operator="containsText" text="超过">
      <formula>NOT(ISERROR(SEARCH("超过",F40)))</formula>
    </cfRule>
  </conditionalFormatting>
  <conditionalFormatting sqref="J42">
    <cfRule type="containsText" dxfId="48" priority="17" stopIfTrue="1" operator="containsText" text="超过">
      <formula>NOT(ISERROR(SEARCH("超过",J42)))</formula>
    </cfRule>
  </conditionalFormatting>
  <conditionalFormatting sqref="H42">
    <cfRule type="containsText" dxfId="47" priority="16" stopIfTrue="1" operator="containsText" text="超过">
      <formula>NOT(ISERROR(SEARCH("超过",H42)))</formula>
    </cfRule>
  </conditionalFormatting>
  <conditionalFormatting sqref="F42">
    <cfRule type="containsText" dxfId="46" priority="15" stopIfTrue="1" operator="containsText" text="超过">
      <formula>NOT(ISERROR(SEARCH("超过",F42)))</formula>
    </cfRule>
  </conditionalFormatting>
  <conditionalFormatting sqref="F41 H41 J41">
    <cfRule type="containsText" dxfId="45" priority="14" stopIfTrue="1" operator="containsText" text="超过">
      <formula>NOT(ISERROR(SEARCH("超过",F41)))</formula>
    </cfRule>
  </conditionalFormatting>
  <conditionalFormatting sqref="E40">
    <cfRule type="expression" dxfId="44" priority="13" stopIfTrue="1">
      <formula>$F$40="超过30%"</formula>
    </cfRule>
  </conditionalFormatting>
  <conditionalFormatting sqref="G42">
    <cfRule type="expression" dxfId="43" priority="12" stopIfTrue="1">
      <formula>$H$54+$H$42="超过30%"</formula>
    </cfRule>
  </conditionalFormatting>
  <conditionalFormatting sqref="E41">
    <cfRule type="expression" dxfId="42" priority="11" stopIfTrue="1">
      <formula>$F$41="超过20%"</formula>
    </cfRule>
  </conditionalFormatting>
  <conditionalFormatting sqref="E42">
    <cfRule type="expression" dxfId="41" priority="10" stopIfTrue="1">
      <formula>$F$42="超过30%"</formula>
    </cfRule>
  </conditionalFormatting>
  <conditionalFormatting sqref="G40">
    <cfRule type="expression" dxfId="40" priority="9" stopIfTrue="1">
      <formula>$H$52+$H$40="超过30%"</formula>
    </cfRule>
  </conditionalFormatting>
  <conditionalFormatting sqref="G41">
    <cfRule type="expression" dxfId="39" priority="8" stopIfTrue="1">
      <formula>$H$53+$H$41="超过20%"</formula>
    </cfRule>
  </conditionalFormatting>
  <conditionalFormatting sqref="I40">
    <cfRule type="expression" dxfId="38" priority="7" stopIfTrue="1">
      <formula>$J$40="超过30%"</formula>
    </cfRule>
  </conditionalFormatting>
  <conditionalFormatting sqref="I41">
    <cfRule type="expression" dxfId="37" priority="6" stopIfTrue="1">
      <formula>$J$41="超过20%"</formula>
    </cfRule>
  </conditionalFormatting>
  <conditionalFormatting sqref="I42">
    <cfRule type="expression" dxfId="36" priority="5" stopIfTrue="1">
      <formula>$J$42="超过30%"</formula>
    </cfRule>
  </conditionalFormatting>
  <conditionalFormatting sqref="F36">
    <cfRule type="expression" dxfId="35" priority="4">
      <formula>$D$36="简单平均"</formula>
    </cfRule>
  </conditionalFormatting>
  <conditionalFormatting sqref="H36">
    <cfRule type="expression" dxfId="34" priority="3">
      <formula>$D$36="简单平均"</formula>
    </cfRule>
  </conditionalFormatting>
  <conditionalFormatting sqref="J36">
    <cfRule type="expression" dxfId="33" priority="2">
      <formula>$D$36="简单平均"</formula>
    </cfRule>
  </conditionalFormatting>
  <conditionalFormatting sqref="F7:F34 H7:H34 J7:J34">
    <cfRule type="cellIs" dxfId="32"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44" customWidth="1"/>
    <col min="2" max="2" width="13.25" style="2650" customWidth="1"/>
    <col min="3" max="3" width="15.625" style="2650" customWidth="1"/>
    <col min="4" max="4" width="9.375" style="2650" bestFit="1" customWidth="1"/>
    <col min="5" max="5" width="13.5" style="2650" customWidth="1"/>
    <col min="6" max="6" width="9" style="2650"/>
    <col min="7" max="7" width="9.375" style="2650" bestFit="1" customWidth="1"/>
    <col min="8" max="9" width="9" style="2650"/>
    <col min="10" max="10" width="9.375" style="2650" bestFit="1" customWidth="1"/>
    <col min="11" max="11" width="4" style="2644" customWidth="1"/>
    <col min="12" max="12" width="5.125" style="2650" customWidth="1"/>
    <col min="13" max="13" width="13.75" style="2650" customWidth="1"/>
    <col min="14" max="256" width="9" style="2650"/>
    <col min="257" max="257" width="4.875" style="2642" customWidth="1"/>
    <col min="258" max="258" width="13.25" style="2642" customWidth="1"/>
    <col min="259" max="259" width="15.625" style="2642" customWidth="1"/>
    <col min="260" max="260" width="9.375" style="2642" bestFit="1" customWidth="1"/>
    <col min="261" max="261" width="13.5" style="2642" customWidth="1"/>
    <col min="262" max="262" width="9" style="2642"/>
    <col min="263" max="263" width="9.375" style="2642" bestFit="1" customWidth="1"/>
    <col min="264" max="265" width="9" style="2642"/>
    <col min="266" max="266" width="9.375" style="2642" bestFit="1" customWidth="1"/>
    <col min="267" max="267" width="4" style="2642" customWidth="1"/>
    <col min="268" max="268" width="5.125" style="2642" customWidth="1"/>
    <col min="269" max="269" width="13.75" style="2642" customWidth="1"/>
    <col min="270" max="512" width="9" style="2642"/>
    <col min="513" max="513" width="4.875" style="2642" customWidth="1"/>
    <col min="514" max="514" width="13.25" style="2642" customWidth="1"/>
    <col min="515" max="515" width="15.625" style="2642" customWidth="1"/>
    <col min="516" max="516" width="9.375" style="2642" bestFit="1" customWidth="1"/>
    <col min="517" max="517" width="13.5" style="2642" customWidth="1"/>
    <col min="518" max="518" width="9" style="2642"/>
    <col min="519" max="519" width="9.375" style="2642" bestFit="1" customWidth="1"/>
    <col min="520" max="521" width="9" style="2642"/>
    <col min="522" max="522" width="9.375" style="2642" bestFit="1" customWidth="1"/>
    <col min="523" max="523" width="4" style="2642" customWidth="1"/>
    <col min="524" max="524" width="5.125" style="2642" customWidth="1"/>
    <col min="525" max="525" width="13.75" style="2642" customWidth="1"/>
    <col min="526" max="768" width="9" style="2642"/>
    <col min="769" max="769" width="4.875" style="2642" customWidth="1"/>
    <col min="770" max="770" width="13.25" style="2642" customWidth="1"/>
    <col min="771" max="771" width="15.625" style="2642" customWidth="1"/>
    <col min="772" max="772" width="9.375" style="2642" bestFit="1" customWidth="1"/>
    <col min="773" max="773" width="13.5" style="2642" customWidth="1"/>
    <col min="774" max="774" width="9" style="2642"/>
    <col min="775" max="775" width="9.375" style="2642" bestFit="1" customWidth="1"/>
    <col min="776" max="777" width="9" style="2642"/>
    <col min="778" max="778" width="9.375" style="2642" bestFit="1" customWidth="1"/>
    <col min="779" max="779" width="4" style="2642" customWidth="1"/>
    <col min="780" max="780" width="5.125" style="2642" customWidth="1"/>
    <col min="781" max="781" width="13.75" style="2642" customWidth="1"/>
    <col min="782" max="1024" width="9" style="2642"/>
    <col min="1025" max="1025" width="4.875" style="2642" customWidth="1"/>
    <col min="1026" max="1026" width="13.25" style="2642" customWidth="1"/>
    <col min="1027" max="1027" width="15.625" style="2642" customWidth="1"/>
    <col min="1028" max="1028" width="9.375" style="2642" bestFit="1" customWidth="1"/>
    <col min="1029" max="1029" width="13.5" style="2642" customWidth="1"/>
    <col min="1030" max="1030" width="9" style="2642"/>
    <col min="1031" max="1031" width="9.375" style="2642" bestFit="1" customWidth="1"/>
    <col min="1032" max="1033" width="9" style="2642"/>
    <col min="1034" max="1034" width="9.375" style="2642" bestFit="1" customWidth="1"/>
    <col min="1035" max="1035" width="4" style="2642" customWidth="1"/>
    <col min="1036" max="1036" width="5.125" style="2642" customWidth="1"/>
    <col min="1037" max="1037" width="13.75" style="2642" customWidth="1"/>
    <col min="1038" max="1280" width="9" style="2642"/>
    <col min="1281" max="1281" width="4.875" style="2642" customWidth="1"/>
    <col min="1282" max="1282" width="13.25" style="2642" customWidth="1"/>
    <col min="1283" max="1283" width="15.625" style="2642" customWidth="1"/>
    <col min="1284" max="1284" width="9.375" style="2642" bestFit="1" customWidth="1"/>
    <col min="1285" max="1285" width="13.5" style="2642" customWidth="1"/>
    <col min="1286" max="1286" width="9" style="2642"/>
    <col min="1287" max="1287" width="9.375" style="2642" bestFit="1" customWidth="1"/>
    <col min="1288" max="1289" width="9" style="2642"/>
    <col min="1290" max="1290" width="9.375" style="2642" bestFit="1" customWidth="1"/>
    <col min="1291" max="1291" width="4" style="2642" customWidth="1"/>
    <col min="1292" max="1292" width="5.125" style="2642" customWidth="1"/>
    <col min="1293" max="1293" width="13.75" style="2642" customWidth="1"/>
    <col min="1294" max="1536" width="9" style="2642"/>
    <col min="1537" max="1537" width="4.875" style="2642" customWidth="1"/>
    <col min="1538" max="1538" width="13.25" style="2642" customWidth="1"/>
    <col min="1539" max="1539" width="15.625" style="2642" customWidth="1"/>
    <col min="1540" max="1540" width="9.375" style="2642" bestFit="1" customWidth="1"/>
    <col min="1541" max="1541" width="13.5" style="2642" customWidth="1"/>
    <col min="1542" max="1542" width="9" style="2642"/>
    <col min="1543" max="1543" width="9.375" style="2642" bestFit="1" customWidth="1"/>
    <col min="1544" max="1545" width="9" style="2642"/>
    <col min="1546" max="1546" width="9.375" style="2642" bestFit="1" customWidth="1"/>
    <col min="1547" max="1547" width="4" style="2642" customWidth="1"/>
    <col min="1548" max="1548" width="5.125" style="2642" customWidth="1"/>
    <col min="1549" max="1549" width="13.75" style="2642" customWidth="1"/>
    <col min="1550" max="1792" width="9" style="2642"/>
    <col min="1793" max="1793" width="4.875" style="2642" customWidth="1"/>
    <col min="1794" max="1794" width="13.25" style="2642" customWidth="1"/>
    <col min="1795" max="1795" width="15.625" style="2642" customWidth="1"/>
    <col min="1796" max="1796" width="9.375" style="2642" bestFit="1" customWidth="1"/>
    <col min="1797" max="1797" width="13.5" style="2642" customWidth="1"/>
    <col min="1798" max="1798" width="9" style="2642"/>
    <col min="1799" max="1799" width="9.375" style="2642" bestFit="1" customWidth="1"/>
    <col min="1800" max="1801" width="9" style="2642"/>
    <col min="1802" max="1802" width="9.375" style="2642" bestFit="1" customWidth="1"/>
    <col min="1803" max="1803" width="4" style="2642" customWidth="1"/>
    <col min="1804" max="1804" width="5.125" style="2642" customWidth="1"/>
    <col min="1805" max="1805" width="13.75" style="2642" customWidth="1"/>
    <col min="1806" max="2048" width="9" style="2642"/>
    <col min="2049" max="2049" width="4.875" style="2642" customWidth="1"/>
    <col min="2050" max="2050" width="13.25" style="2642" customWidth="1"/>
    <col min="2051" max="2051" width="15.625" style="2642" customWidth="1"/>
    <col min="2052" max="2052" width="9.375" style="2642" bestFit="1" customWidth="1"/>
    <col min="2053" max="2053" width="13.5" style="2642" customWidth="1"/>
    <col min="2054" max="2054" width="9" style="2642"/>
    <col min="2055" max="2055" width="9.375" style="2642" bestFit="1" customWidth="1"/>
    <col min="2056" max="2057" width="9" style="2642"/>
    <col min="2058" max="2058" width="9.375" style="2642" bestFit="1" customWidth="1"/>
    <col min="2059" max="2059" width="4" style="2642" customWidth="1"/>
    <col min="2060" max="2060" width="5.125" style="2642" customWidth="1"/>
    <col min="2061" max="2061" width="13.75" style="2642" customWidth="1"/>
    <col min="2062" max="2304" width="9" style="2642"/>
    <col min="2305" max="2305" width="4.875" style="2642" customWidth="1"/>
    <col min="2306" max="2306" width="13.25" style="2642" customWidth="1"/>
    <col min="2307" max="2307" width="15.625" style="2642" customWidth="1"/>
    <col min="2308" max="2308" width="9.375" style="2642" bestFit="1" customWidth="1"/>
    <col min="2309" max="2309" width="13.5" style="2642" customWidth="1"/>
    <col min="2310" max="2310" width="9" style="2642"/>
    <col min="2311" max="2311" width="9.375" style="2642" bestFit="1" customWidth="1"/>
    <col min="2312" max="2313" width="9" style="2642"/>
    <col min="2314" max="2314" width="9.375" style="2642" bestFit="1" customWidth="1"/>
    <col min="2315" max="2315" width="4" style="2642" customWidth="1"/>
    <col min="2316" max="2316" width="5.125" style="2642" customWidth="1"/>
    <col min="2317" max="2317" width="13.75" style="2642" customWidth="1"/>
    <col min="2318" max="2560" width="9" style="2642"/>
    <col min="2561" max="2561" width="4.875" style="2642" customWidth="1"/>
    <col min="2562" max="2562" width="13.25" style="2642" customWidth="1"/>
    <col min="2563" max="2563" width="15.625" style="2642" customWidth="1"/>
    <col min="2564" max="2564" width="9.375" style="2642" bestFit="1" customWidth="1"/>
    <col min="2565" max="2565" width="13.5" style="2642" customWidth="1"/>
    <col min="2566" max="2566" width="9" style="2642"/>
    <col min="2567" max="2567" width="9.375" style="2642" bestFit="1" customWidth="1"/>
    <col min="2568" max="2569" width="9" style="2642"/>
    <col min="2570" max="2570" width="9.375" style="2642" bestFit="1" customWidth="1"/>
    <col min="2571" max="2571" width="4" style="2642" customWidth="1"/>
    <col min="2572" max="2572" width="5.125" style="2642" customWidth="1"/>
    <col min="2573" max="2573" width="13.75" style="2642" customWidth="1"/>
    <col min="2574" max="2816" width="9" style="2642"/>
    <col min="2817" max="2817" width="4.875" style="2642" customWidth="1"/>
    <col min="2818" max="2818" width="13.25" style="2642" customWidth="1"/>
    <col min="2819" max="2819" width="15.625" style="2642" customWidth="1"/>
    <col min="2820" max="2820" width="9.375" style="2642" bestFit="1" customWidth="1"/>
    <col min="2821" max="2821" width="13.5" style="2642" customWidth="1"/>
    <col min="2822" max="2822" width="9" style="2642"/>
    <col min="2823" max="2823" width="9.375" style="2642" bestFit="1" customWidth="1"/>
    <col min="2824" max="2825" width="9" style="2642"/>
    <col min="2826" max="2826" width="9.375" style="2642" bestFit="1" customWidth="1"/>
    <col min="2827" max="2827" width="4" style="2642" customWidth="1"/>
    <col min="2828" max="2828" width="5.125" style="2642" customWidth="1"/>
    <col min="2829" max="2829" width="13.75" style="2642" customWidth="1"/>
    <col min="2830" max="3072" width="9" style="2642"/>
    <col min="3073" max="3073" width="4.875" style="2642" customWidth="1"/>
    <col min="3074" max="3074" width="13.25" style="2642" customWidth="1"/>
    <col min="3075" max="3075" width="15.625" style="2642" customWidth="1"/>
    <col min="3076" max="3076" width="9.375" style="2642" bestFit="1" customWidth="1"/>
    <col min="3077" max="3077" width="13.5" style="2642" customWidth="1"/>
    <col min="3078" max="3078" width="9" style="2642"/>
    <col min="3079" max="3079" width="9.375" style="2642" bestFit="1" customWidth="1"/>
    <col min="3080" max="3081" width="9" style="2642"/>
    <col min="3082" max="3082" width="9.375" style="2642" bestFit="1" customWidth="1"/>
    <col min="3083" max="3083" width="4" style="2642" customWidth="1"/>
    <col min="3084" max="3084" width="5.125" style="2642" customWidth="1"/>
    <col min="3085" max="3085" width="13.75" style="2642" customWidth="1"/>
    <col min="3086" max="3328" width="9" style="2642"/>
    <col min="3329" max="3329" width="4.875" style="2642" customWidth="1"/>
    <col min="3330" max="3330" width="13.25" style="2642" customWidth="1"/>
    <col min="3331" max="3331" width="15.625" style="2642" customWidth="1"/>
    <col min="3332" max="3332" width="9.375" style="2642" bestFit="1" customWidth="1"/>
    <col min="3333" max="3333" width="13.5" style="2642" customWidth="1"/>
    <col min="3334" max="3334" width="9" style="2642"/>
    <col min="3335" max="3335" width="9.375" style="2642" bestFit="1" customWidth="1"/>
    <col min="3336" max="3337" width="9" style="2642"/>
    <col min="3338" max="3338" width="9.375" style="2642" bestFit="1" customWidth="1"/>
    <col min="3339" max="3339" width="4" style="2642" customWidth="1"/>
    <col min="3340" max="3340" width="5.125" style="2642" customWidth="1"/>
    <col min="3341" max="3341" width="13.75" style="2642" customWidth="1"/>
    <col min="3342" max="3584" width="9" style="2642"/>
    <col min="3585" max="3585" width="4.875" style="2642" customWidth="1"/>
    <col min="3586" max="3586" width="13.25" style="2642" customWidth="1"/>
    <col min="3587" max="3587" width="15.625" style="2642" customWidth="1"/>
    <col min="3588" max="3588" width="9.375" style="2642" bestFit="1" customWidth="1"/>
    <col min="3589" max="3589" width="13.5" style="2642" customWidth="1"/>
    <col min="3590" max="3590" width="9" style="2642"/>
    <col min="3591" max="3591" width="9.375" style="2642" bestFit="1" customWidth="1"/>
    <col min="3592" max="3593" width="9" style="2642"/>
    <col min="3594" max="3594" width="9.375" style="2642" bestFit="1" customWidth="1"/>
    <col min="3595" max="3595" width="4" style="2642" customWidth="1"/>
    <col min="3596" max="3596" width="5.125" style="2642" customWidth="1"/>
    <col min="3597" max="3597" width="13.75" style="2642" customWidth="1"/>
    <col min="3598" max="3840" width="9" style="2642"/>
    <col min="3841" max="3841" width="4.875" style="2642" customWidth="1"/>
    <col min="3842" max="3842" width="13.25" style="2642" customWidth="1"/>
    <col min="3843" max="3843" width="15.625" style="2642" customWidth="1"/>
    <col min="3844" max="3844" width="9.375" style="2642" bestFit="1" customWidth="1"/>
    <col min="3845" max="3845" width="13.5" style="2642" customWidth="1"/>
    <col min="3846" max="3846" width="9" style="2642"/>
    <col min="3847" max="3847" width="9.375" style="2642" bestFit="1" customWidth="1"/>
    <col min="3848" max="3849" width="9" style="2642"/>
    <col min="3850" max="3850" width="9.375" style="2642" bestFit="1" customWidth="1"/>
    <col min="3851" max="3851" width="4" style="2642" customWidth="1"/>
    <col min="3852" max="3852" width="5.125" style="2642" customWidth="1"/>
    <col min="3853" max="3853" width="13.75" style="2642" customWidth="1"/>
    <col min="3854" max="4096" width="9" style="2642"/>
    <col min="4097" max="4097" width="4.875" style="2642" customWidth="1"/>
    <col min="4098" max="4098" width="13.25" style="2642" customWidth="1"/>
    <col min="4099" max="4099" width="15.625" style="2642" customWidth="1"/>
    <col min="4100" max="4100" width="9.375" style="2642" bestFit="1" customWidth="1"/>
    <col min="4101" max="4101" width="13.5" style="2642" customWidth="1"/>
    <col min="4102" max="4102" width="9" style="2642"/>
    <col min="4103" max="4103" width="9.375" style="2642" bestFit="1" customWidth="1"/>
    <col min="4104" max="4105" width="9" style="2642"/>
    <col min="4106" max="4106" width="9.375" style="2642" bestFit="1" customWidth="1"/>
    <col min="4107" max="4107" width="4" style="2642" customWidth="1"/>
    <col min="4108" max="4108" width="5.125" style="2642" customWidth="1"/>
    <col min="4109" max="4109" width="13.75" style="2642" customWidth="1"/>
    <col min="4110" max="4352" width="9" style="2642"/>
    <col min="4353" max="4353" width="4.875" style="2642" customWidth="1"/>
    <col min="4354" max="4354" width="13.25" style="2642" customWidth="1"/>
    <col min="4355" max="4355" width="15.625" style="2642" customWidth="1"/>
    <col min="4356" max="4356" width="9.375" style="2642" bestFit="1" customWidth="1"/>
    <col min="4357" max="4357" width="13.5" style="2642" customWidth="1"/>
    <col min="4358" max="4358" width="9" style="2642"/>
    <col min="4359" max="4359" width="9.375" style="2642" bestFit="1" customWidth="1"/>
    <col min="4360" max="4361" width="9" style="2642"/>
    <col min="4362" max="4362" width="9.375" style="2642" bestFit="1" customWidth="1"/>
    <col min="4363" max="4363" width="4" style="2642" customWidth="1"/>
    <col min="4364" max="4364" width="5.125" style="2642" customWidth="1"/>
    <col min="4365" max="4365" width="13.75" style="2642" customWidth="1"/>
    <col min="4366" max="4608" width="9" style="2642"/>
    <col min="4609" max="4609" width="4.875" style="2642" customWidth="1"/>
    <col min="4610" max="4610" width="13.25" style="2642" customWidth="1"/>
    <col min="4611" max="4611" width="15.625" style="2642" customWidth="1"/>
    <col min="4612" max="4612" width="9.375" style="2642" bestFit="1" customWidth="1"/>
    <col min="4613" max="4613" width="13.5" style="2642" customWidth="1"/>
    <col min="4614" max="4614" width="9" style="2642"/>
    <col min="4615" max="4615" width="9.375" style="2642" bestFit="1" customWidth="1"/>
    <col min="4616" max="4617" width="9" style="2642"/>
    <col min="4618" max="4618" width="9.375" style="2642" bestFit="1" customWidth="1"/>
    <col min="4619" max="4619" width="4" style="2642" customWidth="1"/>
    <col min="4620" max="4620" width="5.125" style="2642" customWidth="1"/>
    <col min="4621" max="4621" width="13.75" style="2642" customWidth="1"/>
    <col min="4622" max="4864" width="9" style="2642"/>
    <col min="4865" max="4865" width="4.875" style="2642" customWidth="1"/>
    <col min="4866" max="4866" width="13.25" style="2642" customWidth="1"/>
    <col min="4867" max="4867" width="15.625" style="2642" customWidth="1"/>
    <col min="4868" max="4868" width="9.375" style="2642" bestFit="1" customWidth="1"/>
    <col min="4869" max="4869" width="13.5" style="2642" customWidth="1"/>
    <col min="4870" max="4870" width="9" style="2642"/>
    <col min="4871" max="4871" width="9.375" style="2642" bestFit="1" customWidth="1"/>
    <col min="4872" max="4873" width="9" style="2642"/>
    <col min="4874" max="4874" width="9.375" style="2642" bestFit="1" customWidth="1"/>
    <col min="4875" max="4875" width="4" style="2642" customWidth="1"/>
    <col min="4876" max="4876" width="5.125" style="2642" customWidth="1"/>
    <col min="4877" max="4877" width="13.75" style="2642" customWidth="1"/>
    <col min="4878" max="5120" width="9" style="2642"/>
    <col min="5121" max="5121" width="4.875" style="2642" customWidth="1"/>
    <col min="5122" max="5122" width="13.25" style="2642" customWidth="1"/>
    <col min="5123" max="5123" width="15.625" style="2642" customWidth="1"/>
    <col min="5124" max="5124" width="9.375" style="2642" bestFit="1" customWidth="1"/>
    <col min="5125" max="5125" width="13.5" style="2642" customWidth="1"/>
    <col min="5126" max="5126" width="9" style="2642"/>
    <col min="5127" max="5127" width="9.375" style="2642" bestFit="1" customWidth="1"/>
    <col min="5128" max="5129" width="9" style="2642"/>
    <col min="5130" max="5130" width="9.375" style="2642" bestFit="1" customWidth="1"/>
    <col min="5131" max="5131" width="4" style="2642" customWidth="1"/>
    <col min="5132" max="5132" width="5.125" style="2642" customWidth="1"/>
    <col min="5133" max="5133" width="13.75" style="2642" customWidth="1"/>
    <col min="5134" max="5376" width="9" style="2642"/>
    <col min="5377" max="5377" width="4.875" style="2642" customWidth="1"/>
    <col min="5378" max="5378" width="13.25" style="2642" customWidth="1"/>
    <col min="5379" max="5379" width="15.625" style="2642" customWidth="1"/>
    <col min="5380" max="5380" width="9.375" style="2642" bestFit="1" customWidth="1"/>
    <col min="5381" max="5381" width="13.5" style="2642" customWidth="1"/>
    <col min="5382" max="5382" width="9" style="2642"/>
    <col min="5383" max="5383" width="9.375" style="2642" bestFit="1" customWidth="1"/>
    <col min="5384" max="5385" width="9" style="2642"/>
    <col min="5386" max="5386" width="9.375" style="2642" bestFit="1" customWidth="1"/>
    <col min="5387" max="5387" width="4" style="2642" customWidth="1"/>
    <col min="5388" max="5388" width="5.125" style="2642" customWidth="1"/>
    <col min="5389" max="5389" width="13.75" style="2642" customWidth="1"/>
    <col min="5390" max="5632" width="9" style="2642"/>
    <col min="5633" max="5633" width="4.875" style="2642" customWidth="1"/>
    <col min="5634" max="5634" width="13.25" style="2642" customWidth="1"/>
    <col min="5635" max="5635" width="15.625" style="2642" customWidth="1"/>
    <col min="5636" max="5636" width="9.375" style="2642" bestFit="1" customWidth="1"/>
    <col min="5637" max="5637" width="13.5" style="2642" customWidth="1"/>
    <col min="5638" max="5638" width="9" style="2642"/>
    <col min="5639" max="5639" width="9.375" style="2642" bestFit="1" customWidth="1"/>
    <col min="5640" max="5641" width="9" style="2642"/>
    <col min="5642" max="5642" width="9.375" style="2642" bestFit="1" customWidth="1"/>
    <col min="5643" max="5643" width="4" style="2642" customWidth="1"/>
    <col min="5644" max="5644" width="5.125" style="2642" customWidth="1"/>
    <col min="5645" max="5645" width="13.75" style="2642" customWidth="1"/>
    <col min="5646" max="5888" width="9" style="2642"/>
    <col min="5889" max="5889" width="4.875" style="2642" customWidth="1"/>
    <col min="5890" max="5890" width="13.25" style="2642" customWidth="1"/>
    <col min="5891" max="5891" width="15.625" style="2642" customWidth="1"/>
    <col min="5892" max="5892" width="9.375" style="2642" bestFit="1" customWidth="1"/>
    <col min="5893" max="5893" width="13.5" style="2642" customWidth="1"/>
    <col min="5894" max="5894" width="9" style="2642"/>
    <col min="5895" max="5895" width="9.375" style="2642" bestFit="1" customWidth="1"/>
    <col min="5896" max="5897" width="9" style="2642"/>
    <col min="5898" max="5898" width="9.375" style="2642" bestFit="1" customWidth="1"/>
    <col min="5899" max="5899" width="4" style="2642" customWidth="1"/>
    <col min="5900" max="5900" width="5.125" style="2642" customWidth="1"/>
    <col min="5901" max="5901" width="13.75" style="2642" customWidth="1"/>
    <col min="5902" max="6144" width="9" style="2642"/>
    <col min="6145" max="6145" width="4.875" style="2642" customWidth="1"/>
    <col min="6146" max="6146" width="13.25" style="2642" customWidth="1"/>
    <col min="6147" max="6147" width="15.625" style="2642" customWidth="1"/>
    <col min="6148" max="6148" width="9.375" style="2642" bestFit="1" customWidth="1"/>
    <col min="6149" max="6149" width="13.5" style="2642" customWidth="1"/>
    <col min="6150" max="6150" width="9" style="2642"/>
    <col min="6151" max="6151" width="9.375" style="2642" bestFit="1" customWidth="1"/>
    <col min="6152" max="6153" width="9" style="2642"/>
    <col min="6154" max="6154" width="9.375" style="2642" bestFit="1" customWidth="1"/>
    <col min="6155" max="6155" width="4" style="2642" customWidth="1"/>
    <col min="6156" max="6156" width="5.125" style="2642" customWidth="1"/>
    <col min="6157" max="6157" width="13.75" style="2642" customWidth="1"/>
    <col min="6158" max="6400" width="9" style="2642"/>
    <col min="6401" max="6401" width="4.875" style="2642" customWidth="1"/>
    <col min="6402" max="6402" width="13.25" style="2642" customWidth="1"/>
    <col min="6403" max="6403" width="15.625" style="2642" customWidth="1"/>
    <col min="6404" max="6404" width="9.375" style="2642" bestFit="1" customWidth="1"/>
    <col min="6405" max="6405" width="13.5" style="2642" customWidth="1"/>
    <col min="6406" max="6406" width="9" style="2642"/>
    <col min="6407" max="6407" width="9.375" style="2642" bestFit="1" customWidth="1"/>
    <col min="6408" max="6409" width="9" style="2642"/>
    <col min="6410" max="6410" width="9.375" style="2642" bestFit="1" customWidth="1"/>
    <col min="6411" max="6411" width="4" style="2642" customWidth="1"/>
    <col min="6412" max="6412" width="5.125" style="2642" customWidth="1"/>
    <col min="6413" max="6413" width="13.75" style="2642" customWidth="1"/>
    <col min="6414" max="6656" width="9" style="2642"/>
    <col min="6657" max="6657" width="4.875" style="2642" customWidth="1"/>
    <col min="6658" max="6658" width="13.25" style="2642" customWidth="1"/>
    <col min="6659" max="6659" width="15.625" style="2642" customWidth="1"/>
    <col min="6660" max="6660" width="9.375" style="2642" bestFit="1" customWidth="1"/>
    <col min="6661" max="6661" width="13.5" style="2642" customWidth="1"/>
    <col min="6662" max="6662" width="9" style="2642"/>
    <col min="6663" max="6663" width="9.375" style="2642" bestFit="1" customWidth="1"/>
    <col min="6664" max="6665" width="9" style="2642"/>
    <col min="6666" max="6666" width="9.375" style="2642" bestFit="1" customWidth="1"/>
    <col min="6667" max="6667" width="4" style="2642" customWidth="1"/>
    <col min="6668" max="6668" width="5.125" style="2642" customWidth="1"/>
    <col min="6669" max="6669" width="13.75" style="2642" customWidth="1"/>
    <col min="6670" max="6912" width="9" style="2642"/>
    <col min="6913" max="6913" width="4.875" style="2642" customWidth="1"/>
    <col min="6914" max="6914" width="13.25" style="2642" customWidth="1"/>
    <col min="6915" max="6915" width="15.625" style="2642" customWidth="1"/>
    <col min="6916" max="6916" width="9.375" style="2642" bestFit="1" customWidth="1"/>
    <col min="6917" max="6917" width="13.5" style="2642" customWidth="1"/>
    <col min="6918" max="6918" width="9" style="2642"/>
    <col min="6919" max="6919" width="9.375" style="2642" bestFit="1" customWidth="1"/>
    <col min="6920" max="6921" width="9" style="2642"/>
    <col min="6922" max="6922" width="9.375" style="2642" bestFit="1" customWidth="1"/>
    <col min="6923" max="6923" width="4" style="2642" customWidth="1"/>
    <col min="6924" max="6924" width="5.125" style="2642" customWidth="1"/>
    <col min="6925" max="6925" width="13.75" style="2642" customWidth="1"/>
    <col min="6926" max="7168" width="9" style="2642"/>
    <col min="7169" max="7169" width="4.875" style="2642" customWidth="1"/>
    <col min="7170" max="7170" width="13.25" style="2642" customWidth="1"/>
    <col min="7171" max="7171" width="15.625" style="2642" customWidth="1"/>
    <col min="7172" max="7172" width="9.375" style="2642" bestFit="1" customWidth="1"/>
    <col min="7173" max="7173" width="13.5" style="2642" customWidth="1"/>
    <col min="7174" max="7174" width="9" style="2642"/>
    <col min="7175" max="7175" width="9.375" style="2642" bestFit="1" customWidth="1"/>
    <col min="7176" max="7177" width="9" style="2642"/>
    <col min="7178" max="7178" width="9.375" style="2642" bestFit="1" customWidth="1"/>
    <col min="7179" max="7179" width="4" style="2642" customWidth="1"/>
    <col min="7180" max="7180" width="5.125" style="2642" customWidth="1"/>
    <col min="7181" max="7181" width="13.75" style="2642" customWidth="1"/>
    <col min="7182" max="7424" width="9" style="2642"/>
    <col min="7425" max="7425" width="4.875" style="2642" customWidth="1"/>
    <col min="7426" max="7426" width="13.25" style="2642" customWidth="1"/>
    <col min="7427" max="7427" width="15.625" style="2642" customWidth="1"/>
    <col min="7428" max="7428" width="9.375" style="2642" bestFit="1" customWidth="1"/>
    <col min="7429" max="7429" width="13.5" style="2642" customWidth="1"/>
    <col min="7430" max="7430" width="9" style="2642"/>
    <col min="7431" max="7431" width="9.375" style="2642" bestFit="1" customWidth="1"/>
    <col min="7432" max="7433" width="9" style="2642"/>
    <col min="7434" max="7434" width="9.375" style="2642" bestFit="1" customWidth="1"/>
    <col min="7435" max="7435" width="4" style="2642" customWidth="1"/>
    <col min="7436" max="7436" width="5.125" style="2642" customWidth="1"/>
    <col min="7437" max="7437" width="13.75" style="2642" customWidth="1"/>
    <col min="7438" max="7680" width="9" style="2642"/>
    <col min="7681" max="7681" width="4.875" style="2642" customWidth="1"/>
    <col min="7682" max="7682" width="13.25" style="2642" customWidth="1"/>
    <col min="7683" max="7683" width="15.625" style="2642" customWidth="1"/>
    <col min="7684" max="7684" width="9.375" style="2642" bestFit="1" customWidth="1"/>
    <col min="7685" max="7685" width="13.5" style="2642" customWidth="1"/>
    <col min="7686" max="7686" width="9" style="2642"/>
    <col min="7687" max="7687" width="9.375" style="2642" bestFit="1" customWidth="1"/>
    <col min="7688" max="7689" width="9" style="2642"/>
    <col min="7690" max="7690" width="9.375" style="2642" bestFit="1" customWidth="1"/>
    <col min="7691" max="7691" width="4" style="2642" customWidth="1"/>
    <col min="7692" max="7692" width="5.125" style="2642" customWidth="1"/>
    <col min="7693" max="7693" width="13.75" style="2642" customWidth="1"/>
    <col min="7694" max="7936" width="9" style="2642"/>
    <col min="7937" max="7937" width="4.875" style="2642" customWidth="1"/>
    <col min="7938" max="7938" width="13.25" style="2642" customWidth="1"/>
    <col min="7939" max="7939" width="15.625" style="2642" customWidth="1"/>
    <col min="7940" max="7940" width="9.375" style="2642" bestFit="1" customWidth="1"/>
    <col min="7941" max="7941" width="13.5" style="2642" customWidth="1"/>
    <col min="7942" max="7942" width="9" style="2642"/>
    <col min="7943" max="7943" width="9.375" style="2642" bestFit="1" customWidth="1"/>
    <col min="7944" max="7945" width="9" style="2642"/>
    <col min="7946" max="7946" width="9.375" style="2642" bestFit="1" customWidth="1"/>
    <col min="7947" max="7947" width="4" style="2642" customWidth="1"/>
    <col min="7948" max="7948" width="5.125" style="2642" customWidth="1"/>
    <col min="7949" max="7949" width="13.75" style="2642" customWidth="1"/>
    <col min="7950" max="8192" width="9" style="2642"/>
    <col min="8193" max="8193" width="4.875" style="2642" customWidth="1"/>
    <col min="8194" max="8194" width="13.25" style="2642" customWidth="1"/>
    <col min="8195" max="8195" width="15.625" style="2642" customWidth="1"/>
    <col min="8196" max="8196" width="9.375" style="2642" bestFit="1" customWidth="1"/>
    <col min="8197" max="8197" width="13.5" style="2642" customWidth="1"/>
    <col min="8198" max="8198" width="9" style="2642"/>
    <col min="8199" max="8199" width="9.375" style="2642" bestFit="1" customWidth="1"/>
    <col min="8200" max="8201" width="9" style="2642"/>
    <col min="8202" max="8202" width="9.375" style="2642" bestFit="1" customWidth="1"/>
    <col min="8203" max="8203" width="4" style="2642" customWidth="1"/>
    <col min="8204" max="8204" width="5.125" style="2642" customWidth="1"/>
    <col min="8205" max="8205" width="13.75" style="2642" customWidth="1"/>
    <col min="8206" max="8448" width="9" style="2642"/>
    <col min="8449" max="8449" width="4.875" style="2642" customWidth="1"/>
    <col min="8450" max="8450" width="13.25" style="2642" customWidth="1"/>
    <col min="8451" max="8451" width="15.625" style="2642" customWidth="1"/>
    <col min="8452" max="8452" width="9.375" style="2642" bestFit="1" customWidth="1"/>
    <col min="8453" max="8453" width="13.5" style="2642" customWidth="1"/>
    <col min="8454" max="8454" width="9" style="2642"/>
    <col min="8455" max="8455" width="9.375" style="2642" bestFit="1" customWidth="1"/>
    <col min="8456" max="8457" width="9" style="2642"/>
    <col min="8458" max="8458" width="9.375" style="2642" bestFit="1" customWidth="1"/>
    <col min="8459" max="8459" width="4" style="2642" customWidth="1"/>
    <col min="8460" max="8460" width="5.125" style="2642" customWidth="1"/>
    <col min="8461" max="8461" width="13.75" style="2642" customWidth="1"/>
    <col min="8462" max="8704" width="9" style="2642"/>
    <col min="8705" max="8705" width="4.875" style="2642" customWidth="1"/>
    <col min="8706" max="8706" width="13.25" style="2642" customWidth="1"/>
    <col min="8707" max="8707" width="15.625" style="2642" customWidth="1"/>
    <col min="8708" max="8708" width="9.375" style="2642" bestFit="1" customWidth="1"/>
    <col min="8709" max="8709" width="13.5" style="2642" customWidth="1"/>
    <col min="8710" max="8710" width="9" style="2642"/>
    <col min="8711" max="8711" width="9.375" style="2642" bestFit="1" customWidth="1"/>
    <col min="8712" max="8713" width="9" style="2642"/>
    <col min="8714" max="8714" width="9.375" style="2642" bestFit="1" customWidth="1"/>
    <col min="8715" max="8715" width="4" style="2642" customWidth="1"/>
    <col min="8716" max="8716" width="5.125" style="2642" customWidth="1"/>
    <col min="8717" max="8717" width="13.75" style="2642" customWidth="1"/>
    <col min="8718" max="8960" width="9" style="2642"/>
    <col min="8961" max="8961" width="4.875" style="2642" customWidth="1"/>
    <col min="8962" max="8962" width="13.25" style="2642" customWidth="1"/>
    <col min="8963" max="8963" width="15.625" style="2642" customWidth="1"/>
    <col min="8964" max="8964" width="9.375" style="2642" bestFit="1" customWidth="1"/>
    <col min="8965" max="8965" width="13.5" style="2642" customWidth="1"/>
    <col min="8966" max="8966" width="9" style="2642"/>
    <col min="8967" max="8967" width="9.375" style="2642" bestFit="1" customWidth="1"/>
    <col min="8968" max="8969" width="9" style="2642"/>
    <col min="8970" max="8970" width="9.375" style="2642" bestFit="1" customWidth="1"/>
    <col min="8971" max="8971" width="4" style="2642" customWidth="1"/>
    <col min="8972" max="8972" width="5.125" style="2642" customWidth="1"/>
    <col min="8973" max="8973" width="13.75" style="2642" customWidth="1"/>
    <col min="8974" max="9216" width="9" style="2642"/>
    <col min="9217" max="9217" width="4.875" style="2642" customWidth="1"/>
    <col min="9218" max="9218" width="13.25" style="2642" customWidth="1"/>
    <col min="9219" max="9219" width="15.625" style="2642" customWidth="1"/>
    <col min="9220" max="9220" width="9.375" style="2642" bestFit="1" customWidth="1"/>
    <col min="9221" max="9221" width="13.5" style="2642" customWidth="1"/>
    <col min="9222" max="9222" width="9" style="2642"/>
    <col min="9223" max="9223" width="9.375" style="2642" bestFit="1" customWidth="1"/>
    <col min="9224" max="9225" width="9" style="2642"/>
    <col min="9226" max="9226" width="9.375" style="2642" bestFit="1" customWidth="1"/>
    <col min="9227" max="9227" width="4" style="2642" customWidth="1"/>
    <col min="9228" max="9228" width="5.125" style="2642" customWidth="1"/>
    <col min="9229" max="9229" width="13.75" style="2642" customWidth="1"/>
    <col min="9230" max="9472" width="9" style="2642"/>
    <col min="9473" max="9473" width="4.875" style="2642" customWidth="1"/>
    <col min="9474" max="9474" width="13.25" style="2642" customWidth="1"/>
    <col min="9475" max="9475" width="15.625" style="2642" customWidth="1"/>
    <col min="9476" max="9476" width="9.375" style="2642" bestFit="1" customWidth="1"/>
    <col min="9477" max="9477" width="13.5" style="2642" customWidth="1"/>
    <col min="9478" max="9478" width="9" style="2642"/>
    <col min="9479" max="9479" width="9.375" style="2642" bestFit="1" customWidth="1"/>
    <col min="9480" max="9481" width="9" style="2642"/>
    <col min="9482" max="9482" width="9.375" style="2642" bestFit="1" customWidth="1"/>
    <col min="9483" max="9483" width="4" style="2642" customWidth="1"/>
    <col min="9484" max="9484" width="5.125" style="2642" customWidth="1"/>
    <col min="9485" max="9485" width="13.75" style="2642" customWidth="1"/>
    <col min="9486" max="9728" width="9" style="2642"/>
    <col min="9729" max="9729" width="4.875" style="2642" customWidth="1"/>
    <col min="9730" max="9730" width="13.25" style="2642" customWidth="1"/>
    <col min="9731" max="9731" width="15.625" style="2642" customWidth="1"/>
    <col min="9732" max="9732" width="9.375" style="2642" bestFit="1" customWidth="1"/>
    <col min="9733" max="9733" width="13.5" style="2642" customWidth="1"/>
    <col min="9734" max="9734" width="9" style="2642"/>
    <col min="9735" max="9735" width="9.375" style="2642" bestFit="1" customWidth="1"/>
    <col min="9736" max="9737" width="9" style="2642"/>
    <col min="9738" max="9738" width="9.375" style="2642" bestFit="1" customWidth="1"/>
    <col min="9739" max="9739" width="4" style="2642" customWidth="1"/>
    <col min="9740" max="9740" width="5.125" style="2642" customWidth="1"/>
    <col min="9741" max="9741" width="13.75" style="2642" customWidth="1"/>
    <col min="9742" max="9984" width="9" style="2642"/>
    <col min="9985" max="9985" width="4.875" style="2642" customWidth="1"/>
    <col min="9986" max="9986" width="13.25" style="2642" customWidth="1"/>
    <col min="9987" max="9987" width="15.625" style="2642" customWidth="1"/>
    <col min="9988" max="9988" width="9.375" style="2642" bestFit="1" customWidth="1"/>
    <col min="9989" max="9989" width="13.5" style="2642" customWidth="1"/>
    <col min="9990" max="9990" width="9" style="2642"/>
    <col min="9991" max="9991" width="9.375" style="2642" bestFit="1" customWidth="1"/>
    <col min="9992" max="9993" width="9" style="2642"/>
    <col min="9994" max="9994" width="9.375" style="2642" bestFit="1" customWidth="1"/>
    <col min="9995" max="9995" width="4" style="2642" customWidth="1"/>
    <col min="9996" max="9996" width="5.125" style="2642" customWidth="1"/>
    <col min="9997" max="9997" width="13.75" style="2642" customWidth="1"/>
    <col min="9998" max="10240" width="9" style="2642"/>
    <col min="10241" max="10241" width="4.875" style="2642" customWidth="1"/>
    <col min="10242" max="10242" width="13.25" style="2642" customWidth="1"/>
    <col min="10243" max="10243" width="15.625" style="2642" customWidth="1"/>
    <col min="10244" max="10244" width="9.375" style="2642" bestFit="1" customWidth="1"/>
    <col min="10245" max="10245" width="13.5" style="2642" customWidth="1"/>
    <col min="10246" max="10246" width="9" style="2642"/>
    <col min="10247" max="10247" width="9.375" style="2642" bestFit="1" customWidth="1"/>
    <col min="10248" max="10249" width="9" style="2642"/>
    <col min="10250" max="10250" width="9.375" style="2642" bestFit="1" customWidth="1"/>
    <col min="10251" max="10251" width="4" style="2642" customWidth="1"/>
    <col min="10252" max="10252" width="5.125" style="2642" customWidth="1"/>
    <col min="10253" max="10253" width="13.75" style="2642" customWidth="1"/>
    <col min="10254" max="10496" width="9" style="2642"/>
    <col min="10497" max="10497" width="4.875" style="2642" customWidth="1"/>
    <col min="10498" max="10498" width="13.25" style="2642" customWidth="1"/>
    <col min="10499" max="10499" width="15.625" style="2642" customWidth="1"/>
    <col min="10500" max="10500" width="9.375" style="2642" bestFit="1" customWidth="1"/>
    <col min="10501" max="10501" width="13.5" style="2642" customWidth="1"/>
    <col min="10502" max="10502" width="9" style="2642"/>
    <col min="10503" max="10503" width="9.375" style="2642" bestFit="1" customWidth="1"/>
    <col min="10504" max="10505" width="9" style="2642"/>
    <col min="10506" max="10506" width="9.375" style="2642" bestFit="1" customWidth="1"/>
    <col min="10507" max="10507" width="4" style="2642" customWidth="1"/>
    <col min="10508" max="10508" width="5.125" style="2642" customWidth="1"/>
    <col min="10509" max="10509" width="13.75" style="2642" customWidth="1"/>
    <col min="10510" max="10752" width="9" style="2642"/>
    <col min="10753" max="10753" width="4.875" style="2642" customWidth="1"/>
    <col min="10754" max="10754" width="13.25" style="2642" customWidth="1"/>
    <col min="10755" max="10755" width="15.625" style="2642" customWidth="1"/>
    <col min="10756" max="10756" width="9.375" style="2642" bestFit="1" customWidth="1"/>
    <col min="10757" max="10757" width="13.5" style="2642" customWidth="1"/>
    <col min="10758" max="10758" width="9" style="2642"/>
    <col min="10759" max="10759" width="9.375" style="2642" bestFit="1" customWidth="1"/>
    <col min="10760" max="10761" width="9" style="2642"/>
    <col min="10762" max="10762" width="9.375" style="2642" bestFit="1" customWidth="1"/>
    <col min="10763" max="10763" width="4" style="2642" customWidth="1"/>
    <col min="10764" max="10764" width="5.125" style="2642" customWidth="1"/>
    <col min="10765" max="10765" width="13.75" style="2642" customWidth="1"/>
    <col min="10766" max="11008" width="9" style="2642"/>
    <col min="11009" max="11009" width="4.875" style="2642" customWidth="1"/>
    <col min="11010" max="11010" width="13.25" style="2642" customWidth="1"/>
    <col min="11011" max="11011" width="15.625" style="2642" customWidth="1"/>
    <col min="11012" max="11012" width="9.375" style="2642" bestFit="1" customWidth="1"/>
    <col min="11013" max="11013" width="13.5" style="2642" customWidth="1"/>
    <col min="11014" max="11014" width="9" style="2642"/>
    <col min="11015" max="11015" width="9.375" style="2642" bestFit="1" customWidth="1"/>
    <col min="11016" max="11017" width="9" style="2642"/>
    <col min="11018" max="11018" width="9.375" style="2642" bestFit="1" customWidth="1"/>
    <col min="11019" max="11019" width="4" style="2642" customWidth="1"/>
    <col min="11020" max="11020" width="5.125" style="2642" customWidth="1"/>
    <col min="11021" max="11021" width="13.75" style="2642" customWidth="1"/>
    <col min="11022" max="11264" width="9" style="2642"/>
    <col min="11265" max="11265" width="4.875" style="2642" customWidth="1"/>
    <col min="11266" max="11266" width="13.25" style="2642" customWidth="1"/>
    <col min="11267" max="11267" width="15.625" style="2642" customWidth="1"/>
    <col min="11268" max="11268" width="9.375" style="2642" bestFit="1" customWidth="1"/>
    <col min="11269" max="11269" width="13.5" style="2642" customWidth="1"/>
    <col min="11270" max="11270" width="9" style="2642"/>
    <col min="11271" max="11271" width="9.375" style="2642" bestFit="1" customWidth="1"/>
    <col min="11272" max="11273" width="9" style="2642"/>
    <col min="11274" max="11274" width="9.375" style="2642" bestFit="1" customWidth="1"/>
    <col min="11275" max="11275" width="4" style="2642" customWidth="1"/>
    <col min="11276" max="11276" width="5.125" style="2642" customWidth="1"/>
    <col min="11277" max="11277" width="13.75" style="2642" customWidth="1"/>
    <col min="11278" max="11520" width="9" style="2642"/>
    <col min="11521" max="11521" width="4.875" style="2642" customWidth="1"/>
    <col min="11522" max="11522" width="13.25" style="2642" customWidth="1"/>
    <col min="11523" max="11523" width="15.625" style="2642" customWidth="1"/>
    <col min="11524" max="11524" width="9.375" style="2642" bestFit="1" customWidth="1"/>
    <col min="11525" max="11525" width="13.5" style="2642" customWidth="1"/>
    <col min="11526" max="11526" width="9" style="2642"/>
    <col min="11527" max="11527" width="9.375" style="2642" bestFit="1" customWidth="1"/>
    <col min="11528" max="11529" width="9" style="2642"/>
    <col min="11530" max="11530" width="9.375" style="2642" bestFit="1" customWidth="1"/>
    <col min="11531" max="11531" width="4" style="2642" customWidth="1"/>
    <col min="11532" max="11532" width="5.125" style="2642" customWidth="1"/>
    <col min="11533" max="11533" width="13.75" style="2642" customWidth="1"/>
    <col min="11534" max="11776" width="9" style="2642"/>
    <col min="11777" max="11777" width="4.875" style="2642" customWidth="1"/>
    <col min="11778" max="11778" width="13.25" style="2642" customWidth="1"/>
    <col min="11779" max="11779" width="15.625" style="2642" customWidth="1"/>
    <col min="11780" max="11780" width="9.375" style="2642" bestFit="1" customWidth="1"/>
    <col min="11781" max="11781" width="13.5" style="2642" customWidth="1"/>
    <col min="11782" max="11782" width="9" style="2642"/>
    <col min="11783" max="11783" width="9.375" style="2642" bestFit="1" customWidth="1"/>
    <col min="11784" max="11785" width="9" style="2642"/>
    <col min="11786" max="11786" width="9.375" style="2642" bestFit="1" customWidth="1"/>
    <col min="11787" max="11787" width="4" style="2642" customWidth="1"/>
    <col min="11788" max="11788" width="5.125" style="2642" customWidth="1"/>
    <col min="11789" max="11789" width="13.75" style="2642" customWidth="1"/>
    <col min="11790" max="12032" width="9" style="2642"/>
    <col min="12033" max="12033" width="4.875" style="2642" customWidth="1"/>
    <col min="12034" max="12034" width="13.25" style="2642" customWidth="1"/>
    <col min="12035" max="12035" width="15.625" style="2642" customWidth="1"/>
    <col min="12036" max="12036" width="9.375" style="2642" bestFit="1" customWidth="1"/>
    <col min="12037" max="12037" width="13.5" style="2642" customWidth="1"/>
    <col min="12038" max="12038" width="9" style="2642"/>
    <col min="12039" max="12039" width="9.375" style="2642" bestFit="1" customWidth="1"/>
    <col min="12040" max="12041" width="9" style="2642"/>
    <col min="12042" max="12042" width="9.375" style="2642" bestFit="1" customWidth="1"/>
    <col min="12043" max="12043" width="4" style="2642" customWidth="1"/>
    <col min="12044" max="12044" width="5.125" style="2642" customWidth="1"/>
    <col min="12045" max="12045" width="13.75" style="2642" customWidth="1"/>
    <col min="12046" max="12288" width="9" style="2642"/>
    <col min="12289" max="12289" width="4.875" style="2642" customWidth="1"/>
    <col min="12290" max="12290" width="13.25" style="2642" customWidth="1"/>
    <col min="12291" max="12291" width="15.625" style="2642" customWidth="1"/>
    <col min="12292" max="12292" width="9.375" style="2642" bestFit="1" customWidth="1"/>
    <col min="12293" max="12293" width="13.5" style="2642" customWidth="1"/>
    <col min="12294" max="12294" width="9" style="2642"/>
    <col min="12295" max="12295" width="9.375" style="2642" bestFit="1" customWidth="1"/>
    <col min="12296" max="12297" width="9" style="2642"/>
    <col min="12298" max="12298" width="9.375" style="2642" bestFit="1" customWidth="1"/>
    <col min="12299" max="12299" width="4" style="2642" customWidth="1"/>
    <col min="12300" max="12300" width="5.125" style="2642" customWidth="1"/>
    <col min="12301" max="12301" width="13.75" style="2642" customWidth="1"/>
    <col min="12302" max="12544" width="9" style="2642"/>
    <col min="12545" max="12545" width="4.875" style="2642" customWidth="1"/>
    <col min="12546" max="12546" width="13.25" style="2642" customWidth="1"/>
    <col min="12547" max="12547" width="15.625" style="2642" customWidth="1"/>
    <col min="12548" max="12548" width="9.375" style="2642" bestFit="1" customWidth="1"/>
    <col min="12549" max="12549" width="13.5" style="2642" customWidth="1"/>
    <col min="12550" max="12550" width="9" style="2642"/>
    <col min="12551" max="12551" width="9.375" style="2642" bestFit="1" customWidth="1"/>
    <col min="12552" max="12553" width="9" style="2642"/>
    <col min="12554" max="12554" width="9.375" style="2642" bestFit="1" customWidth="1"/>
    <col min="12555" max="12555" width="4" style="2642" customWidth="1"/>
    <col min="12556" max="12556" width="5.125" style="2642" customWidth="1"/>
    <col min="12557" max="12557" width="13.75" style="2642" customWidth="1"/>
    <col min="12558" max="12800" width="9" style="2642"/>
    <col min="12801" max="12801" width="4.875" style="2642" customWidth="1"/>
    <col min="12802" max="12802" width="13.25" style="2642" customWidth="1"/>
    <col min="12803" max="12803" width="15.625" style="2642" customWidth="1"/>
    <col min="12804" max="12804" width="9.375" style="2642" bestFit="1" customWidth="1"/>
    <col min="12805" max="12805" width="13.5" style="2642" customWidth="1"/>
    <col min="12806" max="12806" width="9" style="2642"/>
    <col min="12807" max="12807" width="9.375" style="2642" bestFit="1" customWidth="1"/>
    <col min="12808" max="12809" width="9" style="2642"/>
    <col min="12810" max="12810" width="9.375" style="2642" bestFit="1" customWidth="1"/>
    <col min="12811" max="12811" width="4" style="2642" customWidth="1"/>
    <col min="12812" max="12812" width="5.125" style="2642" customWidth="1"/>
    <col min="12813" max="12813" width="13.75" style="2642" customWidth="1"/>
    <col min="12814" max="13056" width="9" style="2642"/>
    <col min="13057" max="13057" width="4.875" style="2642" customWidth="1"/>
    <col min="13058" max="13058" width="13.25" style="2642" customWidth="1"/>
    <col min="13059" max="13059" width="15.625" style="2642" customWidth="1"/>
    <col min="13060" max="13060" width="9.375" style="2642" bestFit="1" customWidth="1"/>
    <col min="13061" max="13061" width="13.5" style="2642" customWidth="1"/>
    <col min="13062" max="13062" width="9" style="2642"/>
    <col min="13063" max="13063" width="9.375" style="2642" bestFit="1" customWidth="1"/>
    <col min="13064" max="13065" width="9" style="2642"/>
    <col min="13066" max="13066" width="9.375" style="2642" bestFit="1" customWidth="1"/>
    <col min="13067" max="13067" width="4" style="2642" customWidth="1"/>
    <col min="13068" max="13068" width="5.125" style="2642" customWidth="1"/>
    <col min="13069" max="13069" width="13.75" style="2642" customWidth="1"/>
    <col min="13070" max="13312" width="9" style="2642"/>
    <col min="13313" max="13313" width="4.875" style="2642" customWidth="1"/>
    <col min="13314" max="13314" width="13.25" style="2642" customWidth="1"/>
    <col min="13315" max="13315" width="15.625" style="2642" customWidth="1"/>
    <col min="13316" max="13316" width="9.375" style="2642" bestFit="1" customWidth="1"/>
    <col min="13317" max="13317" width="13.5" style="2642" customWidth="1"/>
    <col min="13318" max="13318" width="9" style="2642"/>
    <col min="13319" max="13319" width="9.375" style="2642" bestFit="1" customWidth="1"/>
    <col min="13320" max="13321" width="9" style="2642"/>
    <col min="13322" max="13322" width="9.375" style="2642" bestFit="1" customWidth="1"/>
    <col min="13323" max="13323" width="4" style="2642" customWidth="1"/>
    <col min="13324" max="13324" width="5.125" style="2642" customWidth="1"/>
    <col min="13325" max="13325" width="13.75" style="2642" customWidth="1"/>
    <col min="13326" max="13568" width="9" style="2642"/>
    <col min="13569" max="13569" width="4.875" style="2642" customWidth="1"/>
    <col min="13570" max="13570" width="13.25" style="2642" customWidth="1"/>
    <col min="13571" max="13571" width="15.625" style="2642" customWidth="1"/>
    <col min="13572" max="13572" width="9.375" style="2642" bestFit="1" customWidth="1"/>
    <col min="13573" max="13573" width="13.5" style="2642" customWidth="1"/>
    <col min="13574" max="13574" width="9" style="2642"/>
    <col min="13575" max="13575" width="9.375" style="2642" bestFit="1" customWidth="1"/>
    <col min="13576" max="13577" width="9" style="2642"/>
    <col min="13578" max="13578" width="9.375" style="2642" bestFit="1" customWidth="1"/>
    <col min="13579" max="13579" width="4" style="2642" customWidth="1"/>
    <col min="13580" max="13580" width="5.125" style="2642" customWidth="1"/>
    <col min="13581" max="13581" width="13.75" style="2642" customWidth="1"/>
    <col min="13582" max="13824" width="9" style="2642"/>
    <col min="13825" max="13825" width="4.875" style="2642" customWidth="1"/>
    <col min="13826" max="13826" width="13.25" style="2642" customWidth="1"/>
    <col min="13827" max="13827" width="15.625" style="2642" customWidth="1"/>
    <col min="13828" max="13828" width="9.375" style="2642" bestFit="1" customWidth="1"/>
    <col min="13829" max="13829" width="13.5" style="2642" customWidth="1"/>
    <col min="13830" max="13830" width="9" style="2642"/>
    <col min="13831" max="13831" width="9.375" style="2642" bestFit="1" customWidth="1"/>
    <col min="13832" max="13833" width="9" style="2642"/>
    <col min="13834" max="13834" width="9.375" style="2642" bestFit="1" customWidth="1"/>
    <col min="13835" max="13835" width="4" style="2642" customWidth="1"/>
    <col min="13836" max="13836" width="5.125" style="2642" customWidth="1"/>
    <col min="13837" max="13837" width="13.75" style="2642" customWidth="1"/>
    <col min="13838" max="14080" width="9" style="2642"/>
    <col min="14081" max="14081" width="4.875" style="2642" customWidth="1"/>
    <col min="14082" max="14082" width="13.25" style="2642" customWidth="1"/>
    <col min="14083" max="14083" width="15.625" style="2642" customWidth="1"/>
    <col min="14084" max="14084" width="9.375" style="2642" bestFit="1" customWidth="1"/>
    <col min="14085" max="14085" width="13.5" style="2642" customWidth="1"/>
    <col min="14086" max="14086" width="9" style="2642"/>
    <col min="14087" max="14087" width="9.375" style="2642" bestFit="1" customWidth="1"/>
    <col min="14088" max="14089" width="9" style="2642"/>
    <col min="14090" max="14090" width="9.375" style="2642" bestFit="1" customWidth="1"/>
    <col min="14091" max="14091" width="4" style="2642" customWidth="1"/>
    <col min="14092" max="14092" width="5.125" style="2642" customWidth="1"/>
    <col min="14093" max="14093" width="13.75" style="2642" customWidth="1"/>
    <col min="14094" max="14336" width="9" style="2642"/>
    <col min="14337" max="14337" width="4.875" style="2642" customWidth="1"/>
    <col min="14338" max="14338" width="13.25" style="2642" customWidth="1"/>
    <col min="14339" max="14339" width="15.625" style="2642" customWidth="1"/>
    <col min="14340" max="14340" width="9.375" style="2642" bestFit="1" customWidth="1"/>
    <col min="14341" max="14341" width="13.5" style="2642" customWidth="1"/>
    <col min="14342" max="14342" width="9" style="2642"/>
    <col min="14343" max="14343" width="9.375" style="2642" bestFit="1" customWidth="1"/>
    <col min="14344" max="14345" width="9" style="2642"/>
    <col min="14346" max="14346" width="9.375" style="2642" bestFit="1" customWidth="1"/>
    <col min="14347" max="14347" width="4" style="2642" customWidth="1"/>
    <col min="14348" max="14348" width="5.125" style="2642" customWidth="1"/>
    <col min="14349" max="14349" width="13.75" style="2642" customWidth="1"/>
    <col min="14350" max="14592" width="9" style="2642"/>
    <col min="14593" max="14593" width="4.875" style="2642" customWidth="1"/>
    <col min="14594" max="14594" width="13.25" style="2642" customWidth="1"/>
    <col min="14595" max="14595" width="15.625" style="2642" customWidth="1"/>
    <col min="14596" max="14596" width="9.375" style="2642" bestFit="1" customWidth="1"/>
    <col min="14597" max="14597" width="13.5" style="2642" customWidth="1"/>
    <col min="14598" max="14598" width="9" style="2642"/>
    <col min="14599" max="14599" width="9.375" style="2642" bestFit="1" customWidth="1"/>
    <col min="14600" max="14601" width="9" style="2642"/>
    <col min="14602" max="14602" width="9.375" style="2642" bestFit="1" customWidth="1"/>
    <col min="14603" max="14603" width="4" style="2642" customWidth="1"/>
    <col min="14604" max="14604" width="5.125" style="2642" customWidth="1"/>
    <col min="14605" max="14605" width="13.75" style="2642" customWidth="1"/>
    <col min="14606" max="14848" width="9" style="2642"/>
    <col min="14849" max="14849" width="4.875" style="2642" customWidth="1"/>
    <col min="14850" max="14850" width="13.25" style="2642" customWidth="1"/>
    <col min="14851" max="14851" width="15.625" style="2642" customWidth="1"/>
    <col min="14852" max="14852" width="9.375" style="2642" bestFit="1" customWidth="1"/>
    <col min="14853" max="14853" width="13.5" style="2642" customWidth="1"/>
    <col min="14854" max="14854" width="9" style="2642"/>
    <col min="14855" max="14855" width="9.375" style="2642" bestFit="1" customWidth="1"/>
    <col min="14856" max="14857" width="9" style="2642"/>
    <col min="14858" max="14858" width="9.375" style="2642" bestFit="1" customWidth="1"/>
    <col min="14859" max="14859" width="4" style="2642" customWidth="1"/>
    <col min="14860" max="14860" width="5.125" style="2642" customWidth="1"/>
    <col min="14861" max="14861" width="13.75" style="2642" customWidth="1"/>
    <col min="14862" max="15104" width="9" style="2642"/>
    <col min="15105" max="15105" width="4.875" style="2642" customWidth="1"/>
    <col min="15106" max="15106" width="13.25" style="2642" customWidth="1"/>
    <col min="15107" max="15107" width="15.625" style="2642" customWidth="1"/>
    <col min="15108" max="15108" width="9.375" style="2642" bestFit="1" customWidth="1"/>
    <col min="15109" max="15109" width="13.5" style="2642" customWidth="1"/>
    <col min="15110" max="15110" width="9" style="2642"/>
    <col min="15111" max="15111" width="9.375" style="2642" bestFit="1" customWidth="1"/>
    <col min="15112" max="15113" width="9" style="2642"/>
    <col min="15114" max="15114" width="9.375" style="2642" bestFit="1" customWidth="1"/>
    <col min="15115" max="15115" width="4" style="2642" customWidth="1"/>
    <col min="15116" max="15116" width="5.125" style="2642" customWidth="1"/>
    <col min="15117" max="15117" width="13.75" style="2642" customWidth="1"/>
    <col min="15118" max="15360" width="9" style="2642"/>
    <col min="15361" max="15361" width="4.875" style="2642" customWidth="1"/>
    <col min="15362" max="15362" width="13.25" style="2642" customWidth="1"/>
    <col min="15363" max="15363" width="15.625" style="2642" customWidth="1"/>
    <col min="15364" max="15364" width="9.375" style="2642" bestFit="1" customWidth="1"/>
    <col min="15365" max="15365" width="13.5" style="2642" customWidth="1"/>
    <col min="15366" max="15366" width="9" style="2642"/>
    <col min="15367" max="15367" width="9.375" style="2642" bestFit="1" customWidth="1"/>
    <col min="15368" max="15369" width="9" style="2642"/>
    <col min="15370" max="15370" width="9.375" style="2642" bestFit="1" customWidth="1"/>
    <col min="15371" max="15371" width="4" style="2642" customWidth="1"/>
    <col min="15372" max="15372" width="5.125" style="2642" customWidth="1"/>
    <col min="15373" max="15373" width="13.75" style="2642" customWidth="1"/>
    <col min="15374" max="15616" width="9" style="2642"/>
    <col min="15617" max="15617" width="4.875" style="2642" customWidth="1"/>
    <col min="15618" max="15618" width="13.25" style="2642" customWidth="1"/>
    <col min="15619" max="15619" width="15.625" style="2642" customWidth="1"/>
    <col min="15620" max="15620" width="9.375" style="2642" bestFit="1" customWidth="1"/>
    <col min="15621" max="15621" width="13.5" style="2642" customWidth="1"/>
    <col min="15622" max="15622" width="9" style="2642"/>
    <col min="15623" max="15623" width="9.375" style="2642" bestFit="1" customWidth="1"/>
    <col min="15624" max="15625" width="9" style="2642"/>
    <col min="15626" max="15626" width="9.375" style="2642" bestFit="1" customWidth="1"/>
    <col min="15627" max="15627" width="4" style="2642" customWidth="1"/>
    <col min="15628" max="15628" width="5.125" style="2642" customWidth="1"/>
    <col min="15629" max="15629" width="13.75" style="2642" customWidth="1"/>
    <col min="15630" max="15872" width="9" style="2642"/>
    <col min="15873" max="15873" width="4.875" style="2642" customWidth="1"/>
    <col min="15874" max="15874" width="13.25" style="2642" customWidth="1"/>
    <col min="15875" max="15875" width="15.625" style="2642" customWidth="1"/>
    <col min="15876" max="15876" width="9.375" style="2642" bestFit="1" customWidth="1"/>
    <col min="15877" max="15877" width="13.5" style="2642" customWidth="1"/>
    <col min="15878" max="15878" width="9" style="2642"/>
    <col min="15879" max="15879" width="9.375" style="2642" bestFit="1" customWidth="1"/>
    <col min="15880" max="15881" width="9" style="2642"/>
    <col min="15882" max="15882" width="9.375" style="2642" bestFit="1" customWidth="1"/>
    <col min="15883" max="15883" width="4" style="2642" customWidth="1"/>
    <col min="15884" max="15884" width="5.125" style="2642" customWidth="1"/>
    <col min="15885" max="15885" width="13.75" style="2642" customWidth="1"/>
    <col min="15886" max="16128" width="9" style="2642"/>
    <col min="16129" max="16129" width="4.875" style="2642" customWidth="1"/>
    <col min="16130" max="16130" width="13.25" style="2642" customWidth="1"/>
    <col min="16131" max="16131" width="15.625" style="2642" customWidth="1"/>
    <col min="16132" max="16132" width="9.375" style="2642" bestFit="1" customWidth="1"/>
    <col min="16133" max="16133" width="13.5" style="2642" customWidth="1"/>
    <col min="16134" max="16134" width="9" style="2642"/>
    <col min="16135" max="16135" width="9.375" style="2642" bestFit="1" customWidth="1"/>
    <col min="16136" max="16137" width="9" style="2642"/>
    <col min="16138" max="16138" width="9.375" style="2642" bestFit="1" customWidth="1"/>
    <col min="16139" max="16139" width="4" style="2642" customWidth="1"/>
    <col min="16140" max="16140" width="5.125" style="2642" customWidth="1"/>
    <col min="16141" max="16141" width="13.75" style="2642" customWidth="1"/>
    <col min="16142" max="16384" width="9" style="2642"/>
  </cols>
  <sheetData>
    <row r="1" spans="1:257" s="2702" customFormat="1" ht="14.25" thickBot="1">
      <c r="A1" s="2701"/>
      <c r="B1" s="2703" t="s">
        <v>2761</v>
      </c>
      <c r="C1" s="2707">
        <f>项目基本情况!D3</f>
        <v>44191</v>
      </c>
      <c r="H1" s="2641">
        <f>IF(C1&gt;C13,0,MATCH(C1,C$13:C$100,-1))+IF(SUMIF(C13:C100,C1,D13:D100)=0,13,12)</f>
        <v>13</v>
      </c>
      <c r="I1" s="2641">
        <f ca="1">MATCH(C2,H3:H7,1)+IF(SUMIF(H3:H7,C2,I3:I7)=0,2,1)</f>
        <v>5</v>
      </c>
      <c r="J1" s="2700">
        <f ca="1">MATCH(C3,H3:H7,1)+IF(SUMIF(H3:H7,C3,J3:J7)=0,2,1)</f>
        <v>2</v>
      </c>
      <c r="N1" s="2641">
        <f>IF(C1&gt;M13,0,MATCH(C1,M$13:M$100,-1))+IF(SUMIF(M13:M100,C1,N13:N100)=0,13,12)</f>
        <v>13</v>
      </c>
      <c r="P1" s="2701"/>
      <c r="Q1" s="2701"/>
      <c r="R1" s="2701"/>
      <c r="S1" s="2701"/>
      <c r="T1" s="2701"/>
      <c r="U1" s="2701"/>
      <c r="V1" s="2701"/>
      <c r="W1" s="2701"/>
      <c r="X1" s="2701"/>
      <c r="Y1" s="2701"/>
      <c r="Z1" s="2701"/>
      <c r="AA1" s="2701"/>
      <c r="AB1" s="2701"/>
      <c r="AC1" s="2701"/>
      <c r="AD1" s="2701"/>
      <c r="AE1" s="2701"/>
      <c r="AF1" s="2701"/>
      <c r="AG1" s="2701"/>
      <c r="AH1" s="2701"/>
      <c r="AI1" s="2701"/>
      <c r="AJ1" s="2701"/>
      <c r="AK1" s="2701"/>
      <c r="AL1" s="2701"/>
      <c r="AM1" s="2701"/>
      <c r="AN1" s="2701"/>
      <c r="AO1" s="2701"/>
      <c r="AP1" s="2701"/>
      <c r="AQ1" s="2701"/>
      <c r="AR1" s="2701"/>
      <c r="AS1" s="2701"/>
      <c r="AT1" s="2701"/>
      <c r="AU1" s="2701"/>
      <c r="AV1" s="2701"/>
      <c r="AW1" s="2701"/>
      <c r="AX1" s="2701"/>
      <c r="AY1" s="2701"/>
      <c r="AZ1" s="2701"/>
      <c r="BA1" s="2701"/>
      <c r="BB1" s="2701"/>
      <c r="BC1" s="2701"/>
      <c r="BD1" s="2701"/>
      <c r="BE1" s="2701"/>
      <c r="BF1" s="2701"/>
      <c r="BG1" s="2701"/>
      <c r="BH1" s="2701"/>
      <c r="BI1" s="2701"/>
      <c r="BJ1" s="2701"/>
      <c r="BK1" s="2701"/>
      <c r="BL1" s="2701"/>
      <c r="BM1" s="2701"/>
      <c r="BN1" s="2701"/>
      <c r="BO1" s="2701"/>
      <c r="BP1" s="2701"/>
      <c r="BQ1" s="2701"/>
      <c r="BR1" s="2701"/>
      <c r="BS1" s="2701"/>
      <c r="BT1" s="2701"/>
      <c r="BU1" s="2701"/>
      <c r="BV1" s="2701"/>
      <c r="BW1" s="2701"/>
      <c r="BX1" s="2701"/>
      <c r="BY1" s="2701"/>
      <c r="BZ1" s="2701"/>
      <c r="CA1" s="2701"/>
      <c r="CB1" s="2701"/>
      <c r="CC1" s="2701"/>
      <c r="CD1" s="2701"/>
      <c r="CE1" s="2701"/>
      <c r="CF1" s="2701"/>
      <c r="CG1" s="2701"/>
      <c r="CH1" s="2701"/>
      <c r="CI1" s="2701"/>
      <c r="CJ1" s="2701"/>
      <c r="CK1" s="2701"/>
      <c r="CL1" s="2701"/>
      <c r="CM1" s="2701"/>
      <c r="CN1" s="2701"/>
      <c r="CO1" s="2701"/>
      <c r="CP1" s="2701"/>
      <c r="CQ1" s="2701"/>
      <c r="CR1" s="2701"/>
      <c r="CS1" s="2701"/>
      <c r="CT1" s="2701"/>
      <c r="CU1" s="2701"/>
      <c r="CV1" s="2701"/>
      <c r="CW1" s="2701"/>
      <c r="CX1" s="2701"/>
      <c r="CY1" s="2701"/>
      <c r="CZ1" s="2701"/>
      <c r="DA1" s="2701"/>
      <c r="DB1" s="2701"/>
      <c r="DC1" s="2701"/>
      <c r="DD1" s="2701"/>
      <c r="DE1" s="2701"/>
      <c r="DF1" s="2701"/>
      <c r="DG1" s="2701"/>
      <c r="DH1" s="2701"/>
      <c r="DI1" s="2701"/>
      <c r="DJ1" s="2701"/>
      <c r="DK1" s="2701"/>
      <c r="DL1" s="2701"/>
      <c r="DM1" s="2701"/>
      <c r="DN1" s="2701"/>
      <c r="DO1" s="2701"/>
      <c r="DP1" s="2701"/>
      <c r="DQ1" s="2701"/>
      <c r="DR1" s="2701"/>
      <c r="DS1" s="2701"/>
      <c r="DT1" s="2701"/>
      <c r="DU1" s="2701"/>
      <c r="DV1" s="2701"/>
      <c r="DW1" s="2701"/>
      <c r="DX1" s="2701"/>
      <c r="DY1" s="2701"/>
      <c r="DZ1" s="2701"/>
      <c r="EA1" s="2701"/>
      <c r="EB1" s="2701"/>
      <c r="EC1" s="2701"/>
      <c r="ED1" s="2701"/>
      <c r="EE1" s="2701"/>
      <c r="EF1" s="2701"/>
      <c r="EG1" s="2701"/>
      <c r="EH1" s="2701"/>
      <c r="EI1" s="2701"/>
      <c r="EJ1" s="2701"/>
      <c r="EK1" s="2701"/>
      <c r="EL1" s="2701"/>
      <c r="EM1" s="2701"/>
      <c r="EN1" s="2701"/>
      <c r="EO1" s="2701"/>
      <c r="EP1" s="2701"/>
      <c r="EQ1" s="2701"/>
      <c r="ER1" s="2701"/>
      <c r="ES1" s="2701"/>
      <c r="ET1" s="2701"/>
      <c r="EU1" s="2701"/>
      <c r="EV1" s="2701"/>
      <c r="EW1" s="2701"/>
      <c r="EX1" s="2701"/>
      <c r="EY1" s="2701"/>
      <c r="EZ1" s="2701"/>
      <c r="FA1" s="2701"/>
      <c r="FB1" s="2701"/>
      <c r="FC1" s="2701"/>
      <c r="FD1" s="2701"/>
      <c r="FE1" s="2701"/>
      <c r="FF1" s="2701"/>
      <c r="FG1" s="2701"/>
      <c r="FH1" s="2701"/>
      <c r="FI1" s="2701"/>
      <c r="FJ1" s="2701"/>
      <c r="FK1" s="2701"/>
      <c r="FL1" s="2701"/>
      <c r="FM1" s="2701"/>
      <c r="FN1" s="2701"/>
      <c r="FO1" s="2701"/>
      <c r="FP1" s="2701"/>
      <c r="FQ1" s="2701"/>
      <c r="FR1" s="2701"/>
      <c r="FS1" s="2701"/>
      <c r="FT1" s="2701"/>
      <c r="FU1" s="2701"/>
      <c r="FV1" s="2701"/>
      <c r="FW1" s="2701"/>
      <c r="FX1" s="2701"/>
      <c r="FY1" s="2701"/>
      <c r="FZ1" s="2701"/>
      <c r="GA1" s="2701"/>
      <c r="GB1" s="2701"/>
      <c r="GC1" s="2701"/>
      <c r="GD1" s="2701"/>
      <c r="GE1" s="2701"/>
      <c r="GF1" s="2701"/>
      <c r="GG1" s="2701"/>
      <c r="GH1" s="2701"/>
      <c r="GI1" s="2701"/>
      <c r="GJ1" s="2701"/>
      <c r="GK1" s="2701"/>
      <c r="GL1" s="2701"/>
      <c r="GM1" s="2701"/>
      <c r="GN1" s="2701"/>
      <c r="GO1" s="2701"/>
      <c r="GP1" s="2701"/>
      <c r="GQ1" s="2701"/>
      <c r="GR1" s="2701"/>
      <c r="GS1" s="2701"/>
      <c r="GT1" s="2701"/>
      <c r="GU1" s="2701"/>
      <c r="GV1" s="2701"/>
      <c r="GW1" s="2701"/>
      <c r="GX1" s="2701"/>
      <c r="GY1" s="2701"/>
      <c r="GZ1" s="2701"/>
      <c r="HA1" s="2701"/>
      <c r="HB1" s="2701"/>
      <c r="HC1" s="2701"/>
      <c r="HD1" s="2701"/>
      <c r="HE1" s="2701"/>
      <c r="HF1" s="2701"/>
      <c r="HG1" s="2701"/>
      <c r="HH1" s="2701"/>
      <c r="HI1" s="2701"/>
      <c r="HJ1" s="2701"/>
      <c r="HK1" s="2701"/>
      <c r="HL1" s="2701"/>
      <c r="HM1" s="2701"/>
      <c r="HN1" s="2701"/>
      <c r="HO1" s="2701"/>
      <c r="HP1" s="2701"/>
      <c r="HQ1" s="2701"/>
      <c r="HR1" s="2701"/>
      <c r="HS1" s="2701"/>
      <c r="HT1" s="2701"/>
      <c r="HU1" s="2701"/>
      <c r="HV1" s="2701"/>
      <c r="HW1" s="2701"/>
      <c r="HX1" s="2701"/>
      <c r="HY1" s="2701"/>
      <c r="HZ1" s="2701"/>
      <c r="IA1" s="2701"/>
      <c r="IB1" s="2701"/>
      <c r="IC1" s="2701"/>
      <c r="ID1" s="2701"/>
      <c r="IE1" s="2701"/>
      <c r="IF1" s="2701"/>
      <c r="IG1" s="2701"/>
      <c r="IH1" s="2701"/>
      <c r="II1" s="2701"/>
      <c r="IJ1" s="2701"/>
      <c r="IK1" s="2701"/>
      <c r="IL1" s="2701"/>
      <c r="IM1" s="2701"/>
      <c r="IN1" s="2701"/>
      <c r="IO1" s="2701"/>
      <c r="IP1" s="2701"/>
      <c r="IQ1" s="2701"/>
      <c r="IR1" s="2701"/>
      <c r="IS1" s="2701"/>
      <c r="IT1" s="2701"/>
      <c r="IU1" s="2701"/>
      <c r="IV1" s="2701"/>
    </row>
    <row r="2" spans="1:257" s="2699" customFormat="1" ht="15" thickTop="1" thickBot="1">
      <c r="A2" s="2643"/>
      <c r="B2" s="2704" t="s">
        <v>2792</v>
      </c>
      <c r="C2" s="2708">
        <f>'数据-取费表'!B22</f>
        <v>3</v>
      </c>
      <c r="D2" s="2703" t="s">
        <v>2762</v>
      </c>
      <c r="E2" s="2706">
        <f ca="1">INDIRECT("I"&amp;$I$1)/100</f>
        <v>4.7500000000000001E-2</v>
      </c>
      <c r="G2" s="2643"/>
      <c r="H2" s="2643"/>
      <c r="I2" s="2643" t="s">
        <v>2763</v>
      </c>
      <c r="K2" s="2643"/>
      <c r="L2" s="2643"/>
      <c r="M2" s="2643"/>
      <c r="N2" s="2643" t="s">
        <v>2764</v>
      </c>
      <c r="O2" s="2643"/>
      <c r="P2" s="2643"/>
      <c r="Q2" s="2643"/>
      <c r="R2" s="2643"/>
      <c r="S2" s="2643"/>
      <c r="T2" s="2643"/>
      <c r="U2" s="2643"/>
      <c r="V2" s="2643"/>
      <c r="W2" s="2643"/>
      <c r="X2" s="2643"/>
      <c r="Y2" s="2643"/>
      <c r="Z2" s="2643"/>
      <c r="AA2" s="2643"/>
      <c r="AB2" s="2643"/>
      <c r="AC2" s="2643"/>
      <c r="AD2" s="2643"/>
      <c r="AE2" s="2643"/>
      <c r="AF2" s="2643"/>
      <c r="AG2" s="2643"/>
      <c r="AH2" s="2643"/>
      <c r="AI2" s="2643"/>
      <c r="AJ2" s="2643"/>
      <c r="AK2" s="2643"/>
      <c r="AL2" s="2643"/>
      <c r="AM2" s="2643"/>
      <c r="AN2" s="2643"/>
      <c r="AO2" s="2643"/>
      <c r="AP2" s="2643"/>
      <c r="AQ2" s="2643"/>
      <c r="AR2" s="2643"/>
      <c r="AS2" s="2643"/>
      <c r="AT2" s="2643"/>
      <c r="AU2" s="2643"/>
      <c r="AV2" s="2643"/>
      <c r="AW2" s="2643"/>
      <c r="AX2" s="2643"/>
      <c r="AY2" s="2643"/>
      <c r="AZ2" s="2643"/>
      <c r="BA2" s="2643"/>
      <c r="BB2" s="2643"/>
      <c r="BC2" s="2643"/>
      <c r="BD2" s="2643"/>
      <c r="BE2" s="2643"/>
      <c r="BF2" s="2643"/>
      <c r="BG2" s="2643"/>
      <c r="BH2" s="2643"/>
      <c r="BI2" s="2643"/>
      <c r="BJ2" s="2643"/>
      <c r="BK2" s="2643"/>
      <c r="BL2" s="2643"/>
      <c r="BM2" s="2643"/>
      <c r="BN2" s="2643"/>
      <c r="BO2" s="2643"/>
      <c r="BP2" s="2643"/>
      <c r="BQ2" s="2643"/>
      <c r="BR2" s="2643"/>
      <c r="BS2" s="2643"/>
      <c r="BT2" s="2643"/>
      <c r="BU2" s="2643"/>
      <c r="BV2" s="2643"/>
      <c r="BW2" s="2643"/>
      <c r="BX2" s="2643"/>
      <c r="BY2" s="2643"/>
      <c r="BZ2" s="2643"/>
      <c r="CA2" s="2643"/>
      <c r="CB2" s="2643"/>
      <c r="CC2" s="2643"/>
      <c r="CD2" s="2643"/>
      <c r="CE2" s="2643"/>
      <c r="CF2" s="2643"/>
      <c r="CG2" s="2643"/>
      <c r="CH2" s="2643"/>
      <c r="CI2" s="2643"/>
      <c r="CJ2" s="2643"/>
      <c r="CK2" s="2643"/>
      <c r="CL2" s="2643"/>
      <c r="CM2" s="2643"/>
      <c r="CN2" s="2643"/>
      <c r="CO2" s="2643"/>
      <c r="CP2" s="2643"/>
      <c r="CQ2" s="2643"/>
      <c r="CR2" s="2643"/>
      <c r="CS2" s="2643"/>
      <c r="CT2" s="2643"/>
      <c r="CU2" s="2643"/>
      <c r="CV2" s="2643"/>
      <c r="CW2" s="2643"/>
      <c r="CX2" s="2643"/>
      <c r="CY2" s="2643"/>
      <c r="CZ2" s="2643"/>
      <c r="DA2" s="2643"/>
      <c r="DB2" s="2643"/>
      <c r="DC2" s="2643"/>
      <c r="DD2" s="2643"/>
      <c r="DE2" s="2643"/>
      <c r="DF2" s="2643"/>
      <c r="DG2" s="2643"/>
      <c r="DH2" s="2643"/>
      <c r="DI2" s="2643"/>
      <c r="DJ2" s="2643"/>
      <c r="DK2" s="2643"/>
      <c r="DL2" s="2643"/>
      <c r="DM2" s="2643"/>
      <c r="DN2" s="2643"/>
      <c r="DO2" s="2643"/>
      <c r="DP2" s="2643"/>
      <c r="DQ2" s="2643"/>
      <c r="DR2" s="2643"/>
      <c r="DS2" s="2643"/>
      <c r="DT2" s="2643"/>
      <c r="DU2" s="2643"/>
      <c r="DV2" s="2643"/>
      <c r="DW2" s="2643"/>
      <c r="DX2" s="2643"/>
      <c r="DY2" s="2643"/>
      <c r="DZ2" s="2643"/>
      <c r="EA2" s="2643"/>
      <c r="EB2" s="2643"/>
      <c r="EC2" s="2643"/>
      <c r="ED2" s="2643"/>
      <c r="EE2" s="2643"/>
      <c r="EF2" s="2643"/>
      <c r="EG2" s="2643"/>
      <c r="EH2" s="2643"/>
      <c r="EI2" s="2643"/>
      <c r="EJ2" s="2643"/>
      <c r="EK2" s="2643"/>
      <c r="EL2" s="2643"/>
      <c r="EM2" s="2643"/>
      <c r="EN2" s="2643"/>
      <c r="EO2" s="2643"/>
      <c r="EP2" s="2643"/>
      <c r="EQ2" s="2643"/>
      <c r="ER2" s="2643"/>
      <c r="ES2" s="2643"/>
      <c r="ET2" s="2643"/>
      <c r="EU2" s="2643"/>
      <c r="EV2" s="2643"/>
      <c r="EW2" s="2643"/>
      <c r="EX2" s="2643"/>
      <c r="EY2" s="2643"/>
      <c r="EZ2" s="2643"/>
      <c r="FA2" s="2643"/>
      <c r="FB2" s="2643"/>
      <c r="FC2" s="2643"/>
      <c r="FD2" s="2643"/>
      <c r="FE2" s="2643"/>
      <c r="FF2" s="2643"/>
      <c r="FG2" s="2643"/>
      <c r="FH2" s="2643"/>
      <c r="FI2" s="2643"/>
      <c r="FJ2" s="2643"/>
      <c r="FK2" s="2643"/>
      <c r="FL2" s="2643"/>
      <c r="FM2" s="2643"/>
      <c r="FN2" s="2643"/>
      <c r="FO2" s="2643"/>
      <c r="FP2" s="2643"/>
      <c r="FQ2" s="2643"/>
      <c r="FR2" s="2643"/>
      <c r="FS2" s="2643"/>
      <c r="FT2" s="2643"/>
      <c r="FU2" s="2643"/>
      <c r="FV2" s="2643"/>
      <c r="FW2" s="2643"/>
      <c r="FX2" s="2643"/>
      <c r="FY2" s="2643"/>
      <c r="FZ2" s="2643"/>
      <c r="GA2" s="2643"/>
      <c r="GB2" s="2643"/>
      <c r="GC2" s="2643"/>
      <c r="GD2" s="2643"/>
      <c r="GE2" s="2643"/>
      <c r="GF2" s="2643"/>
      <c r="GG2" s="2643"/>
      <c r="GH2" s="2643"/>
      <c r="GI2" s="2643"/>
      <c r="GJ2" s="2643"/>
      <c r="GK2" s="2643"/>
      <c r="GL2" s="2643"/>
      <c r="GM2" s="2643"/>
      <c r="GN2" s="2643"/>
      <c r="GO2" s="2643"/>
      <c r="GP2" s="2643"/>
      <c r="GQ2" s="2643"/>
      <c r="GR2" s="2643"/>
      <c r="GS2" s="2643"/>
      <c r="GT2" s="2643"/>
      <c r="GU2" s="2643"/>
      <c r="GV2" s="2643"/>
      <c r="GW2" s="2643"/>
      <c r="GX2" s="2643"/>
      <c r="GY2" s="2643"/>
      <c r="GZ2" s="2643"/>
      <c r="HA2" s="2643"/>
      <c r="HB2" s="2643"/>
      <c r="HC2" s="2643"/>
      <c r="HD2" s="2643"/>
      <c r="HE2" s="2643"/>
      <c r="HF2" s="2643"/>
      <c r="HG2" s="2643"/>
      <c r="HH2" s="2643"/>
      <c r="HI2" s="2643"/>
      <c r="HJ2" s="2643"/>
      <c r="HK2" s="2643"/>
      <c r="HL2" s="2643"/>
      <c r="HM2" s="2643"/>
      <c r="HN2" s="2643"/>
      <c r="HO2" s="2643"/>
      <c r="HP2" s="2643"/>
      <c r="HQ2" s="2643"/>
      <c r="HR2" s="2643"/>
      <c r="HS2" s="2643"/>
      <c r="HT2" s="2643"/>
      <c r="HU2" s="2643"/>
      <c r="HV2" s="2643"/>
      <c r="HW2" s="2643"/>
      <c r="HX2" s="2643"/>
      <c r="HY2" s="2643"/>
      <c r="HZ2" s="2643"/>
      <c r="IA2" s="2643"/>
      <c r="IB2" s="2643"/>
      <c r="IC2" s="2643"/>
      <c r="ID2" s="2643"/>
      <c r="IE2" s="2643"/>
      <c r="IF2" s="2643"/>
      <c r="IG2" s="2643"/>
      <c r="IH2" s="2643"/>
      <c r="II2" s="2643"/>
      <c r="IJ2" s="2643"/>
      <c r="IK2" s="2643"/>
      <c r="IL2" s="2643"/>
      <c r="IM2" s="2643"/>
      <c r="IN2" s="2643"/>
      <c r="IO2" s="2643"/>
      <c r="IP2" s="2643"/>
      <c r="IQ2" s="2643"/>
      <c r="IR2" s="2643"/>
      <c r="IS2" s="2643"/>
      <c r="IT2" s="2643"/>
      <c r="IU2" s="2643"/>
      <c r="IV2" s="2643"/>
      <c r="IW2" s="2643"/>
    </row>
    <row r="3" spans="1:257" s="2699" customFormat="1">
      <c r="A3" s="2644"/>
      <c r="B3" s="2703" t="s">
        <v>2794</v>
      </c>
      <c r="C3" s="2705">
        <f>'数据-取费表'!B19</f>
        <v>0</v>
      </c>
      <c r="D3" s="2703" t="s">
        <v>2762</v>
      </c>
      <c r="E3" s="2706">
        <f ca="1">INDIRECT("J"&amp;$J$1)/100</f>
        <v>0</v>
      </c>
      <c r="G3" s="2645" t="s">
        <v>2765</v>
      </c>
      <c r="H3" s="2646">
        <v>0</v>
      </c>
      <c r="I3" s="2647">
        <f ca="1">INDIRECT("d"&amp;$H$1)</f>
        <v>4.3499999999999996</v>
      </c>
      <c r="J3" s="2647">
        <f ca="1">INDIRECT("d"&amp;$H$1)</f>
        <v>4.3499999999999996</v>
      </c>
      <c r="K3" s="2644"/>
      <c r="L3" s="2644"/>
      <c r="M3" s="2648">
        <v>0.5</v>
      </c>
      <c r="N3" s="2649">
        <f ca="1">INDIRECT("p"&amp;$N$1)</f>
        <v>1.3</v>
      </c>
      <c r="O3" s="2644"/>
      <c r="P3" s="2644"/>
      <c r="Q3" s="2644"/>
      <c r="R3" s="2644"/>
      <c r="S3" s="2644"/>
      <c r="T3" s="2644"/>
      <c r="U3" s="2644"/>
      <c r="V3" s="2644"/>
      <c r="W3" s="2644"/>
      <c r="X3" s="2644"/>
      <c r="Y3" s="2644"/>
      <c r="Z3" s="2644"/>
      <c r="AA3" s="2644"/>
      <c r="AB3" s="2644"/>
      <c r="AC3" s="2644"/>
      <c r="AD3" s="2644"/>
      <c r="AE3" s="2644"/>
      <c r="AF3" s="2644"/>
      <c r="AG3" s="2644"/>
      <c r="AH3" s="2644"/>
      <c r="AI3" s="2644"/>
      <c r="AJ3" s="2644"/>
      <c r="AK3" s="2644"/>
      <c r="AL3" s="2644"/>
      <c r="AM3" s="2644"/>
      <c r="AN3" s="2644"/>
      <c r="AO3" s="2644"/>
      <c r="AP3" s="2644"/>
      <c r="AQ3" s="2644"/>
      <c r="AR3" s="2644"/>
      <c r="AS3" s="2644"/>
      <c r="AT3" s="2644"/>
      <c r="AU3" s="2644"/>
      <c r="AV3" s="2644"/>
      <c r="AW3" s="2644"/>
      <c r="AX3" s="2644"/>
      <c r="AY3" s="2644"/>
      <c r="AZ3" s="2644"/>
      <c r="BA3" s="2644"/>
      <c r="BB3" s="2644"/>
      <c r="BC3" s="2644"/>
      <c r="BD3" s="2644"/>
      <c r="BE3" s="2644"/>
      <c r="BF3" s="2644"/>
      <c r="BG3" s="2644"/>
      <c r="BH3" s="2644"/>
      <c r="BI3" s="2644"/>
      <c r="BJ3" s="2644"/>
      <c r="BK3" s="2644"/>
      <c r="BL3" s="2644"/>
      <c r="BM3" s="2644"/>
      <c r="BN3" s="2644"/>
      <c r="BO3" s="2644"/>
      <c r="BP3" s="2644"/>
      <c r="BQ3" s="2644"/>
      <c r="BR3" s="2644"/>
      <c r="BS3" s="2644"/>
      <c r="BT3" s="2644"/>
      <c r="BU3" s="2644"/>
      <c r="BV3" s="2644"/>
      <c r="BW3" s="2644"/>
      <c r="BX3" s="2644"/>
      <c r="BY3" s="2644"/>
      <c r="BZ3" s="2644"/>
      <c r="CA3" s="2644"/>
      <c r="CB3" s="2644"/>
      <c r="CC3" s="2644"/>
      <c r="CD3" s="2644"/>
      <c r="CE3" s="2644"/>
      <c r="CF3" s="2644"/>
      <c r="CG3" s="2644"/>
      <c r="CH3" s="2644"/>
      <c r="CI3" s="2644"/>
      <c r="CJ3" s="2644"/>
      <c r="CK3" s="2644"/>
      <c r="CL3" s="2644"/>
      <c r="CM3" s="2644"/>
      <c r="CN3" s="2644"/>
      <c r="CO3" s="2644"/>
      <c r="CP3" s="2644"/>
      <c r="CQ3" s="2644"/>
      <c r="CR3" s="2644"/>
      <c r="CS3" s="2644"/>
      <c r="CT3" s="2644"/>
      <c r="CU3" s="2644"/>
      <c r="CV3" s="2644"/>
      <c r="CW3" s="2644"/>
      <c r="CX3" s="2644"/>
      <c r="CY3" s="2644"/>
      <c r="CZ3" s="2644"/>
      <c r="DA3" s="2644"/>
      <c r="DB3" s="2644"/>
      <c r="DC3" s="2644"/>
      <c r="DD3" s="2644"/>
      <c r="DE3" s="2644"/>
      <c r="DF3" s="2644"/>
      <c r="DG3" s="2644"/>
      <c r="DH3" s="2644"/>
      <c r="DI3" s="2644"/>
      <c r="DJ3" s="2644"/>
      <c r="DK3" s="2644"/>
      <c r="DL3" s="2644"/>
      <c r="DM3" s="2644"/>
      <c r="DN3" s="2644"/>
      <c r="DO3" s="2644"/>
      <c r="DP3" s="2644"/>
      <c r="DQ3" s="2644"/>
      <c r="DR3" s="2644"/>
      <c r="DS3" s="2644"/>
      <c r="DT3" s="2644"/>
      <c r="DU3" s="2644"/>
      <c r="DV3" s="2644"/>
      <c r="DW3" s="2644"/>
      <c r="DX3" s="2644"/>
      <c r="DY3" s="2644"/>
      <c r="DZ3" s="2644"/>
      <c r="EA3" s="2644"/>
      <c r="EB3" s="2644"/>
      <c r="EC3" s="2644"/>
      <c r="ED3" s="2644"/>
      <c r="EE3" s="2644"/>
      <c r="EF3" s="2644"/>
      <c r="EG3" s="2644"/>
      <c r="EH3" s="2644"/>
      <c r="EI3" s="2644"/>
      <c r="EJ3" s="2644"/>
      <c r="EK3" s="2644"/>
      <c r="EL3" s="2644"/>
      <c r="EM3" s="2644"/>
      <c r="EN3" s="2644"/>
      <c r="EO3" s="2644"/>
      <c r="EP3" s="2644"/>
      <c r="EQ3" s="2644"/>
      <c r="ER3" s="2644"/>
      <c r="ES3" s="2644"/>
      <c r="ET3" s="2644"/>
      <c r="EU3" s="2644"/>
      <c r="EV3" s="2644"/>
      <c r="EW3" s="2644"/>
      <c r="EX3" s="2644"/>
      <c r="EY3" s="2644"/>
      <c r="EZ3" s="2644"/>
      <c r="FA3" s="2644"/>
      <c r="FB3" s="2644"/>
      <c r="FC3" s="2644"/>
      <c r="FD3" s="2644"/>
      <c r="FE3" s="2644"/>
      <c r="FF3" s="2644"/>
      <c r="FG3" s="2644"/>
      <c r="FH3" s="2644"/>
      <c r="FI3" s="2644"/>
      <c r="FJ3" s="2644"/>
      <c r="FK3" s="2644"/>
      <c r="FL3" s="2644"/>
      <c r="FM3" s="2644"/>
      <c r="FN3" s="2644"/>
      <c r="FO3" s="2644"/>
      <c r="FP3" s="2644"/>
      <c r="FQ3" s="2644"/>
      <c r="FR3" s="2644"/>
      <c r="FS3" s="2644"/>
      <c r="FT3" s="2644"/>
      <c r="FU3" s="2644"/>
      <c r="FV3" s="2644"/>
      <c r="FW3" s="2644"/>
      <c r="FX3" s="2644"/>
      <c r="FY3" s="2644"/>
      <c r="FZ3" s="2644"/>
      <c r="GA3" s="2644"/>
      <c r="GB3" s="2644"/>
      <c r="GC3" s="2644"/>
      <c r="GD3" s="2644"/>
      <c r="GE3" s="2644"/>
      <c r="GF3" s="2644"/>
      <c r="GG3" s="2644"/>
      <c r="GH3" s="2644"/>
      <c r="GI3" s="2644"/>
      <c r="GJ3" s="2644"/>
      <c r="GK3" s="2644"/>
      <c r="GL3" s="2644"/>
      <c r="GM3" s="2644"/>
      <c r="GN3" s="2644"/>
      <c r="GO3" s="2644"/>
      <c r="GP3" s="2644"/>
      <c r="GQ3" s="2644"/>
      <c r="GR3" s="2644"/>
      <c r="GS3" s="2644"/>
      <c r="GT3" s="2644"/>
      <c r="GU3" s="2644"/>
      <c r="GV3" s="2644"/>
      <c r="GW3" s="2644"/>
      <c r="GX3" s="2644"/>
      <c r="GY3" s="2644"/>
      <c r="GZ3" s="2644"/>
      <c r="HA3" s="2644"/>
      <c r="HB3" s="2644"/>
      <c r="HC3" s="2644"/>
      <c r="HD3" s="2644"/>
      <c r="HE3" s="2644"/>
      <c r="HF3" s="2644"/>
      <c r="HG3" s="2644"/>
      <c r="HH3" s="2644"/>
      <c r="HI3" s="2644"/>
      <c r="HJ3" s="2644"/>
      <c r="HK3" s="2644"/>
      <c r="HL3" s="2644"/>
      <c r="HM3" s="2644"/>
      <c r="HN3" s="2644"/>
      <c r="HO3" s="2644"/>
      <c r="HP3" s="2644"/>
      <c r="HQ3" s="2644"/>
      <c r="HR3" s="2644"/>
      <c r="HS3" s="2644"/>
      <c r="HT3" s="2644"/>
      <c r="HU3" s="2644"/>
      <c r="HV3" s="2644"/>
      <c r="HW3" s="2644"/>
      <c r="HX3" s="2644"/>
      <c r="HY3" s="2644"/>
      <c r="HZ3" s="2644"/>
      <c r="IA3" s="2644"/>
      <c r="IB3" s="2644"/>
      <c r="IC3" s="2644"/>
      <c r="ID3" s="2644"/>
      <c r="IE3" s="2644"/>
      <c r="IF3" s="2644"/>
      <c r="IG3" s="2644"/>
      <c r="IH3" s="2644"/>
      <c r="II3" s="2644"/>
      <c r="IJ3" s="2644"/>
      <c r="IK3" s="2644"/>
      <c r="IL3" s="2644"/>
      <c r="IM3" s="2644"/>
      <c r="IN3" s="2644"/>
      <c r="IO3" s="2644"/>
      <c r="IP3" s="2644"/>
      <c r="IQ3" s="2644"/>
      <c r="IR3" s="2644"/>
      <c r="IS3" s="2644"/>
      <c r="IT3" s="2644"/>
      <c r="IU3" s="2644"/>
      <c r="IV3" s="2644"/>
    </row>
    <row r="4" spans="1:257" s="2699" customFormat="1">
      <c r="A4" s="2644"/>
      <c r="B4" s="2703" t="s">
        <v>2793</v>
      </c>
      <c r="C4" s="2706">
        <f ca="1">N4/100</f>
        <v>1.4999999999999999E-2</v>
      </c>
      <c r="G4" s="2651" t="s">
        <v>2766</v>
      </c>
      <c r="H4" s="2652">
        <v>0.5</v>
      </c>
      <c r="I4" s="2653">
        <f ca="1">INDIRECT("e"&amp;$H$1)</f>
        <v>4.3499999999999996</v>
      </c>
      <c r="J4" s="2653">
        <f ca="1">INDIRECT("e"&amp;$H$1)</f>
        <v>4.3499999999999996</v>
      </c>
      <c r="K4" s="2644"/>
      <c r="L4" s="2644"/>
      <c r="M4" s="2654">
        <v>1</v>
      </c>
      <c r="N4" s="2655">
        <f ca="1">INDIRECT("q"&amp;$N$1)</f>
        <v>1.5</v>
      </c>
      <c r="O4" s="2644"/>
      <c r="P4" s="2644"/>
      <c r="Q4" s="2644"/>
      <c r="R4" s="2644"/>
      <c r="S4" s="2644"/>
      <c r="T4" s="2644"/>
      <c r="U4" s="2644"/>
      <c r="V4" s="2644"/>
      <c r="W4" s="2644"/>
      <c r="X4" s="2644"/>
      <c r="Y4" s="2644"/>
      <c r="Z4" s="2644"/>
      <c r="AA4" s="2644"/>
      <c r="AB4" s="2644"/>
      <c r="AC4" s="2644"/>
      <c r="AD4" s="2644"/>
      <c r="AE4" s="2644"/>
      <c r="AF4" s="2644"/>
      <c r="AG4" s="2644"/>
      <c r="AH4" s="2644"/>
      <c r="AI4" s="2644"/>
      <c r="AJ4" s="2644"/>
      <c r="AK4" s="2644"/>
      <c r="AL4" s="2644"/>
      <c r="AM4" s="2644"/>
      <c r="AN4" s="2644"/>
      <c r="AO4" s="2644"/>
      <c r="AP4" s="2644"/>
      <c r="AQ4" s="2644"/>
      <c r="AR4" s="2644"/>
      <c r="AS4" s="2644"/>
      <c r="AT4" s="2644"/>
      <c r="AU4" s="2644"/>
      <c r="AV4" s="2644"/>
      <c r="AW4" s="2644"/>
      <c r="AX4" s="2644"/>
      <c r="AY4" s="2644"/>
      <c r="AZ4" s="2644"/>
      <c r="BA4" s="2644"/>
      <c r="BB4" s="2644"/>
      <c r="BC4" s="2644"/>
      <c r="BD4" s="2644"/>
      <c r="BE4" s="2644"/>
      <c r="BF4" s="2644"/>
      <c r="BG4" s="2644"/>
      <c r="BH4" s="2644"/>
      <c r="BI4" s="2644"/>
      <c r="BJ4" s="2644"/>
      <c r="BK4" s="2644"/>
      <c r="BL4" s="2644"/>
      <c r="BM4" s="2644"/>
      <c r="BN4" s="2644"/>
      <c r="BO4" s="2644"/>
      <c r="BP4" s="2644"/>
      <c r="BQ4" s="2644"/>
      <c r="BR4" s="2644"/>
      <c r="BS4" s="2644"/>
      <c r="BT4" s="2644"/>
      <c r="BU4" s="2644"/>
      <c r="BV4" s="2644"/>
      <c r="BW4" s="2644"/>
      <c r="BX4" s="2644"/>
      <c r="BY4" s="2644"/>
      <c r="BZ4" s="2644"/>
      <c r="CA4" s="2644"/>
      <c r="CB4" s="2644"/>
      <c r="CC4" s="2644"/>
      <c r="CD4" s="2644"/>
      <c r="CE4" s="2644"/>
      <c r="CF4" s="2644"/>
      <c r="CG4" s="2644"/>
      <c r="CH4" s="2644"/>
      <c r="CI4" s="2644"/>
      <c r="CJ4" s="2644"/>
      <c r="CK4" s="2644"/>
      <c r="CL4" s="2644"/>
      <c r="CM4" s="2644"/>
      <c r="CN4" s="2644"/>
      <c r="CO4" s="2644"/>
      <c r="CP4" s="2644"/>
      <c r="CQ4" s="2644"/>
      <c r="CR4" s="2644"/>
      <c r="CS4" s="2644"/>
      <c r="CT4" s="2644"/>
      <c r="CU4" s="2644"/>
      <c r="CV4" s="2644"/>
      <c r="CW4" s="2644"/>
      <c r="CX4" s="2644"/>
      <c r="CY4" s="2644"/>
      <c r="CZ4" s="2644"/>
      <c r="DA4" s="2644"/>
      <c r="DB4" s="2644"/>
      <c r="DC4" s="2644"/>
      <c r="DD4" s="2644"/>
      <c r="DE4" s="2644"/>
      <c r="DF4" s="2644"/>
      <c r="DG4" s="2644"/>
      <c r="DH4" s="2644"/>
      <c r="DI4" s="2644"/>
      <c r="DJ4" s="2644"/>
      <c r="DK4" s="2644"/>
      <c r="DL4" s="2644"/>
      <c r="DM4" s="2644"/>
      <c r="DN4" s="2644"/>
      <c r="DO4" s="2644"/>
      <c r="DP4" s="2644"/>
      <c r="DQ4" s="2644"/>
      <c r="DR4" s="2644"/>
      <c r="DS4" s="2644"/>
      <c r="DT4" s="2644"/>
      <c r="DU4" s="2644"/>
      <c r="DV4" s="2644"/>
      <c r="DW4" s="2644"/>
      <c r="DX4" s="2644"/>
      <c r="DY4" s="2644"/>
      <c r="DZ4" s="2644"/>
      <c r="EA4" s="2644"/>
      <c r="EB4" s="2644"/>
      <c r="EC4" s="2644"/>
      <c r="ED4" s="2644"/>
      <c r="EE4" s="2644"/>
      <c r="EF4" s="2644"/>
      <c r="EG4" s="2644"/>
      <c r="EH4" s="2644"/>
      <c r="EI4" s="2644"/>
      <c r="EJ4" s="2644"/>
      <c r="EK4" s="2644"/>
      <c r="EL4" s="2644"/>
      <c r="EM4" s="2644"/>
      <c r="EN4" s="2644"/>
      <c r="EO4" s="2644"/>
      <c r="EP4" s="2644"/>
      <c r="EQ4" s="2644"/>
      <c r="ER4" s="2644"/>
      <c r="ES4" s="2644"/>
      <c r="ET4" s="2644"/>
      <c r="EU4" s="2644"/>
      <c r="EV4" s="2644"/>
      <c r="EW4" s="2644"/>
      <c r="EX4" s="2644"/>
      <c r="EY4" s="2644"/>
      <c r="EZ4" s="2644"/>
      <c r="FA4" s="2644"/>
      <c r="FB4" s="2644"/>
      <c r="FC4" s="2644"/>
      <c r="FD4" s="2644"/>
      <c r="FE4" s="2644"/>
      <c r="FF4" s="2644"/>
      <c r="FG4" s="2644"/>
      <c r="FH4" s="2644"/>
      <c r="FI4" s="2644"/>
      <c r="FJ4" s="2644"/>
      <c r="FK4" s="2644"/>
      <c r="FL4" s="2644"/>
      <c r="FM4" s="2644"/>
      <c r="FN4" s="2644"/>
      <c r="FO4" s="2644"/>
      <c r="FP4" s="2644"/>
      <c r="FQ4" s="2644"/>
      <c r="FR4" s="2644"/>
      <c r="FS4" s="2644"/>
      <c r="FT4" s="2644"/>
      <c r="FU4" s="2644"/>
      <c r="FV4" s="2644"/>
      <c r="FW4" s="2644"/>
      <c r="FX4" s="2644"/>
      <c r="FY4" s="2644"/>
      <c r="FZ4" s="2644"/>
      <c r="GA4" s="2644"/>
      <c r="GB4" s="2644"/>
      <c r="GC4" s="2644"/>
      <c r="GD4" s="2644"/>
      <c r="GE4" s="2644"/>
      <c r="GF4" s="2644"/>
      <c r="GG4" s="2644"/>
      <c r="GH4" s="2644"/>
      <c r="GI4" s="2644"/>
      <c r="GJ4" s="2644"/>
      <c r="GK4" s="2644"/>
      <c r="GL4" s="2644"/>
      <c r="GM4" s="2644"/>
      <c r="GN4" s="2644"/>
      <c r="GO4" s="2644"/>
      <c r="GP4" s="2644"/>
      <c r="GQ4" s="2644"/>
      <c r="GR4" s="2644"/>
      <c r="GS4" s="2644"/>
      <c r="GT4" s="2644"/>
      <c r="GU4" s="2644"/>
      <c r="GV4" s="2644"/>
      <c r="GW4" s="2644"/>
      <c r="GX4" s="2644"/>
      <c r="GY4" s="2644"/>
      <c r="GZ4" s="2644"/>
      <c r="HA4" s="2644"/>
      <c r="HB4" s="2644"/>
      <c r="HC4" s="2644"/>
      <c r="HD4" s="2644"/>
      <c r="HE4" s="2644"/>
      <c r="HF4" s="2644"/>
      <c r="HG4" s="2644"/>
      <c r="HH4" s="2644"/>
      <c r="HI4" s="2644"/>
      <c r="HJ4" s="2644"/>
      <c r="HK4" s="2644"/>
      <c r="HL4" s="2644"/>
      <c r="HM4" s="2644"/>
      <c r="HN4" s="2644"/>
      <c r="HO4" s="2644"/>
      <c r="HP4" s="2644"/>
      <c r="HQ4" s="2644"/>
      <c r="HR4" s="2644"/>
      <c r="HS4" s="2644"/>
      <c r="HT4" s="2644"/>
      <c r="HU4" s="2644"/>
      <c r="HV4" s="2644"/>
      <c r="HW4" s="2644"/>
      <c r="HX4" s="2644"/>
      <c r="HY4" s="2644"/>
      <c r="HZ4" s="2644"/>
      <c r="IA4" s="2644"/>
      <c r="IB4" s="2644"/>
      <c r="IC4" s="2644"/>
      <c r="ID4" s="2644"/>
      <c r="IE4" s="2644"/>
      <c r="IF4" s="2644"/>
      <c r="IG4" s="2644"/>
      <c r="IH4" s="2644"/>
      <c r="II4" s="2644"/>
      <c r="IJ4" s="2644"/>
      <c r="IK4" s="2644"/>
      <c r="IL4" s="2644"/>
      <c r="IM4" s="2644"/>
      <c r="IN4" s="2644"/>
      <c r="IO4" s="2644"/>
      <c r="IP4" s="2644"/>
      <c r="IQ4" s="2644"/>
      <c r="IR4" s="2644"/>
      <c r="IS4" s="2644"/>
      <c r="IT4" s="2644"/>
      <c r="IU4" s="2644"/>
      <c r="IV4" s="2644"/>
    </row>
    <row r="5" spans="1:257" s="2699" customFormat="1">
      <c r="A5" s="2644"/>
      <c r="G5" s="2651" t="s">
        <v>2767</v>
      </c>
      <c r="H5" s="2652">
        <v>1</v>
      </c>
      <c r="I5" s="2653">
        <f ca="1">INDIRECT("f"&amp;$H$1)</f>
        <v>4.75</v>
      </c>
      <c r="J5" s="2653">
        <f ca="1">INDIRECT("f"&amp;$H$1)</f>
        <v>4.75</v>
      </c>
      <c r="K5" s="2644"/>
      <c r="L5" s="2644"/>
      <c r="M5" s="2654">
        <v>2</v>
      </c>
      <c r="N5" s="2655">
        <f ca="1">INDIRECT("r"&amp;$N$1)</f>
        <v>2.1</v>
      </c>
      <c r="O5" s="2644"/>
      <c r="P5" s="2644"/>
      <c r="Q5" s="2644"/>
      <c r="R5" s="2644"/>
      <c r="S5" s="2644"/>
      <c r="T5" s="2644"/>
      <c r="U5" s="2644"/>
      <c r="V5" s="2644"/>
      <c r="W5" s="2644"/>
      <c r="X5" s="2644"/>
      <c r="Y5" s="2644"/>
      <c r="Z5" s="2644"/>
      <c r="AA5" s="2644"/>
      <c r="AB5" s="2644"/>
      <c r="AC5" s="2644"/>
      <c r="AD5" s="2644"/>
      <c r="AE5" s="2644"/>
      <c r="AF5" s="2644"/>
      <c r="AG5" s="2644"/>
      <c r="AH5" s="2644"/>
      <c r="AI5" s="2644"/>
      <c r="AJ5" s="2644"/>
      <c r="AK5" s="2644"/>
      <c r="AL5" s="2644"/>
      <c r="AM5" s="2644"/>
      <c r="AN5" s="2644"/>
      <c r="AO5" s="2644"/>
      <c r="AP5" s="2644"/>
      <c r="AQ5" s="2644"/>
      <c r="AR5" s="2644"/>
      <c r="AS5" s="2644"/>
      <c r="AT5" s="2644"/>
      <c r="AU5" s="2644"/>
      <c r="AV5" s="2644"/>
      <c r="AW5" s="2644"/>
      <c r="AX5" s="2644"/>
      <c r="AY5" s="2644"/>
      <c r="AZ5" s="2644"/>
      <c r="BA5" s="2644"/>
      <c r="BB5" s="2644"/>
      <c r="BC5" s="2644"/>
      <c r="BD5" s="2644"/>
      <c r="BE5" s="2644"/>
      <c r="BF5" s="2644"/>
      <c r="BG5" s="2644"/>
      <c r="BH5" s="2644"/>
      <c r="BI5" s="2644"/>
      <c r="BJ5" s="2644"/>
      <c r="BK5" s="2644"/>
      <c r="BL5" s="2644"/>
      <c r="BM5" s="2644"/>
      <c r="BN5" s="2644"/>
      <c r="BO5" s="2644"/>
      <c r="BP5" s="2644"/>
      <c r="BQ5" s="2644"/>
      <c r="BR5" s="2644"/>
      <c r="BS5" s="2644"/>
      <c r="BT5" s="2644"/>
      <c r="BU5" s="2644"/>
      <c r="BV5" s="2644"/>
      <c r="BW5" s="2644"/>
      <c r="BX5" s="2644"/>
      <c r="BY5" s="2644"/>
      <c r="BZ5" s="2644"/>
      <c r="CA5" s="2644"/>
      <c r="CB5" s="2644"/>
      <c r="CC5" s="2644"/>
      <c r="CD5" s="2644"/>
      <c r="CE5" s="2644"/>
      <c r="CF5" s="2644"/>
      <c r="CG5" s="2644"/>
      <c r="CH5" s="2644"/>
      <c r="CI5" s="2644"/>
      <c r="CJ5" s="2644"/>
      <c r="CK5" s="2644"/>
      <c r="CL5" s="2644"/>
      <c r="CM5" s="2644"/>
      <c r="CN5" s="2644"/>
      <c r="CO5" s="2644"/>
      <c r="CP5" s="2644"/>
      <c r="CQ5" s="2644"/>
      <c r="CR5" s="2644"/>
      <c r="CS5" s="2644"/>
      <c r="CT5" s="2644"/>
      <c r="CU5" s="2644"/>
      <c r="CV5" s="2644"/>
      <c r="CW5" s="2644"/>
      <c r="CX5" s="2644"/>
      <c r="CY5" s="2644"/>
      <c r="CZ5" s="2644"/>
      <c r="DA5" s="2644"/>
      <c r="DB5" s="2644"/>
      <c r="DC5" s="2644"/>
      <c r="DD5" s="2644"/>
      <c r="DE5" s="2644"/>
      <c r="DF5" s="2644"/>
      <c r="DG5" s="2644"/>
      <c r="DH5" s="2644"/>
      <c r="DI5" s="2644"/>
      <c r="DJ5" s="2644"/>
      <c r="DK5" s="2644"/>
      <c r="DL5" s="2644"/>
      <c r="DM5" s="2644"/>
      <c r="DN5" s="2644"/>
      <c r="DO5" s="2644"/>
      <c r="DP5" s="2644"/>
      <c r="DQ5" s="2644"/>
      <c r="DR5" s="2644"/>
      <c r="DS5" s="2644"/>
      <c r="DT5" s="2644"/>
      <c r="DU5" s="2644"/>
      <c r="DV5" s="2644"/>
      <c r="DW5" s="2644"/>
      <c r="DX5" s="2644"/>
      <c r="DY5" s="2644"/>
      <c r="DZ5" s="2644"/>
      <c r="EA5" s="2644"/>
      <c r="EB5" s="2644"/>
      <c r="EC5" s="2644"/>
      <c r="ED5" s="2644"/>
      <c r="EE5" s="2644"/>
      <c r="EF5" s="2644"/>
      <c r="EG5" s="2644"/>
      <c r="EH5" s="2644"/>
      <c r="EI5" s="2644"/>
      <c r="EJ5" s="2644"/>
      <c r="EK5" s="2644"/>
      <c r="EL5" s="2644"/>
      <c r="EM5" s="2644"/>
      <c r="EN5" s="2644"/>
      <c r="EO5" s="2644"/>
      <c r="EP5" s="2644"/>
      <c r="EQ5" s="2644"/>
      <c r="ER5" s="2644"/>
      <c r="ES5" s="2644"/>
      <c r="ET5" s="2644"/>
      <c r="EU5" s="2644"/>
      <c r="EV5" s="2644"/>
      <c r="EW5" s="2644"/>
      <c r="EX5" s="2644"/>
      <c r="EY5" s="2644"/>
      <c r="EZ5" s="2644"/>
      <c r="FA5" s="2644"/>
      <c r="FB5" s="2644"/>
      <c r="FC5" s="2644"/>
      <c r="FD5" s="2644"/>
      <c r="FE5" s="2644"/>
      <c r="FF5" s="2644"/>
      <c r="FG5" s="2644"/>
      <c r="FH5" s="2644"/>
      <c r="FI5" s="2644"/>
      <c r="FJ5" s="2644"/>
      <c r="FK5" s="2644"/>
      <c r="FL5" s="2644"/>
      <c r="FM5" s="2644"/>
      <c r="FN5" s="2644"/>
      <c r="FO5" s="2644"/>
      <c r="FP5" s="2644"/>
      <c r="FQ5" s="2644"/>
      <c r="FR5" s="2644"/>
      <c r="FS5" s="2644"/>
      <c r="FT5" s="2644"/>
      <c r="FU5" s="2644"/>
      <c r="FV5" s="2644"/>
      <c r="FW5" s="2644"/>
      <c r="FX5" s="2644"/>
      <c r="FY5" s="2644"/>
      <c r="FZ5" s="2644"/>
      <c r="GA5" s="2644"/>
      <c r="GB5" s="2644"/>
      <c r="GC5" s="2644"/>
      <c r="GD5" s="2644"/>
      <c r="GE5" s="2644"/>
      <c r="GF5" s="2644"/>
      <c r="GG5" s="2644"/>
      <c r="GH5" s="2644"/>
      <c r="GI5" s="2644"/>
      <c r="GJ5" s="2644"/>
      <c r="GK5" s="2644"/>
      <c r="GL5" s="2644"/>
      <c r="GM5" s="2644"/>
      <c r="GN5" s="2644"/>
      <c r="GO5" s="2644"/>
      <c r="GP5" s="2644"/>
      <c r="GQ5" s="2644"/>
      <c r="GR5" s="2644"/>
      <c r="GS5" s="2644"/>
      <c r="GT5" s="2644"/>
      <c r="GU5" s="2644"/>
      <c r="GV5" s="2644"/>
      <c r="GW5" s="2644"/>
      <c r="GX5" s="2644"/>
      <c r="GY5" s="2644"/>
      <c r="GZ5" s="2644"/>
      <c r="HA5" s="2644"/>
      <c r="HB5" s="2644"/>
      <c r="HC5" s="2644"/>
      <c r="HD5" s="2644"/>
      <c r="HE5" s="2644"/>
      <c r="HF5" s="2644"/>
      <c r="HG5" s="2644"/>
      <c r="HH5" s="2644"/>
      <c r="HI5" s="2644"/>
      <c r="HJ5" s="2644"/>
      <c r="HK5" s="2644"/>
      <c r="HL5" s="2644"/>
      <c r="HM5" s="2644"/>
      <c r="HN5" s="2644"/>
      <c r="HO5" s="2644"/>
      <c r="HP5" s="2644"/>
      <c r="HQ5" s="2644"/>
      <c r="HR5" s="2644"/>
      <c r="HS5" s="2644"/>
      <c r="HT5" s="2644"/>
      <c r="HU5" s="2644"/>
      <c r="HV5" s="2644"/>
      <c r="HW5" s="2644"/>
      <c r="HX5" s="2644"/>
      <c r="HY5" s="2644"/>
      <c r="HZ5" s="2644"/>
      <c r="IA5" s="2644"/>
      <c r="IB5" s="2644"/>
      <c r="IC5" s="2644"/>
      <c r="ID5" s="2644"/>
      <c r="IE5" s="2644"/>
      <c r="IF5" s="2644"/>
      <c r="IG5" s="2644"/>
      <c r="IH5" s="2644"/>
      <c r="II5" s="2644"/>
      <c r="IJ5" s="2644"/>
      <c r="IK5" s="2644"/>
      <c r="IL5" s="2644"/>
      <c r="IM5" s="2644"/>
      <c r="IN5" s="2644"/>
      <c r="IO5" s="2644"/>
      <c r="IP5" s="2644"/>
      <c r="IQ5" s="2644"/>
      <c r="IR5" s="2644"/>
      <c r="IS5" s="2644"/>
      <c r="IT5" s="2644"/>
      <c r="IU5" s="2644"/>
      <c r="IV5" s="2644"/>
    </row>
    <row r="6" spans="1:257" s="2699" customFormat="1">
      <c r="A6" s="2644"/>
      <c r="G6" s="2651" t="s">
        <v>2768</v>
      </c>
      <c r="H6" s="2652">
        <v>3</v>
      </c>
      <c r="I6" s="2653">
        <f ca="1">INDIRECT("g"&amp;$H$1)</f>
        <v>4.75</v>
      </c>
      <c r="J6" s="2653">
        <f ca="1">INDIRECT("g"&amp;$H$1)</f>
        <v>4.75</v>
      </c>
      <c r="K6" s="2644"/>
      <c r="L6" s="2644"/>
      <c r="M6" s="2654">
        <v>3</v>
      </c>
      <c r="N6" s="2655">
        <f ca="1">INDIRECT("s"&amp;$N$1)</f>
        <v>2.75</v>
      </c>
      <c r="O6" s="2644"/>
      <c r="P6" s="2644"/>
      <c r="Q6" s="2644"/>
      <c r="R6" s="2644"/>
      <c r="S6" s="2644"/>
      <c r="T6" s="2644"/>
      <c r="U6" s="2644"/>
      <c r="V6" s="2644"/>
      <c r="W6" s="2644"/>
      <c r="X6" s="2644"/>
      <c r="Y6" s="2644"/>
      <c r="Z6" s="2644"/>
      <c r="AA6" s="2644"/>
      <c r="AB6" s="2644"/>
      <c r="AC6" s="2644"/>
      <c r="AD6" s="2644"/>
      <c r="AE6" s="2644"/>
      <c r="AF6" s="2644"/>
      <c r="AG6" s="2644"/>
      <c r="AH6" s="2644"/>
      <c r="AI6" s="2644"/>
      <c r="AJ6" s="2644"/>
      <c r="AK6" s="2644"/>
      <c r="AL6" s="2644"/>
      <c r="AM6" s="2644"/>
      <c r="AN6" s="2644"/>
      <c r="AO6" s="2644"/>
      <c r="AP6" s="2644"/>
      <c r="AQ6" s="2644"/>
      <c r="AR6" s="2644"/>
      <c r="AS6" s="2644"/>
      <c r="AT6" s="2644"/>
      <c r="AU6" s="2644"/>
      <c r="AV6" s="2644"/>
      <c r="AW6" s="2644"/>
      <c r="AX6" s="2644"/>
      <c r="AY6" s="2644"/>
      <c r="AZ6" s="2644"/>
      <c r="BA6" s="2644"/>
      <c r="BB6" s="2644"/>
      <c r="BC6" s="2644"/>
      <c r="BD6" s="2644"/>
      <c r="BE6" s="2644"/>
      <c r="BF6" s="2644"/>
      <c r="BG6" s="2644"/>
      <c r="BH6" s="2644"/>
      <c r="BI6" s="2644"/>
      <c r="BJ6" s="2644"/>
      <c r="BK6" s="2644"/>
      <c r="BL6" s="2644"/>
      <c r="BM6" s="2644"/>
      <c r="BN6" s="2644"/>
      <c r="BO6" s="2644"/>
      <c r="BP6" s="2644"/>
      <c r="BQ6" s="2644"/>
      <c r="BR6" s="2644"/>
      <c r="BS6" s="2644"/>
      <c r="BT6" s="2644"/>
      <c r="BU6" s="2644"/>
      <c r="BV6" s="2644"/>
      <c r="BW6" s="2644"/>
      <c r="BX6" s="2644"/>
      <c r="BY6" s="2644"/>
      <c r="BZ6" s="2644"/>
      <c r="CA6" s="2644"/>
      <c r="CB6" s="2644"/>
      <c r="CC6" s="2644"/>
      <c r="CD6" s="2644"/>
      <c r="CE6" s="2644"/>
      <c r="CF6" s="2644"/>
      <c r="CG6" s="2644"/>
      <c r="CH6" s="2644"/>
      <c r="CI6" s="2644"/>
      <c r="CJ6" s="2644"/>
      <c r="CK6" s="2644"/>
      <c r="CL6" s="2644"/>
      <c r="CM6" s="2644"/>
      <c r="CN6" s="2644"/>
      <c r="CO6" s="2644"/>
      <c r="CP6" s="2644"/>
      <c r="CQ6" s="2644"/>
      <c r="CR6" s="2644"/>
      <c r="CS6" s="2644"/>
      <c r="CT6" s="2644"/>
      <c r="CU6" s="2644"/>
      <c r="CV6" s="2644"/>
      <c r="CW6" s="2644"/>
      <c r="CX6" s="2644"/>
      <c r="CY6" s="2644"/>
      <c r="CZ6" s="2644"/>
      <c r="DA6" s="2644"/>
      <c r="DB6" s="2644"/>
      <c r="DC6" s="2644"/>
      <c r="DD6" s="2644"/>
      <c r="DE6" s="2644"/>
      <c r="DF6" s="2644"/>
      <c r="DG6" s="2644"/>
      <c r="DH6" s="2644"/>
      <c r="DI6" s="2644"/>
      <c r="DJ6" s="2644"/>
      <c r="DK6" s="2644"/>
      <c r="DL6" s="2644"/>
      <c r="DM6" s="2644"/>
      <c r="DN6" s="2644"/>
      <c r="DO6" s="2644"/>
      <c r="DP6" s="2644"/>
      <c r="DQ6" s="2644"/>
      <c r="DR6" s="2644"/>
      <c r="DS6" s="2644"/>
      <c r="DT6" s="2644"/>
      <c r="DU6" s="2644"/>
      <c r="DV6" s="2644"/>
      <c r="DW6" s="2644"/>
      <c r="DX6" s="2644"/>
      <c r="DY6" s="2644"/>
      <c r="DZ6" s="2644"/>
      <c r="EA6" s="2644"/>
      <c r="EB6" s="2644"/>
      <c r="EC6" s="2644"/>
      <c r="ED6" s="2644"/>
      <c r="EE6" s="2644"/>
      <c r="EF6" s="2644"/>
      <c r="EG6" s="2644"/>
      <c r="EH6" s="2644"/>
      <c r="EI6" s="2644"/>
      <c r="EJ6" s="2644"/>
      <c r="EK6" s="2644"/>
      <c r="EL6" s="2644"/>
      <c r="EM6" s="2644"/>
      <c r="EN6" s="2644"/>
      <c r="EO6" s="2644"/>
      <c r="EP6" s="2644"/>
      <c r="EQ6" s="2644"/>
      <c r="ER6" s="2644"/>
      <c r="ES6" s="2644"/>
      <c r="ET6" s="2644"/>
      <c r="EU6" s="2644"/>
      <c r="EV6" s="2644"/>
      <c r="EW6" s="2644"/>
      <c r="EX6" s="2644"/>
      <c r="EY6" s="2644"/>
      <c r="EZ6" s="2644"/>
      <c r="FA6" s="2644"/>
      <c r="FB6" s="2644"/>
      <c r="FC6" s="2644"/>
      <c r="FD6" s="2644"/>
      <c r="FE6" s="2644"/>
      <c r="FF6" s="2644"/>
      <c r="FG6" s="2644"/>
      <c r="FH6" s="2644"/>
      <c r="FI6" s="2644"/>
      <c r="FJ6" s="2644"/>
      <c r="FK6" s="2644"/>
      <c r="FL6" s="2644"/>
      <c r="FM6" s="2644"/>
      <c r="FN6" s="2644"/>
      <c r="FO6" s="2644"/>
      <c r="FP6" s="2644"/>
      <c r="FQ6" s="2644"/>
      <c r="FR6" s="2644"/>
      <c r="FS6" s="2644"/>
      <c r="FT6" s="2644"/>
      <c r="FU6" s="2644"/>
      <c r="FV6" s="2644"/>
      <c r="FW6" s="2644"/>
      <c r="FX6" s="2644"/>
      <c r="FY6" s="2644"/>
      <c r="FZ6" s="2644"/>
      <c r="GA6" s="2644"/>
      <c r="GB6" s="2644"/>
      <c r="GC6" s="2644"/>
      <c r="GD6" s="2644"/>
      <c r="GE6" s="2644"/>
      <c r="GF6" s="2644"/>
      <c r="GG6" s="2644"/>
      <c r="GH6" s="2644"/>
      <c r="GI6" s="2644"/>
      <c r="GJ6" s="2644"/>
      <c r="GK6" s="2644"/>
      <c r="GL6" s="2644"/>
      <c r="GM6" s="2644"/>
      <c r="GN6" s="2644"/>
      <c r="GO6" s="2644"/>
      <c r="GP6" s="2644"/>
      <c r="GQ6" s="2644"/>
      <c r="GR6" s="2644"/>
      <c r="GS6" s="2644"/>
      <c r="GT6" s="2644"/>
      <c r="GU6" s="2644"/>
      <c r="GV6" s="2644"/>
      <c r="GW6" s="2644"/>
      <c r="GX6" s="2644"/>
      <c r="GY6" s="2644"/>
      <c r="GZ6" s="2644"/>
      <c r="HA6" s="2644"/>
      <c r="HB6" s="2644"/>
      <c r="HC6" s="2644"/>
      <c r="HD6" s="2644"/>
      <c r="HE6" s="2644"/>
      <c r="HF6" s="2644"/>
      <c r="HG6" s="2644"/>
      <c r="HH6" s="2644"/>
      <c r="HI6" s="2644"/>
      <c r="HJ6" s="2644"/>
      <c r="HK6" s="2644"/>
      <c r="HL6" s="2644"/>
      <c r="HM6" s="2644"/>
      <c r="HN6" s="2644"/>
      <c r="HO6" s="2644"/>
      <c r="HP6" s="2644"/>
      <c r="HQ6" s="2644"/>
      <c r="HR6" s="2644"/>
      <c r="HS6" s="2644"/>
      <c r="HT6" s="2644"/>
      <c r="HU6" s="2644"/>
      <c r="HV6" s="2644"/>
      <c r="HW6" s="2644"/>
      <c r="HX6" s="2644"/>
      <c r="HY6" s="2644"/>
      <c r="HZ6" s="2644"/>
      <c r="IA6" s="2644"/>
      <c r="IB6" s="2644"/>
      <c r="IC6" s="2644"/>
      <c r="ID6" s="2644"/>
      <c r="IE6" s="2644"/>
      <c r="IF6" s="2644"/>
      <c r="IG6" s="2644"/>
      <c r="IH6" s="2644"/>
      <c r="II6" s="2644"/>
      <c r="IJ6" s="2644"/>
      <c r="IK6" s="2644"/>
      <c r="IL6" s="2644"/>
      <c r="IM6" s="2644"/>
      <c r="IN6" s="2644"/>
      <c r="IO6" s="2644"/>
      <c r="IP6" s="2644"/>
      <c r="IQ6" s="2644"/>
      <c r="IR6" s="2644"/>
      <c r="IS6" s="2644"/>
      <c r="IT6" s="2644"/>
      <c r="IU6" s="2644"/>
      <c r="IV6" s="2644"/>
    </row>
    <row r="7" spans="1:257" s="2699" customFormat="1" ht="14.25" thickBot="1">
      <c r="A7" s="2644"/>
      <c r="G7" s="2656" t="s">
        <v>2769</v>
      </c>
      <c r="H7" s="2657">
        <v>5</v>
      </c>
      <c r="I7" s="2658">
        <f ca="1">INDIRECT("h"&amp;$H$1)</f>
        <v>4.9000000000000004</v>
      </c>
      <c r="J7" s="2658">
        <f ca="1">INDIRECT("h"&amp;$H$1)</f>
        <v>4.9000000000000004</v>
      </c>
      <c r="K7" s="2644"/>
      <c r="L7" s="2644"/>
      <c r="M7" s="2659">
        <v>5</v>
      </c>
      <c r="N7" s="2660">
        <f ca="1">INDIRECT("t"&amp;$N$1)</f>
        <v>0</v>
      </c>
      <c r="O7" s="2644"/>
      <c r="P7" s="2644"/>
      <c r="Q7" s="2644"/>
      <c r="R7" s="2644"/>
      <c r="S7" s="2644"/>
      <c r="T7" s="2644"/>
      <c r="U7" s="2644"/>
      <c r="V7" s="2644"/>
      <c r="W7" s="2644"/>
      <c r="X7" s="2644"/>
      <c r="Y7" s="2644"/>
      <c r="Z7" s="2644"/>
      <c r="AA7" s="2644"/>
      <c r="AB7" s="2644"/>
      <c r="AC7" s="2644"/>
      <c r="AD7" s="2644"/>
      <c r="AE7" s="2644"/>
      <c r="AF7" s="2644"/>
      <c r="AG7" s="2644"/>
      <c r="AH7" s="2644"/>
      <c r="AI7" s="2644"/>
      <c r="AJ7" s="2644"/>
      <c r="AK7" s="2644"/>
      <c r="AL7" s="2644"/>
      <c r="AM7" s="2644"/>
      <c r="AN7" s="2644"/>
      <c r="AO7" s="2644"/>
      <c r="AP7" s="2644"/>
      <c r="AQ7" s="2644"/>
      <c r="AR7" s="2644"/>
      <c r="AS7" s="2644"/>
      <c r="AT7" s="2644"/>
      <c r="AU7" s="2644"/>
      <c r="AV7" s="2644"/>
      <c r="AW7" s="2644"/>
      <c r="AX7" s="2644"/>
      <c r="AY7" s="2644"/>
      <c r="AZ7" s="2644"/>
      <c r="BA7" s="2644"/>
      <c r="BB7" s="2644"/>
      <c r="BC7" s="2644"/>
      <c r="BD7" s="2644"/>
      <c r="BE7" s="2644"/>
      <c r="BF7" s="2644"/>
      <c r="BG7" s="2644"/>
      <c r="BH7" s="2644"/>
      <c r="BI7" s="2644"/>
      <c r="BJ7" s="2644"/>
      <c r="BK7" s="2644"/>
      <c r="BL7" s="2644"/>
      <c r="BM7" s="2644"/>
      <c r="BN7" s="2644"/>
      <c r="BO7" s="2644"/>
      <c r="BP7" s="2644"/>
      <c r="BQ7" s="2644"/>
      <c r="BR7" s="2644"/>
      <c r="BS7" s="2644"/>
      <c r="BT7" s="2644"/>
      <c r="BU7" s="2644"/>
      <c r="BV7" s="2644"/>
      <c r="BW7" s="2644"/>
      <c r="BX7" s="2644"/>
      <c r="BY7" s="2644"/>
      <c r="BZ7" s="2644"/>
      <c r="CA7" s="2644"/>
      <c r="CB7" s="2644"/>
      <c r="CC7" s="2644"/>
      <c r="CD7" s="2644"/>
      <c r="CE7" s="2644"/>
      <c r="CF7" s="2644"/>
      <c r="CG7" s="2644"/>
      <c r="CH7" s="2644"/>
      <c r="CI7" s="2644"/>
      <c r="CJ7" s="2644"/>
      <c r="CK7" s="2644"/>
      <c r="CL7" s="2644"/>
      <c r="CM7" s="2644"/>
      <c r="CN7" s="2644"/>
      <c r="CO7" s="2644"/>
      <c r="CP7" s="2644"/>
      <c r="CQ7" s="2644"/>
      <c r="CR7" s="2644"/>
      <c r="CS7" s="2644"/>
      <c r="CT7" s="2644"/>
      <c r="CU7" s="2644"/>
      <c r="CV7" s="2644"/>
      <c r="CW7" s="2644"/>
      <c r="CX7" s="2644"/>
      <c r="CY7" s="2644"/>
      <c r="CZ7" s="2644"/>
      <c r="DA7" s="2644"/>
      <c r="DB7" s="2644"/>
      <c r="DC7" s="2644"/>
      <c r="DD7" s="2644"/>
      <c r="DE7" s="2644"/>
      <c r="DF7" s="2644"/>
      <c r="DG7" s="2644"/>
      <c r="DH7" s="2644"/>
      <c r="DI7" s="2644"/>
      <c r="DJ7" s="2644"/>
      <c r="DK7" s="2644"/>
      <c r="DL7" s="2644"/>
      <c r="DM7" s="2644"/>
      <c r="DN7" s="2644"/>
      <c r="DO7" s="2644"/>
      <c r="DP7" s="2644"/>
      <c r="DQ7" s="2644"/>
      <c r="DR7" s="2644"/>
      <c r="DS7" s="2644"/>
      <c r="DT7" s="2644"/>
      <c r="DU7" s="2644"/>
      <c r="DV7" s="2644"/>
      <c r="DW7" s="2644"/>
      <c r="DX7" s="2644"/>
      <c r="DY7" s="2644"/>
      <c r="DZ7" s="2644"/>
      <c r="EA7" s="2644"/>
      <c r="EB7" s="2644"/>
      <c r="EC7" s="2644"/>
      <c r="ED7" s="2644"/>
      <c r="EE7" s="2644"/>
      <c r="EF7" s="2644"/>
      <c r="EG7" s="2644"/>
      <c r="EH7" s="2644"/>
      <c r="EI7" s="2644"/>
      <c r="EJ7" s="2644"/>
      <c r="EK7" s="2644"/>
      <c r="EL7" s="2644"/>
      <c r="EM7" s="2644"/>
      <c r="EN7" s="2644"/>
      <c r="EO7" s="2644"/>
      <c r="EP7" s="2644"/>
      <c r="EQ7" s="2644"/>
      <c r="ER7" s="2644"/>
      <c r="ES7" s="2644"/>
      <c r="ET7" s="2644"/>
      <c r="EU7" s="2644"/>
      <c r="EV7" s="2644"/>
      <c r="EW7" s="2644"/>
      <c r="EX7" s="2644"/>
      <c r="EY7" s="2644"/>
      <c r="EZ7" s="2644"/>
      <c r="FA7" s="2644"/>
      <c r="FB7" s="2644"/>
      <c r="FC7" s="2644"/>
      <c r="FD7" s="2644"/>
      <c r="FE7" s="2644"/>
      <c r="FF7" s="2644"/>
      <c r="FG7" s="2644"/>
      <c r="FH7" s="2644"/>
      <c r="FI7" s="2644"/>
      <c r="FJ7" s="2644"/>
      <c r="FK7" s="2644"/>
      <c r="FL7" s="2644"/>
      <c r="FM7" s="2644"/>
      <c r="FN7" s="2644"/>
      <c r="FO7" s="2644"/>
      <c r="FP7" s="2644"/>
      <c r="FQ7" s="2644"/>
      <c r="FR7" s="2644"/>
      <c r="FS7" s="2644"/>
      <c r="FT7" s="2644"/>
      <c r="FU7" s="2644"/>
      <c r="FV7" s="2644"/>
      <c r="FW7" s="2644"/>
      <c r="FX7" s="2644"/>
      <c r="FY7" s="2644"/>
      <c r="FZ7" s="2644"/>
      <c r="GA7" s="2644"/>
      <c r="GB7" s="2644"/>
      <c r="GC7" s="2644"/>
      <c r="GD7" s="2644"/>
      <c r="GE7" s="2644"/>
      <c r="GF7" s="2644"/>
      <c r="GG7" s="2644"/>
      <c r="GH7" s="2644"/>
      <c r="GI7" s="2644"/>
      <c r="GJ7" s="2644"/>
      <c r="GK7" s="2644"/>
      <c r="GL7" s="2644"/>
      <c r="GM7" s="2644"/>
      <c r="GN7" s="2644"/>
      <c r="GO7" s="2644"/>
      <c r="GP7" s="2644"/>
      <c r="GQ7" s="2644"/>
      <c r="GR7" s="2644"/>
      <c r="GS7" s="2644"/>
      <c r="GT7" s="2644"/>
      <c r="GU7" s="2644"/>
      <c r="GV7" s="2644"/>
      <c r="GW7" s="2644"/>
      <c r="GX7" s="2644"/>
      <c r="GY7" s="2644"/>
      <c r="GZ7" s="2644"/>
      <c r="HA7" s="2644"/>
      <c r="HB7" s="2644"/>
      <c r="HC7" s="2644"/>
      <c r="HD7" s="2644"/>
      <c r="HE7" s="2644"/>
      <c r="HF7" s="2644"/>
      <c r="HG7" s="2644"/>
      <c r="HH7" s="2644"/>
      <c r="HI7" s="2644"/>
      <c r="HJ7" s="2644"/>
      <c r="HK7" s="2644"/>
      <c r="HL7" s="2644"/>
      <c r="HM7" s="2644"/>
      <c r="HN7" s="2644"/>
      <c r="HO7" s="2644"/>
      <c r="HP7" s="2644"/>
      <c r="HQ7" s="2644"/>
      <c r="HR7" s="2644"/>
      <c r="HS7" s="2644"/>
      <c r="HT7" s="2644"/>
      <c r="HU7" s="2644"/>
      <c r="HV7" s="2644"/>
      <c r="HW7" s="2644"/>
      <c r="HX7" s="2644"/>
      <c r="HY7" s="2644"/>
      <c r="HZ7" s="2644"/>
      <c r="IA7" s="2644"/>
      <c r="IB7" s="2644"/>
      <c r="IC7" s="2644"/>
      <c r="ID7" s="2644"/>
      <c r="IE7" s="2644"/>
      <c r="IF7" s="2644"/>
      <c r="IG7" s="2644"/>
      <c r="IH7" s="2644"/>
      <c r="II7" s="2644"/>
      <c r="IJ7" s="2644"/>
      <c r="IK7" s="2644"/>
      <c r="IL7" s="2644"/>
      <c r="IM7" s="2644"/>
      <c r="IN7" s="2644"/>
      <c r="IO7" s="2644"/>
      <c r="IP7" s="2644"/>
      <c r="IQ7" s="2644"/>
      <c r="IR7" s="2644"/>
      <c r="IS7" s="2644"/>
      <c r="IT7" s="2644"/>
      <c r="IU7" s="2644"/>
      <c r="IV7" s="2644"/>
    </row>
    <row r="8" spans="1:257">
      <c r="A8" s="2661"/>
      <c r="B8" s="2662"/>
      <c r="C8" s="2663"/>
      <c r="D8" s="2644"/>
      <c r="E8" s="2644"/>
      <c r="F8" s="2644"/>
      <c r="G8" s="2644"/>
      <c r="H8" s="2644"/>
      <c r="I8" s="2644"/>
      <c r="J8" s="2644"/>
      <c r="L8" s="2644"/>
      <c r="M8" s="2644"/>
      <c r="N8" s="2644"/>
      <c r="O8" s="2644"/>
      <c r="P8" s="2644"/>
      <c r="Q8" s="2644"/>
      <c r="R8" s="2644"/>
      <c r="S8" s="2644"/>
      <c r="T8" s="2644"/>
      <c r="U8" s="2644"/>
      <c r="V8" s="2644"/>
      <c r="W8" s="2644"/>
      <c r="X8" s="2644"/>
      <c r="Y8" s="2644"/>
      <c r="Z8" s="2644"/>
    </row>
    <row r="9" spans="1:257" ht="20.25">
      <c r="A9" s="2664"/>
      <c r="B9" s="2665" t="s">
        <v>2770</v>
      </c>
      <c r="C9" s="2666"/>
      <c r="D9" s="2667"/>
      <c r="E9" s="2667"/>
      <c r="F9" s="2667"/>
      <c r="G9" s="2667"/>
      <c r="H9" s="2667"/>
      <c r="I9" s="2667"/>
      <c r="J9" s="2667"/>
      <c r="K9" s="2667"/>
      <c r="L9" s="2667"/>
      <c r="M9" s="2667"/>
      <c r="N9" s="2667"/>
      <c r="O9" s="2667"/>
      <c r="P9" s="2667"/>
      <c r="Q9" s="2667"/>
      <c r="R9" s="2667"/>
      <c r="S9" s="2667"/>
      <c r="T9" s="2667"/>
      <c r="U9" s="2667"/>
      <c r="V9" s="2667"/>
      <c r="W9" s="2667"/>
      <c r="X9" s="2667"/>
      <c r="Y9" s="2667"/>
      <c r="Z9" s="2667"/>
      <c r="AA9" s="2668"/>
      <c r="AB9" s="2668"/>
      <c r="AC9" s="2668"/>
      <c r="AD9" s="2668"/>
      <c r="AE9" s="2668"/>
      <c r="AF9" s="2668"/>
      <c r="AG9" s="2668"/>
      <c r="AH9" s="2668"/>
      <c r="AI9" s="2668"/>
      <c r="AJ9" s="2668"/>
      <c r="AK9" s="2668"/>
      <c r="AL9" s="2668"/>
      <c r="AM9" s="2668"/>
      <c r="AN9" s="2668"/>
      <c r="AO9" s="2668"/>
      <c r="AP9" s="2668"/>
      <c r="AQ9" s="2668"/>
      <c r="AR9" s="2668"/>
      <c r="AS9" s="2668"/>
      <c r="AT9" s="2668"/>
      <c r="AU9" s="2668"/>
      <c r="AV9" s="2668"/>
      <c r="AW9" s="2668"/>
      <c r="AX9" s="2668"/>
      <c r="AY9" s="2668"/>
      <c r="AZ9" s="2668"/>
      <c r="BA9" s="2668"/>
      <c r="BB9" s="2668"/>
      <c r="BC9" s="2668"/>
      <c r="BD9" s="2668"/>
      <c r="BE9" s="2668"/>
      <c r="BF9" s="2668"/>
      <c r="BG9" s="2668"/>
      <c r="BH9" s="2668"/>
      <c r="BI9" s="2668"/>
      <c r="BJ9" s="2668"/>
      <c r="BK9" s="2668"/>
      <c r="BL9" s="2668"/>
      <c r="BM9" s="2668"/>
      <c r="BN9" s="2668"/>
      <c r="BO9" s="2668"/>
      <c r="BP9" s="2668"/>
      <c r="BQ9" s="2668"/>
      <c r="BR9" s="2668"/>
      <c r="BS9" s="2668"/>
      <c r="BT9" s="2668"/>
      <c r="BU9" s="2668"/>
      <c r="BV9" s="2668"/>
      <c r="BW9" s="2668"/>
      <c r="BX9" s="2668"/>
      <c r="BY9" s="2668"/>
      <c r="BZ9" s="2668"/>
      <c r="CA9" s="2668"/>
      <c r="CB9" s="2668"/>
      <c r="CC9" s="2668"/>
      <c r="CD9" s="2668"/>
      <c r="CE9" s="2668"/>
      <c r="CF9" s="2668"/>
      <c r="CG9" s="2668"/>
      <c r="CH9" s="2668"/>
      <c r="CI9" s="2668"/>
      <c r="CJ9" s="2668"/>
      <c r="CK9" s="2668"/>
      <c r="CL9" s="2668"/>
      <c r="CM9" s="2668"/>
      <c r="CN9" s="2668"/>
      <c r="CO9" s="2668"/>
      <c r="CP9" s="2668"/>
      <c r="CQ9" s="2668"/>
      <c r="CR9" s="2668"/>
      <c r="CS9" s="2668"/>
      <c r="CT9" s="2668"/>
      <c r="CU9" s="2668"/>
      <c r="CV9" s="2668"/>
      <c r="CW9" s="2668"/>
      <c r="CX9" s="2668"/>
      <c r="CY9" s="2668"/>
      <c r="CZ9" s="2668"/>
      <c r="DA9" s="2668"/>
      <c r="DB9" s="2668"/>
      <c r="DC9" s="2668"/>
      <c r="DD9" s="2668"/>
      <c r="DE9" s="2668"/>
      <c r="DF9" s="2668"/>
      <c r="DG9" s="2668"/>
      <c r="DH9" s="2668"/>
      <c r="DI9" s="2668"/>
      <c r="DJ9" s="2668"/>
      <c r="DK9" s="2668"/>
      <c r="DL9" s="2668"/>
      <c r="DM9" s="2668"/>
      <c r="DN9" s="2668"/>
      <c r="DO9" s="2668"/>
      <c r="DP9" s="2668"/>
      <c r="DQ9" s="2668"/>
      <c r="DR9" s="2668"/>
      <c r="DS9" s="2668"/>
      <c r="DT9" s="2668"/>
      <c r="DU9" s="2668"/>
      <c r="DV9" s="2668"/>
      <c r="DW9" s="2668"/>
      <c r="DX9" s="2668"/>
      <c r="DY9" s="2668"/>
      <c r="DZ9" s="2668"/>
      <c r="EA9" s="2668"/>
      <c r="EB9" s="2668"/>
      <c r="EC9" s="2668"/>
      <c r="ED9" s="2668"/>
      <c r="EE9" s="2668"/>
      <c r="EF9" s="2668"/>
      <c r="EG9" s="2668"/>
      <c r="EH9" s="2668"/>
      <c r="EI9" s="2668"/>
      <c r="EJ9" s="2668"/>
      <c r="EK9" s="2668"/>
      <c r="EL9" s="2668"/>
      <c r="EM9" s="2668"/>
      <c r="EN9" s="2668"/>
      <c r="EO9" s="2668"/>
      <c r="EP9" s="2668"/>
      <c r="EQ9" s="2668"/>
      <c r="ER9" s="2668"/>
      <c r="ES9" s="2668"/>
      <c r="ET9" s="2668"/>
      <c r="EU9" s="2668"/>
      <c r="EV9" s="2668"/>
      <c r="EW9" s="2668"/>
      <c r="EX9" s="2668"/>
      <c r="EY9" s="2668"/>
      <c r="EZ9" s="2668"/>
      <c r="FA9" s="2668"/>
      <c r="FB9" s="2668"/>
      <c r="FC9" s="2668"/>
      <c r="FD9" s="2668"/>
      <c r="FE9" s="2668"/>
      <c r="FF9" s="2668"/>
      <c r="FG9" s="2668"/>
      <c r="FH9" s="2668"/>
      <c r="FI9" s="2668"/>
      <c r="FJ9" s="2668"/>
      <c r="FK9" s="2668"/>
      <c r="FL9" s="2668"/>
      <c r="FM9" s="2668"/>
      <c r="FN9" s="2668"/>
      <c r="FO9" s="2668"/>
      <c r="FP9" s="2668"/>
      <c r="FQ9" s="2668"/>
      <c r="FR9" s="2668"/>
      <c r="FS9" s="2668"/>
      <c r="FT9" s="2668"/>
      <c r="FU9" s="2668"/>
      <c r="FV9" s="2668"/>
      <c r="FW9" s="2668"/>
      <c r="FX9" s="2668"/>
      <c r="FY9" s="2668"/>
      <c r="FZ9" s="2668"/>
      <c r="GA9" s="2668"/>
      <c r="GB9" s="2668"/>
      <c r="GC9" s="2668"/>
      <c r="GD9" s="2668"/>
      <c r="GE9" s="2668"/>
      <c r="GF9" s="2668"/>
      <c r="GG9" s="2668"/>
      <c r="GH9" s="2668"/>
      <c r="GI9" s="2668"/>
      <c r="GJ9" s="2668"/>
      <c r="GK9" s="2668"/>
      <c r="GL9" s="2668"/>
      <c r="GM9" s="2668"/>
      <c r="GN9" s="2668"/>
      <c r="GO9" s="2668"/>
      <c r="GP9" s="2668"/>
      <c r="GQ9" s="2668"/>
      <c r="GR9" s="2668"/>
      <c r="GS9" s="2668"/>
      <c r="GT9" s="2668"/>
      <c r="GU9" s="2668"/>
      <c r="GV9" s="2668"/>
      <c r="GW9" s="2668"/>
      <c r="GX9" s="2668"/>
      <c r="GY9" s="2668"/>
      <c r="GZ9" s="2668"/>
      <c r="HA9" s="2668"/>
      <c r="HB9" s="2668"/>
      <c r="HC9" s="2668"/>
      <c r="HD9" s="2668"/>
      <c r="HE9" s="2668"/>
      <c r="HF9" s="2668"/>
      <c r="HG9" s="2668"/>
      <c r="HH9" s="2668"/>
      <c r="HI9" s="2668"/>
      <c r="HJ9" s="2668"/>
      <c r="HK9" s="2668"/>
      <c r="HL9" s="2668"/>
      <c r="HM9" s="2668"/>
      <c r="HN9" s="2668"/>
      <c r="HO9" s="2668"/>
      <c r="HP9" s="2668"/>
      <c r="HQ9" s="2668"/>
      <c r="HR9" s="2668"/>
      <c r="HS9" s="2668"/>
      <c r="HT9" s="2668"/>
      <c r="HU9" s="2668"/>
      <c r="HV9" s="2668"/>
      <c r="HW9" s="2668"/>
      <c r="HX9" s="2668"/>
      <c r="HY9" s="2668"/>
      <c r="HZ9" s="2668"/>
      <c r="IA9" s="2668"/>
      <c r="IB9" s="2668"/>
      <c r="IC9" s="2668"/>
      <c r="ID9" s="2668"/>
      <c r="IE9" s="2668"/>
      <c r="IF9" s="2668"/>
      <c r="IG9" s="2668"/>
      <c r="IH9" s="2668"/>
      <c r="II9" s="2668"/>
      <c r="IJ9" s="2668"/>
      <c r="IK9" s="2668"/>
      <c r="IL9" s="2668"/>
      <c r="IM9" s="2668"/>
      <c r="IN9" s="2668"/>
      <c r="IO9" s="2668"/>
      <c r="IP9" s="2668"/>
      <c r="IQ9" s="2668"/>
      <c r="IR9" s="2668"/>
      <c r="IS9" s="2668"/>
      <c r="IT9" s="2668"/>
      <c r="IU9" s="2668"/>
      <c r="IV9" s="2668"/>
      <c r="IW9" s="2669"/>
    </row>
    <row r="10" spans="1:257" ht="22.5">
      <c r="A10" s="2670"/>
      <c r="B10" s="2671" t="s">
        <v>2771</v>
      </c>
      <c r="C10" s="2670"/>
      <c r="D10" s="2670"/>
      <c r="E10" s="2670"/>
      <c r="F10" s="2670"/>
      <c r="G10" s="2670"/>
      <c r="H10" s="2670"/>
      <c r="I10" s="2644"/>
      <c r="J10" s="2644"/>
      <c r="K10" s="2670"/>
      <c r="L10" s="2671" t="s">
        <v>2772</v>
      </c>
      <c r="M10" s="2670"/>
      <c r="N10" s="2670"/>
      <c r="O10" s="2670"/>
      <c r="P10" s="2670"/>
      <c r="Q10" s="2670"/>
      <c r="R10" s="2670"/>
      <c r="S10" s="2670"/>
      <c r="T10" s="2670"/>
      <c r="U10" s="2670"/>
      <c r="V10" s="2670"/>
      <c r="W10" s="2670"/>
      <c r="X10" s="2670"/>
      <c r="Y10" s="2670"/>
      <c r="Z10" s="2670"/>
      <c r="AA10" s="2672"/>
      <c r="AB10" s="2672"/>
      <c r="AC10" s="2672"/>
      <c r="AD10" s="2672"/>
      <c r="AE10" s="2672"/>
      <c r="AF10" s="2672"/>
      <c r="AG10" s="2672"/>
      <c r="AH10" s="2672"/>
      <c r="AI10" s="2672"/>
      <c r="AJ10" s="2672"/>
      <c r="AK10" s="2672"/>
      <c r="AL10" s="2672"/>
      <c r="AM10" s="2672"/>
      <c r="AN10" s="2672"/>
      <c r="AO10" s="2672"/>
      <c r="AP10" s="2672"/>
      <c r="AQ10" s="2672"/>
      <c r="AR10" s="2672"/>
      <c r="AS10" s="2672"/>
      <c r="AT10" s="2672"/>
      <c r="AU10" s="2672"/>
      <c r="AV10" s="2672"/>
      <c r="AW10" s="2672"/>
      <c r="AX10" s="2672"/>
      <c r="AY10" s="2672"/>
      <c r="AZ10" s="2672"/>
      <c r="BA10" s="2672"/>
      <c r="BB10" s="2672"/>
      <c r="BC10" s="2672"/>
      <c r="BD10" s="2672"/>
      <c r="BE10" s="2672"/>
      <c r="BF10" s="2672"/>
      <c r="BG10" s="2672"/>
      <c r="BH10" s="2672"/>
      <c r="BI10" s="2672"/>
      <c r="BJ10" s="2672"/>
      <c r="BK10" s="2672"/>
      <c r="BL10" s="2672"/>
      <c r="BM10" s="2672"/>
      <c r="BN10" s="2672"/>
      <c r="BO10" s="2672"/>
      <c r="BP10" s="2672"/>
      <c r="BQ10" s="2672"/>
      <c r="BR10" s="2672"/>
      <c r="BS10" s="2672"/>
      <c r="BT10" s="2672"/>
      <c r="BU10" s="2672"/>
      <c r="BV10" s="2672"/>
      <c r="BW10" s="2672"/>
      <c r="BX10" s="2672"/>
      <c r="BY10" s="2672"/>
      <c r="BZ10" s="2672"/>
      <c r="CA10" s="2672"/>
      <c r="CB10" s="2672"/>
      <c r="CC10" s="2672"/>
      <c r="CD10" s="2672"/>
      <c r="CE10" s="2672"/>
      <c r="CF10" s="2672"/>
      <c r="CG10" s="2672"/>
      <c r="CH10" s="2672"/>
      <c r="CI10" s="2672"/>
      <c r="CJ10" s="2672"/>
      <c r="CK10" s="2672"/>
      <c r="CL10" s="2672"/>
      <c r="CM10" s="2672"/>
      <c r="CN10" s="2672"/>
      <c r="CO10" s="2672"/>
      <c r="CP10" s="2672"/>
      <c r="CQ10" s="2672"/>
      <c r="CR10" s="2672"/>
      <c r="CS10" s="2672"/>
      <c r="CT10" s="2672"/>
      <c r="CU10" s="2672"/>
      <c r="CV10" s="2672"/>
      <c r="CW10" s="2672"/>
      <c r="CX10" s="2672"/>
      <c r="CY10" s="2672"/>
      <c r="CZ10" s="2672"/>
      <c r="DA10" s="2672"/>
      <c r="DB10" s="2672"/>
      <c r="DC10" s="2672"/>
      <c r="DD10" s="2672"/>
      <c r="DE10" s="2672"/>
      <c r="DF10" s="2672"/>
      <c r="DG10" s="2672"/>
      <c r="DH10" s="2672"/>
      <c r="DI10" s="2672"/>
      <c r="DJ10" s="2672"/>
      <c r="DK10" s="2672"/>
      <c r="DL10" s="2672"/>
      <c r="DM10" s="2672"/>
      <c r="DN10" s="2672"/>
      <c r="DO10" s="2672"/>
      <c r="DP10" s="2672"/>
      <c r="DQ10" s="2672"/>
      <c r="DR10" s="2672"/>
      <c r="DS10" s="2672"/>
      <c r="DT10" s="2672"/>
      <c r="DU10" s="2672"/>
      <c r="DV10" s="2672"/>
      <c r="DW10" s="2672"/>
      <c r="DX10" s="2672"/>
      <c r="DY10" s="2672"/>
      <c r="DZ10" s="2672"/>
      <c r="EA10" s="2672"/>
      <c r="EB10" s="2672"/>
      <c r="EC10" s="2672"/>
      <c r="ED10" s="2672"/>
      <c r="EE10" s="2672"/>
      <c r="EF10" s="2672"/>
      <c r="EG10" s="2672"/>
      <c r="EH10" s="2672"/>
      <c r="EI10" s="2672"/>
      <c r="EJ10" s="2672"/>
      <c r="EK10" s="2672"/>
      <c r="EL10" s="2672"/>
      <c r="EM10" s="2672"/>
      <c r="EN10" s="2672"/>
      <c r="EO10" s="2672"/>
      <c r="EP10" s="2672"/>
      <c r="EQ10" s="2672"/>
      <c r="ER10" s="2672"/>
      <c r="ES10" s="2672"/>
      <c r="ET10" s="2672"/>
      <c r="EU10" s="2672"/>
      <c r="EV10" s="2672"/>
      <c r="EW10" s="2672"/>
      <c r="EX10" s="2672"/>
      <c r="EY10" s="2672"/>
      <c r="EZ10" s="2672"/>
      <c r="FA10" s="2672"/>
      <c r="FB10" s="2672"/>
      <c r="FC10" s="2672"/>
      <c r="FD10" s="2672"/>
      <c r="FE10" s="2672"/>
      <c r="FF10" s="2672"/>
      <c r="FG10" s="2672"/>
      <c r="FH10" s="2672"/>
      <c r="FI10" s="2672"/>
      <c r="FJ10" s="2672"/>
      <c r="FK10" s="2672"/>
      <c r="FL10" s="2672"/>
      <c r="FM10" s="2672"/>
      <c r="FN10" s="2672"/>
      <c r="FO10" s="2672"/>
      <c r="FP10" s="2672"/>
      <c r="FQ10" s="2672"/>
      <c r="FR10" s="2672"/>
      <c r="FS10" s="2672"/>
      <c r="FT10" s="2672"/>
      <c r="FU10" s="2672"/>
      <c r="FV10" s="2672"/>
      <c r="FW10" s="2672"/>
      <c r="FX10" s="2672"/>
      <c r="FY10" s="2672"/>
      <c r="FZ10" s="2672"/>
      <c r="GA10" s="2672"/>
      <c r="GB10" s="2672"/>
      <c r="GC10" s="2672"/>
      <c r="GD10" s="2672"/>
      <c r="GE10" s="2672"/>
      <c r="GF10" s="2672"/>
      <c r="GG10" s="2672"/>
      <c r="GH10" s="2672"/>
      <c r="GI10" s="2672"/>
      <c r="GJ10" s="2672"/>
      <c r="GK10" s="2672"/>
      <c r="GL10" s="2672"/>
      <c r="GM10" s="2672"/>
      <c r="GN10" s="2672"/>
      <c r="GO10" s="2672"/>
      <c r="GP10" s="2672"/>
      <c r="GQ10" s="2672"/>
      <c r="GR10" s="2672"/>
      <c r="GS10" s="2672"/>
      <c r="GT10" s="2672"/>
      <c r="GU10" s="2672"/>
      <c r="GV10" s="2672"/>
      <c r="GW10" s="2672"/>
      <c r="GX10" s="2672"/>
      <c r="GY10" s="2672"/>
      <c r="GZ10" s="2672"/>
      <c r="HA10" s="2672"/>
      <c r="HB10" s="2672"/>
      <c r="HC10" s="2672"/>
      <c r="HD10" s="2672"/>
      <c r="HE10" s="2672"/>
      <c r="HF10" s="2672"/>
      <c r="HG10" s="2672"/>
      <c r="HH10" s="2672"/>
      <c r="HI10" s="2672"/>
      <c r="HJ10" s="2672"/>
      <c r="HK10" s="2672"/>
      <c r="HL10" s="2672"/>
      <c r="HM10" s="2672"/>
      <c r="HN10" s="2672"/>
      <c r="HO10" s="2672"/>
      <c r="HP10" s="2672"/>
      <c r="HQ10" s="2672"/>
      <c r="HR10" s="2672"/>
      <c r="HS10" s="2672"/>
      <c r="HT10" s="2672"/>
      <c r="HU10" s="2672"/>
      <c r="HV10" s="2672"/>
      <c r="HW10" s="2672"/>
      <c r="HX10" s="2672"/>
      <c r="HY10" s="2672"/>
      <c r="HZ10" s="2672"/>
      <c r="IA10" s="2672"/>
      <c r="IB10" s="2672"/>
      <c r="IC10" s="2672"/>
      <c r="ID10" s="2672"/>
      <c r="IE10" s="2672"/>
      <c r="IF10" s="2672"/>
      <c r="IG10" s="2672"/>
      <c r="IH10" s="2672"/>
      <c r="II10" s="2672"/>
      <c r="IJ10" s="2672"/>
      <c r="IK10" s="2672"/>
      <c r="IL10" s="2672"/>
      <c r="IM10" s="2672"/>
      <c r="IN10" s="2672"/>
      <c r="IO10" s="2672"/>
      <c r="IP10" s="2672"/>
      <c r="IQ10" s="2672"/>
      <c r="IR10" s="2672"/>
      <c r="IS10" s="2672"/>
      <c r="IT10" s="2672"/>
      <c r="IU10" s="2672"/>
      <c r="IV10" s="2672"/>
    </row>
    <row r="11" spans="1:257">
      <c r="A11" s="2673"/>
      <c r="B11" s="2674" t="s">
        <v>2773</v>
      </c>
      <c r="C11" s="2675" t="s">
        <v>2774</v>
      </c>
      <c r="D11" s="2676" t="s">
        <v>2775</v>
      </c>
      <c r="E11" s="2677"/>
      <c r="F11" s="2676" t="s">
        <v>2776</v>
      </c>
      <c r="G11" s="2678"/>
      <c r="H11" s="2677"/>
      <c r="I11" s="2676" t="s">
        <v>2777</v>
      </c>
      <c r="J11" s="2677"/>
      <c r="K11" s="2673"/>
      <c r="L11" s="2674" t="s">
        <v>2773</v>
      </c>
      <c r="M11" s="2675" t="s">
        <v>2774</v>
      </c>
      <c r="N11" s="2674" t="s">
        <v>2778</v>
      </c>
      <c r="O11" s="2676" t="s">
        <v>2779</v>
      </c>
      <c r="P11" s="2678"/>
      <c r="Q11" s="2678"/>
      <c r="R11" s="2678"/>
      <c r="S11" s="2678"/>
      <c r="T11" s="2677"/>
      <c r="U11" s="2676" t="s">
        <v>2780</v>
      </c>
      <c r="V11" s="2678"/>
      <c r="W11" s="2677"/>
      <c r="X11" s="2674" t="s">
        <v>2781</v>
      </c>
      <c r="Y11" s="2674" t="s">
        <v>2782</v>
      </c>
      <c r="Z11" s="2674" t="s">
        <v>2783</v>
      </c>
      <c r="AA11" s="2679"/>
      <c r="AB11" s="2679"/>
      <c r="AC11" s="2679"/>
      <c r="AD11" s="2679"/>
      <c r="AE11" s="2679"/>
      <c r="AF11" s="2679"/>
      <c r="AG11" s="2679"/>
      <c r="AH11" s="2679"/>
      <c r="AI11" s="2679"/>
      <c r="AJ11" s="2679"/>
      <c r="AK11" s="2679"/>
      <c r="AL11" s="2679"/>
      <c r="AM11" s="2679"/>
      <c r="AN11" s="2679"/>
      <c r="AO11" s="2679"/>
      <c r="AP11" s="2679"/>
      <c r="AQ11" s="2679"/>
      <c r="AR11" s="2679"/>
      <c r="AS11" s="2679"/>
      <c r="AT11" s="2679"/>
      <c r="AU11" s="2679"/>
      <c r="AV11" s="2679"/>
      <c r="AW11" s="2679"/>
      <c r="AX11" s="2679"/>
      <c r="AY11" s="2679"/>
      <c r="AZ11" s="2679"/>
      <c r="BA11" s="2679"/>
      <c r="BB11" s="2679"/>
      <c r="BC11" s="2679"/>
      <c r="BD11" s="2679"/>
      <c r="BE11" s="2679"/>
      <c r="BF11" s="2679"/>
      <c r="BG11" s="2679"/>
      <c r="BH11" s="2679"/>
      <c r="BI11" s="2679"/>
      <c r="BJ11" s="2679"/>
      <c r="BK11" s="2679"/>
      <c r="BL11" s="2679"/>
      <c r="BM11" s="2679"/>
      <c r="BN11" s="2679"/>
      <c r="BO11" s="2679"/>
      <c r="BP11" s="2679"/>
      <c r="BQ11" s="2679"/>
      <c r="BR11" s="2679"/>
      <c r="BS11" s="2679"/>
      <c r="BT11" s="2679"/>
      <c r="BU11" s="2679"/>
      <c r="BV11" s="2679"/>
      <c r="BW11" s="2679"/>
      <c r="BX11" s="2679"/>
      <c r="BY11" s="2679"/>
      <c r="BZ11" s="2679"/>
      <c r="CA11" s="2679"/>
      <c r="CB11" s="2679"/>
      <c r="CC11" s="2679"/>
      <c r="CD11" s="2679"/>
      <c r="CE11" s="2679"/>
      <c r="CF11" s="2679"/>
      <c r="CG11" s="2679"/>
      <c r="CH11" s="2679"/>
      <c r="CI11" s="2679"/>
      <c r="CJ11" s="2679"/>
      <c r="CK11" s="2679"/>
      <c r="CL11" s="2679"/>
      <c r="CM11" s="2679"/>
      <c r="CN11" s="2679"/>
      <c r="CO11" s="2679"/>
      <c r="CP11" s="2679"/>
      <c r="CQ11" s="2679"/>
      <c r="CR11" s="2679"/>
      <c r="CS11" s="2679"/>
      <c r="CT11" s="2679"/>
      <c r="CU11" s="2679"/>
      <c r="CV11" s="2679"/>
      <c r="CW11" s="2679"/>
      <c r="CX11" s="2679"/>
      <c r="CY11" s="2679"/>
      <c r="CZ11" s="2679"/>
      <c r="DA11" s="2679"/>
      <c r="DB11" s="2679"/>
      <c r="DC11" s="2679"/>
      <c r="DD11" s="2679"/>
      <c r="DE11" s="2679"/>
      <c r="DF11" s="2679"/>
      <c r="DG11" s="2679"/>
      <c r="DH11" s="2679"/>
      <c r="DI11" s="2679"/>
      <c r="DJ11" s="2679"/>
      <c r="DK11" s="2679"/>
      <c r="DL11" s="2679"/>
      <c r="DM11" s="2679"/>
      <c r="DN11" s="2679"/>
      <c r="DO11" s="2679"/>
      <c r="DP11" s="2679"/>
      <c r="DQ11" s="2679"/>
      <c r="DR11" s="2679"/>
      <c r="DS11" s="2679"/>
      <c r="DT11" s="2679"/>
      <c r="DU11" s="2679"/>
      <c r="DV11" s="2679"/>
      <c r="DW11" s="2679"/>
      <c r="DX11" s="2679"/>
      <c r="DY11" s="2679"/>
      <c r="DZ11" s="2679"/>
      <c r="EA11" s="2679"/>
      <c r="EB11" s="2679"/>
      <c r="EC11" s="2679"/>
      <c r="ED11" s="2679"/>
      <c r="EE11" s="2679"/>
      <c r="EF11" s="2679"/>
      <c r="EG11" s="2679"/>
      <c r="EH11" s="2679"/>
      <c r="EI11" s="2679"/>
      <c r="EJ11" s="2679"/>
      <c r="EK11" s="2679"/>
      <c r="EL11" s="2679"/>
      <c r="EM11" s="2679"/>
      <c r="EN11" s="2679"/>
      <c r="EO11" s="2679"/>
      <c r="EP11" s="2679"/>
      <c r="EQ11" s="2679"/>
      <c r="ER11" s="2679"/>
      <c r="ES11" s="2679"/>
      <c r="ET11" s="2679"/>
      <c r="EU11" s="2679"/>
      <c r="EV11" s="2679"/>
      <c r="EW11" s="2679"/>
      <c r="EX11" s="2679"/>
      <c r="EY11" s="2679"/>
      <c r="EZ11" s="2679"/>
      <c r="FA11" s="2679"/>
      <c r="FB11" s="2679"/>
      <c r="FC11" s="2679"/>
      <c r="FD11" s="2679"/>
      <c r="FE11" s="2679"/>
      <c r="FF11" s="2679"/>
      <c r="FG11" s="2679"/>
      <c r="FH11" s="2679"/>
      <c r="FI11" s="2679"/>
      <c r="FJ11" s="2679"/>
      <c r="FK11" s="2679"/>
      <c r="FL11" s="2679"/>
      <c r="FM11" s="2679"/>
      <c r="FN11" s="2679"/>
      <c r="FO11" s="2679"/>
      <c r="FP11" s="2679"/>
      <c r="FQ11" s="2679"/>
      <c r="FR11" s="2679"/>
      <c r="FS11" s="2679"/>
      <c r="FT11" s="2679"/>
      <c r="FU11" s="2679"/>
      <c r="FV11" s="2679"/>
      <c r="FW11" s="2679"/>
      <c r="FX11" s="2679"/>
      <c r="FY11" s="2679"/>
      <c r="FZ11" s="2679"/>
      <c r="GA11" s="2679"/>
      <c r="GB11" s="2679"/>
      <c r="GC11" s="2679"/>
      <c r="GD11" s="2679"/>
      <c r="GE11" s="2679"/>
      <c r="GF11" s="2679"/>
      <c r="GG11" s="2679"/>
      <c r="GH11" s="2679"/>
      <c r="GI11" s="2679"/>
      <c r="GJ11" s="2679"/>
      <c r="GK11" s="2679"/>
      <c r="GL11" s="2679"/>
      <c r="GM11" s="2679"/>
      <c r="GN11" s="2679"/>
      <c r="GO11" s="2679"/>
      <c r="GP11" s="2679"/>
      <c r="GQ11" s="2679"/>
      <c r="GR11" s="2679"/>
      <c r="GS11" s="2679"/>
      <c r="GT11" s="2679"/>
      <c r="GU11" s="2679"/>
      <c r="GV11" s="2679"/>
      <c r="GW11" s="2679"/>
      <c r="GX11" s="2679"/>
      <c r="GY11" s="2679"/>
      <c r="GZ11" s="2679"/>
      <c r="HA11" s="2679"/>
      <c r="HB11" s="2679"/>
      <c r="HC11" s="2679"/>
      <c r="HD11" s="2679"/>
      <c r="HE11" s="2679"/>
      <c r="HF11" s="2679"/>
      <c r="HG11" s="2679"/>
      <c r="HH11" s="2679"/>
      <c r="HI11" s="2679"/>
      <c r="HJ11" s="2679"/>
      <c r="HK11" s="2679"/>
      <c r="HL11" s="2679"/>
      <c r="HM11" s="2679"/>
      <c r="HN11" s="2679"/>
      <c r="HO11" s="2679"/>
      <c r="HP11" s="2679"/>
      <c r="HQ11" s="2679"/>
      <c r="HR11" s="2679"/>
      <c r="HS11" s="2679"/>
      <c r="HT11" s="2679"/>
      <c r="HU11" s="2679"/>
      <c r="HV11" s="2679"/>
      <c r="HW11" s="2679"/>
      <c r="HX11" s="2679"/>
      <c r="HY11" s="2679"/>
      <c r="HZ11" s="2679"/>
      <c r="IA11" s="2679"/>
      <c r="IB11" s="2679"/>
      <c r="IC11" s="2679"/>
      <c r="ID11" s="2679"/>
      <c r="IE11" s="2679"/>
      <c r="IF11" s="2679"/>
      <c r="IG11" s="2679"/>
      <c r="IH11" s="2679"/>
      <c r="II11" s="2679"/>
      <c r="IJ11" s="2679"/>
      <c r="IK11" s="2679"/>
      <c r="IL11" s="2679"/>
      <c r="IM11" s="2679"/>
      <c r="IN11" s="2679"/>
      <c r="IO11" s="2679"/>
      <c r="IP11" s="2679"/>
      <c r="IQ11" s="2679"/>
      <c r="IR11" s="2679"/>
      <c r="IS11" s="2679"/>
      <c r="IT11" s="2679"/>
      <c r="IU11" s="2679"/>
      <c r="IV11" s="2679"/>
    </row>
    <row r="12" spans="1:257">
      <c r="A12" s="2680"/>
      <c r="B12" s="2681"/>
      <c r="C12" s="2682"/>
      <c r="D12" s="2683" t="s">
        <v>2784</v>
      </c>
      <c r="E12" s="2683" t="s">
        <v>2785</v>
      </c>
      <c r="F12" s="2683" t="s">
        <v>2786</v>
      </c>
      <c r="G12" s="2683" t="s">
        <v>2787</v>
      </c>
      <c r="H12" s="2683" t="s">
        <v>2769</v>
      </c>
      <c r="I12" s="2684" t="s">
        <v>2788</v>
      </c>
      <c r="J12" s="2684" t="s">
        <v>2788</v>
      </c>
      <c r="K12" s="2680"/>
      <c r="L12" s="2681"/>
      <c r="M12" s="2682"/>
      <c r="N12" s="2681"/>
      <c r="O12" s="2684" t="s">
        <v>2789</v>
      </c>
      <c r="P12" s="2684">
        <v>0.5</v>
      </c>
      <c r="Q12" s="2684">
        <v>1</v>
      </c>
      <c r="R12" s="2684">
        <v>2</v>
      </c>
      <c r="S12" s="2684">
        <v>3</v>
      </c>
      <c r="T12" s="2684">
        <v>5</v>
      </c>
      <c r="U12" s="2684">
        <v>1</v>
      </c>
      <c r="V12" s="2684">
        <v>3</v>
      </c>
      <c r="W12" s="2684">
        <v>5</v>
      </c>
      <c r="X12" s="2681"/>
      <c r="Y12" s="2681"/>
      <c r="Z12" s="2681"/>
      <c r="AA12" s="2685"/>
      <c r="AB12" s="2685"/>
      <c r="AC12" s="2685"/>
      <c r="AD12" s="2685"/>
      <c r="AE12" s="2685"/>
      <c r="AF12" s="2685"/>
      <c r="AG12" s="2685"/>
      <c r="AH12" s="2685"/>
      <c r="AI12" s="2685"/>
      <c r="AJ12" s="2685"/>
      <c r="AK12" s="2685"/>
      <c r="AL12" s="2685"/>
      <c r="AM12" s="2685"/>
      <c r="AN12" s="2685"/>
      <c r="AO12" s="2685"/>
      <c r="AP12" s="2685"/>
      <c r="AQ12" s="2685"/>
      <c r="AR12" s="2685"/>
      <c r="AS12" s="2685"/>
      <c r="AT12" s="2685"/>
      <c r="AU12" s="2685"/>
      <c r="AV12" s="2685"/>
      <c r="AW12" s="2685"/>
      <c r="AX12" s="2685"/>
      <c r="AY12" s="2685"/>
      <c r="AZ12" s="2685"/>
      <c r="BA12" s="2685"/>
      <c r="BB12" s="2685"/>
      <c r="BC12" s="2685"/>
      <c r="BD12" s="2685"/>
      <c r="BE12" s="2685"/>
      <c r="BF12" s="2685"/>
      <c r="BG12" s="2685"/>
      <c r="BH12" s="2685"/>
      <c r="BI12" s="2685"/>
      <c r="BJ12" s="2685"/>
      <c r="BK12" s="2685"/>
      <c r="BL12" s="2685"/>
      <c r="BM12" s="2685"/>
      <c r="BN12" s="2685"/>
      <c r="BO12" s="2685"/>
      <c r="BP12" s="2685"/>
      <c r="BQ12" s="2685"/>
      <c r="BR12" s="2685"/>
      <c r="BS12" s="2685"/>
      <c r="BT12" s="2685"/>
      <c r="BU12" s="2685"/>
      <c r="BV12" s="2685"/>
      <c r="BW12" s="2685"/>
      <c r="BX12" s="2685"/>
      <c r="BY12" s="2685"/>
      <c r="BZ12" s="2685"/>
      <c r="CA12" s="2685"/>
      <c r="CB12" s="2685"/>
      <c r="CC12" s="2685"/>
      <c r="CD12" s="2685"/>
      <c r="CE12" s="2685"/>
      <c r="CF12" s="2685"/>
      <c r="CG12" s="2685"/>
      <c r="CH12" s="2685"/>
      <c r="CI12" s="2685"/>
      <c r="CJ12" s="2685"/>
      <c r="CK12" s="2685"/>
      <c r="CL12" s="2685"/>
      <c r="CM12" s="2685"/>
      <c r="CN12" s="2685"/>
      <c r="CO12" s="2685"/>
      <c r="CP12" s="2685"/>
      <c r="CQ12" s="2685"/>
      <c r="CR12" s="2685"/>
      <c r="CS12" s="2685"/>
      <c r="CT12" s="2685"/>
      <c r="CU12" s="2685"/>
      <c r="CV12" s="2685"/>
      <c r="CW12" s="2685"/>
      <c r="CX12" s="2685"/>
      <c r="CY12" s="2685"/>
      <c r="CZ12" s="2685"/>
      <c r="DA12" s="2685"/>
      <c r="DB12" s="2685"/>
      <c r="DC12" s="2685"/>
      <c r="DD12" s="2685"/>
      <c r="DE12" s="2685"/>
      <c r="DF12" s="2685"/>
      <c r="DG12" s="2685"/>
      <c r="DH12" s="2685"/>
      <c r="DI12" s="2685"/>
      <c r="DJ12" s="2685"/>
      <c r="DK12" s="2685"/>
      <c r="DL12" s="2685"/>
      <c r="DM12" s="2685"/>
      <c r="DN12" s="2685"/>
      <c r="DO12" s="2685"/>
      <c r="DP12" s="2685"/>
      <c r="DQ12" s="2685"/>
      <c r="DR12" s="2685"/>
      <c r="DS12" s="2685"/>
      <c r="DT12" s="2685"/>
      <c r="DU12" s="2685"/>
      <c r="DV12" s="2685"/>
      <c r="DW12" s="2685"/>
      <c r="DX12" s="2685"/>
      <c r="DY12" s="2685"/>
      <c r="DZ12" s="2685"/>
      <c r="EA12" s="2685"/>
      <c r="EB12" s="2685"/>
      <c r="EC12" s="2685"/>
      <c r="ED12" s="2685"/>
      <c r="EE12" s="2685"/>
      <c r="EF12" s="2685"/>
      <c r="EG12" s="2685"/>
      <c r="EH12" s="2685"/>
      <c r="EI12" s="2685"/>
      <c r="EJ12" s="2685"/>
      <c r="EK12" s="2685"/>
      <c r="EL12" s="2685"/>
      <c r="EM12" s="2685"/>
      <c r="EN12" s="2685"/>
      <c r="EO12" s="2685"/>
      <c r="EP12" s="2685"/>
      <c r="EQ12" s="2685"/>
      <c r="ER12" s="2685"/>
      <c r="ES12" s="2685"/>
      <c r="ET12" s="2685"/>
      <c r="EU12" s="2685"/>
      <c r="EV12" s="2685"/>
      <c r="EW12" s="2685"/>
      <c r="EX12" s="2685"/>
      <c r="EY12" s="2685"/>
      <c r="EZ12" s="2685"/>
      <c r="FA12" s="2685"/>
      <c r="FB12" s="2685"/>
      <c r="FC12" s="2685"/>
      <c r="FD12" s="2685"/>
      <c r="FE12" s="2685"/>
      <c r="FF12" s="2685"/>
      <c r="FG12" s="2685"/>
      <c r="FH12" s="2685"/>
      <c r="FI12" s="2685"/>
      <c r="FJ12" s="2685"/>
      <c r="FK12" s="2685"/>
      <c r="FL12" s="2685"/>
      <c r="FM12" s="2685"/>
      <c r="FN12" s="2685"/>
      <c r="FO12" s="2685"/>
      <c r="FP12" s="2685"/>
      <c r="FQ12" s="2685"/>
      <c r="FR12" s="2685"/>
      <c r="FS12" s="2685"/>
      <c r="FT12" s="2685"/>
      <c r="FU12" s="2685"/>
      <c r="FV12" s="2685"/>
      <c r="FW12" s="2685"/>
      <c r="FX12" s="2685"/>
      <c r="FY12" s="2685"/>
      <c r="FZ12" s="2685"/>
      <c r="GA12" s="2685"/>
      <c r="GB12" s="2685"/>
      <c r="GC12" s="2685"/>
      <c r="GD12" s="2685"/>
      <c r="GE12" s="2685"/>
      <c r="GF12" s="2685"/>
      <c r="GG12" s="2685"/>
      <c r="GH12" s="2685"/>
      <c r="GI12" s="2685"/>
      <c r="GJ12" s="2685"/>
      <c r="GK12" s="2685"/>
      <c r="GL12" s="2685"/>
      <c r="GM12" s="2685"/>
      <c r="GN12" s="2685"/>
      <c r="GO12" s="2685"/>
      <c r="GP12" s="2685"/>
      <c r="GQ12" s="2685"/>
      <c r="GR12" s="2685"/>
      <c r="GS12" s="2685"/>
      <c r="GT12" s="2685"/>
      <c r="GU12" s="2685"/>
      <c r="GV12" s="2685"/>
      <c r="GW12" s="2685"/>
      <c r="GX12" s="2685"/>
      <c r="GY12" s="2685"/>
      <c r="GZ12" s="2685"/>
      <c r="HA12" s="2685"/>
      <c r="HB12" s="2685"/>
      <c r="HC12" s="2685"/>
      <c r="HD12" s="2685"/>
      <c r="HE12" s="2685"/>
      <c r="HF12" s="2685"/>
      <c r="HG12" s="2685"/>
      <c r="HH12" s="2685"/>
      <c r="HI12" s="2685"/>
      <c r="HJ12" s="2685"/>
      <c r="HK12" s="2685"/>
      <c r="HL12" s="2685"/>
      <c r="HM12" s="2685"/>
      <c r="HN12" s="2685"/>
      <c r="HO12" s="2685"/>
      <c r="HP12" s="2685"/>
      <c r="HQ12" s="2685"/>
      <c r="HR12" s="2685"/>
      <c r="HS12" s="2685"/>
      <c r="HT12" s="2685"/>
      <c r="HU12" s="2685"/>
      <c r="HV12" s="2685"/>
      <c r="HW12" s="2685"/>
      <c r="HX12" s="2685"/>
      <c r="HY12" s="2685"/>
      <c r="HZ12" s="2685"/>
      <c r="IA12" s="2685"/>
      <c r="IB12" s="2685"/>
      <c r="IC12" s="2685"/>
      <c r="ID12" s="2685"/>
      <c r="IE12" s="2685"/>
      <c r="IF12" s="2685"/>
      <c r="IG12" s="2685"/>
      <c r="IH12" s="2685"/>
      <c r="II12" s="2685"/>
      <c r="IJ12" s="2685"/>
      <c r="IK12" s="2685"/>
      <c r="IL12" s="2685"/>
      <c r="IM12" s="2685"/>
      <c r="IN12" s="2685"/>
      <c r="IO12" s="2685"/>
      <c r="IP12" s="2685"/>
      <c r="IQ12" s="2685"/>
      <c r="IR12" s="2685"/>
      <c r="IS12" s="2685"/>
      <c r="IT12" s="2685"/>
      <c r="IU12" s="2685"/>
      <c r="IV12" s="2685"/>
    </row>
    <row r="13" spans="1:257" ht="14.25">
      <c r="A13" s="2686"/>
      <c r="B13" s="2687" t="s">
        <v>2790</v>
      </c>
      <c r="C13" s="2688">
        <v>42301</v>
      </c>
      <c r="D13" s="2689">
        <v>4.3499999999999996</v>
      </c>
      <c r="E13" s="2689">
        <v>4.3499999999999996</v>
      </c>
      <c r="F13" s="2689">
        <v>4.75</v>
      </c>
      <c r="G13" s="2689">
        <v>4.75</v>
      </c>
      <c r="H13" s="2689">
        <v>4.9000000000000004</v>
      </c>
      <c r="I13" s="2689">
        <v>2.75</v>
      </c>
      <c r="J13" s="2689">
        <v>3.25</v>
      </c>
      <c r="K13" s="2686"/>
      <c r="L13" s="2687" t="s">
        <v>2790</v>
      </c>
      <c r="M13" s="2690">
        <v>42301</v>
      </c>
      <c r="N13" s="2689">
        <v>0.35</v>
      </c>
      <c r="O13" s="2689">
        <v>1.1000000000000001</v>
      </c>
      <c r="P13" s="2689">
        <v>1.3</v>
      </c>
      <c r="Q13" s="2689">
        <v>1.5</v>
      </c>
      <c r="R13" s="2689">
        <v>2.1</v>
      </c>
      <c r="S13" s="2689">
        <v>2.75</v>
      </c>
      <c r="T13" s="2689"/>
      <c r="U13" s="2689"/>
      <c r="V13" s="2689"/>
      <c r="W13" s="2689"/>
      <c r="X13" s="2689"/>
      <c r="Y13" s="2689"/>
      <c r="Z13" s="2689"/>
      <c r="AA13" s="2691"/>
      <c r="AB13" s="2691"/>
      <c r="AC13" s="2691"/>
      <c r="AD13" s="2691"/>
      <c r="AE13" s="2691"/>
      <c r="AF13" s="2691"/>
      <c r="AG13" s="2691"/>
      <c r="AH13" s="2691"/>
      <c r="AI13" s="2691"/>
      <c r="AJ13" s="2691"/>
      <c r="AK13" s="2691"/>
      <c r="AL13" s="2691"/>
      <c r="AM13" s="2691"/>
      <c r="AN13" s="2691"/>
      <c r="AO13" s="2691"/>
      <c r="AP13" s="2691"/>
      <c r="AQ13" s="2691"/>
      <c r="AR13" s="2691"/>
      <c r="AS13" s="2691"/>
      <c r="AT13" s="2691"/>
      <c r="AU13" s="2691"/>
      <c r="AV13" s="2691"/>
      <c r="AW13" s="2691"/>
      <c r="AX13" s="2691"/>
      <c r="AY13" s="2691"/>
      <c r="AZ13" s="2691"/>
      <c r="BA13" s="2691"/>
      <c r="BB13" s="2691"/>
      <c r="BC13" s="2691"/>
      <c r="BD13" s="2691"/>
      <c r="BE13" s="2691"/>
      <c r="BF13" s="2691"/>
      <c r="BG13" s="2691"/>
      <c r="BH13" s="2691"/>
      <c r="BI13" s="2691"/>
      <c r="BJ13" s="2691"/>
      <c r="BK13" s="2691"/>
      <c r="BL13" s="2691"/>
      <c r="BM13" s="2691"/>
      <c r="BN13" s="2691"/>
      <c r="BO13" s="2691"/>
      <c r="BP13" s="2691"/>
      <c r="BQ13" s="2691"/>
      <c r="BR13" s="2691"/>
      <c r="BS13" s="2691"/>
      <c r="BT13" s="2691"/>
      <c r="BU13" s="2691"/>
      <c r="BV13" s="2691"/>
      <c r="BW13" s="2691"/>
      <c r="BX13" s="2691"/>
      <c r="BY13" s="2691"/>
      <c r="BZ13" s="2691"/>
      <c r="CA13" s="2691"/>
      <c r="CB13" s="2691"/>
      <c r="CC13" s="2691"/>
      <c r="CD13" s="2691"/>
      <c r="CE13" s="2691"/>
      <c r="CF13" s="2691"/>
      <c r="CG13" s="2691"/>
      <c r="CH13" s="2691"/>
      <c r="CI13" s="2691"/>
      <c r="CJ13" s="2691"/>
      <c r="CK13" s="2691"/>
      <c r="CL13" s="2691"/>
      <c r="CM13" s="2691"/>
      <c r="CN13" s="2691"/>
      <c r="CO13" s="2691"/>
      <c r="CP13" s="2691"/>
      <c r="CQ13" s="2691"/>
      <c r="CR13" s="2691"/>
      <c r="CS13" s="2691"/>
      <c r="CT13" s="2691"/>
      <c r="CU13" s="2691"/>
      <c r="CV13" s="2691"/>
      <c r="CW13" s="2691"/>
      <c r="CX13" s="2691"/>
      <c r="CY13" s="2691"/>
      <c r="CZ13" s="2691"/>
      <c r="DA13" s="2691"/>
      <c r="DB13" s="2691"/>
      <c r="DC13" s="2691"/>
      <c r="DD13" s="2691"/>
      <c r="DE13" s="2691"/>
      <c r="DF13" s="2691"/>
      <c r="DG13" s="2691"/>
      <c r="DH13" s="2691"/>
      <c r="DI13" s="2691"/>
      <c r="DJ13" s="2691"/>
      <c r="DK13" s="2691"/>
      <c r="DL13" s="2691"/>
      <c r="DM13" s="2691"/>
      <c r="DN13" s="2691"/>
      <c r="DO13" s="2691"/>
      <c r="DP13" s="2691"/>
      <c r="DQ13" s="2691"/>
      <c r="DR13" s="2691"/>
      <c r="DS13" s="2691"/>
      <c r="DT13" s="2691"/>
      <c r="DU13" s="2691"/>
      <c r="DV13" s="2691"/>
      <c r="DW13" s="2691"/>
      <c r="DX13" s="2691"/>
      <c r="DY13" s="2691"/>
      <c r="DZ13" s="2691"/>
      <c r="EA13" s="2691"/>
      <c r="EB13" s="2691"/>
      <c r="EC13" s="2691"/>
      <c r="ED13" s="2691"/>
      <c r="EE13" s="2691"/>
      <c r="EF13" s="2691"/>
      <c r="EG13" s="2691"/>
      <c r="EH13" s="2691"/>
      <c r="EI13" s="2691"/>
      <c r="EJ13" s="2691"/>
      <c r="EK13" s="2691"/>
      <c r="EL13" s="2691"/>
      <c r="EM13" s="2691"/>
      <c r="EN13" s="2691"/>
      <c r="EO13" s="2691"/>
      <c r="EP13" s="2691"/>
      <c r="EQ13" s="2691"/>
      <c r="ER13" s="2691"/>
      <c r="ES13" s="2691"/>
      <c r="ET13" s="2691"/>
      <c r="EU13" s="2691"/>
      <c r="EV13" s="2691"/>
      <c r="EW13" s="2691"/>
      <c r="EX13" s="2691"/>
      <c r="EY13" s="2691"/>
      <c r="EZ13" s="2691"/>
      <c r="FA13" s="2691"/>
      <c r="FB13" s="2691"/>
      <c r="FC13" s="2691"/>
      <c r="FD13" s="2691"/>
      <c r="FE13" s="2691"/>
      <c r="FF13" s="2691"/>
      <c r="FG13" s="2691"/>
      <c r="FH13" s="2691"/>
      <c r="FI13" s="2691"/>
      <c r="FJ13" s="2691"/>
      <c r="FK13" s="2691"/>
      <c r="FL13" s="2691"/>
      <c r="FM13" s="2691"/>
      <c r="FN13" s="2691"/>
      <c r="FO13" s="2691"/>
      <c r="FP13" s="2691"/>
      <c r="FQ13" s="2691"/>
      <c r="FR13" s="2691"/>
      <c r="FS13" s="2691"/>
      <c r="FT13" s="2691"/>
      <c r="FU13" s="2691"/>
      <c r="FV13" s="2691"/>
      <c r="FW13" s="2691"/>
      <c r="FX13" s="2691"/>
      <c r="FY13" s="2691"/>
      <c r="FZ13" s="2691"/>
      <c r="GA13" s="2691"/>
      <c r="GB13" s="2691"/>
      <c r="GC13" s="2691"/>
      <c r="GD13" s="2691"/>
      <c r="GE13" s="2691"/>
      <c r="GF13" s="2691"/>
      <c r="GG13" s="2691"/>
      <c r="GH13" s="2691"/>
      <c r="GI13" s="2691"/>
      <c r="GJ13" s="2691"/>
      <c r="GK13" s="2691"/>
      <c r="GL13" s="2691"/>
      <c r="GM13" s="2691"/>
      <c r="GN13" s="2691"/>
      <c r="GO13" s="2691"/>
      <c r="GP13" s="2691"/>
      <c r="GQ13" s="2691"/>
      <c r="GR13" s="2691"/>
      <c r="GS13" s="2691"/>
      <c r="GT13" s="2691"/>
      <c r="GU13" s="2691"/>
      <c r="GV13" s="2691"/>
      <c r="GW13" s="2691"/>
      <c r="GX13" s="2691"/>
      <c r="GY13" s="2691"/>
      <c r="GZ13" s="2691"/>
      <c r="HA13" s="2691"/>
      <c r="HB13" s="2691"/>
      <c r="HC13" s="2691"/>
      <c r="HD13" s="2691"/>
      <c r="HE13" s="2691"/>
      <c r="HF13" s="2691"/>
      <c r="HG13" s="2691"/>
      <c r="HH13" s="2691"/>
      <c r="HI13" s="2691"/>
      <c r="HJ13" s="2691"/>
      <c r="HK13" s="2691"/>
      <c r="HL13" s="2691"/>
      <c r="HM13" s="2691"/>
      <c r="HN13" s="2691"/>
      <c r="HO13" s="2691"/>
      <c r="HP13" s="2691"/>
      <c r="HQ13" s="2691"/>
      <c r="HR13" s="2691"/>
      <c r="HS13" s="2691"/>
      <c r="HT13" s="2691"/>
      <c r="HU13" s="2691"/>
      <c r="HV13" s="2691"/>
      <c r="HW13" s="2691"/>
      <c r="HX13" s="2691"/>
      <c r="HY13" s="2691"/>
      <c r="HZ13" s="2691"/>
      <c r="IA13" s="2691"/>
      <c r="IB13" s="2691"/>
      <c r="IC13" s="2691"/>
      <c r="ID13" s="2691"/>
      <c r="IE13" s="2691"/>
      <c r="IF13" s="2691"/>
      <c r="IG13" s="2691"/>
      <c r="IH13" s="2691"/>
      <c r="II13" s="2691"/>
      <c r="IJ13" s="2691"/>
      <c r="IK13" s="2691"/>
      <c r="IL13" s="2691"/>
      <c r="IM13" s="2691"/>
      <c r="IN13" s="2691"/>
      <c r="IO13" s="2691"/>
      <c r="IP13" s="2691"/>
      <c r="IQ13" s="2691"/>
      <c r="IR13" s="2691"/>
      <c r="IS13" s="2691"/>
      <c r="IT13" s="2691"/>
      <c r="IU13" s="2691"/>
      <c r="IV13" s="2691"/>
      <c r="IW13" s="2692"/>
    </row>
    <row r="14" spans="1:257">
      <c r="B14" s="2693"/>
      <c r="C14" s="2694">
        <v>42242</v>
      </c>
      <c r="D14" s="2693">
        <v>4.5999999999999996</v>
      </c>
      <c r="E14" s="2693">
        <v>4.5999999999999996</v>
      </c>
      <c r="F14" s="2693">
        <v>5</v>
      </c>
      <c r="G14" s="2693">
        <v>5</v>
      </c>
      <c r="H14" s="2693">
        <v>5.15</v>
      </c>
      <c r="I14" s="2693">
        <v>2.75</v>
      </c>
      <c r="J14" s="2693">
        <v>3.25</v>
      </c>
      <c r="L14" s="2693"/>
      <c r="M14" s="2694">
        <v>42242</v>
      </c>
      <c r="N14" s="2693">
        <v>0.35</v>
      </c>
      <c r="O14" s="2693">
        <v>1.35</v>
      </c>
      <c r="P14" s="2693">
        <v>1.55</v>
      </c>
      <c r="Q14" s="2693">
        <v>1.75</v>
      </c>
      <c r="R14" s="2693">
        <v>2.35</v>
      </c>
      <c r="S14" s="2693">
        <v>3</v>
      </c>
      <c r="T14" s="2693"/>
      <c r="U14" s="2693"/>
      <c r="V14" s="2693"/>
      <c r="W14" s="2693"/>
      <c r="X14" s="2693"/>
      <c r="Y14" s="2693"/>
      <c r="Z14" s="2693"/>
    </row>
    <row r="15" spans="1:257">
      <c r="B15" s="2693"/>
      <c r="C15" s="2694">
        <v>42183</v>
      </c>
      <c r="D15" s="2693">
        <v>4.8499999999999996</v>
      </c>
      <c r="E15" s="2693">
        <v>4.8499999999999996</v>
      </c>
      <c r="F15" s="2693">
        <v>5.25</v>
      </c>
      <c r="G15" s="2693">
        <v>5.25</v>
      </c>
      <c r="H15" s="2693">
        <v>5.4</v>
      </c>
      <c r="I15" s="2693">
        <v>3</v>
      </c>
      <c r="J15" s="2693">
        <v>3.5</v>
      </c>
      <c r="L15" s="2693"/>
      <c r="M15" s="2694">
        <v>42183</v>
      </c>
      <c r="N15" s="2693">
        <v>0.35</v>
      </c>
      <c r="O15" s="2693">
        <v>1.6</v>
      </c>
      <c r="P15" s="2693">
        <v>1.8</v>
      </c>
      <c r="Q15" s="2693">
        <v>2</v>
      </c>
      <c r="R15" s="2693">
        <v>2.6</v>
      </c>
      <c r="S15" s="2693">
        <v>3.25</v>
      </c>
      <c r="T15" s="2693"/>
      <c r="U15" s="2693"/>
      <c r="V15" s="2693"/>
      <c r="W15" s="2693"/>
      <c r="X15" s="2693"/>
      <c r="Y15" s="2693"/>
      <c r="Z15" s="2693"/>
    </row>
    <row r="16" spans="1:257">
      <c r="B16" s="2693"/>
      <c r="C16" s="2694">
        <v>42135</v>
      </c>
      <c r="D16" s="2693">
        <v>5.0999999999999996</v>
      </c>
      <c r="E16" s="2693">
        <v>5.0999999999999996</v>
      </c>
      <c r="F16" s="2693">
        <v>5.5</v>
      </c>
      <c r="G16" s="2693">
        <v>5.5</v>
      </c>
      <c r="H16" s="2693">
        <v>5.65</v>
      </c>
      <c r="I16" s="2693">
        <v>3.25</v>
      </c>
      <c r="J16" s="2693">
        <v>3.75</v>
      </c>
      <c r="L16" s="2693"/>
      <c r="M16" s="2694">
        <v>42135</v>
      </c>
      <c r="N16" s="2693">
        <v>0.35</v>
      </c>
      <c r="O16" s="2693">
        <v>1.85</v>
      </c>
      <c r="P16" s="2693">
        <v>2.0499999999999998</v>
      </c>
      <c r="Q16" s="2693">
        <v>2.25</v>
      </c>
      <c r="R16" s="2693">
        <v>2.85</v>
      </c>
      <c r="S16" s="2693">
        <v>3.5</v>
      </c>
      <c r="T16" s="2693"/>
      <c r="U16" s="2693"/>
      <c r="V16" s="2693"/>
      <c r="W16" s="2693"/>
      <c r="X16" s="2693"/>
      <c r="Y16" s="2693"/>
      <c r="Z16" s="2693"/>
    </row>
    <row r="17" spans="2:26">
      <c r="B17" s="2693"/>
      <c r="C17" s="2694">
        <v>42064</v>
      </c>
      <c r="D17" s="2693">
        <v>5.35</v>
      </c>
      <c r="E17" s="2693">
        <v>5.35</v>
      </c>
      <c r="F17" s="2693">
        <v>5.75</v>
      </c>
      <c r="G17" s="2693">
        <v>5.75</v>
      </c>
      <c r="H17" s="2693">
        <v>5.9</v>
      </c>
      <c r="I17" s="2693"/>
      <c r="J17" s="2693"/>
      <c r="L17" s="2693"/>
      <c r="M17" s="2694">
        <v>42064</v>
      </c>
      <c r="N17" s="2693">
        <v>0.35</v>
      </c>
      <c r="O17" s="2693">
        <v>2.1</v>
      </c>
      <c r="P17" s="2693">
        <v>2.2999999999999998</v>
      </c>
      <c r="Q17" s="2693">
        <v>2.5</v>
      </c>
      <c r="R17" s="2693">
        <v>3.1</v>
      </c>
      <c r="S17" s="2693">
        <v>3.75</v>
      </c>
      <c r="T17" s="2693">
        <v>4.5</v>
      </c>
      <c r="U17" s="2693">
        <v>2.35</v>
      </c>
      <c r="V17" s="2693">
        <v>2.5499999999999998</v>
      </c>
      <c r="W17" s="2693">
        <v>2.75</v>
      </c>
      <c r="X17" s="2693"/>
      <c r="Y17" s="2693">
        <v>0.8</v>
      </c>
      <c r="Z17" s="2693">
        <v>1.35</v>
      </c>
    </row>
    <row r="18" spans="2:26" ht="15">
      <c r="B18" s="2693"/>
      <c r="C18" s="2694">
        <v>41965</v>
      </c>
      <c r="D18" s="2693">
        <v>5.6</v>
      </c>
      <c r="E18" s="2693">
        <v>5.6</v>
      </c>
      <c r="F18" s="2693">
        <v>6</v>
      </c>
      <c r="G18" s="2693">
        <v>6</v>
      </c>
      <c r="H18" s="2693">
        <v>6.15</v>
      </c>
      <c r="I18" s="2693"/>
      <c r="J18" s="2693"/>
      <c r="L18" s="2693"/>
      <c r="M18" s="2694">
        <v>41965</v>
      </c>
      <c r="N18" s="2693">
        <v>0.35</v>
      </c>
      <c r="O18" s="2693">
        <v>2.35</v>
      </c>
      <c r="P18" s="2693">
        <v>2.5499999999999998</v>
      </c>
      <c r="Q18" s="2693">
        <v>2.75</v>
      </c>
      <c r="R18" s="2693">
        <v>3.35</v>
      </c>
      <c r="S18" s="2693">
        <v>4</v>
      </c>
      <c r="T18" s="2693">
        <v>4.75</v>
      </c>
      <c r="U18" s="2695">
        <v>2.35</v>
      </c>
      <c r="V18" s="2695">
        <v>2.5499999999999998</v>
      </c>
      <c r="W18" s="2695">
        <v>2.75</v>
      </c>
      <c r="X18" s="2693"/>
      <c r="Y18" s="2695">
        <v>0.8</v>
      </c>
      <c r="Z18" s="2695">
        <v>1.35</v>
      </c>
    </row>
    <row r="19" spans="2:26">
      <c r="B19" s="2693"/>
      <c r="C19" s="2694">
        <v>41096</v>
      </c>
      <c r="D19" s="2693">
        <v>5.6</v>
      </c>
      <c r="E19" s="2693">
        <v>6</v>
      </c>
      <c r="F19" s="2693">
        <v>6.15</v>
      </c>
      <c r="G19" s="2693">
        <v>6.4</v>
      </c>
      <c r="H19" s="2693">
        <v>6.55</v>
      </c>
      <c r="I19" s="2693">
        <v>4</v>
      </c>
      <c r="J19" s="2693">
        <v>4.5</v>
      </c>
      <c r="L19" s="2693"/>
      <c r="M19" s="2694">
        <v>41096</v>
      </c>
      <c r="N19" s="2693">
        <v>0.35</v>
      </c>
      <c r="O19" s="2693">
        <v>2.6</v>
      </c>
      <c r="P19" s="2693">
        <v>2.8</v>
      </c>
      <c r="Q19" s="2693">
        <v>3</v>
      </c>
      <c r="R19" s="2693">
        <v>3.75</v>
      </c>
      <c r="S19" s="2693">
        <v>4.25</v>
      </c>
      <c r="T19" s="2693">
        <v>4.75</v>
      </c>
      <c r="U19" s="2693">
        <v>2.85</v>
      </c>
      <c r="V19" s="2693">
        <v>2.9</v>
      </c>
      <c r="W19" s="2693">
        <v>3</v>
      </c>
      <c r="X19" s="2693">
        <v>1.1499999999999999</v>
      </c>
      <c r="Y19" s="2693">
        <v>0.8</v>
      </c>
      <c r="Z19" s="2693">
        <v>1.35</v>
      </c>
    </row>
    <row r="20" spans="2:26">
      <c r="B20" s="2693"/>
      <c r="C20" s="2694">
        <v>41068</v>
      </c>
      <c r="D20" s="2693">
        <v>5.85</v>
      </c>
      <c r="E20" s="2693">
        <v>6.31</v>
      </c>
      <c r="F20" s="2693">
        <v>6.4</v>
      </c>
      <c r="G20" s="2693">
        <v>6.65</v>
      </c>
      <c r="H20" s="2693">
        <v>6.8</v>
      </c>
      <c r="I20" s="2693">
        <v>4.2</v>
      </c>
      <c r="J20" s="2693">
        <v>4.7</v>
      </c>
      <c r="L20" s="2693"/>
      <c r="M20" s="2694">
        <v>41068</v>
      </c>
      <c r="N20" s="2693">
        <v>0.4</v>
      </c>
      <c r="O20" s="2693">
        <v>2.85</v>
      </c>
      <c r="P20" s="2693">
        <v>3.05</v>
      </c>
      <c r="Q20" s="2693">
        <v>3.25</v>
      </c>
      <c r="R20" s="2693">
        <v>4.0999999999999996</v>
      </c>
      <c r="S20" s="2693">
        <v>4.6500000000000004</v>
      </c>
      <c r="T20" s="2693">
        <v>5.0999999999999996</v>
      </c>
      <c r="U20" s="2693">
        <v>3.1</v>
      </c>
      <c r="V20" s="2693">
        <v>3.15</v>
      </c>
      <c r="W20" s="2693">
        <v>3.25</v>
      </c>
      <c r="X20" s="2693">
        <v>1.31</v>
      </c>
      <c r="Y20" s="2693">
        <v>0.94</v>
      </c>
      <c r="Z20" s="2693">
        <v>1.49</v>
      </c>
    </row>
    <row r="21" spans="2:26">
      <c r="B21" s="2693"/>
      <c r="C21" s="2694">
        <v>40731</v>
      </c>
      <c r="D21" s="2693">
        <v>6.1</v>
      </c>
      <c r="E21" s="2693">
        <v>6.56</v>
      </c>
      <c r="F21" s="2693">
        <v>6.65</v>
      </c>
      <c r="G21" s="2693">
        <v>6.9</v>
      </c>
      <c r="H21" s="2693">
        <v>7.05</v>
      </c>
      <c r="I21" s="2693">
        <v>4.45</v>
      </c>
      <c r="J21" s="2693">
        <v>4.9000000000000004</v>
      </c>
      <c r="L21" s="2693"/>
      <c r="M21" s="2694">
        <v>40731</v>
      </c>
      <c r="N21" s="2693">
        <v>0.5</v>
      </c>
      <c r="O21" s="2693">
        <v>3.1</v>
      </c>
      <c r="P21" s="2693">
        <v>3.3</v>
      </c>
      <c r="Q21" s="2693">
        <v>3.5</v>
      </c>
      <c r="R21" s="2693">
        <v>4.4000000000000004</v>
      </c>
      <c r="S21" s="2693">
        <v>5</v>
      </c>
      <c r="T21" s="2693">
        <v>5.5</v>
      </c>
      <c r="U21" s="2693">
        <v>3.1</v>
      </c>
      <c r="V21" s="2693">
        <v>3.3</v>
      </c>
      <c r="W21" s="2693">
        <v>3.5</v>
      </c>
      <c r="X21" s="2693">
        <v>1.31</v>
      </c>
      <c r="Y21" s="2693">
        <v>0.95</v>
      </c>
      <c r="Z21" s="2693">
        <v>1.49</v>
      </c>
    </row>
    <row r="22" spans="2:26">
      <c r="B22" s="2693"/>
      <c r="C22" s="2694">
        <v>40639</v>
      </c>
      <c r="D22" s="2693">
        <v>5.85</v>
      </c>
      <c r="E22" s="2693">
        <v>6.31</v>
      </c>
      <c r="F22" s="2693">
        <v>6.4</v>
      </c>
      <c r="G22" s="2693">
        <v>6.65</v>
      </c>
      <c r="H22" s="2693">
        <v>6.8</v>
      </c>
      <c r="I22" s="2693">
        <v>4.2</v>
      </c>
      <c r="J22" s="2693">
        <v>4.7</v>
      </c>
      <c r="L22" s="2693"/>
      <c r="M22" s="2694">
        <v>40639</v>
      </c>
      <c r="N22" s="2693">
        <v>0.5</v>
      </c>
      <c r="O22" s="2693">
        <v>2.85</v>
      </c>
      <c r="P22" s="2693">
        <v>3.05</v>
      </c>
      <c r="Q22" s="2693">
        <v>3.25</v>
      </c>
      <c r="R22" s="2693">
        <v>4.1500000000000004</v>
      </c>
      <c r="S22" s="2693">
        <v>4.75</v>
      </c>
      <c r="T22" s="2693">
        <v>5.25</v>
      </c>
      <c r="U22" s="2693">
        <v>2.85</v>
      </c>
      <c r="V22" s="2693">
        <v>3.05</v>
      </c>
      <c r="W22" s="2693">
        <v>3.25</v>
      </c>
      <c r="X22" s="2693">
        <v>1.31</v>
      </c>
      <c r="Y22" s="2693">
        <v>0.95</v>
      </c>
      <c r="Z22" s="2693">
        <v>1.49</v>
      </c>
    </row>
    <row r="23" spans="2:26">
      <c r="B23" s="2693"/>
      <c r="C23" s="2694">
        <v>40583</v>
      </c>
      <c r="D23" s="2693">
        <v>5.6</v>
      </c>
      <c r="E23" s="2693">
        <v>6.06</v>
      </c>
      <c r="F23" s="2693">
        <v>6.1</v>
      </c>
      <c r="G23" s="2693">
        <v>6.45</v>
      </c>
      <c r="H23" s="2693">
        <v>6.6</v>
      </c>
      <c r="I23" s="2693">
        <v>4</v>
      </c>
      <c r="J23" s="2693">
        <v>4.5</v>
      </c>
      <c r="L23" s="2693"/>
      <c r="M23" s="2694">
        <v>40583</v>
      </c>
      <c r="N23" s="2693">
        <v>0.4</v>
      </c>
      <c r="O23" s="2693">
        <v>2.6</v>
      </c>
      <c r="P23" s="2693">
        <v>2.8</v>
      </c>
      <c r="Q23" s="2693">
        <v>3</v>
      </c>
      <c r="R23" s="2693">
        <v>3.9</v>
      </c>
      <c r="S23" s="2693">
        <v>4.5</v>
      </c>
      <c r="T23" s="2693">
        <v>5</v>
      </c>
      <c r="U23" s="2693">
        <v>2.6</v>
      </c>
      <c r="V23" s="2693">
        <v>2.8</v>
      </c>
      <c r="W23" s="2693">
        <v>3</v>
      </c>
      <c r="X23" s="2693">
        <v>1.21</v>
      </c>
      <c r="Y23" s="2693">
        <v>0.85</v>
      </c>
      <c r="Z23" s="2693">
        <v>1.39</v>
      </c>
    </row>
    <row r="24" spans="2:26">
      <c r="B24" s="2693"/>
      <c r="C24" s="2694">
        <v>40538</v>
      </c>
      <c r="D24" s="2693">
        <v>5.35</v>
      </c>
      <c r="E24" s="2693">
        <v>5.81</v>
      </c>
      <c r="F24" s="2693">
        <v>5.85</v>
      </c>
      <c r="G24" s="2693">
        <v>6.22</v>
      </c>
      <c r="H24" s="2693">
        <v>6.4</v>
      </c>
      <c r="I24" s="2693">
        <v>3.75</v>
      </c>
      <c r="J24" s="2693">
        <v>4.3</v>
      </c>
      <c r="L24" s="2693"/>
      <c r="M24" s="2694">
        <v>40538</v>
      </c>
      <c r="N24" s="2693">
        <v>0.36</v>
      </c>
      <c r="O24" s="2693">
        <v>2.25</v>
      </c>
      <c r="P24" s="2693">
        <v>2.5</v>
      </c>
      <c r="Q24" s="2693">
        <v>2.75</v>
      </c>
      <c r="R24" s="2693">
        <v>3.55</v>
      </c>
      <c r="S24" s="2693">
        <v>4.1500000000000004</v>
      </c>
      <c r="T24" s="2693">
        <v>4.55</v>
      </c>
      <c r="U24" s="2693">
        <v>2.16</v>
      </c>
      <c r="V24" s="2693">
        <v>2.5</v>
      </c>
      <c r="W24" s="2693">
        <v>2.85</v>
      </c>
      <c r="X24" s="2693">
        <v>1.17</v>
      </c>
      <c r="Y24" s="2693">
        <v>0.81</v>
      </c>
      <c r="Z24" s="2693">
        <v>1.35</v>
      </c>
    </row>
    <row r="25" spans="2:26">
      <c r="B25" s="2693"/>
      <c r="C25" s="2694">
        <v>40471</v>
      </c>
      <c r="D25" s="2693">
        <v>5.0999999999999996</v>
      </c>
      <c r="E25" s="2693">
        <v>5.56</v>
      </c>
      <c r="F25" s="2693">
        <v>5.6</v>
      </c>
      <c r="G25" s="2693">
        <v>5.96</v>
      </c>
      <c r="H25" s="2693">
        <v>6.14</v>
      </c>
      <c r="I25" s="2693">
        <v>3.5</v>
      </c>
      <c r="J25" s="2693">
        <v>4.05</v>
      </c>
      <c r="L25" s="2693"/>
      <c r="M25" s="2694">
        <v>40471</v>
      </c>
      <c r="N25" s="2693">
        <v>0.36</v>
      </c>
      <c r="O25" s="2693">
        <v>1.91</v>
      </c>
      <c r="P25" s="2693">
        <v>2.2000000000000002</v>
      </c>
      <c r="Q25" s="2693">
        <v>2.5</v>
      </c>
      <c r="R25" s="2693">
        <v>3.25</v>
      </c>
      <c r="S25" s="2693">
        <v>3.85</v>
      </c>
      <c r="T25" s="2693">
        <v>4.2</v>
      </c>
      <c r="U25" s="2693">
        <v>1.91</v>
      </c>
      <c r="V25" s="2693">
        <v>2.2000000000000002</v>
      </c>
      <c r="W25" s="2693">
        <v>2.5</v>
      </c>
      <c r="X25" s="2693">
        <v>1.17</v>
      </c>
      <c r="Y25" s="2693">
        <v>0.81</v>
      </c>
      <c r="Z25" s="2693">
        <v>1.35</v>
      </c>
    </row>
    <row r="26" spans="2:26">
      <c r="B26" s="2693"/>
      <c r="C26" s="2694">
        <v>39805</v>
      </c>
      <c r="D26" s="2693">
        <v>4.8600000000000003</v>
      </c>
      <c r="E26" s="2693">
        <v>5.31</v>
      </c>
      <c r="F26" s="2693">
        <v>5.4</v>
      </c>
      <c r="G26" s="2693">
        <v>5.76</v>
      </c>
      <c r="H26" s="2693">
        <v>5.94</v>
      </c>
      <c r="I26" s="2693">
        <v>3.33</v>
      </c>
      <c r="J26" s="2693">
        <v>3.87</v>
      </c>
      <c r="L26" s="2693"/>
      <c r="M26" s="2694">
        <v>39805</v>
      </c>
      <c r="N26" s="2693">
        <v>0.36</v>
      </c>
      <c r="O26" s="2693">
        <v>1.71</v>
      </c>
      <c r="P26" s="2693">
        <v>1.98</v>
      </c>
      <c r="Q26" s="2693">
        <v>2.25</v>
      </c>
      <c r="R26" s="2693">
        <v>2.79</v>
      </c>
      <c r="S26" s="2693">
        <v>3.33</v>
      </c>
      <c r="T26" s="2693">
        <v>3.6</v>
      </c>
      <c r="U26" s="2693">
        <v>1.71</v>
      </c>
      <c r="V26" s="2693">
        <v>1.98</v>
      </c>
      <c r="W26" s="2693">
        <v>2.25</v>
      </c>
      <c r="X26" s="2693">
        <v>1.17</v>
      </c>
      <c r="Y26" s="2693">
        <v>0.81</v>
      </c>
      <c r="Z26" s="2693">
        <v>1.35</v>
      </c>
    </row>
    <row r="27" spans="2:26">
      <c r="B27" s="2693"/>
      <c r="C27" s="2694">
        <v>39779</v>
      </c>
      <c r="D27" s="2693">
        <v>5.04</v>
      </c>
      <c r="E27" s="2693">
        <v>5.58</v>
      </c>
      <c r="F27" s="2693">
        <v>5.67</v>
      </c>
      <c r="G27" s="2693">
        <v>5.94</v>
      </c>
      <c r="H27" s="2693">
        <v>6.12</v>
      </c>
      <c r="I27" s="2693">
        <v>3.51</v>
      </c>
      <c r="J27" s="2693">
        <v>4.05</v>
      </c>
      <c r="L27" s="2693"/>
      <c r="M27" s="2694">
        <v>39779</v>
      </c>
      <c r="N27" s="2693">
        <v>0.36</v>
      </c>
      <c r="O27" s="2693">
        <v>1.98</v>
      </c>
      <c r="P27" s="2693">
        <v>2.25</v>
      </c>
      <c r="Q27" s="2693">
        <v>2.52</v>
      </c>
      <c r="R27" s="2693">
        <v>3.06</v>
      </c>
      <c r="S27" s="2693">
        <v>3.6</v>
      </c>
      <c r="T27" s="2693">
        <v>3.87</v>
      </c>
      <c r="U27" s="2693">
        <v>1.98</v>
      </c>
      <c r="V27" s="2693">
        <v>2.25</v>
      </c>
      <c r="W27" s="2693">
        <v>2.52</v>
      </c>
      <c r="X27" s="2693">
        <v>1.17</v>
      </c>
      <c r="Y27" s="2693">
        <v>0.81</v>
      </c>
      <c r="Z27" s="2693">
        <v>1.35</v>
      </c>
    </row>
    <row r="28" spans="2:26">
      <c r="B28" s="2693"/>
      <c r="C28" s="2694">
        <v>39751</v>
      </c>
      <c r="D28" s="2693">
        <v>6.03</v>
      </c>
      <c r="E28" s="2693">
        <v>6.66</v>
      </c>
      <c r="F28" s="2693">
        <v>6.75</v>
      </c>
      <c r="G28" s="2693">
        <v>7.02</v>
      </c>
      <c r="H28" s="2693">
        <v>7.2</v>
      </c>
      <c r="I28" s="2693">
        <v>4.05</v>
      </c>
      <c r="J28" s="2693">
        <v>4.59</v>
      </c>
      <c r="L28" s="2693"/>
      <c r="M28" s="2694">
        <v>39751</v>
      </c>
      <c r="N28" s="2693">
        <v>0.72</v>
      </c>
      <c r="O28" s="2693">
        <v>2.88</v>
      </c>
      <c r="P28" s="2693">
        <v>3.24</v>
      </c>
      <c r="Q28" s="2693">
        <v>3.6</v>
      </c>
      <c r="R28" s="2693">
        <v>4.1399999999999997</v>
      </c>
      <c r="S28" s="2693">
        <v>4.7699999999999996</v>
      </c>
      <c r="T28" s="2693">
        <v>5.13</v>
      </c>
      <c r="U28" s="2693">
        <v>2.88</v>
      </c>
      <c r="V28" s="2693">
        <v>3.24</v>
      </c>
      <c r="W28" s="2693">
        <v>3.6</v>
      </c>
      <c r="X28" s="2693">
        <v>1.53</v>
      </c>
      <c r="Y28" s="2693">
        <v>1.17</v>
      </c>
      <c r="Z28" s="2693">
        <v>1.71</v>
      </c>
    </row>
    <row r="29" spans="2:26">
      <c r="B29" s="2693"/>
      <c r="C29" s="2696">
        <v>39748</v>
      </c>
      <c r="D29" s="2693">
        <v>6.12</v>
      </c>
      <c r="E29" s="2693">
        <v>6.93</v>
      </c>
      <c r="F29" s="2693">
        <v>7.02</v>
      </c>
      <c r="G29" s="2693">
        <v>7.29</v>
      </c>
      <c r="H29" s="2693">
        <v>7.47</v>
      </c>
      <c r="I29" s="2693">
        <v>4.05</v>
      </c>
      <c r="J29" s="2693">
        <v>4.59</v>
      </c>
      <c r="L29" s="2693"/>
      <c r="M29" s="2696">
        <v>39736</v>
      </c>
      <c r="N29" s="2693">
        <v>0.72</v>
      </c>
      <c r="O29" s="2693">
        <v>3.15</v>
      </c>
      <c r="P29" s="2693">
        <v>3.51</v>
      </c>
      <c r="Q29" s="2693">
        <v>3.87</v>
      </c>
      <c r="R29" s="2693">
        <v>4.41</v>
      </c>
      <c r="S29" s="2693">
        <v>5.13</v>
      </c>
      <c r="T29" s="2693">
        <v>5.58</v>
      </c>
      <c r="U29" s="2693">
        <v>3.15</v>
      </c>
      <c r="V29" s="2693">
        <v>3.51</v>
      </c>
      <c r="W29" s="2693">
        <v>3.87</v>
      </c>
      <c r="X29" s="2693">
        <v>1.53</v>
      </c>
      <c r="Y29" s="2693">
        <v>1.17</v>
      </c>
      <c r="Z29" s="2693">
        <v>1.71</v>
      </c>
    </row>
    <row r="30" spans="2:26">
      <c r="B30" s="2693"/>
      <c r="C30" s="2694">
        <v>39730</v>
      </c>
      <c r="D30" s="2693">
        <v>6.12</v>
      </c>
      <c r="E30" s="2693">
        <v>6.93</v>
      </c>
      <c r="F30" s="2693">
        <v>7.02</v>
      </c>
      <c r="G30" s="2693">
        <v>7.29</v>
      </c>
      <c r="H30" s="2693">
        <v>7.47</v>
      </c>
      <c r="I30" s="2693">
        <v>4.32</v>
      </c>
      <c r="J30" s="2693">
        <v>4.8600000000000003</v>
      </c>
      <c r="L30" s="2693"/>
      <c r="M30" s="2694">
        <v>39730</v>
      </c>
      <c r="N30" s="2693">
        <v>0.72</v>
      </c>
      <c r="O30" s="2693">
        <v>3.15</v>
      </c>
      <c r="P30" s="2693">
        <v>3.51</v>
      </c>
      <c r="Q30" s="2693">
        <v>3.87</v>
      </c>
      <c r="R30" s="2693">
        <v>4.41</v>
      </c>
      <c r="S30" s="2693">
        <v>5.13</v>
      </c>
      <c r="T30" s="2693">
        <v>5.58</v>
      </c>
      <c r="U30" s="2693">
        <v>3.15</v>
      </c>
      <c r="V30" s="2693">
        <v>3.51</v>
      </c>
      <c r="W30" s="2693">
        <v>3.87</v>
      </c>
      <c r="X30" s="2693">
        <v>1.53</v>
      </c>
      <c r="Y30" s="2693">
        <v>1.17</v>
      </c>
      <c r="Z30" s="2693">
        <v>1.71</v>
      </c>
    </row>
    <row r="31" spans="2:26">
      <c r="B31" s="2693"/>
      <c r="C31" s="2694">
        <v>39707</v>
      </c>
      <c r="D31" s="2693">
        <v>6.21</v>
      </c>
      <c r="E31" s="2693">
        <v>7.2</v>
      </c>
      <c r="F31" s="2693">
        <v>7.29</v>
      </c>
      <c r="G31" s="2693">
        <v>7.56</v>
      </c>
      <c r="H31" s="2693">
        <v>7.74</v>
      </c>
      <c r="I31" s="2693">
        <v>4.59</v>
      </c>
      <c r="J31" s="2693">
        <v>5.13</v>
      </c>
      <c r="L31" s="2693"/>
      <c r="M31" s="2694">
        <v>39437</v>
      </c>
      <c r="N31" s="2693">
        <v>0.72</v>
      </c>
      <c r="O31" s="2693">
        <v>3.33</v>
      </c>
      <c r="P31" s="2693">
        <v>3.78</v>
      </c>
      <c r="Q31" s="2693">
        <v>4.1399999999999997</v>
      </c>
      <c r="R31" s="2693">
        <v>4.68</v>
      </c>
      <c r="S31" s="2693">
        <v>5.4</v>
      </c>
      <c r="T31" s="2693">
        <v>5.85</v>
      </c>
      <c r="U31" s="2693">
        <v>3.33</v>
      </c>
      <c r="V31" s="2693">
        <v>3.78</v>
      </c>
      <c r="W31" s="2693">
        <v>4.1399999999999997</v>
      </c>
      <c r="X31" s="2693">
        <v>1.53</v>
      </c>
      <c r="Y31" s="2693">
        <v>1.17</v>
      </c>
      <c r="Z31" s="2693">
        <v>1.71</v>
      </c>
    </row>
    <row r="32" spans="2:26">
      <c r="B32" s="2693"/>
      <c r="C32" s="2694">
        <v>39437</v>
      </c>
      <c r="D32" s="2693">
        <v>6.57</v>
      </c>
      <c r="E32" s="2693">
        <v>7.47</v>
      </c>
      <c r="F32" s="2693">
        <v>7.56</v>
      </c>
      <c r="G32" s="2693">
        <v>7.74</v>
      </c>
      <c r="H32" s="2693">
        <v>7.83</v>
      </c>
      <c r="I32" s="2693">
        <v>4.7699999999999996</v>
      </c>
      <c r="J32" s="2693">
        <v>5.22</v>
      </c>
      <c r="L32" s="2693"/>
      <c r="M32" s="2694">
        <v>39340</v>
      </c>
      <c r="N32" s="2693">
        <v>0.81</v>
      </c>
      <c r="O32" s="2693">
        <v>2.88</v>
      </c>
      <c r="P32" s="2693">
        <v>3.42</v>
      </c>
      <c r="Q32" s="2693">
        <v>3.87</v>
      </c>
      <c r="R32" s="2693">
        <v>4.5</v>
      </c>
      <c r="S32" s="2693">
        <v>5.22</v>
      </c>
      <c r="T32" s="2693">
        <v>5.76</v>
      </c>
      <c r="U32" s="2693">
        <v>2.88</v>
      </c>
      <c r="V32" s="2693">
        <v>3.42</v>
      </c>
      <c r="W32" s="2693">
        <v>3.87</v>
      </c>
      <c r="X32" s="2693">
        <v>1.53</v>
      </c>
      <c r="Y32" s="2693">
        <v>1.17</v>
      </c>
      <c r="Z32" s="2693">
        <v>1.71</v>
      </c>
    </row>
    <row r="33" spans="2:26">
      <c r="B33" s="2693"/>
      <c r="C33" s="2694">
        <v>39340</v>
      </c>
      <c r="D33" s="2693">
        <v>6.48</v>
      </c>
      <c r="E33" s="2693">
        <v>7.29</v>
      </c>
      <c r="F33" s="2693">
        <v>7.47</v>
      </c>
      <c r="G33" s="2693">
        <v>7.65</v>
      </c>
      <c r="H33" s="2693">
        <v>7.83</v>
      </c>
      <c r="I33" s="2693">
        <v>4.7699999999999996</v>
      </c>
      <c r="J33" s="2693">
        <v>5.22</v>
      </c>
      <c r="L33" s="2693"/>
      <c r="M33" s="2694">
        <v>39316</v>
      </c>
      <c r="N33" s="2693">
        <v>0.81</v>
      </c>
      <c r="O33" s="2693">
        <v>2.61</v>
      </c>
      <c r="P33" s="2693">
        <v>3.15</v>
      </c>
      <c r="Q33" s="2693">
        <v>3.6</v>
      </c>
      <c r="R33" s="2693">
        <v>4.2300000000000004</v>
      </c>
      <c r="S33" s="2693">
        <v>4.95</v>
      </c>
      <c r="T33" s="2693">
        <v>5.49</v>
      </c>
      <c r="U33" s="2693">
        <v>2.61</v>
      </c>
      <c r="V33" s="2693">
        <v>3.15</v>
      </c>
      <c r="W33" s="2693">
        <v>3.6</v>
      </c>
      <c r="X33" s="2693">
        <v>1.53</v>
      </c>
      <c r="Y33" s="2693">
        <v>1.17</v>
      </c>
      <c r="Z33" s="2693">
        <v>1.71</v>
      </c>
    </row>
    <row r="34" spans="2:26">
      <c r="B34" s="2693"/>
      <c r="C34" s="2694">
        <v>39316</v>
      </c>
      <c r="D34" s="2693">
        <v>6.21</v>
      </c>
      <c r="E34" s="2693">
        <v>7.02</v>
      </c>
      <c r="F34" s="2693">
        <v>7.2</v>
      </c>
      <c r="G34" s="2693">
        <v>7.38</v>
      </c>
      <c r="H34" s="2693">
        <v>7.56</v>
      </c>
      <c r="I34" s="2693">
        <v>4.59</v>
      </c>
      <c r="J34" s="2693">
        <v>5.04</v>
      </c>
      <c r="L34" s="2693"/>
      <c r="M34" s="2694">
        <v>39284</v>
      </c>
      <c r="N34" s="2693">
        <v>0.81</v>
      </c>
      <c r="O34" s="2693">
        <v>2.34</v>
      </c>
      <c r="P34" s="2693">
        <v>2.88</v>
      </c>
      <c r="Q34" s="2693">
        <v>3.33</v>
      </c>
      <c r="R34" s="2693">
        <v>3.96</v>
      </c>
      <c r="S34" s="2693">
        <v>4.68</v>
      </c>
      <c r="T34" s="2693">
        <v>5.22</v>
      </c>
      <c r="U34" s="2693">
        <v>2.34</v>
      </c>
      <c r="V34" s="2693">
        <v>2.88</v>
      </c>
      <c r="W34" s="2693">
        <v>3.33</v>
      </c>
      <c r="X34" s="2693">
        <v>1.53</v>
      </c>
      <c r="Y34" s="2693">
        <v>1.17</v>
      </c>
      <c r="Z34" s="2693">
        <v>1.71</v>
      </c>
    </row>
    <row r="35" spans="2:26">
      <c r="B35" s="2693"/>
      <c r="C35" s="2694">
        <v>39284</v>
      </c>
      <c r="D35" s="2693">
        <v>6.03</v>
      </c>
      <c r="E35" s="2693">
        <v>6.84</v>
      </c>
      <c r="F35" s="2693">
        <v>7.02</v>
      </c>
      <c r="G35" s="2693">
        <v>7.2</v>
      </c>
      <c r="H35" s="2693">
        <v>7.38</v>
      </c>
      <c r="I35" s="2693">
        <v>4.5</v>
      </c>
      <c r="J35" s="2693">
        <v>4.95</v>
      </c>
      <c r="L35" s="2693"/>
      <c r="M35" s="2694">
        <v>39221</v>
      </c>
      <c r="N35" s="2693">
        <v>0.72</v>
      </c>
      <c r="O35" s="2693">
        <v>2.0699999999999998</v>
      </c>
      <c r="P35" s="2693">
        <v>2.61</v>
      </c>
      <c r="Q35" s="2693">
        <v>3.06</v>
      </c>
      <c r="R35" s="2693">
        <v>3.69</v>
      </c>
      <c r="S35" s="2693">
        <v>4.41</v>
      </c>
      <c r="T35" s="2693">
        <v>4.95</v>
      </c>
      <c r="U35" s="2693">
        <v>2.0699999999999998</v>
      </c>
      <c r="V35" s="2693">
        <v>2.61</v>
      </c>
      <c r="W35" s="2693">
        <v>3.06</v>
      </c>
      <c r="X35" s="2693">
        <v>1.44</v>
      </c>
      <c r="Y35" s="2693">
        <v>1.08</v>
      </c>
      <c r="Z35" s="2693">
        <v>1.62</v>
      </c>
    </row>
    <row r="36" spans="2:26">
      <c r="B36" s="2693"/>
      <c r="C36" s="2694">
        <v>39221</v>
      </c>
      <c r="D36" s="2693">
        <v>5.85</v>
      </c>
      <c r="E36" s="2693">
        <v>6.57</v>
      </c>
      <c r="F36" s="2693">
        <v>6.75</v>
      </c>
      <c r="G36" s="2693">
        <v>6.93</v>
      </c>
      <c r="H36" s="2693">
        <v>7.2</v>
      </c>
      <c r="I36" s="2693">
        <v>4.41</v>
      </c>
      <c r="J36" s="2693">
        <v>4.8600000000000003</v>
      </c>
      <c r="L36" s="2693"/>
      <c r="M36" s="2694">
        <v>39159</v>
      </c>
      <c r="N36" s="2693">
        <v>0.72</v>
      </c>
      <c r="O36" s="2693">
        <v>1.98</v>
      </c>
      <c r="P36" s="2693">
        <v>2.4300000000000002</v>
      </c>
      <c r="Q36" s="2693">
        <v>2.79</v>
      </c>
      <c r="R36" s="2693">
        <v>3.33</v>
      </c>
      <c r="S36" s="2693">
        <v>3.96</v>
      </c>
      <c r="T36" s="2693">
        <v>4.41</v>
      </c>
      <c r="U36" s="2693">
        <v>1.98</v>
      </c>
      <c r="V36" s="2693">
        <v>2.4300000000000002</v>
      </c>
      <c r="W36" s="2693">
        <v>2.79</v>
      </c>
      <c r="X36" s="2693">
        <v>1.44</v>
      </c>
      <c r="Y36" s="2693">
        <v>1.08</v>
      </c>
      <c r="Z36" s="2693">
        <v>1.62</v>
      </c>
    </row>
    <row r="37" spans="2:26">
      <c r="B37" s="2693"/>
      <c r="C37" s="2694">
        <v>39159</v>
      </c>
      <c r="D37" s="2693">
        <v>5.67</v>
      </c>
      <c r="E37" s="2693">
        <v>6.39</v>
      </c>
      <c r="F37" s="2693">
        <v>6.57</v>
      </c>
      <c r="G37" s="2693">
        <v>6.75</v>
      </c>
      <c r="H37" s="2693">
        <v>7.11</v>
      </c>
      <c r="I37" s="2693">
        <v>4.32</v>
      </c>
      <c r="J37" s="2693">
        <v>4.7699999999999996</v>
      </c>
      <c r="L37" s="2693"/>
      <c r="M37" s="2694">
        <v>38948</v>
      </c>
      <c r="N37" s="2693">
        <v>0.72</v>
      </c>
      <c r="O37" s="2693">
        <v>1.8</v>
      </c>
      <c r="P37" s="2693">
        <v>2.25</v>
      </c>
      <c r="Q37" s="2693">
        <v>2.52</v>
      </c>
      <c r="R37" s="2693">
        <v>3.06</v>
      </c>
      <c r="S37" s="2693">
        <v>3.69</v>
      </c>
      <c r="T37" s="2693">
        <v>4.1399999999999997</v>
      </c>
      <c r="U37" s="2693">
        <v>1.8</v>
      </c>
      <c r="V37" s="2693">
        <v>2.25</v>
      </c>
      <c r="W37" s="2693">
        <v>2.52</v>
      </c>
      <c r="X37" s="2693">
        <v>1.44</v>
      </c>
      <c r="Y37" s="2693">
        <v>1.08</v>
      </c>
      <c r="Z37" s="2693">
        <v>1.62</v>
      </c>
    </row>
    <row r="38" spans="2:26">
      <c r="B38" s="2693"/>
      <c r="C38" s="2694">
        <v>38948</v>
      </c>
      <c r="D38" s="2693">
        <v>5.58</v>
      </c>
      <c r="E38" s="2693">
        <v>6.12</v>
      </c>
      <c r="F38" s="2693">
        <v>6.3</v>
      </c>
      <c r="G38" s="2693">
        <v>6.48</v>
      </c>
      <c r="H38" s="2693">
        <v>6.84</v>
      </c>
      <c r="I38" s="2693">
        <v>4.1399999999999997</v>
      </c>
      <c r="J38" s="2693">
        <v>4.59</v>
      </c>
      <c r="L38" s="2693"/>
      <c r="M38" s="2694">
        <v>38289</v>
      </c>
      <c r="N38" s="2693">
        <v>0.72</v>
      </c>
      <c r="O38" s="2693">
        <v>1.71</v>
      </c>
      <c r="P38" s="2693">
        <v>2.0699999999999998</v>
      </c>
      <c r="Q38" s="2693">
        <v>2.25</v>
      </c>
      <c r="R38" s="2693">
        <v>2.7</v>
      </c>
      <c r="S38" s="2693">
        <v>3.24</v>
      </c>
      <c r="T38" s="2693">
        <v>3.6</v>
      </c>
      <c r="U38" s="2693">
        <v>1.71</v>
      </c>
      <c r="V38" s="2693">
        <v>2.0699999999999998</v>
      </c>
      <c r="W38" s="2693">
        <v>2.25</v>
      </c>
      <c r="X38" s="2693">
        <v>1.44</v>
      </c>
      <c r="Y38" s="2693">
        <v>1.08</v>
      </c>
      <c r="Z38" s="2693">
        <v>1.62</v>
      </c>
    </row>
    <row r="39" spans="2:26">
      <c r="B39" s="2693"/>
      <c r="C39" s="2694">
        <v>38835</v>
      </c>
      <c r="D39" s="2693">
        <v>5.4</v>
      </c>
      <c r="E39" s="2693">
        <v>5.85</v>
      </c>
      <c r="F39" s="2693">
        <v>6.03</v>
      </c>
      <c r="G39" s="2693">
        <v>6.12</v>
      </c>
      <c r="H39" s="2693">
        <v>6.39</v>
      </c>
      <c r="I39" s="2693">
        <v>4.1399999999999997</v>
      </c>
      <c r="J39" s="2693">
        <v>4.59</v>
      </c>
      <c r="L39" s="2693"/>
      <c r="M39" s="2694">
        <v>37308</v>
      </c>
      <c r="N39" s="2693">
        <v>0.72</v>
      </c>
      <c r="O39" s="2693">
        <v>1.71</v>
      </c>
      <c r="P39" s="2693">
        <v>1.89</v>
      </c>
      <c r="Q39" s="2693">
        <v>1.98</v>
      </c>
      <c r="R39" s="2693">
        <v>2.25</v>
      </c>
      <c r="S39" s="2693">
        <v>2.52</v>
      </c>
      <c r="T39" s="2693">
        <v>2.79</v>
      </c>
      <c r="U39" s="2693">
        <v>1.71</v>
      </c>
      <c r="V39" s="2693">
        <v>1.89</v>
      </c>
      <c r="W39" s="2693">
        <v>1.98</v>
      </c>
      <c r="X39" s="2693">
        <v>1.44</v>
      </c>
      <c r="Y39" s="2693">
        <v>1.08</v>
      </c>
      <c r="Z39" s="2693">
        <v>1.62</v>
      </c>
    </row>
    <row r="40" spans="2:26">
      <c r="B40" s="2693"/>
      <c r="C40" s="2694">
        <v>38428</v>
      </c>
      <c r="D40" s="2693">
        <v>5.22</v>
      </c>
      <c r="E40" s="2693">
        <v>5.58</v>
      </c>
      <c r="F40" s="2693">
        <v>5.76</v>
      </c>
      <c r="G40" s="2693">
        <v>5.85</v>
      </c>
      <c r="H40" s="2693">
        <v>6.12</v>
      </c>
      <c r="I40" s="2693">
        <v>3.96</v>
      </c>
      <c r="J40" s="2693">
        <v>4.41</v>
      </c>
      <c r="L40" s="2693"/>
      <c r="M40" s="2694">
        <v>36321</v>
      </c>
      <c r="N40" s="2693">
        <v>0.99</v>
      </c>
      <c r="O40" s="2693">
        <v>1.98</v>
      </c>
      <c r="P40" s="2693">
        <v>2.16</v>
      </c>
      <c r="Q40" s="2693">
        <v>2.25</v>
      </c>
      <c r="R40" s="2693">
        <v>2.4300000000000002</v>
      </c>
      <c r="S40" s="2693">
        <v>2.7</v>
      </c>
      <c r="T40" s="2693">
        <v>2.88</v>
      </c>
      <c r="U40" s="2693">
        <v>1.98</v>
      </c>
      <c r="V40" s="2693">
        <v>2.16</v>
      </c>
      <c r="W40" s="2693">
        <v>2.25</v>
      </c>
      <c r="X40" s="2693">
        <v>1.71</v>
      </c>
      <c r="Y40" s="2693">
        <v>1.35</v>
      </c>
      <c r="Z40" s="2693">
        <v>1.89</v>
      </c>
    </row>
    <row r="41" spans="2:26">
      <c r="B41" s="2693"/>
      <c r="C41" s="2694">
        <v>38289</v>
      </c>
      <c r="D41" s="2693">
        <v>5.22</v>
      </c>
      <c r="E41" s="2693">
        <v>5.58</v>
      </c>
      <c r="F41" s="2693">
        <v>5.76</v>
      </c>
      <c r="G41" s="2693">
        <v>5.85</v>
      </c>
      <c r="H41" s="2693">
        <v>6.12</v>
      </c>
      <c r="I41" s="2693">
        <v>3.78</v>
      </c>
      <c r="J41" s="2693">
        <v>4.2300000000000004</v>
      </c>
      <c r="L41" s="2693"/>
      <c r="M41" s="2694">
        <v>36136</v>
      </c>
      <c r="N41" s="2693">
        <v>1.44</v>
      </c>
      <c r="O41" s="2693">
        <v>2.79</v>
      </c>
      <c r="P41" s="2693">
        <v>3.33</v>
      </c>
      <c r="Q41" s="2693">
        <v>3.78</v>
      </c>
      <c r="R41" s="2693">
        <v>3.96</v>
      </c>
      <c r="S41" s="2693">
        <v>4.1399999999999997</v>
      </c>
      <c r="T41" s="2693">
        <v>4.5</v>
      </c>
      <c r="U41" s="2693">
        <v>3.33</v>
      </c>
      <c r="V41" s="2693">
        <v>3.78</v>
      </c>
      <c r="W41" s="2693">
        <v>4.1399999999999997</v>
      </c>
      <c r="X41" s="2693">
        <v>2.16</v>
      </c>
      <c r="Y41" s="2693">
        <v>1.8</v>
      </c>
      <c r="Z41" s="2693">
        <v>2.34</v>
      </c>
    </row>
    <row r="42" spans="2:26">
      <c r="B42" s="2693"/>
      <c r="C42" s="2694">
        <v>37308</v>
      </c>
      <c r="D42" s="2693">
        <v>5.04</v>
      </c>
      <c r="E42" s="2693">
        <v>5.31</v>
      </c>
      <c r="F42" s="2693">
        <v>5.49</v>
      </c>
      <c r="G42" s="2693">
        <v>5.58</v>
      </c>
      <c r="H42" s="2693">
        <v>5.76</v>
      </c>
      <c r="I42" s="2693">
        <v>3.6</v>
      </c>
      <c r="J42" s="2693">
        <v>4.05</v>
      </c>
      <c r="L42" s="2693"/>
      <c r="M42" s="2694">
        <v>35977</v>
      </c>
      <c r="N42" s="2693">
        <v>1.44</v>
      </c>
      <c r="O42" s="2693">
        <v>2.79</v>
      </c>
      <c r="P42" s="2693">
        <v>3.96</v>
      </c>
      <c r="Q42" s="2693">
        <v>4.7699999999999996</v>
      </c>
      <c r="R42" s="2693">
        <v>4.8600000000000003</v>
      </c>
      <c r="S42" s="2693">
        <v>4.95</v>
      </c>
      <c r="T42" s="2693">
        <v>5.22</v>
      </c>
      <c r="U42" s="2693">
        <v>3.96</v>
      </c>
      <c r="V42" s="2693">
        <v>4.7699999999999996</v>
      </c>
      <c r="W42" s="2693">
        <v>4.95</v>
      </c>
      <c r="X42" s="2693" t="s">
        <v>2791</v>
      </c>
      <c r="Y42" s="2693" t="s">
        <v>2791</v>
      </c>
      <c r="Z42" s="2693" t="s">
        <v>2791</v>
      </c>
    </row>
    <row r="43" spans="2:26">
      <c r="B43" s="2693"/>
      <c r="C43" s="2694">
        <v>36321</v>
      </c>
      <c r="D43" s="2693">
        <v>5.58</v>
      </c>
      <c r="E43" s="2693">
        <v>5.85</v>
      </c>
      <c r="F43" s="2693">
        <v>5.94</v>
      </c>
      <c r="G43" s="2693">
        <v>6.03</v>
      </c>
      <c r="H43" s="2693">
        <v>6.21</v>
      </c>
      <c r="I43" s="2693">
        <v>4.1399999999999997</v>
      </c>
      <c r="J43" s="2693">
        <v>4.59</v>
      </c>
      <c r="L43" s="2693"/>
      <c r="M43" s="2694">
        <v>35879</v>
      </c>
      <c r="N43" s="2693">
        <v>1.71</v>
      </c>
      <c r="O43" s="2693">
        <v>2.88</v>
      </c>
      <c r="P43" s="2693">
        <v>4.1399999999999997</v>
      </c>
      <c r="Q43" s="2693">
        <v>5.22</v>
      </c>
      <c r="R43" s="2693">
        <v>5.58</v>
      </c>
      <c r="S43" s="2693">
        <v>6.21</v>
      </c>
      <c r="T43" s="2693">
        <v>6.66</v>
      </c>
      <c r="U43" s="2693">
        <v>4.1399999999999997</v>
      </c>
      <c r="V43" s="2693">
        <v>5.22</v>
      </c>
      <c r="W43" s="2693">
        <v>6.21</v>
      </c>
      <c r="X43" s="2693" t="s">
        <v>2791</v>
      </c>
      <c r="Y43" s="2693" t="s">
        <v>2791</v>
      </c>
      <c r="Z43" s="2693" t="s">
        <v>2791</v>
      </c>
    </row>
    <row r="44" spans="2:26">
      <c r="B44" s="2693"/>
      <c r="C44" s="2694">
        <v>36136</v>
      </c>
      <c r="D44" s="2693">
        <v>6.12</v>
      </c>
      <c r="E44" s="2693">
        <v>6.39</v>
      </c>
      <c r="F44" s="2693">
        <v>6.66</v>
      </c>
      <c r="G44" s="2693">
        <v>7.2</v>
      </c>
      <c r="H44" s="2693">
        <v>7.56</v>
      </c>
      <c r="I44" s="2693">
        <v>0</v>
      </c>
      <c r="J44" s="2693">
        <v>0</v>
      </c>
      <c r="L44" s="2693"/>
      <c r="M44" s="2694">
        <v>35726</v>
      </c>
      <c r="N44" s="2693">
        <v>1.71</v>
      </c>
      <c r="O44" s="2693">
        <v>2.88</v>
      </c>
      <c r="P44" s="2693">
        <v>4.1399999999999997</v>
      </c>
      <c r="Q44" s="2693">
        <v>5.67</v>
      </c>
      <c r="R44" s="2693">
        <v>5.94</v>
      </c>
      <c r="S44" s="2693">
        <v>6.21</v>
      </c>
      <c r="T44" s="2693">
        <v>6.66</v>
      </c>
      <c r="U44" s="2693">
        <v>4.1399999999999997</v>
      </c>
      <c r="V44" s="2693">
        <v>5.67</v>
      </c>
      <c r="W44" s="2693">
        <v>6.21</v>
      </c>
      <c r="X44" s="2693" t="s">
        <v>2791</v>
      </c>
      <c r="Y44" s="2693" t="s">
        <v>2791</v>
      </c>
      <c r="Z44" s="2693" t="s">
        <v>2791</v>
      </c>
    </row>
    <row r="45" spans="2:26">
      <c r="B45" s="2693"/>
      <c r="C45" s="2694">
        <v>35977</v>
      </c>
      <c r="D45" s="2693">
        <v>6.57</v>
      </c>
      <c r="E45" s="2693">
        <v>6.93</v>
      </c>
      <c r="F45" s="2693">
        <v>7.11</v>
      </c>
      <c r="G45" s="2693">
        <v>7.65</v>
      </c>
      <c r="H45" s="2693">
        <v>8.01</v>
      </c>
      <c r="I45" s="2693">
        <v>0</v>
      </c>
      <c r="J45" s="2693">
        <v>0</v>
      </c>
      <c r="L45" s="2693"/>
      <c r="M45" s="2694">
        <v>35300</v>
      </c>
      <c r="N45" s="2693">
        <v>1.98</v>
      </c>
      <c r="O45" s="2693">
        <v>3.33</v>
      </c>
      <c r="P45" s="2693">
        <v>5.4</v>
      </c>
      <c r="Q45" s="2693">
        <v>7.47</v>
      </c>
      <c r="R45" s="2693">
        <v>7.92</v>
      </c>
      <c r="S45" s="2693">
        <v>8.2799999999999994</v>
      </c>
      <c r="T45" s="2693">
        <v>9</v>
      </c>
      <c r="U45" s="2693">
        <v>5.4</v>
      </c>
      <c r="V45" s="2693">
        <v>7.47</v>
      </c>
      <c r="W45" s="2693">
        <v>8.2799999999999994</v>
      </c>
      <c r="X45" s="2693" t="s">
        <v>2791</v>
      </c>
      <c r="Y45" s="2693" t="s">
        <v>2791</v>
      </c>
      <c r="Z45" s="2693" t="s">
        <v>2791</v>
      </c>
    </row>
    <row r="46" spans="2:26">
      <c r="B46" s="2693"/>
      <c r="C46" s="2694">
        <v>35879</v>
      </c>
      <c r="D46" s="2693">
        <v>7.02</v>
      </c>
      <c r="E46" s="2693">
        <v>7.92</v>
      </c>
      <c r="F46" s="2693">
        <v>9</v>
      </c>
      <c r="G46" s="2693">
        <v>9.7200000000000006</v>
      </c>
      <c r="H46" s="2693">
        <v>10.35</v>
      </c>
      <c r="I46" s="2693">
        <v>0</v>
      </c>
      <c r="J46" s="2693">
        <v>0</v>
      </c>
      <c r="L46" s="2693"/>
      <c r="M46" s="2694">
        <v>35186</v>
      </c>
      <c r="N46" s="2693">
        <v>2.97</v>
      </c>
      <c r="O46" s="2693">
        <v>4.8600000000000003</v>
      </c>
      <c r="P46" s="2693">
        <v>7.2</v>
      </c>
      <c r="Q46" s="2693">
        <v>9.18</v>
      </c>
      <c r="R46" s="2693">
        <v>9.9</v>
      </c>
      <c r="S46" s="2693">
        <v>10.8</v>
      </c>
      <c r="T46" s="2693">
        <v>12.06</v>
      </c>
      <c r="U46" s="2693">
        <v>7.2</v>
      </c>
      <c r="V46" s="2693">
        <v>9.18</v>
      </c>
      <c r="W46" s="2693">
        <v>10.8</v>
      </c>
      <c r="X46" s="2693" t="s">
        <v>2791</v>
      </c>
      <c r="Y46" s="2693" t="s">
        <v>2791</v>
      </c>
      <c r="Z46" s="2693" t="s">
        <v>2791</v>
      </c>
    </row>
    <row r="47" spans="2:26">
      <c r="B47" s="2693"/>
      <c r="C47" s="2694">
        <v>35726</v>
      </c>
      <c r="D47" s="2693">
        <v>7.65</v>
      </c>
      <c r="E47" s="2693">
        <v>8.64</v>
      </c>
      <c r="F47" s="2693">
        <v>9.36</v>
      </c>
      <c r="G47" s="2693">
        <v>9.9</v>
      </c>
      <c r="H47" s="2693">
        <v>10.53</v>
      </c>
      <c r="I47" s="2693">
        <v>0</v>
      </c>
      <c r="J47" s="2693">
        <v>0</v>
      </c>
      <c r="L47" s="2693"/>
      <c r="M47" s="2694">
        <v>34161</v>
      </c>
      <c r="N47" s="2693">
        <v>3.15</v>
      </c>
      <c r="O47" s="2693">
        <v>6.66</v>
      </c>
      <c r="P47" s="2693">
        <v>9</v>
      </c>
      <c r="Q47" s="2693">
        <v>10.98</v>
      </c>
      <c r="R47" s="2693">
        <v>11.7</v>
      </c>
      <c r="S47" s="2693">
        <v>12.24</v>
      </c>
      <c r="T47" s="2693">
        <v>13.86</v>
      </c>
      <c r="U47" s="2693">
        <v>9</v>
      </c>
      <c r="V47" s="2693">
        <v>10.98</v>
      </c>
      <c r="W47" s="2693">
        <v>12.24</v>
      </c>
      <c r="X47" s="2693" t="s">
        <v>2791</v>
      </c>
      <c r="Y47" s="2693" t="s">
        <v>2791</v>
      </c>
      <c r="Z47" s="2693" t="s">
        <v>2791</v>
      </c>
    </row>
    <row r="48" spans="2:26">
      <c r="B48" s="2693"/>
      <c r="C48" s="2694">
        <v>35300</v>
      </c>
      <c r="D48" s="2693">
        <v>9.18</v>
      </c>
      <c r="E48" s="2693">
        <v>10.08</v>
      </c>
      <c r="F48" s="2693">
        <v>10.98</v>
      </c>
      <c r="G48" s="2693">
        <v>11.7</v>
      </c>
      <c r="H48" s="2693">
        <v>12.42</v>
      </c>
      <c r="I48" s="2693">
        <v>0</v>
      </c>
      <c r="J48" s="2693">
        <v>0</v>
      </c>
      <c r="L48" s="2693"/>
      <c r="M48" s="2694">
        <v>34104</v>
      </c>
      <c r="N48" s="2693">
        <v>2.16</v>
      </c>
      <c r="O48" s="2693">
        <v>4.8600000000000003</v>
      </c>
      <c r="P48" s="2693">
        <v>7.2</v>
      </c>
      <c r="Q48" s="2693">
        <v>9.18</v>
      </c>
      <c r="R48" s="2693">
        <v>9.9</v>
      </c>
      <c r="S48" s="2693">
        <v>10.8</v>
      </c>
      <c r="T48" s="2693">
        <v>12.06</v>
      </c>
      <c r="U48" s="2693">
        <v>7.2</v>
      </c>
      <c r="V48" s="2693">
        <v>9.18</v>
      </c>
      <c r="W48" s="2693">
        <v>10.8</v>
      </c>
      <c r="X48" s="2693" t="s">
        <v>2791</v>
      </c>
      <c r="Y48" s="2693" t="s">
        <v>2791</v>
      </c>
      <c r="Z48" s="2693" t="s">
        <v>2791</v>
      </c>
    </row>
    <row r="49" spans="2:26">
      <c r="B49" s="2693"/>
      <c r="C49" s="2694">
        <v>35186</v>
      </c>
      <c r="D49" s="2693">
        <v>9.7200000000000006</v>
      </c>
      <c r="E49" s="2693">
        <v>10.98</v>
      </c>
      <c r="F49" s="2693">
        <v>13.14</v>
      </c>
      <c r="G49" s="2693">
        <v>14.94</v>
      </c>
      <c r="H49" s="2693">
        <v>15.12</v>
      </c>
      <c r="I49" s="2693">
        <v>0</v>
      </c>
      <c r="J49" s="2693">
        <v>0</v>
      </c>
      <c r="L49" s="2693"/>
      <c r="M49" s="2694">
        <v>33349</v>
      </c>
      <c r="N49" s="2693">
        <v>1.8</v>
      </c>
      <c r="O49" s="2693">
        <v>3.24</v>
      </c>
      <c r="P49" s="2693">
        <v>5.4</v>
      </c>
      <c r="Q49" s="2693">
        <v>7.56</v>
      </c>
      <c r="R49" s="2693">
        <v>7.92</v>
      </c>
      <c r="S49" s="2693">
        <v>8.2799999999999994</v>
      </c>
      <c r="T49" s="2693">
        <v>9</v>
      </c>
      <c r="U49" s="2693">
        <v>6.12</v>
      </c>
      <c r="V49" s="2693">
        <v>6.84</v>
      </c>
      <c r="W49" s="2693">
        <v>7.56</v>
      </c>
      <c r="X49" s="2693" t="s">
        <v>2791</v>
      </c>
      <c r="Y49" s="2693" t="s">
        <v>2791</v>
      </c>
      <c r="Z49" s="2693" t="s">
        <v>2791</v>
      </c>
    </row>
    <row r="50" spans="2:26">
      <c r="B50" s="2693"/>
      <c r="C50" s="2694">
        <v>34881</v>
      </c>
      <c r="D50" s="2693">
        <v>10.08</v>
      </c>
      <c r="E50" s="2693">
        <v>12.06</v>
      </c>
      <c r="F50" s="2693">
        <v>13.5</v>
      </c>
      <c r="G50" s="2693">
        <v>15.12</v>
      </c>
      <c r="H50" s="2693">
        <v>15.3</v>
      </c>
      <c r="I50" s="2693">
        <v>0</v>
      </c>
      <c r="J50" s="2693">
        <v>0</v>
      </c>
      <c r="L50" s="2693"/>
      <c r="M50" s="2694">
        <v>33106</v>
      </c>
      <c r="N50" s="2693">
        <v>2.16</v>
      </c>
      <c r="O50" s="2693">
        <v>4.32</v>
      </c>
      <c r="P50" s="2693">
        <v>6.48</v>
      </c>
      <c r="Q50" s="2693">
        <v>8.64</v>
      </c>
      <c r="R50" s="2693">
        <v>9.36</v>
      </c>
      <c r="S50" s="2693">
        <v>10.08</v>
      </c>
      <c r="T50" s="2693">
        <v>11.52</v>
      </c>
      <c r="U50" s="2693">
        <v>7.2</v>
      </c>
      <c r="V50" s="2693">
        <v>8.64</v>
      </c>
      <c r="W50" s="2693">
        <v>10.08</v>
      </c>
      <c r="X50" s="2693" t="s">
        <v>2791</v>
      </c>
      <c r="Y50" s="2693" t="s">
        <v>2791</v>
      </c>
      <c r="Z50" s="2693" t="s">
        <v>2791</v>
      </c>
    </row>
    <row r="51" spans="2:26">
      <c r="B51" s="2693"/>
      <c r="C51" s="2694">
        <v>34700</v>
      </c>
      <c r="D51" s="2693">
        <v>9</v>
      </c>
      <c r="E51" s="2693">
        <v>10.98</v>
      </c>
      <c r="F51" s="2693">
        <v>12.96</v>
      </c>
      <c r="G51" s="2693">
        <v>14.58</v>
      </c>
      <c r="H51" s="2693">
        <v>14.76</v>
      </c>
      <c r="I51" s="2693">
        <v>0</v>
      </c>
      <c r="J51" s="2693">
        <v>0</v>
      </c>
      <c r="L51" s="2693"/>
      <c r="M51" s="2694">
        <v>32978</v>
      </c>
      <c r="N51" s="2693">
        <v>2.88</v>
      </c>
      <c r="O51" s="2693">
        <v>6.3</v>
      </c>
      <c r="P51" s="2693">
        <v>7.74</v>
      </c>
      <c r="Q51" s="2693">
        <v>10.08</v>
      </c>
      <c r="R51" s="2693">
        <v>10.98</v>
      </c>
      <c r="S51" s="2693">
        <v>11.88</v>
      </c>
      <c r="T51" s="2693">
        <v>13.68</v>
      </c>
      <c r="U51" s="2693" t="s">
        <v>2791</v>
      </c>
      <c r="V51" s="2693" t="s">
        <v>2791</v>
      </c>
      <c r="W51" s="2693" t="s">
        <v>2791</v>
      </c>
      <c r="X51" s="2693" t="s">
        <v>2791</v>
      </c>
      <c r="Y51" s="2693" t="s">
        <v>2791</v>
      </c>
      <c r="Z51" s="2693" t="s">
        <v>2791</v>
      </c>
    </row>
    <row r="52" spans="2:26">
      <c r="B52" s="2693"/>
      <c r="C52" s="2694">
        <v>34161</v>
      </c>
      <c r="D52" s="2693">
        <v>9</v>
      </c>
      <c r="E52" s="2693">
        <v>10.98</v>
      </c>
      <c r="F52" s="2693">
        <v>12.24</v>
      </c>
      <c r="G52" s="2693">
        <v>13.86</v>
      </c>
      <c r="H52" s="2693">
        <v>14.04</v>
      </c>
      <c r="I52" s="2693">
        <v>0</v>
      </c>
      <c r="J52" s="2693">
        <v>0</v>
      </c>
      <c r="L52" s="2693"/>
      <c r="M52" s="2694"/>
      <c r="N52" s="2693"/>
      <c r="O52" s="2693"/>
      <c r="P52" s="2693"/>
      <c r="Q52" s="2693"/>
      <c r="R52" s="2693"/>
      <c r="S52" s="2693"/>
      <c r="T52" s="2693"/>
      <c r="U52" s="2693"/>
      <c r="V52" s="2693"/>
      <c r="W52" s="2693"/>
      <c r="X52" s="2693"/>
      <c r="Y52" s="2693"/>
      <c r="Z52" s="2693"/>
    </row>
    <row r="53" spans="2:26">
      <c r="B53" s="2693"/>
      <c r="C53" s="2694">
        <v>34104</v>
      </c>
      <c r="D53" s="2693">
        <v>8.82</v>
      </c>
      <c r="E53" s="2693">
        <v>9.36</v>
      </c>
      <c r="F53" s="2693">
        <v>10.8</v>
      </c>
      <c r="G53" s="2693">
        <v>12.06</v>
      </c>
      <c r="H53" s="2693">
        <v>12.24</v>
      </c>
      <c r="I53" s="2693">
        <v>0</v>
      </c>
      <c r="J53" s="2693">
        <v>0</v>
      </c>
      <c r="L53" s="2693"/>
      <c r="M53" s="2694"/>
      <c r="N53" s="2693"/>
      <c r="O53" s="2693"/>
      <c r="P53" s="2693"/>
      <c r="Q53" s="2693"/>
      <c r="R53" s="2693"/>
      <c r="S53" s="2693"/>
      <c r="T53" s="2693"/>
      <c r="U53" s="2693"/>
      <c r="V53" s="2693"/>
      <c r="W53" s="2693"/>
      <c r="X53" s="2693"/>
      <c r="Y53" s="2693"/>
      <c r="Z53" s="2693"/>
    </row>
    <row r="54" spans="2:26">
      <c r="B54" s="2693"/>
      <c r="C54" s="2694">
        <v>33349</v>
      </c>
      <c r="D54" s="2693">
        <v>8.1</v>
      </c>
      <c r="E54" s="2693">
        <v>8.64</v>
      </c>
      <c r="F54" s="2693">
        <v>9</v>
      </c>
      <c r="G54" s="2693">
        <v>9.5399999999999991</v>
      </c>
      <c r="H54" s="2693">
        <v>9.7200000000000006</v>
      </c>
      <c r="I54" s="2693">
        <v>0</v>
      </c>
      <c r="J54" s="2693">
        <v>0</v>
      </c>
      <c r="L54" s="2693"/>
      <c r="M54" s="2694"/>
      <c r="N54" s="2693"/>
      <c r="O54" s="2693"/>
      <c r="P54" s="2693"/>
      <c r="Q54" s="2693"/>
      <c r="R54" s="2693"/>
      <c r="S54" s="2693"/>
      <c r="T54" s="2693"/>
      <c r="U54" s="2693"/>
      <c r="V54" s="2693"/>
      <c r="W54" s="2693"/>
      <c r="X54" s="2693"/>
      <c r="Y54" s="2693"/>
      <c r="Z54" s="2693"/>
    </row>
    <row r="55" spans="2:26">
      <c r="B55" s="2693"/>
      <c r="C55" s="2694">
        <v>33318</v>
      </c>
      <c r="D55" s="2693">
        <v>9</v>
      </c>
      <c r="E55" s="2693">
        <v>10.08</v>
      </c>
      <c r="F55" s="2693">
        <v>10.8</v>
      </c>
      <c r="G55" s="2693">
        <v>11.52</v>
      </c>
      <c r="H55" s="2693">
        <v>11.88</v>
      </c>
      <c r="I55" s="2693" t="s">
        <v>2791</v>
      </c>
      <c r="J55" s="2693" t="s">
        <v>2791</v>
      </c>
      <c r="L55" s="2693"/>
      <c r="M55" s="2694"/>
      <c r="N55" s="2693"/>
      <c r="O55" s="2693"/>
      <c r="P55" s="2693"/>
      <c r="Q55" s="2693"/>
      <c r="R55" s="2693"/>
      <c r="S55" s="2693"/>
      <c r="T55" s="2693"/>
      <c r="U55" s="2693"/>
      <c r="V55" s="2693"/>
      <c r="W55" s="2693"/>
      <c r="X55" s="2693"/>
      <c r="Y55" s="2693"/>
      <c r="Z55" s="2693"/>
    </row>
    <row r="56" spans="2:26">
      <c r="B56" s="2693"/>
      <c r="C56" s="2694">
        <v>33106</v>
      </c>
      <c r="D56" s="2693">
        <v>8.64</v>
      </c>
      <c r="E56" s="2693">
        <v>9.36</v>
      </c>
      <c r="F56" s="2693">
        <v>10.08</v>
      </c>
      <c r="G56" s="2693">
        <v>10.8</v>
      </c>
      <c r="H56" s="2693">
        <v>11.16</v>
      </c>
      <c r="I56" s="2693">
        <v>0</v>
      </c>
      <c r="J56" s="2693">
        <v>0</v>
      </c>
      <c r="L56" s="2693"/>
      <c r="M56" s="2694"/>
      <c r="N56" s="2693"/>
      <c r="O56" s="2693"/>
      <c r="P56" s="2693"/>
      <c r="Q56" s="2693"/>
      <c r="R56" s="2693"/>
      <c r="S56" s="2693"/>
      <c r="T56" s="2693"/>
      <c r="U56" s="2693"/>
      <c r="V56" s="2693"/>
      <c r="W56" s="2693"/>
      <c r="X56" s="2693"/>
      <c r="Y56" s="2693"/>
      <c r="Z56" s="2693"/>
    </row>
    <row r="57" spans="2:26">
      <c r="B57" s="2693"/>
      <c r="C57" s="2694">
        <v>32540</v>
      </c>
      <c r="D57" s="2693">
        <v>11.34</v>
      </c>
      <c r="E57" s="2693">
        <v>11.34</v>
      </c>
      <c r="F57" s="2693">
        <v>12.78</v>
      </c>
      <c r="G57" s="2693">
        <v>14.4</v>
      </c>
      <c r="H57" s="2693">
        <v>19.260000000000002</v>
      </c>
      <c r="I57" s="2693">
        <v>0</v>
      </c>
      <c r="J57" s="2693">
        <v>0</v>
      </c>
      <c r="L57" s="2693"/>
      <c r="M57" s="2694"/>
      <c r="N57" s="2693"/>
      <c r="O57" s="2693"/>
      <c r="P57" s="2693"/>
      <c r="Q57" s="2693"/>
      <c r="R57" s="2693"/>
      <c r="S57" s="2693"/>
      <c r="T57" s="2693"/>
      <c r="U57" s="2693"/>
      <c r="V57" s="2693"/>
      <c r="W57" s="2693"/>
      <c r="X57" s="2693"/>
      <c r="Y57" s="2693"/>
      <c r="Z57" s="2693"/>
    </row>
    <row r="58" spans="2:26">
      <c r="B58" s="2693"/>
      <c r="C58" s="2694"/>
      <c r="D58" s="2693"/>
      <c r="E58" s="2693"/>
      <c r="F58" s="2693"/>
      <c r="G58" s="2693"/>
      <c r="H58" s="2693"/>
      <c r="I58" s="2693"/>
      <c r="J58" s="2693"/>
    </row>
    <row r="59" spans="2:26">
      <c r="B59" s="2697"/>
      <c r="C59" s="2698"/>
      <c r="D59" s="2697"/>
      <c r="E59" s="2697"/>
      <c r="F59" s="2697"/>
      <c r="G59" s="2697"/>
      <c r="H59" s="2697"/>
      <c r="I59" s="2697"/>
      <c r="J59" s="2697"/>
    </row>
    <row r="60" spans="2:26">
      <c r="B60" s="2697"/>
      <c r="C60" s="2698"/>
      <c r="D60" s="2697"/>
      <c r="E60" s="2697"/>
      <c r="F60" s="2697"/>
      <c r="G60" s="2697"/>
      <c r="H60" s="2697"/>
      <c r="I60" s="2697"/>
      <c r="J60" s="2697"/>
    </row>
    <row r="61" spans="2:26">
      <c r="B61" s="2697"/>
      <c r="C61" s="2698"/>
      <c r="D61" s="2697"/>
      <c r="E61" s="2697"/>
      <c r="F61" s="2697"/>
      <c r="G61" s="2697"/>
      <c r="H61" s="2697"/>
      <c r="I61" s="2697"/>
      <c r="J61" s="2697"/>
    </row>
    <row r="62" spans="2:26">
      <c r="B62" s="2644"/>
      <c r="C62" s="2644"/>
      <c r="D62" s="2644"/>
      <c r="E62" s="2644"/>
      <c r="F62" s="2644"/>
      <c r="G62" s="2644"/>
      <c r="H62" s="2644"/>
      <c r="I62" s="2644"/>
      <c r="J62" s="2644"/>
    </row>
    <row r="63" spans="2:26">
      <c r="B63" s="2644"/>
      <c r="C63" s="2644"/>
      <c r="D63" s="2644"/>
      <c r="E63" s="2644"/>
      <c r="F63" s="2644"/>
      <c r="G63" s="2644"/>
      <c r="H63" s="2644"/>
      <c r="I63" s="2644"/>
      <c r="J63" s="2644"/>
    </row>
  </sheetData>
  <sheetProtection sheet="1" objects="1" scenarios="1"/>
  <phoneticPr fontId="228"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view="pageBreakPreview" topLeftCell="A28" zoomScale="85" zoomScaleNormal="60" zoomScaleSheetLayoutView="85" workbookViewId="0">
      <selection activeCell="D59" sqref="D59:M59"/>
    </sheetView>
  </sheetViews>
  <sheetFormatPr defaultColWidth="9" defaultRowHeight="14.25"/>
  <cols>
    <col min="1" max="1" width="10.5" style="1281" customWidth="1"/>
    <col min="2" max="2" width="15.75" style="1281" customWidth="1"/>
    <col min="3" max="3" width="15.125" style="1281" customWidth="1"/>
    <col min="4" max="4" width="12.25" style="1281" customWidth="1"/>
    <col min="5" max="5" width="14.375" style="1281" customWidth="1"/>
    <col min="6" max="6" width="12.25" style="1281" customWidth="1"/>
    <col min="7" max="7" width="14.5" style="1281" customWidth="1"/>
    <col min="8" max="8" width="12.25" style="1281" customWidth="1"/>
    <col min="9" max="9" width="14.5" style="1281" customWidth="1"/>
    <col min="10" max="10" width="12.25" style="1281" customWidth="1"/>
    <col min="11" max="11" width="12.25" style="1286" customWidth="1"/>
    <col min="12" max="12" width="12.25" style="1287" customWidth="1"/>
    <col min="13" max="15" width="12.25" style="1281" customWidth="1"/>
    <col min="16" max="16" width="4.75" style="1281" customWidth="1"/>
    <col min="17" max="17" width="19.5" style="1281" customWidth="1"/>
    <col min="18" max="22" width="6.125" style="1281" customWidth="1"/>
    <col min="23" max="23" width="5.75" style="1281" customWidth="1"/>
    <col min="24" max="24" width="4.25" style="1281" customWidth="1"/>
    <col min="25" max="25" width="3.5" style="1281" customWidth="1"/>
    <col min="26" max="26" width="19.75" style="1281" customWidth="1"/>
    <col min="27" max="28" width="9.375" style="1281" customWidth="1"/>
    <col min="29" max="16384" width="9" style="1281"/>
  </cols>
  <sheetData>
    <row r="1" spans="1:29" s="1280" customFormat="1" ht="28.5" customHeight="1">
      <c r="A1" s="488" t="s">
        <v>712</v>
      </c>
      <c r="B1" s="2453" t="s">
        <v>713</v>
      </c>
      <c r="C1" s="2454" t="s">
        <v>714</v>
      </c>
      <c r="D1" s="2455" t="s">
        <v>3743</v>
      </c>
      <c r="E1" s="1995"/>
      <c r="F1" s="2510" t="s">
        <v>3775</v>
      </c>
      <c r="G1" s="1519" t="s">
        <v>715</v>
      </c>
      <c r="H1" s="492"/>
      <c r="I1" s="492"/>
      <c r="J1" s="492"/>
      <c r="K1" s="493"/>
      <c r="L1" s="3195"/>
      <c r="M1" s="3196"/>
      <c r="N1" s="3196"/>
      <c r="O1" s="3196"/>
      <c r="P1" s="1487"/>
      <c r="Q1" s="1487"/>
      <c r="R1" s="1487"/>
      <c r="S1" s="1487"/>
      <c r="T1" s="1487"/>
      <c r="U1" s="1487"/>
      <c r="V1" s="1487"/>
      <c r="W1" s="1487"/>
      <c r="X1" s="1487"/>
      <c r="Y1" s="1487"/>
      <c r="Z1" s="1487"/>
      <c r="AA1" s="1487"/>
      <c r="AB1" s="1487"/>
      <c r="AC1" s="1488"/>
    </row>
    <row r="2" spans="1:29" s="1305" customFormat="1" ht="28.5" customHeight="1">
      <c r="A2" s="409" t="s">
        <v>461</v>
      </c>
      <c r="B2" s="2452">
        <f>ROUND(B3*D3/10000,0)</f>
        <v>0</v>
      </c>
      <c r="C2" s="1995"/>
      <c r="D2" s="1995"/>
      <c r="E2" s="1995"/>
      <c r="F2" s="2068"/>
      <c r="G2" s="1995"/>
      <c r="H2" s="1995"/>
      <c r="I2" s="1995"/>
      <c r="J2" s="1995"/>
      <c r="K2" s="2069"/>
      <c r="L2" s="2070"/>
      <c r="M2" s="2071"/>
      <c r="N2" s="2071"/>
      <c r="O2" s="2071"/>
      <c r="P2" s="1520"/>
      <c r="Q2" s="1520"/>
      <c r="R2" s="1520"/>
      <c r="S2" s="1520"/>
      <c r="T2" s="1520"/>
      <c r="U2" s="1520"/>
      <c r="V2" s="1520"/>
      <c r="W2" s="1520"/>
      <c r="X2" s="1520"/>
      <c r="Y2" s="1520"/>
      <c r="Z2" s="1520"/>
      <c r="AA2" s="1520"/>
      <c r="AB2" s="1520"/>
      <c r="AC2" s="1521"/>
    </row>
    <row r="3" spans="1:29" s="1305" customFormat="1" ht="28.5" customHeight="1" thickBot="1">
      <c r="A3" s="495" t="s">
        <v>513</v>
      </c>
      <c r="B3" s="832">
        <f>C49</f>
        <v>12850</v>
      </c>
      <c r="C3" s="833" t="s">
        <v>716</v>
      </c>
      <c r="D3" s="832">
        <f>SUMIF('数据-汇总表'!$C19:$C33,D1,'数据-汇总表'!$E19:$E33)</f>
        <v>0</v>
      </c>
      <c r="E3" s="1995"/>
      <c r="F3" s="2068"/>
      <c r="G3" s="1995"/>
      <c r="H3" s="1995"/>
      <c r="I3" s="1995"/>
      <c r="J3" s="1995"/>
      <c r="K3" s="2069"/>
      <c r="L3" s="2070"/>
      <c r="M3" s="2071"/>
      <c r="N3" s="2071"/>
      <c r="O3" s="2071"/>
      <c r="P3" s="1520"/>
      <c r="Q3" s="1520"/>
      <c r="R3" s="1520"/>
      <c r="S3" s="1520"/>
      <c r="T3" s="1520"/>
      <c r="U3" s="1520"/>
      <c r="V3" s="1520"/>
      <c r="W3" s="1520"/>
      <c r="X3" s="1520"/>
      <c r="Y3" s="1520"/>
      <c r="Z3" s="1520"/>
      <c r="AA3" s="1520"/>
      <c r="AB3" s="1520"/>
      <c r="AC3" s="1522"/>
    </row>
    <row r="4" spans="1:29" ht="15">
      <c r="A4" s="498" t="s">
        <v>515</v>
      </c>
      <c r="B4" s="499"/>
      <c r="C4" s="3856" t="s">
        <v>516</v>
      </c>
      <c r="D4" s="3857"/>
      <c r="E4" s="3856" t="s">
        <v>517</v>
      </c>
      <c r="F4" s="3857"/>
      <c r="G4" s="3883" t="s">
        <v>518</v>
      </c>
      <c r="H4" s="3857"/>
      <c r="I4" s="3856" t="s">
        <v>519</v>
      </c>
      <c r="J4" s="3857"/>
      <c r="K4" s="834" t="s">
        <v>520</v>
      </c>
      <c r="L4" s="2001"/>
      <c r="M4" s="2002"/>
      <c r="N4" s="2002"/>
      <c r="O4" s="2002"/>
      <c r="P4" s="3858" t="s">
        <v>521</v>
      </c>
      <c r="Q4" s="3859"/>
      <c r="R4" s="3844" t="s">
        <v>517</v>
      </c>
      <c r="S4" s="3845"/>
      <c r="T4" s="3844" t="s">
        <v>518</v>
      </c>
      <c r="U4" s="3845"/>
      <c r="V4" s="3864" t="s">
        <v>519</v>
      </c>
      <c r="W4" s="3864"/>
      <c r="X4" s="3271"/>
      <c r="Y4" s="3844" t="s">
        <v>521</v>
      </c>
      <c r="Z4" s="3845"/>
      <c r="AA4" s="3839" t="s">
        <v>517</v>
      </c>
      <c r="AB4" s="3839" t="s">
        <v>518</v>
      </c>
      <c r="AC4" s="3839" t="s">
        <v>519</v>
      </c>
    </row>
    <row r="5" spans="1:29" ht="15">
      <c r="A5" s="501"/>
      <c r="B5" s="502"/>
      <c r="C5" s="3867" t="s">
        <v>2887</v>
      </c>
      <c r="D5" s="3868"/>
      <c r="E5" s="3955" t="s">
        <v>3778</v>
      </c>
      <c r="F5" s="3868"/>
      <c r="G5" s="3954" t="s">
        <v>3844</v>
      </c>
      <c r="H5" s="3868"/>
      <c r="I5" s="3955" t="s">
        <v>3846</v>
      </c>
      <c r="J5" s="3868"/>
      <c r="K5" s="835"/>
      <c r="L5" s="2001"/>
      <c r="M5" s="2002"/>
      <c r="N5" s="2002"/>
      <c r="O5" s="2002"/>
      <c r="P5" s="3860"/>
      <c r="Q5" s="3861"/>
      <c r="R5" s="3846"/>
      <c r="S5" s="3847"/>
      <c r="T5" s="3846"/>
      <c r="U5" s="3847"/>
      <c r="V5" s="3864"/>
      <c r="W5" s="3864"/>
      <c r="X5" s="3271"/>
      <c r="Y5" s="3846"/>
      <c r="Z5" s="3847"/>
      <c r="AA5" s="3840"/>
      <c r="AB5" s="3840"/>
      <c r="AC5" s="3840"/>
    </row>
    <row r="6" spans="1:29" ht="15.75" thickBot="1">
      <c r="A6" s="503"/>
      <c r="B6" s="504"/>
      <c r="C6" s="3865" t="s">
        <v>2891</v>
      </c>
      <c r="D6" s="3866"/>
      <c r="E6" s="3865" t="s">
        <v>2891</v>
      </c>
      <c r="F6" s="3866"/>
      <c r="G6" s="3956" t="s">
        <v>3845</v>
      </c>
      <c r="H6" s="3866"/>
      <c r="I6" s="3957" t="s">
        <v>3847</v>
      </c>
      <c r="J6" s="3866"/>
      <c r="K6" s="835" t="s">
        <v>522</v>
      </c>
      <c r="L6" s="2001"/>
      <c r="M6" s="2002"/>
      <c r="N6" s="2002"/>
      <c r="O6" s="2002"/>
      <c r="P6" s="3862"/>
      <c r="Q6" s="3863"/>
      <c r="R6" s="3846"/>
      <c r="S6" s="3847"/>
      <c r="T6" s="3848"/>
      <c r="U6" s="3849"/>
      <c r="V6" s="3864"/>
      <c r="W6" s="3864"/>
      <c r="X6" s="3271"/>
      <c r="Y6" s="3848"/>
      <c r="Z6" s="3849"/>
      <c r="AA6" s="3841"/>
      <c r="AB6" s="3841"/>
      <c r="AC6" s="3841"/>
    </row>
    <row r="7" spans="1:29" s="1194" customFormat="1" ht="15.75" thickBot="1">
      <c r="A7" s="2615"/>
      <c r="B7" s="2622" t="s">
        <v>523</v>
      </c>
      <c r="C7" s="505">
        <f>'数据-取费表'!B2</f>
        <v>44191</v>
      </c>
      <c r="D7" s="506">
        <v>100</v>
      </c>
      <c r="E7" s="509">
        <v>44105</v>
      </c>
      <c r="F7" s="506">
        <f>SUMIF(58:58,YEAR(E7)&amp;"-"&amp;MONTH(E7),59:59)</f>
        <v>100</v>
      </c>
      <c r="G7" s="507">
        <f>E7</f>
        <v>44105</v>
      </c>
      <c r="H7" s="506">
        <f>SUMIF(58:58,YEAR(G7)&amp;"-"&amp;MONTH(G7),59:59)</f>
        <v>100</v>
      </c>
      <c r="I7" s="509">
        <f>G7</f>
        <v>44105</v>
      </c>
      <c r="J7" s="506">
        <f>SUMIF(58:58,YEAR(I7)&amp;"-"&amp;MONTH(I7),59:59)</f>
        <v>100</v>
      </c>
      <c r="K7" s="836"/>
      <c r="L7" s="2003"/>
      <c r="M7" s="2004"/>
      <c r="N7" s="2004"/>
      <c r="O7" s="2004"/>
      <c r="P7" s="3842" t="s">
        <v>524</v>
      </c>
      <c r="Q7" s="3851"/>
      <c r="R7" s="1490" t="s">
        <v>8</v>
      </c>
      <c r="S7" s="1491">
        <f t="shared" ref="S7:S15" si="0">F7</f>
        <v>100</v>
      </c>
      <c r="T7" s="1490" t="s">
        <v>8</v>
      </c>
      <c r="U7" s="1491">
        <f t="shared" ref="U7:U15" si="1">H7</f>
        <v>100</v>
      </c>
      <c r="V7" s="1490" t="s">
        <v>8</v>
      </c>
      <c r="W7" s="1491">
        <f t="shared" ref="W7:W15" si="2">J7</f>
        <v>100</v>
      </c>
      <c r="X7" s="1492"/>
      <c r="Y7" s="3842" t="s">
        <v>524</v>
      </c>
      <c r="Z7" s="3843"/>
      <c r="AA7" s="1493">
        <f>D7/F7</f>
        <v>1</v>
      </c>
      <c r="AB7" s="1493">
        <f>D7/H7</f>
        <v>1</v>
      </c>
      <c r="AC7" s="1493">
        <f>D7/J7</f>
        <v>1</v>
      </c>
    </row>
    <row r="8" spans="1:29" s="1194" customFormat="1" ht="15.75" thickBot="1">
      <c r="A8" s="2616"/>
      <c r="B8" s="2623" t="s">
        <v>525</v>
      </c>
      <c r="C8" s="511" t="s">
        <v>570</v>
      </c>
      <c r="D8" s="506">
        <v>100</v>
      </c>
      <c r="E8" s="511" t="s">
        <v>3713</v>
      </c>
      <c r="F8" s="506">
        <f>SUMIF(61:61,E8,62:62)-SUMIF(61:61,C8,62:62)+100</f>
        <v>100</v>
      </c>
      <c r="G8" s="837" t="s">
        <v>3713</v>
      </c>
      <c r="H8" s="506">
        <f>SUMIF(61:61,G8,62:62)-SUMIF(61:61,C8,62:62)+100</f>
        <v>100</v>
      </c>
      <c r="I8" s="511" t="s">
        <v>3713</v>
      </c>
      <c r="J8" s="506">
        <f>SUMIF(61:61,I8,62:62)-SUMIF(61:61,C8,62:62)+100</f>
        <v>100</v>
      </c>
      <c r="K8" s="836"/>
      <c r="L8" s="2003"/>
      <c r="M8" s="2004"/>
      <c r="N8" s="2004"/>
      <c r="O8" s="2004"/>
      <c r="P8" s="3842" t="s">
        <v>527</v>
      </c>
      <c r="Q8" s="3843"/>
      <c r="R8" s="1490" t="s">
        <v>8</v>
      </c>
      <c r="S8" s="1491">
        <f t="shared" si="0"/>
        <v>100</v>
      </c>
      <c r="T8" s="1490" t="s">
        <v>8</v>
      </c>
      <c r="U8" s="1491">
        <f t="shared" si="1"/>
        <v>100</v>
      </c>
      <c r="V8" s="1490" t="s">
        <v>8</v>
      </c>
      <c r="W8" s="1491">
        <f t="shared" si="2"/>
        <v>100</v>
      </c>
      <c r="X8" s="1492"/>
      <c r="Y8" s="3842" t="s">
        <v>527</v>
      </c>
      <c r="Z8" s="3843"/>
      <c r="AA8" s="1493">
        <f t="shared" ref="AA8:AA46" si="3">D8/F8</f>
        <v>1</v>
      </c>
      <c r="AB8" s="1493">
        <f t="shared" ref="AB8:AB46" si="4">D8/H8</f>
        <v>1</v>
      </c>
      <c r="AC8" s="1493">
        <f t="shared" ref="AC8:AC46" si="5">D8/J8</f>
        <v>1</v>
      </c>
    </row>
    <row r="9" spans="1:29" s="1194" customFormat="1" ht="15">
      <c r="A9" s="2617"/>
      <c r="B9" s="2624" t="s">
        <v>2730</v>
      </c>
      <c r="C9" s="3305" t="s">
        <v>3776</v>
      </c>
      <c r="D9" s="244">
        <v>100</v>
      </c>
      <c r="E9" s="841" t="s">
        <v>913</v>
      </c>
      <c r="F9" s="244">
        <f>SUMIF(63:63,E9,64:64)-SUMIF(63:63,C9,64:64)+100</f>
        <v>100</v>
      </c>
      <c r="G9" s="839" t="s">
        <v>913</v>
      </c>
      <c r="H9" s="244">
        <f>SUMIF(63:63,G9,64:64)-SUMIF(63:63,C9,64:64)+100</f>
        <v>100</v>
      </c>
      <c r="I9" s="839" t="s">
        <v>913</v>
      </c>
      <c r="J9" s="244">
        <f>SUMIF(63:63,I9,64:64)-SUMIF(63:63,C9,64:64)+100</f>
        <v>100</v>
      </c>
      <c r="K9" s="836"/>
      <c r="L9" s="2003"/>
      <c r="M9" s="2004"/>
      <c r="N9" s="2004"/>
      <c r="O9" s="2005"/>
      <c r="P9" s="3850" t="s">
        <v>529</v>
      </c>
      <c r="Q9" s="3265" t="str">
        <f t="shared" ref="Q9:Q15" si="6">B9</f>
        <v>用途</v>
      </c>
      <c r="R9" s="1490" t="s">
        <v>8</v>
      </c>
      <c r="S9" s="1491">
        <f t="shared" si="0"/>
        <v>100</v>
      </c>
      <c r="T9" s="1490" t="s">
        <v>8</v>
      </c>
      <c r="U9" s="1491">
        <f t="shared" si="1"/>
        <v>100</v>
      </c>
      <c r="V9" s="1490" t="s">
        <v>8</v>
      </c>
      <c r="W9" s="1491">
        <f t="shared" si="2"/>
        <v>100</v>
      </c>
      <c r="X9" s="1492"/>
      <c r="Y9" s="3801" t="s">
        <v>530</v>
      </c>
      <c r="Z9" s="3263" t="str">
        <f t="shared" ref="Z9:Z15" si="7">Q9</f>
        <v>用途</v>
      </c>
      <c r="AA9" s="1493">
        <f t="shared" si="3"/>
        <v>1</v>
      </c>
      <c r="AB9" s="1493">
        <f t="shared" si="4"/>
        <v>1</v>
      </c>
      <c r="AC9" s="1493">
        <f t="shared" si="5"/>
        <v>1</v>
      </c>
    </row>
    <row r="10" spans="1:29" s="1282" customFormat="1" ht="27">
      <c r="A10" s="2618"/>
      <c r="B10" s="2623" t="s">
        <v>2731</v>
      </c>
      <c r="C10" s="842" t="s">
        <v>3777</v>
      </c>
      <c r="D10" s="245">
        <v>100</v>
      </c>
      <c r="E10" s="842" t="s">
        <v>3777</v>
      </c>
      <c r="F10" s="245">
        <f>SUMIF(65:65,E10,66:66)-SUMIF(65:65,C10,66:66)+100</f>
        <v>100</v>
      </c>
      <c r="G10" s="843" t="s">
        <v>3777</v>
      </c>
      <c r="H10" s="245">
        <f>SUMIF(65:65,G10,66:66)-SUMIF(65:65,C10,66:66)+100</f>
        <v>100</v>
      </c>
      <c r="I10" s="843" t="s">
        <v>3777</v>
      </c>
      <c r="J10" s="245">
        <f>SUMIF(65:65,I10,66:66)-SUMIF(65:65,C10,66:66)+100</f>
        <v>100</v>
      </c>
      <c r="K10" s="845"/>
      <c r="L10" s="2006"/>
      <c r="M10" s="2045"/>
      <c r="N10" s="2045"/>
      <c r="O10" s="2007"/>
      <c r="P10" s="3850"/>
      <c r="Q10" s="3265" t="str">
        <f t="shared" si="6"/>
        <v>土地使用年限（年）</v>
      </c>
      <c r="R10" s="1490" t="s">
        <v>8</v>
      </c>
      <c r="S10" s="1491">
        <f t="shared" si="0"/>
        <v>100</v>
      </c>
      <c r="T10" s="1490" t="s">
        <v>8</v>
      </c>
      <c r="U10" s="1491">
        <f t="shared" si="1"/>
        <v>100</v>
      </c>
      <c r="V10" s="1490" t="s">
        <v>8</v>
      </c>
      <c r="W10" s="1491">
        <f t="shared" si="2"/>
        <v>100</v>
      </c>
      <c r="X10" s="1492"/>
      <c r="Y10" s="3801"/>
      <c r="Z10" s="3263" t="str">
        <f t="shared" si="7"/>
        <v>土地使用年限（年）</v>
      </c>
      <c r="AA10" s="1493">
        <f t="shared" si="3"/>
        <v>1</v>
      </c>
      <c r="AB10" s="1493">
        <f t="shared" si="4"/>
        <v>1</v>
      </c>
      <c r="AC10" s="1493">
        <f t="shared" si="5"/>
        <v>1</v>
      </c>
    </row>
    <row r="11" spans="1:29" ht="15">
      <c r="A11" s="2619"/>
      <c r="B11" s="2623" t="s">
        <v>2732</v>
      </c>
      <c r="C11" s="519"/>
      <c r="D11" s="245">
        <v>100</v>
      </c>
      <c r="E11" s="519"/>
      <c r="F11" s="245">
        <f>LOOKUP(E11,68:68,69:69)-LOOKUP(C11,68:68,69:69)+100</f>
        <v>100</v>
      </c>
      <c r="G11" s="520"/>
      <c r="H11" s="245">
        <f>LOOKUP(G11,68:68,69:69)-LOOKUP(C11,68:68,69:69)+100</f>
        <v>100</v>
      </c>
      <c r="I11" s="519"/>
      <c r="J11" s="245">
        <f>LOOKUP(I11,68:68,69:69)-LOOKUP(C11,68:68,69:69)+100</f>
        <v>100</v>
      </c>
      <c r="K11" s="845"/>
      <c r="L11" s="2008"/>
      <c r="M11" s="2002"/>
      <c r="N11" s="2002"/>
      <c r="O11" s="2009"/>
      <c r="P11" s="3850"/>
      <c r="Q11" s="3265" t="str">
        <f t="shared" si="6"/>
        <v>容积率</v>
      </c>
      <c r="R11" s="1490" t="s">
        <v>8</v>
      </c>
      <c r="S11" s="1491">
        <f t="shared" si="0"/>
        <v>100</v>
      </c>
      <c r="T11" s="1490" t="s">
        <v>8</v>
      </c>
      <c r="U11" s="1491">
        <f t="shared" si="1"/>
        <v>100</v>
      </c>
      <c r="V11" s="1490" t="s">
        <v>8</v>
      </c>
      <c r="W11" s="1491">
        <f t="shared" si="2"/>
        <v>100</v>
      </c>
      <c r="X11" s="1492"/>
      <c r="Y11" s="3801"/>
      <c r="Z11" s="3263" t="str">
        <f t="shared" si="7"/>
        <v>容积率</v>
      </c>
      <c r="AA11" s="1493">
        <f t="shared" si="3"/>
        <v>1</v>
      </c>
      <c r="AB11" s="1493">
        <f t="shared" si="4"/>
        <v>1</v>
      </c>
      <c r="AC11" s="1493">
        <f t="shared" si="5"/>
        <v>1</v>
      </c>
    </row>
    <row r="12" spans="1:29" s="1194" customFormat="1" ht="15">
      <c r="A12" s="2620"/>
      <c r="B12" s="2626"/>
      <c r="C12" s="514"/>
      <c r="D12" s="524">
        <v>100</v>
      </c>
      <c r="E12" s="514"/>
      <c r="F12" s="245">
        <f>SUMIF(70:70,E12,71:71)-SUMIF(70:70,C12,71:71)+100</f>
        <v>100</v>
      </c>
      <c r="G12" s="891"/>
      <c r="H12" s="245">
        <f>SUMIF(70:70,G12,71:71)-SUMIF(70:70,C12,71:71)+100</f>
        <v>100</v>
      </c>
      <c r="I12" s="514"/>
      <c r="J12" s="245">
        <f>SUMIF(70:70,I12,71:71)-SUMIF(70:70,C12,71:71)+100</f>
        <v>100</v>
      </c>
      <c r="K12" s="846"/>
      <c r="L12" s="2003"/>
      <c r="M12" s="2004"/>
      <c r="N12" s="2004"/>
      <c r="O12" s="2005"/>
      <c r="P12" s="3850"/>
      <c r="Q12" s="3265">
        <f t="shared" si="6"/>
        <v>0</v>
      </c>
      <c r="R12" s="1490" t="s">
        <v>8</v>
      </c>
      <c r="S12" s="1491">
        <f t="shared" si="0"/>
        <v>100</v>
      </c>
      <c r="T12" s="1490" t="s">
        <v>8</v>
      </c>
      <c r="U12" s="1491">
        <f t="shared" si="1"/>
        <v>100</v>
      </c>
      <c r="V12" s="1490" t="s">
        <v>8</v>
      </c>
      <c r="W12" s="1491">
        <f t="shared" si="2"/>
        <v>100</v>
      </c>
      <c r="X12" s="1492"/>
      <c r="Y12" s="3801"/>
      <c r="Z12" s="3263">
        <f t="shared" si="7"/>
        <v>0</v>
      </c>
      <c r="AA12" s="1493">
        <f>D12/F12</f>
        <v>1</v>
      </c>
      <c r="AB12" s="1493">
        <f>D12/H12</f>
        <v>1</v>
      </c>
      <c r="AC12" s="1493">
        <f>D12/J12</f>
        <v>1</v>
      </c>
    </row>
    <row r="13" spans="1:29" ht="15">
      <c r="A13" s="2620"/>
      <c r="B13" s="2626"/>
      <c r="C13" s="525"/>
      <c r="D13" s="526">
        <v>100</v>
      </c>
      <c r="E13" s="525"/>
      <c r="F13" s="245">
        <f>SUMIF(72:72,E13,73:73)-SUMIF(72:72,C13,73:73)+100</f>
        <v>100</v>
      </c>
      <c r="G13" s="893"/>
      <c r="H13" s="526">
        <f>SUMIF(72:72,G13,73:73)-SUMIF(72:72,C13,73:73)+100</f>
        <v>100</v>
      </c>
      <c r="I13" s="525"/>
      <c r="J13" s="526">
        <f>SUMIF(72:72,I13,73:73)-SUMIF(72:72,C13,73:73)+100</f>
        <v>100</v>
      </c>
      <c r="K13" s="846"/>
      <c r="L13" s="2010"/>
      <c r="M13" s="2002"/>
      <c r="N13" s="2002"/>
      <c r="O13" s="2009"/>
      <c r="P13" s="3850"/>
      <c r="Q13" s="3265">
        <f t="shared" si="6"/>
        <v>0</v>
      </c>
      <c r="R13" s="1490" t="s">
        <v>8</v>
      </c>
      <c r="S13" s="1491">
        <f t="shared" si="0"/>
        <v>100</v>
      </c>
      <c r="T13" s="1490" t="s">
        <v>8</v>
      </c>
      <c r="U13" s="1491">
        <f t="shared" si="1"/>
        <v>100</v>
      </c>
      <c r="V13" s="1490" t="s">
        <v>8</v>
      </c>
      <c r="W13" s="1491">
        <f t="shared" si="2"/>
        <v>100</v>
      </c>
      <c r="X13" s="1492"/>
      <c r="Y13" s="3801"/>
      <c r="Z13" s="3263">
        <f t="shared" si="7"/>
        <v>0</v>
      </c>
      <c r="AA13" s="1493">
        <f t="shared" si="3"/>
        <v>1</v>
      </c>
      <c r="AB13" s="1493">
        <f t="shared" si="4"/>
        <v>1</v>
      </c>
      <c r="AC13" s="1493">
        <f t="shared" si="5"/>
        <v>1</v>
      </c>
    </row>
    <row r="14" spans="1:29" ht="15.75" thickBot="1">
      <c r="A14" s="2621"/>
      <c r="B14" s="2627"/>
      <c r="C14" s="531"/>
      <c r="D14" s="532">
        <v>100</v>
      </c>
      <c r="E14" s="531"/>
      <c r="F14" s="532">
        <f>SUMIF(74:74,E14,75:75)-SUMIF(74:74,C14,75:75)+100</f>
        <v>100</v>
      </c>
      <c r="G14" s="896"/>
      <c r="H14" s="532">
        <f>SUMIF(74:74,G14,75:75)-SUMIF(74:74,C14,75:75)+100</f>
        <v>100</v>
      </c>
      <c r="I14" s="531"/>
      <c r="J14" s="532">
        <f>SUMIF(74:74,I14,75:75)-SUMIF(74:74,C14,75:75)+100</f>
        <v>100</v>
      </c>
      <c r="K14" s="846"/>
      <c r="L14" s="2010"/>
      <c r="M14" s="2002"/>
      <c r="N14" s="2002"/>
      <c r="O14" s="2009"/>
      <c r="P14" s="3850"/>
      <c r="Q14" s="3265">
        <f t="shared" si="6"/>
        <v>0</v>
      </c>
      <c r="R14" s="1490" t="s">
        <v>8</v>
      </c>
      <c r="S14" s="1491">
        <f t="shared" si="0"/>
        <v>100</v>
      </c>
      <c r="T14" s="1490" t="s">
        <v>8</v>
      </c>
      <c r="U14" s="1491">
        <f t="shared" si="1"/>
        <v>100</v>
      </c>
      <c r="V14" s="1490" t="s">
        <v>8</v>
      </c>
      <c r="W14" s="1491">
        <f t="shared" si="2"/>
        <v>100</v>
      </c>
      <c r="X14" s="1492"/>
      <c r="Y14" s="3801"/>
      <c r="Z14" s="3263">
        <f t="shared" si="7"/>
        <v>0</v>
      </c>
      <c r="AA14" s="1493">
        <f t="shared" si="3"/>
        <v>1</v>
      </c>
      <c r="AB14" s="1493">
        <f t="shared" si="4"/>
        <v>1</v>
      </c>
      <c r="AC14" s="1493">
        <f t="shared" si="5"/>
        <v>1</v>
      </c>
    </row>
    <row r="15" spans="1:29" ht="99.75">
      <c r="A15" s="2613" t="s">
        <v>2728</v>
      </c>
      <c r="B15" s="164" t="s">
        <v>295</v>
      </c>
      <c r="C15" s="848" t="str">
        <f>估价对象房地状况!C3</f>
        <v>估价对象周边居住用地比例、居住小区规模和社区发展完善程度，综合评价居住社区成熟度一般</v>
      </c>
      <c r="D15" s="535">
        <v>100</v>
      </c>
      <c r="E15" s="538"/>
      <c r="F15" s="535">
        <f>SUMIF(76:76,E16,77:77)-SUMIF(76:76,C16,77:77)+100</f>
        <v>100</v>
      </c>
      <c r="G15" s="536"/>
      <c r="H15" s="535">
        <f>SUMIF(76:76,G16,77:77)-SUMIF(76:76,C16,77:77)+100</f>
        <v>100</v>
      </c>
      <c r="I15" s="536"/>
      <c r="J15" s="535">
        <f>SUMIF(76:76,I16,77:77)-SUMIF(76:76,C16,77:77)+100</f>
        <v>106</v>
      </c>
      <c r="K15" s="849">
        <v>3</v>
      </c>
      <c r="L15" s="2010"/>
      <c r="M15" s="2002"/>
      <c r="N15" s="2002"/>
      <c r="O15" s="2009"/>
      <c r="P15" s="3852" t="s">
        <v>534</v>
      </c>
      <c r="Q15" s="3272" t="str">
        <f t="shared" si="6"/>
        <v>居住社区成熟度</v>
      </c>
      <c r="R15" s="1495" t="s">
        <v>8</v>
      </c>
      <c r="S15" s="1496">
        <f t="shared" si="0"/>
        <v>100</v>
      </c>
      <c r="T15" s="1495" t="s">
        <v>8</v>
      </c>
      <c r="U15" s="1496">
        <f t="shared" si="1"/>
        <v>100</v>
      </c>
      <c r="V15" s="1495" t="s">
        <v>8</v>
      </c>
      <c r="W15" s="1496">
        <f t="shared" si="2"/>
        <v>106</v>
      </c>
      <c r="X15" s="3271"/>
      <c r="Y15" s="3852" t="s">
        <v>534</v>
      </c>
      <c r="Z15" s="3273" t="str">
        <f t="shared" si="7"/>
        <v>居住社区成熟度</v>
      </c>
      <c r="AA15" s="3274">
        <f t="shared" si="3"/>
        <v>1</v>
      </c>
      <c r="AB15" s="3274">
        <f t="shared" si="4"/>
        <v>1</v>
      </c>
      <c r="AC15" s="3274">
        <f t="shared" si="5"/>
        <v>0.94339622641509435</v>
      </c>
    </row>
    <row r="16" spans="1:29" ht="15">
      <c r="A16" s="518"/>
      <c r="B16" s="850"/>
      <c r="C16" s="562" t="s">
        <v>3729</v>
      </c>
      <c r="D16" s="541"/>
      <c r="E16" s="544" t="s">
        <v>3729</v>
      </c>
      <c r="F16" s="541"/>
      <c r="G16" s="542" t="s">
        <v>3729</v>
      </c>
      <c r="H16" s="545"/>
      <c r="I16" s="542" t="s">
        <v>3725</v>
      </c>
      <c r="J16" s="541"/>
      <c r="K16" s="851"/>
      <c r="L16" s="2010"/>
      <c r="M16" s="2002"/>
      <c r="N16" s="2002"/>
      <c r="O16" s="2009"/>
      <c r="P16" s="3853"/>
      <c r="Q16" s="3272"/>
      <c r="R16" s="1495"/>
      <c r="S16" s="1496"/>
      <c r="T16" s="1495"/>
      <c r="U16" s="1496"/>
      <c r="V16" s="1495"/>
      <c r="W16" s="1496"/>
      <c r="X16" s="3271"/>
      <c r="Y16" s="3853"/>
      <c r="Z16" s="3273"/>
      <c r="AA16" s="3274">
        <v>1</v>
      </c>
      <c r="AB16" s="3274">
        <v>1</v>
      </c>
      <c r="AC16" s="3274">
        <v>1</v>
      </c>
    </row>
    <row r="17" spans="1:29" ht="85.5">
      <c r="A17" s="518"/>
      <c r="B17" s="852" t="s">
        <v>296</v>
      </c>
      <c r="C17" s="853" t="str">
        <f>估价对象房地状况!C6</f>
        <v>估价对象周边道路状况、公共交通通达情况、停车便捷程度，综合评价交通便捷度较好</v>
      </c>
      <c r="D17" s="545">
        <v>100</v>
      </c>
      <c r="E17" s="550"/>
      <c r="F17" s="545">
        <f>SUMIF(78:78,E18,79:79)-SUMIF(78:78,C18,79:79)+100</f>
        <v>110</v>
      </c>
      <c r="G17" s="548"/>
      <c r="H17" s="551">
        <f>SUMIF(78:78,G18,79:79)-SUMIF(78:78,C18,79:79)+100</f>
        <v>110</v>
      </c>
      <c r="I17" s="548"/>
      <c r="J17" s="551">
        <f>SUMIF(78:78,I18,79:79)-SUMIF(78:78,C18,79:79)+100</f>
        <v>110</v>
      </c>
      <c r="K17" s="849">
        <v>5</v>
      </c>
      <c r="L17" s="2010"/>
      <c r="M17" s="2002"/>
      <c r="N17" s="2002"/>
      <c r="O17" s="2009"/>
      <c r="P17" s="3853"/>
      <c r="Q17" s="3272" t="str">
        <f>B17</f>
        <v>交通便捷度</v>
      </c>
      <c r="R17" s="1495" t="s">
        <v>8</v>
      </c>
      <c r="S17" s="1496">
        <f>F17</f>
        <v>110</v>
      </c>
      <c r="T17" s="1495" t="s">
        <v>8</v>
      </c>
      <c r="U17" s="1496">
        <f>H17</f>
        <v>110</v>
      </c>
      <c r="V17" s="1495" t="s">
        <v>8</v>
      </c>
      <c r="W17" s="1496">
        <f>J17</f>
        <v>110</v>
      </c>
      <c r="X17" s="3271"/>
      <c r="Y17" s="3853"/>
      <c r="Z17" s="3273" t="str">
        <f>Q17</f>
        <v>交通便捷度</v>
      </c>
      <c r="AA17" s="3274">
        <f t="shared" si="3"/>
        <v>0.90909090909090906</v>
      </c>
      <c r="AB17" s="3274">
        <f t="shared" si="4"/>
        <v>0.90909090909090906</v>
      </c>
      <c r="AC17" s="3274">
        <f t="shared" si="5"/>
        <v>0.90909090909090906</v>
      </c>
    </row>
    <row r="18" spans="1:29" ht="15">
      <c r="A18" s="518"/>
      <c r="B18" s="581"/>
      <c r="C18" s="854" t="s">
        <v>3729</v>
      </c>
      <c r="D18" s="545"/>
      <c r="E18" s="555" t="s">
        <v>3725</v>
      </c>
      <c r="F18" s="545"/>
      <c r="G18" s="554" t="s">
        <v>3725</v>
      </c>
      <c r="H18" s="541"/>
      <c r="I18" s="554" t="s">
        <v>3725</v>
      </c>
      <c r="J18" s="541"/>
      <c r="K18" s="851"/>
      <c r="L18" s="2010"/>
      <c r="M18" s="2002"/>
      <c r="N18" s="2002"/>
      <c r="O18" s="2009"/>
      <c r="P18" s="3853"/>
      <c r="Q18" s="3272"/>
      <c r="R18" s="1495"/>
      <c r="S18" s="1496"/>
      <c r="T18" s="1495"/>
      <c r="U18" s="1496"/>
      <c r="V18" s="1495"/>
      <c r="W18" s="1496"/>
      <c r="X18" s="3271"/>
      <c r="Y18" s="3853"/>
      <c r="Z18" s="3273"/>
      <c r="AA18" s="3274">
        <v>1</v>
      </c>
      <c r="AB18" s="3274">
        <v>1</v>
      </c>
      <c r="AC18" s="3274">
        <v>1</v>
      </c>
    </row>
    <row r="19" spans="1:29" ht="42.75">
      <c r="A19" s="518"/>
      <c r="B19" s="2430" t="s">
        <v>2522</v>
      </c>
      <c r="C19" s="853" t="str">
        <f>估价对象房地状况!C7</f>
        <v>估价对象所在区域公共配套设施齐备情况</v>
      </c>
      <c r="D19" s="551">
        <v>100</v>
      </c>
      <c r="E19" s="558"/>
      <c r="F19" s="551">
        <f>SUMIF(80:80,E20,81:81)-SUMIF(80:80,C20,81:81)+100</f>
        <v>100</v>
      </c>
      <c r="G19" s="556"/>
      <c r="H19" s="545">
        <f>SUMIF(80:80,G20,81:81)-SUMIF(80:80,C20,81:81)+100</f>
        <v>100</v>
      </c>
      <c r="I19" s="556"/>
      <c r="J19" s="545">
        <f>SUMIF(80:80,I20,81:81)-SUMIF(80:80,C20,81:81)+100</f>
        <v>106</v>
      </c>
      <c r="K19" s="849">
        <v>3</v>
      </c>
      <c r="L19" s="2010"/>
      <c r="M19" s="2002"/>
      <c r="N19" s="2002"/>
      <c r="O19" s="2009"/>
      <c r="P19" s="3853"/>
      <c r="Q19" s="3272" t="str">
        <f>B19</f>
        <v>公共配套设施</v>
      </c>
      <c r="R19" s="1495" t="s">
        <v>8</v>
      </c>
      <c r="S19" s="1496">
        <f>F19</f>
        <v>100</v>
      </c>
      <c r="T19" s="1495" t="s">
        <v>8</v>
      </c>
      <c r="U19" s="1496">
        <f>H19</f>
        <v>100</v>
      </c>
      <c r="V19" s="1495" t="s">
        <v>8</v>
      </c>
      <c r="W19" s="1496">
        <f>J19</f>
        <v>106</v>
      </c>
      <c r="X19" s="3271"/>
      <c r="Y19" s="3853"/>
      <c r="Z19" s="3273" t="str">
        <f>Q19</f>
        <v>公共配套设施</v>
      </c>
      <c r="AA19" s="3274">
        <f t="shared" si="3"/>
        <v>1</v>
      </c>
      <c r="AB19" s="3274">
        <f t="shared" si="4"/>
        <v>1</v>
      </c>
      <c r="AC19" s="3274">
        <f t="shared" si="5"/>
        <v>0.94339622641509435</v>
      </c>
    </row>
    <row r="20" spans="1:29" ht="15">
      <c r="A20" s="518"/>
      <c r="B20" s="581"/>
      <c r="C20" s="562" t="s">
        <v>3729</v>
      </c>
      <c r="D20" s="541"/>
      <c r="E20" s="544" t="s">
        <v>3729</v>
      </c>
      <c r="F20" s="541"/>
      <c r="G20" s="542" t="s">
        <v>3729</v>
      </c>
      <c r="H20" s="541"/>
      <c r="I20" s="542" t="s">
        <v>3725</v>
      </c>
      <c r="J20" s="541"/>
      <c r="K20" s="851"/>
      <c r="L20" s="2010"/>
      <c r="M20" s="2002"/>
      <c r="N20" s="2002"/>
      <c r="O20" s="2009"/>
      <c r="P20" s="3853"/>
      <c r="Q20" s="3272"/>
      <c r="R20" s="1495"/>
      <c r="S20" s="1496"/>
      <c r="T20" s="1495"/>
      <c r="U20" s="1496"/>
      <c r="V20" s="1495"/>
      <c r="W20" s="1496"/>
      <c r="X20" s="3271"/>
      <c r="Y20" s="3853"/>
      <c r="Z20" s="3273"/>
      <c r="AA20" s="3274">
        <v>1</v>
      </c>
      <c r="AB20" s="3274">
        <v>1</v>
      </c>
      <c r="AC20" s="3274">
        <v>1</v>
      </c>
    </row>
    <row r="21" spans="1:29" ht="28.5">
      <c r="A21" s="518"/>
      <c r="B21" s="2423" t="s">
        <v>2523</v>
      </c>
      <c r="C21" s="853" t="str">
        <f>估价对象房地状况!C8</f>
        <v>估价对象所在区域基础设施水平</v>
      </c>
      <c r="D21" s="551">
        <v>100</v>
      </c>
      <c r="E21" s="558"/>
      <c r="F21" s="551">
        <f>SUMIF(82:82,E22,83:83)-SUMIF(82:82,C22,83:83)+100</f>
        <v>100</v>
      </c>
      <c r="G21" s="556"/>
      <c r="H21" s="551">
        <f>SUMIF(82:82,G22,83:83)-SUMIF(82:82,C22,83:83)+100</f>
        <v>100</v>
      </c>
      <c r="I21" s="556"/>
      <c r="J21" s="551">
        <f>SUMIF(82:82,I22,83:83)-SUMIF(82:82,C22,83:83)+100</f>
        <v>100</v>
      </c>
      <c r="K21" s="849">
        <v>3</v>
      </c>
      <c r="L21" s="2010"/>
      <c r="M21" s="2002"/>
      <c r="N21" s="2002"/>
      <c r="O21" s="2009"/>
      <c r="P21" s="3853"/>
      <c r="Q21" s="3272" t="str">
        <f>B21</f>
        <v>基础设施水平</v>
      </c>
      <c r="R21" s="1495" t="s">
        <v>8</v>
      </c>
      <c r="S21" s="1496">
        <f>F21</f>
        <v>100</v>
      </c>
      <c r="T21" s="1495" t="s">
        <v>8</v>
      </c>
      <c r="U21" s="1496">
        <f>H21</f>
        <v>100</v>
      </c>
      <c r="V21" s="1495" t="s">
        <v>8</v>
      </c>
      <c r="W21" s="1496">
        <f>J21</f>
        <v>100</v>
      </c>
      <c r="X21" s="3271"/>
      <c r="Y21" s="3853"/>
      <c r="Z21" s="3273" t="str">
        <f>Q21</f>
        <v>基础设施水平</v>
      </c>
      <c r="AA21" s="3274">
        <f t="shared" ref="AA21" si="8">D21/F21</f>
        <v>1</v>
      </c>
      <c r="AB21" s="3274">
        <f t="shared" ref="AB21" si="9">D21/H21</f>
        <v>1</v>
      </c>
      <c r="AC21" s="3274">
        <f t="shared" ref="AC21" si="10">D21/J21</f>
        <v>1</v>
      </c>
    </row>
    <row r="22" spans="1:29" ht="15">
      <c r="A22" s="518"/>
      <c r="B22" s="903"/>
      <c r="C22" s="854" t="s">
        <v>3730</v>
      </c>
      <c r="D22" s="541"/>
      <c r="E22" s="562" t="s">
        <v>3730</v>
      </c>
      <c r="F22" s="541"/>
      <c r="G22" s="540" t="s">
        <v>3730</v>
      </c>
      <c r="H22" s="541"/>
      <c r="I22" s="562" t="s">
        <v>3730</v>
      </c>
      <c r="J22" s="541"/>
      <c r="K22" s="2429"/>
      <c r="L22" s="2010"/>
      <c r="M22" s="2002"/>
      <c r="N22" s="2002"/>
      <c r="O22" s="2009"/>
      <c r="P22" s="3853"/>
      <c r="Q22" s="3272"/>
      <c r="R22" s="1495"/>
      <c r="S22" s="1496"/>
      <c r="T22" s="1495"/>
      <c r="U22" s="1496"/>
      <c r="V22" s="1495"/>
      <c r="W22" s="1496"/>
      <c r="X22" s="3271"/>
      <c r="Y22" s="3853"/>
      <c r="Z22" s="3273"/>
      <c r="AA22" s="3274">
        <v>1</v>
      </c>
      <c r="AB22" s="3274">
        <v>1</v>
      </c>
      <c r="AC22" s="3274">
        <v>1</v>
      </c>
    </row>
    <row r="23" spans="1:29" ht="57">
      <c r="A23" s="518"/>
      <c r="B23" s="852" t="s">
        <v>297</v>
      </c>
      <c r="C23" s="853" t="str">
        <f>估价对象房地状况!C9</f>
        <v>区域自然环境：；人文环境；综合评价环境状况一般</v>
      </c>
      <c r="D23" s="545">
        <v>100</v>
      </c>
      <c r="E23" s="550"/>
      <c r="F23" s="545">
        <f>SUMIF(84:84,E24,85:85)-SUMIF(84:84,C24,85:85)+100</f>
        <v>100</v>
      </c>
      <c r="G23" s="548"/>
      <c r="H23" s="545">
        <f>SUMIF(84:84,G24,85:85)-SUMIF(84:84,C24,85:85)+100</f>
        <v>100</v>
      </c>
      <c r="I23" s="548"/>
      <c r="J23" s="545">
        <f>SUMIF(84:84,I24,85:85)-SUMIF(84:84,C24,85:85)+100</f>
        <v>100</v>
      </c>
      <c r="K23" s="849">
        <v>3</v>
      </c>
      <c r="L23" s="2010"/>
      <c r="M23" s="2002"/>
      <c r="N23" s="2002"/>
      <c r="O23" s="2009"/>
      <c r="P23" s="3853"/>
      <c r="Q23" s="3272" t="str">
        <f>B23</f>
        <v>自然及人文环境</v>
      </c>
      <c r="R23" s="1495" t="s">
        <v>8</v>
      </c>
      <c r="S23" s="1496">
        <f>F23</f>
        <v>100</v>
      </c>
      <c r="T23" s="1495" t="s">
        <v>8</v>
      </c>
      <c r="U23" s="1496">
        <f>H23</f>
        <v>100</v>
      </c>
      <c r="V23" s="1495" t="s">
        <v>8</v>
      </c>
      <c r="W23" s="1496">
        <f>J23</f>
        <v>100</v>
      </c>
      <c r="X23" s="3271"/>
      <c r="Y23" s="3853"/>
      <c r="Z23" s="3273" t="str">
        <f>Q23</f>
        <v>自然及人文环境</v>
      </c>
      <c r="AA23" s="3274">
        <f t="shared" si="3"/>
        <v>1</v>
      </c>
      <c r="AB23" s="3274">
        <f t="shared" si="4"/>
        <v>1</v>
      </c>
      <c r="AC23" s="3274">
        <f t="shared" si="5"/>
        <v>1</v>
      </c>
    </row>
    <row r="24" spans="1:29" ht="15">
      <c r="A24" s="518"/>
      <c r="B24" s="581"/>
      <c r="C24" s="562" t="s">
        <v>3725</v>
      </c>
      <c r="D24" s="541"/>
      <c r="E24" s="544" t="s">
        <v>3725</v>
      </c>
      <c r="F24" s="541"/>
      <c r="G24" s="542" t="s">
        <v>3725</v>
      </c>
      <c r="H24" s="541"/>
      <c r="I24" s="542" t="s">
        <v>3725</v>
      </c>
      <c r="J24" s="541"/>
      <c r="K24" s="851"/>
      <c r="L24" s="2010"/>
      <c r="M24" s="2002"/>
      <c r="N24" s="2002"/>
      <c r="O24" s="2009"/>
      <c r="P24" s="3853"/>
      <c r="Q24" s="3272"/>
      <c r="R24" s="1495"/>
      <c r="S24" s="1496"/>
      <c r="T24" s="1495"/>
      <c r="U24" s="1496"/>
      <c r="V24" s="1495"/>
      <c r="W24" s="1496"/>
      <c r="X24" s="3271"/>
      <c r="Y24" s="3853"/>
      <c r="Z24" s="3273"/>
      <c r="AA24" s="3274">
        <v>1</v>
      </c>
      <c r="AB24" s="3274">
        <v>1</v>
      </c>
      <c r="AC24" s="3274">
        <v>1</v>
      </c>
    </row>
    <row r="25" spans="1:29" ht="15">
      <c r="A25" s="518"/>
      <c r="B25" s="1795" t="s">
        <v>2242</v>
      </c>
      <c r="C25" s="560"/>
      <c r="D25" s="526">
        <v>100</v>
      </c>
      <c r="E25" s="585"/>
      <c r="F25" s="526">
        <f>SUMIF(86:86,E25,87:87)-SUMIF(86:86,C25,87:87)+100</f>
        <v>100</v>
      </c>
      <c r="G25" s="855"/>
      <c r="H25" s="526">
        <f>SUMIF(86:86,G25,87:87)-SUMIF(86:86,C25,87:87)+100</f>
        <v>100</v>
      </c>
      <c r="I25" s="855"/>
      <c r="J25" s="526">
        <f>SUMIF(86:86,I25,87:87)-SUMIF(86:86,C25,87:87)+100</f>
        <v>100</v>
      </c>
      <c r="K25" s="845"/>
      <c r="L25" s="2010"/>
      <c r="M25" s="2002"/>
      <c r="N25" s="2002"/>
      <c r="O25" s="2009"/>
      <c r="P25" s="3853"/>
      <c r="Q25" s="3272" t="str">
        <f t="shared" ref="Q25:Q46" si="11">B25</f>
        <v>楼层-1</v>
      </c>
      <c r="R25" s="1495" t="s">
        <v>8</v>
      </c>
      <c r="S25" s="1496">
        <f>F25</f>
        <v>100</v>
      </c>
      <c r="T25" s="1495" t="s">
        <v>8</v>
      </c>
      <c r="U25" s="1496">
        <f>H25</f>
        <v>100</v>
      </c>
      <c r="V25" s="1495" t="s">
        <v>8</v>
      </c>
      <c r="W25" s="1496">
        <f>J25</f>
        <v>100</v>
      </c>
      <c r="X25" s="3271"/>
      <c r="Y25" s="3853"/>
      <c r="Z25" s="3273" t="str">
        <f>Q25</f>
        <v>楼层-1</v>
      </c>
      <c r="AA25" s="3274">
        <f t="shared" si="3"/>
        <v>1</v>
      </c>
      <c r="AB25" s="3274">
        <f t="shared" si="4"/>
        <v>1</v>
      </c>
      <c r="AC25" s="3274">
        <f t="shared" si="5"/>
        <v>1</v>
      </c>
    </row>
    <row r="26" spans="1:29" ht="15">
      <c r="A26" s="518"/>
      <c r="B26" s="513" t="s">
        <v>717</v>
      </c>
      <c r="C26" s="560"/>
      <c r="D26" s="526">
        <v>100</v>
      </c>
      <c r="E26" s="585"/>
      <c r="F26" s="526">
        <f>SUMIF(88:88,E26,89:89)-SUMIF(88:88,C26,89:89)+100</f>
        <v>100</v>
      </c>
      <c r="G26" s="855"/>
      <c r="H26" s="526">
        <f>SUMIF(88:88,G26,89:89)-SUMIF(88:88,C26,89:89)+100</f>
        <v>100</v>
      </c>
      <c r="I26" s="855"/>
      <c r="J26" s="526">
        <f>SUMIF(88:88,I26,89:89)-SUMIF(88:88,C26,89:89)+100</f>
        <v>100</v>
      </c>
      <c r="K26" s="845"/>
      <c r="L26" s="2010"/>
      <c r="M26" s="2002"/>
      <c r="N26" s="2002"/>
      <c r="O26" s="2009"/>
      <c r="P26" s="3853"/>
      <c r="Q26" s="3272" t="str">
        <f t="shared" si="11"/>
        <v>朝向</v>
      </c>
      <c r="R26" s="1495" t="s">
        <v>8</v>
      </c>
      <c r="S26" s="1496">
        <f>F26</f>
        <v>100</v>
      </c>
      <c r="T26" s="1495" t="s">
        <v>8</v>
      </c>
      <c r="U26" s="1496">
        <f>H26</f>
        <v>100</v>
      </c>
      <c r="V26" s="1495" t="s">
        <v>8</v>
      </c>
      <c r="W26" s="1496">
        <f>J26</f>
        <v>100</v>
      </c>
      <c r="X26" s="3271"/>
      <c r="Y26" s="3853"/>
      <c r="Z26" s="3273" t="str">
        <f>Q26</f>
        <v>朝向</v>
      </c>
      <c r="AA26" s="3274">
        <f t="shared" si="3"/>
        <v>1</v>
      </c>
      <c r="AB26" s="3274">
        <f t="shared" si="4"/>
        <v>1</v>
      </c>
      <c r="AC26" s="3274">
        <f t="shared" si="5"/>
        <v>1</v>
      </c>
    </row>
    <row r="27" spans="1:29" s="1194" customFormat="1" ht="15">
      <c r="A27" s="522"/>
      <c r="B27" s="523" t="s">
        <v>718</v>
      </c>
      <c r="C27" s="514"/>
      <c r="D27" s="856">
        <v>100</v>
      </c>
      <c r="E27" s="515"/>
      <c r="F27" s="856">
        <f>SUMIF(90:90,E27,91:91)-SUMIF(90:90,C27,91:91)+100</f>
        <v>100</v>
      </c>
      <c r="G27" s="516"/>
      <c r="H27" s="856">
        <f>SUMIF(90:90,G27,91:91)-SUMIF(90:90,C27,91:91)+100</f>
        <v>100</v>
      </c>
      <c r="I27" s="516"/>
      <c r="J27" s="856">
        <f>SUMIF(90:90,I27,91:91)-SUMIF(90:90,C27,91:91)+100</f>
        <v>100</v>
      </c>
      <c r="K27" s="846"/>
      <c r="L27" s="2003"/>
      <c r="M27" s="2004"/>
      <c r="N27" s="2004"/>
      <c r="O27" s="2005"/>
      <c r="P27" s="3853"/>
      <c r="Q27" s="3265" t="str">
        <f t="shared" si="11"/>
        <v>道路级别</v>
      </c>
      <c r="R27" s="1490" t="s">
        <v>8</v>
      </c>
      <c r="S27" s="1491">
        <f>F27</f>
        <v>100</v>
      </c>
      <c r="T27" s="1490" t="s">
        <v>8</v>
      </c>
      <c r="U27" s="1491">
        <f>H27</f>
        <v>100</v>
      </c>
      <c r="V27" s="1490" t="s">
        <v>8</v>
      </c>
      <c r="W27" s="1491">
        <f>J27</f>
        <v>100</v>
      </c>
      <c r="X27" s="1492"/>
      <c r="Y27" s="3853"/>
      <c r="Z27" s="3263" t="str">
        <f>Q27</f>
        <v>道路级别</v>
      </c>
      <c r="AA27" s="3274">
        <f>D27/F27</f>
        <v>1</v>
      </c>
      <c r="AB27" s="3274">
        <f>D27/H27</f>
        <v>1</v>
      </c>
      <c r="AC27" s="3274">
        <f>D27/J27</f>
        <v>1</v>
      </c>
    </row>
    <row r="28" spans="1:29" ht="15">
      <c r="A28" s="518"/>
      <c r="B28" s="858"/>
      <c r="C28" s="525"/>
      <c r="D28" s="526">
        <v>100</v>
      </c>
      <c r="E28" s="525"/>
      <c r="F28" s="526">
        <f>SUMIF(92:92,E28,93:93)-SUMIF(92:92,C28,93:93)+100</f>
        <v>100</v>
      </c>
      <c r="G28" s="893"/>
      <c r="H28" s="526">
        <f>SUMIF(92:92,G28,93:93)-SUMIF(92:92,C28,93:93)+100</f>
        <v>100</v>
      </c>
      <c r="I28" s="525"/>
      <c r="J28" s="526">
        <f>SUMIF(92:92,I28,93:93)-SUMIF(92:92,C28,93:93)+100</f>
        <v>100</v>
      </c>
      <c r="K28" s="846"/>
      <c r="L28" s="2010"/>
      <c r="M28" s="2002"/>
      <c r="N28" s="2002"/>
      <c r="O28" s="2009"/>
      <c r="P28" s="3853"/>
      <c r="Q28" s="3272">
        <f t="shared" si="11"/>
        <v>0</v>
      </c>
      <c r="R28" s="1495" t="s">
        <v>8</v>
      </c>
      <c r="S28" s="1496">
        <f t="shared" ref="S28:S46" si="12">F28</f>
        <v>100</v>
      </c>
      <c r="T28" s="1495" t="s">
        <v>8</v>
      </c>
      <c r="U28" s="1496">
        <f t="shared" ref="U28:U46" si="13">H28</f>
        <v>100</v>
      </c>
      <c r="V28" s="1495" t="s">
        <v>8</v>
      </c>
      <c r="W28" s="1496">
        <f t="shared" ref="W28:W46" si="14">J28</f>
        <v>100</v>
      </c>
      <c r="X28" s="3271"/>
      <c r="Y28" s="3853"/>
      <c r="Z28" s="3273">
        <f t="shared" ref="Z28:Z46" si="15">Q28</f>
        <v>0</v>
      </c>
      <c r="AA28" s="3274">
        <f t="shared" si="3"/>
        <v>1</v>
      </c>
      <c r="AB28" s="3274">
        <f t="shared" si="4"/>
        <v>1</v>
      </c>
      <c r="AC28" s="3274">
        <f t="shared" si="5"/>
        <v>1</v>
      </c>
    </row>
    <row r="29" spans="1:29" ht="15">
      <c r="A29" s="518"/>
      <c r="B29" s="858"/>
      <c r="C29" s="525"/>
      <c r="D29" s="526">
        <v>100</v>
      </c>
      <c r="E29" s="525"/>
      <c r="F29" s="526">
        <f>SUMIF(94:94,E29,95:95)-SUMIF(94:94,C29,95:95)+100</f>
        <v>100</v>
      </c>
      <c r="G29" s="893"/>
      <c r="H29" s="526">
        <f>SUMIF(94:94,G29,95:95)-SUMIF(94:94,C29,95:95)+100</f>
        <v>100</v>
      </c>
      <c r="I29" s="525"/>
      <c r="J29" s="526">
        <f>SUMIF(94:94,I29,95:95)-SUMIF(94:94,C29,95:95)+100</f>
        <v>100</v>
      </c>
      <c r="K29" s="846"/>
      <c r="L29" s="2010"/>
      <c r="M29" s="2002"/>
      <c r="N29" s="2002"/>
      <c r="O29" s="2009"/>
      <c r="P29" s="3853"/>
      <c r="Q29" s="3272">
        <f t="shared" si="11"/>
        <v>0</v>
      </c>
      <c r="R29" s="1495" t="s">
        <v>8</v>
      </c>
      <c r="S29" s="1496">
        <f t="shared" si="12"/>
        <v>100</v>
      </c>
      <c r="T29" s="1495" t="s">
        <v>8</v>
      </c>
      <c r="U29" s="1496">
        <f t="shared" si="13"/>
        <v>100</v>
      </c>
      <c r="V29" s="1495" t="s">
        <v>8</v>
      </c>
      <c r="W29" s="1496">
        <f t="shared" si="14"/>
        <v>100</v>
      </c>
      <c r="X29" s="3271"/>
      <c r="Y29" s="3853"/>
      <c r="Z29" s="3273">
        <f t="shared" si="15"/>
        <v>0</v>
      </c>
      <c r="AA29" s="3274">
        <f t="shared" si="3"/>
        <v>1</v>
      </c>
      <c r="AB29" s="3274">
        <f t="shared" si="4"/>
        <v>1</v>
      </c>
      <c r="AC29" s="3274">
        <f t="shared" si="5"/>
        <v>1</v>
      </c>
    </row>
    <row r="30" spans="1:29" ht="15">
      <c r="A30" s="518"/>
      <c r="B30" s="858"/>
      <c r="C30" s="525"/>
      <c r="D30" s="526">
        <v>100</v>
      </c>
      <c r="E30" s="525"/>
      <c r="F30" s="526">
        <f>SUMIF(96:96,E30,97:97)-SUMIF(96:96,C30,97:97)+100</f>
        <v>100</v>
      </c>
      <c r="G30" s="893"/>
      <c r="H30" s="526">
        <f>SUMIF(96:96,G30,97:97)-SUMIF(96:96,C30,97:97)+100</f>
        <v>100</v>
      </c>
      <c r="I30" s="525"/>
      <c r="J30" s="526">
        <f>SUMIF(96:96,I30,97:97)-SUMIF(96:96,C30,97:97)+100</f>
        <v>100</v>
      </c>
      <c r="K30" s="846"/>
      <c r="L30" s="2010"/>
      <c r="M30" s="2002"/>
      <c r="N30" s="2002"/>
      <c r="O30" s="2009"/>
      <c r="P30" s="3853"/>
      <c r="Q30" s="3272">
        <f t="shared" si="11"/>
        <v>0</v>
      </c>
      <c r="R30" s="1495" t="s">
        <v>8</v>
      </c>
      <c r="S30" s="1496">
        <f t="shared" si="12"/>
        <v>100</v>
      </c>
      <c r="T30" s="1495" t="s">
        <v>8</v>
      </c>
      <c r="U30" s="1496">
        <f t="shared" si="13"/>
        <v>100</v>
      </c>
      <c r="V30" s="1495" t="s">
        <v>8</v>
      </c>
      <c r="W30" s="1496">
        <f t="shared" si="14"/>
        <v>100</v>
      </c>
      <c r="X30" s="3271"/>
      <c r="Y30" s="3853"/>
      <c r="Z30" s="3273">
        <f t="shared" si="15"/>
        <v>0</v>
      </c>
      <c r="AA30" s="3274">
        <f t="shared" si="3"/>
        <v>1</v>
      </c>
      <c r="AB30" s="3274">
        <f t="shared" si="4"/>
        <v>1</v>
      </c>
      <c r="AC30" s="3274">
        <f t="shared" si="5"/>
        <v>1</v>
      </c>
    </row>
    <row r="31" spans="1:29" ht="15.75" thickBot="1">
      <c r="A31" s="529"/>
      <c r="B31" s="858"/>
      <c r="C31" s="531"/>
      <c r="D31" s="532">
        <v>100</v>
      </c>
      <c r="E31" s="531"/>
      <c r="F31" s="532">
        <f>SUMIF(98:98,E31,99:99)-SUMIF(98:98,C31,99:99)+100</f>
        <v>100</v>
      </c>
      <c r="G31" s="896"/>
      <c r="H31" s="532">
        <f>SUMIF(98:98,G31,99:99)-SUMIF(98:98,C31,99:99)+100</f>
        <v>100</v>
      </c>
      <c r="I31" s="531"/>
      <c r="J31" s="532">
        <f>SUMIF(98:98,I31,99:99)-SUMIF(98:98,C31,99:99)+100</f>
        <v>100</v>
      </c>
      <c r="K31" s="846"/>
      <c r="L31" s="2010"/>
      <c r="M31" s="2002"/>
      <c r="N31" s="2002"/>
      <c r="O31" s="2009"/>
      <c r="P31" s="3853"/>
      <c r="Q31" s="3272">
        <f t="shared" si="11"/>
        <v>0</v>
      </c>
      <c r="R31" s="1495" t="s">
        <v>8</v>
      </c>
      <c r="S31" s="1496">
        <f t="shared" si="12"/>
        <v>100</v>
      </c>
      <c r="T31" s="1495" t="s">
        <v>8</v>
      </c>
      <c r="U31" s="1496">
        <f t="shared" si="13"/>
        <v>100</v>
      </c>
      <c r="V31" s="1495" t="s">
        <v>8</v>
      </c>
      <c r="W31" s="1496">
        <f t="shared" si="14"/>
        <v>100</v>
      </c>
      <c r="X31" s="3271"/>
      <c r="Y31" s="3853"/>
      <c r="Z31" s="3273">
        <f t="shared" si="15"/>
        <v>0</v>
      </c>
      <c r="AA31" s="3274">
        <f t="shared" si="3"/>
        <v>1</v>
      </c>
      <c r="AB31" s="3274">
        <f t="shared" si="4"/>
        <v>1</v>
      </c>
      <c r="AC31" s="3274">
        <f t="shared" si="5"/>
        <v>1</v>
      </c>
    </row>
    <row r="32" spans="1:29" ht="15">
      <c r="A32" s="2610" t="s">
        <v>2729</v>
      </c>
      <c r="B32" s="170" t="s">
        <v>719</v>
      </c>
      <c r="C32" s="859" t="s">
        <v>3737</v>
      </c>
      <c r="D32" s="583">
        <v>100</v>
      </c>
      <c r="E32" s="859" t="s">
        <v>3737</v>
      </c>
      <c r="F32" s="526">
        <f>SUMIF(100:100,E32,101:101)-SUMIF(100:100,C32,101:101)+100</f>
        <v>100</v>
      </c>
      <c r="G32" s="860" t="s">
        <v>3737</v>
      </c>
      <c r="H32" s="583">
        <f>SUMIF(100:100,G32,101:101)-SUMIF(100:100,C32,101:101)+100</f>
        <v>100</v>
      </c>
      <c r="I32" s="860" t="s">
        <v>3737</v>
      </c>
      <c r="J32" s="526">
        <f>SUMIF(100:100,I32,101:101)-SUMIF(100:100,C32,101:101)+100</f>
        <v>100</v>
      </c>
      <c r="K32" s="845">
        <v>5</v>
      </c>
      <c r="L32" s="2010"/>
      <c r="M32" s="2002"/>
      <c r="N32" s="2002"/>
      <c r="O32" s="2009"/>
      <c r="P32" s="3854" t="s">
        <v>544</v>
      </c>
      <c r="Q32" s="3272" t="str">
        <f t="shared" si="11"/>
        <v>建筑类型</v>
      </c>
      <c r="R32" s="1495" t="s">
        <v>8</v>
      </c>
      <c r="S32" s="1496">
        <f t="shared" si="12"/>
        <v>100</v>
      </c>
      <c r="T32" s="1495" t="s">
        <v>8</v>
      </c>
      <c r="U32" s="1496">
        <f t="shared" si="13"/>
        <v>100</v>
      </c>
      <c r="V32" s="1495" t="s">
        <v>8</v>
      </c>
      <c r="W32" s="1496">
        <f t="shared" si="14"/>
        <v>100</v>
      </c>
      <c r="X32" s="3271"/>
      <c r="Y32" s="3855" t="s">
        <v>544</v>
      </c>
      <c r="Z32" s="3273" t="str">
        <f t="shared" si="15"/>
        <v>建筑类型</v>
      </c>
      <c r="AA32" s="3274">
        <f t="shared" si="3"/>
        <v>1</v>
      </c>
      <c r="AB32" s="3274">
        <f t="shared" si="4"/>
        <v>1</v>
      </c>
      <c r="AC32" s="3274">
        <f t="shared" si="5"/>
        <v>1</v>
      </c>
    </row>
    <row r="33" spans="1:29" s="1283" customFormat="1" ht="15">
      <c r="A33" s="589"/>
      <c r="B33" s="513" t="s">
        <v>720</v>
      </c>
      <c r="C33" s="861"/>
      <c r="D33" s="245">
        <v>100</v>
      </c>
      <c r="E33" s="519"/>
      <c r="F33" s="245">
        <f>LOOKUP(E33,103:103,104:104)-LOOKUP(C33,103:103,104:104)+100</f>
        <v>100</v>
      </c>
      <c r="G33" s="520"/>
      <c r="H33" s="245">
        <f>LOOKUP(G33,103:103,104:104)-LOOKUP(C33,103:103,104:104)+100</f>
        <v>100</v>
      </c>
      <c r="I33" s="520"/>
      <c r="J33" s="245">
        <f>LOOKUP(I33,103:103,104:104)-LOOKUP(C33,103:103,104:104)+100</f>
        <v>100</v>
      </c>
      <c r="K33" s="846"/>
      <c r="L33" s="2008"/>
      <c r="M33" s="2038"/>
      <c r="N33" s="2038"/>
      <c r="O33" s="2011"/>
      <c r="P33" s="3855"/>
      <c r="Q33" s="1523" t="str">
        <f t="shared" si="11"/>
        <v>项目建筑规模</v>
      </c>
      <c r="R33" s="1499" t="s">
        <v>8</v>
      </c>
      <c r="S33" s="1500">
        <f t="shared" si="12"/>
        <v>100</v>
      </c>
      <c r="T33" s="1499" t="s">
        <v>8</v>
      </c>
      <c r="U33" s="1500">
        <f t="shared" si="13"/>
        <v>100</v>
      </c>
      <c r="V33" s="1499" t="s">
        <v>8</v>
      </c>
      <c r="W33" s="1500">
        <f t="shared" si="14"/>
        <v>100</v>
      </c>
      <c r="X33" s="1501"/>
      <c r="Y33" s="3855"/>
      <c r="Z33" s="1502" t="str">
        <f t="shared" si="15"/>
        <v>项目建筑规模</v>
      </c>
      <c r="AA33" s="3274">
        <f t="shared" si="3"/>
        <v>1</v>
      </c>
      <c r="AB33" s="3274">
        <f t="shared" si="4"/>
        <v>1</v>
      </c>
      <c r="AC33" s="3274">
        <f t="shared" si="5"/>
        <v>1</v>
      </c>
    </row>
    <row r="34" spans="1:29" ht="15">
      <c r="A34" s="580"/>
      <c r="B34" s="513" t="s">
        <v>721</v>
      </c>
      <c r="C34" s="862" t="s">
        <v>3755</v>
      </c>
      <c r="D34" s="526">
        <v>100</v>
      </c>
      <c r="E34" s="862" t="s">
        <v>3755</v>
      </c>
      <c r="F34" s="526">
        <f>SUMIF(105:105,E34,106:106)-SUMIF(105:105,C34,106:106)+100</f>
        <v>100</v>
      </c>
      <c r="G34" s="863" t="s">
        <v>3755</v>
      </c>
      <c r="H34" s="526">
        <f>SUMIF(105:105,G34,106:106)-SUMIF(105:105,C34,106:106)+100</f>
        <v>100</v>
      </c>
      <c r="I34" s="863" t="s">
        <v>3755</v>
      </c>
      <c r="J34" s="526">
        <f>SUMIF(105:105,I34,106:106)-SUMIF(105:105,C34,106:106)+100</f>
        <v>100</v>
      </c>
      <c r="K34" s="845"/>
      <c r="L34" s="2010"/>
      <c r="M34" s="2002"/>
      <c r="N34" s="2002"/>
      <c r="O34" s="2009"/>
      <c r="P34" s="3855"/>
      <c r="Q34" s="3272" t="str">
        <f t="shared" si="11"/>
        <v>建筑结构</v>
      </c>
      <c r="R34" s="1495" t="s">
        <v>8</v>
      </c>
      <c r="S34" s="1496">
        <f t="shared" si="12"/>
        <v>100</v>
      </c>
      <c r="T34" s="1495" t="s">
        <v>8</v>
      </c>
      <c r="U34" s="1496">
        <f t="shared" si="13"/>
        <v>100</v>
      </c>
      <c r="V34" s="1495" t="s">
        <v>8</v>
      </c>
      <c r="W34" s="1496">
        <f t="shared" si="14"/>
        <v>100</v>
      </c>
      <c r="X34" s="3271"/>
      <c r="Y34" s="3855"/>
      <c r="Z34" s="3273" t="str">
        <f t="shared" si="15"/>
        <v>建筑结构</v>
      </c>
      <c r="AA34" s="3274">
        <f t="shared" si="3"/>
        <v>1</v>
      </c>
      <c r="AB34" s="3274">
        <f t="shared" si="4"/>
        <v>1</v>
      </c>
      <c r="AC34" s="3274">
        <f t="shared" si="5"/>
        <v>1</v>
      </c>
    </row>
    <row r="35" spans="1:29" ht="15">
      <c r="A35" s="580"/>
      <c r="B35" s="513" t="s">
        <v>722</v>
      </c>
      <c r="C35" s="585" t="s">
        <v>3791</v>
      </c>
      <c r="D35" s="526">
        <v>100</v>
      </c>
      <c r="E35" s="585" t="s">
        <v>3791</v>
      </c>
      <c r="F35" s="526">
        <f>SUMIF(107:107,E35,108:108)-SUMIF(107:107,C35,108:108)+100</f>
        <v>100</v>
      </c>
      <c r="G35" s="855" t="s">
        <v>3791</v>
      </c>
      <c r="H35" s="526">
        <f>SUMIF(107:107,G35,108:108)-SUMIF(107:107,C35,108:108)+100</f>
        <v>100</v>
      </c>
      <c r="I35" s="855" t="s">
        <v>3791</v>
      </c>
      <c r="J35" s="526">
        <f>SUMIF(107:107,I35,108:108)-SUMIF(107:107,C35,108:108)+100</f>
        <v>100</v>
      </c>
      <c r="K35" s="845"/>
      <c r="L35" s="2010"/>
      <c r="M35" s="2002"/>
      <c r="N35" s="2002"/>
      <c r="O35" s="2009"/>
      <c r="P35" s="3855"/>
      <c r="Q35" s="3272" t="str">
        <f t="shared" si="11"/>
        <v>建筑品质</v>
      </c>
      <c r="R35" s="1495" t="s">
        <v>8</v>
      </c>
      <c r="S35" s="1496">
        <f t="shared" si="12"/>
        <v>100</v>
      </c>
      <c r="T35" s="1495" t="s">
        <v>8</v>
      </c>
      <c r="U35" s="1496">
        <f t="shared" si="13"/>
        <v>100</v>
      </c>
      <c r="V35" s="1495" t="s">
        <v>8</v>
      </c>
      <c r="W35" s="1496">
        <f t="shared" si="14"/>
        <v>100</v>
      </c>
      <c r="X35" s="3271"/>
      <c r="Y35" s="3855"/>
      <c r="Z35" s="3273" t="str">
        <f t="shared" si="15"/>
        <v>建筑品质</v>
      </c>
      <c r="AA35" s="3274">
        <f t="shared" si="3"/>
        <v>1</v>
      </c>
      <c r="AB35" s="3274">
        <f t="shared" si="4"/>
        <v>1</v>
      </c>
      <c r="AC35" s="3274">
        <f t="shared" si="5"/>
        <v>1</v>
      </c>
    </row>
    <row r="36" spans="1:29" ht="15">
      <c r="A36" s="580"/>
      <c r="B36" s="513" t="s">
        <v>723</v>
      </c>
      <c r="C36" s="585" t="s">
        <v>3789</v>
      </c>
      <c r="D36" s="526">
        <v>100</v>
      </c>
      <c r="E36" s="585" t="s">
        <v>3789</v>
      </c>
      <c r="F36" s="526">
        <f>SUMIF(109:109,E36,110:110)-SUMIF(109:109,C36,110:110)+100</f>
        <v>100</v>
      </c>
      <c r="G36" s="855" t="s">
        <v>3789</v>
      </c>
      <c r="H36" s="526">
        <f>SUMIF(109:109,G36,110:110)-SUMIF(109:109,C36,110:110)+100</f>
        <v>100</v>
      </c>
      <c r="I36" s="855" t="s">
        <v>3789</v>
      </c>
      <c r="J36" s="526">
        <f>SUMIF(109:109,I36,110:110)-SUMIF(109:109,C36,110:110)+100</f>
        <v>100</v>
      </c>
      <c r="K36" s="845"/>
      <c r="L36" s="2010"/>
      <c r="M36" s="2002"/>
      <c r="N36" s="2002"/>
      <c r="O36" s="2009"/>
      <c r="P36" s="3855"/>
      <c r="Q36" s="3272" t="str">
        <f t="shared" si="11"/>
        <v>公共部分装修</v>
      </c>
      <c r="R36" s="1495" t="s">
        <v>8</v>
      </c>
      <c r="S36" s="1496">
        <f t="shared" si="12"/>
        <v>100</v>
      </c>
      <c r="T36" s="1495" t="s">
        <v>8</v>
      </c>
      <c r="U36" s="1496">
        <f t="shared" si="13"/>
        <v>100</v>
      </c>
      <c r="V36" s="1495" t="s">
        <v>8</v>
      </c>
      <c r="W36" s="1496">
        <f t="shared" si="14"/>
        <v>100</v>
      </c>
      <c r="X36" s="3271"/>
      <c r="Y36" s="3855"/>
      <c r="Z36" s="3273" t="str">
        <f t="shared" si="15"/>
        <v>公共部分装修</v>
      </c>
      <c r="AA36" s="3274">
        <f t="shared" si="3"/>
        <v>1</v>
      </c>
      <c r="AB36" s="3274">
        <f t="shared" si="4"/>
        <v>1</v>
      </c>
      <c r="AC36" s="3274">
        <f t="shared" si="5"/>
        <v>1</v>
      </c>
    </row>
    <row r="37" spans="1:29" s="1194" customFormat="1" ht="15">
      <c r="A37" s="586"/>
      <c r="B37" s="513" t="s">
        <v>724</v>
      </c>
      <c r="C37" s="866">
        <v>1</v>
      </c>
      <c r="D37" s="245">
        <v>100</v>
      </c>
      <c r="E37" s="866">
        <v>1</v>
      </c>
      <c r="F37" s="245">
        <f>LOOKUP(E37,112:112,113:113)-LOOKUP(C37,112:112,113:113)+100</f>
        <v>100</v>
      </c>
      <c r="G37" s="865">
        <v>1</v>
      </c>
      <c r="H37" s="245">
        <f>LOOKUP(G37,112:112,113:113)-LOOKUP(C37,112:112,113:113)+100</f>
        <v>100</v>
      </c>
      <c r="I37" s="865">
        <v>1</v>
      </c>
      <c r="J37" s="245">
        <f>LOOKUP(I37,112:112,113:113)-LOOKUP(C37,112:112,113:113)+100</f>
        <v>100</v>
      </c>
      <c r="K37" s="845"/>
      <c r="L37" s="2003"/>
      <c r="M37" s="2004"/>
      <c r="N37" s="2004"/>
      <c r="O37" s="2005"/>
      <c r="P37" s="3855"/>
      <c r="Q37" s="3265" t="str">
        <f t="shared" si="11"/>
        <v>成新度</v>
      </c>
      <c r="R37" s="1490" t="s">
        <v>8</v>
      </c>
      <c r="S37" s="1491">
        <f t="shared" si="12"/>
        <v>100</v>
      </c>
      <c r="T37" s="1490" t="s">
        <v>8</v>
      </c>
      <c r="U37" s="1491">
        <f t="shared" si="13"/>
        <v>100</v>
      </c>
      <c r="V37" s="1490" t="s">
        <v>8</v>
      </c>
      <c r="W37" s="1491">
        <f t="shared" si="14"/>
        <v>100</v>
      </c>
      <c r="X37" s="1492"/>
      <c r="Y37" s="3855"/>
      <c r="Z37" s="3263" t="str">
        <f t="shared" si="15"/>
        <v>成新度</v>
      </c>
      <c r="AA37" s="1493">
        <f t="shared" si="3"/>
        <v>1</v>
      </c>
      <c r="AB37" s="1493">
        <f t="shared" si="4"/>
        <v>1</v>
      </c>
      <c r="AC37" s="1493">
        <f t="shared" si="5"/>
        <v>1</v>
      </c>
    </row>
    <row r="38" spans="1:29" ht="15">
      <c r="A38" s="580"/>
      <c r="B38" s="513" t="s">
        <v>725</v>
      </c>
      <c r="C38" s="585" t="s">
        <v>3794</v>
      </c>
      <c r="D38" s="526">
        <v>100</v>
      </c>
      <c r="E38" s="585" t="s">
        <v>3794</v>
      </c>
      <c r="F38" s="526">
        <f>SUMIF(114:114,E38,115:115)-SUMIF(114:114,C38,115:115)+100</f>
        <v>100</v>
      </c>
      <c r="G38" s="855" t="s">
        <v>3794</v>
      </c>
      <c r="H38" s="526">
        <f>SUMIF(114:114,G38,115:115)-SUMIF(114:114,C38,115:115)+100</f>
        <v>100</v>
      </c>
      <c r="I38" s="855" t="s">
        <v>3794</v>
      </c>
      <c r="J38" s="526">
        <f>SUMIF(114:114,I38,115:115)-SUMIF(114:114,C38,115:115)+100</f>
        <v>100</v>
      </c>
      <c r="K38" s="845"/>
      <c r="L38" s="2010"/>
      <c r="M38" s="2002"/>
      <c r="N38" s="2002"/>
      <c r="O38" s="2009"/>
      <c r="P38" s="3855" t="s">
        <v>544</v>
      </c>
      <c r="Q38" s="3272" t="str">
        <f t="shared" si="11"/>
        <v>物业管理</v>
      </c>
      <c r="R38" s="1495" t="s">
        <v>8</v>
      </c>
      <c r="S38" s="1496">
        <f t="shared" si="12"/>
        <v>100</v>
      </c>
      <c r="T38" s="1495" t="s">
        <v>8</v>
      </c>
      <c r="U38" s="1496">
        <f t="shared" si="13"/>
        <v>100</v>
      </c>
      <c r="V38" s="1495" t="s">
        <v>8</v>
      </c>
      <c r="W38" s="1496">
        <f t="shared" si="14"/>
        <v>100</v>
      </c>
      <c r="X38" s="3271"/>
      <c r="Y38" s="3855" t="s">
        <v>544</v>
      </c>
      <c r="Z38" s="3273" t="str">
        <f t="shared" si="15"/>
        <v>物业管理</v>
      </c>
      <c r="AA38" s="3274">
        <f t="shared" si="3"/>
        <v>1</v>
      </c>
      <c r="AB38" s="3274">
        <f t="shared" si="4"/>
        <v>1</v>
      </c>
      <c r="AC38" s="3274">
        <f t="shared" si="5"/>
        <v>1</v>
      </c>
    </row>
    <row r="39" spans="1:29" ht="15">
      <c r="A39" s="580"/>
      <c r="B39" s="1795" t="s">
        <v>2540</v>
      </c>
      <c r="C39" s="585" t="s">
        <v>3730</v>
      </c>
      <c r="D39" s="526">
        <v>100</v>
      </c>
      <c r="E39" s="585" t="s">
        <v>3730</v>
      </c>
      <c r="F39" s="526">
        <f>SUMIF(116:116,E39,117:117)-SUMIF(116:116,C39,117:117)+100</f>
        <v>100</v>
      </c>
      <c r="G39" s="855" t="s">
        <v>3730</v>
      </c>
      <c r="H39" s="526">
        <f>SUMIF(116:116,G39,117:117)-SUMIF(116:116,C39,117:117)+100</f>
        <v>100</v>
      </c>
      <c r="I39" s="855" t="s">
        <v>3730</v>
      </c>
      <c r="J39" s="526">
        <f>SUMIF(116:116,I39,117:117)-SUMIF(116:116,C39,117:117)+100</f>
        <v>100</v>
      </c>
      <c r="K39" s="845"/>
      <c r="L39" s="2010"/>
      <c r="M39" s="2002"/>
      <c r="N39" s="2002"/>
      <c r="O39" s="2009"/>
      <c r="P39" s="3855"/>
      <c r="Q39" s="3272" t="str">
        <f t="shared" si="11"/>
        <v>市政基础设施</v>
      </c>
      <c r="R39" s="1495" t="s">
        <v>8</v>
      </c>
      <c r="S39" s="1496">
        <f t="shared" si="12"/>
        <v>100</v>
      </c>
      <c r="T39" s="1495" t="s">
        <v>8</v>
      </c>
      <c r="U39" s="1496">
        <f t="shared" si="13"/>
        <v>100</v>
      </c>
      <c r="V39" s="1495" t="s">
        <v>8</v>
      </c>
      <c r="W39" s="1496">
        <f t="shared" si="14"/>
        <v>100</v>
      </c>
      <c r="X39" s="3271"/>
      <c r="Y39" s="3855"/>
      <c r="Z39" s="3273" t="str">
        <f t="shared" si="15"/>
        <v>市政基础设施</v>
      </c>
      <c r="AA39" s="3274">
        <f t="shared" si="3"/>
        <v>1</v>
      </c>
      <c r="AB39" s="3274">
        <f t="shared" si="4"/>
        <v>1</v>
      </c>
      <c r="AC39" s="3274">
        <f t="shared" si="5"/>
        <v>1</v>
      </c>
    </row>
    <row r="40" spans="1:29" ht="15">
      <c r="A40" s="580"/>
      <c r="B40" s="513" t="s">
        <v>726</v>
      </c>
      <c r="C40" s="585" t="s">
        <v>3797</v>
      </c>
      <c r="D40" s="526">
        <v>100</v>
      </c>
      <c r="E40" s="585" t="s">
        <v>3797</v>
      </c>
      <c r="F40" s="526">
        <f>SUMIF(118:118,E40,119:119)-SUMIF(118:118,C40,119:119)+100</f>
        <v>100</v>
      </c>
      <c r="G40" s="855" t="s">
        <v>3797</v>
      </c>
      <c r="H40" s="526">
        <f>SUMIF(118:118,G40,119:119)-SUMIF(118:118,C40,119:119)+100</f>
        <v>100</v>
      </c>
      <c r="I40" s="855" t="s">
        <v>3797</v>
      </c>
      <c r="J40" s="526">
        <f>SUMIF(118:118,I40,119:119)-SUMIF(118:118,C40,119:119)+100</f>
        <v>100</v>
      </c>
      <c r="K40" s="845"/>
      <c r="L40" s="2010"/>
      <c r="M40" s="2002"/>
      <c r="N40" s="2002"/>
      <c r="O40" s="2009"/>
      <c r="P40" s="3855"/>
      <c r="Q40" s="3272" t="str">
        <f t="shared" si="11"/>
        <v>房型</v>
      </c>
      <c r="R40" s="1495" t="s">
        <v>8</v>
      </c>
      <c r="S40" s="1496">
        <f t="shared" si="12"/>
        <v>100</v>
      </c>
      <c r="T40" s="1495" t="s">
        <v>8</v>
      </c>
      <c r="U40" s="1496">
        <f t="shared" si="13"/>
        <v>100</v>
      </c>
      <c r="V40" s="1495" t="s">
        <v>8</v>
      </c>
      <c r="W40" s="1496">
        <f t="shared" si="14"/>
        <v>100</v>
      </c>
      <c r="X40" s="3271"/>
      <c r="Y40" s="3855"/>
      <c r="Z40" s="3273" t="str">
        <f t="shared" si="15"/>
        <v>房型</v>
      </c>
      <c r="AA40" s="3274">
        <f t="shared" si="3"/>
        <v>1</v>
      </c>
      <c r="AB40" s="3274">
        <f t="shared" si="4"/>
        <v>1</v>
      </c>
      <c r="AC40" s="3274">
        <f t="shared" si="5"/>
        <v>1</v>
      </c>
    </row>
    <row r="41" spans="1:29" s="1283" customFormat="1" ht="28.5">
      <c r="A41" s="589"/>
      <c r="B41" s="513" t="s">
        <v>727</v>
      </c>
      <c r="C41" s="861"/>
      <c r="D41" s="245">
        <v>100</v>
      </c>
      <c r="E41" s="519"/>
      <c r="F41" s="245">
        <f>SUMIF(120:120,E41,121:121)-SUMIF(120:120,C41,121:121)+100</f>
        <v>100</v>
      </c>
      <c r="G41" s="520"/>
      <c r="H41" s="245">
        <f>SUMIF(120:120,G41,121:121)-SUMIF(120:120,C41,121:121)+100</f>
        <v>100</v>
      </c>
      <c r="I41" s="572"/>
      <c r="J41" s="526">
        <f>SUMIF(120:120,I41,121:121)-SUMIF(120:120,C41,121:121)+100</f>
        <v>100</v>
      </c>
      <c r="K41" s="846"/>
      <c r="L41" s="2008"/>
      <c r="M41" s="2038"/>
      <c r="N41" s="2038"/>
      <c r="O41" s="2011"/>
      <c r="P41" s="3855"/>
      <c r="Q41" s="1523" t="str">
        <f t="shared" si="11"/>
        <v>单套/主力户型建筑面积</v>
      </c>
      <c r="R41" s="1499" t="s">
        <v>8</v>
      </c>
      <c r="S41" s="1500">
        <f t="shared" si="12"/>
        <v>100</v>
      </c>
      <c r="T41" s="1499" t="s">
        <v>8</v>
      </c>
      <c r="U41" s="1500">
        <f t="shared" si="13"/>
        <v>100</v>
      </c>
      <c r="V41" s="1499" t="s">
        <v>8</v>
      </c>
      <c r="W41" s="1500">
        <f t="shared" si="14"/>
        <v>100</v>
      </c>
      <c r="X41" s="1501"/>
      <c r="Y41" s="3855"/>
      <c r="Z41" s="1502" t="str">
        <f t="shared" si="15"/>
        <v>单套/主力户型建筑面积</v>
      </c>
      <c r="AA41" s="3274">
        <f t="shared" si="3"/>
        <v>1</v>
      </c>
      <c r="AB41" s="3274">
        <f t="shared" si="4"/>
        <v>1</v>
      </c>
      <c r="AC41" s="3274">
        <f t="shared" si="5"/>
        <v>1</v>
      </c>
    </row>
    <row r="42" spans="1:29" ht="15">
      <c r="A42" s="580"/>
      <c r="B42" s="513" t="s">
        <v>728</v>
      </c>
      <c r="C42" s="585" t="s">
        <v>3787</v>
      </c>
      <c r="D42" s="526">
        <v>100</v>
      </c>
      <c r="E42" s="585" t="s">
        <v>3787</v>
      </c>
      <c r="F42" s="526">
        <f>SUMIF(122:122,E42,123:123)-SUMIF(122:122,C42,123:123)+100</f>
        <v>100</v>
      </c>
      <c r="G42" s="855" t="s">
        <v>3787</v>
      </c>
      <c r="H42" s="526">
        <f>SUMIF(122:122,G42,123:123)-SUMIF(122:122,C42,123:123)+100</f>
        <v>100</v>
      </c>
      <c r="I42" s="855" t="s">
        <v>3787</v>
      </c>
      <c r="J42" s="526">
        <f>SUMIF(122:122,I42,123:123)-SUMIF(122:122,C42,123:123)+100</f>
        <v>100</v>
      </c>
      <c r="K42" s="845">
        <v>5</v>
      </c>
      <c r="L42" s="2010"/>
      <c r="M42" s="2002"/>
      <c r="N42" s="2002"/>
      <c r="O42" s="2009"/>
      <c r="P42" s="3855"/>
      <c r="Q42" s="3272" t="str">
        <f t="shared" si="11"/>
        <v>内部装修</v>
      </c>
      <c r="R42" s="1495" t="s">
        <v>8</v>
      </c>
      <c r="S42" s="1496">
        <f t="shared" si="12"/>
        <v>100</v>
      </c>
      <c r="T42" s="1495" t="s">
        <v>8</v>
      </c>
      <c r="U42" s="1496">
        <f t="shared" si="13"/>
        <v>100</v>
      </c>
      <c r="V42" s="1495" t="s">
        <v>8</v>
      </c>
      <c r="W42" s="1496">
        <f t="shared" si="14"/>
        <v>100</v>
      </c>
      <c r="X42" s="3271"/>
      <c r="Y42" s="3855"/>
      <c r="Z42" s="3273" t="str">
        <f t="shared" si="15"/>
        <v>内部装修</v>
      </c>
      <c r="AA42" s="3274">
        <f t="shared" si="3"/>
        <v>1</v>
      </c>
      <c r="AB42" s="3274">
        <f t="shared" si="4"/>
        <v>1</v>
      </c>
      <c r="AC42" s="3274">
        <f t="shared" si="5"/>
        <v>1</v>
      </c>
    </row>
    <row r="43" spans="1:29" ht="27">
      <c r="A43" s="580"/>
      <c r="B43" s="513" t="s">
        <v>729</v>
      </c>
      <c r="C43" s="585" t="s">
        <v>3725</v>
      </c>
      <c r="D43" s="526">
        <v>100</v>
      </c>
      <c r="E43" s="585" t="s">
        <v>3725</v>
      </c>
      <c r="F43" s="526">
        <f>SUMIF(124:124,E43,125:125)-SUMIF(124:124,C43,125:125)+100</f>
        <v>100</v>
      </c>
      <c r="G43" s="855" t="s">
        <v>3725</v>
      </c>
      <c r="H43" s="526">
        <f>SUMIF(124:124,G43,125:125)-SUMIF(124:124,C43,125:125)+100</f>
        <v>100</v>
      </c>
      <c r="I43" s="855" t="s">
        <v>3725</v>
      </c>
      <c r="J43" s="526">
        <f>SUMIF(124:124,I43,125:125)-SUMIF(124:124,C43,125:125)+100</f>
        <v>100</v>
      </c>
      <c r="K43" s="845"/>
      <c r="L43" s="2010"/>
      <c r="M43" s="2002"/>
      <c r="N43" s="2002"/>
      <c r="O43" s="2009"/>
      <c r="P43" s="3855"/>
      <c r="Q43" s="3272" t="str">
        <f t="shared" si="11"/>
        <v>内部装修维护情况</v>
      </c>
      <c r="R43" s="1495" t="s">
        <v>8</v>
      </c>
      <c r="S43" s="1496">
        <f t="shared" si="12"/>
        <v>100</v>
      </c>
      <c r="T43" s="1495" t="s">
        <v>8</v>
      </c>
      <c r="U43" s="1496">
        <f t="shared" si="13"/>
        <v>100</v>
      </c>
      <c r="V43" s="1495" t="s">
        <v>8</v>
      </c>
      <c r="W43" s="1496">
        <f t="shared" si="14"/>
        <v>100</v>
      </c>
      <c r="X43" s="3271"/>
      <c r="Y43" s="3855"/>
      <c r="Z43" s="3273" t="str">
        <f t="shared" si="15"/>
        <v>内部装修维护情况</v>
      </c>
      <c r="AA43" s="3274">
        <f t="shared" si="3"/>
        <v>1</v>
      </c>
      <c r="AB43" s="3274">
        <f t="shared" si="4"/>
        <v>1</v>
      </c>
      <c r="AC43" s="3274">
        <f t="shared" si="5"/>
        <v>1</v>
      </c>
    </row>
    <row r="44" spans="1:29" s="1194" customFormat="1" ht="15">
      <c r="A44" s="586"/>
      <c r="B44" s="858"/>
      <c r="C44" s="861"/>
      <c r="D44" s="245">
        <v>100</v>
      </c>
      <c r="E44" s="861"/>
      <c r="F44" s="245">
        <f>SUMIF(126:126,E44,127:127)-SUMIF(126:126,C44,127:127)+100</f>
        <v>100</v>
      </c>
      <c r="G44" s="901"/>
      <c r="H44" s="245">
        <f>SUMIF(126:126,G44,127:127)-SUMIF(126:126,C44,127:127)+100</f>
        <v>100</v>
      </c>
      <c r="I44" s="861"/>
      <c r="J44" s="245">
        <f>SUMIF(126:126,I44,127:127)-SUMIF(126:126,C44,127:127)+100</f>
        <v>100</v>
      </c>
      <c r="K44" s="846"/>
      <c r="L44" s="2003"/>
      <c r="M44" s="2004"/>
      <c r="N44" s="2004"/>
      <c r="O44" s="2005"/>
      <c r="P44" s="3855"/>
      <c r="Q44" s="3265">
        <f t="shared" si="11"/>
        <v>0</v>
      </c>
      <c r="R44" s="1490" t="s">
        <v>8</v>
      </c>
      <c r="S44" s="1491">
        <f t="shared" si="12"/>
        <v>100</v>
      </c>
      <c r="T44" s="1490" t="s">
        <v>8</v>
      </c>
      <c r="U44" s="1491">
        <f t="shared" si="13"/>
        <v>100</v>
      </c>
      <c r="V44" s="1490" t="s">
        <v>8</v>
      </c>
      <c r="W44" s="1491">
        <f t="shared" si="14"/>
        <v>100</v>
      </c>
      <c r="X44" s="1492"/>
      <c r="Y44" s="3855"/>
      <c r="Z44" s="3263">
        <f t="shared" si="15"/>
        <v>0</v>
      </c>
      <c r="AA44" s="1493">
        <f t="shared" si="3"/>
        <v>1</v>
      </c>
      <c r="AB44" s="1493">
        <f t="shared" si="4"/>
        <v>1</v>
      </c>
      <c r="AC44" s="1493">
        <f t="shared" si="5"/>
        <v>1</v>
      </c>
    </row>
    <row r="45" spans="1:29" ht="15">
      <c r="A45" s="580"/>
      <c r="B45" s="858"/>
      <c r="C45" s="525"/>
      <c r="D45" s="526">
        <v>100</v>
      </c>
      <c r="E45" s="525"/>
      <c r="F45" s="526">
        <f>SUMIF(128:128,E45,129:129)-SUMIF(128:128,C45,129:129)+100</f>
        <v>100</v>
      </c>
      <c r="G45" s="893"/>
      <c r="H45" s="526">
        <f>SUMIF(128:128,G45,129:129)-SUMIF(128:128,C45,129:129)+100</f>
        <v>100</v>
      </c>
      <c r="I45" s="525"/>
      <c r="J45" s="526">
        <f>SUMIF(128:128,I45,129:129)-SUMIF(128:128,C45,129:129)+100</f>
        <v>100</v>
      </c>
      <c r="K45" s="846"/>
      <c r="L45" s="2010"/>
      <c r="M45" s="2002"/>
      <c r="N45" s="2002"/>
      <c r="O45" s="2009"/>
      <c r="P45" s="3855"/>
      <c r="Q45" s="3272">
        <f t="shared" si="11"/>
        <v>0</v>
      </c>
      <c r="R45" s="1495" t="s">
        <v>8</v>
      </c>
      <c r="S45" s="1496">
        <f t="shared" si="12"/>
        <v>100</v>
      </c>
      <c r="T45" s="1495" t="s">
        <v>8</v>
      </c>
      <c r="U45" s="1496">
        <f t="shared" si="13"/>
        <v>100</v>
      </c>
      <c r="V45" s="1495" t="s">
        <v>8</v>
      </c>
      <c r="W45" s="1496">
        <f t="shared" si="14"/>
        <v>100</v>
      </c>
      <c r="X45" s="3271"/>
      <c r="Y45" s="3855"/>
      <c r="Z45" s="3273">
        <f t="shared" si="15"/>
        <v>0</v>
      </c>
      <c r="AA45" s="3274">
        <f t="shared" si="3"/>
        <v>1</v>
      </c>
      <c r="AB45" s="3274">
        <f t="shared" si="4"/>
        <v>1</v>
      </c>
      <c r="AC45" s="3274">
        <f t="shared" si="5"/>
        <v>1</v>
      </c>
    </row>
    <row r="46" spans="1:29" ht="15.75" thickBot="1">
      <c r="A46" s="867"/>
      <c r="B46" s="530"/>
      <c r="C46" s="531"/>
      <c r="D46" s="532">
        <v>100</v>
      </c>
      <c r="E46" s="531"/>
      <c r="F46" s="532">
        <f>SUMIF(130:130,E46,131:131)-SUMIF(130:130,C46,131:131)+100</f>
        <v>100</v>
      </c>
      <c r="G46" s="896"/>
      <c r="H46" s="532">
        <f>SUMIF(130:130,G46,131:131)-SUMIF(130:130,C46,131:131)+100</f>
        <v>100</v>
      </c>
      <c r="I46" s="531"/>
      <c r="J46" s="532">
        <f>SUMIF(130:130,I46,131:131)-SUMIF(130:130,C46,131:131)+100</f>
        <v>100</v>
      </c>
      <c r="K46" s="846"/>
      <c r="L46" s="2010"/>
      <c r="M46" s="2002"/>
      <c r="N46" s="2002"/>
      <c r="O46" s="2009"/>
      <c r="P46" s="3961"/>
      <c r="Q46" s="3272">
        <f t="shared" si="11"/>
        <v>0</v>
      </c>
      <c r="R46" s="1495" t="s">
        <v>8</v>
      </c>
      <c r="S46" s="1496">
        <f t="shared" si="12"/>
        <v>100</v>
      </c>
      <c r="T46" s="1495" t="s">
        <v>8</v>
      </c>
      <c r="U46" s="1496">
        <f t="shared" si="13"/>
        <v>100</v>
      </c>
      <c r="V46" s="1495" t="s">
        <v>8</v>
      </c>
      <c r="W46" s="1496">
        <f t="shared" si="14"/>
        <v>100</v>
      </c>
      <c r="X46" s="3271"/>
      <c r="Y46" s="3961"/>
      <c r="Z46" s="3273">
        <f t="shared" si="15"/>
        <v>0</v>
      </c>
      <c r="AA46" s="3274">
        <f t="shared" si="3"/>
        <v>1</v>
      </c>
      <c r="AB46" s="3274">
        <f t="shared" si="4"/>
        <v>1</v>
      </c>
      <c r="AC46" s="3274">
        <f t="shared" si="5"/>
        <v>1</v>
      </c>
    </row>
    <row r="47" spans="1:29" ht="15">
      <c r="A47" s="593" t="s">
        <v>730</v>
      </c>
      <c r="B47" s="868"/>
      <c r="C47" s="2456" t="s">
        <v>1</v>
      </c>
      <c r="D47" s="2457"/>
      <c r="E47" s="2458">
        <f>ROUND(200/144*10000*$D$50,0)</f>
        <v>13750</v>
      </c>
      <c r="F47" s="2459"/>
      <c r="G47" s="2460">
        <f>ROUND(230/140*10000*$D$50,0)</f>
        <v>16264</v>
      </c>
      <c r="H47" s="2461"/>
      <c r="I47" s="2460">
        <f>ROUND(180/128*10000*$D$50,0)</f>
        <v>13922</v>
      </c>
      <c r="J47" s="2461"/>
      <c r="K47" s="1524"/>
      <c r="L47" s="2012"/>
      <c r="M47" s="2013"/>
      <c r="N47" s="2002"/>
      <c r="O47" s="2013"/>
      <c r="P47" s="3850" t="str">
        <f>A47</f>
        <v>成交单价（元/平方米）</v>
      </c>
      <c r="Q47" s="3850"/>
      <c r="R47" s="3960">
        <f>E47</f>
        <v>13750</v>
      </c>
      <c r="S47" s="3960"/>
      <c r="T47" s="3960">
        <f>G47</f>
        <v>16264</v>
      </c>
      <c r="U47" s="3960"/>
      <c r="V47" s="3960">
        <f>I47</f>
        <v>13922</v>
      </c>
      <c r="W47" s="3960"/>
      <c r="X47" s="1484"/>
      <c r="Y47" s="1503"/>
      <c r="Z47" s="1484"/>
      <c r="AA47" s="1484"/>
      <c r="AB47" s="1484"/>
      <c r="AC47" s="1484"/>
    </row>
    <row r="48" spans="1:29" ht="15.75" thickBot="1">
      <c r="A48" s="601" t="s">
        <v>2667</v>
      </c>
      <c r="B48" s="869"/>
      <c r="C48" s="2462">
        <f>R49</f>
        <v>12850</v>
      </c>
      <c r="D48" s="2999" t="s">
        <v>2961</v>
      </c>
      <c r="E48" s="2463">
        <f>R48</f>
        <v>12500</v>
      </c>
      <c r="F48" s="3000"/>
      <c r="G48" s="2462">
        <f>T48</f>
        <v>14785</v>
      </c>
      <c r="H48" s="3000"/>
      <c r="I48" s="2463">
        <f>V48</f>
        <v>11264</v>
      </c>
      <c r="J48" s="3000"/>
      <c r="K48" s="3008">
        <f>F48+H48+J48</f>
        <v>0</v>
      </c>
      <c r="L48" s="2012"/>
      <c r="M48" s="2013"/>
      <c r="N48" s="2013"/>
      <c r="O48" s="2013"/>
      <c r="P48" s="3850" t="str">
        <f>A48</f>
        <v>比较价格（元/平方米）</v>
      </c>
      <c r="Q48" s="3850"/>
      <c r="R48" s="3960">
        <f>IF(F1="售价",ROUND(PRODUCT(R47,AA7:AA46),0),ROUND(PRODUCT(R47,AA7:AA46),1))</f>
        <v>12500</v>
      </c>
      <c r="S48" s="3960"/>
      <c r="T48" s="3960">
        <f>IF(F1="售价",ROUND(PRODUCT(T47,AB7:AB46),0),ROUND(PRODUCT(T47,AB7:AB46),1))</f>
        <v>14785</v>
      </c>
      <c r="U48" s="3960"/>
      <c r="V48" s="3960">
        <f>IF(F1="售价",ROUND(PRODUCT(V47,AC7:AC46),0),ROUND(PRODUCT(V47,AC7:AC46),1))</f>
        <v>11264</v>
      </c>
      <c r="W48" s="3960"/>
      <c r="X48" s="1484"/>
      <c r="Y48" s="1484"/>
      <c r="Z48" s="1484"/>
      <c r="AA48" s="1484"/>
      <c r="AB48" s="1484"/>
      <c r="AC48" s="1484"/>
    </row>
    <row r="49" spans="1:29" ht="15.75" thickBot="1">
      <c r="A49" s="605" t="s">
        <v>2893</v>
      </c>
      <c r="B49" s="606"/>
      <c r="C49" s="2464">
        <f>R49</f>
        <v>12850</v>
      </c>
      <c r="D49" s="2464"/>
      <c r="E49" s="2464"/>
      <c r="F49" s="2464"/>
      <c r="G49" s="2464"/>
      <c r="H49" s="2464"/>
      <c r="I49" s="2464"/>
      <c r="J49" s="2464"/>
      <c r="K49" s="1525"/>
      <c r="L49" s="2012"/>
      <c r="M49" s="2013"/>
      <c r="N49" s="2013"/>
      <c r="O49" s="2013"/>
      <c r="P49" s="3871" t="str">
        <f>A49</f>
        <v>估价对象XX用房的比较价格（楼面单价，元/平方米）</v>
      </c>
      <c r="Q49" s="3872"/>
      <c r="R49" s="3959">
        <f>IF(F1="售价",ROUND(IF(D48="简单平均",AVERAGE(R48:V48),R48*F48+T48*H48+V48*J48),0),ROUND(IF(D48="简单平均",AVERAGE(R48:V48),R48*F48+T48*H48+V48*J48),1))</f>
        <v>12850</v>
      </c>
      <c r="S49" s="3959"/>
      <c r="T49" s="3959"/>
      <c r="U49" s="3959"/>
      <c r="V49" s="3959"/>
      <c r="W49" s="3959"/>
      <c r="X49" s="1484"/>
      <c r="Y49" s="1484"/>
      <c r="Z49" s="1484"/>
      <c r="AA49" s="1484"/>
      <c r="AB49" s="1484"/>
      <c r="AC49" s="1484"/>
    </row>
    <row r="50" spans="1:29">
      <c r="A50" s="3199"/>
      <c r="B50" s="3199"/>
      <c r="C50" s="3307" t="s">
        <v>3783</v>
      </c>
      <c r="D50" s="3199">
        <v>0.99</v>
      </c>
      <c r="E50" s="3199"/>
      <c r="F50" s="3199"/>
      <c r="G50" s="3201"/>
      <c r="H50" s="3199"/>
      <c r="I50" s="3199"/>
      <c r="J50" s="3199"/>
      <c r="K50" s="3202"/>
      <c r="L50" s="2017"/>
      <c r="M50" s="2013"/>
      <c r="N50" s="2013"/>
      <c r="O50" s="2013"/>
      <c r="P50" s="2013"/>
      <c r="Q50" s="2013"/>
      <c r="R50" s="2013"/>
      <c r="S50" s="2013"/>
      <c r="T50" s="2013"/>
      <c r="U50" s="2013"/>
      <c r="V50" s="2013"/>
      <c r="W50" s="2013"/>
      <c r="X50" s="2013"/>
      <c r="Y50" s="2013"/>
      <c r="Z50" s="2013"/>
      <c r="AA50" s="2013"/>
      <c r="AB50" s="2013"/>
      <c r="AC50" s="2013"/>
    </row>
    <row r="51" spans="1:29">
      <c r="A51" s="3199"/>
      <c r="B51" s="3199"/>
      <c r="C51" s="3199"/>
      <c r="D51" s="3199"/>
      <c r="E51" s="3199"/>
      <c r="F51" s="3199"/>
      <c r="G51" s="3199"/>
      <c r="H51" s="3199"/>
      <c r="I51" s="3199"/>
      <c r="J51" s="3199"/>
      <c r="K51" s="3202"/>
      <c r="L51" s="2017"/>
      <c r="M51" s="2013"/>
      <c r="N51" s="2013"/>
      <c r="O51" s="2013"/>
      <c r="P51" s="2013"/>
      <c r="Q51" s="2013"/>
      <c r="R51" s="2013"/>
      <c r="S51" s="2013"/>
      <c r="T51" s="2013"/>
      <c r="U51" s="2013"/>
      <c r="V51" s="2013"/>
      <c r="W51" s="2013"/>
      <c r="X51" s="2013"/>
      <c r="Y51" s="2013"/>
      <c r="Z51" s="2013"/>
      <c r="AA51" s="2013"/>
      <c r="AB51" s="2013"/>
      <c r="AC51" s="2013"/>
    </row>
    <row r="52" spans="1:29" ht="13.5" customHeight="1">
      <c r="A52" s="3199"/>
      <c r="B52" s="3199"/>
      <c r="C52" s="608" t="s">
        <v>551</v>
      </c>
      <c r="D52" s="609"/>
      <c r="E52" s="610">
        <f>IF(E47&lt;E48,E48/E47-1,E47/E48-1)</f>
        <v>0.10000000000000009</v>
      </c>
      <c r="F52" s="611" t="str">
        <f>IF(OR(E52&gt;=0.3,E52&lt;=-0.3),"超过30%","")</f>
        <v/>
      </c>
      <c r="G52" s="610">
        <f>IF(G47&lt;G48,G48/G47-1,G47/G48-1)</f>
        <v>0.10003381805884337</v>
      </c>
      <c r="H52" s="611" t="str">
        <f>IF(OR(G52&gt;=0.3,G52&lt;=-0.3),"超过30%","")</f>
        <v/>
      </c>
      <c r="I52" s="610">
        <f>IF(I47&lt;I48,I48/I47-1,I47/I48-1)</f>
        <v>0.23597301136363646</v>
      </c>
      <c r="J52" s="611" t="str">
        <f>IF(OR(I52&gt;=0.3,I52&lt;=-0.3),"超过30%","")</f>
        <v/>
      </c>
      <c r="K52" s="3202"/>
      <c r="L52" s="2017"/>
      <c r="M52" s="2013"/>
      <c r="N52" s="2013"/>
      <c r="O52" s="2013"/>
      <c r="P52" s="2013"/>
      <c r="Q52" s="2013"/>
      <c r="R52" s="2013"/>
      <c r="S52" s="2013"/>
      <c r="T52" s="2013"/>
      <c r="U52" s="2013"/>
      <c r="V52" s="2013"/>
      <c r="W52" s="2013"/>
      <c r="X52" s="2013"/>
      <c r="Y52" s="2013"/>
      <c r="Z52" s="2013"/>
      <c r="AA52" s="2013"/>
      <c r="AB52" s="2013"/>
      <c r="AC52" s="2013"/>
    </row>
    <row r="53" spans="1:29" ht="13.5" customHeight="1">
      <c r="A53" s="3199"/>
      <c r="B53" s="3199"/>
      <c r="C53" s="608" t="s">
        <v>552</v>
      </c>
      <c r="D53" s="612"/>
      <c r="E53" s="610">
        <f>IF(E48&lt;G48,G48/E48-1,E48/G48-1)</f>
        <v>0.18280000000000007</v>
      </c>
      <c r="F53" s="611" t="str">
        <f>IF(OR(E53&gt;=0.2,E53&lt;=-0.2),"超过20%","")</f>
        <v/>
      </c>
      <c r="G53" s="610">
        <f>IF(G48&lt;I48,I48/G48-1,G48/I48-1)</f>
        <v>0.31258877840909083</v>
      </c>
      <c r="H53" s="611" t="str">
        <f>IF(OR(G53&gt;=0.2,G53&lt;=-0.2),"超过20%","")</f>
        <v>超过20%</v>
      </c>
      <c r="I53" s="610">
        <f>IF(I48&lt;E48,E48/I48-1,I48/E48-1)</f>
        <v>0.10973011363636354</v>
      </c>
      <c r="J53" s="611" t="str">
        <f>IF(OR(I53&gt;=0.2,I53&lt;=-0.2),"超过20%","")</f>
        <v/>
      </c>
      <c r="K53" s="3202"/>
      <c r="L53" s="2017"/>
      <c r="M53" s="2013"/>
      <c r="N53" s="2013"/>
      <c r="O53" s="2013"/>
      <c r="P53" s="2013"/>
      <c r="Q53" s="2013"/>
      <c r="R53" s="2013"/>
      <c r="S53" s="2013"/>
      <c r="T53" s="2013"/>
      <c r="U53" s="2013"/>
      <c r="V53" s="2013"/>
      <c r="W53" s="2013"/>
      <c r="X53" s="2013"/>
      <c r="Y53" s="2013"/>
      <c r="Z53" s="2013"/>
      <c r="AA53" s="2013"/>
      <c r="AB53" s="2013"/>
      <c r="AC53" s="2013"/>
    </row>
    <row r="54" spans="1:29" s="1288" customFormat="1" ht="13.5" customHeight="1">
      <c r="A54" s="3200"/>
      <c r="B54" s="3200"/>
      <c r="C54" s="608" t="s">
        <v>553</v>
      </c>
      <c r="D54" s="612"/>
      <c r="E54" s="610">
        <f>IF(E47&lt;G47,G47/E47-1,E47/G47-1)</f>
        <v>0.18283636363636369</v>
      </c>
      <c r="F54" s="611" t="str">
        <f>IF(OR(E54&gt;=0.3,E54&lt;=-0.3),"超过30%","")</f>
        <v/>
      </c>
      <c r="G54" s="610">
        <f>IF(G47&lt;I47,I47/G47-1,G47/I47-1)</f>
        <v>0.16822295647177121</v>
      </c>
      <c r="H54" s="611" t="str">
        <f>IF(OR(G54&gt;=0.3,G54&lt;=-0.3),"超过30%","")</f>
        <v/>
      </c>
      <c r="I54" s="610">
        <f>IF(I47&lt;E47,E47/I47-1,I47/E47-1)</f>
        <v>1.2509090909090803E-2</v>
      </c>
      <c r="J54" s="611" t="str">
        <f>IF(OR(I54&gt;=0.3,I54&lt;=-0.3),"超过30%","")</f>
        <v/>
      </c>
      <c r="K54" s="3203"/>
      <c r="L54" s="2020"/>
      <c r="M54" s="2014"/>
      <c r="N54" s="2014"/>
      <c r="O54" s="2014"/>
      <c r="P54" s="2014"/>
      <c r="Q54" s="2014"/>
      <c r="R54" s="2014"/>
      <c r="S54" s="2014"/>
      <c r="T54" s="2014"/>
      <c r="U54" s="2014"/>
      <c r="V54" s="2014"/>
      <c r="W54" s="2014"/>
      <c r="X54" s="2014"/>
      <c r="Y54" s="2014"/>
      <c r="Z54" s="2014"/>
      <c r="AA54" s="2014"/>
      <c r="AB54" s="2014"/>
      <c r="AC54" s="2014"/>
    </row>
    <row r="55" spans="1:29" s="1288" customFormat="1">
      <c r="A55" s="2014"/>
      <c r="B55" s="2015"/>
      <c r="C55" s="2018"/>
      <c r="D55" s="2014"/>
      <c r="E55" s="2014"/>
      <c r="F55" s="2014"/>
      <c r="G55" s="2014"/>
      <c r="H55" s="2014"/>
      <c r="I55" s="2014"/>
      <c r="J55" s="2014"/>
      <c r="K55" s="2019"/>
      <c r="L55" s="2020"/>
      <c r="M55" s="2014"/>
      <c r="N55" s="2014"/>
      <c r="O55" s="2014"/>
      <c r="P55" s="2014"/>
      <c r="Q55" s="2014"/>
      <c r="R55" s="2014"/>
      <c r="S55" s="2014"/>
      <c r="T55" s="2014"/>
      <c r="U55" s="2014"/>
      <c r="V55" s="2014"/>
      <c r="W55" s="2014"/>
      <c r="X55" s="2014"/>
      <c r="Y55" s="2014"/>
      <c r="Z55" s="2014"/>
      <c r="AA55" s="2014"/>
      <c r="AB55" s="2014"/>
      <c r="AC55" s="2014"/>
    </row>
    <row r="56" spans="1:29">
      <c r="A56" s="2013"/>
      <c r="B56" s="2015"/>
      <c r="C56" s="2018"/>
      <c r="D56" s="2015"/>
      <c r="E56" s="2015"/>
      <c r="F56" s="2015"/>
      <c r="G56" s="2015"/>
      <c r="H56" s="2015"/>
      <c r="I56" s="2015"/>
      <c r="J56" s="2015"/>
      <c r="K56" s="2015"/>
      <c r="L56" s="2015"/>
      <c r="M56" s="2015"/>
      <c r="N56" s="2015"/>
      <c r="O56" s="2015"/>
      <c r="P56" s="2013"/>
      <c r="Q56" s="2013"/>
      <c r="R56" s="2013"/>
      <c r="S56" s="2013"/>
      <c r="T56" s="2013"/>
      <c r="U56" s="2013"/>
      <c r="V56" s="2013"/>
      <c r="W56" s="2013"/>
      <c r="X56" s="2013"/>
      <c r="Y56" s="2013"/>
      <c r="Z56" s="2013"/>
      <c r="AA56" s="2013"/>
      <c r="AB56" s="2013"/>
      <c r="AC56" s="2013"/>
    </row>
    <row r="57" spans="1:29" ht="21.75" thickBot="1">
      <c r="A57" s="1506" t="s">
        <v>568</v>
      </c>
      <c r="B57" s="1484"/>
      <c r="C57" s="1505"/>
      <c r="D57" s="1505"/>
      <c r="E57" s="1505"/>
      <c r="F57" s="1507"/>
      <c r="G57" s="1507"/>
      <c r="H57" s="1505"/>
      <c r="I57" s="1505"/>
      <c r="J57" s="1505"/>
      <c r="K57" s="1508"/>
      <c r="L57" s="1504"/>
      <c r="M57" s="1505"/>
      <c r="N57" s="2024"/>
      <c r="O57" s="2024"/>
      <c r="P57" s="2024"/>
      <c r="Q57" s="2025"/>
      <c r="R57" s="2013"/>
      <c r="S57" s="2013"/>
      <c r="T57" s="2013"/>
      <c r="U57" s="2013"/>
      <c r="V57" s="2013"/>
      <c r="W57" s="2013"/>
      <c r="X57" s="2013"/>
      <c r="Y57" s="2013"/>
      <c r="Z57" s="2013"/>
      <c r="AA57" s="2013"/>
      <c r="AB57" s="2013"/>
      <c r="AC57" s="2013"/>
    </row>
    <row r="58" spans="1:29" s="1290" customFormat="1" ht="15">
      <c r="A58" s="629" t="s">
        <v>523</v>
      </c>
      <c r="B58" s="630"/>
      <c r="C58" s="2507" t="str">
        <f>YEAR(C7)&amp;"-"&amp;MONTH(C7)</f>
        <v>2020-12</v>
      </c>
      <c r="D58" s="2507">
        <f>EDATE(C58,-1)</f>
        <v>44136</v>
      </c>
      <c r="E58" s="2507">
        <f t="shared" ref="E58:O58" si="16">EDATE(D58,-1)</f>
        <v>44105</v>
      </c>
      <c r="F58" s="2507">
        <f t="shared" si="16"/>
        <v>44075</v>
      </c>
      <c r="G58" s="2507">
        <f t="shared" si="16"/>
        <v>44044</v>
      </c>
      <c r="H58" s="2507">
        <f t="shared" si="16"/>
        <v>44013</v>
      </c>
      <c r="I58" s="2507">
        <f t="shared" si="16"/>
        <v>43983</v>
      </c>
      <c r="J58" s="2507">
        <f t="shared" si="16"/>
        <v>43952</v>
      </c>
      <c r="K58" s="2507">
        <f t="shared" si="16"/>
        <v>43922</v>
      </c>
      <c r="L58" s="2507">
        <f t="shared" si="16"/>
        <v>43891</v>
      </c>
      <c r="M58" s="2507">
        <f t="shared" si="16"/>
        <v>43862</v>
      </c>
      <c r="N58" s="2507">
        <f t="shared" si="16"/>
        <v>43831</v>
      </c>
      <c r="O58" s="2507">
        <f t="shared" si="16"/>
        <v>43800</v>
      </c>
      <c r="P58" s="2027"/>
      <c r="Q58" s="2028"/>
      <c r="R58" s="2028"/>
      <c r="S58" s="2028"/>
      <c r="T58" s="2028"/>
      <c r="U58" s="2028"/>
      <c r="V58" s="2028"/>
      <c r="W58" s="2028"/>
      <c r="X58" s="2028"/>
      <c r="Y58" s="2028"/>
      <c r="Z58" s="2028"/>
      <c r="AA58" s="2028"/>
      <c r="AB58" s="2028"/>
      <c r="AC58" s="2028"/>
    </row>
    <row r="59" spans="1:29" s="1194" customFormat="1" ht="15">
      <c r="A59" s="631"/>
      <c r="B59" s="632"/>
      <c r="C59" s="633">
        <v>100</v>
      </c>
      <c r="D59" s="634">
        <v>100</v>
      </c>
      <c r="E59" s="634">
        <v>100</v>
      </c>
      <c r="F59" s="634">
        <v>100</v>
      </c>
      <c r="G59" s="634">
        <v>100</v>
      </c>
      <c r="H59" s="634">
        <v>100</v>
      </c>
      <c r="I59" s="634">
        <v>100</v>
      </c>
      <c r="J59" s="634">
        <v>100</v>
      </c>
      <c r="K59" s="634">
        <v>100</v>
      </c>
      <c r="L59" s="634">
        <v>100</v>
      </c>
      <c r="M59" s="634">
        <v>100</v>
      </c>
      <c r="N59" s="634"/>
      <c r="O59" s="634"/>
      <c r="P59" s="2025"/>
      <c r="Q59" s="1891"/>
      <c r="R59" s="1891"/>
      <c r="S59" s="1891"/>
      <c r="T59" s="1891"/>
      <c r="U59" s="1891"/>
      <c r="V59" s="1891"/>
      <c r="W59" s="1891"/>
      <c r="X59" s="1891"/>
      <c r="Y59" s="1891"/>
      <c r="Z59" s="1891"/>
      <c r="AA59" s="1891"/>
      <c r="AB59" s="1891"/>
      <c r="AC59" s="1891"/>
    </row>
    <row r="60" spans="1:29" s="1194" customFormat="1" ht="15.75" thickBot="1">
      <c r="A60" s="637" t="s">
        <v>569</v>
      </c>
      <c r="B60" s="638"/>
      <c r="C60" s="639"/>
      <c r="D60" s="640"/>
      <c r="E60" s="640"/>
      <c r="F60" s="640"/>
      <c r="G60" s="640"/>
      <c r="H60" s="640"/>
      <c r="I60" s="640"/>
      <c r="J60" s="640"/>
      <c r="K60" s="640"/>
      <c r="L60" s="640"/>
      <c r="M60" s="641"/>
      <c r="N60" s="640"/>
      <c r="O60" s="642"/>
      <c r="P60" s="2025"/>
      <c r="Q60" s="2025"/>
      <c r="R60" s="1891"/>
      <c r="S60" s="1891"/>
      <c r="T60" s="1891"/>
      <c r="U60" s="1891"/>
      <c r="V60" s="1891"/>
      <c r="W60" s="1891"/>
      <c r="X60" s="1891"/>
      <c r="Y60" s="1891"/>
      <c r="Z60" s="1891"/>
      <c r="AA60" s="1891"/>
      <c r="AB60" s="1891"/>
      <c r="AC60" s="1891"/>
    </row>
    <row r="61" spans="1:29" s="1194" customFormat="1" ht="15">
      <c r="A61" s="643" t="s">
        <v>525</v>
      </c>
      <c r="B61" s="632"/>
      <c r="C61" s="644" t="s">
        <v>570</v>
      </c>
      <c r="D61" s="645"/>
      <c r="E61" s="645"/>
      <c r="F61" s="645"/>
      <c r="G61" s="645"/>
      <c r="H61" s="645"/>
      <c r="I61" s="645"/>
      <c r="J61" s="645"/>
      <c r="K61" s="645"/>
      <c r="L61" s="646"/>
      <c r="M61" s="647"/>
      <c r="N61" s="2029"/>
      <c r="O61" s="2029"/>
      <c r="P61" s="2030"/>
      <c r="Q61" s="2025"/>
      <c r="R61" s="1891"/>
      <c r="S61" s="1891"/>
      <c r="T61" s="1891"/>
      <c r="U61" s="1891"/>
      <c r="V61" s="1891"/>
      <c r="W61" s="1891"/>
      <c r="X61" s="1891"/>
      <c r="Y61" s="1891"/>
      <c r="Z61" s="1891"/>
      <c r="AA61" s="1891"/>
      <c r="AB61" s="1891"/>
      <c r="AC61" s="1891"/>
    </row>
    <row r="62" spans="1:29" s="1194" customFormat="1" ht="15.75" thickBot="1">
      <c r="A62" s="643"/>
      <c r="B62" s="632"/>
      <c r="C62" s="870">
        <v>100</v>
      </c>
      <c r="D62" s="634"/>
      <c r="E62" s="634"/>
      <c r="F62" s="634"/>
      <c r="G62" s="634"/>
      <c r="H62" s="634"/>
      <c r="I62" s="634"/>
      <c r="J62" s="634"/>
      <c r="K62" s="634"/>
      <c r="L62" s="634"/>
      <c r="M62" s="636"/>
      <c r="N62" s="2029"/>
      <c r="O62" s="2029"/>
      <c r="P62" s="2025"/>
      <c r="Q62" s="2025"/>
      <c r="R62" s="1891"/>
      <c r="S62" s="1891"/>
      <c r="T62" s="1891"/>
      <c r="U62" s="1891"/>
      <c r="V62" s="1891"/>
      <c r="W62" s="1891"/>
      <c r="X62" s="1891"/>
      <c r="Y62" s="1891"/>
      <c r="Z62" s="1891"/>
      <c r="AA62" s="1891"/>
      <c r="AB62" s="1891"/>
      <c r="AC62" s="1891"/>
    </row>
    <row r="63" spans="1:29">
      <c r="A63" s="648" t="s">
        <v>571</v>
      </c>
      <c r="B63" s="649" t="s">
        <v>528</v>
      </c>
      <c r="C63" s="688" t="str">
        <f>C9</f>
        <v>住宅</v>
      </c>
      <c r="D63" s="584"/>
      <c r="E63" s="584"/>
      <c r="F63" s="584"/>
      <c r="G63" s="584"/>
      <c r="H63" s="584"/>
      <c r="I63" s="584"/>
      <c r="J63" s="584"/>
      <c r="K63" s="650"/>
      <c r="L63" s="651"/>
      <c r="M63" s="652"/>
      <c r="N63" s="2031"/>
      <c r="O63" s="2031"/>
      <c r="P63" s="2032"/>
      <c r="Q63" s="2025"/>
      <c r="R63" s="2013"/>
      <c r="S63" s="2013"/>
      <c r="T63" s="2013"/>
      <c r="U63" s="2013"/>
      <c r="V63" s="2013"/>
      <c r="W63" s="2013"/>
      <c r="X63" s="2013"/>
      <c r="Y63" s="2013"/>
      <c r="Z63" s="2013"/>
      <c r="AA63" s="2013"/>
      <c r="AB63" s="2013"/>
      <c r="AC63" s="2013"/>
    </row>
    <row r="64" spans="1:29" ht="15.75" thickBot="1">
      <c r="A64" s="653"/>
      <c r="B64" s="654"/>
      <c r="C64" s="655"/>
      <c r="D64" s="655"/>
      <c r="E64" s="1526"/>
      <c r="F64" s="1526"/>
      <c r="G64" s="1526"/>
      <c r="H64" s="1526"/>
      <c r="I64" s="1526"/>
      <c r="J64" s="1526"/>
      <c r="K64" s="1526"/>
      <c r="L64" s="1526"/>
      <c r="M64" s="1527"/>
      <c r="N64" s="2033"/>
      <c r="O64" s="2033"/>
      <c r="P64" s="2032"/>
      <c r="Q64" s="2025"/>
      <c r="R64" s="2013"/>
      <c r="S64" s="2013"/>
      <c r="T64" s="2013"/>
      <c r="U64" s="2013"/>
      <c r="V64" s="2013"/>
      <c r="W64" s="2013"/>
      <c r="X64" s="2013"/>
      <c r="Y64" s="2013"/>
      <c r="Z64" s="2013"/>
      <c r="AA64" s="2013"/>
      <c r="AB64" s="2013"/>
      <c r="AC64" s="2013"/>
    </row>
    <row r="65" spans="1:29" ht="27.75" thickTop="1">
      <c r="A65" s="653"/>
      <c r="B65" s="657" t="s">
        <v>531</v>
      </c>
      <c r="C65" s="658" t="s">
        <v>731</v>
      </c>
      <c r="D65" s="658" t="s">
        <v>732</v>
      </c>
      <c r="E65" s="658" t="s">
        <v>733</v>
      </c>
      <c r="F65" s="658" t="s">
        <v>734</v>
      </c>
      <c r="G65" s="658" t="s">
        <v>735</v>
      </c>
      <c r="H65" s="658" t="s">
        <v>736</v>
      </c>
      <c r="I65" s="658" t="s">
        <v>737</v>
      </c>
      <c r="J65" s="658"/>
      <c r="K65" s="659"/>
      <c r="L65" s="660"/>
      <c r="M65" s="661"/>
      <c r="N65" s="2031"/>
      <c r="O65" s="2031"/>
      <c r="P65" s="2032"/>
      <c r="Q65" s="2025"/>
      <c r="R65" s="2013"/>
      <c r="S65" s="2013"/>
      <c r="T65" s="2013"/>
      <c r="U65" s="2013"/>
      <c r="V65" s="2013"/>
      <c r="W65" s="2013"/>
      <c r="X65" s="2013"/>
      <c r="Y65" s="2013"/>
      <c r="Z65" s="2013"/>
      <c r="AA65" s="2013"/>
      <c r="AB65" s="2013"/>
      <c r="AC65" s="2013"/>
    </row>
    <row r="66" spans="1:29" ht="15.75" thickBot="1">
      <c r="A66" s="653"/>
      <c r="B66" s="662"/>
      <c r="C66" s="663">
        <v>100</v>
      </c>
      <c r="D66" s="663">
        <f t="shared" ref="D66:I66" si="17">C66-$K10</f>
        <v>100</v>
      </c>
      <c r="E66" s="663">
        <f t="shared" si="17"/>
        <v>100</v>
      </c>
      <c r="F66" s="663">
        <f t="shared" si="17"/>
        <v>100</v>
      </c>
      <c r="G66" s="663">
        <f t="shared" si="17"/>
        <v>100</v>
      </c>
      <c r="H66" s="663">
        <f t="shared" si="17"/>
        <v>100</v>
      </c>
      <c r="I66" s="663">
        <f t="shared" si="17"/>
        <v>100</v>
      </c>
      <c r="J66" s="663"/>
      <c r="K66" s="663"/>
      <c r="L66" s="663"/>
      <c r="M66" s="664"/>
      <c r="N66" s="2033"/>
      <c r="O66" s="2033"/>
      <c r="P66" s="2032"/>
      <c r="Q66" s="2025"/>
      <c r="R66" s="2013"/>
      <c r="S66" s="2013"/>
      <c r="T66" s="2013"/>
      <c r="U66" s="2013"/>
      <c r="V66" s="2013"/>
      <c r="W66" s="2013"/>
      <c r="X66" s="2013"/>
      <c r="Y66" s="2013"/>
      <c r="Z66" s="2013"/>
      <c r="AA66" s="2013"/>
      <c r="AB66" s="2013"/>
      <c r="AC66" s="2013"/>
    </row>
    <row r="67" spans="1:29" ht="15.75" thickTop="1">
      <c r="A67" s="653"/>
      <c r="B67" s="665" t="s">
        <v>532</v>
      </c>
      <c r="C67" s="666" t="str">
        <f>C68&amp;"（含）"&amp;"-"&amp;D68</f>
        <v>0（含）-</v>
      </c>
      <c r="D67" s="666" t="str">
        <f t="shared" ref="D67:L67" si="18">D68&amp;"（含）"&amp;"-"&amp;E68</f>
        <v>（含）-</v>
      </c>
      <c r="E67" s="666" t="str">
        <f t="shared" si="18"/>
        <v>（含）-</v>
      </c>
      <c r="F67" s="666" t="str">
        <f t="shared" si="18"/>
        <v>（含）-</v>
      </c>
      <c r="G67" s="666" t="str">
        <f t="shared" si="18"/>
        <v>（含）-</v>
      </c>
      <c r="H67" s="666" t="str">
        <f t="shared" si="18"/>
        <v>（含）-</v>
      </c>
      <c r="I67" s="666" t="str">
        <f t="shared" si="18"/>
        <v>（含）-</v>
      </c>
      <c r="J67" s="666" t="str">
        <f t="shared" si="18"/>
        <v>（含）-</v>
      </c>
      <c r="K67" s="666" t="str">
        <f t="shared" si="18"/>
        <v>（含）-</v>
      </c>
      <c r="L67" s="666" t="str">
        <f t="shared" si="18"/>
        <v>（含）-</v>
      </c>
      <c r="M67" s="541" t="str">
        <f>M68&amp;"（含）"&amp;"-"&amp;P68</f>
        <v>（含）-</v>
      </c>
      <c r="N67" s="2033"/>
      <c r="O67" s="2033"/>
      <c r="P67" s="2032"/>
      <c r="Q67" s="2025"/>
      <c r="R67" s="2013"/>
      <c r="S67" s="2013"/>
      <c r="T67" s="2013"/>
      <c r="U67" s="2013"/>
      <c r="V67" s="2013"/>
      <c r="W67" s="2013"/>
      <c r="X67" s="2013"/>
      <c r="Y67" s="2013"/>
      <c r="Z67" s="2013"/>
      <c r="AA67" s="2013"/>
      <c r="AB67" s="2013"/>
      <c r="AC67" s="2013"/>
    </row>
    <row r="68" spans="1:29" ht="15">
      <c r="A68" s="653"/>
      <c r="B68" s="667"/>
      <c r="C68" s="527">
        <v>0</v>
      </c>
      <c r="D68" s="527"/>
      <c r="E68" s="527"/>
      <c r="F68" s="527"/>
      <c r="G68" s="527"/>
      <c r="H68" s="527"/>
      <c r="I68" s="527"/>
      <c r="J68" s="527"/>
      <c r="K68" s="668"/>
      <c r="L68" s="669"/>
      <c r="M68" s="670"/>
      <c r="N68" s="2031"/>
      <c r="O68" s="2031"/>
      <c r="P68" s="2032"/>
      <c r="Q68" s="2025"/>
      <c r="R68" s="2013"/>
      <c r="S68" s="2013"/>
      <c r="T68" s="2013"/>
      <c r="U68" s="2013"/>
      <c r="V68" s="2013"/>
      <c r="W68" s="2013"/>
      <c r="X68" s="2013"/>
      <c r="Y68" s="2013"/>
      <c r="Z68" s="2013"/>
      <c r="AA68" s="2013"/>
      <c r="AB68" s="2013"/>
      <c r="AC68" s="2013"/>
    </row>
    <row r="69" spans="1:29" ht="15.75" thickBot="1">
      <c r="A69" s="653"/>
      <c r="B69" s="654"/>
      <c r="C69" s="663">
        <v>100</v>
      </c>
      <c r="D69" s="663">
        <f t="shared" ref="D69:M69" si="19">C69-$K11</f>
        <v>100</v>
      </c>
      <c r="E69" s="663">
        <f t="shared" si="19"/>
        <v>100</v>
      </c>
      <c r="F69" s="663">
        <f t="shared" si="19"/>
        <v>100</v>
      </c>
      <c r="G69" s="663">
        <f t="shared" si="19"/>
        <v>100</v>
      </c>
      <c r="H69" s="663">
        <f t="shared" si="19"/>
        <v>100</v>
      </c>
      <c r="I69" s="663">
        <f t="shared" si="19"/>
        <v>100</v>
      </c>
      <c r="J69" s="663">
        <f t="shared" si="19"/>
        <v>100</v>
      </c>
      <c r="K69" s="663">
        <f t="shared" si="19"/>
        <v>100</v>
      </c>
      <c r="L69" s="663">
        <f t="shared" si="19"/>
        <v>100</v>
      </c>
      <c r="M69" s="664">
        <f t="shared" si="19"/>
        <v>100</v>
      </c>
      <c r="N69" s="2033"/>
      <c r="O69" s="2033"/>
      <c r="P69" s="2032"/>
      <c r="Q69" s="2025"/>
      <c r="R69" s="2013"/>
      <c r="S69" s="2013"/>
      <c r="T69" s="2013"/>
      <c r="U69" s="2013"/>
      <c r="V69" s="2013"/>
      <c r="W69" s="2013"/>
      <c r="X69" s="2013"/>
      <c r="Y69" s="2013"/>
      <c r="Z69" s="2013"/>
      <c r="AA69" s="2013"/>
      <c r="AB69" s="2013"/>
      <c r="AC69" s="2013"/>
    </row>
    <row r="70" spans="1:29" s="1283" customFormat="1" ht="15.75" thickTop="1">
      <c r="A70" s="671"/>
      <c r="B70" s="657">
        <f>B12</f>
        <v>0</v>
      </c>
      <c r="C70" s="672"/>
      <c r="D70" s="672"/>
      <c r="E70" s="672"/>
      <c r="F70" s="672"/>
      <c r="G70" s="672"/>
      <c r="H70" s="673"/>
      <c r="I70" s="673"/>
      <c r="J70" s="673"/>
      <c r="K70" s="673"/>
      <c r="L70" s="674"/>
      <c r="M70" s="675"/>
      <c r="N70" s="2034"/>
      <c r="O70" s="2034"/>
      <c r="P70" s="2035"/>
      <c r="Q70" s="2036"/>
      <c r="R70" s="2037"/>
      <c r="S70" s="2037"/>
      <c r="T70" s="2037"/>
      <c r="U70" s="2037"/>
      <c r="V70" s="2037"/>
      <c r="W70" s="2037"/>
      <c r="X70" s="2037"/>
      <c r="Y70" s="2037"/>
      <c r="Z70" s="2037"/>
      <c r="AA70" s="2037"/>
      <c r="AB70" s="2037"/>
      <c r="AC70" s="2037"/>
    </row>
    <row r="71" spans="1:29" s="1283" customFormat="1" ht="15.75" thickBot="1">
      <c r="A71" s="671"/>
      <c r="B71" s="662"/>
      <c r="C71" s="676"/>
      <c r="D71" s="655"/>
      <c r="E71" s="655"/>
      <c r="F71" s="655"/>
      <c r="G71" s="655"/>
      <c r="H71" s="655"/>
      <c r="I71" s="655"/>
      <c r="J71" s="655"/>
      <c r="K71" s="655"/>
      <c r="L71" s="655"/>
      <c r="M71" s="656"/>
      <c r="N71" s="2033"/>
      <c r="O71" s="2033"/>
      <c r="P71" s="2035"/>
      <c r="Q71" s="2036"/>
      <c r="R71" s="2037"/>
      <c r="S71" s="2037"/>
      <c r="T71" s="2037"/>
      <c r="U71" s="2037"/>
      <c r="V71" s="2037"/>
      <c r="W71" s="2037"/>
      <c r="X71" s="2037"/>
      <c r="Y71" s="2037"/>
      <c r="Z71" s="2037"/>
      <c r="AA71" s="2037"/>
      <c r="AB71" s="2037"/>
      <c r="AC71" s="2037"/>
    </row>
    <row r="72" spans="1:29" s="1283" customFormat="1" ht="15.75" thickTop="1">
      <c r="A72" s="671"/>
      <c r="B72" s="657">
        <f>B13</f>
        <v>0</v>
      </c>
      <c r="C72" s="672"/>
      <c r="D72" s="672"/>
      <c r="E72" s="672"/>
      <c r="F72" s="672"/>
      <c r="G72" s="672"/>
      <c r="H72" s="673"/>
      <c r="I72" s="673"/>
      <c r="J72" s="673"/>
      <c r="K72" s="673"/>
      <c r="L72" s="674"/>
      <c r="M72" s="675"/>
      <c r="N72" s="2034"/>
      <c r="O72" s="2034"/>
      <c r="P72" s="2038"/>
      <c r="Q72" s="2039"/>
      <c r="R72" s="2037"/>
      <c r="S72" s="2037"/>
      <c r="T72" s="2037"/>
      <c r="U72" s="2037"/>
      <c r="V72" s="2037"/>
      <c r="W72" s="2037"/>
      <c r="X72" s="2037"/>
      <c r="Y72" s="2037"/>
      <c r="Z72" s="2037"/>
      <c r="AA72" s="2037"/>
      <c r="AB72" s="2037"/>
      <c r="AC72" s="2037"/>
    </row>
    <row r="73" spans="1:29" s="1283" customFormat="1" ht="15.75" thickBot="1">
      <c r="A73" s="671"/>
      <c r="B73" s="662"/>
      <c r="C73" s="676"/>
      <c r="D73" s="676"/>
      <c r="E73" s="676"/>
      <c r="F73" s="676"/>
      <c r="G73" s="676"/>
      <c r="H73" s="677"/>
      <c r="I73" s="677"/>
      <c r="J73" s="677"/>
      <c r="K73" s="677"/>
      <c r="L73" s="677"/>
      <c r="M73" s="678"/>
      <c r="N73" s="2034"/>
      <c r="O73" s="2034"/>
      <c r="P73" s="2035"/>
      <c r="Q73" s="2036"/>
      <c r="R73" s="2037"/>
      <c r="S73" s="2037"/>
      <c r="T73" s="2037"/>
      <c r="U73" s="2037"/>
      <c r="V73" s="2037"/>
      <c r="W73" s="2037"/>
      <c r="X73" s="2037"/>
      <c r="Y73" s="2037"/>
      <c r="Z73" s="2037"/>
      <c r="AA73" s="2037"/>
      <c r="AB73" s="2037"/>
      <c r="AC73" s="2037"/>
    </row>
    <row r="74" spans="1:29" s="1283" customFormat="1" ht="15.75" thickTop="1">
      <c r="A74" s="671"/>
      <c r="B74" s="665">
        <f>B14</f>
        <v>0</v>
      </c>
      <c r="C74" s="672"/>
      <c r="D74" s="672"/>
      <c r="E74" s="672"/>
      <c r="F74" s="672"/>
      <c r="G74" s="645"/>
      <c r="H74" s="679"/>
      <c r="I74" s="679"/>
      <c r="J74" s="679"/>
      <c r="K74" s="679"/>
      <c r="L74" s="680"/>
      <c r="M74" s="681"/>
      <c r="N74" s="2034"/>
      <c r="O74" s="2034"/>
      <c r="P74" s="2040"/>
      <c r="Q74" s="2036"/>
      <c r="R74" s="2037"/>
      <c r="S74" s="2037"/>
      <c r="T74" s="2037"/>
      <c r="U74" s="2037"/>
      <c r="V74" s="2037"/>
      <c r="W74" s="2037"/>
      <c r="X74" s="2037"/>
      <c r="Y74" s="2037"/>
      <c r="Z74" s="2037"/>
      <c r="AA74" s="2037"/>
      <c r="AB74" s="2037"/>
      <c r="AC74" s="2037"/>
    </row>
    <row r="75" spans="1:29" s="1283" customFormat="1" ht="15.75" thickBot="1">
      <c r="A75" s="682"/>
      <c r="B75" s="683"/>
      <c r="C75" s="684"/>
      <c r="D75" s="684"/>
      <c r="E75" s="684"/>
      <c r="F75" s="684"/>
      <c r="G75" s="684"/>
      <c r="H75" s="685"/>
      <c r="I75" s="685"/>
      <c r="J75" s="685"/>
      <c r="K75" s="685"/>
      <c r="L75" s="685"/>
      <c r="M75" s="686"/>
      <c r="N75" s="2034"/>
      <c r="O75" s="2034"/>
      <c r="P75" s="2035"/>
      <c r="Q75" s="2036"/>
      <c r="R75" s="2037"/>
      <c r="S75" s="2037"/>
      <c r="T75" s="2037"/>
      <c r="U75" s="2037"/>
      <c r="V75" s="2037"/>
      <c r="W75" s="2037"/>
      <c r="X75" s="2037"/>
      <c r="Y75" s="2037"/>
      <c r="Z75" s="2037"/>
      <c r="AA75" s="2037"/>
      <c r="AB75" s="2037"/>
      <c r="AC75" s="2037"/>
    </row>
    <row r="76" spans="1:29">
      <c r="A76" s="648" t="s">
        <v>533</v>
      </c>
      <c r="B76" s="649" t="s">
        <v>572</v>
      </c>
      <c r="C76" s="687" t="s">
        <v>573</v>
      </c>
      <c r="D76" s="687" t="s">
        <v>574</v>
      </c>
      <c r="E76" s="687" t="s">
        <v>575</v>
      </c>
      <c r="F76" s="687" t="s">
        <v>576</v>
      </c>
      <c r="G76" s="687" t="s">
        <v>577</v>
      </c>
      <c r="H76" s="688"/>
      <c r="I76" s="688"/>
      <c r="J76" s="688"/>
      <c r="K76" s="689"/>
      <c r="L76" s="690"/>
      <c r="M76" s="691"/>
      <c r="N76" s="2031"/>
      <c r="O76" s="2031"/>
      <c r="P76" s="2041"/>
      <c r="Q76" s="2025"/>
      <c r="R76" s="2013"/>
      <c r="S76" s="2013"/>
      <c r="T76" s="2013"/>
      <c r="U76" s="2013"/>
      <c r="V76" s="2013"/>
      <c r="W76" s="2013"/>
      <c r="X76" s="2013"/>
      <c r="Y76" s="2013"/>
      <c r="Z76" s="2013"/>
      <c r="AA76" s="2013"/>
      <c r="AB76" s="2013"/>
      <c r="AC76" s="2013"/>
    </row>
    <row r="77" spans="1:29" ht="15.75" thickBot="1">
      <c r="A77" s="653"/>
      <c r="B77" s="662"/>
      <c r="C77" s="663">
        <v>100</v>
      </c>
      <c r="D77" s="663">
        <f>C77-$K15</f>
        <v>97</v>
      </c>
      <c r="E77" s="663">
        <f>D77-$K15</f>
        <v>94</v>
      </c>
      <c r="F77" s="663">
        <f>E77-$K15</f>
        <v>91</v>
      </c>
      <c r="G77" s="663">
        <f>F77-$K15</f>
        <v>88</v>
      </c>
      <c r="H77" s="663"/>
      <c r="I77" s="663"/>
      <c r="J77" s="663"/>
      <c r="K77" s="663"/>
      <c r="L77" s="663"/>
      <c r="M77" s="664"/>
      <c r="N77" s="2033"/>
      <c r="O77" s="2033"/>
      <c r="P77" s="2032"/>
      <c r="Q77" s="2025"/>
      <c r="R77" s="2013"/>
      <c r="S77" s="2013"/>
      <c r="T77" s="2013"/>
      <c r="U77" s="2013"/>
      <c r="V77" s="2013"/>
      <c r="W77" s="2013"/>
      <c r="X77" s="2013"/>
      <c r="Y77" s="2013"/>
      <c r="Z77" s="2013"/>
      <c r="AA77" s="2013"/>
      <c r="AB77" s="2013"/>
      <c r="AC77" s="2013"/>
    </row>
    <row r="78" spans="1:29" ht="15.75" thickTop="1">
      <c r="A78" s="653"/>
      <c r="B78" s="657" t="s">
        <v>580</v>
      </c>
      <c r="C78" s="692" t="s">
        <v>573</v>
      </c>
      <c r="D78" s="692" t="s">
        <v>574</v>
      </c>
      <c r="E78" s="692" t="s">
        <v>575</v>
      </c>
      <c r="F78" s="692" t="s">
        <v>576</v>
      </c>
      <c r="G78" s="692" t="s">
        <v>577</v>
      </c>
      <c r="H78" s="658"/>
      <c r="I78" s="658"/>
      <c r="J78" s="658"/>
      <c r="K78" s="659"/>
      <c r="L78" s="660"/>
      <c r="M78" s="661"/>
      <c r="N78" s="2031"/>
      <c r="O78" s="2031"/>
      <c r="P78" s="2032"/>
      <c r="Q78" s="2025"/>
      <c r="R78" s="2013"/>
      <c r="S78" s="2013"/>
      <c r="T78" s="2013"/>
      <c r="U78" s="2013"/>
      <c r="V78" s="2013"/>
      <c r="W78" s="2013"/>
      <c r="X78" s="2013"/>
      <c r="Y78" s="2013"/>
      <c r="Z78" s="2013"/>
      <c r="AA78" s="2013"/>
      <c r="AB78" s="2013"/>
      <c r="AC78" s="2013"/>
    </row>
    <row r="79" spans="1:29" ht="15.75" thickBot="1">
      <c r="A79" s="653"/>
      <c r="B79" s="662"/>
      <c r="C79" s="663">
        <v>100</v>
      </c>
      <c r="D79" s="663">
        <f>C79-$K17</f>
        <v>95</v>
      </c>
      <c r="E79" s="663">
        <f>D79-$K17</f>
        <v>90</v>
      </c>
      <c r="F79" s="663">
        <f>E79-$K17</f>
        <v>85</v>
      </c>
      <c r="G79" s="663">
        <f>F79-$K17</f>
        <v>80</v>
      </c>
      <c r="H79" s="663"/>
      <c r="I79" s="663"/>
      <c r="J79" s="663"/>
      <c r="K79" s="663"/>
      <c r="L79" s="663"/>
      <c r="M79" s="664"/>
      <c r="N79" s="2033"/>
      <c r="O79" s="2033"/>
      <c r="P79" s="2032"/>
      <c r="Q79" s="2025"/>
      <c r="R79" s="2013"/>
      <c r="S79" s="2013"/>
      <c r="T79" s="2013"/>
      <c r="U79" s="2013"/>
      <c r="V79" s="2013"/>
      <c r="W79" s="2013"/>
      <c r="X79" s="2013"/>
      <c r="Y79" s="2013"/>
      <c r="Z79" s="2013"/>
      <c r="AA79" s="2013"/>
      <c r="AB79" s="2013"/>
      <c r="AC79" s="2013"/>
    </row>
    <row r="80" spans="1:29" ht="15.75" thickTop="1">
      <c r="A80" s="653"/>
      <c r="B80" s="1796" t="s">
        <v>2301</v>
      </c>
      <c r="C80" s="692" t="s">
        <v>573</v>
      </c>
      <c r="D80" s="692" t="s">
        <v>574</v>
      </c>
      <c r="E80" s="692" t="s">
        <v>575</v>
      </c>
      <c r="F80" s="692" t="s">
        <v>576</v>
      </c>
      <c r="G80" s="692" t="s">
        <v>577</v>
      </c>
      <c r="H80" s="658"/>
      <c r="I80" s="658"/>
      <c r="J80" s="658"/>
      <c r="K80" s="659"/>
      <c r="L80" s="660"/>
      <c r="M80" s="661"/>
      <c r="N80" s="2031"/>
      <c r="O80" s="2031"/>
      <c r="P80" s="2032"/>
      <c r="Q80" s="2025"/>
      <c r="R80" s="2013"/>
      <c r="S80" s="2013"/>
      <c r="T80" s="2013"/>
      <c r="U80" s="2013"/>
      <c r="V80" s="2013"/>
      <c r="W80" s="2013"/>
      <c r="X80" s="2013"/>
      <c r="Y80" s="2013"/>
      <c r="Z80" s="2013"/>
      <c r="AA80" s="2013"/>
      <c r="AB80" s="2013"/>
      <c r="AC80" s="2013"/>
    </row>
    <row r="81" spans="1:29" ht="15.75" thickBot="1">
      <c r="A81" s="653"/>
      <c r="B81" s="662"/>
      <c r="C81" s="663">
        <v>100</v>
      </c>
      <c r="D81" s="663">
        <f>C81-$K19</f>
        <v>97</v>
      </c>
      <c r="E81" s="663">
        <f>D81-$K19</f>
        <v>94</v>
      </c>
      <c r="F81" s="663">
        <f>E81-$K19</f>
        <v>91</v>
      </c>
      <c r="G81" s="663">
        <f>F81-$K19</f>
        <v>88</v>
      </c>
      <c r="H81" s="663"/>
      <c r="I81" s="663"/>
      <c r="J81" s="663"/>
      <c r="K81" s="663"/>
      <c r="L81" s="663"/>
      <c r="M81" s="664"/>
      <c r="N81" s="2033"/>
      <c r="O81" s="2033"/>
      <c r="P81" s="2032"/>
      <c r="Q81" s="2025"/>
      <c r="R81" s="2013"/>
      <c r="S81" s="2013"/>
      <c r="T81" s="2013"/>
      <c r="U81" s="2013"/>
      <c r="V81" s="2013"/>
      <c r="W81" s="2013"/>
      <c r="X81" s="2013"/>
      <c r="Y81" s="2013"/>
      <c r="Z81" s="2013"/>
      <c r="AA81" s="2013"/>
      <c r="AB81" s="2013"/>
      <c r="AC81" s="2013"/>
    </row>
    <row r="82" spans="1:29" ht="15.75" thickTop="1">
      <c r="A82" s="653"/>
      <c r="B82" s="2427" t="s">
        <v>2523</v>
      </c>
      <c r="C82" s="2428" t="s">
        <v>2535</v>
      </c>
      <c r="D82" s="2428" t="s">
        <v>2536</v>
      </c>
      <c r="E82" s="2428" t="s">
        <v>2537</v>
      </c>
      <c r="F82" s="2428" t="s">
        <v>2538</v>
      </c>
      <c r="G82" s="2428" t="s">
        <v>2539</v>
      </c>
      <c r="H82" s="658"/>
      <c r="I82" s="658"/>
      <c r="J82" s="658"/>
      <c r="K82" s="658"/>
      <c r="L82" s="658"/>
      <c r="M82" s="2431"/>
      <c r="N82" s="2033"/>
      <c r="O82" s="2033"/>
      <c r="P82" s="2032"/>
      <c r="Q82" s="2025"/>
      <c r="R82" s="2013"/>
      <c r="S82" s="2013"/>
      <c r="T82" s="2013"/>
      <c r="U82" s="2013"/>
      <c r="V82" s="2013"/>
      <c r="W82" s="2013"/>
      <c r="X82" s="2013"/>
      <c r="Y82" s="2013"/>
      <c r="Z82" s="2013"/>
      <c r="AA82" s="2013"/>
      <c r="AB82" s="2013"/>
      <c r="AC82" s="2013"/>
    </row>
    <row r="83" spans="1:29" ht="15.75" thickBot="1">
      <c r="A83" s="653"/>
      <c r="B83" s="665"/>
      <c r="C83" s="663">
        <v>100</v>
      </c>
      <c r="D83" s="663">
        <f>C83-$K21</f>
        <v>97</v>
      </c>
      <c r="E83" s="663">
        <f>D83-$K21</f>
        <v>94</v>
      </c>
      <c r="F83" s="663">
        <f>E83-$K21</f>
        <v>91</v>
      </c>
      <c r="G83" s="663">
        <f>F83-$K21</f>
        <v>88</v>
      </c>
      <c r="H83" s="916"/>
      <c r="I83" s="916"/>
      <c r="J83" s="916"/>
      <c r="K83" s="916"/>
      <c r="L83" s="916"/>
      <c r="M83" s="545"/>
      <c r="N83" s="2033"/>
      <c r="O83" s="2033"/>
      <c r="P83" s="2032"/>
      <c r="Q83" s="2025"/>
      <c r="R83" s="2013"/>
      <c r="S83" s="2013"/>
      <c r="T83" s="2013"/>
      <c r="U83" s="2013"/>
      <c r="V83" s="2013"/>
      <c r="W83" s="2013"/>
      <c r="X83" s="2013"/>
      <c r="Y83" s="2013"/>
      <c r="Z83" s="2013"/>
      <c r="AA83" s="2013"/>
      <c r="AB83" s="2013"/>
      <c r="AC83" s="2013"/>
    </row>
    <row r="84" spans="1:29" ht="15.75" thickTop="1">
      <c r="A84" s="653"/>
      <c r="B84" s="657" t="s">
        <v>738</v>
      </c>
      <c r="C84" s="692" t="s">
        <v>573</v>
      </c>
      <c r="D84" s="692" t="s">
        <v>574</v>
      </c>
      <c r="E84" s="692" t="s">
        <v>575</v>
      </c>
      <c r="F84" s="692" t="s">
        <v>576</v>
      </c>
      <c r="G84" s="692" t="s">
        <v>577</v>
      </c>
      <c r="H84" s="658"/>
      <c r="I84" s="658"/>
      <c r="J84" s="658"/>
      <c r="K84" s="659"/>
      <c r="L84" s="660"/>
      <c r="M84" s="661"/>
      <c r="N84" s="2031"/>
      <c r="O84" s="2031"/>
      <c r="P84" s="2032"/>
      <c r="Q84" s="2025"/>
      <c r="R84" s="2013"/>
      <c r="S84" s="2013"/>
      <c r="T84" s="2013"/>
      <c r="U84" s="2013"/>
      <c r="V84" s="2013"/>
      <c r="W84" s="2013"/>
      <c r="X84" s="2013"/>
      <c r="Y84" s="2013"/>
      <c r="Z84" s="2013"/>
      <c r="AA84" s="2013"/>
      <c r="AB84" s="2013"/>
      <c r="AC84" s="2013"/>
    </row>
    <row r="85" spans="1:29" ht="15.75" thickBot="1">
      <c r="A85" s="653"/>
      <c r="B85" s="662"/>
      <c r="C85" s="663">
        <v>100</v>
      </c>
      <c r="D85" s="663">
        <f>C85-$K23</f>
        <v>97</v>
      </c>
      <c r="E85" s="663">
        <f>D85-$K23</f>
        <v>94</v>
      </c>
      <c r="F85" s="663">
        <f>E85-$K23</f>
        <v>91</v>
      </c>
      <c r="G85" s="663">
        <f>F85-$K23</f>
        <v>88</v>
      </c>
      <c r="H85" s="663"/>
      <c r="I85" s="663"/>
      <c r="J85" s="663"/>
      <c r="K85" s="663"/>
      <c r="L85" s="663"/>
      <c r="M85" s="664"/>
      <c r="N85" s="2033"/>
      <c r="O85" s="2033"/>
      <c r="P85" s="2032"/>
      <c r="Q85" s="2025"/>
      <c r="R85" s="2013"/>
      <c r="S85" s="2013"/>
      <c r="T85" s="2013"/>
      <c r="U85" s="2013"/>
      <c r="V85" s="2013"/>
      <c r="W85" s="2013"/>
      <c r="X85" s="2013"/>
      <c r="Y85" s="2013"/>
      <c r="Z85" s="2013"/>
      <c r="AA85" s="2013"/>
      <c r="AB85" s="2013"/>
      <c r="AC85" s="2013"/>
    </row>
    <row r="86" spans="1:29" s="1194" customFormat="1" ht="15.75" thickTop="1">
      <c r="A86" s="693"/>
      <c r="B86" s="1796" t="s">
        <v>2243</v>
      </c>
      <c r="C86" s="672"/>
      <c r="D86" s="672"/>
      <c r="E86" s="672"/>
      <c r="F86" s="672"/>
      <c r="G86" s="672"/>
      <c r="H86" s="672"/>
      <c r="I86" s="672"/>
      <c r="J86" s="672"/>
      <c r="K86" s="672"/>
      <c r="L86" s="871"/>
      <c r="M86" s="872"/>
      <c r="N86" s="2029"/>
      <c r="O86" s="2029"/>
      <c r="P86" s="2032"/>
      <c r="Q86" s="2025"/>
      <c r="R86" s="1891"/>
      <c r="S86" s="1891"/>
      <c r="T86" s="1891"/>
      <c r="U86" s="1891"/>
      <c r="V86" s="1891"/>
      <c r="W86" s="1891"/>
      <c r="X86" s="1891"/>
      <c r="Y86" s="1891"/>
      <c r="Z86" s="1891"/>
      <c r="AA86" s="1891"/>
      <c r="AB86" s="1891"/>
      <c r="AC86" s="1891"/>
    </row>
    <row r="87" spans="1:29" s="1194" customFormat="1" ht="15.75" thickBot="1">
      <c r="A87" s="693"/>
      <c r="B87" s="662"/>
      <c r="C87" s="696">
        <v>100</v>
      </c>
      <c r="D87" s="663">
        <f>$C$87-($C$86-D86)*$K$25</f>
        <v>100</v>
      </c>
      <c r="E87" s="663">
        <f t="shared" ref="E87:M87" si="20">$C$87-($C$86-E86)*$K$25</f>
        <v>100</v>
      </c>
      <c r="F87" s="663">
        <f t="shared" si="20"/>
        <v>100</v>
      </c>
      <c r="G87" s="663">
        <f t="shared" si="20"/>
        <v>100</v>
      </c>
      <c r="H87" s="663">
        <f t="shared" si="20"/>
        <v>100</v>
      </c>
      <c r="I87" s="663">
        <f t="shared" si="20"/>
        <v>100</v>
      </c>
      <c r="J87" s="663">
        <f t="shared" si="20"/>
        <v>100</v>
      </c>
      <c r="K87" s="663">
        <f t="shared" si="20"/>
        <v>100</v>
      </c>
      <c r="L87" s="663">
        <f t="shared" si="20"/>
        <v>100</v>
      </c>
      <c r="M87" s="663">
        <f t="shared" si="20"/>
        <v>100</v>
      </c>
      <c r="N87" s="2033"/>
      <c r="O87" s="2033"/>
      <c r="P87" s="2032"/>
      <c r="Q87" s="2025"/>
      <c r="R87" s="1891"/>
      <c r="S87" s="1891"/>
      <c r="T87" s="1891"/>
      <c r="U87" s="1891"/>
      <c r="V87" s="1891"/>
      <c r="W87" s="1891"/>
      <c r="X87" s="1891"/>
      <c r="Y87" s="1891"/>
      <c r="Z87" s="1891"/>
      <c r="AA87" s="1891"/>
      <c r="AB87" s="1891"/>
      <c r="AC87" s="1891"/>
    </row>
    <row r="88" spans="1:29" s="1194" customFormat="1" ht="15.75" thickTop="1">
      <c r="A88" s="693"/>
      <c r="B88" s="657" t="s">
        <v>740</v>
      </c>
      <c r="C88" s="672"/>
      <c r="D88" s="672"/>
      <c r="E88" s="672"/>
      <c r="F88" s="873"/>
      <c r="G88" s="672"/>
      <c r="H88" s="672"/>
      <c r="I88" s="672"/>
      <c r="J88" s="672"/>
      <c r="K88" s="672"/>
      <c r="L88" s="672"/>
      <c r="M88" s="872"/>
      <c r="N88" s="2029"/>
      <c r="O88" s="2029"/>
      <c r="P88" s="2032"/>
      <c r="Q88" s="2025"/>
      <c r="R88" s="1891"/>
      <c r="S88" s="1891"/>
      <c r="T88" s="1891"/>
      <c r="U88" s="1891"/>
      <c r="V88" s="1891"/>
      <c r="W88" s="1891"/>
      <c r="X88" s="1891"/>
      <c r="Y88" s="1891"/>
      <c r="Z88" s="1891"/>
      <c r="AA88" s="1891"/>
      <c r="AB88" s="1891"/>
      <c r="AC88" s="1891"/>
    </row>
    <row r="89" spans="1:29" s="1194" customFormat="1" ht="15.75" thickBot="1">
      <c r="A89" s="693"/>
      <c r="B89" s="662"/>
      <c r="C89" s="696">
        <v>100</v>
      </c>
      <c r="D89" s="663">
        <f t="shared" ref="D89:M89" si="21">C89-$K26</f>
        <v>100</v>
      </c>
      <c r="E89" s="663">
        <f t="shared" si="21"/>
        <v>100</v>
      </c>
      <c r="F89" s="663">
        <f t="shared" si="21"/>
        <v>100</v>
      </c>
      <c r="G89" s="663">
        <f t="shared" si="21"/>
        <v>100</v>
      </c>
      <c r="H89" s="663">
        <f t="shared" si="21"/>
        <v>100</v>
      </c>
      <c r="I89" s="663">
        <f t="shared" si="21"/>
        <v>100</v>
      </c>
      <c r="J89" s="663">
        <f t="shared" si="21"/>
        <v>100</v>
      </c>
      <c r="K89" s="663">
        <f t="shared" si="21"/>
        <v>100</v>
      </c>
      <c r="L89" s="663">
        <f t="shared" si="21"/>
        <v>100</v>
      </c>
      <c r="M89" s="663">
        <f t="shared" si="21"/>
        <v>100</v>
      </c>
      <c r="N89" s="2033"/>
      <c r="O89" s="2033"/>
      <c r="P89" s="2032"/>
      <c r="Q89" s="2025"/>
      <c r="R89" s="1891"/>
      <c r="S89" s="1891"/>
      <c r="T89" s="1891"/>
      <c r="U89" s="1891"/>
      <c r="V89" s="1891"/>
      <c r="W89" s="1891"/>
      <c r="X89" s="1891"/>
      <c r="Y89" s="1891"/>
      <c r="Z89" s="1891"/>
      <c r="AA89" s="1891"/>
      <c r="AB89" s="1891"/>
      <c r="AC89" s="1891"/>
    </row>
    <row r="90" spans="1:29" s="1283" customFormat="1" ht="15.75" thickTop="1">
      <c r="A90" s="671"/>
      <c r="B90" s="657" t="str">
        <f>B27</f>
        <v>道路级别</v>
      </c>
      <c r="C90" s="672"/>
      <c r="D90" s="672"/>
      <c r="E90" s="672"/>
      <c r="F90" s="672"/>
      <c r="G90" s="672"/>
      <c r="H90" s="673"/>
      <c r="I90" s="673"/>
      <c r="J90" s="673"/>
      <c r="K90" s="673"/>
      <c r="L90" s="674"/>
      <c r="M90" s="675"/>
      <c r="N90" s="2034"/>
      <c r="O90" s="2034"/>
      <c r="P90" s="2035"/>
      <c r="Q90" s="2036"/>
      <c r="R90" s="2037"/>
      <c r="S90" s="2037"/>
      <c r="T90" s="2037"/>
      <c r="U90" s="2037"/>
      <c r="V90" s="2037"/>
      <c r="W90" s="2037"/>
      <c r="X90" s="2037"/>
      <c r="Y90" s="2037"/>
      <c r="Z90" s="2037"/>
      <c r="AA90" s="2037"/>
      <c r="AB90" s="2037"/>
      <c r="AC90" s="2037"/>
    </row>
    <row r="91" spans="1:29" s="1283" customFormat="1" ht="15.75" thickBot="1">
      <c r="A91" s="671"/>
      <c r="B91" s="662"/>
      <c r="C91" s="676"/>
      <c r="D91" s="676"/>
      <c r="E91" s="676"/>
      <c r="F91" s="676"/>
      <c r="G91" s="676"/>
      <c r="H91" s="677"/>
      <c r="I91" s="677"/>
      <c r="J91" s="677"/>
      <c r="K91" s="677"/>
      <c r="L91" s="677"/>
      <c r="M91" s="678"/>
      <c r="N91" s="2034"/>
      <c r="O91" s="2034"/>
      <c r="P91" s="2035"/>
      <c r="Q91" s="2036"/>
      <c r="R91" s="2037"/>
      <c r="S91" s="2037"/>
      <c r="T91" s="2037"/>
      <c r="U91" s="2037"/>
      <c r="V91" s="2037"/>
      <c r="W91" s="2037"/>
      <c r="X91" s="2037"/>
      <c r="Y91" s="2037"/>
      <c r="Z91" s="2037"/>
      <c r="AA91" s="2037"/>
      <c r="AB91" s="2037"/>
      <c r="AC91" s="2037"/>
    </row>
    <row r="92" spans="1:29" ht="15.75" thickTop="1">
      <c r="A92" s="653"/>
      <c r="B92" s="657">
        <f>B28</f>
        <v>0</v>
      </c>
      <c r="C92" s="672"/>
      <c r="D92" s="672"/>
      <c r="E92" s="672"/>
      <c r="F92" s="672"/>
      <c r="G92" s="702"/>
      <c r="H92" s="702"/>
      <c r="I92" s="702"/>
      <c r="J92" s="702"/>
      <c r="K92" s="703"/>
      <c r="L92" s="704"/>
      <c r="M92" s="705"/>
      <c r="N92" s="2031"/>
      <c r="O92" s="2031"/>
      <c r="P92" s="2032"/>
      <c r="Q92" s="2025"/>
      <c r="R92" s="2013"/>
      <c r="S92" s="2013"/>
      <c r="T92" s="2013"/>
      <c r="U92" s="2013"/>
      <c r="V92" s="2013"/>
      <c r="W92" s="2013"/>
      <c r="X92" s="2013"/>
      <c r="Y92" s="2013"/>
      <c r="Z92" s="2013"/>
      <c r="AA92" s="2013"/>
      <c r="AB92" s="2013"/>
      <c r="AC92" s="2013"/>
    </row>
    <row r="93" spans="1:29" ht="15.75" thickBot="1">
      <c r="A93" s="653"/>
      <c r="B93" s="662"/>
      <c r="C93" s="676"/>
      <c r="D93" s="655"/>
      <c r="E93" s="655"/>
      <c r="F93" s="655"/>
      <c r="G93" s="655"/>
      <c r="H93" s="655"/>
      <c r="I93" s="655"/>
      <c r="J93" s="655"/>
      <c r="K93" s="655"/>
      <c r="L93" s="655"/>
      <c r="M93" s="656"/>
      <c r="N93" s="2033"/>
      <c r="O93" s="2033"/>
      <c r="P93" s="2032"/>
      <c r="Q93" s="2025"/>
      <c r="R93" s="2013"/>
      <c r="S93" s="2013"/>
      <c r="T93" s="2013"/>
      <c r="U93" s="2013"/>
      <c r="V93" s="2013"/>
      <c r="W93" s="2013"/>
      <c r="X93" s="2013"/>
      <c r="Y93" s="2013"/>
      <c r="Z93" s="2013"/>
      <c r="AA93" s="2013"/>
      <c r="AB93" s="2013"/>
      <c r="AC93" s="2013"/>
    </row>
    <row r="94" spans="1:29" ht="15.75" thickTop="1">
      <c r="A94" s="653"/>
      <c r="B94" s="657">
        <f>B29</f>
        <v>0</v>
      </c>
      <c r="C94" s="672"/>
      <c r="D94" s="672"/>
      <c r="E94" s="672"/>
      <c r="F94" s="672"/>
      <c r="G94" s="702"/>
      <c r="H94" s="702"/>
      <c r="I94" s="702"/>
      <c r="J94" s="702"/>
      <c r="K94" s="703"/>
      <c r="L94" s="704"/>
      <c r="M94" s="705"/>
      <c r="N94" s="2031"/>
      <c r="O94" s="2031"/>
      <c r="P94" s="2032"/>
      <c r="Q94" s="2025"/>
      <c r="R94" s="2013"/>
      <c r="S94" s="2013"/>
      <c r="T94" s="2013"/>
      <c r="U94" s="2013"/>
      <c r="V94" s="2013"/>
      <c r="W94" s="2013"/>
      <c r="X94" s="2013"/>
      <c r="Y94" s="2013"/>
      <c r="Z94" s="2013"/>
      <c r="AA94" s="2013"/>
      <c r="AB94" s="2013"/>
      <c r="AC94" s="2013"/>
    </row>
    <row r="95" spans="1:29" ht="15.75" thickBot="1">
      <c r="A95" s="653"/>
      <c r="B95" s="662"/>
      <c r="C95" s="676"/>
      <c r="D95" s="676"/>
      <c r="E95" s="676"/>
      <c r="F95" s="676"/>
      <c r="G95" s="655"/>
      <c r="H95" s="655"/>
      <c r="I95" s="655"/>
      <c r="J95" s="655"/>
      <c r="K95" s="655"/>
      <c r="L95" s="655"/>
      <c r="M95" s="656"/>
      <c r="N95" s="2033"/>
      <c r="O95" s="2033"/>
      <c r="P95" s="2032"/>
      <c r="Q95" s="2025"/>
      <c r="R95" s="2013"/>
      <c r="S95" s="2013"/>
      <c r="T95" s="2013"/>
      <c r="U95" s="2013"/>
      <c r="V95" s="2013"/>
      <c r="W95" s="2013"/>
      <c r="X95" s="2013"/>
      <c r="Y95" s="2013"/>
      <c r="Z95" s="2013"/>
      <c r="AA95" s="2013"/>
      <c r="AB95" s="2013"/>
      <c r="AC95" s="2013"/>
    </row>
    <row r="96" spans="1:29" ht="15.75" thickTop="1">
      <c r="A96" s="653"/>
      <c r="B96" s="657">
        <f>B30</f>
        <v>0</v>
      </c>
      <c r="C96" s="672"/>
      <c r="D96" s="672"/>
      <c r="E96" s="672"/>
      <c r="F96" s="672"/>
      <c r="G96" s="702"/>
      <c r="H96" s="702"/>
      <c r="I96" s="702"/>
      <c r="J96" s="702"/>
      <c r="K96" s="703"/>
      <c r="L96" s="704"/>
      <c r="M96" s="705"/>
      <c r="N96" s="2031"/>
      <c r="O96" s="2031"/>
      <c r="P96" s="2032"/>
      <c r="Q96" s="2025"/>
      <c r="R96" s="2013"/>
      <c r="S96" s="2013"/>
      <c r="T96" s="2013"/>
      <c r="U96" s="2013"/>
      <c r="V96" s="2013"/>
      <c r="W96" s="2013"/>
      <c r="X96" s="2013"/>
      <c r="Y96" s="2013"/>
      <c r="Z96" s="2013"/>
      <c r="AA96" s="2013"/>
      <c r="AB96" s="2013"/>
      <c r="AC96" s="2013"/>
    </row>
    <row r="97" spans="1:29" ht="15.75" thickBot="1">
      <c r="A97" s="653"/>
      <c r="B97" s="662"/>
      <c r="C97" s="684"/>
      <c r="D97" s="684"/>
      <c r="E97" s="684"/>
      <c r="F97" s="684"/>
      <c r="G97" s="655"/>
      <c r="H97" s="655"/>
      <c r="I97" s="655"/>
      <c r="J97" s="655"/>
      <c r="K97" s="655"/>
      <c r="L97" s="655"/>
      <c r="M97" s="656"/>
      <c r="N97" s="2033"/>
      <c r="O97" s="2033"/>
      <c r="P97" s="2032"/>
      <c r="Q97" s="2025"/>
      <c r="R97" s="2013"/>
      <c r="S97" s="2013"/>
      <c r="T97" s="2013"/>
      <c r="U97" s="2013"/>
      <c r="V97" s="2013"/>
      <c r="W97" s="2013"/>
      <c r="X97" s="2013"/>
      <c r="Y97" s="2013"/>
      <c r="Z97" s="2013"/>
      <c r="AA97" s="2013"/>
      <c r="AB97" s="2013"/>
      <c r="AC97" s="2013"/>
    </row>
    <row r="98" spans="1:29" ht="15.75" thickTop="1">
      <c r="A98" s="653"/>
      <c r="B98" s="665">
        <f>B31</f>
        <v>0</v>
      </c>
      <c r="C98" s="706"/>
      <c r="D98" s="706"/>
      <c r="E98" s="706"/>
      <c r="F98" s="706"/>
      <c r="G98" s="706"/>
      <c r="H98" s="706"/>
      <c r="I98" s="706"/>
      <c r="J98" s="706"/>
      <c r="K98" s="707"/>
      <c r="L98" s="708"/>
      <c r="M98" s="709"/>
      <c r="N98" s="2031"/>
      <c r="O98" s="2031"/>
      <c r="P98" s="2032"/>
      <c r="Q98" s="2025"/>
      <c r="R98" s="2013"/>
      <c r="S98" s="2013"/>
      <c r="T98" s="2013"/>
      <c r="U98" s="2013"/>
      <c r="V98" s="2013"/>
      <c r="W98" s="2013"/>
      <c r="X98" s="2013"/>
      <c r="Y98" s="2013"/>
      <c r="Z98" s="2013"/>
      <c r="AA98" s="2013"/>
      <c r="AB98" s="2013"/>
      <c r="AC98" s="2013"/>
    </row>
    <row r="99" spans="1:29" ht="15.75" thickBot="1">
      <c r="A99" s="874"/>
      <c r="B99" s="683"/>
      <c r="C99" s="710"/>
      <c r="D99" s="710"/>
      <c r="E99" s="710"/>
      <c r="F99" s="710"/>
      <c r="G99" s="710"/>
      <c r="H99" s="710"/>
      <c r="I99" s="710"/>
      <c r="J99" s="710"/>
      <c r="K99" s="710"/>
      <c r="L99" s="710"/>
      <c r="M99" s="711"/>
      <c r="N99" s="2033"/>
      <c r="O99" s="2033"/>
      <c r="P99" s="2032"/>
      <c r="Q99" s="2025"/>
      <c r="R99" s="2013"/>
      <c r="S99" s="2013"/>
      <c r="T99" s="2013"/>
      <c r="U99" s="2013"/>
      <c r="V99" s="2013"/>
      <c r="W99" s="2013"/>
      <c r="X99" s="2013"/>
      <c r="Y99" s="2013"/>
      <c r="Z99" s="2013"/>
      <c r="AA99" s="2013"/>
      <c r="AB99" s="2013"/>
      <c r="AC99" s="2013"/>
    </row>
    <row r="100" spans="1:29">
      <c r="A100" s="648" t="s">
        <v>545</v>
      </c>
      <c r="B100" s="649" t="s">
        <v>741</v>
      </c>
      <c r="C100" s="3306" t="s">
        <v>3801</v>
      </c>
      <c r="D100" s="3306"/>
      <c r="E100" s="3306"/>
      <c r="F100" s="584"/>
      <c r="G100" s="584"/>
      <c r="H100" s="584"/>
      <c r="I100" s="584"/>
      <c r="J100" s="584"/>
      <c r="K100" s="650"/>
      <c r="L100" s="651"/>
      <c r="M100" s="652"/>
      <c r="N100" s="2031"/>
      <c r="O100" s="2031"/>
      <c r="P100" s="2032"/>
      <c r="Q100" s="2025"/>
      <c r="R100" s="2013"/>
      <c r="S100" s="2013"/>
      <c r="T100" s="2013"/>
      <c r="U100" s="2013"/>
      <c r="V100" s="2013"/>
      <c r="W100" s="2013"/>
      <c r="X100" s="2013"/>
      <c r="Y100" s="2013"/>
      <c r="Z100" s="2013"/>
      <c r="AA100" s="2013"/>
      <c r="AB100" s="2013"/>
      <c r="AC100" s="2013"/>
    </row>
    <row r="101" spans="1:29" ht="15.75" thickBot="1">
      <c r="A101" s="653"/>
      <c r="B101" s="662"/>
      <c r="C101" s="663">
        <v>100</v>
      </c>
      <c r="D101" s="663">
        <f t="shared" ref="D101:M101" si="22">C101-$K32</f>
        <v>95</v>
      </c>
      <c r="E101" s="663">
        <f t="shared" si="22"/>
        <v>90</v>
      </c>
      <c r="F101" s="663">
        <f t="shared" si="22"/>
        <v>85</v>
      </c>
      <c r="G101" s="663">
        <f t="shared" si="22"/>
        <v>80</v>
      </c>
      <c r="H101" s="663">
        <f t="shared" si="22"/>
        <v>75</v>
      </c>
      <c r="I101" s="663">
        <f t="shared" si="22"/>
        <v>70</v>
      </c>
      <c r="J101" s="663">
        <f t="shared" si="22"/>
        <v>65</v>
      </c>
      <c r="K101" s="663">
        <f t="shared" si="22"/>
        <v>60</v>
      </c>
      <c r="L101" s="663">
        <f t="shared" si="22"/>
        <v>55</v>
      </c>
      <c r="M101" s="663">
        <f t="shared" si="22"/>
        <v>50</v>
      </c>
      <c r="N101" s="2033"/>
      <c r="O101" s="2033"/>
      <c r="P101" s="2032"/>
      <c r="Q101" s="2025"/>
      <c r="R101" s="2013"/>
      <c r="S101" s="2013"/>
      <c r="T101" s="2013"/>
      <c r="U101" s="2013"/>
      <c r="V101" s="2013"/>
      <c r="W101" s="2013"/>
      <c r="X101" s="2013"/>
      <c r="Y101" s="2013"/>
      <c r="Z101" s="2013"/>
      <c r="AA101" s="2013"/>
      <c r="AB101" s="2013"/>
      <c r="AC101" s="2013"/>
    </row>
    <row r="102" spans="1:29" ht="15.75" thickTop="1">
      <c r="A102" s="653"/>
      <c r="B102" s="657" t="s">
        <v>742</v>
      </c>
      <c r="C102" s="692" t="str">
        <f>C103&amp;"(含)"&amp;"-"&amp;D103</f>
        <v>0(含)-</v>
      </c>
      <c r="D102" s="692" t="str">
        <f t="shared" ref="D102:L102" si="23">D103&amp;"(含)"&amp;"-"&amp;E103</f>
        <v>(含)-</v>
      </c>
      <c r="E102" s="692" t="str">
        <f t="shared" si="23"/>
        <v>(含)-</v>
      </c>
      <c r="F102" s="692" t="str">
        <f t="shared" si="23"/>
        <v>(含)-</v>
      </c>
      <c r="G102" s="692" t="str">
        <f t="shared" si="23"/>
        <v>(含)-</v>
      </c>
      <c r="H102" s="692" t="str">
        <f t="shared" si="23"/>
        <v>(含)-</v>
      </c>
      <c r="I102" s="692" t="str">
        <f t="shared" si="23"/>
        <v>(含)-</v>
      </c>
      <c r="J102" s="692" t="str">
        <f t="shared" si="23"/>
        <v>(含)-</v>
      </c>
      <c r="K102" s="692" t="str">
        <f t="shared" si="23"/>
        <v>(含)-</v>
      </c>
      <c r="L102" s="692" t="str">
        <f t="shared" si="23"/>
        <v>(含)-</v>
      </c>
      <c r="M102" s="692" t="str">
        <f>M103&amp;"(含)"&amp;"-"&amp;P103</f>
        <v>(含)-</v>
      </c>
      <c r="N102" s="2029"/>
      <c r="O102" s="2029"/>
      <c r="P102" s="2032"/>
      <c r="Q102" s="2025"/>
      <c r="R102" s="2013"/>
      <c r="S102" s="2013"/>
      <c r="T102" s="2013"/>
      <c r="U102" s="2013"/>
      <c r="V102" s="2013"/>
      <c r="W102" s="2013"/>
      <c r="X102" s="2013"/>
      <c r="Y102" s="2013"/>
      <c r="Z102" s="2013"/>
      <c r="AA102" s="2013"/>
      <c r="AB102" s="2013"/>
      <c r="AC102" s="2013"/>
    </row>
    <row r="103" spans="1:29" s="1283" customFormat="1">
      <c r="A103" s="712"/>
      <c r="B103" s="713"/>
      <c r="C103" s="714">
        <v>0</v>
      </c>
      <c r="D103" s="714"/>
      <c r="E103" s="714"/>
      <c r="F103" s="714"/>
      <c r="G103" s="714"/>
      <c r="H103" s="714"/>
      <c r="I103" s="714"/>
      <c r="J103" s="715"/>
      <c r="K103" s="715"/>
      <c r="L103" s="716"/>
      <c r="M103" s="717"/>
      <c r="N103" s="2034"/>
      <c r="O103" s="2034"/>
      <c r="P103" s="2035"/>
      <c r="Q103" s="2036"/>
      <c r="R103" s="2037"/>
      <c r="S103" s="2037"/>
      <c r="T103" s="2037"/>
      <c r="U103" s="2037"/>
      <c r="V103" s="2037"/>
      <c r="W103" s="2037"/>
      <c r="X103" s="2037"/>
      <c r="Y103" s="2037"/>
      <c r="Z103" s="2037"/>
      <c r="AA103" s="2037"/>
      <c r="AB103" s="2037"/>
      <c r="AC103" s="2037"/>
    </row>
    <row r="104" spans="1:29" s="1283" customFormat="1" ht="15.75" thickBot="1">
      <c r="A104" s="671"/>
      <c r="B104" s="662"/>
      <c r="C104" s="676"/>
      <c r="D104" s="655"/>
      <c r="E104" s="655"/>
      <c r="F104" s="655"/>
      <c r="G104" s="655"/>
      <c r="H104" s="655"/>
      <c r="I104" s="655"/>
      <c r="J104" s="655"/>
      <c r="K104" s="655"/>
      <c r="L104" s="655"/>
      <c r="M104" s="655"/>
      <c r="N104" s="2033"/>
      <c r="O104" s="2033"/>
      <c r="P104" s="2035"/>
      <c r="Q104" s="2036"/>
      <c r="R104" s="2037"/>
      <c r="S104" s="2037"/>
      <c r="T104" s="2037"/>
      <c r="U104" s="2037"/>
      <c r="V104" s="2037"/>
      <c r="W104" s="2037"/>
      <c r="X104" s="2037"/>
      <c r="Y104" s="2037"/>
      <c r="Z104" s="2037"/>
      <c r="AA104" s="2037"/>
      <c r="AB104" s="2037"/>
      <c r="AC104" s="2037"/>
    </row>
    <row r="105" spans="1:29" ht="15" thickTop="1">
      <c r="A105" s="719"/>
      <c r="B105" s="657" t="s">
        <v>743</v>
      </c>
      <c r="C105" s="3280" t="s">
        <v>3793</v>
      </c>
      <c r="D105" s="672"/>
      <c r="E105" s="702"/>
      <c r="F105" s="702"/>
      <c r="G105" s="702"/>
      <c r="H105" s="702"/>
      <c r="I105" s="702"/>
      <c r="J105" s="702"/>
      <c r="K105" s="703"/>
      <c r="L105" s="704"/>
      <c r="M105" s="705"/>
      <c r="N105" s="2031"/>
      <c r="O105" s="2031"/>
      <c r="P105" s="2032"/>
      <c r="Q105" s="2025"/>
      <c r="R105" s="2013"/>
      <c r="S105" s="2013"/>
      <c r="T105" s="2013"/>
      <c r="U105" s="2013"/>
      <c r="V105" s="2013"/>
      <c r="W105" s="2013"/>
      <c r="X105" s="2013"/>
      <c r="Y105" s="2013"/>
      <c r="Z105" s="2013"/>
      <c r="AA105" s="2013"/>
      <c r="AB105" s="2013"/>
      <c r="AC105" s="2013"/>
    </row>
    <row r="106" spans="1:29" ht="15.75" thickBot="1">
      <c r="A106" s="653"/>
      <c r="B106" s="662"/>
      <c r="C106" s="663">
        <v>100</v>
      </c>
      <c r="D106" s="663">
        <f t="shared" ref="D106:M106" si="24">C106-$K34</f>
        <v>100</v>
      </c>
      <c r="E106" s="663">
        <f t="shared" si="24"/>
        <v>100</v>
      </c>
      <c r="F106" s="663">
        <f t="shared" si="24"/>
        <v>100</v>
      </c>
      <c r="G106" s="663">
        <f t="shared" si="24"/>
        <v>100</v>
      </c>
      <c r="H106" s="663">
        <f t="shared" si="24"/>
        <v>100</v>
      </c>
      <c r="I106" s="663">
        <f t="shared" si="24"/>
        <v>100</v>
      </c>
      <c r="J106" s="663">
        <f t="shared" si="24"/>
        <v>100</v>
      </c>
      <c r="K106" s="663">
        <f t="shared" si="24"/>
        <v>100</v>
      </c>
      <c r="L106" s="663">
        <f t="shared" si="24"/>
        <v>100</v>
      </c>
      <c r="M106" s="663">
        <f t="shared" si="24"/>
        <v>100</v>
      </c>
      <c r="N106" s="2033"/>
      <c r="O106" s="2033"/>
      <c r="P106" s="2032"/>
      <c r="Q106" s="2025"/>
      <c r="R106" s="2013"/>
      <c r="S106" s="2013"/>
      <c r="T106" s="2013"/>
      <c r="U106" s="2013"/>
      <c r="V106" s="2013"/>
      <c r="W106" s="2013"/>
      <c r="X106" s="2013"/>
      <c r="Y106" s="2013"/>
      <c r="Z106" s="2013"/>
      <c r="AA106" s="2013"/>
      <c r="AB106" s="2013"/>
      <c r="AC106" s="2013"/>
    </row>
    <row r="107" spans="1:29" ht="15" thickTop="1">
      <c r="A107" s="719"/>
      <c r="B107" s="657" t="s">
        <v>744</v>
      </c>
      <c r="C107" s="3279" t="s">
        <v>3792</v>
      </c>
      <c r="D107" s="702"/>
      <c r="E107" s="702"/>
      <c r="F107" s="702"/>
      <c r="G107" s="702"/>
      <c r="H107" s="702"/>
      <c r="I107" s="702"/>
      <c r="J107" s="702"/>
      <c r="K107" s="703"/>
      <c r="L107" s="704"/>
      <c r="M107" s="705"/>
      <c r="N107" s="2031"/>
      <c r="O107" s="2031"/>
      <c r="P107" s="2032"/>
      <c r="Q107" s="2025"/>
      <c r="R107" s="2013"/>
      <c r="S107" s="2013"/>
      <c r="T107" s="2013"/>
      <c r="U107" s="2013"/>
      <c r="V107" s="2013"/>
      <c r="W107" s="2013"/>
      <c r="X107" s="2013"/>
      <c r="Y107" s="2013"/>
      <c r="Z107" s="2013"/>
      <c r="AA107" s="2013"/>
      <c r="AB107" s="2013"/>
      <c r="AC107" s="2013"/>
    </row>
    <row r="108" spans="1:29" ht="15.75" thickBot="1">
      <c r="A108" s="653"/>
      <c r="B108" s="662"/>
      <c r="C108" s="663">
        <v>100</v>
      </c>
      <c r="D108" s="663">
        <f t="shared" ref="D108:M108" si="25">C108-$K35</f>
        <v>100</v>
      </c>
      <c r="E108" s="663">
        <f t="shared" si="25"/>
        <v>100</v>
      </c>
      <c r="F108" s="663">
        <f t="shared" si="25"/>
        <v>100</v>
      </c>
      <c r="G108" s="663">
        <f t="shared" si="25"/>
        <v>100</v>
      </c>
      <c r="H108" s="663">
        <f t="shared" si="25"/>
        <v>100</v>
      </c>
      <c r="I108" s="663">
        <f t="shared" si="25"/>
        <v>100</v>
      </c>
      <c r="J108" s="663">
        <f t="shared" si="25"/>
        <v>100</v>
      </c>
      <c r="K108" s="663">
        <f t="shared" si="25"/>
        <v>100</v>
      </c>
      <c r="L108" s="663">
        <f t="shared" si="25"/>
        <v>100</v>
      </c>
      <c r="M108" s="663">
        <f t="shared" si="25"/>
        <v>100</v>
      </c>
      <c r="N108" s="2033"/>
      <c r="O108" s="2033"/>
      <c r="P108" s="2032"/>
      <c r="Q108" s="2025"/>
      <c r="R108" s="2013"/>
      <c r="S108" s="2013"/>
      <c r="T108" s="2013"/>
      <c r="U108" s="2013"/>
      <c r="V108" s="2013"/>
      <c r="W108" s="2013"/>
      <c r="X108" s="2013"/>
      <c r="Y108" s="2013"/>
      <c r="Z108" s="2013"/>
      <c r="AA108" s="2013"/>
      <c r="AB108" s="2013"/>
      <c r="AC108" s="2013"/>
    </row>
    <row r="109" spans="1:29" ht="15" thickTop="1">
      <c r="A109" s="719"/>
      <c r="B109" s="657" t="s">
        <v>745</v>
      </c>
      <c r="C109" s="3280" t="s">
        <v>3790</v>
      </c>
      <c r="D109" s="672"/>
      <c r="E109" s="672"/>
      <c r="F109" s="702"/>
      <c r="G109" s="702"/>
      <c r="H109" s="702"/>
      <c r="I109" s="702"/>
      <c r="J109" s="702"/>
      <c r="K109" s="703"/>
      <c r="L109" s="704"/>
      <c r="M109" s="705"/>
      <c r="N109" s="2031"/>
      <c r="O109" s="2031"/>
      <c r="P109" s="2032"/>
      <c r="Q109" s="2025"/>
      <c r="R109" s="2013"/>
      <c r="S109" s="2013"/>
      <c r="T109" s="2013"/>
      <c r="U109" s="2013"/>
      <c r="V109" s="2013"/>
      <c r="W109" s="2013"/>
      <c r="X109" s="2013"/>
      <c r="Y109" s="2013"/>
      <c r="Z109" s="2013"/>
      <c r="AA109" s="2013"/>
      <c r="AB109" s="2013"/>
      <c r="AC109" s="2013"/>
    </row>
    <row r="110" spans="1:29" ht="15.75" thickBot="1">
      <c r="A110" s="653"/>
      <c r="B110" s="662"/>
      <c r="C110" s="663">
        <v>100</v>
      </c>
      <c r="D110" s="663">
        <f t="shared" ref="D110:M110" si="26">C110-$K36</f>
        <v>100</v>
      </c>
      <c r="E110" s="663">
        <f t="shared" si="26"/>
        <v>100</v>
      </c>
      <c r="F110" s="663">
        <f t="shared" si="26"/>
        <v>100</v>
      </c>
      <c r="G110" s="663">
        <f t="shared" si="26"/>
        <v>100</v>
      </c>
      <c r="H110" s="663">
        <f t="shared" si="26"/>
        <v>100</v>
      </c>
      <c r="I110" s="663">
        <f t="shared" si="26"/>
        <v>100</v>
      </c>
      <c r="J110" s="663">
        <f t="shared" si="26"/>
        <v>100</v>
      </c>
      <c r="K110" s="663">
        <f t="shared" si="26"/>
        <v>100</v>
      </c>
      <c r="L110" s="663">
        <f t="shared" si="26"/>
        <v>100</v>
      </c>
      <c r="M110" s="663">
        <f t="shared" si="26"/>
        <v>100</v>
      </c>
      <c r="N110" s="2033"/>
      <c r="O110" s="2033"/>
      <c r="P110" s="2032"/>
      <c r="Q110" s="2025"/>
      <c r="R110" s="2013"/>
      <c r="S110" s="2013"/>
      <c r="T110" s="2013"/>
      <c r="U110" s="2013"/>
      <c r="V110" s="2013"/>
      <c r="W110" s="2013"/>
      <c r="X110" s="2013"/>
      <c r="Y110" s="2013"/>
      <c r="Z110" s="2013"/>
      <c r="AA110" s="2013"/>
      <c r="AB110" s="2013"/>
      <c r="AC110" s="2013"/>
    </row>
    <row r="111" spans="1:29" s="1283" customFormat="1" ht="15" thickTop="1">
      <c r="A111" s="712"/>
      <c r="B111" s="657" t="s">
        <v>746</v>
      </c>
      <c r="C111" s="692" t="str">
        <f>C112&amp;"(含)"&amp;"-"&amp;D112</f>
        <v>0.5(含)-0.6</v>
      </c>
      <c r="D111" s="692" t="str">
        <f>D112&amp;"(含)"&amp;"-"&amp;E112</f>
        <v>0.6(含)-0.7</v>
      </c>
      <c r="E111" s="692" t="str">
        <f>E112&amp;"(含)"&amp;"-"&amp;F112</f>
        <v>0.7(含)-0.8</v>
      </c>
      <c r="F111" s="692" t="str">
        <f>F112&amp;"(含)"&amp;"-"&amp;G112</f>
        <v>0.8(含)-0.9</v>
      </c>
      <c r="G111" s="692" t="str">
        <f>G112&amp;"(含)"&amp;"-"&amp;ROUND(H112,0)</f>
        <v>0.9(含)-1</v>
      </c>
      <c r="H111" s="692" t="str">
        <f>ROUND(H112,0)&amp;"(含)"&amp;"-"&amp;I112</f>
        <v>1(含)-</v>
      </c>
      <c r="I111" s="692"/>
      <c r="J111" s="697"/>
      <c r="K111" s="697"/>
      <c r="L111" s="698"/>
      <c r="M111" s="699"/>
      <c r="N111" s="2034"/>
      <c r="O111" s="2034"/>
      <c r="P111" s="2035"/>
      <c r="Q111" s="2036"/>
      <c r="R111" s="2037"/>
      <c r="S111" s="2037"/>
      <c r="T111" s="2037"/>
      <c r="U111" s="2037"/>
      <c r="V111" s="2037"/>
      <c r="W111" s="2037"/>
      <c r="X111" s="2037"/>
      <c r="Y111" s="2037"/>
      <c r="Z111" s="2037"/>
      <c r="AA111" s="2037"/>
      <c r="AB111" s="2037"/>
      <c r="AC111" s="2037"/>
    </row>
    <row r="112" spans="1:29" s="1283" customFormat="1">
      <c r="A112" s="712"/>
      <c r="B112" s="665"/>
      <c r="C112" s="875">
        <v>0.5</v>
      </c>
      <c r="D112" s="875">
        <v>0.6</v>
      </c>
      <c r="E112" s="875">
        <v>0.7</v>
      </c>
      <c r="F112" s="875">
        <v>0.8</v>
      </c>
      <c r="G112" s="875">
        <v>0.9</v>
      </c>
      <c r="H112" s="875">
        <v>1.0001</v>
      </c>
      <c r="I112" s="875"/>
      <c r="J112" s="876"/>
      <c r="K112" s="876"/>
      <c r="L112" s="877"/>
      <c r="M112" s="878"/>
      <c r="N112" s="2034"/>
      <c r="O112" s="2034"/>
      <c r="P112" s="2035"/>
      <c r="Q112" s="2036"/>
      <c r="R112" s="2037"/>
      <c r="S112" s="2037"/>
      <c r="T112" s="2037"/>
      <c r="U112" s="2037"/>
      <c r="V112" s="2037"/>
      <c r="W112" s="2037"/>
      <c r="X112" s="2037"/>
      <c r="Y112" s="2037"/>
      <c r="Z112" s="2037"/>
      <c r="AA112" s="2037"/>
      <c r="AB112" s="2037"/>
      <c r="AC112" s="2037"/>
    </row>
    <row r="113" spans="1:29" s="1283" customFormat="1" ht="15.75" thickBot="1">
      <c r="A113" s="671"/>
      <c r="B113" s="662"/>
      <c r="C113" s="696">
        <v>100</v>
      </c>
      <c r="D113" s="663">
        <f>C113+$K37</f>
        <v>100</v>
      </c>
      <c r="E113" s="663">
        <f>D113+$K37</f>
        <v>100</v>
      </c>
      <c r="F113" s="663">
        <f>E113+$K37</f>
        <v>100</v>
      </c>
      <c r="G113" s="663">
        <f>F113+$K37</f>
        <v>100</v>
      </c>
      <c r="H113" s="663">
        <f>G113+$K37</f>
        <v>100</v>
      </c>
      <c r="I113" s="696"/>
      <c r="J113" s="700"/>
      <c r="K113" s="700"/>
      <c r="L113" s="700"/>
      <c r="M113" s="701"/>
      <c r="N113" s="2034"/>
      <c r="O113" s="2034"/>
      <c r="P113" s="2035"/>
      <c r="Q113" s="2036"/>
      <c r="R113" s="2037"/>
      <c r="S113" s="2037"/>
      <c r="T113" s="2037"/>
      <c r="U113" s="2037"/>
      <c r="V113" s="2037"/>
      <c r="W113" s="2037"/>
      <c r="X113" s="2037"/>
      <c r="Y113" s="2037"/>
      <c r="Z113" s="2037"/>
      <c r="AA113" s="2037"/>
      <c r="AB113" s="2037"/>
      <c r="AC113" s="2037"/>
    </row>
    <row r="114" spans="1:29" ht="15" thickTop="1">
      <c r="A114" s="719"/>
      <c r="B114" s="657" t="s">
        <v>747</v>
      </c>
      <c r="C114" s="3280" t="s">
        <v>3795</v>
      </c>
      <c r="D114" s="672"/>
      <c r="E114" s="702"/>
      <c r="F114" s="702"/>
      <c r="G114" s="702"/>
      <c r="H114" s="702"/>
      <c r="I114" s="702"/>
      <c r="J114" s="702"/>
      <c r="K114" s="703"/>
      <c r="L114" s="704"/>
      <c r="M114" s="705"/>
      <c r="N114" s="2031"/>
      <c r="O114" s="2031"/>
      <c r="P114" s="2032"/>
      <c r="Q114" s="2025"/>
      <c r="R114" s="2013"/>
      <c r="S114" s="2013"/>
      <c r="T114" s="2013"/>
      <c r="U114" s="2013"/>
      <c r="V114" s="2013"/>
      <c r="W114" s="2013"/>
      <c r="X114" s="2013"/>
      <c r="Y114" s="2013"/>
      <c r="Z114" s="2013"/>
      <c r="AA114" s="2013"/>
      <c r="AB114" s="2013"/>
      <c r="AC114" s="2013"/>
    </row>
    <row r="115" spans="1:29" ht="15.75" thickBot="1">
      <c r="A115" s="653"/>
      <c r="B115" s="662"/>
      <c r="C115" s="663">
        <v>100</v>
      </c>
      <c r="D115" s="663">
        <f t="shared" ref="D115:M115" si="27">C115-$K38</f>
        <v>100</v>
      </c>
      <c r="E115" s="663">
        <f t="shared" si="27"/>
        <v>100</v>
      </c>
      <c r="F115" s="663">
        <f t="shared" si="27"/>
        <v>100</v>
      </c>
      <c r="G115" s="663">
        <f t="shared" si="27"/>
        <v>100</v>
      </c>
      <c r="H115" s="663">
        <f t="shared" si="27"/>
        <v>100</v>
      </c>
      <c r="I115" s="663">
        <f t="shared" si="27"/>
        <v>100</v>
      </c>
      <c r="J115" s="663">
        <f t="shared" si="27"/>
        <v>100</v>
      </c>
      <c r="K115" s="663">
        <f t="shared" si="27"/>
        <v>100</v>
      </c>
      <c r="L115" s="663">
        <f t="shared" si="27"/>
        <v>100</v>
      </c>
      <c r="M115" s="663">
        <f t="shared" si="27"/>
        <v>100</v>
      </c>
      <c r="N115" s="2033"/>
      <c r="O115" s="2033"/>
      <c r="P115" s="2032"/>
      <c r="Q115" s="2025"/>
      <c r="R115" s="2013"/>
      <c r="S115" s="2013"/>
      <c r="T115" s="2013"/>
      <c r="U115" s="2013"/>
      <c r="V115" s="2013"/>
      <c r="W115" s="2013"/>
      <c r="X115" s="2013"/>
      <c r="Y115" s="2013"/>
      <c r="Z115" s="2013"/>
      <c r="AA115" s="2013"/>
      <c r="AB115" s="2013"/>
      <c r="AC115" s="2013"/>
    </row>
    <row r="116" spans="1:29" ht="15" thickTop="1">
      <c r="A116" s="719"/>
      <c r="B116" s="1796" t="s">
        <v>2532</v>
      </c>
      <c r="C116" s="3280" t="s">
        <v>3796</v>
      </c>
      <c r="D116" s="672"/>
      <c r="E116" s="672"/>
      <c r="F116" s="672"/>
      <c r="G116" s="672"/>
      <c r="H116" s="702"/>
      <c r="I116" s="702"/>
      <c r="J116" s="702"/>
      <c r="K116" s="703"/>
      <c r="L116" s="704"/>
      <c r="M116" s="705"/>
      <c r="N116" s="2031"/>
      <c r="O116" s="2031"/>
      <c r="P116" s="2032"/>
      <c r="Q116" s="2025"/>
      <c r="R116" s="2013"/>
      <c r="S116" s="2013"/>
      <c r="T116" s="2013"/>
      <c r="U116" s="2013"/>
      <c r="V116" s="2013"/>
      <c r="W116" s="2013"/>
      <c r="X116" s="2013"/>
      <c r="Y116" s="2013"/>
      <c r="Z116" s="2013"/>
      <c r="AA116" s="2013"/>
      <c r="AB116" s="2013"/>
      <c r="AC116" s="2013"/>
    </row>
    <row r="117" spans="1:29" ht="15.75" thickBot="1">
      <c r="A117" s="653"/>
      <c r="B117" s="662"/>
      <c r="C117" s="663">
        <v>100</v>
      </c>
      <c r="D117" s="663">
        <f>C117-$K39</f>
        <v>100</v>
      </c>
      <c r="E117" s="663">
        <f>D117-$K39</f>
        <v>100</v>
      </c>
      <c r="F117" s="663">
        <f>E117-$K39</f>
        <v>100</v>
      </c>
      <c r="G117" s="663">
        <f>F117-$K39</f>
        <v>100</v>
      </c>
      <c r="H117" s="663"/>
      <c r="I117" s="663"/>
      <c r="J117" s="663"/>
      <c r="K117" s="663"/>
      <c r="L117" s="663"/>
      <c r="M117" s="664"/>
      <c r="N117" s="2033"/>
      <c r="O117" s="2033"/>
      <c r="P117" s="2032"/>
      <c r="Q117" s="2025"/>
      <c r="R117" s="2013"/>
      <c r="S117" s="2013"/>
      <c r="T117" s="2013"/>
      <c r="U117" s="2013"/>
      <c r="V117" s="2013"/>
      <c r="W117" s="2013"/>
      <c r="X117" s="2013"/>
      <c r="Y117" s="2013"/>
      <c r="Z117" s="2013"/>
      <c r="AA117" s="2013"/>
      <c r="AB117" s="2013"/>
      <c r="AC117" s="2013"/>
    </row>
    <row r="118" spans="1:29" ht="15" thickTop="1">
      <c r="A118" s="719"/>
      <c r="B118" s="657" t="s">
        <v>748</v>
      </c>
      <c r="C118" s="3279" t="s">
        <v>3798</v>
      </c>
      <c r="D118" s="702"/>
      <c r="E118" s="702"/>
      <c r="F118" s="702"/>
      <c r="G118" s="702"/>
      <c r="H118" s="702"/>
      <c r="I118" s="702"/>
      <c r="J118" s="702"/>
      <c r="K118" s="703"/>
      <c r="L118" s="704"/>
      <c r="M118" s="705"/>
      <c r="N118" s="2031"/>
      <c r="O118" s="2031"/>
      <c r="P118" s="2032"/>
      <c r="Q118" s="2025"/>
      <c r="R118" s="2013"/>
      <c r="S118" s="2013"/>
      <c r="T118" s="2013"/>
      <c r="U118" s="2013"/>
      <c r="V118" s="2013"/>
      <c r="W118" s="2013"/>
      <c r="X118" s="2013"/>
      <c r="Y118" s="2013"/>
      <c r="Z118" s="2013"/>
      <c r="AA118" s="2013"/>
      <c r="AB118" s="2013"/>
      <c r="AC118" s="2013"/>
    </row>
    <row r="119" spans="1:29" ht="15.75" thickBot="1">
      <c r="A119" s="653"/>
      <c r="B119" s="662"/>
      <c r="C119" s="663">
        <v>100</v>
      </c>
      <c r="D119" s="663">
        <f t="shared" ref="D119:M119" si="28">C119-$K40</f>
        <v>100</v>
      </c>
      <c r="E119" s="663">
        <f t="shared" si="28"/>
        <v>100</v>
      </c>
      <c r="F119" s="663">
        <f t="shared" si="28"/>
        <v>100</v>
      </c>
      <c r="G119" s="663">
        <f t="shared" si="28"/>
        <v>100</v>
      </c>
      <c r="H119" s="663">
        <f t="shared" si="28"/>
        <v>100</v>
      </c>
      <c r="I119" s="663">
        <f t="shared" si="28"/>
        <v>100</v>
      </c>
      <c r="J119" s="663">
        <f t="shared" si="28"/>
        <v>100</v>
      </c>
      <c r="K119" s="663">
        <f t="shared" si="28"/>
        <v>100</v>
      </c>
      <c r="L119" s="663">
        <f t="shared" si="28"/>
        <v>100</v>
      </c>
      <c r="M119" s="663">
        <f t="shared" si="28"/>
        <v>100</v>
      </c>
      <c r="N119" s="2033"/>
      <c r="O119" s="2033"/>
      <c r="P119" s="2032"/>
      <c r="Q119" s="2025"/>
      <c r="R119" s="2013"/>
      <c r="S119" s="2013"/>
      <c r="T119" s="2013"/>
      <c r="U119" s="2013"/>
      <c r="V119" s="2013"/>
      <c r="W119" s="2013"/>
      <c r="X119" s="2013"/>
      <c r="Y119" s="2013"/>
      <c r="Z119" s="2013"/>
      <c r="AA119" s="2013"/>
      <c r="AB119" s="2013"/>
      <c r="AC119" s="2013"/>
    </row>
    <row r="120" spans="1:29" s="1283" customFormat="1" ht="28.5" thickTop="1">
      <c r="A120" s="712"/>
      <c r="B120" s="657" t="s">
        <v>727</v>
      </c>
      <c r="C120" s="672"/>
      <c r="D120" s="672"/>
      <c r="E120" s="672"/>
      <c r="F120" s="672"/>
      <c r="G120" s="672"/>
      <c r="H120" s="672"/>
      <c r="I120" s="672"/>
      <c r="J120" s="672"/>
      <c r="K120" s="672"/>
      <c r="L120" s="871"/>
      <c r="M120" s="872"/>
      <c r="N120" s="2034"/>
      <c r="O120" s="2034"/>
      <c r="P120" s="2035"/>
      <c r="Q120" s="2036"/>
      <c r="R120" s="2037"/>
      <c r="S120" s="2037"/>
      <c r="T120" s="2037"/>
      <c r="U120" s="2037"/>
      <c r="V120" s="2037"/>
      <c r="W120" s="2037"/>
      <c r="X120" s="2037"/>
      <c r="Y120" s="2037"/>
      <c r="Z120" s="2037"/>
      <c r="AA120" s="2037"/>
      <c r="AB120" s="2037"/>
      <c r="AC120" s="2037"/>
    </row>
    <row r="121" spans="1:29" s="1283" customFormat="1" ht="15.75" thickBot="1">
      <c r="A121" s="671"/>
      <c r="B121" s="654"/>
      <c r="C121" s="676"/>
      <c r="D121" s="655"/>
      <c r="E121" s="655"/>
      <c r="F121" s="655"/>
      <c r="G121" s="655"/>
      <c r="H121" s="655"/>
      <c r="I121" s="655"/>
      <c r="J121" s="655"/>
      <c r="K121" s="655"/>
      <c r="L121" s="655"/>
      <c r="M121" s="655"/>
      <c r="N121" s="2034"/>
      <c r="O121" s="2034"/>
      <c r="P121" s="2035"/>
      <c r="Q121" s="2036"/>
      <c r="R121" s="2037"/>
      <c r="S121" s="2037"/>
      <c r="T121" s="2037"/>
      <c r="U121" s="2037"/>
      <c r="V121" s="2037"/>
      <c r="W121" s="2037"/>
      <c r="X121" s="2037"/>
      <c r="Y121" s="2037"/>
      <c r="Z121" s="2037"/>
      <c r="AA121" s="2037"/>
      <c r="AB121" s="2037"/>
      <c r="AC121" s="2037"/>
    </row>
    <row r="122" spans="1:29" ht="15" thickTop="1">
      <c r="A122" s="719"/>
      <c r="B122" s="657" t="s">
        <v>749</v>
      </c>
      <c r="C122" s="3280" t="s">
        <v>3785</v>
      </c>
      <c r="D122" s="3280" t="s">
        <v>3786</v>
      </c>
      <c r="E122" s="3280" t="s">
        <v>3788</v>
      </c>
      <c r="F122" s="702"/>
      <c r="G122" s="702"/>
      <c r="H122" s="702"/>
      <c r="I122" s="702"/>
      <c r="J122" s="702"/>
      <c r="K122" s="703"/>
      <c r="L122" s="704"/>
      <c r="M122" s="705"/>
      <c r="N122" s="2031"/>
      <c r="O122" s="2031"/>
      <c r="P122" s="2032"/>
      <c r="Q122" s="2025"/>
      <c r="R122" s="2013"/>
      <c r="S122" s="2013"/>
      <c r="T122" s="2013"/>
      <c r="U122" s="2013"/>
      <c r="V122" s="2013"/>
      <c r="W122" s="2013"/>
      <c r="X122" s="2013"/>
      <c r="Y122" s="2013"/>
      <c r="Z122" s="2013"/>
      <c r="AA122" s="2013"/>
      <c r="AB122" s="2013"/>
      <c r="AC122" s="2013"/>
    </row>
    <row r="123" spans="1:29" ht="15.75" thickBot="1">
      <c r="A123" s="653"/>
      <c r="B123" s="662"/>
      <c r="C123" s="663">
        <v>100</v>
      </c>
      <c r="D123" s="663">
        <f t="shared" ref="D123:M123" si="29">C123-$K42</f>
        <v>95</v>
      </c>
      <c r="E123" s="663">
        <f t="shared" si="29"/>
        <v>90</v>
      </c>
      <c r="F123" s="663">
        <f t="shared" si="29"/>
        <v>85</v>
      </c>
      <c r="G123" s="663">
        <f t="shared" si="29"/>
        <v>80</v>
      </c>
      <c r="H123" s="663">
        <f t="shared" si="29"/>
        <v>75</v>
      </c>
      <c r="I123" s="663">
        <f t="shared" si="29"/>
        <v>70</v>
      </c>
      <c r="J123" s="663">
        <f t="shared" si="29"/>
        <v>65</v>
      </c>
      <c r="K123" s="663">
        <f t="shared" si="29"/>
        <v>60</v>
      </c>
      <c r="L123" s="663">
        <f t="shared" si="29"/>
        <v>55</v>
      </c>
      <c r="M123" s="663">
        <f t="shared" si="29"/>
        <v>50</v>
      </c>
      <c r="N123" s="2033"/>
      <c r="O123" s="2033"/>
      <c r="P123" s="2032"/>
      <c r="Q123" s="2025"/>
      <c r="R123" s="2013"/>
      <c r="S123" s="2013"/>
      <c r="T123" s="2013"/>
      <c r="U123" s="2013"/>
      <c r="V123" s="2013"/>
      <c r="W123" s="2013"/>
      <c r="X123" s="2013"/>
      <c r="Y123" s="2013"/>
      <c r="Z123" s="2013"/>
      <c r="AA123" s="2013"/>
      <c r="AB123" s="2013"/>
      <c r="AC123" s="2013"/>
    </row>
    <row r="124" spans="1:29" ht="27.75" thickTop="1">
      <c r="A124" s="719"/>
      <c r="B124" s="657" t="s">
        <v>750</v>
      </c>
      <c r="C124" s="692" t="s">
        <v>573</v>
      </c>
      <c r="D124" s="692" t="s">
        <v>574</v>
      </c>
      <c r="E124" s="692" t="s">
        <v>575</v>
      </c>
      <c r="F124" s="692" t="s">
        <v>576</v>
      </c>
      <c r="G124" s="692" t="s">
        <v>577</v>
      </c>
      <c r="H124" s="658"/>
      <c r="I124" s="658"/>
      <c r="J124" s="658"/>
      <c r="K124" s="659"/>
      <c r="L124" s="660"/>
      <c r="M124" s="661"/>
      <c r="N124" s="2031"/>
      <c r="O124" s="2031"/>
      <c r="P124" s="2035"/>
      <c r="Q124" s="2025"/>
      <c r="R124" s="2013"/>
      <c r="S124" s="2013"/>
      <c r="T124" s="2013"/>
      <c r="U124" s="2013"/>
      <c r="V124" s="2013"/>
      <c r="W124" s="2013"/>
      <c r="X124" s="2013"/>
      <c r="Y124" s="2013"/>
      <c r="Z124" s="2013"/>
      <c r="AA124" s="2013"/>
      <c r="AB124" s="2013"/>
      <c r="AC124" s="2013"/>
    </row>
    <row r="125" spans="1:29" ht="15.75" thickBot="1">
      <c r="A125" s="653"/>
      <c r="B125" s="662"/>
      <c r="C125" s="663">
        <v>100</v>
      </c>
      <c r="D125" s="663">
        <f>C125-$K43</f>
        <v>100</v>
      </c>
      <c r="E125" s="663">
        <f>D125-$K43</f>
        <v>100</v>
      </c>
      <c r="F125" s="663">
        <f>E125-$K43</f>
        <v>100</v>
      </c>
      <c r="G125" s="663">
        <f>F125-$K43</f>
        <v>100</v>
      </c>
      <c r="H125" s="663"/>
      <c r="I125" s="663"/>
      <c r="J125" s="663"/>
      <c r="K125" s="663"/>
      <c r="L125" s="663"/>
      <c r="M125" s="664"/>
      <c r="N125" s="2033"/>
      <c r="O125" s="2033"/>
      <c r="P125" s="2032"/>
      <c r="Q125" s="2025"/>
      <c r="R125" s="2013"/>
      <c r="S125" s="2013"/>
      <c r="T125" s="2013"/>
      <c r="U125" s="2013"/>
      <c r="V125" s="2013"/>
      <c r="W125" s="2013"/>
      <c r="X125" s="2013"/>
      <c r="Y125" s="2013"/>
      <c r="Z125" s="2013"/>
      <c r="AA125" s="2013"/>
      <c r="AB125" s="2013"/>
      <c r="AC125" s="2013"/>
    </row>
    <row r="126" spans="1:29" s="1283" customFormat="1" ht="15" thickTop="1">
      <c r="A126" s="712"/>
      <c r="B126" s="657">
        <f>B44</f>
        <v>0</v>
      </c>
      <c r="C126" s="672"/>
      <c r="D126" s="672"/>
      <c r="E126" s="672"/>
      <c r="F126" s="672"/>
      <c r="G126" s="672"/>
      <c r="H126" s="673"/>
      <c r="I126" s="673"/>
      <c r="J126" s="673"/>
      <c r="K126" s="673"/>
      <c r="L126" s="674"/>
      <c r="M126" s="675"/>
      <c r="N126" s="2034"/>
      <c r="O126" s="2034"/>
      <c r="P126" s="2035"/>
      <c r="Q126" s="2036"/>
      <c r="R126" s="2037"/>
      <c r="S126" s="2037"/>
      <c r="T126" s="2037"/>
      <c r="U126" s="2037"/>
      <c r="V126" s="2037"/>
      <c r="W126" s="2037"/>
      <c r="X126" s="2037"/>
      <c r="Y126" s="2037"/>
      <c r="Z126" s="2037"/>
      <c r="AA126" s="2037"/>
      <c r="AB126" s="2037"/>
      <c r="AC126" s="2037"/>
    </row>
    <row r="127" spans="1:29" s="1283" customFormat="1" ht="15.75" thickBot="1">
      <c r="A127" s="671"/>
      <c r="B127" s="662"/>
      <c r="C127" s="676"/>
      <c r="D127" s="655"/>
      <c r="E127" s="655"/>
      <c r="F127" s="655"/>
      <c r="G127" s="676"/>
      <c r="H127" s="677"/>
      <c r="I127" s="677"/>
      <c r="J127" s="677"/>
      <c r="K127" s="677"/>
      <c r="L127" s="677"/>
      <c r="M127" s="678"/>
      <c r="N127" s="2034"/>
      <c r="O127" s="2034"/>
      <c r="P127" s="2035"/>
      <c r="Q127" s="2036"/>
      <c r="R127" s="2037"/>
      <c r="S127" s="2037"/>
      <c r="T127" s="2037"/>
      <c r="U127" s="2037"/>
      <c r="V127" s="2037"/>
      <c r="W127" s="2037"/>
      <c r="X127" s="2037"/>
      <c r="Y127" s="2037"/>
      <c r="Z127" s="2037"/>
      <c r="AA127" s="2037"/>
      <c r="AB127" s="2037"/>
      <c r="AC127" s="2037"/>
    </row>
    <row r="128" spans="1:29" ht="15" thickTop="1">
      <c r="A128" s="719"/>
      <c r="B128" s="657">
        <f>B45</f>
        <v>0</v>
      </c>
      <c r="C128" s="672"/>
      <c r="D128" s="672"/>
      <c r="E128" s="672"/>
      <c r="F128" s="672"/>
      <c r="G128" s="702"/>
      <c r="H128" s="702"/>
      <c r="I128" s="702"/>
      <c r="J128" s="702"/>
      <c r="K128" s="703"/>
      <c r="L128" s="704"/>
      <c r="M128" s="705"/>
      <c r="N128" s="2031"/>
      <c r="O128" s="2031"/>
      <c r="P128" s="2032"/>
      <c r="Q128" s="2025"/>
      <c r="R128" s="2013"/>
      <c r="S128" s="2013"/>
      <c r="T128" s="2013"/>
      <c r="U128" s="2013"/>
      <c r="V128" s="2013"/>
      <c r="W128" s="2013"/>
      <c r="X128" s="2013"/>
      <c r="Y128" s="2013"/>
      <c r="Z128" s="2013"/>
      <c r="AA128" s="2013"/>
      <c r="AB128" s="2013"/>
      <c r="AC128" s="2013"/>
    </row>
    <row r="129" spans="1:29" ht="15.75" thickBot="1">
      <c r="A129" s="653"/>
      <c r="B129" s="662"/>
      <c r="C129" s="676"/>
      <c r="D129" s="676"/>
      <c r="E129" s="676"/>
      <c r="F129" s="676"/>
      <c r="G129" s="655"/>
      <c r="H129" s="655"/>
      <c r="I129" s="655"/>
      <c r="J129" s="655"/>
      <c r="K129" s="655"/>
      <c r="L129" s="655"/>
      <c r="M129" s="656"/>
      <c r="N129" s="2033"/>
      <c r="O129" s="2033"/>
      <c r="P129" s="2032"/>
      <c r="Q129" s="2025"/>
      <c r="R129" s="2013"/>
      <c r="S129" s="2013"/>
      <c r="T129" s="2013"/>
      <c r="U129" s="2013"/>
      <c r="V129" s="2013"/>
      <c r="W129" s="2013"/>
      <c r="X129" s="2013"/>
      <c r="Y129" s="2013"/>
      <c r="Z129" s="2013"/>
      <c r="AA129" s="2013"/>
      <c r="AB129" s="2013"/>
      <c r="AC129" s="2013"/>
    </row>
    <row r="130" spans="1:29" ht="15" thickTop="1">
      <c r="A130" s="719"/>
      <c r="B130" s="665">
        <f>B46</f>
        <v>0</v>
      </c>
      <c r="C130" s="672"/>
      <c r="D130" s="672"/>
      <c r="E130" s="672"/>
      <c r="F130" s="672"/>
      <c r="G130" s="706"/>
      <c r="H130" s="706"/>
      <c r="I130" s="706"/>
      <c r="J130" s="706"/>
      <c r="K130" s="645"/>
      <c r="L130" s="646"/>
      <c r="M130" s="709"/>
      <c r="N130" s="2031"/>
      <c r="O130" s="2031"/>
      <c r="P130" s="2032"/>
      <c r="Q130" s="2025"/>
      <c r="R130" s="2013"/>
      <c r="S130" s="2013"/>
      <c r="T130" s="2013"/>
      <c r="U130" s="2013"/>
      <c r="V130" s="2013"/>
      <c r="W130" s="2013"/>
      <c r="X130" s="2013"/>
      <c r="Y130" s="2013"/>
      <c r="Z130" s="2013"/>
      <c r="AA130" s="2013"/>
      <c r="AB130" s="2013"/>
      <c r="AC130" s="2013"/>
    </row>
    <row r="131" spans="1:29" ht="15.75" thickBot="1">
      <c r="A131" s="874"/>
      <c r="B131" s="683"/>
      <c r="C131" s="684"/>
      <c r="D131" s="684"/>
      <c r="E131" s="684"/>
      <c r="F131" s="684"/>
      <c r="G131" s="710"/>
      <c r="H131" s="710"/>
      <c r="I131" s="710"/>
      <c r="J131" s="710"/>
      <c r="K131" s="710"/>
      <c r="L131" s="710"/>
      <c r="M131" s="711"/>
      <c r="N131" s="2033"/>
      <c r="O131" s="2033"/>
      <c r="P131" s="2032"/>
      <c r="Q131" s="2025"/>
      <c r="R131" s="2013"/>
      <c r="S131" s="2013"/>
      <c r="T131" s="2013"/>
      <c r="U131" s="2013"/>
      <c r="V131" s="2013"/>
      <c r="W131" s="2013"/>
      <c r="X131" s="2013"/>
      <c r="Y131" s="2013"/>
      <c r="Z131" s="2013"/>
      <c r="AA131" s="2013"/>
      <c r="AB131" s="2013"/>
      <c r="AC131" s="2013"/>
    </row>
    <row r="132" spans="1:29">
      <c r="A132" s="2046"/>
      <c r="B132" s="2046"/>
      <c r="C132" s="2046"/>
      <c r="D132" s="2046"/>
      <c r="E132" s="2046"/>
      <c r="F132" s="2046"/>
      <c r="G132" s="2046"/>
      <c r="H132" s="2046"/>
      <c r="I132" s="2046"/>
      <c r="J132" s="2046"/>
      <c r="K132" s="2047"/>
      <c r="L132" s="2048"/>
      <c r="M132" s="2046"/>
      <c r="N132" s="2046"/>
      <c r="O132" s="2046"/>
      <c r="P132" s="2046"/>
      <c r="Q132" s="2046"/>
      <c r="R132" s="2046"/>
      <c r="S132" s="2046"/>
      <c r="T132" s="2046"/>
      <c r="U132" s="2046"/>
      <c r="V132" s="2046"/>
      <c r="W132" s="2046"/>
      <c r="X132" s="2046"/>
      <c r="Y132" s="2046"/>
      <c r="Z132" s="2046"/>
      <c r="AA132" s="2046"/>
      <c r="AB132" s="2046"/>
      <c r="AC132" s="2046"/>
    </row>
    <row r="133" spans="1:29">
      <c r="A133" s="2046"/>
      <c r="B133" s="2046"/>
      <c r="C133" s="2046"/>
      <c r="D133" s="2046"/>
      <c r="E133" s="2046"/>
      <c r="F133" s="2046"/>
      <c r="G133" s="2046"/>
      <c r="H133" s="2046"/>
      <c r="I133" s="2046"/>
      <c r="J133" s="2046"/>
      <c r="K133" s="2047"/>
      <c r="L133" s="2048"/>
      <c r="M133" s="2046"/>
      <c r="N133" s="2046"/>
      <c r="O133" s="2046"/>
      <c r="P133" s="2046"/>
      <c r="Q133" s="2046"/>
      <c r="R133" s="2046"/>
      <c r="S133" s="2046"/>
      <c r="T133" s="2046"/>
      <c r="U133" s="2046"/>
      <c r="V133" s="2046"/>
      <c r="W133" s="2046"/>
      <c r="X133" s="2046"/>
      <c r="Y133" s="2046"/>
      <c r="Z133" s="2046"/>
      <c r="AA133" s="2046"/>
      <c r="AB133" s="2046"/>
      <c r="AC133" s="2046"/>
    </row>
    <row r="134" spans="1:29">
      <c r="A134" s="2046"/>
      <c r="B134" s="2046"/>
      <c r="C134" s="2046"/>
      <c r="D134" s="2046"/>
      <c r="E134" s="2046"/>
      <c r="F134" s="2046"/>
      <c r="G134" s="2046"/>
      <c r="H134" s="2046"/>
      <c r="I134" s="2046"/>
      <c r="J134" s="2046"/>
      <c r="K134" s="2047"/>
      <c r="L134" s="2048"/>
      <c r="M134" s="2046"/>
      <c r="N134" s="2046"/>
      <c r="O134" s="2046"/>
      <c r="P134" s="2046"/>
      <c r="Q134" s="2046"/>
      <c r="R134" s="2046"/>
      <c r="S134" s="2046"/>
      <c r="T134" s="2046"/>
      <c r="U134" s="2046"/>
      <c r="V134" s="2046"/>
      <c r="W134" s="2046"/>
      <c r="X134" s="2046"/>
      <c r="Y134" s="2046"/>
      <c r="Z134" s="2046"/>
      <c r="AA134" s="2046"/>
      <c r="AB134" s="2046"/>
      <c r="AC134" s="2046"/>
    </row>
    <row r="135" spans="1:29">
      <c r="A135" s="2046"/>
      <c r="B135" s="2046"/>
      <c r="C135" s="2046"/>
      <c r="D135" s="2046"/>
      <c r="E135" s="2046"/>
      <c r="F135" s="2046"/>
      <c r="G135" s="2046"/>
      <c r="H135" s="2046"/>
      <c r="I135" s="2046"/>
      <c r="J135" s="2046"/>
      <c r="K135" s="2047"/>
      <c r="L135" s="2048"/>
      <c r="M135" s="2046"/>
      <c r="N135" s="2046"/>
      <c r="O135" s="2046"/>
      <c r="P135" s="2046"/>
      <c r="Q135" s="2046"/>
      <c r="R135" s="2046"/>
      <c r="S135" s="2046"/>
      <c r="T135" s="2046"/>
      <c r="U135" s="2046"/>
      <c r="V135" s="2046"/>
      <c r="W135" s="2046"/>
      <c r="X135" s="2046"/>
      <c r="Y135" s="2046"/>
      <c r="Z135" s="2046"/>
      <c r="AA135" s="2046"/>
      <c r="AB135" s="2046"/>
      <c r="AC135" s="2046"/>
    </row>
    <row r="136" spans="1:29" ht="15" thickBot="1">
      <c r="A136" s="2046"/>
      <c r="B136" s="1815" t="s">
        <v>2244</v>
      </c>
      <c r="C136" s="1816"/>
      <c r="D136" s="1816"/>
      <c r="E136" s="1816"/>
      <c r="F136" s="1816"/>
      <c r="G136" s="1816"/>
      <c r="H136" s="1816"/>
      <c r="I136" s="1816"/>
      <c r="J136" s="1816"/>
      <c r="K136" s="1817"/>
      <c r="L136" s="2048"/>
      <c r="M136" s="2046"/>
      <c r="N136" s="2046"/>
      <c r="O136" s="2046"/>
      <c r="P136" s="2046"/>
      <c r="Q136" s="2046"/>
      <c r="R136" s="2046"/>
      <c r="S136" s="2046"/>
      <c r="T136" s="2046"/>
      <c r="U136" s="2046"/>
      <c r="V136" s="2046"/>
      <c r="W136" s="2046"/>
      <c r="X136" s="2046"/>
      <c r="Y136" s="2046"/>
      <c r="Z136" s="2046"/>
      <c r="AA136" s="2046"/>
      <c r="AB136" s="2046"/>
      <c r="AC136" s="2046"/>
    </row>
    <row r="137" spans="1:29">
      <c r="A137" s="2046"/>
      <c r="B137" s="1818" t="s">
        <v>2245</v>
      </c>
      <c r="C137" s="1819"/>
      <c r="D137" s="1819"/>
      <c r="E137" s="1819"/>
      <c r="F137" s="1819"/>
      <c r="G137" s="1820"/>
      <c r="H137" s="1821"/>
      <c r="I137" s="1822" t="s">
        <v>2246</v>
      </c>
      <c r="J137" s="1819"/>
      <c r="K137" s="1823"/>
      <c r="L137" s="2048"/>
      <c r="M137" s="2046"/>
      <c r="N137" s="2046"/>
      <c r="O137" s="2046"/>
      <c r="P137" s="2046"/>
      <c r="Q137" s="2046"/>
      <c r="R137" s="2046"/>
      <c r="S137" s="2046"/>
      <c r="T137" s="2046"/>
      <c r="U137" s="2046"/>
      <c r="V137" s="2046"/>
      <c r="W137" s="2046"/>
      <c r="X137" s="2046"/>
      <c r="Y137" s="2046"/>
      <c r="Z137" s="2046"/>
      <c r="AA137" s="2046"/>
      <c r="AB137" s="2046"/>
      <c r="AC137" s="2046"/>
    </row>
    <row r="138" spans="1:29">
      <c r="A138" s="2046"/>
      <c r="B138" s="1824"/>
      <c r="C138" s="1825" t="s">
        <v>2247</v>
      </c>
      <c r="D138" s="1825" t="s">
        <v>2248</v>
      </c>
      <c r="E138" s="1826" t="s">
        <v>2249</v>
      </c>
      <c r="F138" s="1827" t="s">
        <v>2250</v>
      </c>
      <c r="G138" s="1825" t="s">
        <v>2248</v>
      </c>
      <c r="H138" s="1828" t="s">
        <v>2249</v>
      </c>
      <c r="I138" s="1829"/>
      <c r="J138" s="1825" t="s">
        <v>2253</v>
      </c>
      <c r="K138" s="1828" t="s">
        <v>2254</v>
      </c>
      <c r="L138" s="2048"/>
      <c r="M138" s="2046"/>
      <c r="N138" s="2046"/>
      <c r="O138" s="2046"/>
      <c r="P138" s="2046"/>
      <c r="Q138" s="2046"/>
      <c r="R138" s="2046"/>
      <c r="S138" s="2046"/>
      <c r="T138" s="2046"/>
      <c r="U138" s="2046"/>
      <c r="V138" s="2046"/>
      <c r="W138" s="2046"/>
      <c r="X138" s="2046"/>
      <c r="Y138" s="2046"/>
      <c r="Z138" s="2046"/>
      <c r="AA138" s="2046"/>
      <c r="AB138" s="2046"/>
      <c r="AC138" s="2046"/>
    </row>
    <row r="139" spans="1:29" ht="15">
      <c r="A139" s="2046"/>
      <c r="B139" s="1797">
        <v>6</v>
      </c>
      <c r="C139" s="1798">
        <v>96</v>
      </c>
      <c r="D139" s="1830" t="s">
        <v>2255</v>
      </c>
      <c r="E139" s="1799">
        <v>100</v>
      </c>
      <c r="F139" s="1800">
        <v>102.5</v>
      </c>
      <c r="G139" s="1830" t="s">
        <v>2255</v>
      </c>
      <c r="H139" s="1801">
        <v>105</v>
      </c>
      <c r="I139" s="1831" t="s">
        <v>2257</v>
      </c>
      <c r="J139" s="1798">
        <v>20</v>
      </c>
      <c r="K139" s="1802">
        <f>C145/(J139-2)</f>
        <v>4.0555555555555553E-3</v>
      </c>
      <c r="L139" s="2048"/>
      <c r="M139" s="2046"/>
      <c r="N139" s="2046"/>
      <c r="O139" s="2046"/>
      <c r="P139" s="2046"/>
      <c r="Q139" s="2046"/>
      <c r="R139" s="2046"/>
      <c r="S139" s="2046"/>
      <c r="T139" s="2046"/>
      <c r="U139" s="2046"/>
      <c r="V139" s="2046"/>
      <c r="W139" s="2046"/>
      <c r="X139" s="2046"/>
      <c r="Y139" s="2046"/>
      <c r="Z139" s="2046"/>
      <c r="AA139" s="2046"/>
      <c r="AB139" s="2046"/>
      <c r="AC139" s="2046"/>
    </row>
    <row r="140" spans="1:29" ht="15">
      <c r="A140" s="2046"/>
      <c r="B140" s="1803">
        <v>5</v>
      </c>
      <c r="C140" s="1804">
        <v>100</v>
      </c>
      <c r="D140" s="1832"/>
      <c r="E140" s="1805"/>
      <c r="F140" s="1806">
        <v>102</v>
      </c>
      <c r="G140" s="1832"/>
      <c r="H140" s="1807"/>
      <c r="I140" s="1833" t="s">
        <v>2258</v>
      </c>
      <c r="J140" s="827">
        <f>ROUNDUP((J139-1)/2,0)</f>
        <v>10</v>
      </c>
      <c r="K140" s="1808">
        <v>100</v>
      </c>
      <c r="L140" s="2048"/>
      <c r="M140" s="2046"/>
      <c r="N140" s="2046"/>
      <c r="O140" s="2046"/>
      <c r="P140" s="2046"/>
      <c r="Q140" s="2046"/>
      <c r="R140" s="2046"/>
      <c r="S140" s="2046"/>
      <c r="T140" s="2046"/>
      <c r="U140" s="2046"/>
      <c r="V140" s="2046"/>
      <c r="W140" s="2046"/>
      <c r="X140" s="2046"/>
      <c r="Y140" s="2046"/>
      <c r="Z140" s="2046"/>
      <c r="AA140" s="2046"/>
      <c r="AB140" s="2046"/>
      <c r="AC140" s="2046"/>
    </row>
    <row r="141" spans="1:29" ht="15">
      <c r="A141" s="2046"/>
      <c r="B141" s="1803">
        <v>4</v>
      </c>
      <c r="C141" s="1804">
        <v>102</v>
      </c>
      <c r="D141" s="1832"/>
      <c r="E141" s="1805"/>
      <c r="F141" s="1806">
        <v>101.5</v>
      </c>
      <c r="G141" s="1832"/>
      <c r="H141" s="1807"/>
      <c r="I141" s="1833" t="s">
        <v>2259</v>
      </c>
      <c r="J141" s="827">
        <v>1</v>
      </c>
      <c r="K141" s="1809">
        <f>ROUND(100+(J141-J140)*K139*100,1)</f>
        <v>96.4</v>
      </c>
      <c r="L141" s="2048"/>
      <c r="M141" s="2046"/>
      <c r="N141" s="2046"/>
      <c r="O141" s="2046"/>
      <c r="P141" s="2046"/>
      <c r="Q141" s="2046"/>
      <c r="R141" s="2046"/>
      <c r="S141" s="2046"/>
      <c r="T141" s="2046"/>
      <c r="U141" s="2046"/>
      <c r="V141" s="2046"/>
      <c r="W141" s="2046"/>
      <c r="X141" s="2046"/>
      <c r="Y141" s="2046"/>
      <c r="Z141" s="2046"/>
      <c r="AA141" s="2046"/>
      <c r="AB141" s="2046"/>
      <c r="AC141" s="2046"/>
    </row>
    <row r="142" spans="1:29" ht="15">
      <c r="A142" s="2046"/>
      <c r="B142" s="1803">
        <v>3</v>
      </c>
      <c r="C142" s="1804">
        <v>103</v>
      </c>
      <c r="D142" s="1832"/>
      <c r="E142" s="1805"/>
      <c r="F142" s="1806">
        <v>101</v>
      </c>
      <c r="G142" s="1832"/>
      <c r="H142" s="1807"/>
      <c r="I142" s="1833" t="s">
        <v>2260</v>
      </c>
      <c r="J142" s="827">
        <f>J139</f>
        <v>20</v>
      </c>
      <c r="K142" s="1810">
        <v>95</v>
      </c>
      <c r="L142" s="2048"/>
      <c r="M142" s="2046"/>
      <c r="N142" s="2046"/>
      <c r="O142" s="2046"/>
      <c r="P142" s="2046"/>
      <c r="Q142" s="2046"/>
      <c r="R142" s="2046"/>
      <c r="S142" s="2046"/>
      <c r="T142" s="2046"/>
      <c r="U142" s="2046"/>
      <c r="V142" s="2046"/>
      <c r="W142" s="2046"/>
      <c r="X142" s="2046"/>
      <c r="Y142" s="2046"/>
      <c r="Z142" s="2046"/>
      <c r="AA142" s="2046"/>
      <c r="AB142" s="2046"/>
      <c r="AC142" s="2046"/>
    </row>
    <row r="143" spans="1:29" ht="15">
      <c r="A143" s="2046"/>
      <c r="B143" s="1803">
        <v>2</v>
      </c>
      <c r="C143" s="1804">
        <v>100</v>
      </c>
      <c r="D143" s="1832"/>
      <c r="E143" s="1805"/>
      <c r="F143" s="1806">
        <v>100.5</v>
      </c>
      <c r="G143" s="1832"/>
      <c r="H143" s="1807"/>
      <c r="I143" s="1833" t="s">
        <v>2261</v>
      </c>
      <c r="J143" s="1804">
        <v>15</v>
      </c>
      <c r="K143" s="1809">
        <f>ROUND(100+(J143-J140)*K139*100,1)</f>
        <v>102</v>
      </c>
      <c r="L143" s="2048"/>
      <c r="M143" s="2046"/>
      <c r="N143" s="2046"/>
      <c r="O143" s="2046"/>
      <c r="P143" s="2046"/>
      <c r="Q143" s="2046"/>
      <c r="R143" s="2046"/>
      <c r="S143" s="2046"/>
      <c r="T143" s="2046"/>
      <c r="U143" s="2046"/>
      <c r="V143" s="2046"/>
      <c r="W143" s="2046"/>
      <c r="X143" s="2046"/>
      <c r="Y143" s="2046"/>
      <c r="Z143" s="2046"/>
      <c r="AA143" s="2046"/>
      <c r="AB143" s="2046"/>
      <c r="AC143" s="2046"/>
    </row>
    <row r="144" spans="1:29" ht="15">
      <c r="A144" s="2046"/>
      <c r="B144" s="1803">
        <v>1</v>
      </c>
      <c r="C144" s="1804">
        <v>98</v>
      </c>
      <c r="D144" s="1834" t="s">
        <v>2262</v>
      </c>
      <c r="E144" s="1805">
        <v>102</v>
      </c>
      <c r="F144" s="1811">
        <v>100</v>
      </c>
      <c r="G144" s="1834" t="s">
        <v>2262</v>
      </c>
      <c r="H144" s="1807">
        <v>105</v>
      </c>
      <c r="I144" s="1833" t="s">
        <v>2261</v>
      </c>
      <c r="J144" s="1804">
        <v>18</v>
      </c>
      <c r="K144" s="1809">
        <f>ROUND(100+(J144-J140)*K139*100,1)</f>
        <v>103.2</v>
      </c>
      <c r="L144" s="2048"/>
      <c r="M144" s="2046"/>
      <c r="N144" s="2046"/>
      <c r="O144" s="2046"/>
      <c r="P144" s="2046"/>
      <c r="Q144" s="2046"/>
      <c r="R144" s="2046"/>
      <c r="S144" s="2046"/>
      <c r="T144" s="2046"/>
      <c r="U144" s="2046"/>
      <c r="V144" s="2046"/>
      <c r="W144" s="2046"/>
      <c r="X144" s="2046"/>
      <c r="Y144" s="2046"/>
      <c r="Z144" s="2046"/>
      <c r="AA144" s="2046"/>
      <c r="AB144" s="2046"/>
      <c r="AC144" s="2046"/>
    </row>
    <row r="145" spans="1:29" ht="15.75" thickBot="1">
      <c r="A145" s="2046"/>
      <c r="B145" s="1835" t="s">
        <v>2263</v>
      </c>
      <c r="C145" s="1812">
        <f>ROUND(MAX(C139:C144)/MIN(C139:C144)-1,3)</f>
        <v>7.2999999999999995E-2</v>
      </c>
      <c r="D145" s="1836"/>
      <c r="E145" s="1836"/>
      <c r="F145" s="1837" t="s">
        <v>2264</v>
      </c>
      <c r="G145" s="1838"/>
      <c r="H145" s="1839"/>
      <c r="I145" s="1840" t="s">
        <v>2261</v>
      </c>
      <c r="J145" s="1813">
        <v>8</v>
      </c>
      <c r="K145" s="1814">
        <f>ROUND(100+(J145-J140)*K139*100,1)</f>
        <v>99.2</v>
      </c>
      <c r="L145" s="2048"/>
      <c r="M145" s="2046"/>
      <c r="N145" s="2046"/>
      <c r="O145" s="2046"/>
      <c r="P145" s="2046"/>
      <c r="Q145" s="2046"/>
      <c r="R145" s="2046"/>
      <c r="S145" s="2046"/>
      <c r="T145" s="2046"/>
      <c r="U145" s="2046"/>
      <c r="V145" s="2046"/>
      <c r="W145" s="2046"/>
      <c r="X145" s="2046"/>
      <c r="Y145" s="2046"/>
      <c r="Z145" s="2046"/>
      <c r="AA145" s="2046"/>
      <c r="AB145" s="2046"/>
      <c r="AC145" s="2046"/>
    </row>
    <row r="146" spans="1:29">
      <c r="A146" s="2046"/>
      <c r="B146" s="2046"/>
      <c r="C146" s="2046"/>
      <c r="D146" s="2046"/>
      <c r="E146" s="2046"/>
      <c r="F146" s="2046"/>
      <c r="G146" s="2046"/>
      <c r="H146" s="2046"/>
      <c r="I146" s="2046"/>
      <c r="J146" s="2046"/>
      <c r="K146" s="2047"/>
      <c r="L146" s="2048"/>
      <c r="M146" s="2046"/>
      <c r="N146" s="2046"/>
      <c r="O146" s="2046"/>
      <c r="P146" s="2046"/>
      <c r="Q146" s="2046"/>
      <c r="R146" s="2046"/>
      <c r="S146" s="2046"/>
      <c r="T146" s="2046"/>
      <c r="U146" s="2046"/>
      <c r="V146" s="2046"/>
      <c r="W146" s="2046"/>
      <c r="X146" s="2046"/>
      <c r="Y146" s="2046"/>
      <c r="Z146" s="2046"/>
      <c r="AA146" s="2046"/>
      <c r="AB146" s="2046"/>
      <c r="AC146" s="2046"/>
    </row>
    <row r="147" spans="1:29">
      <c r="A147" s="2046"/>
      <c r="B147" s="1859" t="s">
        <v>2272</v>
      </c>
      <c r="L147" s="2048"/>
      <c r="M147" s="2046"/>
      <c r="N147" s="2046"/>
      <c r="O147" s="2046"/>
      <c r="P147" s="2046"/>
      <c r="Q147" s="2046"/>
      <c r="R147" s="2046"/>
      <c r="S147" s="2046"/>
      <c r="T147" s="2046"/>
      <c r="U147" s="2046"/>
      <c r="V147" s="2046"/>
      <c r="W147" s="2046"/>
      <c r="X147" s="2046"/>
      <c r="Y147" s="2046"/>
      <c r="Z147" s="2046"/>
      <c r="AA147" s="2046"/>
      <c r="AB147" s="2046"/>
      <c r="AC147" s="2046"/>
    </row>
    <row r="148" spans="1:29">
      <c r="A148" s="2046"/>
      <c r="B148" s="1859" t="s">
        <v>2273</v>
      </c>
      <c r="L148" s="2048"/>
      <c r="M148" s="2046"/>
      <c r="N148" s="2046"/>
      <c r="O148" s="2046"/>
      <c r="P148" s="2046"/>
      <c r="Q148" s="2046"/>
      <c r="R148" s="2046"/>
      <c r="S148" s="2046"/>
      <c r="T148" s="2046"/>
      <c r="U148" s="2046"/>
      <c r="V148" s="2046"/>
      <c r="W148" s="2046"/>
      <c r="X148" s="2046"/>
      <c r="Y148" s="2046"/>
      <c r="Z148" s="2046"/>
      <c r="AA148" s="2046"/>
      <c r="AB148" s="2046"/>
      <c r="AC148" s="2046"/>
    </row>
    <row r="149" spans="1:29">
      <c r="A149" s="2046"/>
      <c r="B149" s="2046"/>
      <c r="C149" s="2046"/>
      <c r="D149" s="2046"/>
      <c r="E149" s="2046"/>
      <c r="F149" s="2046"/>
      <c r="G149" s="2046"/>
      <c r="H149" s="2046"/>
      <c r="I149" s="2046"/>
      <c r="J149" s="2046"/>
      <c r="K149" s="2047"/>
      <c r="L149" s="2048"/>
      <c r="M149" s="2046"/>
      <c r="N149" s="2046"/>
      <c r="O149" s="2046"/>
      <c r="P149" s="2046"/>
      <c r="Q149" s="2046"/>
      <c r="R149" s="2046"/>
      <c r="S149" s="2046"/>
      <c r="T149" s="2046"/>
      <c r="U149" s="2046"/>
      <c r="V149" s="2046"/>
      <c r="W149" s="2046"/>
      <c r="X149" s="2046"/>
      <c r="Y149" s="2046"/>
      <c r="Z149" s="2046"/>
      <c r="AA149" s="2046"/>
      <c r="AB149" s="2046"/>
      <c r="AC149" s="2046"/>
    </row>
    <row r="150" spans="1:29">
      <c r="A150" s="2046"/>
      <c r="B150" s="2046"/>
      <c r="C150" s="2046"/>
      <c r="D150" s="2046"/>
      <c r="E150" s="2046"/>
      <c r="F150" s="2046"/>
      <c r="G150" s="2046"/>
      <c r="H150" s="2046"/>
      <c r="I150" s="2046"/>
      <c r="J150" s="2046"/>
      <c r="K150" s="2047"/>
      <c r="L150" s="2048"/>
      <c r="M150" s="2046"/>
      <c r="N150" s="2046"/>
      <c r="O150" s="2046"/>
      <c r="P150" s="2046"/>
      <c r="Q150" s="2046"/>
      <c r="R150" s="2046"/>
      <c r="S150" s="2046"/>
      <c r="T150" s="2046"/>
      <c r="U150" s="2046"/>
      <c r="V150" s="2046"/>
      <c r="W150" s="2046"/>
      <c r="X150" s="2046"/>
      <c r="Y150" s="2046"/>
      <c r="Z150" s="2046"/>
      <c r="AA150" s="2046"/>
      <c r="AB150" s="2046"/>
      <c r="AC150" s="2046"/>
    </row>
    <row r="151" spans="1:29">
      <c r="A151" s="2046"/>
      <c r="B151" s="2046"/>
      <c r="C151" s="2046"/>
      <c r="D151" s="2046"/>
      <c r="E151" s="2046"/>
      <c r="F151" s="2046"/>
      <c r="G151" s="2046"/>
      <c r="H151" s="2046"/>
      <c r="I151" s="2046"/>
      <c r="J151" s="2046"/>
      <c r="K151" s="2047"/>
      <c r="L151" s="2048"/>
      <c r="M151" s="2046"/>
      <c r="N151" s="2046"/>
      <c r="O151" s="2046"/>
      <c r="P151" s="2046"/>
      <c r="Q151" s="2046"/>
      <c r="R151" s="2046"/>
      <c r="S151" s="2046"/>
      <c r="T151" s="2046"/>
      <c r="U151" s="2046"/>
      <c r="V151" s="2046"/>
      <c r="W151" s="2046"/>
      <c r="X151" s="2046"/>
      <c r="Y151" s="2046"/>
      <c r="Z151" s="2046"/>
      <c r="AA151" s="2046"/>
      <c r="AB151" s="2046"/>
      <c r="AC151" s="2046"/>
    </row>
    <row r="152" spans="1:29">
      <c r="A152" s="2046"/>
      <c r="B152" s="2046"/>
      <c r="C152" s="2046"/>
      <c r="D152" s="2046"/>
      <c r="E152" s="2046"/>
      <c r="F152" s="2046"/>
      <c r="G152" s="2046"/>
      <c r="H152" s="2046"/>
      <c r="I152" s="2046"/>
      <c r="J152" s="2046"/>
      <c r="K152" s="2047"/>
      <c r="L152" s="2048"/>
      <c r="M152" s="2046"/>
      <c r="N152" s="2046"/>
      <c r="O152" s="2046"/>
      <c r="P152" s="2046"/>
      <c r="Q152" s="2046"/>
      <c r="R152" s="2046"/>
      <c r="S152" s="2046"/>
      <c r="T152" s="2046"/>
      <c r="U152" s="2046"/>
      <c r="V152" s="2046"/>
      <c r="W152" s="2046"/>
      <c r="X152" s="2046"/>
      <c r="Y152" s="2046"/>
      <c r="Z152" s="2046"/>
      <c r="AA152" s="2046"/>
      <c r="AB152" s="2046"/>
      <c r="AC152" s="2046"/>
    </row>
    <row r="153" spans="1:29">
      <c r="A153" s="2046"/>
      <c r="B153" s="2046"/>
      <c r="C153" s="2046"/>
      <c r="D153" s="2046"/>
      <c r="E153" s="2046"/>
      <c r="F153" s="2046"/>
      <c r="G153" s="2046"/>
      <c r="H153" s="2046"/>
      <c r="I153" s="2046"/>
      <c r="J153" s="2046"/>
      <c r="K153" s="2047"/>
      <c r="L153" s="2048"/>
      <c r="M153" s="2046"/>
      <c r="N153" s="2046"/>
      <c r="O153" s="2046"/>
      <c r="P153" s="2046"/>
      <c r="Q153" s="2046"/>
      <c r="R153" s="2046"/>
      <c r="S153" s="2046"/>
      <c r="T153" s="2046"/>
      <c r="U153" s="2046"/>
      <c r="V153" s="2046"/>
      <c r="W153" s="2046"/>
      <c r="X153" s="2046"/>
      <c r="Y153" s="2046"/>
      <c r="Z153" s="2046"/>
      <c r="AA153" s="2046"/>
      <c r="AB153" s="2046"/>
      <c r="AC153" s="2046"/>
    </row>
    <row r="154" spans="1:29">
      <c r="A154" s="2046"/>
      <c r="B154" s="2046"/>
      <c r="C154" s="2046"/>
      <c r="D154" s="2046"/>
      <c r="E154" s="2046"/>
      <c r="F154" s="2046"/>
      <c r="G154" s="2046"/>
      <c r="H154" s="2046"/>
      <c r="I154" s="2046"/>
      <c r="J154" s="2046"/>
      <c r="K154" s="2047"/>
      <c r="L154" s="2048"/>
      <c r="M154" s="2046"/>
      <c r="N154" s="2046"/>
      <c r="O154" s="2046"/>
      <c r="P154" s="2046"/>
      <c r="Q154" s="2046"/>
      <c r="R154" s="2046"/>
      <c r="S154" s="2046"/>
      <c r="T154" s="2046"/>
      <c r="U154" s="2046"/>
      <c r="V154" s="2046"/>
      <c r="W154" s="2046"/>
      <c r="X154" s="2046"/>
      <c r="Y154" s="2046"/>
      <c r="Z154" s="2046"/>
      <c r="AA154" s="2046"/>
      <c r="AB154" s="2046"/>
      <c r="AC154" s="2046"/>
    </row>
    <row r="155" spans="1:29">
      <c r="A155" s="2046"/>
      <c r="B155" s="2046"/>
      <c r="C155" s="2046"/>
      <c r="D155" s="2046"/>
      <c r="E155" s="2046"/>
      <c r="F155" s="2046"/>
      <c r="G155" s="2046"/>
      <c r="H155" s="2046"/>
      <c r="I155" s="2046"/>
      <c r="J155" s="2046"/>
      <c r="K155" s="2047"/>
      <c r="L155" s="2048"/>
      <c r="M155" s="2046"/>
      <c r="N155" s="2046"/>
      <c r="O155" s="2046"/>
      <c r="P155" s="2046"/>
      <c r="Q155" s="2046"/>
      <c r="R155" s="2046"/>
      <c r="S155" s="2046"/>
      <c r="T155" s="2046"/>
      <c r="U155" s="2046"/>
      <c r="V155" s="2046"/>
      <c r="W155" s="2046"/>
      <c r="X155" s="2046"/>
      <c r="Y155" s="2046"/>
      <c r="Z155" s="2046"/>
      <c r="AA155" s="2046"/>
      <c r="AB155" s="2046"/>
      <c r="AC155" s="2046"/>
    </row>
    <row r="156" spans="1:29">
      <c r="A156" s="2046"/>
      <c r="B156" s="2046"/>
      <c r="C156" s="2046"/>
      <c r="D156" s="2046"/>
      <c r="E156" s="2046"/>
      <c r="F156" s="2046"/>
      <c r="G156" s="2046"/>
      <c r="H156" s="2046"/>
      <c r="I156" s="2046"/>
      <c r="J156" s="2046"/>
      <c r="K156" s="2047"/>
      <c r="L156" s="2048"/>
      <c r="M156" s="2046"/>
      <c r="N156" s="2046"/>
      <c r="O156" s="2046"/>
      <c r="P156" s="2046"/>
      <c r="Q156" s="2046"/>
      <c r="R156" s="2046"/>
      <c r="S156" s="2046"/>
      <c r="T156" s="2046"/>
      <c r="U156" s="2046"/>
      <c r="V156" s="2046"/>
      <c r="W156" s="2046"/>
      <c r="X156" s="2046"/>
      <c r="Y156" s="2046"/>
      <c r="Z156" s="2046"/>
      <c r="AA156" s="2046"/>
      <c r="AB156" s="2046"/>
      <c r="AC156" s="2046"/>
    </row>
    <row r="157" spans="1:29">
      <c r="A157" s="2046"/>
      <c r="B157" s="2046"/>
      <c r="C157" s="2046"/>
      <c r="D157" s="2046"/>
      <c r="E157" s="2046"/>
      <c r="F157" s="2046"/>
      <c r="G157" s="2046"/>
      <c r="H157" s="2046"/>
      <c r="I157" s="2046"/>
      <c r="J157" s="2046"/>
      <c r="K157" s="2047"/>
      <c r="L157" s="2048"/>
      <c r="M157" s="2046"/>
      <c r="N157" s="2046"/>
      <c r="O157" s="2046"/>
      <c r="P157" s="2046"/>
      <c r="Q157" s="2046"/>
      <c r="R157" s="2046"/>
      <c r="S157" s="2046"/>
      <c r="T157" s="2046"/>
      <c r="U157" s="2046"/>
      <c r="V157" s="2046"/>
      <c r="W157" s="2046"/>
      <c r="X157" s="2046"/>
      <c r="Y157" s="2046"/>
      <c r="Z157" s="2046"/>
      <c r="AA157" s="2046"/>
      <c r="AB157" s="2046"/>
      <c r="AC157" s="2046"/>
    </row>
    <row r="158" spans="1:29">
      <c r="A158" s="2046"/>
      <c r="B158" s="2046"/>
      <c r="C158" s="2046"/>
      <c r="D158" s="2046"/>
      <c r="E158" s="2046"/>
      <c r="F158" s="2046"/>
      <c r="G158" s="2046"/>
      <c r="H158" s="2046"/>
      <c r="I158" s="2046"/>
      <c r="J158" s="2046"/>
      <c r="K158" s="2047"/>
      <c r="L158" s="2048"/>
      <c r="M158" s="2046"/>
      <c r="N158" s="2046"/>
      <c r="O158" s="2046"/>
      <c r="P158" s="2046"/>
      <c r="Q158" s="2046"/>
      <c r="R158" s="2046"/>
      <c r="S158" s="2046"/>
      <c r="T158" s="2046"/>
      <c r="U158" s="2046"/>
      <c r="V158" s="2046"/>
      <c r="W158" s="2046"/>
      <c r="X158" s="2046"/>
      <c r="Y158" s="2046"/>
      <c r="Z158" s="2046"/>
      <c r="AA158" s="2046"/>
      <c r="AB158" s="2046"/>
      <c r="AC158" s="2046"/>
    </row>
    <row r="159" spans="1:29">
      <c r="A159" s="2046"/>
      <c r="B159" s="2046"/>
      <c r="C159" s="2046"/>
      <c r="D159" s="2046"/>
      <c r="E159" s="2046"/>
      <c r="F159" s="2046"/>
      <c r="G159" s="2046"/>
      <c r="H159" s="2046"/>
      <c r="I159" s="2046"/>
      <c r="J159" s="2046"/>
      <c r="K159" s="2047"/>
      <c r="L159" s="2048"/>
      <c r="M159" s="2046"/>
      <c r="N159" s="2046"/>
      <c r="O159" s="2046"/>
      <c r="P159" s="2046"/>
      <c r="Q159" s="2046"/>
      <c r="R159" s="2046"/>
      <c r="S159" s="2046"/>
      <c r="T159" s="2046"/>
      <c r="U159" s="2046"/>
      <c r="V159" s="2046"/>
      <c r="W159" s="2046"/>
      <c r="X159" s="2046"/>
      <c r="Y159" s="2046"/>
      <c r="Z159" s="2046"/>
      <c r="AA159" s="2046"/>
      <c r="AB159" s="2046"/>
      <c r="AC159" s="2046"/>
    </row>
    <row r="160" spans="1:29">
      <c r="A160" s="2046"/>
      <c r="B160" s="2046"/>
      <c r="C160" s="2046"/>
      <c r="D160" s="2046"/>
      <c r="E160" s="2046"/>
      <c r="F160" s="2046"/>
      <c r="G160" s="2046"/>
      <c r="H160" s="2046"/>
      <c r="I160" s="2046"/>
      <c r="J160" s="2046"/>
      <c r="K160" s="2047"/>
      <c r="L160" s="2048"/>
      <c r="M160" s="2046"/>
      <c r="N160" s="2046"/>
      <c r="O160" s="2046"/>
      <c r="P160" s="2046"/>
      <c r="Q160" s="2046"/>
      <c r="R160" s="2046"/>
      <c r="S160" s="2046"/>
      <c r="T160" s="2046"/>
      <c r="U160" s="2046"/>
      <c r="V160" s="2046"/>
      <c r="W160" s="2046"/>
      <c r="X160" s="2046"/>
      <c r="Y160" s="2046"/>
      <c r="Z160" s="2046"/>
      <c r="AA160" s="2046"/>
      <c r="AB160" s="2046"/>
      <c r="AC160" s="2046"/>
    </row>
    <row r="161" spans="1:29">
      <c r="A161" s="2046"/>
      <c r="B161" s="2046"/>
      <c r="C161" s="2046"/>
      <c r="D161" s="2046"/>
      <c r="E161" s="2046"/>
      <c r="F161" s="2046"/>
      <c r="G161" s="2046"/>
      <c r="H161" s="2046"/>
      <c r="I161" s="2046"/>
      <c r="J161" s="2046"/>
      <c r="K161" s="2047"/>
      <c r="L161" s="2048"/>
      <c r="M161" s="2046"/>
      <c r="N161" s="2046"/>
      <c r="O161" s="2046"/>
      <c r="P161" s="2046"/>
      <c r="Q161" s="2046"/>
      <c r="R161" s="2046"/>
      <c r="S161" s="2046"/>
      <c r="T161" s="2046"/>
      <c r="U161" s="2046"/>
      <c r="V161" s="2046"/>
      <c r="W161" s="2046"/>
      <c r="X161" s="2046"/>
      <c r="Y161" s="2046"/>
      <c r="Z161" s="2046"/>
      <c r="AA161" s="2046"/>
      <c r="AB161" s="2046"/>
      <c r="AC161" s="2046"/>
    </row>
    <row r="162" spans="1:29">
      <c r="A162" s="2046"/>
      <c r="B162" s="2046"/>
      <c r="C162" s="2046"/>
      <c r="D162" s="2046"/>
      <c r="E162" s="2046"/>
      <c r="F162" s="2046"/>
      <c r="G162" s="2046"/>
      <c r="H162" s="2046"/>
      <c r="I162" s="2046"/>
      <c r="J162" s="2046"/>
      <c r="K162" s="2047"/>
      <c r="L162" s="2048"/>
      <c r="M162" s="2046"/>
      <c r="N162" s="2046"/>
      <c r="O162" s="2046"/>
      <c r="P162" s="2046"/>
      <c r="Q162" s="2046"/>
      <c r="R162" s="2046"/>
      <c r="S162" s="2046"/>
      <c r="T162" s="2046"/>
      <c r="U162" s="2046"/>
      <c r="V162" s="2046"/>
      <c r="W162" s="2046"/>
      <c r="X162" s="2046"/>
      <c r="Y162" s="2046"/>
      <c r="Z162" s="2046"/>
      <c r="AA162" s="2046"/>
      <c r="AB162" s="2046"/>
      <c r="AC162" s="2046"/>
    </row>
    <row r="163" spans="1:29">
      <c r="A163" s="2046"/>
      <c r="B163" s="2046"/>
      <c r="C163" s="2046"/>
      <c r="D163" s="2046"/>
      <c r="E163" s="2046"/>
      <c r="F163" s="2046"/>
      <c r="G163" s="2046"/>
      <c r="H163" s="2046"/>
      <c r="I163" s="2046"/>
      <c r="J163" s="2046"/>
      <c r="K163" s="2047"/>
      <c r="L163" s="2048"/>
      <c r="M163" s="2046"/>
      <c r="N163" s="2046"/>
      <c r="O163" s="2046"/>
      <c r="P163" s="2046"/>
      <c r="Q163" s="2046"/>
      <c r="R163" s="2046"/>
      <c r="S163" s="2046"/>
      <c r="T163" s="2046"/>
      <c r="U163" s="2046"/>
      <c r="V163" s="2046"/>
      <c r="W163" s="2046"/>
      <c r="X163" s="2046"/>
      <c r="Y163" s="2046"/>
      <c r="Z163" s="2046"/>
      <c r="AA163" s="2046"/>
      <c r="AB163" s="2046"/>
      <c r="AC163" s="2046"/>
    </row>
    <row r="164" spans="1:29">
      <c r="A164" s="2046"/>
      <c r="B164" s="2046"/>
      <c r="C164" s="2046"/>
      <c r="D164" s="2046"/>
      <c r="E164" s="2046"/>
      <c r="F164" s="2046"/>
      <c r="G164" s="2046"/>
      <c r="H164" s="2046"/>
      <c r="I164" s="2046"/>
      <c r="J164" s="2046"/>
      <c r="K164" s="2047"/>
      <c r="L164" s="2048"/>
      <c r="M164" s="2046"/>
      <c r="N164" s="2046"/>
      <c r="O164" s="2046"/>
      <c r="P164" s="2046"/>
      <c r="Q164" s="2046"/>
      <c r="R164" s="2046"/>
      <c r="S164" s="2046"/>
      <c r="T164" s="2046"/>
      <c r="U164" s="2046"/>
      <c r="V164" s="2046"/>
      <c r="W164" s="2046"/>
      <c r="X164" s="2046"/>
      <c r="Y164" s="2046"/>
      <c r="Z164" s="2046"/>
      <c r="AA164" s="2046"/>
      <c r="AB164" s="2046"/>
      <c r="AC164" s="2046"/>
    </row>
    <row r="165" spans="1:29">
      <c r="A165" s="2046"/>
      <c r="B165" s="2046"/>
      <c r="C165" s="2046"/>
      <c r="D165" s="2046"/>
      <c r="E165" s="2046"/>
      <c r="F165" s="2046"/>
      <c r="G165" s="2046"/>
      <c r="H165" s="2046"/>
      <c r="I165" s="2046"/>
      <c r="J165" s="2046"/>
      <c r="K165" s="2047"/>
      <c r="L165" s="2048"/>
      <c r="M165" s="2046"/>
      <c r="N165" s="2046"/>
      <c r="O165" s="2046"/>
      <c r="P165" s="2046"/>
      <c r="Q165" s="2046"/>
      <c r="R165" s="2046"/>
      <c r="S165" s="2046"/>
      <c r="T165" s="2046"/>
      <c r="U165" s="2046"/>
      <c r="V165" s="2046"/>
      <c r="W165" s="2046"/>
      <c r="X165" s="2046"/>
      <c r="Y165" s="2046"/>
      <c r="Z165" s="2046"/>
      <c r="AA165" s="2046"/>
      <c r="AB165" s="2046"/>
      <c r="AC165" s="2046"/>
    </row>
    <row r="166" spans="1:29">
      <c r="A166" s="2046"/>
      <c r="B166" s="2046"/>
      <c r="C166" s="2046"/>
      <c r="D166" s="2046"/>
      <c r="E166" s="2046"/>
      <c r="F166" s="2046"/>
      <c r="G166" s="2046"/>
      <c r="H166" s="2046"/>
      <c r="I166" s="2046"/>
      <c r="J166" s="2046"/>
      <c r="K166" s="2047"/>
      <c r="L166" s="2048"/>
      <c r="M166" s="2046"/>
      <c r="N166" s="2046"/>
      <c r="O166" s="2046"/>
      <c r="P166" s="2046"/>
      <c r="Q166" s="2046"/>
      <c r="R166" s="2046"/>
      <c r="S166" s="2046"/>
      <c r="T166" s="2046"/>
      <c r="U166" s="2046"/>
      <c r="V166" s="2046"/>
      <c r="W166" s="2046"/>
      <c r="X166" s="2046"/>
      <c r="Y166" s="2046"/>
      <c r="Z166" s="2046"/>
      <c r="AA166" s="2046"/>
      <c r="AB166" s="2046"/>
      <c r="AC166" s="2046"/>
    </row>
    <row r="167" spans="1:29">
      <c r="A167" s="2046"/>
      <c r="B167" s="2046"/>
      <c r="C167" s="2046"/>
      <c r="D167" s="2046"/>
      <c r="E167" s="2046"/>
      <c r="F167" s="2046"/>
      <c r="G167" s="2046"/>
      <c r="H167" s="2046"/>
      <c r="I167" s="2046"/>
      <c r="J167" s="2046"/>
      <c r="K167" s="2047"/>
      <c r="L167" s="2048"/>
      <c r="M167" s="2046"/>
      <c r="N167" s="2046"/>
      <c r="O167" s="2046"/>
      <c r="P167" s="2046"/>
      <c r="Q167" s="2046"/>
      <c r="R167" s="2046"/>
      <c r="S167" s="2046"/>
      <c r="T167" s="2046"/>
      <c r="U167" s="2046"/>
      <c r="V167" s="2046"/>
      <c r="W167" s="2046"/>
      <c r="X167" s="2046"/>
      <c r="Y167" s="2046"/>
      <c r="Z167" s="2046"/>
      <c r="AA167" s="2046"/>
      <c r="AB167" s="2046"/>
      <c r="AC167" s="2046"/>
    </row>
    <row r="168" spans="1:29">
      <c r="A168" s="2046"/>
      <c r="B168" s="2046"/>
      <c r="C168" s="2046"/>
      <c r="D168" s="2046"/>
      <c r="E168" s="2046"/>
      <c r="F168" s="2046"/>
      <c r="G168" s="2046"/>
      <c r="H168" s="2046"/>
      <c r="I168" s="2046"/>
      <c r="J168" s="2046"/>
      <c r="K168" s="2047"/>
      <c r="L168" s="2048"/>
      <c r="M168" s="2046"/>
      <c r="N168" s="2046"/>
      <c r="O168" s="2046"/>
      <c r="P168" s="2046"/>
      <c r="Q168" s="2046"/>
      <c r="R168" s="2046"/>
      <c r="S168" s="2046"/>
      <c r="T168" s="2046"/>
      <c r="U168" s="2046"/>
      <c r="V168" s="2046"/>
      <c r="W168" s="2046"/>
      <c r="X168" s="2046"/>
      <c r="Y168" s="2046"/>
      <c r="Z168" s="2046"/>
      <c r="AA168" s="2046"/>
      <c r="AB168" s="2046"/>
      <c r="AC168" s="2046"/>
    </row>
    <row r="169" spans="1:29">
      <c r="A169" s="2046"/>
      <c r="B169" s="2046"/>
      <c r="C169" s="2046"/>
      <c r="D169" s="2046"/>
      <c r="E169" s="2046"/>
      <c r="F169" s="2046"/>
      <c r="G169" s="2046"/>
      <c r="H169" s="2046"/>
      <c r="I169" s="2046"/>
      <c r="J169" s="2046"/>
      <c r="K169" s="2047"/>
      <c r="L169" s="2048"/>
      <c r="M169" s="2046"/>
      <c r="N169" s="2046"/>
      <c r="O169" s="2046"/>
      <c r="P169" s="2046"/>
      <c r="Q169" s="2046"/>
      <c r="R169" s="2046"/>
      <c r="S169" s="2046"/>
      <c r="T169" s="2046"/>
      <c r="U169" s="2046"/>
      <c r="V169" s="2046"/>
      <c r="W169" s="2046"/>
      <c r="X169" s="2046"/>
      <c r="Y169" s="2046"/>
      <c r="Z169" s="2046"/>
      <c r="AA169" s="2046"/>
      <c r="AB169" s="2046"/>
      <c r="AC169" s="2046"/>
    </row>
    <row r="170" spans="1:29">
      <c r="A170" s="2046"/>
      <c r="B170" s="2046"/>
      <c r="C170" s="2046"/>
      <c r="D170" s="2046"/>
      <c r="E170" s="2046"/>
      <c r="F170" s="2046"/>
      <c r="G170" s="2046"/>
      <c r="H170" s="2046"/>
      <c r="I170" s="2046"/>
      <c r="J170" s="2046"/>
      <c r="K170" s="2047"/>
      <c r="L170" s="2048"/>
      <c r="M170" s="2046"/>
      <c r="N170" s="2046"/>
      <c r="O170" s="2046"/>
      <c r="P170" s="2046"/>
      <c r="Q170" s="2046"/>
      <c r="R170" s="2046"/>
      <c r="S170" s="2046"/>
      <c r="T170" s="2046"/>
      <c r="U170" s="2046"/>
      <c r="V170" s="2046"/>
      <c r="W170" s="2046"/>
      <c r="X170" s="2046"/>
      <c r="Y170" s="2046"/>
      <c r="Z170" s="2046"/>
      <c r="AA170" s="2046"/>
      <c r="AB170" s="2046"/>
      <c r="AC170" s="2046"/>
    </row>
    <row r="171" spans="1:29">
      <c r="A171" s="2046"/>
      <c r="B171" s="2046"/>
      <c r="C171" s="2046"/>
      <c r="D171" s="2046"/>
      <c r="E171" s="2046"/>
      <c r="F171" s="2046"/>
      <c r="G171" s="2046"/>
      <c r="H171" s="2046"/>
      <c r="I171" s="2046"/>
      <c r="J171" s="2046"/>
      <c r="K171" s="2047"/>
      <c r="L171" s="2048"/>
      <c r="M171" s="2046"/>
      <c r="N171" s="2046"/>
      <c r="O171" s="2046"/>
      <c r="P171" s="2046"/>
      <c r="Q171" s="2046"/>
      <c r="R171" s="2046"/>
      <c r="S171" s="2046"/>
      <c r="T171" s="2046"/>
      <c r="U171" s="2046"/>
      <c r="V171" s="2046"/>
      <c r="W171" s="2046"/>
      <c r="X171" s="2046"/>
      <c r="Y171" s="2046"/>
      <c r="Z171" s="2046"/>
      <c r="AA171" s="2046"/>
      <c r="AB171" s="2046"/>
      <c r="AC171" s="2046"/>
    </row>
    <row r="172" spans="1:29">
      <c r="A172" s="2046"/>
      <c r="B172" s="2046"/>
      <c r="C172" s="2046"/>
      <c r="D172" s="2046"/>
      <c r="E172" s="2046"/>
      <c r="F172" s="2046"/>
      <c r="G172" s="2046"/>
      <c r="H172" s="2046"/>
      <c r="I172" s="2046"/>
      <c r="J172" s="2046"/>
      <c r="K172" s="2047"/>
      <c r="L172" s="2048"/>
      <c r="M172" s="2046"/>
      <c r="N172" s="2046"/>
      <c r="O172" s="2046"/>
      <c r="P172" s="2046"/>
      <c r="Q172" s="2046"/>
      <c r="R172" s="2046"/>
      <c r="S172" s="2046"/>
      <c r="T172" s="2046"/>
      <c r="U172" s="2046"/>
      <c r="V172" s="2046"/>
      <c r="W172" s="2046"/>
      <c r="X172" s="2046"/>
      <c r="Y172" s="2046"/>
      <c r="Z172" s="2046"/>
      <c r="AA172" s="2046"/>
      <c r="AB172" s="2046"/>
      <c r="AC172" s="2046"/>
    </row>
    <row r="173" spans="1:29">
      <c r="A173" s="2046"/>
      <c r="B173" s="2046"/>
      <c r="C173" s="2046"/>
      <c r="D173" s="2046"/>
      <c r="E173" s="2046"/>
      <c r="F173" s="2046"/>
      <c r="G173" s="2046"/>
      <c r="H173" s="2046"/>
      <c r="I173" s="2046"/>
      <c r="J173" s="2046"/>
      <c r="K173" s="2047"/>
      <c r="L173" s="2048"/>
      <c r="M173" s="2046"/>
      <c r="N173" s="2046"/>
      <c r="O173" s="2046"/>
      <c r="P173" s="2046"/>
      <c r="Q173" s="2046"/>
      <c r="R173" s="2046"/>
      <c r="S173" s="2046"/>
      <c r="T173" s="2046"/>
      <c r="U173" s="2046"/>
      <c r="V173" s="2046"/>
      <c r="W173" s="2046"/>
      <c r="X173" s="2046"/>
      <c r="Y173" s="2046"/>
      <c r="Z173" s="2046"/>
      <c r="AA173" s="2046"/>
      <c r="AB173" s="2046"/>
      <c r="AC173" s="2046"/>
    </row>
    <row r="174" spans="1:29">
      <c r="A174" s="2046"/>
      <c r="B174" s="2046"/>
      <c r="C174" s="2046"/>
      <c r="D174" s="2046"/>
      <c r="E174" s="2046"/>
      <c r="F174" s="2046"/>
      <c r="G174" s="2046"/>
      <c r="H174" s="2046"/>
      <c r="I174" s="2046"/>
      <c r="J174" s="2046"/>
      <c r="K174" s="2047"/>
      <c r="L174" s="2048"/>
      <c r="M174" s="2046"/>
      <c r="N174" s="2046"/>
      <c r="O174" s="2046"/>
      <c r="P174" s="2046"/>
      <c r="Q174" s="2046"/>
      <c r="R174" s="2046"/>
      <c r="S174" s="2046"/>
      <c r="T174" s="2046"/>
      <c r="U174" s="2046"/>
      <c r="V174" s="2046"/>
      <c r="W174" s="2046"/>
      <c r="X174" s="2046"/>
      <c r="Y174" s="2046"/>
      <c r="Z174" s="2046"/>
      <c r="AA174" s="2046"/>
      <c r="AB174" s="2046"/>
      <c r="AC174" s="2046"/>
    </row>
    <row r="175" spans="1:29">
      <c r="A175" s="2046"/>
      <c r="B175" s="2046"/>
      <c r="C175" s="2046"/>
      <c r="D175" s="2046"/>
      <c r="E175" s="2046"/>
      <c r="F175" s="2046"/>
      <c r="G175" s="2046"/>
      <c r="H175" s="2046"/>
      <c r="I175" s="2046"/>
      <c r="J175" s="2046"/>
      <c r="K175" s="2047"/>
      <c r="L175" s="2048"/>
      <c r="M175" s="2046"/>
      <c r="N175" s="2046"/>
      <c r="O175" s="2046"/>
      <c r="P175" s="2046"/>
      <c r="Q175" s="2046"/>
      <c r="R175" s="2046"/>
      <c r="S175" s="2046"/>
      <c r="T175" s="2046"/>
      <c r="U175" s="2046"/>
      <c r="V175" s="2046"/>
      <c r="W175" s="2046"/>
      <c r="X175" s="2046"/>
      <c r="Y175" s="2046"/>
      <c r="Z175" s="2046"/>
      <c r="AA175" s="2046"/>
      <c r="AB175" s="2046"/>
      <c r="AC175" s="2046"/>
    </row>
    <row r="176" spans="1:29">
      <c r="A176" s="2046"/>
      <c r="B176" s="2046"/>
      <c r="C176" s="2046"/>
      <c r="D176" s="2046"/>
      <c r="E176" s="2046"/>
      <c r="F176" s="2046"/>
      <c r="G176" s="2046"/>
      <c r="H176" s="2046"/>
      <c r="I176" s="2046"/>
      <c r="J176" s="2046"/>
      <c r="K176" s="2047"/>
      <c r="L176" s="2048"/>
      <c r="M176" s="2046"/>
      <c r="N176" s="2046"/>
      <c r="O176" s="2046"/>
      <c r="P176" s="2046"/>
      <c r="Q176" s="2046"/>
      <c r="R176" s="2046"/>
      <c r="S176" s="2046"/>
      <c r="T176" s="2046"/>
      <c r="U176" s="2046"/>
      <c r="V176" s="2046"/>
      <c r="W176" s="2046"/>
      <c r="X176" s="2046"/>
      <c r="Y176" s="2046"/>
      <c r="Z176" s="2046"/>
      <c r="AA176" s="2046"/>
      <c r="AB176" s="2046"/>
      <c r="AC176" s="2046"/>
    </row>
    <row r="177" spans="1:29">
      <c r="A177" s="2046"/>
      <c r="B177" s="2046"/>
      <c r="C177" s="2046"/>
      <c r="D177" s="2046"/>
      <c r="E177" s="2046"/>
      <c r="F177" s="2046"/>
      <c r="G177" s="2046"/>
      <c r="H177" s="2046"/>
      <c r="I177" s="2046"/>
      <c r="J177" s="2046"/>
      <c r="K177" s="2047"/>
      <c r="L177" s="2048"/>
      <c r="M177" s="2046"/>
      <c r="N177" s="2046"/>
      <c r="O177" s="2046"/>
      <c r="P177" s="2046"/>
      <c r="Q177" s="2046"/>
      <c r="R177" s="2046"/>
      <c r="S177" s="2046"/>
      <c r="T177" s="2046"/>
      <c r="U177" s="2046"/>
      <c r="V177" s="2046"/>
      <c r="W177" s="2046"/>
      <c r="X177" s="2046"/>
      <c r="Y177" s="2046"/>
      <c r="Z177" s="2046"/>
      <c r="AA177" s="2046"/>
      <c r="AB177" s="2046"/>
      <c r="AC177" s="2046"/>
    </row>
    <row r="178" spans="1:29">
      <c r="A178" s="2046"/>
      <c r="B178" s="2046"/>
      <c r="C178" s="2046"/>
      <c r="D178" s="2046"/>
      <c r="E178" s="2046"/>
      <c r="F178" s="2046"/>
      <c r="G178" s="2046"/>
      <c r="H178" s="2046"/>
      <c r="I178" s="2046"/>
      <c r="J178" s="2046"/>
      <c r="K178" s="2047"/>
      <c r="L178" s="2048"/>
      <c r="M178" s="2046"/>
      <c r="N178" s="2046"/>
      <c r="O178" s="2046"/>
      <c r="P178" s="2046"/>
      <c r="Q178" s="2046"/>
      <c r="R178" s="2046"/>
      <c r="S178" s="2046"/>
      <c r="T178" s="2046"/>
      <c r="U178" s="2046"/>
      <c r="V178" s="2046"/>
      <c r="W178" s="2046"/>
      <c r="X178" s="2046"/>
      <c r="Y178" s="2046"/>
      <c r="Z178" s="2046"/>
      <c r="AA178" s="2046"/>
      <c r="AB178" s="2046"/>
      <c r="AC178" s="2046"/>
    </row>
    <row r="179" spans="1:29">
      <c r="A179" s="2046"/>
      <c r="B179" s="2046"/>
      <c r="C179" s="2046"/>
      <c r="D179" s="2046"/>
      <c r="E179" s="2046"/>
      <c r="F179" s="2046"/>
      <c r="G179" s="2046"/>
      <c r="H179" s="2046"/>
      <c r="I179" s="2046"/>
      <c r="J179" s="2046"/>
      <c r="K179" s="2047"/>
      <c r="L179" s="2048"/>
      <c r="M179" s="2046"/>
      <c r="N179" s="2046"/>
      <c r="O179" s="2046"/>
      <c r="P179" s="2046"/>
      <c r="Q179" s="2046"/>
      <c r="R179" s="2046"/>
      <c r="S179" s="2046"/>
      <c r="T179" s="2046"/>
      <c r="U179" s="2046"/>
      <c r="V179" s="2046"/>
      <c r="W179" s="2046"/>
      <c r="X179" s="2046"/>
      <c r="Y179" s="2046"/>
      <c r="Z179" s="2046"/>
      <c r="AA179" s="2046"/>
      <c r="AB179" s="2046"/>
      <c r="AC179" s="2046"/>
    </row>
    <row r="180" spans="1:29">
      <c r="A180" s="2046"/>
      <c r="B180" s="2046"/>
      <c r="C180" s="2046"/>
      <c r="D180" s="2046"/>
      <c r="E180" s="2046"/>
      <c r="F180" s="2046"/>
      <c r="G180" s="2046"/>
      <c r="H180" s="2046"/>
      <c r="I180" s="2046"/>
      <c r="J180" s="2046"/>
      <c r="K180" s="2047"/>
      <c r="L180" s="2048"/>
      <c r="M180" s="2046"/>
      <c r="N180" s="2046"/>
      <c r="O180" s="2046"/>
      <c r="P180" s="2046"/>
      <c r="Q180" s="2046"/>
      <c r="R180" s="2046"/>
      <c r="S180" s="2046"/>
      <c r="T180" s="2046"/>
      <c r="U180" s="2046"/>
      <c r="V180" s="2046"/>
      <c r="W180" s="2046"/>
      <c r="X180" s="2046"/>
      <c r="Y180" s="2046"/>
      <c r="Z180" s="2046"/>
      <c r="AA180" s="2046"/>
      <c r="AB180" s="2046"/>
      <c r="AC180" s="2046"/>
    </row>
    <row r="181" spans="1:29">
      <c r="A181" s="2046"/>
      <c r="B181" s="2046"/>
      <c r="C181" s="2046"/>
      <c r="D181" s="2046"/>
      <c r="E181" s="2046"/>
      <c r="F181" s="2046"/>
      <c r="G181" s="2046"/>
      <c r="H181" s="2046"/>
      <c r="I181" s="2046"/>
      <c r="J181" s="2046"/>
      <c r="K181" s="2047"/>
      <c r="L181" s="2048"/>
      <c r="M181" s="2046"/>
      <c r="N181" s="2046"/>
      <c r="O181" s="2046"/>
      <c r="P181" s="2046"/>
      <c r="Q181" s="2046"/>
      <c r="R181" s="2046"/>
      <c r="S181" s="2046"/>
      <c r="T181" s="2046"/>
      <c r="U181" s="2046"/>
      <c r="V181" s="2046"/>
      <c r="W181" s="2046"/>
      <c r="X181" s="2046"/>
      <c r="Y181" s="2046"/>
      <c r="Z181" s="2046"/>
      <c r="AA181" s="2046"/>
      <c r="AB181" s="2046"/>
      <c r="AC181" s="2046"/>
    </row>
    <row r="182" spans="1:29">
      <c r="A182" s="2046"/>
      <c r="B182" s="2046"/>
      <c r="C182" s="2046"/>
      <c r="D182" s="2046"/>
      <c r="E182" s="2046"/>
      <c r="F182" s="2046"/>
      <c r="G182" s="2046"/>
      <c r="H182" s="2046"/>
      <c r="I182" s="2046"/>
      <c r="J182" s="2046"/>
      <c r="K182" s="2047"/>
      <c r="L182" s="2048"/>
      <c r="M182" s="2046"/>
      <c r="N182" s="2046"/>
      <c r="O182" s="2046"/>
      <c r="P182" s="2046"/>
      <c r="Q182" s="2046"/>
      <c r="R182" s="2046"/>
      <c r="S182" s="2046"/>
      <c r="T182" s="2046"/>
      <c r="U182" s="2046"/>
      <c r="V182" s="2046"/>
      <c r="W182" s="2046"/>
      <c r="X182" s="2046"/>
      <c r="Y182" s="2046"/>
      <c r="Z182" s="2046"/>
      <c r="AA182" s="2046"/>
      <c r="AB182" s="2046"/>
      <c r="AC182" s="2046"/>
    </row>
    <row r="183" spans="1:29">
      <c r="A183" s="2046"/>
      <c r="B183" s="2046"/>
      <c r="C183" s="2046"/>
      <c r="D183" s="2046"/>
      <c r="E183" s="2046"/>
      <c r="F183" s="2046"/>
      <c r="G183" s="2046"/>
      <c r="H183" s="2046"/>
      <c r="I183" s="2046"/>
      <c r="J183" s="2046"/>
      <c r="K183" s="2047"/>
      <c r="L183" s="2048"/>
      <c r="M183" s="2046"/>
      <c r="N183" s="2046"/>
      <c r="O183" s="2046"/>
      <c r="P183" s="2046"/>
      <c r="Q183" s="2046"/>
      <c r="R183" s="2046"/>
      <c r="S183" s="2046"/>
      <c r="T183" s="2046"/>
      <c r="U183" s="2046"/>
      <c r="V183" s="2046"/>
      <c r="W183" s="2046"/>
      <c r="X183" s="2046"/>
      <c r="Y183" s="2046"/>
      <c r="Z183" s="2046"/>
      <c r="AA183" s="2046"/>
      <c r="AB183" s="2046"/>
      <c r="AC183" s="2046"/>
    </row>
    <row r="184" spans="1:29">
      <c r="A184" s="2046"/>
      <c r="B184" s="2046"/>
      <c r="C184" s="2046"/>
      <c r="D184" s="2046"/>
      <c r="E184" s="2046"/>
      <c r="F184" s="2046"/>
      <c r="G184" s="2046"/>
      <c r="H184" s="2046"/>
      <c r="I184" s="2046"/>
      <c r="J184" s="2046"/>
      <c r="K184" s="2047"/>
      <c r="L184" s="2048"/>
      <c r="M184" s="2046"/>
      <c r="N184" s="2046"/>
      <c r="O184" s="2046"/>
      <c r="P184" s="2046"/>
      <c r="Q184" s="2046"/>
      <c r="R184" s="2046"/>
      <c r="S184" s="2046"/>
      <c r="T184" s="2046"/>
      <c r="U184" s="2046"/>
      <c r="V184" s="2046"/>
      <c r="W184" s="2046"/>
      <c r="X184" s="2046"/>
      <c r="Y184" s="2046"/>
      <c r="Z184" s="2046"/>
      <c r="AA184" s="2046"/>
      <c r="AB184" s="2046"/>
      <c r="AC184" s="2046"/>
    </row>
    <row r="185" spans="1:29">
      <c r="A185" s="2046"/>
      <c r="B185" s="2046"/>
      <c r="C185" s="2046"/>
      <c r="D185" s="2046"/>
      <c r="E185" s="2046"/>
      <c r="F185" s="2046"/>
      <c r="G185" s="2046"/>
      <c r="H185" s="2046"/>
      <c r="I185" s="2046"/>
      <c r="J185" s="2046"/>
      <c r="K185" s="2047"/>
      <c r="L185" s="2048"/>
      <c r="M185" s="2046"/>
      <c r="N185" s="2046"/>
      <c r="O185" s="2046"/>
      <c r="P185" s="2046"/>
      <c r="Q185" s="2046"/>
      <c r="R185" s="2046"/>
      <c r="S185" s="2046"/>
      <c r="T185" s="2046"/>
      <c r="U185" s="2046"/>
      <c r="V185" s="2046"/>
      <c r="W185" s="2046"/>
      <c r="X185" s="2046"/>
      <c r="Y185" s="2046"/>
      <c r="Z185" s="2046"/>
      <c r="AA185" s="2046"/>
      <c r="AB185" s="2046"/>
      <c r="AC185" s="2046"/>
    </row>
    <row r="186" spans="1:29">
      <c r="A186" s="2046"/>
      <c r="B186" s="2046"/>
      <c r="C186" s="2046"/>
      <c r="D186" s="2046"/>
      <c r="E186" s="2046"/>
      <c r="F186" s="2046"/>
      <c r="G186" s="2046"/>
      <c r="H186" s="2046"/>
      <c r="I186" s="2046"/>
      <c r="J186" s="2046"/>
      <c r="K186" s="2047"/>
      <c r="L186" s="2048"/>
      <c r="M186" s="2046"/>
      <c r="N186" s="2046"/>
      <c r="O186" s="2046"/>
      <c r="P186" s="2046"/>
      <c r="Q186" s="2046"/>
      <c r="R186" s="2046"/>
      <c r="S186" s="2046"/>
      <c r="T186" s="2046"/>
      <c r="U186" s="2046"/>
      <c r="V186" s="2046"/>
      <c r="W186" s="2046"/>
      <c r="X186" s="2046"/>
      <c r="Y186" s="2046"/>
      <c r="Z186" s="2046"/>
      <c r="AA186" s="2046"/>
      <c r="AB186" s="2046"/>
      <c r="AC186" s="2046"/>
    </row>
    <row r="187" spans="1:29">
      <c r="A187" s="2046"/>
      <c r="B187" s="2046"/>
      <c r="C187" s="2046"/>
      <c r="D187" s="2046"/>
      <c r="E187" s="2046"/>
      <c r="F187" s="2046"/>
      <c r="G187" s="2046"/>
      <c r="H187" s="2046"/>
      <c r="I187" s="2046"/>
      <c r="J187" s="2046"/>
      <c r="K187" s="2047"/>
      <c r="L187" s="2048"/>
      <c r="M187" s="2046"/>
      <c r="N187" s="2046"/>
      <c r="O187" s="2046"/>
      <c r="P187" s="2046"/>
      <c r="Q187" s="2046"/>
      <c r="R187" s="2046"/>
      <c r="S187" s="2046"/>
      <c r="T187" s="2046"/>
      <c r="U187" s="2046"/>
      <c r="V187" s="2046"/>
      <c r="W187" s="2046"/>
      <c r="X187" s="2046"/>
      <c r="Y187" s="2046"/>
      <c r="Z187" s="2046"/>
      <c r="AA187" s="2046"/>
      <c r="AB187" s="2046"/>
      <c r="AC187" s="2046"/>
    </row>
    <row r="188" spans="1:29">
      <c r="A188" s="2046"/>
      <c r="B188" s="2046"/>
      <c r="C188" s="2046"/>
      <c r="D188" s="2046"/>
      <c r="E188" s="2046"/>
      <c r="F188" s="2046"/>
      <c r="G188" s="2046"/>
      <c r="H188" s="2046"/>
      <c r="I188" s="2046"/>
      <c r="J188" s="2046"/>
      <c r="K188" s="2047"/>
      <c r="L188" s="2048"/>
      <c r="M188" s="2046"/>
      <c r="N188" s="2046"/>
      <c r="O188" s="2046"/>
      <c r="P188" s="2046"/>
      <c r="Q188" s="2046"/>
      <c r="R188" s="2046"/>
      <c r="S188" s="2046"/>
      <c r="T188" s="2046"/>
      <c r="U188" s="2046"/>
      <c r="V188" s="2046"/>
      <c r="W188" s="2046"/>
      <c r="X188" s="2046"/>
      <c r="Y188" s="2046"/>
      <c r="Z188" s="2046"/>
      <c r="AA188" s="2046"/>
      <c r="AB188" s="2046"/>
      <c r="AC188" s="2046"/>
    </row>
    <row r="189" spans="1:29">
      <c r="A189" s="2046"/>
      <c r="B189" s="2046"/>
      <c r="C189" s="2046"/>
      <c r="D189" s="2046"/>
      <c r="E189" s="2046"/>
      <c r="F189" s="2046"/>
      <c r="G189" s="2046"/>
      <c r="H189" s="2046"/>
      <c r="I189" s="2046"/>
      <c r="J189" s="2046"/>
      <c r="K189" s="2047"/>
      <c r="L189" s="2048"/>
      <c r="M189" s="2046"/>
      <c r="N189" s="2046"/>
      <c r="O189" s="2046"/>
      <c r="P189" s="2046"/>
      <c r="Q189" s="2046"/>
      <c r="R189" s="2046"/>
      <c r="S189" s="2046"/>
      <c r="T189" s="2046"/>
      <c r="U189" s="2046"/>
      <c r="V189" s="2046"/>
      <c r="W189" s="2046"/>
      <c r="X189" s="2046"/>
      <c r="Y189" s="2046"/>
      <c r="Z189" s="2046"/>
      <c r="AA189" s="2046"/>
      <c r="AB189" s="2046"/>
      <c r="AC189" s="2046"/>
    </row>
    <row r="190" spans="1:29">
      <c r="A190" s="2046"/>
      <c r="B190" s="2046"/>
      <c r="C190" s="2046"/>
      <c r="D190" s="2046"/>
      <c r="E190" s="2046"/>
      <c r="F190" s="2046"/>
      <c r="G190" s="2046"/>
      <c r="H190" s="2046"/>
      <c r="I190" s="2046"/>
      <c r="J190" s="2046"/>
      <c r="K190" s="2047"/>
      <c r="L190" s="2048"/>
      <c r="M190" s="2046"/>
      <c r="N190" s="2046"/>
      <c r="O190" s="2046"/>
      <c r="P190" s="2046"/>
      <c r="Q190" s="2046"/>
      <c r="R190" s="2046"/>
      <c r="S190" s="2046"/>
      <c r="T190" s="2046"/>
      <c r="U190" s="2046"/>
      <c r="V190" s="2046"/>
      <c r="W190" s="2046"/>
      <c r="X190" s="2046"/>
      <c r="Y190" s="2046"/>
      <c r="Z190" s="2046"/>
      <c r="AA190" s="2046"/>
      <c r="AB190" s="2046"/>
      <c r="AC190" s="2046"/>
    </row>
    <row r="191" spans="1:29">
      <c r="A191" s="2046"/>
      <c r="B191" s="2046"/>
      <c r="C191" s="2046"/>
      <c r="D191" s="2046"/>
      <c r="E191" s="2046"/>
      <c r="F191" s="2046"/>
      <c r="G191" s="2046"/>
      <c r="H191" s="2046"/>
      <c r="I191" s="2046"/>
      <c r="J191" s="2046"/>
      <c r="K191" s="2047"/>
      <c r="L191" s="2048"/>
      <c r="M191" s="2046"/>
      <c r="N191" s="2046"/>
      <c r="O191" s="2046"/>
      <c r="P191" s="2046"/>
      <c r="Q191" s="2046"/>
      <c r="R191" s="2046"/>
      <c r="S191" s="2046"/>
      <c r="T191" s="2046"/>
      <c r="U191" s="2046"/>
      <c r="V191" s="2046"/>
      <c r="W191" s="2046"/>
      <c r="X191" s="2046"/>
      <c r="Y191" s="2046"/>
      <c r="Z191" s="2046"/>
      <c r="AA191" s="2046"/>
      <c r="AB191" s="2046"/>
      <c r="AC191" s="2046"/>
    </row>
    <row r="192" spans="1:29">
      <c r="A192" s="2046"/>
      <c r="B192" s="2046"/>
      <c r="C192" s="2046"/>
      <c r="D192" s="2046"/>
      <c r="E192" s="2046"/>
      <c r="F192" s="2046"/>
      <c r="G192" s="2046"/>
      <c r="H192" s="2046"/>
      <c r="I192" s="2046"/>
      <c r="J192" s="2046"/>
      <c r="K192" s="2047"/>
      <c r="L192" s="2048"/>
      <c r="M192" s="2046"/>
      <c r="N192" s="2046"/>
      <c r="O192" s="2046"/>
      <c r="P192" s="2046"/>
      <c r="Q192" s="2046"/>
      <c r="R192" s="2046"/>
      <c r="S192" s="2046"/>
      <c r="T192" s="2046"/>
      <c r="U192" s="2046"/>
      <c r="V192" s="2046"/>
      <c r="W192" s="2046"/>
      <c r="X192" s="2046"/>
      <c r="Y192" s="2046"/>
      <c r="Z192" s="2046"/>
      <c r="AA192" s="2046"/>
      <c r="AB192" s="2046"/>
      <c r="AC192" s="2046"/>
    </row>
    <row r="193" spans="1:29">
      <c r="A193" s="2046"/>
      <c r="B193" s="2046"/>
      <c r="C193" s="2046"/>
      <c r="D193" s="2046"/>
      <c r="E193" s="2046"/>
      <c r="F193" s="2046"/>
      <c r="G193" s="2046"/>
      <c r="H193" s="2046"/>
      <c r="I193" s="2046"/>
      <c r="J193" s="2046"/>
      <c r="K193" s="2047"/>
      <c r="L193" s="2048"/>
      <c r="M193" s="2046"/>
      <c r="N193" s="2046"/>
      <c r="O193" s="2046"/>
      <c r="P193" s="2046"/>
      <c r="Q193" s="2046"/>
      <c r="R193" s="2046"/>
      <c r="S193" s="2046"/>
      <c r="T193" s="2046"/>
      <c r="U193" s="2046"/>
      <c r="V193" s="2046"/>
      <c r="W193" s="2046"/>
      <c r="X193" s="2046"/>
      <c r="Y193" s="2046"/>
      <c r="Z193" s="2046"/>
      <c r="AA193" s="2046"/>
      <c r="AB193" s="2046"/>
      <c r="AC193" s="2046"/>
    </row>
    <row r="194" spans="1:29">
      <c r="A194" s="2046"/>
      <c r="B194" s="2046"/>
      <c r="C194" s="2046"/>
      <c r="D194" s="2046"/>
      <c r="E194" s="2046"/>
      <c r="F194" s="2046"/>
      <c r="G194" s="2046"/>
      <c r="H194" s="2046"/>
      <c r="I194" s="2046"/>
      <c r="J194" s="2046"/>
      <c r="K194" s="2047"/>
      <c r="L194" s="2048"/>
      <c r="M194" s="2046"/>
      <c r="N194" s="2046"/>
      <c r="O194" s="2046"/>
      <c r="P194" s="2046"/>
      <c r="Q194" s="2046"/>
      <c r="R194" s="2046"/>
      <c r="S194" s="2046"/>
      <c r="T194" s="2046"/>
      <c r="U194" s="2046"/>
      <c r="V194" s="2046"/>
      <c r="W194" s="2046"/>
      <c r="X194" s="2046"/>
      <c r="Y194" s="2046"/>
      <c r="Z194" s="2046"/>
      <c r="AA194" s="2046"/>
      <c r="AB194" s="2046"/>
      <c r="AC194" s="2046"/>
    </row>
    <row r="195" spans="1:29">
      <c r="A195" s="2046"/>
      <c r="B195" s="2046"/>
      <c r="C195" s="2046"/>
      <c r="D195" s="2046"/>
      <c r="E195" s="2046"/>
      <c r="F195" s="2046"/>
      <c r="G195" s="2046"/>
      <c r="H195" s="2046"/>
      <c r="I195" s="2046"/>
      <c r="J195" s="2046"/>
      <c r="K195" s="2047"/>
      <c r="L195" s="2048"/>
      <c r="M195" s="2046"/>
      <c r="N195" s="2046"/>
      <c r="O195" s="2046"/>
      <c r="P195" s="2046"/>
      <c r="Q195" s="2046"/>
      <c r="R195" s="2046"/>
      <c r="S195" s="2046"/>
      <c r="T195" s="2046"/>
      <c r="U195" s="2046"/>
      <c r="V195" s="2046"/>
      <c r="W195" s="2046"/>
      <c r="X195" s="2046"/>
      <c r="Y195" s="2046"/>
      <c r="Z195" s="2046"/>
      <c r="AA195" s="2046"/>
      <c r="AB195" s="2046"/>
      <c r="AC195" s="2046"/>
    </row>
    <row r="196" spans="1:29">
      <c r="A196" s="2046"/>
      <c r="B196" s="2046"/>
      <c r="C196" s="2046"/>
      <c r="D196" s="2046"/>
      <c r="E196" s="2046"/>
      <c r="F196" s="2046"/>
      <c r="G196" s="2046"/>
      <c r="H196" s="2046"/>
      <c r="I196" s="2046"/>
      <c r="J196" s="2046"/>
      <c r="K196" s="2047"/>
      <c r="L196" s="2048"/>
      <c r="M196" s="2046"/>
      <c r="N196" s="2046"/>
      <c r="O196" s="2046"/>
      <c r="P196" s="2046"/>
      <c r="Q196" s="2046"/>
      <c r="R196" s="2046"/>
      <c r="S196" s="2046"/>
      <c r="T196" s="2046"/>
      <c r="U196" s="2046"/>
      <c r="V196" s="2046"/>
      <c r="W196" s="2046"/>
      <c r="X196" s="2046"/>
      <c r="Y196" s="2046"/>
      <c r="Z196" s="2046"/>
      <c r="AA196" s="2046"/>
      <c r="AB196" s="2046"/>
      <c r="AC196" s="2046"/>
    </row>
    <row r="197" spans="1:29">
      <c r="A197" s="2046"/>
      <c r="B197" s="2046"/>
      <c r="C197" s="2046"/>
      <c r="D197" s="2046"/>
      <c r="E197" s="2046"/>
      <c r="F197" s="2046"/>
      <c r="G197" s="2046"/>
      <c r="H197" s="2046"/>
      <c r="I197" s="2046"/>
      <c r="J197" s="2046"/>
      <c r="K197" s="2047"/>
      <c r="L197" s="2048"/>
      <c r="M197" s="2046"/>
      <c r="N197" s="2046"/>
      <c r="O197" s="2046"/>
      <c r="P197" s="2046"/>
      <c r="Q197" s="2046"/>
      <c r="R197" s="2046"/>
      <c r="S197" s="2046"/>
      <c r="T197" s="2046"/>
      <c r="U197" s="2046"/>
      <c r="V197" s="2046"/>
      <c r="W197" s="2046"/>
      <c r="X197" s="2046"/>
      <c r="Y197" s="2046"/>
      <c r="Z197" s="2046"/>
      <c r="AA197" s="2046"/>
      <c r="AB197" s="2046"/>
      <c r="AC197" s="2046"/>
    </row>
    <row r="198" spans="1:29">
      <c r="A198" s="2046"/>
      <c r="B198" s="2046"/>
      <c r="C198" s="2046"/>
      <c r="D198" s="2046"/>
      <c r="E198" s="2046"/>
      <c r="F198" s="2046"/>
      <c r="G198" s="2046"/>
      <c r="H198" s="2046"/>
      <c r="I198" s="2046"/>
      <c r="J198" s="2046"/>
      <c r="K198" s="2047"/>
      <c r="L198" s="2048"/>
      <c r="M198" s="2046"/>
      <c r="N198" s="2046"/>
      <c r="O198" s="2046"/>
      <c r="P198" s="2046"/>
      <c r="Q198" s="2046"/>
      <c r="R198" s="2046"/>
      <c r="S198" s="2046"/>
      <c r="T198" s="2046"/>
      <c r="U198" s="2046"/>
      <c r="V198" s="2046"/>
      <c r="W198" s="2046"/>
      <c r="X198" s="2046"/>
      <c r="Y198" s="2046"/>
      <c r="Z198" s="2046"/>
      <c r="AA198" s="2046"/>
      <c r="AB198" s="2046"/>
      <c r="AC198" s="2046"/>
    </row>
    <row r="199" spans="1:29">
      <c r="A199" s="2046"/>
      <c r="B199" s="2046"/>
      <c r="C199" s="2046"/>
      <c r="D199" s="2046"/>
      <c r="E199" s="2046"/>
      <c r="F199" s="2046"/>
      <c r="G199" s="2046"/>
      <c r="H199" s="2046"/>
      <c r="I199" s="2046"/>
      <c r="J199" s="2046"/>
      <c r="K199" s="2047"/>
      <c r="L199" s="2048"/>
      <c r="M199" s="2046"/>
      <c r="N199" s="2046"/>
      <c r="O199" s="2046"/>
      <c r="P199" s="2046"/>
      <c r="Q199" s="2046"/>
      <c r="R199" s="2046"/>
      <c r="S199" s="2046"/>
      <c r="T199" s="2046"/>
      <c r="U199" s="2046"/>
      <c r="V199" s="2046"/>
      <c r="W199" s="2046"/>
      <c r="X199" s="2046"/>
      <c r="Y199" s="2046"/>
      <c r="Z199" s="2046"/>
      <c r="AA199" s="2046"/>
      <c r="AB199" s="2046"/>
      <c r="AC199" s="2046"/>
    </row>
    <row r="200" spans="1:29">
      <c r="A200" s="2046"/>
      <c r="B200" s="2046"/>
      <c r="C200" s="2046"/>
      <c r="D200" s="2046"/>
      <c r="E200" s="2046"/>
      <c r="F200" s="2046"/>
      <c r="G200" s="2046"/>
      <c r="H200" s="2046"/>
      <c r="I200" s="2046"/>
      <c r="J200" s="2046"/>
      <c r="K200" s="2047"/>
      <c r="L200" s="2048"/>
      <c r="M200" s="2046"/>
      <c r="N200" s="2046"/>
      <c r="O200" s="2046"/>
      <c r="P200" s="2046"/>
      <c r="Q200" s="2046"/>
      <c r="R200" s="2046"/>
      <c r="S200" s="2046"/>
      <c r="T200" s="2046"/>
      <c r="U200" s="2046"/>
      <c r="V200" s="2046"/>
      <c r="W200" s="2046"/>
      <c r="X200" s="2046"/>
      <c r="Y200" s="2046"/>
      <c r="Z200" s="2046"/>
      <c r="AA200" s="2046"/>
      <c r="AB200" s="2046"/>
      <c r="AC200" s="2046"/>
    </row>
    <row r="201" spans="1:29">
      <c r="A201" s="2046"/>
      <c r="B201" s="2046"/>
      <c r="C201" s="2046"/>
      <c r="D201" s="2046"/>
      <c r="E201" s="2046"/>
      <c r="F201" s="2046"/>
      <c r="G201" s="2046"/>
      <c r="H201" s="2046"/>
      <c r="I201" s="2046"/>
      <c r="J201" s="2046"/>
      <c r="K201" s="2047"/>
      <c r="L201" s="2048"/>
      <c r="M201" s="2046"/>
      <c r="N201" s="2046"/>
      <c r="O201" s="2046"/>
      <c r="P201" s="2046"/>
      <c r="Q201" s="2046"/>
      <c r="R201" s="2046"/>
      <c r="S201" s="2046"/>
      <c r="T201" s="2046"/>
      <c r="U201" s="2046"/>
      <c r="V201" s="2046"/>
      <c r="W201" s="2046"/>
      <c r="X201" s="2046"/>
      <c r="Y201" s="2046"/>
      <c r="Z201" s="2046"/>
      <c r="AA201" s="2046"/>
      <c r="AB201" s="2046"/>
      <c r="AC201" s="2046"/>
    </row>
    <row r="202" spans="1:29">
      <c r="A202" s="2046"/>
      <c r="B202" s="2046"/>
      <c r="C202" s="2046"/>
      <c r="D202" s="2046"/>
      <c r="E202" s="2046"/>
      <c r="F202" s="2046"/>
      <c r="G202" s="2046"/>
      <c r="H202" s="2046"/>
      <c r="I202" s="2046"/>
      <c r="J202" s="2046"/>
      <c r="K202" s="2047"/>
      <c r="L202" s="2048"/>
      <c r="M202" s="2046"/>
      <c r="N202" s="2046"/>
      <c r="O202" s="2046"/>
      <c r="P202" s="2046"/>
      <c r="Q202" s="2046"/>
      <c r="R202" s="2046"/>
      <c r="S202" s="2046"/>
      <c r="T202" s="2046"/>
      <c r="U202" s="2046"/>
      <c r="V202" s="2046"/>
      <c r="W202" s="2046"/>
      <c r="X202" s="2046"/>
      <c r="Y202" s="2046"/>
      <c r="Z202" s="2046"/>
      <c r="AA202" s="2046"/>
      <c r="AB202" s="2046"/>
      <c r="AC202" s="2046"/>
    </row>
    <row r="203" spans="1:29">
      <c r="A203" s="2046"/>
      <c r="B203" s="2046"/>
      <c r="C203" s="2046"/>
      <c r="D203" s="2046"/>
      <c r="E203" s="2046"/>
      <c r="F203" s="2046"/>
      <c r="G203" s="2046"/>
      <c r="H203" s="2046"/>
      <c r="I203" s="2046"/>
      <c r="J203" s="2046"/>
      <c r="K203" s="2047"/>
      <c r="L203" s="2048"/>
      <c r="M203" s="2046"/>
      <c r="N203" s="2046"/>
      <c r="O203" s="2046"/>
      <c r="P203" s="2046"/>
      <c r="Q203" s="2046"/>
      <c r="R203" s="2046"/>
      <c r="S203" s="2046"/>
      <c r="T203" s="2046"/>
      <c r="U203" s="2046"/>
      <c r="V203" s="2046"/>
      <c r="W203" s="2046"/>
      <c r="X203" s="2046"/>
      <c r="Y203" s="2046"/>
      <c r="Z203" s="2046"/>
      <c r="AA203" s="2046"/>
      <c r="AB203" s="2046"/>
      <c r="AC203" s="2046"/>
    </row>
    <row r="204" spans="1:29">
      <c r="A204" s="2046"/>
      <c r="B204" s="2046"/>
      <c r="C204" s="2046"/>
      <c r="D204" s="2046"/>
      <c r="E204" s="2046"/>
      <c r="F204" s="2046"/>
      <c r="G204" s="2046"/>
      <c r="H204" s="2046"/>
      <c r="I204" s="2046"/>
      <c r="J204" s="2046"/>
      <c r="K204" s="2047"/>
      <c r="L204" s="2048"/>
      <c r="M204" s="2046"/>
      <c r="N204" s="2046"/>
      <c r="O204" s="2046"/>
      <c r="P204" s="2046"/>
      <c r="Q204" s="2046"/>
      <c r="R204" s="2046"/>
      <c r="S204" s="2046"/>
      <c r="T204" s="2046"/>
      <c r="U204" s="2046"/>
      <c r="V204" s="2046"/>
      <c r="W204" s="2046"/>
      <c r="X204" s="2046"/>
      <c r="Y204" s="2046"/>
      <c r="Z204" s="2046"/>
      <c r="AA204" s="2046"/>
      <c r="AB204" s="2046"/>
      <c r="AC204" s="2046"/>
    </row>
    <row r="205" spans="1:29">
      <c r="A205" s="2046"/>
      <c r="B205" s="2046"/>
      <c r="C205" s="2046"/>
      <c r="D205" s="2046"/>
      <c r="E205" s="2046"/>
      <c r="F205" s="2046"/>
      <c r="G205" s="2046"/>
      <c r="H205" s="2046"/>
      <c r="I205" s="2046"/>
      <c r="J205" s="2046"/>
      <c r="K205" s="2047"/>
      <c r="L205" s="2048"/>
      <c r="M205" s="2046"/>
      <c r="N205" s="2046"/>
      <c r="O205" s="2046"/>
      <c r="P205" s="2046"/>
      <c r="Q205" s="2046"/>
      <c r="R205" s="2046"/>
      <c r="S205" s="2046"/>
      <c r="T205" s="2046"/>
      <c r="U205" s="2046"/>
      <c r="V205" s="2046"/>
      <c r="W205" s="2046"/>
      <c r="X205" s="2046"/>
      <c r="Y205" s="2046"/>
      <c r="Z205" s="2046"/>
      <c r="AA205" s="2046"/>
      <c r="AB205" s="2046"/>
      <c r="AC205" s="2046"/>
    </row>
    <row r="206" spans="1:29">
      <c r="A206" s="2046"/>
      <c r="B206" s="2046"/>
      <c r="C206" s="2046"/>
      <c r="D206" s="2046"/>
      <c r="E206" s="2046"/>
      <c r="F206" s="2046"/>
      <c r="G206" s="2046"/>
      <c r="H206" s="2046"/>
      <c r="I206" s="2046"/>
      <c r="J206" s="2046"/>
      <c r="K206" s="2047"/>
      <c r="L206" s="2048"/>
      <c r="M206" s="2046"/>
      <c r="N206" s="2046"/>
      <c r="O206" s="2046"/>
      <c r="P206" s="2046"/>
      <c r="Q206" s="2046"/>
      <c r="R206" s="2046"/>
      <c r="S206" s="2046"/>
      <c r="T206" s="2046"/>
      <c r="U206" s="2046"/>
      <c r="V206" s="2046"/>
      <c r="W206" s="2046"/>
      <c r="X206" s="2046"/>
      <c r="Y206" s="2046"/>
      <c r="Z206" s="2046"/>
      <c r="AA206" s="2046"/>
      <c r="AB206" s="2046"/>
      <c r="AC206" s="2046"/>
    </row>
    <row r="207" spans="1:29">
      <c r="A207" s="2046"/>
      <c r="B207" s="2046"/>
      <c r="C207" s="2046"/>
      <c r="D207" s="2046"/>
      <c r="E207" s="2046"/>
      <c r="F207" s="2046"/>
      <c r="G207" s="2046"/>
      <c r="H207" s="2046"/>
      <c r="I207" s="2046"/>
      <c r="J207" s="2046"/>
      <c r="K207" s="2047"/>
      <c r="L207" s="2048"/>
      <c r="M207" s="2046"/>
      <c r="N207" s="2046"/>
      <c r="O207" s="2046"/>
      <c r="P207" s="2046"/>
      <c r="Q207" s="2046"/>
      <c r="R207" s="2046"/>
      <c r="S207" s="2046"/>
      <c r="T207" s="2046"/>
      <c r="U207" s="2046"/>
      <c r="V207" s="2046"/>
      <c r="W207" s="2046"/>
      <c r="X207" s="2046"/>
      <c r="Y207" s="2046"/>
      <c r="Z207" s="2046"/>
      <c r="AA207" s="2046"/>
      <c r="AB207" s="2046"/>
      <c r="AC207" s="2046"/>
    </row>
    <row r="208" spans="1:29">
      <c r="A208" s="2046"/>
      <c r="B208" s="2046"/>
      <c r="C208" s="2046"/>
      <c r="D208" s="2046"/>
      <c r="E208" s="2046"/>
      <c r="F208" s="2046"/>
      <c r="G208" s="2046"/>
      <c r="H208" s="2046"/>
      <c r="I208" s="2046"/>
      <c r="J208" s="2046"/>
      <c r="K208" s="2047"/>
      <c r="L208" s="2048"/>
      <c r="M208" s="2046"/>
      <c r="N208" s="2046"/>
      <c r="O208" s="2046"/>
      <c r="P208" s="2046"/>
      <c r="Q208" s="2046"/>
      <c r="R208" s="2046"/>
      <c r="S208" s="2046"/>
      <c r="T208" s="2046"/>
      <c r="U208" s="2046"/>
      <c r="V208" s="2046"/>
      <c r="W208" s="2046"/>
      <c r="X208" s="2046"/>
      <c r="Y208" s="2046"/>
      <c r="Z208" s="2046"/>
      <c r="AA208" s="2046"/>
      <c r="AB208" s="2046"/>
      <c r="AC208" s="2046"/>
    </row>
    <row r="209" spans="1:29">
      <c r="A209" s="2046"/>
      <c r="B209" s="2046"/>
      <c r="C209" s="2046"/>
      <c r="D209" s="2046"/>
      <c r="E209" s="2046"/>
      <c r="F209" s="2046"/>
      <c r="G209" s="2046"/>
      <c r="H209" s="2046"/>
      <c r="I209" s="2046"/>
      <c r="J209" s="2046"/>
      <c r="K209" s="2047"/>
      <c r="L209" s="2048"/>
      <c r="M209" s="2046"/>
      <c r="N209" s="2046"/>
      <c r="O209" s="2046"/>
      <c r="P209" s="2046"/>
      <c r="Q209" s="2046"/>
      <c r="R209" s="2046"/>
      <c r="S209" s="2046"/>
      <c r="T209" s="2046"/>
      <c r="U209" s="2046"/>
      <c r="V209" s="2046"/>
      <c r="W209" s="2046"/>
      <c r="X209" s="2046"/>
      <c r="Y209" s="2046"/>
      <c r="Z209" s="2046"/>
      <c r="AA209" s="2046"/>
      <c r="AB209" s="2046"/>
      <c r="AC209" s="2046"/>
    </row>
    <row r="210" spans="1:29">
      <c r="A210" s="2046"/>
      <c r="B210" s="2046"/>
      <c r="C210" s="2046"/>
      <c r="D210" s="2046"/>
      <c r="E210" s="2046"/>
      <c r="F210" s="2046"/>
      <c r="G210" s="2046"/>
      <c r="H210" s="2046"/>
      <c r="I210" s="2046"/>
      <c r="J210" s="2046"/>
      <c r="K210" s="2047"/>
      <c r="L210" s="2048"/>
      <c r="M210" s="2046"/>
      <c r="N210" s="2046"/>
      <c r="O210" s="2046"/>
      <c r="P210" s="2046"/>
      <c r="Q210" s="2046"/>
      <c r="R210" s="2046"/>
      <c r="S210" s="2046"/>
      <c r="T210" s="2046"/>
      <c r="U210" s="2046"/>
      <c r="V210" s="2046"/>
      <c r="W210" s="2046"/>
      <c r="X210" s="2046"/>
      <c r="Y210" s="2046"/>
      <c r="Z210" s="2046"/>
      <c r="AA210" s="2046"/>
      <c r="AB210" s="2046"/>
      <c r="AC210" s="2046"/>
    </row>
    <row r="211" spans="1:29">
      <c r="A211" s="2046"/>
      <c r="B211" s="2046"/>
      <c r="C211" s="2046"/>
      <c r="D211" s="2046"/>
      <c r="E211" s="2046"/>
      <c r="F211" s="2046"/>
      <c r="G211" s="2046"/>
      <c r="H211" s="2046"/>
      <c r="I211" s="2046"/>
      <c r="J211" s="2046"/>
      <c r="K211" s="2047"/>
      <c r="L211" s="2048"/>
      <c r="M211" s="2046"/>
      <c r="N211" s="2046"/>
      <c r="O211" s="2046"/>
      <c r="P211" s="2046"/>
      <c r="Q211" s="2046"/>
      <c r="R211" s="2046"/>
      <c r="S211" s="2046"/>
      <c r="T211" s="2046"/>
      <c r="U211" s="2046"/>
      <c r="V211" s="2046"/>
      <c r="W211" s="2046"/>
      <c r="X211" s="2046"/>
      <c r="Y211" s="2046"/>
      <c r="Z211" s="2046"/>
      <c r="AA211" s="2046"/>
      <c r="AB211" s="2046"/>
      <c r="AC211" s="2046"/>
    </row>
    <row r="212" spans="1:29">
      <c r="A212" s="2046"/>
      <c r="B212" s="2046"/>
      <c r="C212" s="2046"/>
      <c r="D212" s="2046"/>
      <c r="E212" s="2046"/>
      <c r="F212" s="2046"/>
      <c r="G212" s="2046"/>
      <c r="H212" s="2046"/>
      <c r="I212" s="2046"/>
      <c r="J212" s="2046"/>
      <c r="K212" s="2047"/>
      <c r="L212" s="2048"/>
      <c r="M212" s="2046"/>
      <c r="N212" s="2046"/>
      <c r="O212" s="2046"/>
      <c r="P212" s="2046"/>
      <c r="Q212" s="2046"/>
      <c r="R212" s="2046"/>
      <c r="S212" s="2046"/>
      <c r="T212" s="2046"/>
      <c r="U212" s="2046"/>
      <c r="V212" s="2046"/>
      <c r="W212" s="2046"/>
      <c r="X212" s="2046"/>
      <c r="Y212" s="2046"/>
      <c r="Z212" s="2046"/>
      <c r="AA212" s="2046"/>
      <c r="AB212" s="2046"/>
      <c r="AC212" s="2046"/>
    </row>
    <row r="213" spans="1:29">
      <c r="A213" s="2046"/>
      <c r="B213" s="2046"/>
      <c r="C213" s="2046"/>
      <c r="D213" s="2046"/>
      <c r="E213" s="2046"/>
      <c r="F213" s="2046"/>
      <c r="G213" s="2046"/>
      <c r="H213" s="2046"/>
      <c r="I213" s="2046"/>
      <c r="J213" s="2046"/>
      <c r="K213" s="2047"/>
      <c r="L213" s="2048"/>
      <c r="M213" s="2046"/>
      <c r="N213" s="2046"/>
      <c r="O213" s="2046"/>
      <c r="P213" s="2046"/>
      <c r="Q213" s="2046"/>
      <c r="R213" s="2046"/>
      <c r="S213" s="2046"/>
      <c r="T213" s="2046"/>
      <c r="U213" s="2046"/>
      <c r="V213" s="2046"/>
      <c r="W213" s="2046"/>
      <c r="X213" s="2046"/>
      <c r="Y213" s="2046"/>
      <c r="Z213" s="2046"/>
      <c r="AA213" s="2046"/>
      <c r="AB213" s="2046"/>
      <c r="AC213" s="2046"/>
    </row>
    <row r="214" spans="1:29">
      <c r="A214" s="2046"/>
      <c r="B214" s="2046"/>
      <c r="C214" s="2046"/>
      <c r="D214" s="2046"/>
      <c r="E214" s="2046"/>
      <c r="F214" s="2046"/>
      <c r="G214" s="2046"/>
      <c r="H214" s="2046"/>
      <c r="I214" s="2046"/>
      <c r="J214" s="2046"/>
      <c r="K214" s="2047"/>
      <c r="L214" s="2048"/>
      <c r="M214" s="2046"/>
      <c r="N214" s="2046"/>
      <c r="O214" s="2046"/>
      <c r="P214" s="2046"/>
      <c r="Q214" s="2046"/>
      <c r="R214" s="2046"/>
      <c r="S214" s="2046"/>
      <c r="T214" s="2046"/>
      <c r="U214" s="2046"/>
      <c r="V214" s="2046"/>
      <c r="W214" s="2046"/>
      <c r="X214" s="2046"/>
      <c r="Y214" s="2046"/>
      <c r="Z214" s="2046"/>
      <c r="AA214" s="2046"/>
      <c r="AB214" s="2046"/>
      <c r="AC214" s="2046"/>
    </row>
    <row r="215" spans="1:29">
      <c r="A215" s="2046"/>
      <c r="B215" s="2046"/>
      <c r="C215" s="2046"/>
      <c r="D215" s="2046"/>
      <c r="E215" s="2046"/>
      <c r="F215" s="2046"/>
      <c r="G215" s="2046"/>
      <c r="H215" s="2046"/>
      <c r="I215" s="2046"/>
      <c r="J215" s="2046"/>
      <c r="K215" s="2047"/>
      <c r="L215" s="2048"/>
      <c r="M215" s="2046"/>
      <c r="N215" s="2046"/>
      <c r="O215" s="2046"/>
      <c r="P215" s="2046"/>
      <c r="Q215" s="2046"/>
      <c r="R215" s="2046"/>
      <c r="S215" s="2046"/>
      <c r="T215" s="2046"/>
      <c r="U215" s="2046"/>
      <c r="V215" s="2046"/>
      <c r="W215" s="2046"/>
      <c r="X215" s="2046"/>
      <c r="Y215" s="2046"/>
      <c r="Z215" s="2046"/>
      <c r="AA215" s="2046"/>
      <c r="AB215" s="2046"/>
      <c r="AC215" s="2046"/>
    </row>
    <row r="216" spans="1:29">
      <c r="A216" s="2046"/>
      <c r="B216" s="2046"/>
      <c r="C216" s="2046"/>
      <c r="D216" s="2046"/>
      <c r="E216" s="2046"/>
      <c r="F216" s="2046"/>
      <c r="G216" s="2046"/>
      <c r="H216" s="2046"/>
      <c r="I216" s="2046"/>
      <c r="J216" s="2046"/>
      <c r="K216" s="2047"/>
      <c r="L216" s="2048"/>
      <c r="M216" s="2046"/>
      <c r="N216" s="2046"/>
      <c r="O216" s="2046"/>
      <c r="P216" s="2046"/>
      <c r="Q216" s="2046"/>
      <c r="R216" s="2046"/>
      <c r="S216" s="2046"/>
      <c r="T216" s="2046"/>
      <c r="U216" s="2046"/>
      <c r="V216" s="2046"/>
      <c r="W216" s="2046"/>
      <c r="X216" s="2046"/>
      <c r="Y216" s="2046"/>
      <c r="Z216" s="2046"/>
      <c r="AA216" s="2046"/>
      <c r="AB216" s="2046"/>
      <c r="AC216" s="2046"/>
    </row>
    <row r="217" spans="1:29">
      <c r="A217" s="2046"/>
      <c r="B217" s="2046"/>
      <c r="C217" s="2046"/>
      <c r="D217" s="2046"/>
      <c r="E217" s="2046"/>
      <c r="F217" s="2046"/>
      <c r="G217" s="2046"/>
      <c r="H217" s="2046"/>
      <c r="I217" s="2046"/>
      <c r="J217" s="2046"/>
      <c r="K217" s="2047"/>
      <c r="L217" s="2048"/>
      <c r="M217" s="2046"/>
      <c r="N217" s="2046"/>
      <c r="O217" s="2046"/>
      <c r="P217" s="2046"/>
      <c r="Q217" s="2046"/>
      <c r="R217" s="2046"/>
      <c r="S217" s="2046"/>
      <c r="T217" s="2046"/>
      <c r="U217" s="2046"/>
      <c r="V217" s="2046"/>
      <c r="W217" s="2046"/>
      <c r="X217" s="2046"/>
      <c r="Y217" s="2046"/>
      <c r="Z217" s="2046"/>
      <c r="AA217" s="2046"/>
      <c r="AB217" s="2046"/>
      <c r="AC217" s="2046"/>
    </row>
    <row r="218" spans="1:29">
      <c r="A218" s="2046"/>
      <c r="B218" s="2046"/>
      <c r="C218" s="2046"/>
      <c r="D218" s="2046"/>
      <c r="E218" s="2046"/>
      <c r="F218" s="2046"/>
      <c r="G218" s="2046"/>
      <c r="H218" s="2046"/>
      <c r="I218" s="2046"/>
      <c r="J218" s="2046"/>
      <c r="K218" s="2047"/>
      <c r="L218" s="2048"/>
      <c r="M218" s="2046"/>
      <c r="N218" s="2046"/>
      <c r="O218" s="2046"/>
      <c r="P218" s="2046"/>
      <c r="Q218" s="2046"/>
      <c r="R218" s="2046"/>
      <c r="S218" s="2046"/>
      <c r="T218" s="2046"/>
      <c r="U218" s="2046"/>
      <c r="V218" s="2046"/>
      <c r="W218" s="2046"/>
      <c r="X218" s="2046"/>
      <c r="Y218" s="2046"/>
      <c r="Z218" s="2046"/>
      <c r="AA218" s="2046"/>
      <c r="AB218" s="2046"/>
      <c r="AC218" s="2046"/>
    </row>
    <row r="219" spans="1:29">
      <c r="A219" s="2046"/>
      <c r="B219" s="2046"/>
      <c r="C219" s="2046"/>
      <c r="D219" s="2046"/>
      <c r="E219" s="2046"/>
      <c r="F219" s="2046"/>
      <c r="G219" s="2046"/>
      <c r="H219" s="2046"/>
      <c r="I219" s="2046"/>
      <c r="J219" s="2046"/>
      <c r="K219" s="2047"/>
      <c r="L219" s="2048"/>
      <c r="M219" s="2046"/>
      <c r="N219" s="2046"/>
      <c r="O219" s="2046"/>
      <c r="P219" s="2046"/>
      <c r="Q219" s="2046"/>
      <c r="R219" s="2046"/>
      <c r="S219" s="2046"/>
      <c r="T219" s="2046"/>
      <c r="U219" s="2046"/>
      <c r="V219" s="2046"/>
      <c r="W219" s="2046"/>
      <c r="X219" s="2046"/>
      <c r="Y219" s="2046"/>
      <c r="Z219" s="2046"/>
      <c r="AA219" s="2046"/>
      <c r="AB219" s="2046"/>
      <c r="AC219" s="2046"/>
    </row>
    <row r="220" spans="1:29">
      <c r="A220" s="2046"/>
      <c r="B220" s="2046"/>
      <c r="C220" s="2046"/>
      <c r="D220" s="2046"/>
      <c r="E220" s="2046"/>
      <c r="F220" s="2046"/>
      <c r="G220" s="2046"/>
      <c r="H220" s="2046"/>
      <c r="I220" s="2046"/>
      <c r="J220" s="2046"/>
      <c r="K220" s="2047"/>
      <c r="L220" s="2048"/>
      <c r="M220" s="2046"/>
      <c r="N220" s="2046"/>
      <c r="O220" s="2046"/>
      <c r="P220" s="2046"/>
      <c r="Q220" s="2046"/>
      <c r="R220" s="2046"/>
      <c r="S220" s="2046"/>
      <c r="T220" s="2046"/>
      <c r="U220" s="2046"/>
      <c r="V220" s="2046"/>
      <c r="W220" s="2046"/>
      <c r="X220" s="2046"/>
      <c r="Y220" s="2046"/>
      <c r="Z220" s="2046"/>
      <c r="AA220" s="2046"/>
      <c r="AB220" s="2046"/>
      <c r="AC220" s="2046"/>
    </row>
    <row r="221" spans="1:29">
      <c r="A221" s="2046"/>
      <c r="B221" s="2046"/>
      <c r="C221" s="2046"/>
      <c r="D221" s="2046"/>
      <c r="E221" s="2046"/>
      <c r="F221" s="2046"/>
      <c r="G221" s="2046"/>
      <c r="H221" s="2046"/>
      <c r="I221" s="2046"/>
      <c r="J221" s="2046"/>
      <c r="K221" s="2047"/>
      <c r="L221" s="2048"/>
      <c r="M221" s="2046"/>
      <c r="N221" s="2046"/>
      <c r="O221" s="2046"/>
      <c r="P221" s="2046"/>
      <c r="Q221" s="2046"/>
      <c r="R221" s="2046"/>
      <c r="S221" s="2046"/>
      <c r="T221" s="2046"/>
      <c r="U221" s="2046"/>
      <c r="V221" s="2046"/>
      <c r="W221" s="2046"/>
      <c r="X221" s="2046"/>
      <c r="Y221" s="2046"/>
      <c r="Z221" s="2046"/>
      <c r="AA221" s="2046"/>
      <c r="AB221" s="2046"/>
      <c r="AC221" s="2046"/>
    </row>
    <row r="222" spans="1:29">
      <c r="A222" s="2046"/>
      <c r="B222" s="2046"/>
      <c r="C222" s="2046"/>
      <c r="D222" s="2046"/>
      <c r="E222" s="2046"/>
      <c r="F222" s="2046"/>
      <c r="G222" s="2046"/>
      <c r="H222" s="2046"/>
      <c r="I222" s="2046"/>
      <c r="J222" s="2046"/>
      <c r="K222" s="2047"/>
      <c r="L222" s="2048"/>
      <c r="M222" s="2046"/>
      <c r="N222" s="2046"/>
      <c r="O222" s="2046"/>
      <c r="P222" s="2046"/>
      <c r="Q222" s="2046"/>
      <c r="R222" s="2046"/>
      <c r="S222" s="2046"/>
      <c r="T222" s="2046"/>
      <c r="U222" s="2046"/>
      <c r="V222" s="2046"/>
      <c r="W222" s="2046"/>
      <c r="X222" s="2046"/>
      <c r="Y222" s="2046"/>
      <c r="Z222" s="2046"/>
      <c r="AA222" s="2046"/>
      <c r="AB222" s="2046"/>
      <c r="AC222" s="2046"/>
    </row>
    <row r="223" spans="1:29">
      <c r="A223" s="2046"/>
      <c r="B223" s="2046"/>
      <c r="C223" s="2046"/>
      <c r="D223" s="2046"/>
      <c r="E223" s="2046"/>
      <c r="F223" s="2046"/>
      <c r="G223" s="2046"/>
      <c r="H223" s="2046"/>
      <c r="I223" s="2046"/>
      <c r="J223" s="2046"/>
      <c r="K223" s="2047"/>
      <c r="L223" s="2048"/>
      <c r="M223" s="2046"/>
      <c r="N223" s="2046"/>
      <c r="O223" s="2046"/>
      <c r="P223" s="2046"/>
      <c r="Q223" s="2046"/>
      <c r="R223" s="2046"/>
      <c r="S223" s="2046"/>
      <c r="T223" s="2046"/>
      <c r="U223" s="2046"/>
      <c r="V223" s="2046"/>
      <c r="W223" s="2046"/>
      <c r="X223" s="2046"/>
      <c r="Y223" s="2046"/>
      <c r="Z223" s="2046"/>
      <c r="AA223" s="2046"/>
      <c r="AB223" s="2046"/>
      <c r="AC223" s="2046"/>
    </row>
    <row r="224" spans="1:29">
      <c r="A224" s="2046"/>
      <c r="B224" s="2046"/>
      <c r="C224" s="2046"/>
      <c r="D224" s="2046"/>
      <c r="E224" s="2046"/>
      <c r="F224" s="2046"/>
      <c r="G224" s="2046"/>
      <c r="H224" s="2046"/>
      <c r="I224" s="2046"/>
      <c r="J224" s="2046"/>
      <c r="K224" s="2047"/>
      <c r="L224" s="2048"/>
      <c r="M224" s="2046"/>
      <c r="N224" s="2046"/>
      <c r="O224" s="2046"/>
      <c r="P224" s="2046"/>
      <c r="Q224" s="2046"/>
      <c r="R224" s="2046"/>
      <c r="S224" s="2046"/>
      <c r="T224" s="2046"/>
      <c r="U224" s="2046"/>
      <c r="V224" s="2046"/>
      <c r="W224" s="2046"/>
      <c r="X224" s="2046"/>
      <c r="Y224" s="2046"/>
      <c r="Z224" s="2046"/>
      <c r="AA224" s="2046"/>
      <c r="AB224" s="2046"/>
      <c r="AC224" s="2046"/>
    </row>
    <row r="225" spans="1:29">
      <c r="A225" s="2046"/>
      <c r="B225" s="2046"/>
      <c r="C225" s="2046"/>
      <c r="D225" s="2046"/>
      <c r="E225" s="2046"/>
      <c r="F225" s="2046"/>
      <c r="G225" s="2046"/>
      <c r="H225" s="2046"/>
      <c r="I225" s="2046"/>
      <c r="J225" s="2046"/>
      <c r="K225" s="2047"/>
      <c r="L225" s="2048"/>
      <c r="M225" s="2046"/>
      <c r="N225" s="2046"/>
      <c r="O225" s="2046"/>
      <c r="P225" s="2046"/>
      <c r="Q225" s="2046"/>
      <c r="R225" s="2046"/>
      <c r="S225" s="2046"/>
      <c r="T225" s="2046"/>
      <c r="U225" s="2046"/>
      <c r="V225" s="2046"/>
      <c r="W225" s="2046"/>
      <c r="X225" s="2046"/>
      <c r="Y225" s="2046"/>
      <c r="Z225" s="2046"/>
      <c r="AA225" s="2046"/>
      <c r="AB225" s="2046"/>
      <c r="AC225" s="2046"/>
    </row>
    <row r="226" spans="1:29">
      <c r="A226" s="2046"/>
      <c r="B226" s="2046"/>
      <c r="C226" s="2046"/>
      <c r="D226" s="2046"/>
      <c r="E226" s="2046"/>
      <c r="F226" s="2046"/>
      <c r="G226" s="2046"/>
      <c r="H226" s="2046"/>
      <c r="I226" s="2046"/>
      <c r="J226" s="2046"/>
      <c r="K226" s="2047"/>
      <c r="L226" s="2048"/>
      <c r="M226" s="2046"/>
      <c r="N226" s="2046"/>
      <c r="O226" s="2046"/>
      <c r="P226" s="2046"/>
      <c r="Q226" s="2046"/>
      <c r="R226" s="2046"/>
      <c r="S226" s="2046"/>
      <c r="T226" s="2046"/>
      <c r="U226" s="2046"/>
      <c r="V226" s="2046"/>
      <c r="W226" s="2046"/>
      <c r="X226" s="2046"/>
      <c r="Y226" s="2046"/>
      <c r="Z226" s="2046"/>
      <c r="AA226" s="2046"/>
      <c r="AB226" s="2046"/>
      <c r="AC226" s="2046"/>
    </row>
    <row r="227" spans="1:29">
      <c r="A227" s="2046"/>
      <c r="B227" s="2046"/>
      <c r="C227" s="2046"/>
      <c r="D227" s="2046"/>
      <c r="E227" s="2046"/>
      <c r="F227" s="2046"/>
      <c r="G227" s="2046"/>
      <c r="H227" s="2046"/>
      <c r="I227" s="2046"/>
      <c r="J227" s="2046"/>
      <c r="K227" s="2047"/>
      <c r="L227" s="2048"/>
      <c r="M227" s="2046"/>
      <c r="N227" s="2046"/>
      <c r="O227" s="2046"/>
      <c r="P227" s="2046"/>
      <c r="Q227" s="2046"/>
      <c r="R227" s="2046"/>
      <c r="S227" s="2046"/>
      <c r="T227" s="2046"/>
      <c r="U227" s="2046"/>
      <c r="V227" s="2046"/>
      <c r="W227" s="2046"/>
      <c r="X227" s="2046"/>
      <c r="Y227" s="2046"/>
      <c r="Z227" s="2046"/>
      <c r="AA227" s="2046"/>
      <c r="AB227" s="2046"/>
      <c r="AC227" s="2046"/>
    </row>
    <row r="228" spans="1:29">
      <c r="A228" s="2046"/>
      <c r="B228" s="2046"/>
      <c r="C228" s="2046"/>
      <c r="D228" s="2046"/>
      <c r="E228" s="2046"/>
      <c r="F228" s="2046"/>
      <c r="G228" s="2046"/>
      <c r="H228" s="2046"/>
      <c r="I228" s="2046"/>
      <c r="J228" s="2046"/>
      <c r="K228" s="2047"/>
      <c r="L228" s="2048"/>
      <c r="M228" s="2046"/>
      <c r="N228" s="2046"/>
      <c r="O228" s="2046"/>
      <c r="P228" s="2046"/>
      <c r="Q228" s="2046"/>
      <c r="R228" s="2046"/>
      <c r="S228" s="2046"/>
      <c r="T228" s="2046"/>
      <c r="U228" s="2046"/>
      <c r="V228" s="2046"/>
      <c r="W228" s="2046"/>
      <c r="X228" s="2046"/>
      <c r="Y228" s="2046"/>
      <c r="Z228" s="2046"/>
      <c r="AA228" s="2046"/>
      <c r="AB228" s="2046"/>
      <c r="AC228" s="2046"/>
    </row>
    <row r="229" spans="1:29">
      <c r="A229" s="2046"/>
      <c r="B229" s="2046"/>
      <c r="C229" s="2046"/>
      <c r="D229" s="2046"/>
      <c r="E229" s="2046"/>
      <c r="F229" s="2046"/>
      <c r="G229" s="2046"/>
      <c r="H229" s="2046"/>
      <c r="I229" s="2046"/>
      <c r="J229" s="2046"/>
      <c r="K229" s="2047"/>
      <c r="L229" s="2048"/>
      <c r="M229" s="2046"/>
      <c r="N229" s="2046"/>
      <c r="O229" s="2046"/>
      <c r="P229" s="2046"/>
      <c r="Q229" s="2046"/>
      <c r="R229" s="2046"/>
      <c r="S229" s="2046"/>
      <c r="T229" s="2046"/>
      <c r="U229" s="2046"/>
      <c r="V229" s="2046"/>
      <c r="W229" s="2046"/>
      <c r="X229" s="2046"/>
      <c r="Y229" s="2046"/>
      <c r="Z229" s="2046"/>
      <c r="AA229" s="2046"/>
      <c r="AB229" s="2046"/>
      <c r="AC229" s="2046"/>
    </row>
    <row r="230" spans="1:29">
      <c r="A230" s="2046"/>
      <c r="B230" s="2046"/>
      <c r="C230" s="2046"/>
      <c r="D230" s="2046"/>
      <c r="E230" s="2046"/>
      <c r="F230" s="2046"/>
      <c r="G230" s="2046"/>
      <c r="H230" s="2046"/>
      <c r="I230" s="2046"/>
      <c r="J230" s="2046"/>
      <c r="K230" s="2047"/>
      <c r="L230" s="2048"/>
      <c r="M230" s="2046"/>
      <c r="N230" s="2046"/>
      <c r="O230" s="2046"/>
      <c r="P230" s="2046"/>
      <c r="Q230" s="2046"/>
      <c r="R230" s="2046"/>
      <c r="S230" s="2046"/>
      <c r="T230" s="2046"/>
      <c r="U230" s="2046"/>
      <c r="V230" s="2046"/>
      <c r="W230" s="2046"/>
      <c r="X230" s="2046"/>
      <c r="Y230" s="2046"/>
      <c r="Z230" s="2046"/>
      <c r="AA230" s="2046"/>
      <c r="AB230" s="2046"/>
      <c r="AC230" s="2046"/>
    </row>
    <row r="231" spans="1:29">
      <c r="A231" s="2046"/>
      <c r="B231" s="2046"/>
      <c r="C231" s="2046"/>
      <c r="D231" s="2046"/>
      <c r="E231" s="2046"/>
      <c r="F231" s="2046"/>
      <c r="G231" s="2046"/>
      <c r="H231" s="2046"/>
      <c r="I231" s="2046"/>
      <c r="J231" s="2046"/>
      <c r="K231" s="2047"/>
      <c r="L231" s="2048"/>
      <c r="M231" s="2046"/>
      <c r="N231" s="2046"/>
      <c r="O231" s="2046"/>
      <c r="P231" s="2046"/>
      <c r="Q231" s="2046"/>
      <c r="R231" s="2046"/>
      <c r="S231" s="2046"/>
      <c r="T231" s="2046"/>
      <c r="U231" s="2046"/>
      <c r="V231" s="2046"/>
      <c r="W231" s="2046"/>
      <c r="X231" s="2046"/>
      <c r="Y231" s="2046"/>
      <c r="Z231" s="2046"/>
      <c r="AA231" s="2046"/>
      <c r="AB231" s="2046"/>
      <c r="AC231" s="2046"/>
    </row>
    <row r="232" spans="1:29">
      <c r="A232" s="2046"/>
      <c r="B232" s="2046"/>
      <c r="C232" s="2046"/>
      <c r="D232" s="2046"/>
      <c r="E232" s="2046"/>
      <c r="F232" s="2046"/>
      <c r="G232" s="2046"/>
      <c r="H232" s="2046"/>
      <c r="I232" s="2046"/>
      <c r="J232" s="2046"/>
      <c r="K232" s="2047"/>
      <c r="L232" s="2048"/>
      <c r="M232" s="2046"/>
      <c r="N232" s="2046"/>
      <c r="O232" s="2046"/>
      <c r="P232" s="2046"/>
      <c r="Q232" s="2046"/>
      <c r="R232" s="2046"/>
      <c r="S232" s="2046"/>
      <c r="T232" s="2046"/>
      <c r="U232" s="2046"/>
      <c r="V232" s="2046"/>
      <c r="W232" s="2046"/>
      <c r="X232" s="2046"/>
      <c r="Y232" s="2046"/>
      <c r="Z232" s="2046"/>
      <c r="AA232" s="2046"/>
      <c r="AB232" s="2046"/>
      <c r="AC232" s="2046"/>
    </row>
    <row r="233" spans="1:29">
      <c r="A233" s="2046"/>
      <c r="B233" s="2046"/>
      <c r="C233" s="2046"/>
      <c r="D233" s="2046"/>
      <c r="E233" s="2046"/>
      <c r="F233" s="2046"/>
      <c r="G233" s="2046"/>
      <c r="H233" s="2046"/>
      <c r="I233" s="2046"/>
      <c r="J233" s="2046"/>
      <c r="K233" s="2047"/>
      <c r="L233" s="2048"/>
      <c r="M233" s="2046"/>
      <c r="N233" s="2046"/>
      <c r="O233" s="2046"/>
      <c r="P233" s="2046"/>
      <c r="Q233" s="2046"/>
      <c r="R233" s="2046"/>
      <c r="S233" s="2046"/>
      <c r="T233" s="2046"/>
      <c r="U233" s="2046"/>
      <c r="V233" s="2046"/>
      <c r="W233" s="2046"/>
      <c r="X233" s="2046"/>
      <c r="Y233" s="2046"/>
      <c r="Z233" s="2046"/>
      <c r="AA233" s="2046"/>
      <c r="AB233" s="2046"/>
      <c r="AC233" s="2046"/>
    </row>
    <row r="234" spans="1:29">
      <c r="A234" s="2046"/>
      <c r="B234" s="2046"/>
      <c r="C234" s="2046"/>
      <c r="D234" s="2046"/>
      <c r="E234" s="2046"/>
      <c r="F234" s="2046"/>
      <c r="G234" s="2046"/>
      <c r="H234" s="2046"/>
      <c r="I234" s="2046"/>
      <c r="J234" s="2046"/>
      <c r="K234" s="2047"/>
      <c r="L234" s="2048"/>
      <c r="M234" s="2046"/>
      <c r="N234" s="2046"/>
      <c r="O234" s="2046"/>
      <c r="P234" s="2046"/>
      <c r="Q234" s="2046"/>
      <c r="R234" s="2046"/>
      <c r="S234" s="2046"/>
      <c r="T234" s="2046"/>
      <c r="U234" s="2046"/>
      <c r="V234" s="2046"/>
      <c r="W234" s="2046"/>
      <c r="X234" s="2046"/>
      <c r="Y234" s="2046"/>
      <c r="Z234" s="2046"/>
      <c r="AA234" s="2046"/>
      <c r="AB234" s="2046"/>
      <c r="AC234" s="2046"/>
    </row>
    <row r="235" spans="1:29">
      <c r="A235" s="2046"/>
      <c r="B235" s="2046"/>
      <c r="C235" s="2046"/>
      <c r="D235" s="2046"/>
      <c r="E235" s="2046"/>
      <c r="F235" s="2046"/>
      <c r="G235" s="2046"/>
      <c r="H235" s="2046"/>
      <c r="I235" s="2046"/>
      <c r="J235" s="2046"/>
      <c r="K235" s="2047"/>
      <c r="L235" s="2048"/>
      <c r="M235" s="2046"/>
      <c r="N235" s="2046"/>
      <c r="O235" s="2046"/>
      <c r="P235" s="2046"/>
      <c r="Q235" s="2046"/>
      <c r="R235" s="2046"/>
      <c r="S235" s="2046"/>
      <c r="T235" s="2046"/>
      <c r="U235" s="2046"/>
      <c r="V235" s="2046"/>
      <c r="W235" s="2046"/>
      <c r="X235" s="2046"/>
      <c r="Y235" s="2046"/>
      <c r="Z235" s="2046"/>
      <c r="AA235" s="2046"/>
      <c r="AB235" s="2046"/>
      <c r="AC235" s="2046"/>
    </row>
    <row r="236" spans="1:29">
      <c r="A236" s="2046"/>
      <c r="B236" s="2046"/>
      <c r="C236" s="2046"/>
      <c r="D236" s="2046"/>
      <c r="E236" s="2046"/>
      <c r="F236" s="2046"/>
      <c r="G236" s="2046"/>
      <c r="H236" s="2046"/>
      <c r="I236" s="2046"/>
      <c r="J236" s="2046"/>
      <c r="K236" s="2047"/>
      <c r="L236" s="2048"/>
      <c r="M236" s="2046"/>
      <c r="N236" s="2046"/>
      <c r="O236" s="2046"/>
      <c r="P236" s="2046"/>
      <c r="Q236" s="2046"/>
      <c r="R236" s="2046"/>
      <c r="S236" s="2046"/>
      <c r="T236" s="2046"/>
      <c r="U236" s="2046"/>
      <c r="V236" s="2046"/>
      <c r="W236" s="2046"/>
      <c r="X236" s="2046"/>
      <c r="Y236" s="2046"/>
      <c r="Z236" s="2046"/>
      <c r="AA236" s="2046"/>
      <c r="AB236" s="2046"/>
      <c r="AC236" s="2046"/>
    </row>
    <row r="237" spans="1:29">
      <c r="A237" s="2046"/>
      <c r="B237" s="2046"/>
      <c r="C237" s="2046"/>
      <c r="D237" s="2046"/>
      <c r="E237" s="2046"/>
      <c r="F237" s="2046"/>
      <c r="G237" s="2046"/>
      <c r="H237" s="2046"/>
      <c r="I237" s="2046"/>
      <c r="J237" s="2046"/>
      <c r="K237" s="2047"/>
      <c r="L237" s="2048"/>
      <c r="M237" s="2046"/>
      <c r="N237" s="2046"/>
      <c r="O237" s="2046"/>
      <c r="P237" s="2046"/>
      <c r="Q237" s="2046"/>
      <c r="R237" s="2046"/>
      <c r="S237" s="2046"/>
      <c r="T237" s="2046"/>
      <c r="U237" s="2046"/>
      <c r="V237" s="2046"/>
      <c r="W237" s="2046"/>
      <c r="X237" s="2046"/>
      <c r="Y237" s="2046"/>
      <c r="Z237" s="2046"/>
      <c r="AA237" s="2046"/>
      <c r="AB237" s="2046"/>
      <c r="AC237" s="2046"/>
    </row>
    <row r="238" spans="1:29">
      <c r="A238" s="2046"/>
      <c r="B238" s="2046"/>
      <c r="C238" s="2046"/>
      <c r="D238" s="2046"/>
      <c r="E238" s="2046"/>
      <c r="F238" s="2046"/>
      <c r="G238" s="2046"/>
      <c r="H238" s="2046"/>
      <c r="I238" s="2046"/>
      <c r="J238" s="2046"/>
      <c r="K238" s="2047"/>
      <c r="L238" s="2048"/>
      <c r="M238" s="2046"/>
      <c r="N238" s="2046"/>
      <c r="O238" s="2046"/>
      <c r="P238" s="2046"/>
      <c r="Q238" s="2046"/>
      <c r="R238" s="2046"/>
      <c r="S238" s="2046"/>
      <c r="T238" s="2046"/>
      <c r="U238" s="2046"/>
      <c r="V238" s="2046"/>
      <c r="W238" s="2046"/>
      <c r="X238" s="2046"/>
      <c r="Y238" s="2046"/>
      <c r="Z238" s="2046"/>
      <c r="AA238" s="2046"/>
      <c r="AB238" s="2046"/>
      <c r="AC238" s="2046"/>
    </row>
    <row r="239" spans="1:29">
      <c r="A239" s="2046"/>
      <c r="B239" s="2046"/>
      <c r="C239" s="2046"/>
      <c r="D239" s="2046"/>
      <c r="E239" s="2046"/>
      <c r="F239" s="2046"/>
      <c r="G239" s="2046"/>
      <c r="H239" s="2046"/>
      <c r="I239" s="2046"/>
      <c r="J239" s="2046"/>
      <c r="K239" s="2047"/>
      <c r="L239" s="2048"/>
      <c r="M239" s="2046"/>
      <c r="N239" s="2046"/>
      <c r="O239" s="2046"/>
      <c r="P239" s="2046"/>
      <c r="Q239" s="2046"/>
      <c r="R239" s="2046"/>
      <c r="S239" s="2046"/>
      <c r="T239" s="2046"/>
      <c r="U239" s="2046"/>
      <c r="V239" s="2046"/>
      <c r="W239" s="2046"/>
      <c r="X239" s="2046"/>
      <c r="Y239" s="2046"/>
      <c r="Z239" s="2046"/>
      <c r="AA239" s="2046"/>
      <c r="AB239" s="2046"/>
      <c r="AC239" s="2046"/>
    </row>
    <row r="240" spans="1:29">
      <c r="A240" s="2046"/>
      <c r="B240" s="2046"/>
      <c r="C240" s="2046"/>
      <c r="D240" s="2046"/>
      <c r="E240" s="2046"/>
      <c r="F240" s="2046"/>
      <c r="G240" s="2046"/>
      <c r="H240" s="2046"/>
      <c r="I240" s="2046"/>
      <c r="J240" s="2046"/>
      <c r="K240" s="2047"/>
      <c r="L240" s="2048"/>
      <c r="M240" s="2046"/>
      <c r="N240" s="2046"/>
      <c r="O240" s="2046"/>
      <c r="P240" s="2046"/>
      <c r="Q240" s="2046"/>
      <c r="R240" s="2046"/>
      <c r="S240" s="2046"/>
      <c r="T240" s="2046"/>
      <c r="U240" s="2046"/>
      <c r="V240" s="2046"/>
      <c r="W240" s="2046"/>
      <c r="X240" s="2046"/>
      <c r="Y240" s="2046"/>
      <c r="Z240" s="2046"/>
      <c r="AA240" s="2046"/>
      <c r="AB240" s="2046"/>
      <c r="AC240" s="2046"/>
    </row>
    <row r="241" spans="1:29">
      <c r="A241" s="2046"/>
      <c r="B241" s="2046"/>
      <c r="C241" s="2046"/>
      <c r="D241" s="2046"/>
      <c r="E241" s="2046"/>
      <c r="F241" s="2046"/>
      <c r="G241" s="2046"/>
      <c r="H241" s="2046"/>
      <c r="I241" s="2046"/>
      <c r="J241" s="2046"/>
      <c r="K241" s="2047"/>
      <c r="L241" s="2048"/>
      <c r="M241" s="2046"/>
      <c r="N241" s="2046"/>
      <c r="O241" s="2046"/>
      <c r="P241" s="2046"/>
      <c r="Q241" s="2046"/>
      <c r="R241" s="2046"/>
      <c r="S241" s="2046"/>
      <c r="T241" s="2046"/>
      <c r="U241" s="2046"/>
      <c r="V241" s="2046"/>
      <c r="W241" s="2046"/>
      <c r="X241" s="2046"/>
      <c r="Y241" s="2046"/>
      <c r="Z241" s="2046"/>
      <c r="AA241" s="2046"/>
      <c r="AB241" s="2046"/>
      <c r="AC241" s="2046"/>
    </row>
    <row r="242" spans="1:29">
      <c r="A242" s="2046"/>
      <c r="B242" s="2046"/>
      <c r="C242" s="2046"/>
      <c r="D242" s="2046"/>
      <c r="E242" s="2046"/>
      <c r="F242" s="2046"/>
      <c r="G242" s="2046"/>
      <c r="H242" s="2046"/>
      <c r="I242" s="2046"/>
      <c r="J242" s="2046"/>
      <c r="K242" s="2047"/>
      <c r="L242" s="2048"/>
      <c r="M242" s="2046"/>
      <c r="N242" s="2046"/>
      <c r="O242" s="2046"/>
      <c r="P242" s="2046"/>
      <c r="Q242" s="2046"/>
      <c r="R242" s="2046"/>
      <c r="S242" s="2046"/>
      <c r="T242" s="2046"/>
      <c r="U242" s="2046"/>
      <c r="V242" s="2046"/>
      <c r="W242" s="2046"/>
      <c r="X242" s="2046"/>
      <c r="Y242" s="2046"/>
      <c r="Z242" s="2046"/>
      <c r="AA242" s="2046"/>
      <c r="AB242" s="2046"/>
      <c r="AC242" s="2046"/>
    </row>
    <row r="243" spans="1:29">
      <c r="A243" s="2046"/>
      <c r="B243" s="2046"/>
      <c r="C243" s="2046"/>
      <c r="D243" s="2046"/>
      <c r="E243" s="2046"/>
      <c r="F243" s="2046"/>
      <c r="G243" s="2046"/>
      <c r="H243" s="2046"/>
      <c r="I243" s="2046"/>
      <c r="J243" s="2046"/>
      <c r="K243" s="2047"/>
      <c r="L243" s="2048"/>
      <c r="M243" s="2046"/>
      <c r="N243" s="2046"/>
      <c r="O243" s="2046"/>
      <c r="P243" s="2046"/>
      <c r="Q243" s="2046"/>
      <c r="R243" s="2046"/>
      <c r="S243" s="2046"/>
      <c r="T243" s="2046"/>
      <c r="U243" s="2046"/>
      <c r="V243" s="2046"/>
      <c r="W243" s="2046"/>
      <c r="X243" s="2046"/>
      <c r="Y243" s="2046"/>
      <c r="Z243" s="2046"/>
      <c r="AA243" s="2046"/>
      <c r="AB243" s="2046"/>
      <c r="AC243" s="2046"/>
    </row>
    <row r="244" spans="1:29">
      <c r="A244" s="2046"/>
      <c r="B244" s="2046"/>
      <c r="C244" s="2046"/>
      <c r="D244" s="2046"/>
      <c r="E244" s="2046"/>
      <c r="F244" s="2046"/>
      <c r="G244" s="2046"/>
      <c r="H244" s="2046"/>
      <c r="I244" s="2046"/>
      <c r="J244" s="2046"/>
      <c r="K244" s="2047"/>
      <c r="L244" s="2048"/>
      <c r="M244" s="2046"/>
      <c r="N244" s="2046"/>
      <c r="O244" s="2046"/>
      <c r="P244" s="2046"/>
      <c r="Q244" s="2046"/>
      <c r="R244" s="2046"/>
      <c r="S244" s="2046"/>
      <c r="T244" s="2046"/>
      <c r="U244" s="2046"/>
      <c r="V244" s="2046"/>
      <c r="W244" s="2046"/>
      <c r="X244" s="2046"/>
      <c r="Y244" s="2046"/>
      <c r="Z244" s="2046"/>
      <c r="AA244" s="2046"/>
      <c r="AB244" s="2046"/>
      <c r="AC244" s="2046"/>
    </row>
    <row r="245" spans="1:29">
      <c r="A245" s="2046"/>
      <c r="B245" s="2046"/>
      <c r="C245" s="2046"/>
      <c r="D245" s="2046"/>
      <c r="E245" s="2046"/>
      <c r="F245" s="2046"/>
      <c r="G245" s="2046"/>
      <c r="H245" s="2046"/>
      <c r="I245" s="2046"/>
      <c r="J245" s="2046"/>
      <c r="K245" s="2047"/>
      <c r="L245" s="2048"/>
      <c r="M245" s="2046"/>
      <c r="N245" s="2046"/>
      <c r="O245" s="2046"/>
      <c r="P245" s="2046"/>
      <c r="Q245" s="2046"/>
      <c r="R245" s="2046"/>
      <c r="S245" s="2046"/>
      <c r="T245" s="2046"/>
      <c r="U245" s="2046"/>
      <c r="V245" s="2046"/>
      <c r="W245" s="2046"/>
      <c r="X245" s="2046"/>
      <c r="Y245" s="2046"/>
      <c r="Z245" s="2046"/>
      <c r="AA245" s="2046"/>
      <c r="AB245" s="2046"/>
      <c r="AC245" s="2046"/>
    </row>
    <row r="246" spans="1:29">
      <c r="A246" s="2046"/>
      <c r="B246" s="2046"/>
      <c r="C246" s="2046"/>
      <c r="D246" s="2046"/>
      <c r="E246" s="2046"/>
      <c r="F246" s="2046"/>
      <c r="G246" s="2046"/>
      <c r="H246" s="2046"/>
      <c r="I246" s="2046"/>
      <c r="J246" s="2046"/>
      <c r="K246" s="2047"/>
      <c r="L246" s="2048"/>
      <c r="M246" s="2046"/>
      <c r="N246" s="2046"/>
      <c r="O246" s="2046"/>
      <c r="P246" s="2046"/>
      <c r="Q246" s="2046"/>
      <c r="R246" s="2046"/>
      <c r="S246" s="2046"/>
      <c r="T246" s="2046"/>
      <c r="U246" s="2046"/>
      <c r="V246" s="2046"/>
      <c r="W246" s="2046"/>
      <c r="X246" s="2046"/>
      <c r="Y246" s="2046"/>
      <c r="Z246" s="2046"/>
      <c r="AA246" s="2046"/>
      <c r="AB246" s="2046"/>
      <c r="AC246" s="2046"/>
    </row>
    <row r="247" spans="1:29">
      <c r="A247" s="2046"/>
      <c r="B247" s="2046"/>
      <c r="C247" s="2046"/>
      <c r="D247" s="2046"/>
      <c r="E247" s="2046"/>
      <c r="F247" s="2046"/>
      <c r="G247" s="2046"/>
      <c r="H247" s="2046"/>
      <c r="I247" s="2046"/>
      <c r="J247" s="2046"/>
      <c r="K247" s="2047"/>
      <c r="L247" s="2048"/>
      <c r="M247" s="2046"/>
      <c r="N247" s="2046"/>
      <c r="O247" s="2046"/>
      <c r="P247" s="2046"/>
      <c r="Q247" s="2046"/>
      <c r="R247" s="2046"/>
      <c r="S247" s="2046"/>
      <c r="T247" s="2046"/>
      <c r="U247" s="2046"/>
      <c r="V247" s="2046"/>
      <c r="W247" s="2046"/>
      <c r="X247" s="2046"/>
      <c r="Y247" s="2046"/>
      <c r="Z247" s="2046"/>
      <c r="AA247" s="2046"/>
      <c r="AB247" s="2046"/>
      <c r="AC247" s="2046"/>
    </row>
    <row r="248" spans="1:29">
      <c r="A248" s="2046"/>
      <c r="B248" s="2046"/>
      <c r="C248" s="2046"/>
      <c r="D248" s="2046"/>
      <c r="E248" s="2046"/>
      <c r="F248" s="2046"/>
      <c r="G248" s="2046"/>
      <c r="H248" s="2046"/>
      <c r="I248" s="2046"/>
      <c r="J248" s="2046"/>
      <c r="K248" s="2047"/>
      <c r="L248" s="2048"/>
      <c r="M248" s="2046"/>
      <c r="N248" s="2046"/>
      <c r="O248" s="2046"/>
      <c r="P248" s="2046"/>
      <c r="Q248" s="2046"/>
      <c r="R248" s="2046"/>
      <c r="S248" s="2046"/>
      <c r="T248" s="2046"/>
      <c r="U248" s="2046"/>
      <c r="V248" s="2046"/>
      <c r="W248" s="2046"/>
      <c r="X248" s="2046"/>
      <c r="Y248" s="2046"/>
      <c r="Z248" s="2046"/>
      <c r="AA248" s="2046"/>
      <c r="AB248" s="2046"/>
      <c r="AC248" s="2046"/>
    </row>
    <row r="249" spans="1:29">
      <c r="A249" s="2046"/>
      <c r="B249" s="2046"/>
      <c r="C249" s="2046"/>
      <c r="D249" s="2046"/>
      <c r="E249" s="2046"/>
      <c r="F249" s="2046"/>
      <c r="G249" s="2046"/>
      <c r="H249" s="2046"/>
      <c r="I249" s="2046"/>
      <c r="J249" s="2046"/>
      <c r="K249" s="2047"/>
      <c r="L249" s="2048"/>
      <c r="M249" s="2046"/>
      <c r="N249" s="2046"/>
      <c r="O249" s="2046"/>
      <c r="P249" s="2046"/>
      <c r="Q249" s="2046"/>
      <c r="R249" s="2046"/>
      <c r="S249" s="2046"/>
      <c r="T249" s="2046"/>
      <c r="U249" s="2046"/>
      <c r="V249" s="2046"/>
      <c r="W249" s="2046"/>
      <c r="X249" s="2046"/>
      <c r="Y249" s="2046"/>
      <c r="Z249" s="2046"/>
      <c r="AA249" s="2046"/>
      <c r="AB249" s="2046"/>
      <c r="AC249" s="2046"/>
    </row>
    <row r="250" spans="1:29">
      <c r="A250" s="2046"/>
      <c r="B250" s="2046"/>
      <c r="C250" s="2046"/>
      <c r="D250" s="2046"/>
      <c r="E250" s="2046"/>
      <c r="F250" s="2046"/>
      <c r="G250" s="2046"/>
      <c r="H250" s="2046"/>
      <c r="I250" s="2046"/>
      <c r="J250" s="2046"/>
      <c r="K250" s="2047"/>
      <c r="L250" s="2048"/>
      <c r="M250" s="2046"/>
      <c r="N250" s="2046"/>
      <c r="O250" s="2046"/>
      <c r="P250" s="2046"/>
      <c r="Q250" s="2046"/>
      <c r="R250" s="2046"/>
      <c r="S250" s="2046"/>
      <c r="T250" s="2046"/>
      <c r="U250" s="2046"/>
      <c r="V250" s="2046"/>
      <c r="W250" s="2046"/>
      <c r="X250" s="2046"/>
      <c r="Y250" s="2046"/>
      <c r="Z250" s="2046"/>
      <c r="AA250" s="2046"/>
      <c r="AB250" s="2046"/>
      <c r="AC250" s="2046"/>
    </row>
    <row r="251" spans="1:29">
      <c r="A251" s="2046"/>
      <c r="B251" s="2046"/>
      <c r="C251" s="2046"/>
      <c r="D251" s="2046"/>
      <c r="E251" s="2046"/>
      <c r="F251" s="2046"/>
      <c r="G251" s="2046"/>
      <c r="H251" s="2046"/>
      <c r="I251" s="2046"/>
      <c r="J251" s="2046"/>
      <c r="K251" s="2047"/>
      <c r="L251" s="2048"/>
      <c r="M251" s="2046"/>
      <c r="N251" s="2046"/>
      <c r="O251" s="2046"/>
      <c r="P251" s="2046"/>
      <c r="Q251" s="2046"/>
      <c r="R251" s="2046"/>
      <c r="S251" s="2046"/>
      <c r="T251" s="2046"/>
      <c r="U251" s="2046"/>
      <c r="V251" s="2046"/>
      <c r="W251" s="2046"/>
      <c r="X251" s="2046"/>
      <c r="Y251" s="2046"/>
      <c r="Z251" s="2046"/>
      <c r="AA251" s="2046"/>
      <c r="AB251" s="2046"/>
      <c r="AC251" s="2046"/>
    </row>
    <row r="252" spans="1:29">
      <c r="A252" s="2046"/>
      <c r="B252" s="2046"/>
      <c r="C252" s="2046"/>
      <c r="D252" s="2046"/>
      <c r="E252" s="2046"/>
      <c r="F252" s="2046"/>
      <c r="G252" s="2046"/>
      <c r="H252" s="2046"/>
      <c r="I252" s="2046"/>
      <c r="J252" s="2046"/>
      <c r="K252" s="2047"/>
      <c r="L252" s="2048"/>
      <c r="M252" s="2046"/>
      <c r="N252" s="2046"/>
      <c r="O252" s="2046"/>
      <c r="P252" s="2046"/>
      <c r="Q252" s="2046"/>
      <c r="R252" s="2046"/>
      <c r="S252" s="2046"/>
      <c r="T252" s="2046"/>
      <c r="U252" s="2046"/>
      <c r="V252" s="2046"/>
      <c r="W252" s="2046"/>
      <c r="X252" s="2046"/>
      <c r="Y252" s="2046"/>
      <c r="Z252" s="2046"/>
      <c r="AA252" s="2046"/>
      <c r="AB252" s="2046"/>
      <c r="AC252" s="2046"/>
    </row>
    <row r="253" spans="1:29">
      <c r="A253" s="2046"/>
      <c r="B253" s="2046"/>
      <c r="C253" s="2046"/>
      <c r="D253" s="2046"/>
      <c r="E253" s="2046"/>
      <c r="F253" s="2046"/>
      <c r="G253" s="2046"/>
      <c r="H253" s="2046"/>
      <c r="I253" s="2046"/>
      <c r="J253" s="2046"/>
      <c r="K253" s="2047"/>
      <c r="L253" s="2048"/>
      <c r="M253" s="2046"/>
      <c r="N253" s="2046"/>
      <c r="O253" s="2046"/>
      <c r="P253" s="2046"/>
      <c r="Q253" s="2046"/>
      <c r="R253" s="2046"/>
      <c r="S253" s="2046"/>
      <c r="T253" s="2046"/>
      <c r="U253" s="2046"/>
      <c r="V253" s="2046"/>
      <c r="W253" s="2046"/>
      <c r="X253" s="2046"/>
      <c r="Y253" s="2046"/>
      <c r="Z253" s="2046"/>
      <c r="AA253" s="2046"/>
      <c r="AB253" s="2046"/>
      <c r="AC253" s="2046"/>
    </row>
    <row r="254" spans="1:29">
      <c r="A254" s="2046"/>
      <c r="B254" s="2046"/>
      <c r="C254" s="2046"/>
      <c r="D254" s="2046"/>
      <c r="E254" s="2046"/>
      <c r="F254" s="2046"/>
      <c r="G254" s="2046"/>
      <c r="H254" s="2046"/>
      <c r="I254" s="2046"/>
      <c r="J254" s="2046"/>
      <c r="K254" s="2047"/>
      <c r="L254" s="2048"/>
      <c r="M254" s="2046"/>
      <c r="N254" s="2046"/>
      <c r="O254" s="2046"/>
      <c r="P254" s="2046"/>
      <c r="Q254" s="2046"/>
      <c r="R254" s="2046"/>
      <c r="S254" s="2046"/>
      <c r="T254" s="2046"/>
      <c r="U254" s="2046"/>
      <c r="V254" s="2046"/>
      <c r="W254" s="2046"/>
      <c r="X254" s="2046"/>
      <c r="Y254" s="2046"/>
      <c r="Z254" s="2046"/>
      <c r="AA254" s="2046"/>
      <c r="AB254" s="2046"/>
      <c r="AC254" s="2046"/>
    </row>
    <row r="255" spans="1:29">
      <c r="A255" s="2046"/>
      <c r="B255" s="2046"/>
      <c r="C255" s="2046"/>
      <c r="D255" s="2046"/>
      <c r="E255" s="2046"/>
      <c r="F255" s="2046"/>
      <c r="G255" s="2046"/>
      <c r="H255" s="2046"/>
      <c r="I255" s="2046"/>
      <c r="J255" s="2046"/>
      <c r="K255" s="2047"/>
      <c r="L255" s="2048"/>
      <c r="M255" s="2046"/>
      <c r="N255" s="2046"/>
      <c r="O255" s="2046"/>
      <c r="P255" s="2046"/>
      <c r="Q255" s="2046"/>
      <c r="R255" s="2046"/>
      <c r="S255" s="2046"/>
      <c r="T255" s="2046"/>
      <c r="U255" s="2046"/>
      <c r="V255" s="2046"/>
      <c r="W255" s="2046"/>
      <c r="X255" s="2046"/>
      <c r="Y255" s="2046"/>
      <c r="Z255" s="2046"/>
      <c r="AA255" s="2046"/>
      <c r="AB255" s="2046"/>
      <c r="AC255" s="2046"/>
    </row>
    <row r="256" spans="1:29">
      <c r="A256" s="2046"/>
      <c r="B256" s="2046"/>
      <c r="C256" s="2046"/>
      <c r="D256" s="2046"/>
      <c r="E256" s="2046"/>
      <c r="F256" s="2046"/>
      <c r="G256" s="2046"/>
      <c r="H256" s="2046"/>
      <c r="I256" s="2046"/>
      <c r="J256" s="2046"/>
      <c r="K256" s="2047"/>
      <c r="L256" s="2048"/>
      <c r="M256" s="2046"/>
      <c r="N256" s="2046"/>
      <c r="O256" s="2046"/>
      <c r="P256" s="2046"/>
      <c r="Q256" s="2046"/>
      <c r="R256" s="2046"/>
      <c r="S256" s="2046"/>
      <c r="T256" s="2046"/>
      <c r="U256" s="2046"/>
      <c r="V256" s="2046"/>
      <c r="W256" s="2046"/>
      <c r="X256" s="2046"/>
      <c r="Y256" s="2046"/>
      <c r="Z256" s="2046"/>
      <c r="AA256" s="2046"/>
      <c r="AB256" s="2046"/>
      <c r="AC256" s="2046"/>
    </row>
    <row r="257" spans="1:29">
      <c r="A257" s="2046"/>
      <c r="B257" s="2046"/>
      <c r="C257" s="2046"/>
      <c r="D257" s="2046"/>
      <c r="E257" s="2046"/>
      <c r="F257" s="2046"/>
      <c r="G257" s="2046"/>
      <c r="H257" s="2046"/>
      <c r="I257" s="2046"/>
      <c r="J257" s="2046"/>
      <c r="K257" s="2047"/>
      <c r="L257" s="2048"/>
      <c r="M257" s="2046"/>
      <c r="N257" s="2046"/>
      <c r="O257" s="2046"/>
      <c r="P257" s="2046"/>
      <c r="Q257" s="2046"/>
      <c r="R257" s="2046"/>
      <c r="S257" s="2046"/>
      <c r="T257" s="2046"/>
      <c r="U257" s="2046"/>
      <c r="V257" s="2046"/>
      <c r="W257" s="2046"/>
      <c r="X257" s="2046"/>
      <c r="Y257" s="2046"/>
      <c r="Z257" s="2046"/>
      <c r="AA257" s="2046"/>
      <c r="AB257" s="2046"/>
      <c r="AC257" s="2046"/>
    </row>
    <row r="258" spans="1:29">
      <c r="A258" s="2046"/>
      <c r="B258" s="2046"/>
      <c r="C258" s="2046"/>
      <c r="D258" s="2046"/>
      <c r="E258" s="2046"/>
      <c r="F258" s="2046"/>
      <c r="G258" s="2046"/>
      <c r="H258" s="2046"/>
      <c r="I258" s="2046"/>
      <c r="J258" s="2046"/>
      <c r="K258" s="2047"/>
      <c r="L258" s="2048"/>
      <c r="M258" s="2046"/>
      <c r="N258" s="2046"/>
      <c r="O258" s="2046"/>
      <c r="P258" s="2046"/>
      <c r="Q258" s="2046"/>
      <c r="R258" s="2046"/>
      <c r="S258" s="2046"/>
      <c r="T258" s="2046"/>
      <c r="U258" s="2046"/>
      <c r="V258" s="2046"/>
      <c r="W258" s="2046"/>
      <c r="X258" s="2046"/>
      <c r="Y258" s="2046"/>
      <c r="Z258" s="2046"/>
      <c r="AA258" s="2046"/>
      <c r="AB258" s="2046"/>
      <c r="AC258" s="2046"/>
    </row>
    <row r="259" spans="1:29">
      <c r="A259" s="2046"/>
      <c r="B259" s="2046"/>
      <c r="C259" s="2046"/>
      <c r="D259" s="2046"/>
      <c r="E259" s="2046"/>
      <c r="F259" s="2046"/>
      <c r="G259" s="2046"/>
      <c r="H259" s="2046"/>
      <c r="I259" s="2046"/>
      <c r="J259" s="2046"/>
      <c r="K259" s="2047"/>
      <c r="L259" s="2048"/>
      <c r="M259" s="2046"/>
      <c r="N259" s="2046"/>
      <c r="O259" s="2046"/>
      <c r="P259" s="2046"/>
      <c r="Q259" s="2046"/>
      <c r="R259" s="2046"/>
      <c r="S259" s="2046"/>
      <c r="T259" s="2046"/>
      <c r="U259" s="2046"/>
      <c r="V259" s="2046"/>
      <c r="W259" s="2046"/>
      <c r="X259" s="2046"/>
      <c r="Y259" s="2046"/>
      <c r="Z259" s="2046"/>
      <c r="AA259" s="2046"/>
      <c r="AB259" s="2046"/>
      <c r="AC259" s="2046"/>
    </row>
    <row r="260" spans="1:29">
      <c r="A260" s="2046"/>
      <c r="B260" s="2046"/>
      <c r="C260" s="2046"/>
      <c r="D260" s="2046"/>
      <c r="E260" s="2046"/>
      <c r="F260" s="2046"/>
      <c r="G260" s="2046"/>
      <c r="H260" s="2046"/>
      <c r="I260" s="2046"/>
      <c r="J260" s="2046"/>
      <c r="K260" s="2047"/>
      <c r="L260" s="2048"/>
      <c r="M260" s="2046"/>
      <c r="N260" s="2046"/>
      <c r="O260" s="2046"/>
      <c r="P260" s="2046"/>
      <c r="Q260" s="2046"/>
      <c r="R260" s="2046"/>
      <c r="S260" s="2046"/>
      <c r="T260" s="2046"/>
      <c r="U260" s="2046"/>
      <c r="V260" s="2046"/>
      <c r="W260" s="2046"/>
      <c r="X260" s="2046"/>
      <c r="Y260" s="2046"/>
      <c r="Z260" s="2046"/>
      <c r="AA260" s="2046"/>
      <c r="AB260" s="2046"/>
      <c r="AC260" s="2046"/>
    </row>
    <row r="261" spans="1:29">
      <c r="A261" s="2046"/>
      <c r="B261" s="2046"/>
      <c r="C261" s="2046"/>
      <c r="D261" s="2046"/>
      <c r="E261" s="2046"/>
      <c r="F261" s="2046"/>
      <c r="G261" s="2046"/>
      <c r="H261" s="2046"/>
      <c r="I261" s="2046"/>
      <c r="J261" s="2046"/>
      <c r="K261" s="2047"/>
      <c r="L261" s="2048"/>
      <c r="M261" s="2046"/>
      <c r="N261" s="2046"/>
      <c r="O261" s="2046"/>
      <c r="P261" s="2046"/>
      <c r="Q261" s="2046"/>
      <c r="R261" s="2046"/>
      <c r="S261" s="2046"/>
      <c r="T261" s="2046"/>
      <c r="U261" s="2046"/>
      <c r="V261" s="2046"/>
      <c r="W261" s="2046"/>
      <c r="X261" s="2046"/>
      <c r="Y261" s="2046"/>
      <c r="Z261" s="2046"/>
      <c r="AA261" s="2046"/>
      <c r="AB261" s="2046"/>
      <c r="AC261" s="2046"/>
    </row>
    <row r="262" spans="1:29">
      <c r="A262" s="2046"/>
      <c r="B262" s="2046"/>
      <c r="C262" s="2046"/>
      <c r="D262" s="2046"/>
      <c r="E262" s="2046"/>
      <c r="F262" s="2046"/>
      <c r="G262" s="2046"/>
      <c r="H262" s="2046"/>
      <c r="I262" s="2046"/>
      <c r="J262" s="2046"/>
      <c r="K262" s="2047"/>
      <c r="L262" s="2048"/>
      <c r="M262" s="2046"/>
      <c r="N262" s="2046"/>
      <c r="O262" s="2046"/>
      <c r="P262" s="2046"/>
      <c r="Q262" s="2046"/>
      <c r="R262" s="2046"/>
      <c r="S262" s="2046"/>
      <c r="T262" s="2046"/>
      <c r="U262" s="2046"/>
      <c r="V262" s="2046"/>
      <c r="W262" s="2046"/>
      <c r="X262" s="2046"/>
      <c r="Y262" s="2046"/>
      <c r="Z262" s="2046"/>
      <c r="AA262" s="2046"/>
      <c r="AB262" s="2046"/>
      <c r="AC262" s="2046"/>
    </row>
    <row r="263" spans="1:29">
      <c r="A263" s="2046"/>
      <c r="B263" s="2046"/>
      <c r="C263" s="2046"/>
      <c r="D263" s="2046"/>
      <c r="E263" s="2046"/>
      <c r="F263" s="2046"/>
      <c r="G263" s="2046"/>
      <c r="H263" s="2046"/>
      <c r="I263" s="2046"/>
      <c r="J263" s="2046"/>
      <c r="K263" s="2047"/>
      <c r="L263" s="2048"/>
      <c r="M263" s="2046"/>
      <c r="N263" s="2046"/>
      <c r="O263" s="2046"/>
      <c r="P263" s="2046"/>
      <c r="Q263" s="2046"/>
      <c r="R263" s="2046"/>
      <c r="S263" s="2046"/>
      <c r="T263" s="2046"/>
      <c r="U263" s="2046"/>
      <c r="V263" s="2046"/>
      <c r="W263" s="2046"/>
      <c r="X263" s="2046"/>
      <c r="Y263" s="2046"/>
      <c r="Z263" s="2046"/>
      <c r="AA263" s="2046"/>
      <c r="AB263" s="2046"/>
      <c r="AC263" s="2046"/>
    </row>
    <row r="264" spans="1:29">
      <c r="A264" s="2046"/>
      <c r="B264" s="2046"/>
      <c r="C264" s="2046"/>
      <c r="D264" s="2046"/>
      <c r="E264" s="2046"/>
      <c r="F264" s="2046"/>
      <c r="G264" s="2046"/>
      <c r="H264" s="2046"/>
      <c r="I264" s="2046"/>
      <c r="J264" s="2046"/>
      <c r="K264" s="2047"/>
      <c r="L264" s="2048"/>
      <c r="M264" s="2046"/>
      <c r="N264" s="2046"/>
      <c r="O264" s="2046"/>
      <c r="P264" s="2046"/>
      <c r="Q264" s="2046"/>
      <c r="R264" s="2046"/>
      <c r="S264" s="2046"/>
      <c r="T264" s="2046"/>
      <c r="U264" s="2046"/>
      <c r="V264" s="2046"/>
      <c r="W264" s="2046"/>
      <c r="X264" s="2046"/>
      <c r="Y264" s="2046"/>
      <c r="Z264" s="2046"/>
      <c r="AA264" s="2046"/>
      <c r="AB264" s="2046"/>
      <c r="AC264" s="2046"/>
    </row>
    <row r="265" spans="1:29">
      <c r="A265" s="2046"/>
      <c r="B265" s="2046"/>
      <c r="C265" s="2046"/>
      <c r="D265" s="2046"/>
      <c r="E265" s="2046"/>
      <c r="F265" s="2046"/>
      <c r="G265" s="2046"/>
      <c r="H265" s="2046"/>
      <c r="I265" s="2046"/>
      <c r="J265" s="2046"/>
      <c r="K265" s="2047"/>
      <c r="L265" s="2048"/>
      <c r="M265" s="2046"/>
      <c r="N265" s="2046"/>
      <c r="O265" s="2046"/>
      <c r="P265" s="2046"/>
      <c r="Q265" s="2046"/>
      <c r="R265" s="2046"/>
      <c r="S265" s="2046"/>
      <c r="T265" s="2046"/>
      <c r="U265" s="2046"/>
      <c r="V265" s="2046"/>
      <c r="W265" s="2046"/>
      <c r="X265" s="2046"/>
      <c r="Y265" s="2046"/>
      <c r="Z265" s="2046"/>
      <c r="AA265" s="2046"/>
      <c r="AB265" s="2046"/>
      <c r="AC265" s="2046"/>
    </row>
    <row r="266" spans="1:29">
      <c r="A266" s="2046"/>
      <c r="B266" s="2046"/>
      <c r="C266" s="2046"/>
      <c r="D266" s="2046"/>
      <c r="E266" s="2046"/>
      <c r="F266" s="2046"/>
      <c r="G266" s="2046"/>
      <c r="H266" s="2046"/>
      <c r="I266" s="2046"/>
      <c r="J266" s="2046"/>
      <c r="K266" s="2047"/>
      <c r="L266" s="2048"/>
      <c r="M266" s="2046"/>
      <c r="N266" s="2046"/>
      <c r="O266" s="2046"/>
      <c r="P266" s="2046"/>
      <c r="Q266" s="2046"/>
      <c r="R266" s="2046"/>
      <c r="S266" s="2046"/>
      <c r="T266" s="2046"/>
      <c r="U266" s="2046"/>
      <c r="V266" s="2046"/>
      <c r="W266" s="2046"/>
      <c r="X266" s="2046"/>
      <c r="Y266" s="2046"/>
      <c r="Z266" s="2046"/>
      <c r="AA266" s="2046"/>
      <c r="AB266" s="2046"/>
      <c r="AC266" s="2046"/>
    </row>
    <row r="267" spans="1:29">
      <c r="A267" s="2046"/>
      <c r="B267" s="2046"/>
      <c r="C267" s="2046"/>
      <c r="D267" s="2046"/>
      <c r="E267" s="2046"/>
      <c r="F267" s="2046"/>
      <c r="G267" s="2046"/>
      <c r="H267" s="2046"/>
      <c r="I267" s="2046"/>
      <c r="J267" s="2046"/>
      <c r="K267" s="2047"/>
      <c r="L267" s="2048"/>
      <c r="M267" s="2046"/>
      <c r="N267" s="2046"/>
      <c r="O267" s="2046"/>
      <c r="P267" s="2046"/>
      <c r="Q267" s="2046"/>
      <c r="R267" s="2046"/>
      <c r="S267" s="2046"/>
      <c r="T267" s="2046"/>
      <c r="U267" s="2046"/>
      <c r="V267" s="2046"/>
      <c r="W267" s="2046"/>
      <c r="X267" s="2046"/>
      <c r="Y267" s="2046"/>
      <c r="Z267" s="2046"/>
      <c r="AA267" s="2046"/>
      <c r="AB267" s="2046"/>
      <c r="AC267" s="2046"/>
    </row>
    <row r="268" spans="1:29">
      <c r="A268" s="2046"/>
      <c r="B268" s="2046"/>
      <c r="C268" s="2046"/>
      <c r="D268" s="2046"/>
      <c r="E268" s="2046"/>
      <c r="F268" s="2046"/>
      <c r="G268" s="2046"/>
      <c r="H268" s="2046"/>
      <c r="I268" s="2046"/>
      <c r="J268" s="2046"/>
      <c r="K268" s="2047"/>
      <c r="L268" s="2048"/>
      <c r="M268" s="2046"/>
      <c r="N268" s="2046"/>
      <c r="O268" s="2046"/>
      <c r="P268" s="2046"/>
      <c r="Q268" s="2046"/>
      <c r="R268" s="2046"/>
      <c r="S268" s="2046"/>
      <c r="T268" s="2046"/>
      <c r="U268" s="2046"/>
      <c r="V268" s="2046"/>
      <c r="W268" s="2046"/>
      <c r="X268" s="2046"/>
      <c r="Y268" s="2046"/>
      <c r="Z268" s="2046"/>
      <c r="AA268" s="2046"/>
      <c r="AB268" s="2046"/>
      <c r="AC268" s="2046"/>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8" type="noConversion"/>
  <conditionalFormatting sqref="F52 H52 J52">
    <cfRule type="containsText" dxfId="31" priority="18" stopIfTrue="1" operator="containsText" text="超过">
      <formula>NOT(ISERROR(SEARCH("超过",F52)))</formula>
    </cfRule>
  </conditionalFormatting>
  <conditionalFormatting sqref="J54">
    <cfRule type="containsText" dxfId="30" priority="17" stopIfTrue="1" operator="containsText" text="超过">
      <formula>NOT(ISERROR(SEARCH("超过",J54)))</formula>
    </cfRule>
  </conditionalFormatting>
  <conditionalFormatting sqref="H54">
    <cfRule type="containsText" dxfId="29" priority="16" stopIfTrue="1" operator="containsText" text="超过">
      <formula>NOT(ISERROR(SEARCH("超过",H54)))</formula>
    </cfRule>
  </conditionalFormatting>
  <conditionalFormatting sqref="F54">
    <cfRule type="containsText" dxfId="28" priority="15" stopIfTrue="1" operator="containsText" text="超过">
      <formula>NOT(ISERROR(SEARCH("超过",F54)))</formula>
    </cfRule>
  </conditionalFormatting>
  <conditionalFormatting sqref="F53 H53 J53">
    <cfRule type="containsText" dxfId="27" priority="14" stopIfTrue="1" operator="containsText" text="超过">
      <formula>NOT(ISERROR(SEARCH("超过",F53)))</formula>
    </cfRule>
  </conditionalFormatting>
  <conditionalFormatting sqref="E52">
    <cfRule type="expression" dxfId="26" priority="13" stopIfTrue="1">
      <formula>$F$52="超过30%"</formula>
    </cfRule>
  </conditionalFormatting>
  <conditionalFormatting sqref="G54">
    <cfRule type="expression" dxfId="25" priority="12" stopIfTrue="1">
      <formula>$H$54="超过30%"</formula>
    </cfRule>
  </conditionalFormatting>
  <conditionalFormatting sqref="E53">
    <cfRule type="expression" dxfId="24" priority="11" stopIfTrue="1">
      <formula>$F$53="超过20%"</formula>
    </cfRule>
  </conditionalFormatting>
  <conditionalFormatting sqref="E54">
    <cfRule type="expression" dxfId="23" priority="10" stopIfTrue="1">
      <formula>$F$54="超过30%"</formula>
    </cfRule>
  </conditionalFormatting>
  <conditionalFormatting sqref="G52">
    <cfRule type="expression" dxfId="22" priority="9" stopIfTrue="1">
      <formula>$H$52="超过30%"</formula>
    </cfRule>
  </conditionalFormatting>
  <conditionalFormatting sqref="G53">
    <cfRule type="expression" dxfId="21" priority="8" stopIfTrue="1">
      <formula>$H$53="超过20%"</formula>
    </cfRule>
  </conditionalFormatting>
  <conditionalFormatting sqref="I52">
    <cfRule type="expression" dxfId="20" priority="7" stopIfTrue="1">
      <formula>$J$52="超过30%"</formula>
    </cfRule>
  </conditionalFormatting>
  <conditionalFormatting sqref="I53">
    <cfRule type="expression" dxfId="19" priority="6" stopIfTrue="1">
      <formula>$J$53="超过20%"</formula>
    </cfRule>
  </conditionalFormatting>
  <conditionalFormatting sqref="I54">
    <cfRule type="expression" dxfId="18" priority="5" stopIfTrue="1">
      <formula>$J$54="超过30%"</formula>
    </cfRule>
  </conditionalFormatting>
  <conditionalFormatting sqref="F48">
    <cfRule type="expression" dxfId="17" priority="4">
      <formula>$D$48="简单平均"</formula>
    </cfRule>
  </conditionalFormatting>
  <conditionalFormatting sqref="H48">
    <cfRule type="expression" dxfId="16" priority="3">
      <formula>$D$48="简单平均"</formula>
    </cfRule>
  </conditionalFormatting>
  <conditionalFormatting sqref="J48">
    <cfRule type="expression" dxfId="15" priority="2">
      <formula>$D$48="简单平均"</formula>
    </cfRule>
  </conditionalFormatting>
  <conditionalFormatting sqref="F7:F46 H7:H46 J7:J46">
    <cfRule type="cellIs" dxfId="14" priority="1" operator="notEqual">
      <formula>100</formula>
    </cfRule>
  </conditionalFormatting>
  <dataValidations count="22">
    <dataValidation type="list" allowBlank="1" showInputMessage="1" showErrorMessage="1" sqref="D48">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heetPr>
  <dimension ref="A1:U6860"/>
  <sheetViews>
    <sheetView topLeftCell="K1" workbookViewId="0">
      <pane ySplit="1" topLeftCell="A3" activePane="bottomLeft" state="frozen"/>
      <selection pane="bottomLeft" activeCell="U30" sqref="U30"/>
    </sheetView>
  </sheetViews>
  <sheetFormatPr defaultRowHeight="13.5"/>
  <cols>
    <col min="1" max="1" width="23" style="3563" bestFit="1" customWidth="1"/>
    <col min="2" max="2" width="9" style="3563" bestFit="1" customWidth="1"/>
    <col min="3" max="3" width="8" style="3563" bestFit="1" customWidth="1"/>
    <col min="4" max="4" width="22" style="3563" bestFit="1" customWidth="1"/>
    <col min="5" max="5" width="5" style="3563" bestFit="1" customWidth="1"/>
    <col min="6" max="6" width="35" style="3563" bestFit="1" customWidth="1"/>
    <col min="7" max="8" width="9" style="3563" bestFit="1" customWidth="1"/>
    <col min="9" max="9" width="8" style="3563" bestFit="1" customWidth="1"/>
    <col min="10" max="10" width="13" style="3563" bestFit="1" customWidth="1"/>
    <col min="11" max="12" width="10" style="3563" bestFit="1" customWidth="1"/>
    <col min="13" max="13" width="13" style="3563" bestFit="1" customWidth="1"/>
    <col min="14" max="14" width="10" style="3563" bestFit="1" customWidth="1"/>
    <col min="15" max="15" width="11" style="3563" bestFit="1" customWidth="1"/>
    <col min="16" max="16" width="9" style="3563"/>
    <col min="17" max="17" width="15.875" style="3563" customWidth="1"/>
    <col min="18" max="20" width="12.875" style="3563" customWidth="1"/>
    <col min="21" max="21" width="11.625" style="3563" customWidth="1"/>
    <col min="22" max="16384" width="9" style="3563"/>
  </cols>
  <sheetData>
    <row r="1" spans="1:21" ht="15">
      <c r="A1" s="3561" t="s">
        <v>4182</v>
      </c>
      <c r="B1" s="3561" t="s">
        <v>4183</v>
      </c>
      <c r="C1" s="3561" t="s">
        <v>2355</v>
      </c>
      <c r="D1" s="3561" t="s">
        <v>4184</v>
      </c>
      <c r="E1" s="3561" t="s">
        <v>4185</v>
      </c>
      <c r="F1" s="3561" t="s">
        <v>3808</v>
      </c>
      <c r="G1" s="3561" t="s">
        <v>4186</v>
      </c>
      <c r="H1" s="3561" t="s">
        <v>4187</v>
      </c>
      <c r="I1" s="3561" t="s">
        <v>4188</v>
      </c>
      <c r="J1" s="3561" t="s">
        <v>4189</v>
      </c>
      <c r="K1" s="3561" t="s">
        <v>4190</v>
      </c>
      <c r="L1" s="3561" t="s">
        <v>4191</v>
      </c>
      <c r="M1" s="3561" t="s">
        <v>4192</v>
      </c>
      <c r="N1" s="3561" t="s">
        <v>4193</v>
      </c>
      <c r="O1" s="3562" t="s">
        <v>4194</v>
      </c>
    </row>
    <row r="2" spans="1:21">
      <c r="A2" s="3563" t="s">
        <v>4195</v>
      </c>
      <c r="B2" s="3563" t="s">
        <v>4196</v>
      </c>
      <c r="C2" s="3563" t="s">
        <v>4197</v>
      </c>
      <c r="D2" s="3563" t="s">
        <v>4198</v>
      </c>
      <c r="E2" s="3563" t="s">
        <v>4199</v>
      </c>
      <c r="F2" s="3563" t="s">
        <v>4200</v>
      </c>
      <c r="G2" s="3564">
        <v>89.05</v>
      </c>
      <c r="H2" s="3564">
        <v>74.14</v>
      </c>
      <c r="I2" s="3564">
        <v>14.91</v>
      </c>
      <c r="J2" s="3565">
        <v>902390</v>
      </c>
      <c r="K2" s="3565">
        <v>10133.52</v>
      </c>
      <c r="L2" s="3565">
        <v>12171.43</v>
      </c>
      <c r="M2" s="3565">
        <v>0</v>
      </c>
      <c r="N2" s="3565">
        <v>0</v>
      </c>
      <c r="O2" s="3563" t="s">
        <v>3453</v>
      </c>
    </row>
    <row r="3" spans="1:21">
      <c r="A3" s="3563" t="s">
        <v>4201</v>
      </c>
      <c r="B3" s="3563" t="s">
        <v>4196</v>
      </c>
      <c r="C3" s="3563" t="s">
        <v>4197</v>
      </c>
      <c r="D3" s="3563" t="s">
        <v>4198</v>
      </c>
      <c r="E3" s="3563" t="s">
        <v>4199</v>
      </c>
      <c r="F3" s="3563" t="s">
        <v>4200</v>
      </c>
      <c r="G3" s="3564">
        <v>95.27</v>
      </c>
      <c r="H3" s="3564">
        <v>79.319999999999993</v>
      </c>
      <c r="I3" s="3564">
        <v>15.95</v>
      </c>
      <c r="J3" s="3565">
        <v>939069</v>
      </c>
      <c r="K3" s="3565">
        <v>9856.92</v>
      </c>
      <c r="L3" s="3565">
        <v>11838.99</v>
      </c>
      <c r="M3" s="3565">
        <v>0</v>
      </c>
      <c r="N3" s="3565">
        <v>0</v>
      </c>
      <c r="O3" s="3563" t="s">
        <v>3453</v>
      </c>
      <c r="Q3" s="3568" t="s">
        <v>11114</v>
      </c>
      <c r="R3" s="3563" t="s">
        <v>11111</v>
      </c>
      <c r="S3" s="3563" t="s">
        <v>11113</v>
      </c>
      <c r="T3" s="3563" t="s">
        <v>11112</v>
      </c>
      <c r="U3" s="3563" t="s">
        <v>11115</v>
      </c>
    </row>
    <row r="4" spans="1:21">
      <c r="A4" s="3563" t="s">
        <v>4202</v>
      </c>
      <c r="B4" s="3563" t="s">
        <v>4196</v>
      </c>
      <c r="C4" s="3563" t="s">
        <v>4197</v>
      </c>
      <c r="D4" s="3563" t="s">
        <v>4198</v>
      </c>
      <c r="E4" s="3563" t="s">
        <v>4199</v>
      </c>
      <c r="F4" s="3563" t="s">
        <v>4200</v>
      </c>
      <c r="G4" s="3564">
        <v>95.27</v>
      </c>
      <c r="H4" s="3564">
        <v>79.319999999999993</v>
      </c>
      <c r="I4" s="3564">
        <v>15.95</v>
      </c>
      <c r="J4" s="3565">
        <v>939069</v>
      </c>
      <c r="K4" s="3565">
        <v>9856.92</v>
      </c>
      <c r="L4" s="3565">
        <v>11838.99</v>
      </c>
      <c r="M4" s="3565">
        <v>0</v>
      </c>
      <c r="N4" s="3565">
        <v>0</v>
      </c>
      <c r="O4" s="3563" t="s">
        <v>3453</v>
      </c>
      <c r="Q4" s="3563" t="s">
        <v>11110</v>
      </c>
      <c r="R4" s="3563">
        <f>SUMIFS(M:M,B:B,Q4,F:F,"*高层*")</f>
        <v>417053580</v>
      </c>
      <c r="S4" s="3563">
        <f>SUMIFS(M:M,B:B,Q4,F:F,"*洋房*")</f>
        <v>0</v>
      </c>
      <c r="T4" s="3563">
        <f>SUMIFS(M:M,B:B,Q4,F:F,"*叠拼*")</f>
        <v>43116351</v>
      </c>
      <c r="U4" s="3563">
        <f>SUM(R4:T4)</f>
        <v>460169931</v>
      </c>
    </row>
    <row r="5" spans="1:21">
      <c r="A5" s="3563" t="s">
        <v>4203</v>
      </c>
      <c r="B5" s="3563" t="s">
        <v>4196</v>
      </c>
      <c r="C5" s="3563" t="s">
        <v>4197</v>
      </c>
      <c r="D5" s="3563" t="s">
        <v>4198</v>
      </c>
      <c r="E5" s="3563" t="s">
        <v>4199</v>
      </c>
      <c r="F5" s="3563" t="s">
        <v>4200</v>
      </c>
      <c r="G5" s="3564">
        <v>89.05</v>
      </c>
      <c r="H5" s="3564">
        <v>74.14</v>
      </c>
      <c r="I5" s="3564">
        <v>14.91</v>
      </c>
      <c r="J5" s="3565">
        <v>911863</v>
      </c>
      <c r="K5" s="3565">
        <v>10239.9</v>
      </c>
      <c r="L5" s="3565">
        <v>12299.2</v>
      </c>
      <c r="M5" s="3565">
        <v>0</v>
      </c>
      <c r="N5" s="3565">
        <v>0</v>
      </c>
      <c r="O5" s="3563" t="s">
        <v>3453</v>
      </c>
      <c r="Q5" s="3563" t="s">
        <v>5277</v>
      </c>
      <c r="R5" s="3563">
        <f>SUMIFS(M:M,B:B,Q5,F:F,"*高层*")</f>
        <v>299584231</v>
      </c>
      <c r="S5" s="3563">
        <f>SUMIFS(M:M,B:B,Q5,F:F,"*洋房*")</f>
        <v>0</v>
      </c>
      <c r="T5" s="3563">
        <f>SUMIFS(M:M,B:B,Q5,F:F,"*叠拼*")</f>
        <v>48494840</v>
      </c>
      <c r="U5" s="3563">
        <f t="shared" ref="U5:U6" si="0">SUM(R5:T5)</f>
        <v>348079071</v>
      </c>
    </row>
    <row r="6" spans="1:21">
      <c r="A6" s="3563" t="s">
        <v>4204</v>
      </c>
      <c r="B6" s="3563" t="s">
        <v>4196</v>
      </c>
      <c r="C6" s="3563" t="s">
        <v>4197</v>
      </c>
      <c r="D6" s="3563" t="s">
        <v>4198</v>
      </c>
      <c r="E6" s="3563" t="s">
        <v>4199</v>
      </c>
      <c r="F6" s="3563" t="s">
        <v>4200</v>
      </c>
      <c r="G6" s="3564">
        <v>108</v>
      </c>
      <c r="H6" s="3564">
        <v>87.26</v>
      </c>
      <c r="I6" s="3564">
        <v>20.74</v>
      </c>
      <c r="J6" s="3565">
        <v>1163356</v>
      </c>
      <c r="K6" s="3565">
        <v>10771.81</v>
      </c>
      <c r="L6" s="3565">
        <v>13332.07</v>
      </c>
      <c r="M6" s="3565">
        <v>0</v>
      </c>
      <c r="N6" s="3565">
        <v>0</v>
      </c>
      <c r="O6" s="3563" t="s">
        <v>3453</v>
      </c>
      <c r="Q6" s="3563" t="s">
        <v>6422</v>
      </c>
      <c r="R6" s="3563">
        <f>SUMIFS(M:M,B:B,Q6,F:F,"*高层*")</f>
        <v>120727386</v>
      </c>
      <c r="S6" s="3563">
        <f>SUMIFS(M:M,B:B,Q6,F:F,"*洋房*")</f>
        <v>0</v>
      </c>
      <c r="T6" s="3563">
        <f>SUMIFS(M:M,B:B,Q6,F:F,"*叠拼*")</f>
        <v>1562205</v>
      </c>
      <c r="U6" s="3563">
        <f t="shared" si="0"/>
        <v>122289591</v>
      </c>
    </row>
    <row r="7" spans="1:21">
      <c r="A7" s="3563" t="s">
        <v>4205</v>
      </c>
      <c r="B7" s="3563" t="s">
        <v>4196</v>
      </c>
      <c r="C7" s="3563" t="s">
        <v>4197</v>
      </c>
      <c r="D7" s="3563" t="s">
        <v>4198</v>
      </c>
      <c r="E7" s="3563" t="s">
        <v>4199</v>
      </c>
      <c r="F7" s="3563" t="s">
        <v>4200</v>
      </c>
      <c r="G7" s="3564">
        <v>98.17</v>
      </c>
      <c r="H7" s="3564">
        <v>79.319999999999993</v>
      </c>
      <c r="I7" s="3564">
        <v>18.850000000000001</v>
      </c>
      <c r="J7" s="3565">
        <v>1010473</v>
      </c>
      <c r="K7" s="3565">
        <v>10293.09</v>
      </c>
      <c r="L7" s="3565">
        <v>12739.2</v>
      </c>
      <c r="M7" s="3565">
        <v>0</v>
      </c>
      <c r="N7" s="3565">
        <v>0</v>
      </c>
      <c r="O7" s="3563" t="s">
        <v>3453</v>
      </c>
      <c r="Q7" s="3563" t="s">
        <v>11115</v>
      </c>
      <c r="R7" s="3563">
        <f>SUM(R4:R6)</f>
        <v>837365197</v>
      </c>
      <c r="S7" s="3563">
        <f t="shared" ref="S7:U7" si="1">SUM(S4:S6)</f>
        <v>0</v>
      </c>
      <c r="T7" s="3563">
        <f t="shared" si="1"/>
        <v>93173396</v>
      </c>
      <c r="U7" s="3563">
        <f t="shared" si="1"/>
        <v>930538593</v>
      </c>
    </row>
    <row r="8" spans="1:21">
      <c r="A8" s="3563" t="s">
        <v>4206</v>
      </c>
      <c r="B8" s="3563" t="s">
        <v>4196</v>
      </c>
      <c r="C8" s="3563" t="s">
        <v>4197</v>
      </c>
      <c r="D8" s="3563" t="s">
        <v>4198</v>
      </c>
      <c r="E8" s="3563" t="s">
        <v>4199</v>
      </c>
      <c r="F8" s="3563" t="s">
        <v>4200</v>
      </c>
      <c r="G8" s="3564">
        <v>98.17</v>
      </c>
      <c r="H8" s="3564">
        <v>79.319999999999993</v>
      </c>
      <c r="I8" s="3564">
        <v>18.850000000000001</v>
      </c>
      <c r="J8" s="3565">
        <v>1010473</v>
      </c>
      <c r="K8" s="3565">
        <v>10293.09</v>
      </c>
      <c r="L8" s="3565">
        <v>12739.2</v>
      </c>
      <c r="M8" s="3565">
        <v>0</v>
      </c>
      <c r="N8" s="3565">
        <v>0</v>
      </c>
      <c r="O8" s="3563" t="s">
        <v>3453</v>
      </c>
    </row>
    <row r="9" spans="1:21">
      <c r="A9" s="3563" t="s">
        <v>4207</v>
      </c>
      <c r="B9" s="3563" t="s">
        <v>4196</v>
      </c>
      <c r="C9" s="3563" t="s">
        <v>4197</v>
      </c>
      <c r="D9" s="3563" t="s">
        <v>4198</v>
      </c>
      <c r="E9" s="3563" t="s">
        <v>4199</v>
      </c>
      <c r="F9" s="3563" t="s">
        <v>4200</v>
      </c>
      <c r="G9" s="3564">
        <v>108</v>
      </c>
      <c r="H9" s="3564">
        <v>87.26</v>
      </c>
      <c r="I9" s="3564">
        <v>20.74</v>
      </c>
      <c r="J9" s="3565">
        <v>1163356</v>
      </c>
      <c r="K9" s="3565">
        <v>10771.81</v>
      </c>
      <c r="L9" s="3565">
        <v>13332.07</v>
      </c>
      <c r="M9" s="3565">
        <v>0</v>
      </c>
      <c r="N9" s="3565">
        <v>0</v>
      </c>
      <c r="O9" s="3563" t="s">
        <v>3453</v>
      </c>
      <c r="Q9" s="3568" t="s">
        <v>11116</v>
      </c>
      <c r="R9" s="3563" t="str">
        <f>R3</f>
        <v>高层（精装）</v>
      </c>
      <c r="S9" s="3563" t="str">
        <f t="shared" ref="S9:U9" si="2">S3</f>
        <v>洋房（毛坯）</v>
      </c>
      <c r="T9" s="3563" t="str">
        <f t="shared" si="2"/>
        <v>叠拼（毛坯）</v>
      </c>
      <c r="U9" s="3563" t="str">
        <f t="shared" si="2"/>
        <v>合计</v>
      </c>
    </row>
    <row r="10" spans="1:21">
      <c r="A10" s="3563" t="s">
        <v>4208</v>
      </c>
      <c r="B10" s="3563" t="s">
        <v>4196</v>
      </c>
      <c r="C10" s="3563" t="s">
        <v>4197</v>
      </c>
      <c r="D10" s="3563" t="s">
        <v>4198</v>
      </c>
      <c r="E10" s="3563" t="s">
        <v>4199</v>
      </c>
      <c r="F10" s="3563" t="s">
        <v>4200</v>
      </c>
      <c r="G10" s="3564">
        <v>108</v>
      </c>
      <c r="H10" s="3564">
        <v>87.26</v>
      </c>
      <c r="I10" s="3564">
        <v>20.74</v>
      </c>
      <c r="J10" s="3565">
        <v>1161058</v>
      </c>
      <c r="K10" s="3565">
        <v>10750.54</v>
      </c>
      <c r="L10" s="3565">
        <v>13305.73</v>
      </c>
      <c r="M10" s="3565">
        <v>0</v>
      </c>
      <c r="N10" s="3565">
        <v>0</v>
      </c>
      <c r="O10" s="3563" t="s">
        <v>3453</v>
      </c>
      <c r="Q10" s="3563" t="str">
        <f>Q4</f>
        <v>认购</v>
      </c>
      <c r="R10" s="3563">
        <f>SUMIFS(G:G,B:B,Q10,F:F,"*高层*")</f>
        <v>43213.769999999909</v>
      </c>
      <c r="S10" s="3563">
        <f>SUMIFS(G:G,B:B,Q10,F:F,"*洋房*")</f>
        <v>0</v>
      </c>
      <c r="T10" s="3563">
        <f>SUMIFS(G:G,B:B,Q10,F:F,"*叠拼*")</f>
        <v>3161.3700000000003</v>
      </c>
      <c r="U10" s="3563">
        <f>SUM(R10:T10)</f>
        <v>46375.139999999912</v>
      </c>
    </row>
    <row r="11" spans="1:21">
      <c r="A11" s="3563" t="s">
        <v>4209</v>
      </c>
      <c r="B11" s="3563" t="s">
        <v>4196</v>
      </c>
      <c r="C11" s="3563" t="s">
        <v>4197</v>
      </c>
      <c r="D11" s="3563" t="s">
        <v>4198</v>
      </c>
      <c r="E11" s="3563" t="s">
        <v>4199</v>
      </c>
      <c r="F11" s="3563" t="s">
        <v>4200</v>
      </c>
      <c r="G11" s="3564">
        <v>98.17</v>
      </c>
      <c r="H11" s="3564">
        <v>79.319999999999993</v>
      </c>
      <c r="I11" s="3564">
        <v>18.850000000000001</v>
      </c>
      <c r="J11" s="3565">
        <v>1008383</v>
      </c>
      <c r="K11" s="3565">
        <v>10271.799999999999</v>
      </c>
      <c r="L11" s="3565">
        <v>12712.85</v>
      </c>
      <c r="M11" s="3565">
        <v>0</v>
      </c>
      <c r="N11" s="3565">
        <v>0</v>
      </c>
      <c r="O11" s="3563" t="s">
        <v>3453</v>
      </c>
      <c r="Q11" s="3563" t="str">
        <f t="shared" ref="Q11:Q12" si="3">Q5</f>
        <v>线下合同</v>
      </c>
      <c r="R11" s="3563">
        <f>SUMIFS(G:G,B:B,Q11,F:F,"*高层*")</f>
        <v>31941.089999999866</v>
      </c>
      <c r="S11" s="3563">
        <f>SUMIFS(G:G,B:B,Q11,F:F,"*洋房*")</f>
        <v>0</v>
      </c>
      <c r="T11" s="3563">
        <f>SUMIFS(G:G,B:B,Q11,F:F,"*叠拼*")</f>
        <v>3734.5200000000009</v>
      </c>
      <c r="U11" s="3563">
        <f t="shared" ref="U11:U12" si="4">SUM(R11:T11)</f>
        <v>35675.60999999987</v>
      </c>
    </row>
    <row r="12" spans="1:21">
      <c r="A12" s="3563" t="s">
        <v>4210</v>
      </c>
      <c r="B12" s="3563" t="s">
        <v>4196</v>
      </c>
      <c r="C12" s="3563" t="s">
        <v>4197</v>
      </c>
      <c r="D12" s="3563" t="s">
        <v>4198</v>
      </c>
      <c r="E12" s="3563" t="s">
        <v>4199</v>
      </c>
      <c r="F12" s="3563" t="s">
        <v>4200</v>
      </c>
      <c r="G12" s="3564">
        <v>98.17</v>
      </c>
      <c r="H12" s="3564">
        <v>79.319999999999993</v>
      </c>
      <c r="I12" s="3564">
        <v>18.850000000000001</v>
      </c>
      <c r="J12" s="3565">
        <v>1008383</v>
      </c>
      <c r="K12" s="3565">
        <v>10271.799999999999</v>
      </c>
      <c r="L12" s="3565">
        <v>12712.85</v>
      </c>
      <c r="M12" s="3565">
        <v>0</v>
      </c>
      <c r="N12" s="3565">
        <v>0</v>
      </c>
      <c r="O12" s="3563" t="s">
        <v>3453</v>
      </c>
      <c r="Q12" s="3563" t="str">
        <f t="shared" si="3"/>
        <v>已网签未备案合同</v>
      </c>
      <c r="R12" s="3563">
        <f>SUMIFS(G:G,B:B,Q12,F:F,"*高层*")</f>
        <v>12544.200000000013</v>
      </c>
      <c r="S12" s="3563">
        <f>SUMIFS(G:G,B:B,Q12,F:F,"*洋房*")</f>
        <v>0</v>
      </c>
      <c r="T12" s="3563">
        <f>SUMIFS(G:G,B:B,Q12,F:F,"*叠拼*")</f>
        <v>130.77000000000001</v>
      </c>
      <c r="U12" s="3563">
        <f t="shared" si="4"/>
        <v>12674.970000000014</v>
      </c>
    </row>
    <row r="13" spans="1:21">
      <c r="A13" s="3563" t="s">
        <v>4211</v>
      </c>
      <c r="B13" s="3563" t="s">
        <v>4196</v>
      </c>
      <c r="C13" s="3563" t="s">
        <v>4197</v>
      </c>
      <c r="D13" s="3563" t="s">
        <v>4198</v>
      </c>
      <c r="E13" s="3563" t="s">
        <v>4199</v>
      </c>
      <c r="F13" s="3563" t="s">
        <v>4200</v>
      </c>
      <c r="G13" s="3564">
        <v>108</v>
      </c>
      <c r="H13" s="3564">
        <v>87.26</v>
      </c>
      <c r="I13" s="3564">
        <v>20.74</v>
      </c>
      <c r="J13" s="3565">
        <v>1161058</v>
      </c>
      <c r="K13" s="3565">
        <v>10750.54</v>
      </c>
      <c r="L13" s="3565">
        <v>13305.73</v>
      </c>
      <c r="M13" s="3565">
        <v>0</v>
      </c>
      <c r="N13" s="3565">
        <v>0</v>
      </c>
      <c r="O13" s="3563" t="s">
        <v>3453</v>
      </c>
      <c r="Q13" s="3563" t="str">
        <f>Q7</f>
        <v>合计</v>
      </c>
      <c r="R13" s="3563">
        <f>SUM(R10:R12)</f>
        <v>87699.059999999794</v>
      </c>
      <c r="S13" s="3563">
        <f t="shared" ref="S13" si="5">SUM(S10:S12)</f>
        <v>0</v>
      </c>
      <c r="T13" s="3563">
        <f t="shared" ref="T13" si="6">SUM(T10:T12)</f>
        <v>7026.6600000000017</v>
      </c>
      <c r="U13" s="3563">
        <f t="shared" ref="U13" si="7">SUM(U10:U12)</f>
        <v>94725.719999999797</v>
      </c>
    </row>
    <row r="14" spans="1:21">
      <c r="A14" s="3563" t="s">
        <v>4212</v>
      </c>
      <c r="B14" s="3563" t="s">
        <v>4196</v>
      </c>
      <c r="C14" s="3563" t="s">
        <v>4197</v>
      </c>
      <c r="D14" s="3563" t="s">
        <v>4198</v>
      </c>
      <c r="E14" s="3563" t="s">
        <v>4199</v>
      </c>
      <c r="F14" s="3563" t="s">
        <v>4200</v>
      </c>
      <c r="G14" s="3564">
        <v>108</v>
      </c>
      <c r="H14" s="3564">
        <v>87.26</v>
      </c>
      <c r="I14" s="3564">
        <v>20.74</v>
      </c>
      <c r="J14" s="3565">
        <v>1124292</v>
      </c>
      <c r="K14" s="3565">
        <v>10410.11</v>
      </c>
      <c r="L14" s="3565">
        <v>12884.39</v>
      </c>
      <c r="M14" s="3565">
        <v>0</v>
      </c>
      <c r="N14" s="3565">
        <v>0</v>
      </c>
      <c r="O14" s="3563" t="s">
        <v>3453</v>
      </c>
    </row>
    <row r="15" spans="1:21">
      <c r="A15" s="3563" t="s">
        <v>4213</v>
      </c>
      <c r="B15" s="3563" t="s">
        <v>4196</v>
      </c>
      <c r="C15" s="3563" t="s">
        <v>4197</v>
      </c>
      <c r="D15" s="3563" t="s">
        <v>4198</v>
      </c>
      <c r="E15" s="3563" t="s">
        <v>4199</v>
      </c>
      <c r="F15" s="3563" t="s">
        <v>4200</v>
      </c>
      <c r="G15" s="3564">
        <v>98.17</v>
      </c>
      <c r="H15" s="3564">
        <v>79.319999999999993</v>
      </c>
      <c r="I15" s="3564">
        <v>18.850000000000001</v>
      </c>
      <c r="J15" s="3565">
        <v>974964</v>
      </c>
      <c r="K15" s="3565">
        <v>9931.3799999999992</v>
      </c>
      <c r="L15" s="3565">
        <v>12291.53</v>
      </c>
      <c r="M15" s="3565">
        <v>0</v>
      </c>
      <c r="N15" s="3565">
        <v>0</v>
      </c>
      <c r="O15" s="3563" t="s">
        <v>3453</v>
      </c>
      <c r="Q15" s="3568" t="s">
        <v>11117</v>
      </c>
      <c r="R15" s="3569" t="str">
        <f>R9</f>
        <v>高层（精装）</v>
      </c>
      <c r="S15" s="3569" t="str">
        <f t="shared" ref="S15:T15" si="8">S9</f>
        <v>洋房（毛坯）</v>
      </c>
      <c r="T15" s="3569" t="str">
        <f t="shared" si="8"/>
        <v>叠拼（毛坯）</v>
      </c>
      <c r="U15" s="3567"/>
    </row>
    <row r="16" spans="1:21">
      <c r="A16" s="3563" t="s">
        <v>4214</v>
      </c>
      <c r="B16" s="3563" t="s">
        <v>4196</v>
      </c>
      <c r="C16" s="3563" t="s">
        <v>4197</v>
      </c>
      <c r="D16" s="3563" t="s">
        <v>4198</v>
      </c>
      <c r="E16" s="3563" t="s">
        <v>4199</v>
      </c>
      <c r="F16" s="3563" t="s">
        <v>4200</v>
      </c>
      <c r="G16" s="3564">
        <v>98.17</v>
      </c>
      <c r="H16" s="3564">
        <v>79.319999999999993</v>
      </c>
      <c r="I16" s="3564">
        <v>18.850000000000001</v>
      </c>
      <c r="J16" s="3565">
        <v>974964</v>
      </c>
      <c r="K16" s="3565">
        <v>9931.3799999999992</v>
      </c>
      <c r="L16" s="3565">
        <v>12291.53</v>
      </c>
      <c r="M16" s="3565">
        <v>0</v>
      </c>
      <c r="N16" s="3565">
        <v>0</v>
      </c>
      <c r="O16" s="3563" t="s">
        <v>3453</v>
      </c>
      <c r="Q16" s="3567"/>
      <c r="R16" s="3570">
        <f>R7/R13</f>
        <v>9548.1661605039099</v>
      </c>
      <c r="S16" s="3570" t="e">
        <f t="shared" ref="S16:T16" si="9">S7/S13</f>
        <v>#DIV/0!</v>
      </c>
      <c r="T16" s="3570">
        <f t="shared" si="9"/>
        <v>13259.983548371485</v>
      </c>
      <c r="U16" s="3567"/>
    </row>
    <row r="17" spans="1:15">
      <c r="A17" s="3563" t="s">
        <v>4215</v>
      </c>
      <c r="B17" s="3563" t="s">
        <v>4196</v>
      </c>
      <c r="C17" s="3563" t="s">
        <v>4197</v>
      </c>
      <c r="D17" s="3563" t="s">
        <v>4198</v>
      </c>
      <c r="E17" s="3563" t="s">
        <v>4199</v>
      </c>
      <c r="F17" s="3563" t="s">
        <v>4200</v>
      </c>
      <c r="G17" s="3564">
        <v>108</v>
      </c>
      <c r="H17" s="3564">
        <v>87.26</v>
      </c>
      <c r="I17" s="3564">
        <v>20.74</v>
      </c>
      <c r="J17" s="3565">
        <v>1124292</v>
      </c>
      <c r="K17" s="3565">
        <v>10410.11</v>
      </c>
      <c r="L17" s="3565">
        <v>12884.39</v>
      </c>
      <c r="M17" s="3565">
        <v>0</v>
      </c>
      <c r="N17" s="3565">
        <v>0</v>
      </c>
      <c r="O17" s="3563" t="s">
        <v>3453</v>
      </c>
    </row>
    <row r="18" spans="1:15">
      <c r="A18" s="3563" t="s">
        <v>4216</v>
      </c>
      <c r="B18" s="3563" t="s">
        <v>4196</v>
      </c>
      <c r="C18" s="3563" t="s">
        <v>4197</v>
      </c>
      <c r="D18" s="3563" t="s">
        <v>4198</v>
      </c>
      <c r="E18" s="3563" t="s">
        <v>4199</v>
      </c>
      <c r="F18" s="3563" t="s">
        <v>4200</v>
      </c>
      <c r="G18" s="3564">
        <v>95.07</v>
      </c>
      <c r="H18" s="3564">
        <v>76.66</v>
      </c>
      <c r="I18" s="3564">
        <v>18.41</v>
      </c>
      <c r="J18" s="3565">
        <v>975530</v>
      </c>
      <c r="K18" s="3565">
        <v>10261.18</v>
      </c>
      <c r="L18" s="3565">
        <v>12725.41</v>
      </c>
      <c r="M18" s="3565">
        <v>0</v>
      </c>
      <c r="N18" s="3565">
        <v>0</v>
      </c>
      <c r="O18" s="3563" t="s">
        <v>3453</v>
      </c>
    </row>
    <row r="19" spans="1:15">
      <c r="A19" s="3563" t="s">
        <v>4217</v>
      </c>
      <c r="B19" s="3563" t="s">
        <v>4196</v>
      </c>
      <c r="C19" s="3563" t="s">
        <v>4197</v>
      </c>
      <c r="D19" s="3563" t="s">
        <v>4198</v>
      </c>
      <c r="E19" s="3563" t="s">
        <v>4199</v>
      </c>
      <c r="F19" s="3563" t="s">
        <v>4200</v>
      </c>
      <c r="G19" s="3564">
        <v>98.37</v>
      </c>
      <c r="H19" s="3564">
        <v>79.319999999999993</v>
      </c>
      <c r="I19" s="3564">
        <v>19.05</v>
      </c>
      <c r="J19" s="3565">
        <v>969625</v>
      </c>
      <c r="K19" s="3565">
        <v>9856.92</v>
      </c>
      <c r="L19" s="3565">
        <v>12224.22</v>
      </c>
      <c r="M19" s="3565">
        <v>0</v>
      </c>
      <c r="N19" s="3565">
        <v>0</v>
      </c>
      <c r="O19" s="3563" t="s">
        <v>3453</v>
      </c>
    </row>
    <row r="20" spans="1:15">
      <c r="A20" s="3563" t="s">
        <v>4218</v>
      </c>
      <c r="B20" s="3563" t="s">
        <v>4196</v>
      </c>
      <c r="C20" s="3563" t="s">
        <v>4197</v>
      </c>
      <c r="D20" s="3563" t="s">
        <v>4198</v>
      </c>
      <c r="E20" s="3563" t="s">
        <v>4199</v>
      </c>
      <c r="F20" s="3563" t="s">
        <v>4200</v>
      </c>
      <c r="G20" s="3564">
        <v>98.37</v>
      </c>
      <c r="H20" s="3564">
        <v>79.319999999999993</v>
      </c>
      <c r="I20" s="3564">
        <v>19.05</v>
      </c>
      <c r="J20" s="3565">
        <v>969625</v>
      </c>
      <c r="K20" s="3565">
        <v>9856.92</v>
      </c>
      <c r="L20" s="3565">
        <v>12224.22</v>
      </c>
      <c r="M20" s="3565">
        <v>0</v>
      </c>
      <c r="N20" s="3565">
        <v>0</v>
      </c>
      <c r="O20" s="3563" t="s">
        <v>3453</v>
      </c>
    </row>
    <row r="21" spans="1:15">
      <c r="A21" s="3563" t="s">
        <v>4219</v>
      </c>
      <c r="B21" s="3563" t="s">
        <v>4196</v>
      </c>
      <c r="C21" s="3563" t="s">
        <v>4197</v>
      </c>
      <c r="D21" s="3563" t="s">
        <v>4198</v>
      </c>
      <c r="E21" s="3563" t="s">
        <v>4199</v>
      </c>
      <c r="F21" s="3563" t="s">
        <v>4200</v>
      </c>
      <c r="G21" s="3564">
        <v>95.07</v>
      </c>
      <c r="H21" s="3564">
        <v>76.66</v>
      </c>
      <c r="I21" s="3564">
        <v>18.41</v>
      </c>
      <c r="J21" s="3565">
        <v>985644</v>
      </c>
      <c r="K21" s="3565">
        <v>10367.56</v>
      </c>
      <c r="L21" s="3565">
        <v>12857.34</v>
      </c>
      <c r="M21" s="3565">
        <v>0</v>
      </c>
      <c r="N21" s="3565">
        <v>0</v>
      </c>
      <c r="O21" s="3563" t="s">
        <v>3453</v>
      </c>
    </row>
    <row r="22" spans="1:15">
      <c r="A22" s="3563" t="s">
        <v>4220</v>
      </c>
      <c r="B22" s="3563" t="s">
        <v>4196</v>
      </c>
      <c r="C22" s="3563" t="s">
        <v>4197</v>
      </c>
      <c r="D22" s="3563" t="s">
        <v>4198</v>
      </c>
      <c r="E22" s="3563" t="s">
        <v>4199</v>
      </c>
      <c r="F22" s="3563" t="s">
        <v>4200</v>
      </c>
      <c r="G22" s="3564">
        <v>108</v>
      </c>
      <c r="H22" s="3564">
        <v>87.26</v>
      </c>
      <c r="I22" s="3564">
        <v>20.74</v>
      </c>
      <c r="J22" s="3565">
        <v>1121994</v>
      </c>
      <c r="K22" s="3565">
        <v>10388.83</v>
      </c>
      <c r="L22" s="3565">
        <v>12858.06</v>
      </c>
      <c r="M22" s="3565">
        <v>0</v>
      </c>
      <c r="N22" s="3565">
        <v>0</v>
      </c>
      <c r="O22" s="3563" t="s">
        <v>3453</v>
      </c>
    </row>
    <row r="23" spans="1:15">
      <c r="A23" s="3563" t="s">
        <v>4221</v>
      </c>
      <c r="B23" s="3563" t="s">
        <v>4196</v>
      </c>
      <c r="C23" s="3563" t="s">
        <v>4197</v>
      </c>
      <c r="D23" s="3563" t="s">
        <v>4198</v>
      </c>
      <c r="E23" s="3563" t="s">
        <v>4199</v>
      </c>
      <c r="F23" s="3563" t="s">
        <v>4200</v>
      </c>
      <c r="G23" s="3564">
        <v>98.17</v>
      </c>
      <c r="H23" s="3564">
        <v>79.319999999999993</v>
      </c>
      <c r="I23" s="3564">
        <v>18.850000000000001</v>
      </c>
      <c r="J23" s="3565">
        <v>967654</v>
      </c>
      <c r="K23" s="3565">
        <v>9856.92</v>
      </c>
      <c r="L23" s="3565">
        <v>12199.37</v>
      </c>
      <c r="M23" s="3565">
        <v>0</v>
      </c>
      <c r="N23" s="3565">
        <v>0</v>
      </c>
      <c r="O23" s="3563" t="s">
        <v>3453</v>
      </c>
    </row>
    <row r="24" spans="1:15">
      <c r="A24" s="3563" t="s">
        <v>4222</v>
      </c>
      <c r="B24" s="3563" t="s">
        <v>4196</v>
      </c>
      <c r="C24" s="3563" t="s">
        <v>4197</v>
      </c>
      <c r="D24" s="3563" t="s">
        <v>4198</v>
      </c>
      <c r="E24" s="3563" t="s">
        <v>4199</v>
      </c>
      <c r="F24" s="3563" t="s">
        <v>4200</v>
      </c>
      <c r="G24" s="3564">
        <v>98.17</v>
      </c>
      <c r="H24" s="3564">
        <v>79.319999999999993</v>
      </c>
      <c r="I24" s="3564">
        <v>18.850000000000001</v>
      </c>
      <c r="J24" s="3565">
        <v>972876</v>
      </c>
      <c r="K24" s="3565">
        <v>9910.1200000000008</v>
      </c>
      <c r="L24" s="3565">
        <v>12265.2</v>
      </c>
      <c r="M24" s="3565">
        <v>0</v>
      </c>
      <c r="N24" s="3565">
        <v>0</v>
      </c>
      <c r="O24" s="3563" t="s">
        <v>3453</v>
      </c>
    </row>
    <row r="25" spans="1:15">
      <c r="A25" s="3563" t="s">
        <v>4223</v>
      </c>
      <c r="B25" s="3563" t="s">
        <v>4196</v>
      </c>
      <c r="C25" s="3563" t="s">
        <v>4197</v>
      </c>
      <c r="D25" s="3563" t="s">
        <v>4198</v>
      </c>
      <c r="E25" s="3563" t="s">
        <v>4199</v>
      </c>
      <c r="F25" s="3563" t="s">
        <v>4200</v>
      </c>
      <c r="G25" s="3564">
        <v>108</v>
      </c>
      <c r="H25" s="3564">
        <v>87.26</v>
      </c>
      <c r="I25" s="3564">
        <v>20.74</v>
      </c>
      <c r="J25" s="3565">
        <v>1133483</v>
      </c>
      <c r="K25" s="3565">
        <v>10495.21</v>
      </c>
      <c r="L25" s="3565">
        <v>12989.72</v>
      </c>
      <c r="M25" s="3565">
        <v>0</v>
      </c>
      <c r="N25" s="3565">
        <v>0</v>
      </c>
      <c r="O25" s="3563" t="s">
        <v>3453</v>
      </c>
    </row>
    <row r="26" spans="1:15">
      <c r="A26" s="3563" t="s">
        <v>4224</v>
      </c>
      <c r="B26" s="3563" t="s">
        <v>4196</v>
      </c>
      <c r="C26" s="3563" t="s">
        <v>4197</v>
      </c>
      <c r="D26" s="3563" t="s">
        <v>4198</v>
      </c>
      <c r="E26" s="3563" t="s">
        <v>4199</v>
      </c>
      <c r="F26" s="3563" t="s">
        <v>4200</v>
      </c>
      <c r="G26" s="3564">
        <v>108</v>
      </c>
      <c r="H26" s="3564">
        <v>87.26</v>
      </c>
      <c r="I26" s="3564">
        <v>20.74</v>
      </c>
      <c r="J26" s="3565">
        <v>1135781</v>
      </c>
      <c r="K26" s="3565">
        <v>10516.49</v>
      </c>
      <c r="L26" s="3565">
        <v>13016.06</v>
      </c>
      <c r="M26" s="3565">
        <v>0</v>
      </c>
      <c r="N26" s="3565">
        <v>0</v>
      </c>
      <c r="O26" s="3563" t="s">
        <v>3453</v>
      </c>
    </row>
    <row r="27" spans="1:15">
      <c r="A27" s="3563" t="s">
        <v>4225</v>
      </c>
      <c r="B27" s="3563" t="s">
        <v>4196</v>
      </c>
      <c r="C27" s="3563" t="s">
        <v>4197</v>
      </c>
      <c r="D27" s="3563" t="s">
        <v>4198</v>
      </c>
      <c r="E27" s="3563" t="s">
        <v>4199</v>
      </c>
      <c r="F27" s="3563" t="s">
        <v>4200</v>
      </c>
      <c r="G27" s="3564">
        <v>98.17</v>
      </c>
      <c r="H27" s="3564">
        <v>79.319999999999993</v>
      </c>
      <c r="I27" s="3564">
        <v>18.850000000000001</v>
      </c>
      <c r="J27" s="3565">
        <v>974964</v>
      </c>
      <c r="K27" s="3565">
        <v>9931.3799999999992</v>
      </c>
      <c r="L27" s="3565">
        <v>12291.53</v>
      </c>
      <c r="M27" s="3565">
        <v>0</v>
      </c>
      <c r="N27" s="3565">
        <v>0</v>
      </c>
      <c r="O27" s="3563" t="s">
        <v>3453</v>
      </c>
    </row>
    <row r="28" spans="1:15">
      <c r="A28" s="3563" t="s">
        <v>4226</v>
      </c>
      <c r="B28" s="3563" t="s">
        <v>4196</v>
      </c>
      <c r="C28" s="3563" t="s">
        <v>4197</v>
      </c>
      <c r="D28" s="3563" t="s">
        <v>4198</v>
      </c>
      <c r="E28" s="3563" t="s">
        <v>4199</v>
      </c>
      <c r="F28" s="3563" t="s">
        <v>4200</v>
      </c>
      <c r="G28" s="3564">
        <v>98.17</v>
      </c>
      <c r="H28" s="3564">
        <v>79.319999999999993</v>
      </c>
      <c r="I28" s="3564">
        <v>18.850000000000001</v>
      </c>
      <c r="J28" s="3565">
        <v>985408</v>
      </c>
      <c r="K28" s="3565">
        <v>10037.77</v>
      </c>
      <c r="L28" s="3565">
        <v>12423.2</v>
      </c>
      <c r="M28" s="3565">
        <v>0</v>
      </c>
      <c r="N28" s="3565">
        <v>0</v>
      </c>
      <c r="O28" s="3563" t="s">
        <v>3453</v>
      </c>
    </row>
    <row r="29" spans="1:15">
      <c r="A29" s="3563" t="s">
        <v>4227</v>
      </c>
      <c r="B29" s="3563" t="s">
        <v>4196</v>
      </c>
      <c r="C29" s="3563" t="s">
        <v>4197</v>
      </c>
      <c r="D29" s="3563" t="s">
        <v>4198</v>
      </c>
      <c r="E29" s="3563" t="s">
        <v>4199</v>
      </c>
      <c r="F29" s="3563" t="s">
        <v>4200</v>
      </c>
      <c r="G29" s="3564">
        <v>108</v>
      </c>
      <c r="H29" s="3564">
        <v>87.26</v>
      </c>
      <c r="I29" s="3564">
        <v>20.74</v>
      </c>
      <c r="J29" s="3565">
        <v>1147271</v>
      </c>
      <c r="K29" s="3565">
        <v>10622.88</v>
      </c>
      <c r="L29" s="3565">
        <v>13147.73</v>
      </c>
      <c r="M29" s="3565">
        <v>0</v>
      </c>
      <c r="N29" s="3565">
        <v>0</v>
      </c>
      <c r="O29" s="3563" t="s">
        <v>3453</v>
      </c>
    </row>
    <row r="30" spans="1:15">
      <c r="A30" s="3563" t="s">
        <v>4228</v>
      </c>
      <c r="B30" s="3563" t="s">
        <v>4196</v>
      </c>
      <c r="C30" s="3563" t="s">
        <v>4197</v>
      </c>
      <c r="D30" s="3563" t="s">
        <v>4198</v>
      </c>
      <c r="E30" s="3563" t="s">
        <v>4199</v>
      </c>
      <c r="F30" s="3563" t="s">
        <v>4200</v>
      </c>
      <c r="G30" s="3564">
        <v>108</v>
      </c>
      <c r="H30" s="3564">
        <v>87.26</v>
      </c>
      <c r="I30" s="3564">
        <v>20.74</v>
      </c>
      <c r="J30" s="3565">
        <v>1149569</v>
      </c>
      <c r="K30" s="3565">
        <v>10644.16</v>
      </c>
      <c r="L30" s="3565">
        <v>13174.07</v>
      </c>
      <c r="M30" s="3565">
        <v>0</v>
      </c>
      <c r="N30" s="3565">
        <v>0</v>
      </c>
      <c r="O30" s="3563" t="s">
        <v>3453</v>
      </c>
    </row>
    <row r="31" spans="1:15">
      <c r="A31" s="3563" t="s">
        <v>4229</v>
      </c>
      <c r="B31" s="3563" t="s">
        <v>4196</v>
      </c>
      <c r="C31" s="3563" t="s">
        <v>4197</v>
      </c>
      <c r="D31" s="3563" t="s">
        <v>4198</v>
      </c>
      <c r="E31" s="3563" t="s">
        <v>4199</v>
      </c>
      <c r="F31" s="3563" t="s">
        <v>4200</v>
      </c>
      <c r="G31" s="3564">
        <v>98.17</v>
      </c>
      <c r="H31" s="3564">
        <v>79.319999999999993</v>
      </c>
      <c r="I31" s="3564">
        <v>18.850000000000001</v>
      </c>
      <c r="J31" s="3565">
        <v>987496</v>
      </c>
      <c r="K31" s="3565">
        <v>10059.040000000001</v>
      </c>
      <c r="L31" s="3565">
        <v>12449.52</v>
      </c>
      <c r="M31" s="3565">
        <v>0</v>
      </c>
      <c r="N31" s="3565">
        <v>0</v>
      </c>
      <c r="O31" s="3563" t="s">
        <v>3453</v>
      </c>
    </row>
    <row r="32" spans="1:15">
      <c r="A32" s="3563" t="s">
        <v>4230</v>
      </c>
      <c r="B32" s="3563" t="s">
        <v>4196</v>
      </c>
      <c r="C32" s="3563" t="s">
        <v>4197</v>
      </c>
      <c r="D32" s="3563" t="s">
        <v>4198</v>
      </c>
      <c r="E32" s="3563" t="s">
        <v>4199</v>
      </c>
      <c r="F32" s="3563" t="s">
        <v>4200</v>
      </c>
      <c r="G32" s="3564">
        <v>98.17</v>
      </c>
      <c r="H32" s="3564">
        <v>79.319999999999993</v>
      </c>
      <c r="I32" s="3564">
        <v>18.850000000000001</v>
      </c>
      <c r="J32" s="3565">
        <v>997940</v>
      </c>
      <c r="K32" s="3565">
        <v>10165.43</v>
      </c>
      <c r="L32" s="3565">
        <v>12581.19</v>
      </c>
      <c r="M32" s="3565">
        <v>0</v>
      </c>
      <c r="N32" s="3565">
        <v>0</v>
      </c>
      <c r="O32" s="3563" t="s">
        <v>3453</v>
      </c>
    </row>
    <row r="33" spans="1:15">
      <c r="A33" s="3563" t="s">
        <v>4231</v>
      </c>
      <c r="B33" s="3563" t="s">
        <v>4196</v>
      </c>
      <c r="C33" s="3563" t="s">
        <v>4197</v>
      </c>
      <c r="D33" s="3563" t="s">
        <v>4198</v>
      </c>
      <c r="E33" s="3563" t="s">
        <v>4199</v>
      </c>
      <c r="F33" s="3563" t="s">
        <v>4200</v>
      </c>
      <c r="G33" s="3564">
        <v>108</v>
      </c>
      <c r="H33" s="3564">
        <v>87.26</v>
      </c>
      <c r="I33" s="3564">
        <v>20.74</v>
      </c>
      <c r="J33" s="3565">
        <v>1161058</v>
      </c>
      <c r="K33" s="3565">
        <v>10750.54</v>
      </c>
      <c r="L33" s="3565">
        <v>13305.73</v>
      </c>
      <c r="M33" s="3565">
        <v>0</v>
      </c>
      <c r="N33" s="3565">
        <v>0</v>
      </c>
      <c r="O33" s="3563" t="s">
        <v>3453</v>
      </c>
    </row>
    <row r="34" spans="1:15">
      <c r="A34" s="3563" t="s">
        <v>4232</v>
      </c>
      <c r="B34" s="3563" t="s">
        <v>4196</v>
      </c>
      <c r="C34" s="3563" t="s">
        <v>4197</v>
      </c>
      <c r="D34" s="3563" t="s">
        <v>4198</v>
      </c>
      <c r="E34" s="3563" t="s">
        <v>4199</v>
      </c>
      <c r="F34" s="3563" t="s">
        <v>4200</v>
      </c>
      <c r="G34" s="3564">
        <v>108</v>
      </c>
      <c r="H34" s="3564">
        <v>87.26</v>
      </c>
      <c r="I34" s="3564">
        <v>20.74</v>
      </c>
      <c r="J34" s="3565">
        <v>1151866</v>
      </c>
      <c r="K34" s="3565">
        <v>10665.43</v>
      </c>
      <c r="L34" s="3565">
        <v>13200.39</v>
      </c>
      <c r="M34" s="3565">
        <v>0</v>
      </c>
      <c r="N34" s="3565">
        <v>0</v>
      </c>
      <c r="O34" s="3563" t="s">
        <v>3453</v>
      </c>
    </row>
    <row r="35" spans="1:15">
      <c r="A35" s="3563" t="s">
        <v>4233</v>
      </c>
      <c r="B35" s="3563" t="s">
        <v>4196</v>
      </c>
      <c r="C35" s="3563" t="s">
        <v>4197</v>
      </c>
      <c r="D35" s="3563" t="s">
        <v>4198</v>
      </c>
      <c r="E35" s="3563" t="s">
        <v>4199</v>
      </c>
      <c r="F35" s="3563" t="s">
        <v>4200</v>
      </c>
      <c r="G35" s="3564">
        <v>98.17</v>
      </c>
      <c r="H35" s="3564">
        <v>79.319999999999993</v>
      </c>
      <c r="I35" s="3564">
        <v>18.850000000000001</v>
      </c>
      <c r="J35" s="3565">
        <v>989586</v>
      </c>
      <c r="K35" s="3565">
        <v>10080.33</v>
      </c>
      <c r="L35" s="3565">
        <v>12475.87</v>
      </c>
      <c r="M35" s="3565">
        <v>0</v>
      </c>
      <c r="N35" s="3565">
        <v>0</v>
      </c>
      <c r="O35" s="3563" t="s">
        <v>3453</v>
      </c>
    </row>
    <row r="36" spans="1:15">
      <c r="A36" s="3563" t="s">
        <v>4234</v>
      </c>
      <c r="B36" s="3563" t="s">
        <v>4196</v>
      </c>
      <c r="C36" s="3563" t="s">
        <v>4197</v>
      </c>
      <c r="D36" s="3563" t="s">
        <v>4198</v>
      </c>
      <c r="E36" s="3563" t="s">
        <v>4199</v>
      </c>
      <c r="F36" s="3563" t="s">
        <v>4200</v>
      </c>
      <c r="G36" s="3564">
        <v>98.17</v>
      </c>
      <c r="H36" s="3564">
        <v>79.319999999999993</v>
      </c>
      <c r="I36" s="3564">
        <v>18.850000000000001</v>
      </c>
      <c r="J36" s="3565">
        <v>1000029</v>
      </c>
      <c r="K36" s="3565">
        <v>10186.709999999999</v>
      </c>
      <c r="L36" s="3565">
        <v>12607.53</v>
      </c>
      <c r="M36" s="3565">
        <v>0</v>
      </c>
      <c r="N36" s="3565">
        <v>0</v>
      </c>
      <c r="O36" s="3563" t="s">
        <v>3453</v>
      </c>
    </row>
    <row r="37" spans="1:15">
      <c r="A37" s="3563" t="s">
        <v>4235</v>
      </c>
      <c r="B37" s="3563" t="s">
        <v>4196</v>
      </c>
      <c r="C37" s="3563" t="s">
        <v>4197</v>
      </c>
      <c r="D37" s="3563" t="s">
        <v>4198</v>
      </c>
      <c r="E37" s="3563" t="s">
        <v>4199</v>
      </c>
      <c r="F37" s="3563" t="s">
        <v>4200</v>
      </c>
      <c r="G37" s="3564">
        <v>108</v>
      </c>
      <c r="H37" s="3564">
        <v>87.26</v>
      </c>
      <c r="I37" s="3564">
        <v>20.74</v>
      </c>
      <c r="J37" s="3565">
        <v>1163356</v>
      </c>
      <c r="K37" s="3565">
        <v>10771.81</v>
      </c>
      <c r="L37" s="3565">
        <v>13332.07</v>
      </c>
      <c r="M37" s="3565">
        <v>0</v>
      </c>
      <c r="N37" s="3565">
        <v>0</v>
      </c>
      <c r="O37" s="3563" t="s">
        <v>3453</v>
      </c>
    </row>
    <row r="38" spans="1:15">
      <c r="A38" s="3563" t="s">
        <v>4236</v>
      </c>
      <c r="B38" s="3563" t="s">
        <v>4196</v>
      </c>
      <c r="C38" s="3563" t="s">
        <v>4197</v>
      </c>
      <c r="D38" s="3563" t="s">
        <v>4198</v>
      </c>
      <c r="E38" s="3563" t="s">
        <v>4199</v>
      </c>
      <c r="F38" s="3563" t="s">
        <v>4200</v>
      </c>
      <c r="G38" s="3564">
        <v>108</v>
      </c>
      <c r="H38" s="3564">
        <v>87.26</v>
      </c>
      <c r="I38" s="3564">
        <v>20.74</v>
      </c>
      <c r="J38" s="3565">
        <v>1165654</v>
      </c>
      <c r="K38" s="3565">
        <v>10793.09</v>
      </c>
      <c r="L38" s="3565">
        <v>13358.4</v>
      </c>
      <c r="M38" s="3565">
        <v>0</v>
      </c>
      <c r="N38" s="3565">
        <v>0</v>
      </c>
      <c r="O38" s="3563" t="s">
        <v>3453</v>
      </c>
    </row>
    <row r="39" spans="1:15">
      <c r="A39" s="3563" t="s">
        <v>4237</v>
      </c>
      <c r="B39" s="3563" t="s">
        <v>4196</v>
      </c>
      <c r="C39" s="3563" t="s">
        <v>4197</v>
      </c>
      <c r="D39" s="3563" t="s">
        <v>4198</v>
      </c>
      <c r="E39" s="3563" t="s">
        <v>4199</v>
      </c>
      <c r="F39" s="3563" t="s">
        <v>4200</v>
      </c>
      <c r="G39" s="3564">
        <v>98.17</v>
      </c>
      <c r="H39" s="3564">
        <v>79.319999999999993</v>
      </c>
      <c r="I39" s="3564">
        <v>18.850000000000001</v>
      </c>
      <c r="J39" s="3565">
        <v>1012561</v>
      </c>
      <c r="K39" s="3565">
        <v>10314.36</v>
      </c>
      <c r="L39" s="3565">
        <v>12765.52</v>
      </c>
      <c r="M39" s="3565">
        <v>0</v>
      </c>
      <c r="N39" s="3565">
        <v>0</v>
      </c>
      <c r="O39" s="3563" t="s">
        <v>3453</v>
      </c>
    </row>
    <row r="40" spans="1:15">
      <c r="A40" s="3563" t="s">
        <v>4238</v>
      </c>
      <c r="B40" s="3563" t="s">
        <v>4196</v>
      </c>
      <c r="C40" s="3563" t="s">
        <v>4197</v>
      </c>
      <c r="D40" s="3563" t="s">
        <v>4198</v>
      </c>
      <c r="E40" s="3563" t="s">
        <v>4199</v>
      </c>
      <c r="F40" s="3563" t="s">
        <v>4200</v>
      </c>
      <c r="G40" s="3564">
        <v>98.17</v>
      </c>
      <c r="H40" s="3564">
        <v>79.319999999999993</v>
      </c>
      <c r="I40" s="3564">
        <v>18.850000000000001</v>
      </c>
      <c r="J40" s="3565">
        <v>1012561</v>
      </c>
      <c r="K40" s="3565">
        <v>10314.36</v>
      </c>
      <c r="L40" s="3565">
        <v>12765.52</v>
      </c>
      <c r="M40" s="3565">
        <v>0</v>
      </c>
      <c r="N40" s="3565">
        <v>0</v>
      </c>
      <c r="O40" s="3563" t="s">
        <v>3453</v>
      </c>
    </row>
    <row r="41" spans="1:15">
      <c r="A41" s="3563" t="s">
        <v>4239</v>
      </c>
      <c r="B41" s="3563" t="s">
        <v>4196</v>
      </c>
      <c r="C41" s="3563" t="s">
        <v>4197</v>
      </c>
      <c r="D41" s="3563" t="s">
        <v>4198</v>
      </c>
      <c r="E41" s="3563" t="s">
        <v>4199</v>
      </c>
      <c r="F41" s="3563" t="s">
        <v>4200</v>
      </c>
      <c r="G41" s="3564">
        <v>108</v>
      </c>
      <c r="H41" s="3564">
        <v>87.26</v>
      </c>
      <c r="I41" s="3564">
        <v>20.74</v>
      </c>
      <c r="J41" s="3565">
        <v>1165654</v>
      </c>
      <c r="K41" s="3565">
        <v>10793.09</v>
      </c>
      <c r="L41" s="3565">
        <v>13358.4</v>
      </c>
      <c r="M41" s="3565">
        <v>0</v>
      </c>
      <c r="N41" s="3565">
        <v>0</v>
      </c>
      <c r="O41" s="3563" t="s">
        <v>3453</v>
      </c>
    </row>
    <row r="42" spans="1:15">
      <c r="A42" s="3563" t="s">
        <v>4240</v>
      </c>
      <c r="B42" s="3563" t="s">
        <v>4196</v>
      </c>
      <c r="C42" s="3563" t="s">
        <v>4197</v>
      </c>
      <c r="D42" s="3563" t="s">
        <v>4198</v>
      </c>
      <c r="E42" s="3563" t="s">
        <v>4199</v>
      </c>
      <c r="F42" s="3563" t="s">
        <v>4200</v>
      </c>
      <c r="G42" s="3564">
        <v>108</v>
      </c>
      <c r="H42" s="3564">
        <v>87.26</v>
      </c>
      <c r="I42" s="3564">
        <v>20.74</v>
      </c>
      <c r="J42" s="3565">
        <v>1167952</v>
      </c>
      <c r="K42" s="3565">
        <v>10814.37</v>
      </c>
      <c r="L42" s="3565">
        <v>13384.74</v>
      </c>
      <c r="M42" s="3565">
        <v>0</v>
      </c>
      <c r="N42" s="3565">
        <v>0</v>
      </c>
      <c r="O42" s="3563" t="s">
        <v>3453</v>
      </c>
    </row>
    <row r="43" spans="1:15">
      <c r="A43" s="3563" t="s">
        <v>4241</v>
      </c>
      <c r="B43" s="3563" t="s">
        <v>4196</v>
      </c>
      <c r="C43" s="3563" t="s">
        <v>4197</v>
      </c>
      <c r="D43" s="3563" t="s">
        <v>4198</v>
      </c>
      <c r="E43" s="3563" t="s">
        <v>4199</v>
      </c>
      <c r="F43" s="3563" t="s">
        <v>4200</v>
      </c>
      <c r="G43" s="3564">
        <v>98.17</v>
      </c>
      <c r="H43" s="3564">
        <v>79.319999999999993</v>
      </c>
      <c r="I43" s="3564">
        <v>18.850000000000001</v>
      </c>
      <c r="J43" s="3565">
        <v>1014650</v>
      </c>
      <c r="K43" s="3565">
        <v>10335.64</v>
      </c>
      <c r="L43" s="3565">
        <v>12791.86</v>
      </c>
      <c r="M43" s="3565">
        <v>0</v>
      </c>
      <c r="N43" s="3565">
        <v>0</v>
      </c>
      <c r="O43" s="3563" t="s">
        <v>3453</v>
      </c>
    </row>
    <row r="44" spans="1:15">
      <c r="A44" s="3563" t="s">
        <v>4242</v>
      </c>
      <c r="B44" s="3563" t="s">
        <v>4196</v>
      </c>
      <c r="C44" s="3563" t="s">
        <v>4197</v>
      </c>
      <c r="D44" s="3563" t="s">
        <v>4198</v>
      </c>
      <c r="E44" s="3563" t="s">
        <v>4199</v>
      </c>
      <c r="F44" s="3563" t="s">
        <v>4200</v>
      </c>
      <c r="G44" s="3564">
        <v>98.17</v>
      </c>
      <c r="H44" s="3564">
        <v>79.319999999999993</v>
      </c>
      <c r="I44" s="3564">
        <v>18.850000000000001</v>
      </c>
      <c r="J44" s="3565">
        <v>1014650</v>
      </c>
      <c r="K44" s="3565">
        <v>10335.64</v>
      </c>
      <c r="L44" s="3565">
        <v>12791.86</v>
      </c>
      <c r="M44" s="3565">
        <v>0</v>
      </c>
      <c r="N44" s="3565">
        <v>0</v>
      </c>
      <c r="O44" s="3563" t="s">
        <v>3453</v>
      </c>
    </row>
    <row r="45" spans="1:15">
      <c r="A45" s="3563" t="s">
        <v>4243</v>
      </c>
      <c r="B45" s="3563" t="s">
        <v>4196</v>
      </c>
      <c r="C45" s="3563" t="s">
        <v>4197</v>
      </c>
      <c r="D45" s="3563" t="s">
        <v>4198</v>
      </c>
      <c r="E45" s="3563" t="s">
        <v>4199</v>
      </c>
      <c r="F45" s="3563" t="s">
        <v>4200</v>
      </c>
      <c r="G45" s="3564">
        <v>108</v>
      </c>
      <c r="H45" s="3564">
        <v>87.26</v>
      </c>
      <c r="I45" s="3564">
        <v>20.74</v>
      </c>
      <c r="J45" s="3565">
        <v>1167952</v>
      </c>
      <c r="K45" s="3565">
        <v>10814.37</v>
      </c>
      <c r="L45" s="3565">
        <v>13384.74</v>
      </c>
      <c r="M45" s="3565">
        <v>0</v>
      </c>
      <c r="N45" s="3565">
        <v>0</v>
      </c>
      <c r="O45" s="3563" t="s">
        <v>3453</v>
      </c>
    </row>
    <row r="46" spans="1:15">
      <c r="A46" s="3563" t="s">
        <v>4244</v>
      </c>
      <c r="B46" s="3563" t="s">
        <v>4196</v>
      </c>
      <c r="C46" s="3563" t="s">
        <v>4197</v>
      </c>
      <c r="D46" s="3563" t="s">
        <v>4198</v>
      </c>
      <c r="E46" s="3563" t="s">
        <v>4199</v>
      </c>
      <c r="F46" s="3563" t="s">
        <v>4200</v>
      </c>
      <c r="G46" s="3564">
        <v>108</v>
      </c>
      <c r="H46" s="3564">
        <v>87.26</v>
      </c>
      <c r="I46" s="3564">
        <v>20.74</v>
      </c>
      <c r="J46" s="3565">
        <v>1165654</v>
      </c>
      <c r="K46" s="3565">
        <v>10793.09</v>
      </c>
      <c r="L46" s="3565">
        <v>13358.4</v>
      </c>
      <c r="M46" s="3565">
        <v>0</v>
      </c>
      <c r="N46" s="3565">
        <v>0</v>
      </c>
      <c r="O46" s="3563" t="s">
        <v>3453</v>
      </c>
    </row>
    <row r="47" spans="1:15">
      <c r="A47" s="3563" t="s">
        <v>4245</v>
      </c>
      <c r="B47" s="3563" t="s">
        <v>4196</v>
      </c>
      <c r="C47" s="3563" t="s">
        <v>4197</v>
      </c>
      <c r="D47" s="3563" t="s">
        <v>4198</v>
      </c>
      <c r="E47" s="3563" t="s">
        <v>4199</v>
      </c>
      <c r="F47" s="3563" t="s">
        <v>4200</v>
      </c>
      <c r="G47" s="3564">
        <v>98.17</v>
      </c>
      <c r="H47" s="3564">
        <v>79.319999999999993</v>
      </c>
      <c r="I47" s="3564">
        <v>18.850000000000001</v>
      </c>
      <c r="J47" s="3565">
        <v>1012561</v>
      </c>
      <c r="K47" s="3565">
        <v>10314.36</v>
      </c>
      <c r="L47" s="3565">
        <v>12765.52</v>
      </c>
      <c r="M47" s="3565">
        <v>0</v>
      </c>
      <c r="N47" s="3565">
        <v>0</v>
      </c>
      <c r="O47" s="3563" t="s">
        <v>3453</v>
      </c>
    </row>
    <row r="48" spans="1:15">
      <c r="A48" s="3563" t="s">
        <v>4246</v>
      </c>
      <c r="B48" s="3563" t="s">
        <v>4196</v>
      </c>
      <c r="C48" s="3563" t="s">
        <v>4197</v>
      </c>
      <c r="D48" s="3563" t="s">
        <v>4198</v>
      </c>
      <c r="E48" s="3563" t="s">
        <v>4199</v>
      </c>
      <c r="F48" s="3563" t="s">
        <v>4200</v>
      </c>
      <c r="G48" s="3564">
        <v>98.17</v>
      </c>
      <c r="H48" s="3564">
        <v>79.319999999999993</v>
      </c>
      <c r="I48" s="3564">
        <v>18.850000000000001</v>
      </c>
      <c r="J48" s="3565">
        <v>1012561</v>
      </c>
      <c r="K48" s="3565">
        <v>10314.36</v>
      </c>
      <c r="L48" s="3565">
        <v>12765.52</v>
      </c>
      <c r="M48" s="3565">
        <v>0</v>
      </c>
      <c r="N48" s="3565">
        <v>0</v>
      </c>
      <c r="O48" s="3563" t="s">
        <v>3453</v>
      </c>
    </row>
    <row r="49" spans="1:15">
      <c r="A49" s="3563" t="s">
        <v>4247</v>
      </c>
      <c r="B49" s="3563" t="s">
        <v>4196</v>
      </c>
      <c r="C49" s="3563" t="s">
        <v>4197</v>
      </c>
      <c r="D49" s="3563" t="s">
        <v>4198</v>
      </c>
      <c r="E49" s="3563" t="s">
        <v>4199</v>
      </c>
      <c r="F49" s="3563" t="s">
        <v>4200</v>
      </c>
      <c r="G49" s="3564">
        <v>108</v>
      </c>
      <c r="H49" s="3564">
        <v>87.26</v>
      </c>
      <c r="I49" s="3564">
        <v>20.74</v>
      </c>
      <c r="J49" s="3565">
        <v>1165654</v>
      </c>
      <c r="K49" s="3565">
        <v>10793.09</v>
      </c>
      <c r="L49" s="3565">
        <v>13358.4</v>
      </c>
      <c r="M49" s="3565">
        <v>0</v>
      </c>
      <c r="N49" s="3565">
        <v>0</v>
      </c>
      <c r="O49" s="3563" t="s">
        <v>3453</v>
      </c>
    </row>
    <row r="50" spans="1:15">
      <c r="A50" s="3563" t="s">
        <v>4248</v>
      </c>
      <c r="B50" s="3563" t="s">
        <v>4196</v>
      </c>
      <c r="C50" s="3563" t="s">
        <v>4197</v>
      </c>
      <c r="D50" s="3563" t="s">
        <v>4198</v>
      </c>
      <c r="E50" s="3563" t="s">
        <v>4199</v>
      </c>
      <c r="F50" s="3563" t="s">
        <v>4200</v>
      </c>
      <c r="G50" s="3564">
        <v>89.05</v>
      </c>
      <c r="H50" s="3564">
        <v>74.14</v>
      </c>
      <c r="I50" s="3564">
        <v>14.91</v>
      </c>
      <c r="J50" s="3565">
        <v>902390</v>
      </c>
      <c r="K50" s="3565">
        <v>10133.52</v>
      </c>
      <c r="L50" s="3565">
        <v>12171.43</v>
      </c>
      <c r="M50" s="3565">
        <v>0</v>
      </c>
      <c r="N50" s="3565">
        <v>0</v>
      </c>
      <c r="O50" s="3563" t="s">
        <v>3453</v>
      </c>
    </row>
    <row r="51" spans="1:15">
      <c r="A51" s="3563" t="s">
        <v>4249</v>
      </c>
      <c r="B51" s="3563" t="s">
        <v>4196</v>
      </c>
      <c r="C51" s="3563" t="s">
        <v>4197</v>
      </c>
      <c r="D51" s="3563" t="s">
        <v>4198</v>
      </c>
      <c r="E51" s="3563" t="s">
        <v>4199</v>
      </c>
      <c r="F51" s="3563" t="s">
        <v>4200</v>
      </c>
      <c r="G51" s="3564">
        <v>95.27</v>
      </c>
      <c r="H51" s="3564">
        <v>79.319999999999993</v>
      </c>
      <c r="I51" s="3564">
        <v>15.95</v>
      </c>
      <c r="J51" s="3565">
        <v>939069</v>
      </c>
      <c r="K51" s="3565">
        <v>9856.92</v>
      </c>
      <c r="L51" s="3565">
        <v>11838.99</v>
      </c>
      <c r="M51" s="3565">
        <v>0</v>
      </c>
      <c r="N51" s="3565">
        <v>0</v>
      </c>
      <c r="O51" s="3563" t="s">
        <v>3453</v>
      </c>
    </row>
    <row r="52" spans="1:15">
      <c r="A52" s="3563" t="s">
        <v>4250</v>
      </c>
      <c r="B52" s="3563" t="s">
        <v>4196</v>
      </c>
      <c r="C52" s="3563" t="s">
        <v>4197</v>
      </c>
      <c r="D52" s="3563" t="s">
        <v>4198</v>
      </c>
      <c r="E52" s="3563" t="s">
        <v>4199</v>
      </c>
      <c r="F52" s="3563" t="s">
        <v>4200</v>
      </c>
      <c r="G52" s="3564">
        <v>95.27</v>
      </c>
      <c r="H52" s="3564">
        <v>79.319999999999993</v>
      </c>
      <c r="I52" s="3564">
        <v>15.95</v>
      </c>
      <c r="J52" s="3565">
        <v>939069</v>
      </c>
      <c r="K52" s="3565">
        <v>9856.92</v>
      </c>
      <c r="L52" s="3565">
        <v>11838.99</v>
      </c>
      <c r="M52" s="3565">
        <v>0</v>
      </c>
      <c r="N52" s="3565">
        <v>0</v>
      </c>
      <c r="O52" s="3563" t="s">
        <v>3453</v>
      </c>
    </row>
    <row r="53" spans="1:15">
      <c r="A53" s="3563" t="s">
        <v>4251</v>
      </c>
      <c r="B53" s="3563" t="s">
        <v>4196</v>
      </c>
      <c r="C53" s="3563" t="s">
        <v>4197</v>
      </c>
      <c r="D53" s="3563" t="s">
        <v>4198</v>
      </c>
      <c r="E53" s="3563" t="s">
        <v>4199</v>
      </c>
      <c r="F53" s="3563" t="s">
        <v>4200</v>
      </c>
      <c r="G53" s="3564">
        <v>89.05</v>
      </c>
      <c r="H53" s="3564">
        <v>74.14</v>
      </c>
      <c r="I53" s="3564">
        <v>14.91</v>
      </c>
      <c r="J53" s="3565">
        <v>911863</v>
      </c>
      <c r="K53" s="3565">
        <v>10239.9</v>
      </c>
      <c r="L53" s="3565">
        <v>12299.2</v>
      </c>
      <c r="M53" s="3565">
        <v>0</v>
      </c>
      <c r="N53" s="3565">
        <v>0</v>
      </c>
      <c r="O53" s="3563" t="s">
        <v>3453</v>
      </c>
    </row>
    <row r="54" spans="1:15">
      <c r="A54" s="3563" t="s">
        <v>4252</v>
      </c>
      <c r="B54" s="3563" t="s">
        <v>4196</v>
      </c>
      <c r="C54" s="3563" t="s">
        <v>4197</v>
      </c>
      <c r="D54" s="3563" t="s">
        <v>4198</v>
      </c>
      <c r="E54" s="3563" t="s">
        <v>4199</v>
      </c>
      <c r="F54" s="3563" t="s">
        <v>4200</v>
      </c>
      <c r="G54" s="3564">
        <v>108</v>
      </c>
      <c r="H54" s="3564">
        <v>87.26</v>
      </c>
      <c r="I54" s="3564">
        <v>20.74</v>
      </c>
      <c r="J54" s="3565">
        <v>1163356</v>
      </c>
      <c r="K54" s="3565">
        <v>10771.81</v>
      </c>
      <c r="L54" s="3565">
        <v>13332.07</v>
      </c>
      <c r="M54" s="3565">
        <v>0</v>
      </c>
      <c r="N54" s="3565">
        <v>0</v>
      </c>
      <c r="O54" s="3563" t="s">
        <v>3453</v>
      </c>
    </row>
    <row r="55" spans="1:15">
      <c r="A55" s="3563" t="s">
        <v>4253</v>
      </c>
      <c r="B55" s="3563" t="s">
        <v>4196</v>
      </c>
      <c r="C55" s="3563" t="s">
        <v>4197</v>
      </c>
      <c r="D55" s="3563" t="s">
        <v>4198</v>
      </c>
      <c r="E55" s="3563" t="s">
        <v>4199</v>
      </c>
      <c r="F55" s="3563" t="s">
        <v>4200</v>
      </c>
      <c r="G55" s="3564">
        <v>98.17</v>
      </c>
      <c r="H55" s="3564">
        <v>79.319999999999993</v>
      </c>
      <c r="I55" s="3564">
        <v>18.850000000000001</v>
      </c>
      <c r="J55" s="3565">
        <v>1010473</v>
      </c>
      <c r="K55" s="3565">
        <v>10293.09</v>
      </c>
      <c r="L55" s="3565">
        <v>12739.2</v>
      </c>
      <c r="M55" s="3565">
        <v>0</v>
      </c>
      <c r="N55" s="3565">
        <v>0</v>
      </c>
      <c r="O55" s="3563" t="s">
        <v>3453</v>
      </c>
    </row>
    <row r="56" spans="1:15">
      <c r="A56" s="3563" t="s">
        <v>4254</v>
      </c>
      <c r="B56" s="3563" t="s">
        <v>4196</v>
      </c>
      <c r="C56" s="3563" t="s">
        <v>4197</v>
      </c>
      <c r="D56" s="3563" t="s">
        <v>4198</v>
      </c>
      <c r="E56" s="3563" t="s">
        <v>4199</v>
      </c>
      <c r="F56" s="3563" t="s">
        <v>4200</v>
      </c>
      <c r="G56" s="3564">
        <v>98.17</v>
      </c>
      <c r="H56" s="3564">
        <v>79.319999999999993</v>
      </c>
      <c r="I56" s="3564">
        <v>18.850000000000001</v>
      </c>
      <c r="J56" s="3565">
        <v>1010473</v>
      </c>
      <c r="K56" s="3565">
        <v>10293.09</v>
      </c>
      <c r="L56" s="3565">
        <v>12739.2</v>
      </c>
      <c r="M56" s="3565">
        <v>0</v>
      </c>
      <c r="N56" s="3565">
        <v>0</v>
      </c>
      <c r="O56" s="3563" t="s">
        <v>3453</v>
      </c>
    </row>
    <row r="57" spans="1:15">
      <c r="A57" s="3563" t="s">
        <v>4255</v>
      </c>
      <c r="B57" s="3563" t="s">
        <v>4196</v>
      </c>
      <c r="C57" s="3563" t="s">
        <v>4197</v>
      </c>
      <c r="D57" s="3563" t="s">
        <v>4198</v>
      </c>
      <c r="E57" s="3563" t="s">
        <v>4199</v>
      </c>
      <c r="F57" s="3563" t="s">
        <v>4200</v>
      </c>
      <c r="G57" s="3564">
        <v>108</v>
      </c>
      <c r="H57" s="3564">
        <v>87.26</v>
      </c>
      <c r="I57" s="3564">
        <v>20.74</v>
      </c>
      <c r="J57" s="3565">
        <v>1163356</v>
      </c>
      <c r="K57" s="3565">
        <v>10771.81</v>
      </c>
      <c r="L57" s="3565">
        <v>13332.07</v>
      </c>
      <c r="M57" s="3565">
        <v>0</v>
      </c>
      <c r="N57" s="3565">
        <v>0</v>
      </c>
      <c r="O57" s="3563" t="s">
        <v>3453</v>
      </c>
    </row>
    <row r="58" spans="1:15">
      <c r="A58" s="3563" t="s">
        <v>4256</v>
      </c>
      <c r="B58" s="3563" t="s">
        <v>4196</v>
      </c>
      <c r="C58" s="3563" t="s">
        <v>4197</v>
      </c>
      <c r="D58" s="3563" t="s">
        <v>4198</v>
      </c>
      <c r="E58" s="3563" t="s">
        <v>4199</v>
      </c>
      <c r="F58" s="3563" t="s">
        <v>4200</v>
      </c>
      <c r="G58" s="3564">
        <v>108</v>
      </c>
      <c r="H58" s="3564">
        <v>87.26</v>
      </c>
      <c r="I58" s="3564">
        <v>20.74</v>
      </c>
      <c r="J58" s="3565">
        <v>1161058</v>
      </c>
      <c r="K58" s="3565">
        <v>10750.54</v>
      </c>
      <c r="L58" s="3565">
        <v>13305.73</v>
      </c>
      <c r="M58" s="3565">
        <v>0</v>
      </c>
      <c r="N58" s="3565">
        <v>0</v>
      </c>
      <c r="O58" s="3563" t="s">
        <v>3453</v>
      </c>
    </row>
    <row r="59" spans="1:15">
      <c r="A59" s="3563" t="s">
        <v>4257</v>
      </c>
      <c r="B59" s="3563" t="s">
        <v>4196</v>
      </c>
      <c r="C59" s="3563" t="s">
        <v>4197</v>
      </c>
      <c r="D59" s="3563" t="s">
        <v>4198</v>
      </c>
      <c r="E59" s="3563" t="s">
        <v>4199</v>
      </c>
      <c r="F59" s="3563" t="s">
        <v>4200</v>
      </c>
      <c r="G59" s="3564">
        <v>98.17</v>
      </c>
      <c r="H59" s="3564">
        <v>79.319999999999993</v>
      </c>
      <c r="I59" s="3564">
        <v>18.850000000000001</v>
      </c>
      <c r="J59" s="3565">
        <v>1008383</v>
      </c>
      <c r="K59" s="3565">
        <v>10271.799999999999</v>
      </c>
      <c r="L59" s="3565">
        <v>12712.85</v>
      </c>
      <c r="M59" s="3565">
        <v>0</v>
      </c>
      <c r="N59" s="3565">
        <v>0</v>
      </c>
      <c r="O59" s="3563" t="s">
        <v>3453</v>
      </c>
    </row>
    <row r="60" spans="1:15">
      <c r="A60" s="3563" t="s">
        <v>4258</v>
      </c>
      <c r="B60" s="3563" t="s">
        <v>4196</v>
      </c>
      <c r="C60" s="3563" t="s">
        <v>4197</v>
      </c>
      <c r="D60" s="3563" t="s">
        <v>4198</v>
      </c>
      <c r="E60" s="3563" t="s">
        <v>4199</v>
      </c>
      <c r="F60" s="3563" t="s">
        <v>4200</v>
      </c>
      <c r="G60" s="3564">
        <v>98.17</v>
      </c>
      <c r="H60" s="3564">
        <v>79.319999999999993</v>
      </c>
      <c r="I60" s="3564">
        <v>18.850000000000001</v>
      </c>
      <c r="J60" s="3565">
        <v>1008383</v>
      </c>
      <c r="K60" s="3565">
        <v>10271.799999999999</v>
      </c>
      <c r="L60" s="3565">
        <v>12712.85</v>
      </c>
      <c r="M60" s="3565">
        <v>0</v>
      </c>
      <c r="N60" s="3565">
        <v>0</v>
      </c>
      <c r="O60" s="3563" t="s">
        <v>3453</v>
      </c>
    </row>
    <row r="61" spans="1:15">
      <c r="A61" s="3563" t="s">
        <v>4259</v>
      </c>
      <c r="B61" s="3563" t="s">
        <v>4196</v>
      </c>
      <c r="C61" s="3563" t="s">
        <v>4197</v>
      </c>
      <c r="D61" s="3563" t="s">
        <v>4198</v>
      </c>
      <c r="E61" s="3563" t="s">
        <v>4199</v>
      </c>
      <c r="F61" s="3563" t="s">
        <v>4200</v>
      </c>
      <c r="G61" s="3564">
        <v>108</v>
      </c>
      <c r="H61" s="3564">
        <v>87.26</v>
      </c>
      <c r="I61" s="3564">
        <v>20.74</v>
      </c>
      <c r="J61" s="3565">
        <v>1161058</v>
      </c>
      <c r="K61" s="3565">
        <v>10750.54</v>
      </c>
      <c r="L61" s="3565">
        <v>13305.73</v>
      </c>
      <c r="M61" s="3565">
        <v>0</v>
      </c>
      <c r="N61" s="3565">
        <v>0</v>
      </c>
      <c r="O61" s="3563" t="s">
        <v>3453</v>
      </c>
    </row>
    <row r="62" spans="1:15">
      <c r="A62" s="3563" t="s">
        <v>4260</v>
      </c>
      <c r="B62" s="3563" t="s">
        <v>4196</v>
      </c>
      <c r="C62" s="3563" t="s">
        <v>4197</v>
      </c>
      <c r="D62" s="3563" t="s">
        <v>4198</v>
      </c>
      <c r="E62" s="3563" t="s">
        <v>4199</v>
      </c>
      <c r="F62" s="3563" t="s">
        <v>4200</v>
      </c>
      <c r="G62" s="3564">
        <v>108</v>
      </c>
      <c r="H62" s="3564">
        <v>87.26</v>
      </c>
      <c r="I62" s="3564">
        <v>20.74</v>
      </c>
      <c r="J62" s="3565">
        <v>1124292</v>
      </c>
      <c r="K62" s="3565">
        <v>10410.11</v>
      </c>
      <c r="L62" s="3565">
        <v>12884.39</v>
      </c>
      <c r="M62" s="3565">
        <v>0</v>
      </c>
      <c r="N62" s="3565">
        <v>0</v>
      </c>
      <c r="O62" s="3563" t="s">
        <v>3453</v>
      </c>
    </row>
    <row r="63" spans="1:15">
      <c r="A63" s="3563" t="s">
        <v>4261</v>
      </c>
      <c r="B63" s="3563" t="s">
        <v>4196</v>
      </c>
      <c r="C63" s="3563" t="s">
        <v>4197</v>
      </c>
      <c r="D63" s="3563" t="s">
        <v>4198</v>
      </c>
      <c r="E63" s="3563" t="s">
        <v>4199</v>
      </c>
      <c r="F63" s="3563" t="s">
        <v>4200</v>
      </c>
      <c r="G63" s="3564">
        <v>98.17</v>
      </c>
      <c r="H63" s="3564">
        <v>79.319999999999993</v>
      </c>
      <c r="I63" s="3564">
        <v>18.850000000000001</v>
      </c>
      <c r="J63" s="3565">
        <v>974964</v>
      </c>
      <c r="K63" s="3565">
        <v>9931.3799999999992</v>
      </c>
      <c r="L63" s="3565">
        <v>12291.53</v>
      </c>
      <c r="M63" s="3565">
        <v>0</v>
      </c>
      <c r="N63" s="3565">
        <v>0</v>
      </c>
      <c r="O63" s="3563" t="s">
        <v>3453</v>
      </c>
    </row>
    <row r="64" spans="1:15">
      <c r="A64" s="3563" t="s">
        <v>4262</v>
      </c>
      <c r="B64" s="3563" t="s">
        <v>4196</v>
      </c>
      <c r="C64" s="3563" t="s">
        <v>4197</v>
      </c>
      <c r="D64" s="3563" t="s">
        <v>4198</v>
      </c>
      <c r="E64" s="3563" t="s">
        <v>4199</v>
      </c>
      <c r="F64" s="3563" t="s">
        <v>4200</v>
      </c>
      <c r="G64" s="3564">
        <v>98.17</v>
      </c>
      <c r="H64" s="3564">
        <v>79.319999999999993</v>
      </c>
      <c r="I64" s="3564">
        <v>18.850000000000001</v>
      </c>
      <c r="J64" s="3565">
        <v>974964</v>
      </c>
      <c r="K64" s="3565">
        <v>9931.3799999999992</v>
      </c>
      <c r="L64" s="3565">
        <v>12291.53</v>
      </c>
      <c r="M64" s="3565">
        <v>0</v>
      </c>
      <c r="N64" s="3565">
        <v>0</v>
      </c>
      <c r="O64" s="3563" t="s">
        <v>3453</v>
      </c>
    </row>
    <row r="65" spans="1:15">
      <c r="A65" s="3563" t="s">
        <v>4263</v>
      </c>
      <c r="B65" s="3563" t="s">
        <v>4196</v>
      </c>
      <c r="C65" s="3563" t="s">
        <v>4197</v>
      </c>
      <c r="D65" s="3563" t="s">
        <v>4198</v>
      </c>
      <c r="E65" s="3563" t="s">
        <v>4199</v>
      </c>
      <c r="F65" s="3563" t="s">
        <v>4200</v>
      </c>
      <c r="G65" s="3564">
        <v>108</v>
      </c>
      <c r="H65" s="3564">
        <v>87.26</v>
      </c>
      <c r="I65" s="3564">
        <v>20.74</v>
      </c>
      <c r="J65" s="3565">
        <v>1124292</v>
      </c>
      <c r="K65" s="3565">
        <v>10410.11</v>
      </c>
      <c r="L65" s="3565">
        <v>12884.39</v>
      </c>
      <c r="M65" s="3565">
        <v>0</v>
      </c>
      <c r="N65" s="3565">
        <v>0</v>
      </c>
      <c r="O65" s="3563" t="s">
        <v>3453</v>
      </c>
    </row>
    <row r="66" spans="1:15">
      <c r="A66" s="3563" t="s">
        <v>4264</v>
      </c>
      <c r="B66" s="3563" t="s">
        <v>4196</v>
      </c>
      <c r="C66" s="3563" t="s">
        <v>4197</v>
      </c>
      <c r="D66" s="3563" t="s">
        <v>4198</v>
      </c>
      <c r="E66" s="3563" t="s">
        <v>4199</v>
      </c>
      <c r="F66" s="3563" t="s">
        <v>4200</v>
      </c>
      <c r="G66" s="3564">
        <v>95.07</v>
      </c>
      <c r="H66" s="3564">
        <v>76.66</v>
      </c>
      <c r="I66" s="3564">
        <v>18.41</v>
      </c>
      <c r="J66" s="3565">
        <v>975530</v>
      </c>
      <c r="K66" s="3565">
        <v>10261.18</v>
      </c>
      <c r="L66" s="3565">
        <v>12725.41</v>
      </c>
      <c r="M66" s="3565">
        <v>0</v>
      </c>
      <c r="N66" s="3565">
        <v>0</v>
      </c>
      <c r="O66" s="3563" t="s">
        <v>3453</v>
      </c>
    </row>
    <row r="67" spans="1:15">
      <c r="A67" s="3563" t="s">
        <v>4265</v>
      </c>
      <c r="B67" s="3563" t="s">
        <v>4196</v>
      </c>
      <c r="C67" s="3563" t="s">
        <v>4197</v>
      </c>
      <c r="D67" s="3563" t="s">
        <v>4198</v>
      </c>
      <c r="E67" s="3563" t="s">
        <v>4199</v>
      </c>
      <c r="F67" s="3563" t="s">
        <v>4200</v>
      </c>
      <c r="G67" s="3564">
        <v>98.37</v>
      </c>
      <c r="H67" s="3564">
        <v>79.319999999999993</v>
      </c>
      <c r="I67" s="3564">
        <v>19.05</v>
      </c>
      <c r="J67" s="3565">
        <v>969625</v>
      </c>
      <c r="K67" s="3565">
        <v>9856.92</v>
      </c>
      <c r="L67" s="3565">
        <v>12224.22</v>
      </c>
      <c r="M67" s="3565">
        <v>0</v>
      </c>
      <c r="N67" s="3565">
        <v>0</v>
      </c>
      <c r="O67" s="3563" t="s">
        <v>3453</v>
      </c>
    </row>
    <row r="68" spans="1:15">
      <c r="A68" s="3563" t="s">
        <v>4266</v>
      </c>
      <c r="B68" s="3563" t="s">
        <v>4196</v>
      </c>
      <c r="C68" s="3563" t="s">
        <v>4197</v>
      </c>
      <c r="D68" s="3563" t="s">
        <v>4198</v>
      </c>
      <c r="E68" s="3563" t="s">
        <v>4199</v>
      </c>
      <c r="F68" s="3563" t="s">
        <v>4200</v>
      </c>
      <c r="G68" s="3564">
        <v>98.37</v>
      </c>
      <c r="H68" s="3564">
        <v>79.319999999999993</v>
      </c>
      <c r="I68" s="3564">
        <v>19.05</v>
      </c>
      <c r="J68" s="3565">
        <v>969625</v>
      </c>
      <c r="K68" s="3565">
        <v>9856.92</v>
      </c>
      <c r="L68" s="3565">
        <v>12224.22</v>
      </c>
      <c r="M68" s="3565">
        <v>0</v>
      </c>
      <c r="N68" s="3565">
        <v>0</v>
      </c>
      <c r="O68" s="3563" t="s">
        <v>3453</v>
      </c>
    </row>
    <row r="69" spans="1:15">
      <c r="A69" s="3563" t="s">
        <v>4267</v>
      </c>
      <c r="B69" s="3563" t="s">
        <v>4196</v>
      </c>
      <c r="C69" s="3563" t="s">
        <v>4197</v>
      </c>
      <c r="D69" s="3563" t="s">
        <v>4198</v>
      </c>
      <c r="E69" s="3563" t="s">
        <v>4199</v>
      </c>
      <c r="F69" s="3563" t="s">
        <v>4200</v>
      </c>
      <c r="G69" s="3564">
        <v>95.07</v>
      </c>
      <c r="H69" s="3564">
        <v>76.66</v>
      </c>
      <c r="I69" s="3564">
        <v>18.41</v>
      </c>
      <c r="J69" s="3565">
        <v>985644</v>
      </c>
      <c r="K69" s="3565">
        <v>10367.56</v>
      </c>
      <c r="L69" s="3565">
        <v>12857.34</v>
      </c>
      <c r="M69" s="3565">
        <v>0</v>
      </c>
      <c r="N69" s="3565">
        <v>0</v>
      </c>
      <c r="O69" s="3563" t="s">
        <v>3453</v>
      </c>
    </row>
    <row r="70" spans="1:15">
      <c r="A70" s="3563" t="s">
        <v>4268</v>
      </c>
      <c r="B70" s="3563" t="s">
        <v>4196</v>
      </c>
      <c r="C70" s="3563" t="s">
        <v>4197</v>
      </c>
      <c r="D70" s="3563" t="s">
        <v>4198</v>
      </c>
      <c r="E70" s="3563" t="s">
        <v>4199</v>
      </c>
      <c r="F70" s="3563" t="s">
        <v>4200</v>
      </c>
      <c r="G70" s="3564">
        <v>108</v>
      </c>
      <c r="H70" s="3564">
        <v>87.26</v>
      </c>
      <c r="I70" s="3564">
        <v>20.74</v>
      </c>
      <c r="J70" s="3565">
        <v>1121994</v>
      </c>
      <c r="K70" s="3565">
        <v>10388.83</v>
      </c>
      <c r="L70" s="3565">
        <v>12858.06</v>
      </c>
      <c r="M70" s="3565">
        <v>0</v>
      </c>
      <c r="N70" s="3565">
        <v>0</v>
      </c>
      <c r="O70" s="3563" t="s">
        <v>3453</v>
      </c>
    </row>
    <row r="71" spans="1:15">
      <c r="A71" s="3563" t="s">
        <v>4269</v>
      </c>
      <c r="B71" s="3563" t="s">
        <v>4196</v>
      </c>
      <c r="C71" s="3563" t="s">
        <v>4197</v>
      </c>
      <c r="D71" s="3563" t="s">
        <v>4198</v>
      </c>
      <c r="E71" s="3563" t="s">
        <v>4199</v>
      </c>
      <c r="F71" s="3563" t="s">
        <v>4200</v>
      </c>
      <c r="G71" s="3564">
        <v>98.17</v>
      </c>
      <c r="H71" s="3564">
        <v>79.319999999999993</v>
      </c>
      <c r="I71" s="3564">
        <v>18.850000000000001</v>
      </c>
      <c r="J71" s="3565">
        <v>967654</v>
      </c>
      <c r="K71" s="3565">
        <v>9856.92</v>
      </c>
      <c r="L71" s="3565">
        <v>12199.37</v>
      </c>
      <c r="M71" s="3565">
        <v>0</v>
      </c>
      <c r="N71" s="3565">
        <v>0</v>
      </c>
      <c r="O71" s="3563" t="s">
        <v>3453</v>
      </c>
    </row>
    <row r="72" spans="1:15">
      <c r="A72" s="3563" t="s">
        <v>4270</v>
      </c>
      <c r="B72" s="3563" t="s">
        <v>4196</v>
      </c>
      <c r="C72" s="3563" t="s">
        <v>4197</v>
      </c>
      <c r="D72" s="3563" t="s">
        <v>4198</v>
      </c>
      <c r="E72" s="3563" t="s">
        <v>4199</v>
      </c>
      <c r="F72" s="3563" t="s">
        <v>4200</v>
      </c>
      <c r="G72" s="3564">
        <v>98.17</v>
      </c>
      <c r="H72" s="3564">
        <v>79.319999999999993</v>
      </c>
      <c r="I72" s="3564">
        <v>18.850000000000001</v>
      </c>
      <c r="J72" s="3565">
        <v>972876</v>
      </c>
      <c r="K72" s="3565">
        <v>9910.1200000000008</v>
      </c>
      <c r="L72" s="3565">
        <v>12265.2</v>
      </c>
      <c r="M72" s="3565">
        <v>0</v>
      </c>
      <c r="N72" s="3565">
        <v>0</v>
      </c>
      <c r="O72" s="3563" t="s">
        <v>3453</v>
      </c>
    </row>
    <row r="73" spans="1:15">
      <c r="A73" s="3563" t="s">
        <v>4271</v>
      </c>
      <c r="B73" s="3563" t="s">
        <v>4196</v>
      </c>
      <c r="C73" s="3563" t="s">
        <v>4197</v>
      </c>
      <c r="D73" s="3563" t="s">
        <v>4198</v>
      </c>
      <c r="E73" s="3563" t="s">
        <v>4199</v>
      </c>
      <c r="F73" s="3563" t="s">
        <v>4200</v>
      </c>
      <c r="G73" s="3564">
        <v>108</v>
      </c>
      <c r="H73" s="3564">
        <v>87.26</v>
      </c>
      <c r="I73" s="3564">
        <v>20.74</v>
      </c>
      <c r="J73" s="3565">
        <v>1133483</v>
      </c>
      <c r="K73" s="3565">
        <v>10495.21</v>
      </c>
      <c r="L73" s="3565">
        <v>12989.72</v>
      </c>
      <c r="M73" s="3565">
        <v>0</v>
      </c>
      <c r="N73" s="3565">
        <v>0</v>
      </c>
      <c r="O73" s="3563" t="s">
        <v>3453</v>
      </c>
    </row>
    <row r="74" spans="1:15">
      <c r="A74" s="3563" t="s">
        <v>4272</v>
      </c>
      <c r="B74" s="3563" t="s">
        <v>4196</v>
      </c>
      <c r="C74" s="3563" t="s">
        <v>4197</v>
      </c>
      <c r="D74" s="3563" t="s">
        <v>4198</v>
      </c>
      <c r="E74" s="3563" t="s">
        <v>4199</v>
      </c>
      <c r="F74" s="3563" t="s">
        <v>4200</v>
      </c>
      <c r="G74" s="3564">
        <v>108</v>
      </c>
      <c r="H74" s="3564">
        <v>87.26</v>
      </c>
      <c r="I74" s="3564">
        <v>20.74</v>
      </c>
      <c r="J74" s="3565">
        <v>1135781</v>
      </c>
      <c r="K74" s="3565">
        <v>10516.49</v>
      </c>
      <c r="L74" s="3565">
        <v>13016.06</v>
      </c>
      <c r="M74" s="3565">
        <v>0</v>
      </c>
      <c r="N74" s="3565">
        <v>0</v>
      </c>
      <c r="O74" s="3563" t="s">
        <v>3453</v>
      </c>
    </row>
    <row r="75" spans="1:15">
      <c r="A75" s="3563" t="s">
        <v>4273</v>
      </c>
      <c r="B75" s="3563" t="s">
        <v>4196</v>
      </c>
      <c r="C75" s="3563" t="s">
        <v>4197</v>
      </c>
      <c r="D75" s="3563" t="s">
        <v>4198</v>
      </c>
      <c r="E75" s="3563" t="s">
        <v>4199</v>
      </c>
      <c r="F75" s="3563" t="s">
        <v>4200</v>
      </c>
      <c r="G75" s="3564">
        <v>98.17</v>
      </c>
      <c r="H75" s="3564">
        <v>79.319999999999993</v>
      </c>
      <c r="I75" s="3564">
        <v>18.850000000000001</v>
      </c>
      <c r="J75" s="3565">
        <v>974964</v>
      </c>
      <c r="K75" s="3565">
        <v>9931.3799999999992</v>
      </c>
      <c r="L75" s="3565">
        <v>12291.53</v>
      </c>
      <c r="M75" s="3565">
        <v>0</v>
      </c>
      <c r="N75" s="3565">
        <v>0</v>
      </c>
      <c r="O75" s="3563" t="s">
        <v>3453</v>
      </c>
    </row>
    <row r="76" spans="1:15">
      <c r="A76" s="3563" t="s">
        <v>4274</v>
      </c>
      <c r="B76" s="3563" t="s">
        <v>4196</v>
      </c>
      <c r="C76" s="3563" t="s">
        <v>4197</v>
      </c>
      <c r="D76" s="3563" t="s">
        <v>4198</v>
      </c>
      <c r="E76" s="3563" t="s">
        <v>4199</v>
      </c>
      <c r="F76" s="3563" t="s">
        <v>4200</v>
      </c>
      <c r="G76" s="3564">
        <v>98.17</v>
      </c>
      <c r="H76" s="3564">
        <v>79.319999999999993</v>
      </c>
      <c r="I76" s="3564">
        <v>18.850000000000001</v>
      </c>
      <c r="J76" s="3565">
        <v>985408</v>
      </c>
      <c r="K76" s="3565">
        <v>10037.77</v>
      </c>
      <c r="L76" s="3565">
        <v>12423.2</v>
      </c>
      <c r="M76" s="3565">
        <v>0</v>
      </c>
      <c r="N76" s="3565">
        <v>0</v>
      </c>
      <c r="O76" s="3563" t="s">
        <v>3453</v>
      </c>
    </row>
    <row r="77" spans="1:15">
      <c r="A77" s="3563" t="s">
        <v>4275</v>
      </c>
      <c r="B77" s="3563" t="s">
        <v>4196</v>
      </c>
      <c r="C77" s="3563" t="s">
        <v>4197</v>
      </c>
      <c r="D77" s="3563" t="s">
        <v>4198</v>
      </c>
      <c r="E77" s="3563" t="s">
        <v>4199</v>
      </c>
      <c r="F77" s="3563" t="s">
        <v>4200</v>
      </c>
      <c r="G77" s="3564">
        <v>108</v>
      </c>
      <c r="H77" s="3564">
        <v>87.26</v>
      </c>
      <c r="I77" s="3564">
        <v>20.74</v>
      </c>
      <c r="J77" s="3565">
        <v>1147271</v>
      </c>
      <c r="K77" s="3565">
        <v>10622.88</v>
      </c>
      <c r="L77" s="3565">
        <v>13147.73</v>
      </c>
      <c r="M77" s="3565">
        <v>0</v>
      </c>
      <c r="N77" s="3565">
        <v>0</v>
      </c>
      <c r="O77" s="3563" t="s">
        <v>3453</v>
      </c>
    </row>
    <row r="78" spans="1:15">
      <c r="A78" s="3563" t="s">
        <v>4276</v>
      </c>
      <c r="B78" s="3563" t="s">
        <v>4196</v>
      </c>
      <c r="C78" s="3563" t="s">
        <v>4197</v>
      </c>
      <c r="D78" s="3563" t="s">
        <v>4198</v>
      </c>
      <c r="E78" s="3563" t="s">
        <v>4199</v>
      </c>
      <c r="F78" s="3563" t="s">
        <v>4200</v>
      </c>
      <c r="G78" s="3564">
        <v>108</v>
      </c>
      <c r="H78" s="3564">
        <v>87.26</v>
      </c>
      <c r="I78" s="3564">
        <v>20.74</v>
      </c>
      <c r="J78" s="3565">
        <v>1149569</v>
      </c>
      <c r="K78" s="3565">
        <v>10644.16</v>
      </c>
      <c r="L78" s="3565">
        <v>13174.07</v>
      </c>
      <c r="M78" s="3565">
        <v>0</v>
      </c>
      <c r="N78" s="3565">
        <v>0</v>
      </c>
      <c r="O78" s="3563" t="s">
        <v>3453</v>
      </c>
    </row>
    <row r="79" spans="1:15">
      <c r="A79" s="3563" t="s">
        <v>4277</v>
      </c>
      <c r="B79" s="3563" t="s">
        <v>4196</v>
      </c>
      <c r="C79" s="3563" t="s">
        <v>4197</v>
      </c>
      <c r="D79" s="3563" t="s">
        <v>4198</v>
      </c>
      <c r="E79" s="3563" t="s">
        <v>4199</v>
      </c>
      <c r="F79" s="3563" t="s">
        <v>4200</v>
      </c>
      <c r="G79" s="3564">
        <v>98.17</v>
      </c>
      <c r="H79" s="3564">
        <v>79.319999999999993</v>
      </c>
      <c r="I79" s="3564">
        <v>18.850000000000001</v>
      </c>
      <c r="J79" s="3565">
        <v>987496</v>
      </c>
      <c r="K79" s="3565">
        <v>10059.040000000001</v>
      </c>
      <c r="L79" s="3565">
        <v>12449.52</v>
      </c>
      <c r="M79" s="3565">
        <v>0</v>
      </c>
      <c r="N79" s="3565">
        <v>0</v>
      </c>
      <c r="O79" s="3563" t="s">
        <v>3453</v>
      </c>
    </row>
    <row r="80" spans="1:15">
      <c r="A80" s="3563" t="s">
        <v>4278</v>
      </c>
      <c r="B80" s="3563" t="s">
        <v>4196</v>
      </c>
      <c r="C80" s="3563" t="s">
        <v>4197</v>
      </c>
      <c r="D80" s="3563" t="s">
        <v>4198</v>
      </c>
      <c r="E80" s="3563" t="s">
        <v>4199</v>
      </c>
      <c r="F80" s="3563" t="s">
        <v>4200</v>
      </c>
      <c r="G80" s="3564">
        <v>98.17</v>
      </c>
      <c r="H80" s="3564">
        <v>79.319999999999993</v>
      </c>
      <c r="I80" s="3564">
        <v>18.850000000000001</v>
      </c>
      <c r="J80" s="3565">
        <v>997940</v>
      </c>
      <c r="K80" s="3565">
        <v>10165.43</v>
      </c>
      <c r="L80" s="3565">
        <v>12581.19</v>
      </c>
      <c r="M80" s="3565">
        <v>0</v>
      </c>
      <c r="N80" s="3565">
        <v>0</v>
      </c>
      <c r="O80" s="3563" t="s">
        <v>3453</v>
      </c>
    </row>
    <row r="81" spans="1:15">
      <c r="A81" s="3563" t="s">
        <v>4279</v>
      </c>
      <c r="B81" s="3563" t="s">
        <v>4196</v>
      </c>
      <c r="C81" s="3563" t="s">
        <v>4197</v>
      </c>
      <c r="D81" s="3563" t="s">
        <v>4198</v>
      </c>
      <c r="E81" s="3563" t="s">
        <v>4199</v>
      </c>
      <c r="F81" s="3563" t="s">
        <v>4200</v>
      </c>
      <c r="G81" s="3564">
        <v>108</v>
      </c>
      <c r="H81" s="3564">
        <v>87.26</v>
      </c>
      <c r="I81" s="3564">
        <v>20.74</v>
      </c>
      <c r="J81" s="3565">
        <v>1161058</v>
      </c>
      <c r="K81" s="3565">
        <v>10750.54</v>
      </c>
      <c r="L81" s="3565">
        <v>13305.73</v>
      </c>
      <c r="M81" s="3565">
        <v>0</v>
      </c>
      <c r="N81" s="3565">
        <v>0</v>
      </c>
      <c r="O81" s="3563" t="s">
        <v>3453</v>
      </c>
    </row>
    <row r="82" spans="1:15">
      <c r="A82" s="3563" t="s">
        <v>4280</v>
      </c>
      <c r="B82" s="3563" t="s">
        <v>4196</v>
      </c>
      <c r="C82" s="3563" t="s">
        <v>4197</v>
      </c>
      <c r="D82" s="3563" t="s">
        <v>4198</v>
      </c>
      <c r="E82" s="3563" t="s">
        <v>4199</v>
      </c>
      <c r="F82" s="3563" t="s">
        <v>4200</v>
      </c>
      <c r="G82" s="3564">
        <v>108</v>
      </c>
      <c r="H82" s="3564">
        <v>87.26</v>
      </c>
      <c r="I82" s="3564">
        <v>20.74</v>
      </c>
      <c r="J82" s="3565">
        <v>1151866</v>
      </c>
      <c r="K82" s="3565">
        <v>10665.43</v>
      </c>
      <c r="L82" s="3565">
        <v>13200.39</v>
      </c>
      <c r="M82" s="3565">
        <v>0</v>
      </c>
      <c r="N82" s="3565">
        <v>0</v>
      </c>
      <c r="O82" s="3563" t="s">
        <v>3453</v>
      </c>
    </row>
    <row r="83" spans="1:15">
      <c r="A83" s="3563" t="s">
        <v>4281</v>
      </c>
      <c r="B83" s="3563" t="s">
        <v>4196</v>
      </c>
      <c r="C83" s="3563" t="s">
        <v>4197</v>
      </c>
      <c r="D83" s="3563" t="s">
        <v>4198</v>
      </c>
      <c r="E83" s="3563" t="s">
        <v>4199</v>
      </c>
      <c r="F83" s="3563" t="s">
        <v>4200</v>
      </c>
      <c r="G83" s="3564">
        <v>98.17</v>
      </c>
      <c r="H83" s="3564">
        <v>79.319999999999993</v>
      </c>
      <c r="I83" s="3564">
        <v>18.850000000000001</v>
      </c>
      <c r="J83" s="3565">
        <v>989586</v>
      </c>
      <c r="K83" s="3565">
        <v>10080.33</v>
      </c>
      <c r="L83" s="3565">
        <v>12475.87</v>
      </c>
      <c r="M83" s="3565">
        <v>0</v>
      </c>
      <c r="N83" s="3565">
        <v>0</v>
      </c>
      <c r="O83" s="3563" t="s">
        <v>3453</v>
      </c>
    </row>
    <row r="84" spans="1:15">
      <c r="A84" s="3563" t="s">
        <v>4282</v>
      </c>
      <c r="B84" s="3563" t="s">
        <v>4196</v>
      </c>
      <c r="C84" s="3563" t="s">
        <v>4197</v>
      </c>
      <c r="D84" s="3563" t="s">
        <v>4198</v>
      </c>
      <c r="E84" s="3563" t="s">
        <v>4199</v>
      </c>
      <c r="F84" s="3563" t="s">
        <v>4200</v>
      </c>
      <c r="G84" s="3564">
        <v>98.17</v>
      </c>
      <c r="H84" s="3564">
        <v>79.319999999999993</v>
      </c>
      <c r="I84" s="3564">
        <v>18.850000000000001</v>
      </c>
      <c r="J84" s="3565">
        <v>1000029</v>
      </c>
      <c r="K84" s="3565">
        <v>10186.709999999999</v>
      </c>
      <c r="L84" s="3565">
        <v>12607.53</v>
      </c>
      <c r="M84" s="3565">
        <v>0</v>
      </c>
      <c r="N84" s="3565">
        <v>0</v>
      </c>
      <c r="O84" s="3563" t="s">
        <v>3453</v>
      </c>
    </row>
    <row r="85" spans="1:15">
      <c r="A85" s="3563" t="s">
        <v>4283</v>
      </c>
      <c r="B85" s="3563" t="s">
        <v>4196</v>
      </c>
      <c r="C85" s="3563" t="s">
        <v>4197</v>
      </c>
      <c r="D85" s="3563" t="s">
        <v>4198</v>
      </c>
      <c r="E85" s="3563" t="s">
        <v>4199</v>
      </c>
      <c r="F85" s="3563" t="s">
        <v>4200</v>
      </c>
      <c r="G85" s="3564">
        <v>108</v>
      </c>
      <c r="H85" s="3564">
        <v>87.26</v>
      </c>
      <c r="I85" s="3564">
        <v>20.74</v>
      </c>
      <c r="J85" s="3565">
        <v>1163356</v>
      </c>
      <c r="K85" s="3565">
        <v>10771.81</v>
      </c>
      <c r="L85" s="3565">
        <v>13332.07</v>
      </c>
      <c r="M85" s="3565">
        <v>0</v>
      </c>
      <c r="N85" s="3565">
        <v>0</v>
      </c>
      <c r="O85" s="3563" t="s">
        <v>3453</v>
      </c>
    </row>
    <row r="86" spans="1:15">
      <c r="A86" s="3563" t="s">
        <v>4284</v>
      </c>
      <c r="B86" s="3563" t="s">
        <v>4196</v>
      </c>
      <c r="C86" s="3563" t="s">
        <v>4197</v>
      </c>
      <c r="D86" s="3563" t="s">
        <v>4198</v>
      </c>
      <c r="E86" s="3563" t="s">
        <v>4199</v>
      </c>
      <c r="F86" s="3563" t="s">
        <v>4200</v>
      </c>
      <c r="G86" s="3564">
        <v>108</v>
      </c>
      <c r="H86" s="3564">
        <v>87.26</v>
      </c>
      <c r="I86" s="3564">
        <v>20.74</v>
      </c>
      <c r="J86" s="3565">
        <v>1165654</v>
      </c>
      <c r="K86" s="3565">
        <v>10793.09</v>
      </c>
      <c r="L86" s="3565">
        <v>13358.4</v>
      </c>
      <c r="M86" s="3565">
        <v>0</v>
      </c>
      <c r="N86" s="3565">
        <v>0</v>
      </c>
      <c r="O86" s="3563" t="s">
        <v>3453</v>
      </c>
    </row>
    <row r="87" spans="1:15">
      <c r="A87" s="3563" t="s">
        <v>4285</v>
      </c>
      <c r="B87" s="3563" t="s">
        <v>4196</v>
      </c>
      <c r="C87" s="3563" t="s">
        <v>4197</v>
      </c>
      <c r="D87" s="3563" t="s">
        <v>4198</v>
      </c>
      <c r="E87" s="3563" t="s">
        <v>4199</v>
      </c>
      <c r="F87" s="3563" t="s">
        <v>4200</v>
      </c>
      <c r="G87" s="3564">
        <v>98.17</v>
      </c>
      <c r="H87" s="3564">
        <v>79.319999999999993</v>
      </c>
      <c r="I87" s="3564">
        <v>18.850000000000001</v>
      </c>
      <c r="J87" s="3565">
        <v>1012561</v>
      </c>
      <c r="K87" s="3565">
        <v>10314.36</v>
      </c>
      <c r="L87" s="3565">
        <v>12765.52</v>
      </c>
      <c r="M87" s="3565">
        <v>0</v>
      </c>
      <c r="N87" s="3565">
        <v>0</v>
      </c>
      <c r="O87" s="3563" t="s">
        <v>3453</v>
      </c>
    </row>
    <row r="88" spans="1:15">
      <c r="A88" s="3563" t="s">
        <v>4286</v>
      </c>
      <c r="B88" s="3563" t="s">
        <v>4196</v>
      </c>
      <c r="C88" s="3563" t="s">
        <v>4197</v>
      </c>
      <c r="D88" s="3563" t="s">
        <v>4198</v>
      </c>
      <c r="E88" s="3563" t="s">
        <v>4199</v>
      </c>
      <c r="F88" s="3563" t="s">
        <v>4200</v>
      </c>
      <c r="G88" s="3564">
        <v>98.17</v>
      </c>
      <c r="H88" s="3564">
        <v>79.319999999999993</v>
      </c>
      <c r="I88" s="3564">
        <v>18.850000000000001</v>
      </c>
      <c r="J88" s="3565">
        <v>1012561</v>
      </c>
      <c r="K88" s="3565">
        <v>10314.36</v>
      </c>
      <c r="L88" s="3565">
        <v>12765.52</v>
      </c>
      <c r="M88" s="3565">
        <v>0</v>
      </c>
      <c r="N88" s="3565">
        <v>0</v>
      </c>
      <c r="O88" s="3563" t="s">
        <v>3453</v>
      </c>
    </row>
    <row r="89" spans="1:15">
      <c r="A89" s="3563" t="s">
        <v>4287</v>
      </c>
      <c r="B89" s="3563" t="s">
        <v>4196</v>
      </c>
      <c r="C89" s="3563" t="s">
        <v>4197</v>
      </c>
      <c r="D89" s="3563" t="s">
        <v>4198</v>
      </c>
      <c r="E89" s="3563" t="s">
        <v>4199</v>
      </c>
      <c r="F89" s="3563" t="s">
        <v>4200</v>
      </c>
      <c r="G89" s="3564">
        <v>108</v>
      </c>
      <c r="H89" s="3564">
        <v>87.26</v>
      </c>
      <c r="I89" s="3564">
        <v>20.74</v>
      </c>
      <c r="J89" s="3565">
        <v>1165654</v>
      </c>
      <c r="K89" s="3565">
        <v>10793.09</v>
      </c>
      <c r="L89" s="3565">
        <v>13358.4</v>
      </c>
      <c r="M89" s="3565">
        <v>0</v>
      </c>
      <c r="N89" s="3565">
        <v>0</v>
      </c>
      <c r="O89" s="3563" t="s">
        <v>3453</v>
      </c>
    </row>
    <row r="90" spans="1:15">
      <c r="A90" s="3563" t="s">
        <v>4288</v>
      </c>
      <c r="B90" s="3563" t="s">
        <v>4196</v>
      </c>
      <c r="C90" s="3563" t="s">
        <v>4197</v>
      </c>
      <c r="D90" s="3563" t="s">
        <v>4198</v>
      </c>
      <c r="E90" s="3563" t="s">
        <v>4199</v>
      </c>
      <c r="F90" s="3563" t="s">
        <v>4200</v>
      </c>
      <c r="G90" s="3564">
        <v>108</v>
      </c>
      <c r="H90" s="3564">
        <v>87.26</v>
      </c>
      <c r="I90" s="3564">
        <v>20.74</v>
      </c>
      <c r="J90" s="3565">
        <v>1167952</v>
      </c>
      <c r="K90" s="3565">
        <v>10814.37</v>
      </c>
      <c r="L90" s="3565">
        <v>13384.74</v>
      </c>
      <c r="M90" s="3565">
        <v>0</v>
      </c>
      <c r="N90" s="3565">
        <v>0</v>
      </c>
      <c r="O90" s="3563" t="s">
        <v>3453</v>
      </c>
    </row>
    <row r="91" spans="1:15">
      <c r="A91" s="3563" t="s">
        <v>4289</v>
      </c>
      <c r="B91" s="3563" t="s">
        <v>4196</v>
      </c>
      <c r="C91" s="3563" t="s">
        <v>4197</v>
      </c>
      <c r="D91" s="3563" t="s">
        <v>4198</v>
      </c>
      <c r="E91" s="3563" t="s">
        <v>4199</v>
      </c>
      <c r="F91" s="3563" t="s">
        <v>4200</v>
      </c>
      <c r="G91" s="3564">
        <v>98.17</v>
      </c>
      <c r="H91" s="3564">
        <v>79.319999999999993</v>
      </c>
      <c r="I91" s="3564">
        <v>18.850000000000001</v>
      </c>
      <c r="J91" s="3565">
        <v>1014650</v>
      </c>
      <c r="K91" s="3565">
        <v>10335.64</v>
      </c>
      <c r="L91" s="3565">
        <v>12791.86</v>
      </c>
      <c r="M91" s="3565">
        <v>0</v>
      </c>
      <c r="N91" s="3565">
        <v>0</v>
      </c>
      <c r="O91" s="3563" t="s">
        <v>3453</v>
      </c>
    </row>
    <row r="92" spans="1:15">
      <c r="A92" s="3563" t="s">
        <v>4290</v>
      </c>
      <c r="B92" s="3563" t="s">
        <v>4196</v>
      </c>
      <c r="C92" s="3563" t="s">
        <v>4197</v>
      </c>
      <c r="D92" s="3563" t="s">
        <v>4198</v>
      </c>
      <c r="E92" s="3563" t="s">
        <v>4199</v>
      </c>
      <c r="F92" s="3563" t="s">
        <v>4200</v>
      </c>
      <c r="G92" s="3564">
        <v>98.17</v>
      </c>
      <c r="H92" s="3564">
        <v>79.319999999999993</v>
      </c>
      <c r="I92" s="3564">
        <v>18.850000000000001</v>
      </c>
      <c r="J92" s="3565">
        <v>1014650</v>
      </c>
      <c r="K92" s="3565">
        <v>10335.64</v>
      </c>
      <c r="L92" s="3565">
        <v>12791.86</v>
      </c>
      <c r="M92" s="3565">
        <v>0</v>
      </c>
      <c r="N92" s="3565">
        <v>0</v>
      </c>
      <c r="O92" s="3563" t="s">
        <v>3453</v>
      </c>
    </row>
    <row r="93" spans="1:15">
      <c r="A93" s="3563" t="s">
        <v>4291</v>
      </c>
      <c r="B93" s="3563" t="s">
        <v>4196</v>
      </c>
      <c r="C93" s="3563" t="s">
        <v>4197</v>
      </c>
      <c r="D93" s="3563" t="s">
        <v>4198</v>
      </c>
      <c r="E93" s="3563" t="s">
        <v>4199</v>
      </c>
      <c r="F93" s="3563" t="s">
        <v>4200</v>
      </c>
      <c r="G93" s="3564">
        <v>108</v>
      </c>
      <c r="H93" s="3564">
        <v>87.26</v>
      </c>
      <c r="I93" s="3564">
        <v>20.74</v>
      </c>
      <c r="J93" s="3565">
        <v>1167952</v>
      </c>
      <c r="K93" s="3565">
        <v>10814.37</v>
      </c>
      <c r="L93" s="3565">
        <v>13384.74</v>
      </c>
      <c r="M93" s="3565">
        <v>0</v>
      </c>
      <c r="N93" s="3565">
        <v>0</v>
      </c>
      <c r="O93" s="3563" t="s">
        <v>3453</v>
      </c>
    </row>
    <row r="94" spans="1:15">
      <c r="A94" s="3563" t="s">
        <v>4292</v>
      </c>
      <c r="B94" s="3563" t="s">
        <v>4196</v>
      </c>
      <c r="C94" s="3563" t="s">
        <v>4197</v>
      </c>
      <c r="D94" s="3563" t="s">
        <v>4198</v>
      </c>
      <c r="E94" s="3563" t="s">
        <v>4199</v>
      </c>
      <c r="F94" s="3563" t="s">
        <v>4200</v>
      </c>
      <c r="G94" s="3564">
        <v>108</v>
      </c>
      <c r="H94" s="3564">
        <v>87.26</v>
      </c>
      <c r="I94" s="3564">
        <v>20.74</v>
      </c>
      <c r="J94" s="3565">
        <v>1165654</v>
      </c>
      <c r="K94" s="3565">
        <v>10793.09</v>
      </c>
      <c r="L94" s="3565">
        <v>13358.4</v>
      </c>
      <c r="M94" s="3565">
        <v>0</v>
      </c>
      <c r="N94" s="3565">
        <v>0</v>
      </c>
      <c r="O94" s="3563" t="s">
        <v>3453</v>
      </c>
    </row>
    <row r="95" spans="1:15">
      <c r="A95" s="3563" t="s">
        <v>4293</v>
      </c>
      <c r="B95" s="3563" t="s">
        <v>4196</v>
      </c>
      <c r="C95" s="3563" t="s">
        <v>4197</v>
      </c>
      <c r="D95" s="3563" t="s">
        <v>4198</v>
      </c>
      <c r="E95" s="3563" t="s">
        <v>4199</v>
      </c>
      <c r="F95" s="3563" t="s">
        <v>4200</v>
      </c>
      <c r="G95" s="3564">
        <v>98.17</v>
      </c>
      <c r="H95" s="3564">
        <v>79.319999999999993</v>
      </c>
      <c r="I95" s="3564">
        <v>18.850000000000001</v>
      </c>
      <c r="J95" s="3565">
        <v>1012561</v>
      </c>
      <c r="K95" s="3565">
        <v>10314.36</v>
      </c>
      <c r="L95" s="3565">
        <v>12765.52</v>
      </c>
      <c r="M95" s="3565">
        <v>0</v>
      </c>
      <c r="N95" s="3565">
        <v>0</v>
      </c>
      <c r="O95" s="3563" t="s">
        <v>3453</v>
      </c>
    </row>
    <row r="96" spans="1:15">
      <c r="A96" s="3563" t="s">
        <v>4294</v>
      </c>
      <c r="B96" s="3563" t="s">
        <v>4196</v>
      </c>
      <c r="C96" s="3563" t="s">
        <v>4197</v>
      </c>
      <c r="D96" s="3563" t="s">
        <v>4198</v>
      </c>
      <c r="E96" s="3563" t="s">
        <v>4199</v>
      </c>
      <c r="F96" s="3563" t="s">
        <v>4200</v>
      </c>
      <c r="G96" s="3564">
        <v>98.17</v>
      </c>
      <c r="H96" s="3564">
        <v>79.319999999999993</v>
      </c>
      <c r="I96" s="3564">
        <v>18.850000000000001</v>
      </c>
      <c r="J96" s="3565">
        <v>1012561</v>
      </c>
      <c r="K96" s="3565">
        <v>10314.36</v>
      </c>
      <c r="L96" s="3565">
        <v>12765.52</v>
      </c>
      <c r="M96" s="3565">
        <v>0</v>
      </c>
      <c r="N96" s="3565">
        <v>0</v>
      </c>
      <c r="O96" s="3563" t="s">
        <v>3453</v>
      </c>
    </row>
    <row r="97" spans="1:15">
      <c r="A97" s="3563" t="s">
        <v>4295</v>
      </c>
      <c r="B97" s="3563" t="s">
        <v>4196</v>
      </c>
      <c r="C97" s="3563" t="s">
        <v>4197</v>
      </c>
      <c r="D97" s="3563" t="s">
        <v>4198</v>
      </c>
      <c r="E97" s="3563" t="s">
        <v>4199</v>
      </c>
      <c r="F97" s="3563" t="s">
        <v>4200</v>
      </c>
      <c r="G97" s="3564">
        <v>108</v>
      </c>
      <c r="H97" s="3564">
        <v>87.26</v>
      </c>
      <c r="I97" s="3564">
        <v>20.74</v>
      </c>
      <c r="J97" s="3565">
        <v>1165654</v>
      </c>
      <c r="K97" s="3565">
        <v>10793.09</v>
      </c>
      <c r="L97" s="3565">
        <v>13358.4</v>
      </c>
      <c r="M97" s="3565">
        <v>0</v>
      </c>
      <c r="N97" s="3565">
        <v>0</v>
      </c>
      <c r="O97" s="3563" t="s">
        <v>3453</v>
      </c>
    </row>
    <row r="98" spans="1:15">
      <c r="A98" s="3563" t="s">
        <v>4296</v>
      </c>
      <c r="B98" s="3563" t="s">
        <v>4196</v>
      </c>
      <c r="C98" s="3563" t="s">
        <v>4197</v>
      </c>
      <c r="D98" s="3563" t="s">
        <v>4198</v>
      </c>
      <c r="E98" s="3563" t="s">
        <v>4297</v>
      </c>
      <c r="F98" s="3563" t="s">
        <v>4200</v>
      </c>
      <c r="G98" s="3564">
        <v>91.05</v>
      </c>
      <c r="H98" s="3564">
        <v>74.489999999999995</v>
      </c>
      <c r="I98" s="3564">
        <v>16.559999999999999</v>
      </c>
      <c r="J98" s="3565">
        <v>927499</v>
      </c>
      <c r="K98" s="3565">
        <v>10186.700000000001</v>
      </c>
      <c r="L98" s="3565">
        <v>12451.32</v>
      </c>
      <c r="M98" s="3565">
        <v>0</v>
      </c>
      <c r="N98" s="3565">
        <v>0</v>
      </c>
      <c r="O98" s="3563" t="s">
        <v>3453</v>
      </c>
    </row>
    <row r="99" spans="1:15">
      <c r="A99" s="3563" t="s">
        <v>4298</v>
      </c>
      <c r="B99" s="3563" t="s">
        <v>4196</v>
      </c>
      <c r="C99" s="3563" t="s">
        <v>4197</v>
      </c>
      <c r="D99" s="3563" t="s">
        <v>4198</v>
      </c>
      <c r="E99" s="3563" t="s">
        <v>4297</v>
      </c>
      <c r="F99" s="3563" t="s">
        <v>4200</v>
      </c>
      <c r="G99" s="3564">
        <v>97.06</v>
      </c>
      <c r="H99" s="3564">
        <v>79.41</v>
      </c>
      <c r="I99" s="3564">
        <v>17.649999999999999</v>
      </c>
      <c r="J99" s="3565">
        <v>951549</v>
      </c>
      <c r="K99" s="3565">
        <v>9803.7199999999993</v>
      </c>
      <c r="L99" s="3565">
        <v>11982.74</v>
      </c>
      <c r="M99" s="3565">
        <v>0</v>
      </c>
      <c r="N99" s="3565">
        <v>0</v>
      </c>
      <c r="O99" s="3563" t="s">
        <v>3453</v>
      </c>
    </row>
    <row r="100" spans="1:15">
      <c r="A100" s="3563" t="s">
        <v>4299</v>
      </c>
      <c r="B100" s="3563" t="s">
        <v>4196</v>
      </c>
      <c r="C100" s="3563" t="s">
        <v>4197</v>
      </c>
      <c r="D100" s="3563" t="s">
        <v>4198</v>
      </c>
      <c r="E100" s="3563" t="s">
        <v>4297</v>
      </c>
      <c r="F100" s="3563" t="s">
        <v>4200</v>
      </c>
      <c r="G100" s="3564">
        <v>96.95</v>
      </c>
      <c r="H100" s="3564">
        <v>79.319999999999993</v>
      </c>
      <c r="I100" s="3564">
        <v>17.63</v>
      </c>
      <c r="J100" s="3565">
        <v>950472</v>
      </c>
      <c r="K100" s="3565">
        <v>9803.73</v>
      </c>
      <c r="L100" s="3565">
        <v>11982.75</v>
      </c>
      <c r="M100" s="3565">
        <v>0</v>
      </c>
      <c r="N100" s="3565">
        <v>0</v>
      </c>
      <c r="O100" s="3563" t="s">
        <v>3453</v>
      </c>
    </row>
    <row r="101" spans="1:15">
      <c r="A101" s="3563" t="s">
        <v>4300</v>
      </c>
      <c r="B101" s="3563" t="s">
        <v>4196</v>
      </c>
      <c r="C101" s="3563" t="s">
        <v>4197</v>
      </c>
      <c r="D101" s="3563" t="s">
        <v>4198</v>
      </c>
      <c r="E101" s="3563" t="s">
        <v>4297</v>
      </c>
      <c r="F101" s="3563" t="s">
        <v>4200</v>
      </c>
      <c r="G101" s="3564">
        <v>91.05</v>
      </c>
      <c r="H101" s="3564">
        <v>74.489999999999995</v>
      </c>
      <c r="I101" s="3564">
        <v>16.559999999999999</v>
      </c>
      <c r="J101" s="3565">
        <v>955590</v>
      </c>
      <c r="K101" s="3565">
        <v>10495.22</v>
      </c>
      <c r="L101" s="3565">
        <v>12828.43</v>
      </c>
      <c r="M101" s="3565">
        <v>0</v>
      </c>
      <c r="N101" s="3565">
        <v>0</v>
      </c>
      <c r="O101" s="3563" t="s">
        <v>3453</v>
      </c>
    </row>
    <row r="102" spans="1:15">
      <c r="A102" s="3563" t="s">
        <v>4301</v>
      </c>
      <c r="B102" s="3563" t="s">
        <v>4196</v>
      </c>
      <c r="C102" s="3563" t="s">
        <v>4197</v>
      </c>
      <c r="D102" s="3563" t="s">
        <v>4198</v>
      </c>
      <c r="E102" s="3563" t="s">
        <v>4297</v>
      </c>
      <c r="F102" s="3563" t="s">
        <v>4200</v>
      </c>
      <c r="G102" s="3564">
        <v>107.09</v>
      </c>
      <c r="H102" s="3564">
        <v>87.61</v>
      </c>
      <c r="I102" s="3564">
        <v>19.48</v>
      </c>
      <c r="J102" s="3565">
        <v>1113679</v>
      </c>
      <c r="K102" s="3565">
        <v>10399.469999999999</v>
      </c>
      <c r="L102" s="3565">
        <v>12711.78</v>
      </c>
      <c r="M102" s="3565">
        <v>0</v>
      </c>
      <c r="N102" s="3565">
        <v>0</v>
      </c>
      <c r="O102" s="3563" t="s">
        <v>3453</v>
      </c>
    </row>
    <row r="103" spans="1:15">
      <c r="A103" s="3563" t="s">
        <v>4302</v>
      </c>
      <c r="B103" s="3563" t="s">
        <v>4196</v>
      </c>
      <c r="C103" s="3563" t="s">
        <v>4197</v>
      </c>
      <c r="D103" s="3563" t="s">
        <v>4198</v>
      </c>
      <c r="E103" s="3563" t="s">
        <v>4297</v>
      </c>
      <c r="F103" s="3563" t="s">
        <v>4200</v>
      </c>
      <c r="G103" s="3564">
        <v>96.95</v>
      </c>
      <c r="H103" s="3564">
        <v>79.319999999999993</v>
      </c>
      <c r="I103" s="3564">
        <v>17.63</v>
      </c>
      <c r="J103" s="3565">
        <v>961816</v>
      </c>
      <c r="K103" s="3565">
        <v>9920.74</v>
      </c>
      <c r="L103" s="3565">
        <v>12125.77</v>
      </c>
      <c r="M103" s="3565">
        <v>0</v>
      </c>
      <c r="N103" s="3565">
        <v>0</v>
      </c>
      <c r="O103" s="3563" t="s">
        <v>3453</v>
      </c>
    </row>
    <row r="104" spans="1:15">
      <c r="A104" s="3563" t="s">
        <v>4303</v>
      </c>
      <c r="B104" s="3563" t="s">
        <v>4196</v>
      </c>
      <c r="C104" s="3563" t="s">
        <v>4197</v>
      </c>
      <c r="D104" s="3563" t="s">
        <v>4198</v>
      </c>
      <c r="E104" s="3563" t="s">
        <v>4297</v>
      </c>
      <c r="F104" s="3563" t="s">
        <v>4200</v>
      </c>
      <c r="G104" s="3564">
        <v>96.95</v>
      </c>
      <c r="H104" s="3564">
        <v>79.319999999999993</v>
      </c>
      <c r="I104" s="3564">
        <v>17.63</v>
      </c>
      <c r="J104" s="3565">
        <v>961816</v>
      </c>
      <c r="K104" s="3565">
        <v>9920.74</v>
      </c>
      <c r="L104" s="3565">
        <v>12125.77</v>
      </c>
      <c r="M104" s="3565">
        <v>0</v>
      </c>
      <c r="N104" s="3565">
        <v>0</v>
      </c>
      <c r="O104" s="3563" t="s">
        <v>3453</v>
      </c>
    </row>
    <row r="105" spans="1:15">
      <c r="A105" s="3563" t="s">
        <v>4304</v>
      </c>
      <c r="B105" s="3563" t="s">
        <v>4196</v>
      </c>
      <c r="C105" s="3563" t="s">
        <v>4197</v>
      </c>
      <c r="D105" s="3563" t="s">
        <v>4198</v>
      </c>
      <c r="E105" s="3563" t="s">
        <v>4297</v>
      </c>
      <c r="F105" s="3563" t="s">
        <v>4200</v>
      </c>
      <c r="G105" s="3564">
        <v>107.09</v>
      </c>
      <c r="H105" s="3564">
        <v>87.61</v>
      </c>
      <c r="I105" s="3564">
        <v>19.48</v>
      </c>
      <c r="J105" s="3565">
        <v>1113679</v>
      </c>
      <c r="K105" s="3565">
        <v>10399.469999999999</v>
      </c>
      <c r="L105" s="3565">
        <v>12711.78</v>
      </c>
      <c r="M105" s="3565">
        <v>0</v>
      </c>
      <c r="N105" s="3565">
        <v>0</v>
      </c>
      <c r="O105" s="3563" t="s">
        <v>3453</v>
      </c>
    </row>
    <row r="106" spans="1:15">
      <c r="A106" s="3563" t="s">
        <v>4305</v>
      </c>
      <c r="B106" s="3563" t="s">
        <v>4196</v>
      </c>
      <c r="C106" s="3563" t="s">
        <v>4197</v>
      </c>
      <c r="D106" s="3563" t="s">
        <v>4198</v>
      </c>
      <c r="E106" s="3563" t="s">
        <v>4297</v>
      </c>
      <c r="F106" s="3563" t="s">
        <v>4200</v>
      </c>
      <c r="G106" s="3564">
        <v>94.13</v>
      </c>
      <c r="H106" s="3564">
        <v>77.010000000000005</v>
      </c>
      <c r="I106" s="3564">
        <v>17.12</v>
      </c>
      <c r="J106" s="3565">
        <v>999931</v>
      </c>
      <c r="K106" s="3565">
        <v>10622.87</v>
      </c>
      <c r="L106" s="3565">
        <v>12984.43</v>
      </c>
      <c r="M106" s="3565">
        <v>0</v>
      </c>
      <c r="N106" s="3565">
        <v>0</v>
      </c>
      <c r="O106" s="3563" t="s">
        <v>3453</v>
      </c>
    </row>
    <row r="107" spans="1:15">
      <c r="A107" s="3563" t="s">
        <v>4306</v>
      </c>
      <c r="B107" s="3563" t="s">
        <v>4196</v>
      </c>
      <c r="C107" s="3563" t="s">
        <v>4197</v>
      </c>
      <c r="D107" s="3563" t="s">
        <v>4198</v>
      </c>
      <c r="E107" s="3563" t="s">
        <v>4297</v>
      </c>
      <c r="F107" s="3563" t="s">
        <v>4200</v>
      </c>
      <c r="G107" s="3564">
        <v>96.95</v>
      </c>
      <c r="H107" s="3564">
        <v>79.319999999999993</v>
      </c>
      <c r="I107" s="3564">
        <v>17.63</v>
      </c>
      <c r="J107" s="3565">
        <v>950472</v>
      </c>
      <c r="K107" s="3565">
        <v>9803.73</v>
      </c>
      <c r="L107" s="3565">
        <v>11982.75</v>
      </c>
      <c r="M107" s="3565">
        <v>0</v>
      </c>
      <c r="N107" s="3565">
        <v>0</v>
      </c>
      <c r="O107" s="3563" t="s">
        <v>3453</v>
      </c>
    </row>
    <row r="108" spans="1:15">
      <c r="A108" s="3563" t="s">
        <v>4307</v>
      </c>
      <c r="B108" s="3563" t="s">
        <v>4196</v>
      </c>
      <c r="C108" s="3563" t="s">
        <v>4197</v>
      </c>
      <c r="D108" s="3563" t="s">
        <v>4198</v>
      </c>
      <c r="E108" s="3563" t="s">
        <v>4297</v>
      </c>
      <c r="F108" s="3563" t="s">
        <v>4200</v>
      </c>
      <c r="G108" s="3564">
        <v>96.95</v>
      </c>
      <c r="H108" s="3564">
        <v>79.319999999999993</v>
      </c>
      <c r="I108" s="3564">
        <v>17.63</v>
      </c>
      <c r="J108" s="3565">
        <v>950472</v>
      </c>
      <c r="K108" s="3565">
        <v>9803.73</v>
      </c>
      <c r="L108" s="3565">
        <v>11982.75</v>
      </c>
      <c r="M108" s="3565">
        <v>0</v>
      </c>
      <c r="N108" s="3565">
        <v>0</v>
      </c>
      <c r="O108" s="3563" t="s">
        <v>3453</v>
      </c>
    </row>
    <row r="109" spans="1:15">
      <c r="A109" s="3563" t="s">
        <v>4308</v>
      </c>
      <c r="B109" s="3563" t="s">
        <v>4196</v>
      </c>
      <c r="C109" s="3563" t="s">
        <v>4197</v>
      </c>
      <c r="D109" s="3563" t="s">
        <v>4198</v>
      </c>
      <c r="E109" s="3563" t="s">
        <v>4297</v>
      </c>
      <c r="F109" s="3563" t="s">
        <v>4200</v>
      </c>
      <c r="G109" s="3564">
        <v>94.13</v>
      </c>
      <c r="H109" s="3564">
        <v>77.010000000000005</v>
      </c>
      <c r="I109" s="3564">
        <v>17.12</v>
      </c>
      <c r="J109" s="3565">
        <v>970891</v>
      </c>
      <c r="K109" s="3565">
        <v>10314.36</v>
      </c>
      <c r="L109" s="3565">
        <v>12607.34</v>
      </c>
      <c r="M109" s="3565">
        <v>0</v>
      </c>
      <c r="N109" s="3565">
        <v>0</v>
      </c>
      <c r="O109" s="3563" t="s">
        <v>3453</v>
      </c>
    </row>
    <row r="110" spans="1:15">
      <c r="A110" s="3563" t="s">
        <v>4309</v>
      </c>
      <c r="B110" s="3563" t="s">
        <v>4196</v>
      </c>
      <c r="C110" s="3563" t="s">
        <v>4197</v>
      </c>
      <c r="D110" s="3563" t="s">
        <v>4198</v>
      </c>
      <c r="E110" s="3563" t="s">
        <v>4297</v>
      </c>
      <c r="F110" s="3563" t="s">
        <v>4200</v>
      </c>
      <c r="G110" s="3564">
        <v>107.09</v>
      </c>
      <c r="H110" s="3564">
        <v>87.61</v>
      </c>
      <c r="I110" s="3564">
        <v>19.48</v>
      </c>
      <c r="J110" s="3565">
        <v>1118237</v>
      </c>
      <c r="K110" s="3565">
        <v>10442.030000000001</v>
      </c>
      <c r="L110" s="3565">
        <v>12763.81</v>
      </c>
      <c r="M110" s="3565">
        <v>0</v>
      </c>
      <c r="N110" s="3565">
        <v>0</v>
      </c>
      <c r="O110" s="3563" t="s">
        <v>3453</v>
      </c>
    </row>
    <row r="111" spans="1:15">
      <c r="A111" s="3563" t="s">
        <v>4310</v>
      </c>
      <c r="B111" s="3563" t="s">
        <v>4196</v>
      </c>
      <c r="C111" s="3563" t="s">
        <v>4197</v>
      </c>
      <c r="D111" s="3563" t="s">
        <v>4198</v>
      </c>
      <c r="E111" s="3563" t="s">
        <v>4297</v>
      </c>
      <c r="F111" s="3563" t="s">
        <v>4200</v>
      </c>
      <c r="G111" s="3564">
        <v>96.95</v>
      </c>
      <c r="H111" s="3564">
        <v>79.319999999999993</v>
      </c>
      <c r="I111" s="3564">
        <v>17.63</v>
      </c>
      <c r="J111" s="3565">
        <v>955628</v>
      </c>
      <c r="K111" s="3565">
        <v>9856.92</v>
      </c>
      <c r="L111" s="3565">
        <v>12047.76</v>
      </c>
      <c r="M111" s="3565">
        <v>0</v>
      </c>
      <c r="N111" s="3565">
        <v>0</v>
      </c>
      <c r="O111" s="3563" t="s">
        <v>3453</v>
      </c>
    </row>
    <row r="112" spans="1:15">
      <c r="A112" s="3563" t="s">
        <v>4311</v>
      </c>
      <c r="B112" s="3563" t="s">
        <v>4196</v>
      </c>
      <c r="C112" s="3563" t="s">
        <v>4197</v>
      </c>
      <c r="D112" s="3563" t="s">
        <v>4198</v>
      </c>
      <c r="E112" s="3563" t="s">
        <v>4297</v>
      </c>
      <c r="F112" s="3563" t="s">
        <v>4200</v>
      </c>
      <c r="G112" s="3564">
        <v>96.95</v>
      </c>
      <c r="H112" s="3564">
        <v>79.319999999999993</v>
      </c>
      <c r="I112" s="3564">
        <v>17.63</v>
      </c>
      <c r="J112" s="3565">
        <v>955628</v>
      </c>
      <c r="K112" s="3565">
        <v>9856.92</v>
      </c>
      <c r="L112" s="3565">
        <v>12047.76</v>
      </c>
      <c r="M112" s="3565">
        <v>0</v>
      </c>
      <c r="N112" s="3565">
        <v>0</v>
      </c>
      <c r="O112" s="3563" t="s">
        <v>3453</v>
      </c>
    </row>
    <row r="113" spans="1:15">
      <c r="A113" s="3563" t="s">
        <v>4312</v>
      </c>
      <c r="B113" s="3563" t="s">
        <v>4196</v>
      </c>
      <c r="C113" s="3563" t="s">
        <v>4197</v>
      </c>
      <c r="D113" s="3563" t="s">
        <v>4198</v>
      </c>
      <c r="E113" s="3563" t="s">
        <v>4297</v>
      </c>
      <c r="F113" s="3563" t="s">
        <v>4200</v>
      </c>
      <c r="G113" s="3564">
        <v>107.09</v>
      </c>
      <c r="H113" s="3564">
        <v>87.61</v>
      </c>
      <c r="I113" s="3564">
        <v>19.48</v>
      </c>
      <c r="J113" s="3565">
        <v>1118237</v>
      </c>
      <c r="K113" s="3565">
        <v>10442.030000000001</v>
      </c>
      <c r="L113" s="3565">
        <v>12763.81</v>
      </c>
      <c r="M113" s="3565">
        <v>0</v>
      </c>
      <c r="N113" s="3565">
        <v>0</v>
      </c>
      <c r="O113" s="3563" t="s">
        <v>3453</v>
      </c>
    </row>
    <row r="114" spans="1:15">
      <c r="A114" s="3563" t="s">
        <v>4313</v>
      </c>
      <c r="B114" s="3563" t="s">
        <v>4196</v>
      </c>
      <c r="C114" s="3563" t="s">
        <v>4197</v>
      </c>
      <c r="D114" s="3563" t="s">
        <v>4198</v>
      </c>
      <c r="E114" s="3563" t="s">
        <v>4297</v>
      </c>
      <c r="F114" s="3563" t="s">
        <v>4200</v>
      </c>
      <c r="G114" s="3564">
        <v>107.09</v>
      </c>
      <c r="H114" s="3564">
        <v>87.61</v>
      </c>
      <c r="I114" s="3564">
        <v>19.48</v>
      </c>
      <c r="J114" s="3565">
        <v>1131908</v>
      </c>
      <c r="K114" s="3565">
        <v>10569.69</v>
      </c>
      <c r="L114" s="3565">
        <v>12919.85</v>
      </c>
      <c r="M114" s="3565">
        <v>0</v>
      </c>
      <c r="N114" s="3565">
        <v>0</v>
      </c>
      <c r="O114" s="3563" t="s">
        <v>3453</v>
      </c>
    </row>
    <row r="115" spans="1:15">
      <c r="A115" s="3563" t="s">
        <v>4314</v>
      </c>
      <c r="B115" s="3563" t="s">
        <v>4196</v>
      </c>
      <c r="C115" s="3563" t="s">
        <v>4197</v>
      </c>
      <c r="D115" s="3563" t="s">
        <v>4198</v>
      </c>
      <c r="E115" s="3563" t="s">
        <v>4297</v>
      </c>
      <c r="F115" s="3563" t="s">
        <v>4200</v>
      </c>
      <c r="G115" s="3564">
        <v>96.95</v>
      </c>
      <c r="H115" s="3564">
        <v>79.319999999999993</v>
      </c>
      <c r="I115" s="3564">
        <v>17.63</v>
      </c>
      <c r="J115" s="3565">
        <v>968005</v>
      </c>
      <c r="K115" s="3565">
        <v>9984.58</v>
      </c>
      <c r="L115" s="3565">
        <v>12203.79</v>
      </c>
      <c r="M115" s="3565">
        <v>0</v>
      </c>
      <c r="N115" s="3565">
        <v>0</v>
      </c>
      <c r="O115" s="3563" t="s">
        <v>3453</v>
      </c>
    </row>
    <row r="116" spans="1:15">
      <c r="A116" s="3563" t="s">
        <v>4315</v>
      </c>
      <c r="B116" s="3563" t="s">
        <v>4196</v>
      </c>
      <c r="C116" s="3563" t="s">
        <v>4197</v>
      </c>
      <c r="D116" s="3563" t="s">
        <v>4198</v>
      </c>
      <c r="E116" s="3563" t="s">
        <v>4297</v>
      </c>
      <c r="F116" s="3563" t="s">
        <v>4200</v>
      </c>
      <c r="G116" s="3564">
        <v>96.95</v>
      </c>
      <c r="H116" s="3564">
        <v>79.319999999999993</v>
      </c>
      <c r="I116" s="3564">
        <v>17.63</v>
      </c>
      <c r="J116" s="3565">
        <v>968005</v>
      </c>
      <c r="K116" s="3565">
        <v>9984.58</v>
      </c>
      <c r="L116" s="3565">
        <v>12203.79</v>
      </c>
      <c r="M116" s="3565">
        <v>0</v>
      </c>
      <c r="N116" s="3565">
        <v>0</v>
      </c>
      <c r="O116" s="3563" t="s">
        <v>3453</v>
      </c>
    </row>
    <row r="117" spans="1:15">
      <c r="A117" s="3563" t="s">
        <v>4316</v>
      </c>
      <c r="B117" s="3563" t="s">
        <v>4196</v>
      </c>
      <c r="C117" s="3563" t="s">
        <v>4197</v>
      </c>
      <c r="D117" s="3563" t="s">
        <v>4198</v>
      </c>
      <c r="E117" s="3563" t="s">
        <v>4297</v>
      </c>
      <c r="F117" s="3563" t="s">
        <v>4200</v>
      </c>
      <c r="G117" s="3564">
        <v>107.09</v>
      </c>
      <c r="H117" s="3564">
        <v>87.61</v>
      </c>
      <c r="I117" s="3564">
        <v>19.48</v>
      </c>
      <c r="J117" s="3565">
        <v>1131908</v>
      </c>
      <c r="K117" s="3565">
        <v>10569.69</v>
      </c>
      <c r="L117" s="3565">
        <v>12919.85</v>
      </c>
      <c r="M117" s="3565">
        <v>0</v>
      </c>
      <c r="N117" s="3565">
        <v>0</v>
      </c>
      <c r="O117" s="3563" t="s">
        <v>3453</v>
      </c>
    </row>
    <row r="118" spans="1:15">
      <c r="A118" s="3563" t="s">
        <v>4317</v>
      </c>
      <c r="B118" s="3563" t="s">
        <v>4196</v>
      </c>
      <c r="C118" s="3563" t="s">
        <v>4197</v>
      </c>
      <c r="D118" s="3563" t="s">
        <v>4198</v>
      </c>
      <c r="E118" s="3563" t="s">
        <v>4297</v>
      </c>
      <c r="F118" s="3563" t="s">
        <v>4200</v>
      </c>
      <c r="G118" s="3564">
        <v>107.09</v>
      </c>
      <c r="H118" s="3564">
        <v>87.61</v>
      </c>
      <c r="I118" s="3564">
        <v>19.48</v>
      </c>
      <c r="J118" s="3565">
        <v>1145578</v>
      </c>
      <c r="K118" s="3565">
        <v>10697.34</v>
      </c>
      <c r="L118" s="3565">
        <v>13075.88</v>
      </c>
      <c r="M118" s="3565">
        <v>0</v>
      </c>
      <c r="N118" s="3565">
        <v>0</v>
      </c>
      <c r="O118" s="3563" t="s">
        <v>3453</v>
      </c>
    </row>
    <row r="119" spans="1:15">
      <c r="A119" s="3563" t="s">
        <v>4318</v>
      </c>
      <c r="B119" s="3563" t="s">
        <v>4196</v>
      </c>
      <c r="C119" s="3563" t="s">
        <v>4197</v>
      </c>
      <c r="D119" s="3563" t="s">
        <v>4198</v>
      </c>
      <c r="E119" s="3563" t="s">
        <v>4297</v>
      </c>
      <c r="F119" s="3563" t="s">
        <v>4200</v>
      </c>
      <c r="G119" s="3564">
        <v>96.95</v>
      </c>
      <c r="H119" s="3564">
        <v>79.319999999999993</v>
      </c>
      <c r="I119" s="3564">
        <v>17.63</v>
      </c>
      <c r="J119" s="3565">
        <v>980381</v>
      </c>
      <c r="K119" s="3565">
        <v>10112.23</v>
      </c>
      <c r="L119" s="3565">
        <v>12359.82</v>
      </c>
      <c r="M119" s="3565">
        <v>0</v>
      </c>
      <c r="N119" s="3565">
        <v>0</v>
      </c>
      <c r="O119" s="3563" t="s">
        <v>3453</v>
      </c>
    </row>
    <row r="120" spans="1:15">
      <c r="A120" s="3563" t="s">
        <v>4319</v>
      </c>
      <c r="B120" s="3563" t="s">
        <v>4196</v>
      </c>
      <c r="C120" s="3563" t="s">
        <v>4197</v>
      </c>
      <c r="D120" s="3563" t="s">
        <v>4198</v>
      </c>
      <c r="E120" s="3563" t="s">
        <v>4297</v>
      </c>
      <c r="F120" s="3563" t="s">
        <v>4200</v>
      </c>
      <c r="G120" s="3564">
        <v>96.95</v>
      </c>
      <c r="H120" s="3564">
        <v>79.319999999999993</v>
      </c>
      <c r="I120" s="3564">
        <v>17.63</v>
      </c>
      <c r="J120" s="3565">
        <v>980381</v>
      </c>
      <c r="K120" s="3565">
        <v>10112.23</v>
      </c>
      <c r="L120" s="3565">
        <v>12359.82</v>
      </c>
      <c r="M120" s="3565">
        <v>0</v>
      </c>
      <c r="N120" s="3565">
        <v>0</v>
      </c>
      <c r="O120" s="3563" t="s">
        <v>3453</v>
      </c>
    </row>
    <row r="121" spans="1:15">
      <c r="A121" s="3563" t="s">
        <v>4320</v>
      </c>
      <c r="B121" s="3563" t="s">
        <v>4196</v>
      </c>
      <c r="C121" s="3563" t="s">
        <v>4197</v>
      </c>
      <c r="D121" s="3563" t="s">
        <v>4198</v>
      </c>
      <c r="E121" s="3563" t="s">
        <v>4297</v>
      </c>
      <c r="F121" s="3563" t="s">
        <v>4200</v>
      </c>
      <c r="G121" s="3564">
        <v>107.09</v>
      </c>
      <c r="H121" s="3564">
        <v>87.61</v>
      </c>
      <c r="I121" s="3564">
        <v>19.48</v>
      </c>
      <c r="J121" s="3565">
        <v>1145578</v>
      </c>
      <c r="K121" s="3565">
        <v>10697.34</v>
      </c>
      <c r="L121" s="3565">
        <v>13075.88</v>
      </c>
      <c r="M121" s="3565">
        <v>0</v>
      </c>
      <c r="N121" s="3565">
        <v>0</v>
      </c>
      <c r="O121" s="3563" t="s">
        <v>3453</v>
      </c>
    </row>
    <row r="122" spans="1:15">
      <c r="A122" s="3563" t="s">
        <v>4321</v>
      </c>
      <c r="B122" s="3563" t="s">
        <v>4196</v>
      </c>
      <c r="C122" s="3563" t="s">
        <v>4197</v>
      </c>
      <c r="D122" s="3563" t="s">
        <v>4198</v>
      </c>
      <c r="E122" s="3563" t="s">
        <v>4297</v>
      </c>
      <c r="F122" s="3563" t="s">
        <v>4200</v>
      </c>
      <c r="G122" s="3564">
        <v>107.09</v>
      </c>
      <c r="H122" s="3564">
        <v>87.61</v>
      </c>
      <c r="I122" s="3564">
        <v>19.48</v>
      </c>
      <c r="J122" s="3565">
        <v>1147857</v>
      </c>
      <c r="K122" s="3565">
        <v>10718.62</v>
      </c>
      <c r="L122" s="3565">
        <v>13101.89</v>
      </c>
      <c r="M122" s="3565">
        <v>0</v>
      </c>
      <c r="N122" s="3565">
        <v>0</v>
      </c>
      <c r="O122" s="3563" t="s">
        <v>3453</v>
      </c>
    </row>
    <row r="123" spans="1:15">
      <c r="A123" s="3563" t="s">
        <v>4322</v>
      </c>
      <c r="B123" s="3563" t="s">
        <v>4196</v>
      </c>
      <c r="C123" s="3563" t="s">
        <v>4197</v>
      </c>
      <c r="D123" s="3563" t="s">
        <v>4198</v>
      </c>
      <c r="E123" s="3563" t="s">
        <v>4297</v>
      </c>
      <c r="F123" s="3563" t="s">
        <v>4200</v>
      </c>
      <c r="G123" s="3564">
        <v>96.95</v>
      </c>
      <c r="H123" s="3564">
        <v>79.319999999999993</v>
      </c>
      <c r="I123" s="3564">
        <v>17.63</v>
      </c>
      <c r="J123" s="3565">
        <v>982444</v>
      </c>
      <c r="K123" s="3565">
        <v>10133.51</v>
      </c>
      <c r="L123" s="3565">
        <v>12385.83</v>
      </c>
      <c r="M123" s="3565">
        <v>0</v>
      </c>
      <c r="N123" s="3565">
        <v>0</v>
      </c>
      <c r="O123" s="3563" t="s">
        <v>3453</v>
      </c>
    </row>
    <row r="124" spans="1:15">
      <c r="A124" s="3563" t="s">
        <v>4323</v>
      </c>
      <c r="B124" s="3563" t="s">
        <v>4196</v>
      </c>
      <c r="C124" s="3563" t="s">
        <v>4197</v>
      </c>
      <c r="D124" s="3563" t="s">
        <v>4198</v>
      </c>
      <c r="E124" s="3563" t="s">
        <v>4297</v>
      </c>
      <c r="F124" s="3563" t="s">
        <v>4200</v>
      </c>
      <c r="G124" s="3564">
        <v>96.95</v>
      </c>
      <c r="H124" s="3564">
        <v>79.319999999999993</v>
      </c>
      <c r="I124" s="3564">
        <v>17.63</v>
      </c>
      <c r="J124" s="3565">
        <v>982444</v>
      </c>
      <c r="K124" s="3565">
        <v>10133.51</v>
      </c>
      <c r="L124" s="3565">
        <v>12385.83</v>
      </c>
      <c r="M124" s="3565">
        <v>0</v>
      </c>
      <c r="N124" s="3565">
        <v>0</v>
      </c>
      <c r="O124" s="3563" t="s">
        <v>3453</v>
      </c>
    </row>
    <row r="125" spans="1:15">
      <c r="A125" s="3563" t="s">
        <v>4324</v>
      </c>
      <c r="B125" s="3563" t="s">
        <v>4196</v>
      </c>
      <c r="C125" s="3563" t="s">
        <v>4197</v>
      </c>
      <c r="D125" s="3563" t="s">
        <v>4198</v>
      </c>
      <c r="E125" s="3563" t="s">
        <v>4297</v>
      </c>
      <c r="F125" s="3563" t="s">
        <v>4200</v>
      </c>
      <c r="G125" s="3564">
        <v>107.09</v>
      </c>
      <c r="H125" s="3564">
        <v>87.61</v>
      </c>
      <c r="I125" s="3564">
        <v>19.48</v>
      </c>
      <c r="J125" s="3565">
        <v>1147857</v>
      </c>
      <c r="K125" s="3565">
        <v>10718.62</v>
      </c>
      <c r="L125" s="3565">
        <v>13101.89</v>
      </c>
      <c r="M125" s="3565">
        <v>0</v>
      </c>
      <c r="N125" s="3565">
        <v>0</v>
      </c>
      <c r="O125" s="3563" t="s">
        <v>3453</v>
      </c>
    </row>
    <row r="126" spans="1:15">
      <c r="A126" s="3563" t="s">
        <v>4325</v>
      </c>
      <c r="B126" s="3563" t="s">
        <v>4196</v>
      </c>
      <c r="C126" s="3563" t="s">
        <v>4197</v>
      </c>
      <c r="D126" s="3563" t="s">
        <v>4198</v>
      </c>
      <c r="E126" s="3563" t="s">
        <v>4297</v>
      </c>
      <c r="F126" s="3563" t="s">
        <v>4200</v>
      </c>
      <c r="G126" s="3564">
        <v>107.09</v>
      </c>
      <c r="H126" s="3564">
        <v>87.61</v>
      </c>
      <c r="I126" s="3564">
        <v>19.48</v>
      </c>
      <c r="J126" s="3565">
        <v>1150136</v>
      </c>
      <c r="K126" s="3565">
        <v>10739.9</v>
      </c>
      <c r="L126" s="3565">
        <v>13127.91</v>
      </c>
      <c r="M126" s="3565">
        <v>0</v>
      </c>
      <c r="N126" s="3565">
        <v>0</v>
      </c>
      <c r="O126" s="3563" t="s">
        <v>3453</v>
      </c>
    </row>
    <row r="127" spans="1:15">
      <c r="A127" s="3563" t="s">
        <v>4326</v>
      </c>
      <c r="B127" s="3563" t="s">
        <v>4196</v>
      </c>
      <c r="C127" s="3563" t="s">
        <v>4197</v>
      </c>
      <c r="D127" s="3563" t="s">
        <v>4198</v>
      </c>
      <c r="E127" s="3563" t="s">
        <v>4297</v>
      </c>
      <c r="F127" s="3563" t="s">
        <v>4200</v>
      </c>
      <c r="G127" s="3564">
        <v>96.95</v>
      </c>
      <c r="H127" s="3564">
        <v>79.319999999999993</v>
      </c>
      <c r="I127" s="3564">
        <v>17.63</v>
      </c>
      <c r="J127" s="3565">
        <v>994821</v>
      </c>
      <c r="K127" s="3565">
        <v>10261.18</v>
      </c>
      <c r="L127" s="3565">
        <v>12541.87</v>
      </c>
      <c r="M127" s="3565">
        <v>0</v>
      </c>
      <c r="N127" s="3565">
        <v>0</v>
      </c>
      <c r="O127" s="3563" t="s">
        <v>3453</v>
      </c>
    </row>
    <row r="128" spans="1:15">
      <c r="A128" s="3563" t="s">
        <v>4327</v>
      </c>
      <c r="B128" s="3563" t="s">
        <v>4196</v>
      </c>
      <c r="C128" s="3563" t="s">
        <v>4197</v>
      </c>
      <c r="D128" s="3563" t="s">
        <v>4198</v>
      </c>
      <c r="E128" s="3563" t="s">
        <v>4297</v>
      </c>
      <c r="F128" s="3563" t="s">
        <v>4200</v>
      </c>
      <c r="G128" s="3564">
        <v>96.95</v>
      </c>
      <c r="H128" s="3564">
        <v>79.319999999999993</v>
      </c>
      <c r="I128" s="3564">
        <v>17.63</v>
      </c>
      <c r="J128" s="3565">
        <v>994821</v>
      </c>
      <c r="K128" s="3565">
        <v>10261.18</v>
      </c>
      <c r="L128" s="3565">
        <v>12541.87</v>
      </c>
      <c r="M128" s="3565">
        <v>0</v>
      </c>
      <c r="N128" s="3565">
        <v>0</v>
      </c>
      <c r="O128" s="3563" t="s">
        <v>3453</v>
      </c>
    </row>
    <row r="129" spans="1:15">
      <c r="A129" s="3563" t="s">
        <v>4328</v>
      </c>
      <c r="B129" s="3563" t="s">
        <v>4196</v>
      </c>
      <c r="C129" s="3563" t="s">
        <v>4197</v>
      </c>
      <c r="D129" s="3563" t="s">
        <v>4198</v>
      </c>
      <c r="E129" s="3563" t="s">
        <v>4297</v>
      </c>
      <c r="F129" s="3563" t="s">
        <v>4200</v>
      </c>
      <c r="G129" s="3564">
        <v>107.09</v>
      </c>
      <c r="H129" s="3564">
        <v>87.61</v>
      </c>
      <c r="I129" s="3564">
        <v>19.48</v>
      </c>
      <c r="J129" s="3565">
        <v>1150136</v>
      </c>
      <c r="K129" s="3565">
        <v>10739.9</v>
      </c>
      <c r="L129" s="3565">
        <v>13127.91</v>
      </c>
      <c r="M129" s="3565">
        <v>0</v>
      </c>
      <c r="N129" s="3565">
        <v>0</v>
      </c>
      <c r="O129" s="3563" t="s">
        <v>3453</v>
      </c>
    </row>
    <row r="130" spans="1:15">
      <c r="A130" s="3563" t="s">
        <v>4329</v>
      </c>
      <c r="B130" s="3563" t="s">
        <v>4196</v>
      </c>
      <c r="C130" s="3563" t="s">
        <v>4197</v>
      </c>
      <c r="D130" s="3563" t="s">
        <v>4198</v>
      </c>
      <c r="E130" s="3563" t="s">
        <v>4297</v>
      </c>
      <c r="F130" s="3563" t="s">
        <v>4200</v>
      </c>
      <c r="G130" s="3564">
        <v>107.09</v>
      </c>
      <c r="H130" s="3564">
        <v>87.61</v>
      </c>
      <c r="I130" s="3564">
        <v>19.48</v>
      </c>
      <c r="J130" s="3565">
        <v>1152414</v>
      </c>
      <c r="K130" s="3565">
        <v>10761.17</v>
      </c>
      <c r="L130" s="3565">
        <v>13153.91</v>
      </c>
      <c r="M130" s="3565">
        <v>0</v>
      </c>
      <c r="N130" s="3565">
        <v>0</v>
      </c>
      <c r="O130" s="3563" t="s">
        <v>3453</v>
      </c>
    </row>
    <row r="131" spans="1:15">
      <c r="A131" s="3563" t="s">
        <v>4330</v>
      </c>
      <c r="B131" s="3563" t="s">
        <v>4196</v>
      </c>
      <c r="C131" s="3563" t="s">
        <v>4197</v>
      </c>
      <c r="D131" s="3563" t="s">
        <v>4198</v>
      </c>
      <c r="E131" s="3563" t="s">
        <v>4297</v>
      </c>
      <c r="F131" s="3563" t="s">
        <v>4200</v>
      </c>
      <c r="G131" s="3564">
        <v>96.95</v>
      </c>
      <c r="H131" s="3564">
        <v>79.319999999999993</v>
      </c>
      <c r="I131" s="3564">
        <v>17.63</v>
      </c>
      <c r="J131" s="3565">
        <v>996883</v>
      </c>
      <c r="K131" s="3565">
        <v>10282.44</v>
      </c>
      <c r="L131" s="3565">
        <v>12567.86</v>
      </c>
      <c r="M131" s="3565">
        <v>0</v>
      </c>
      <c r="N131" s="3565">
        <v>0</v>
      </c>
      <c r="O131" s="3563" t="s">
        <v>3453</v>
      </c>
    </row>
    <row r="132" spans="1:15">
      <c r="A132" s="3563" t="s">
        <v>4331</v>
      </c>
      <c r="B132" s="3563" t="s">
        <v>4196</v>
      </c>
      <c r="C132" s="3563" t="s">
        <v>4197</v>
      </c>
      <c r="D132" s="3563" t="s">
        <v>4198</v>
      </c>
      <c r="E132" s="3563" t="s">
        <v>4297</v>
      </c>
      <c r="F132" s="3563" t="s">
        <v>4200</v>
      </c>
      <c r="G132" s="3564">
        <v>96.95</v>
      </c>
      <c r="H132" s="3564">
        <v>79.319999999999993</v>
      </c>
      <c r="I132" s="3564">
        <v>17.63</v>
      </c>
      <c r="J132" s="3565">
        <v>996883</v>
      </c>
      <c r="K132" s="3565">
        <v>10282.44</v>
      </c>
      <c r="L132" s="3565">
        <v>12567.86</v>
      </c>
      <c r="M132" s="3565">
        <v>0</v>
      </c>
      <c r="N132" s="3565">
        <v>0</v>
      </c>
      <c r="O132" s="3563" t="s">
        <v>3453</v>
      </c>
    </row>
    <row r="133" spans="1:15">
      <c r="A133" s="3563" t="s">
        <v>4332</v>
      </c>
      <c r="B133" s="3563" t="s">
        <v>4196</v>
      </c>
      <c r="C133" s="3563" t="s">
        <v>4197</v>
      </c>
      <c r="D133" s="3563" t="s">
        <v>4198</v>
      </c>
      <c r="E133" s="3563" t="s">
        <v>4297</v>
      </c>
      <c r="F133" s="3563" t="s">
        <v>4200</v>
      </c>
      <c r="G133" s="3564">
        <v>107.09</v>
      </c>
      <c r="H133" s="3564">
        <v>87.61</v>
      </c>
      <c r="I133" s="3564">
        <v>19.48</v>
      </c>
      <c r="J133" s="3565">
        <v>1152414</v>
      </c>
      <c r="K133" s="3565">
        <v>10761.17</v>
      </c>
      <c r="L133" s="3565">
        <v>13153.91</v>
      </c>
      <c r="M133" s="3565">
        <v>0</v>
      </c>
      <c r="N133" s="3565">
        <v>0</v>
      </c>
      <c r="O133" s="3563" t="s">
        <v>3453</v>
      </c>
    </row>
    <row r="134" spans="1:15">
      <c r="A134" s="3563" t="s">
        <v>4333</v>
      </c>
      <c r="B134" s="3563" t="s">
        <v>4196</v>
      </c>
      <c r="C134" s="3563" t="s">
        <v>4197</v>
      </c>
      <c r="D134" s="3563" t="s">
        <v>4198</v>
      </c>
      <c r="E134" s="3563" t="s">
        <v>4297</v>
      </c>
      <c r="F134" s="3563" t="s">
        <v>4200</v>
      </c>
      <c r="G134" s="3564">
        <v>107.09</v>
      </c>
      <c r="H134" s="3564">
        <v>87.61</v>
      </c>
      <c r="I134" s="3564">
        <v>19.48</v>
      </c>
      <c r="J134" s="3565">
        <v>1150136</v>
      </c>
      <c r="K134" s="3565">
        <v>10739.9</v>
      </c>
      <c r="L134" s="3565">
        <v>13127.91</v>
      </c>
      <c r="M134" s="3565">
        <v>0</v>
      </c>
      <c r="N134" s="3565">
        <v>0</v>
      </c>
      <c r="O134" s="3563" t="s">
        <v>3453</v>
      </c>
    </row>
    <row r="135" spans="1:15">
      <c r="A135" s="3563" t="s">
        <v>4334</v>
      </c>
      <c r="B135" s="3563" t="s">
        <v>4196</v>
      </c>
      <c r="C135" s="3563" t="s">
        <v>4197</v>
      </c>
      <c r="D135" s="3563" t="s">
        <v>4198</v>
      </c>
      <c r="E135" s="3563" t="s">
        <v>4297</v>
      </c>
      <c r="F135" s="3563" t="s">
        <v>4200</v>
      </c>
      <c r="G135" s="3564">
        <v>96.95</v>
      </c>
      <c r="H135" s="3564">
        <v>79.319999999999993</v>
      </c>
      <c r="I135" s="3564">
        <v>17.63</v>
      </c>
      <c r="J135" s="3565">
        <v>994821</v>
      </c>
      <c r="K135" s="3565">
        <v>10261.18</v>
      </c>
      <c r="L135" s="3565">
        <v>12541.87</v>
      </c>
      <c r="M135" s="3565">
        <v>0</v>
      </c>
      <c r="N135" s="3565">
        <v>0</v>
      </c>
      <c r="O135" s="3563" t="s">
        <v>3453</v>
      </c>
    </row>
    <row r="136" spans="1:15">
      <c r="A136" s="3563" t="s">
        <v>4335</v>
      </c>
      <c r="B136" s="3563" t="s">
        <v>4196</v>
      </c>
      <c r="C136" s="3563" t="s">
        <v>4197</v>
      </c>
      <c r="D136" s="3563" t="s">
        <v>4198</v>
      </c>
      <c r="E136" s="3563" t="s">
        <v>4297</v>
      </c>
      <c r="F136" s="3563" t="s">
        <v>4200</v>
      </c>
      <c r="G136" s="3564">
        <v>96.95</v>
      </c>
      <c r="H136" s="3564">
        <v>79.319999999999993</v>
      </c>
      <c r="I136" s="3564">
        <v>17.63</v>
      </c>
      <c r="J136" s="3565">
        <v>994821</v>
      </c>
      <c r="K136" s="3565">
        <v>10261.18</v>
      </c>
      <c r="L136" s="3565">
        <v>12541.87</v>
      </c>
      <c r="M136" s="3565">
        <v>0</v>
      </c>
      <c r="N136" s="3565">
        <v>0</v>
      </c>
      <c r="O136" s="3563" t="s">
        <v>3453</v>
      </c>
    </row>
    <row r="137" spans="1:15">
      <c r="A137" s="3563" t="s">
        <v>4336</v>
      </c>
      <c r="B137" s="3563" t="s">
        <v>4196</v>
      </c>
      <c r="C137" s="3563" t="s">
        <v>4197</v>
      </c>
      <c r="D137" s="3563" t="s">
        <v>4198</v>
      </c>
      <c r="E137" s="3563" t="s">
        <v>4297</v>
      </c>
      <c r="F137" s="3563" t="s">
        <v>4200</v>
      </c>
      <c r="G137" s="3564">
        <v>107.09</v>
      </c>
      <c r="H137" s="3564">
        <v>87.61</v>
      </c>
      <c r="I137" s="3564">
        <v>19.48</v>
      </c>
      <c r="J137" s="3565">
        <v>1150136</v>
      </c>
      <c r="K137" s="3565">
        <v>10739.9</v>
      </c>
      <c r="L137" s="3565">
        <v>13127.91</v>
      </c>
      <c r="M137" s="3565">
        <v>0</v>
      </c>
      <c r="N137" s="3565">
        <v>0</v>
      </c>
      <c r="O137" s="3563" t="s">
        <v>3453</v>
      </c>
    </row>
    <row r="138" spans="1:15">
      <c r="A138" s="3563" t="s">
        <v>4337</v>
      </c>
      <c r="B138" s="3563" t="s">
        <v>4196</v>
      </c>
      <c r="C138" s="3563" t="s">
        <v>4197</v>
      </c>
      <c r="D138" s="3563" t="s">
        <v>4198</v>
      </c>
      <c r="E138" s="3563" t="s">
        <v>4297</v>
      </c>
      <c r="F138" s="3563" t="s">
        <v>4200</v>
      </c>
      <c r="G138" s="3564">
        <v>91.05</v>
      </c>
      <c r="H138" s="3564">
        <v>74.489999999999995</v>
      </c>
      <c r="I138" s="3564">
        <v>16.559999999999999</v>
      </c>
      <c r="J138" s="3565">
        <v>927499</v>
      </c>
      <c r="K138" s="3565">
        <v>10186.700000000001</v>
      </c>
      <c r="L138" s="3565">
        <v>12451.32</v>
      </c>
      <c r="M138" s="3565">
        <v>0</v>
      </c>
      <c r="N138" s="3565">
        <v>0</v>
      </c>
      <c r="O138" s="3563" t="s">
        <v>3453</v>
      </c>
    </row>
    <row r="139" spans="1:15">
      <c r="A139" s="3563" t="s">
        <v>4338</v>
      </c>
      <c r="B139" s="3563" t="s">
        <v>4196</v>
      </c>
      <c r="C139" s="3563" t="s">
        <v>4197</v>
      </c>
      <c r="D139" s="3563" t="s">
        <v>4198</v>
      </c>
      <c r="E139" s="3563" t="s">
        <v>4297</v>
      </c>
      <c r="F139" s="3563" t="s">
        <v>4200</v>
      </c>
      <c r="G139" s="3564">
        <v>96.95</v>
      </c>
      <c r="H139" s="3564">
        <v>79.319999999999993</v>
      </c>
      <c r="I139" s="3564">
        <v>17.63</v>
      </c>
      <c r="J139" s="3565">
        <v>950472</v>
      </c>
      <c r="K139" s="3565">
        <v>9803.73</v>
      </c>
      <c r="L139" s="3565">
        <v>11982.75</v>
      </c>
      <c r="M139" s="3565">
        <v>0</v>
      </c>
      <c r="N139" s="3565">
        <v>0</v>
      </c>
      <c r="O139" s="3563" t="s">
        <v>3453</v>
      </c>
    </row>
    <row r="140" spans="1:15">
      <c r="A140" s="3563" t="s">
        <v>4339</v>
      </c>
      <c r="B140" s="3563" t="s">
        <v>4196</v>
      </c>
      <c r="C140" s="3563" t="s">
        <v>4197</v>
      </c>
      <c r="D140" s="3563" t="s">
        <v>4198</v>
      </c>
      <c r="E140" s="3563" t="s">
        <v>4297</v>
      </c>
      <c r="F140" s="3563" t="s">
        <v>4200</v>
      </c>
      <c r="G140" s="3564">
        <v>97.06</v>
      </c>
      <c r="H140" s="3564">
        <v>79.41</v>
      </c>
      <c r="I140" s="3564">
        <v>17.649999999999999</v>
      </c>
      <c r="J140" s="3565">
        <v>951549</v>
      </c>
      <c r="K140" s="3565">
        <v>9803.7199999999993</v>
      </c>
      <c r="L140" s="3565">
        <v>11982.74</v>
      </c>
      <c r="M140" s="3565">
        <v>0</v>
      </c>
      <c r="N140" s="3565">
        <v>0</v>
      </c>
      <c r="O140" s="3563" t="s">
        <v>3453</v>
      </c>
    </row>
    <row r="141" spans="1:15">
      <c r="A141" s="3563" t="s">
        <v>4340</v>
      </c>
      <c r="B141" s="3563" t="s">
        <v>4196</v>
      </c>
      <c r="C141" s="3563" t="s">
        <v>4197</v>
      </c>
      <c r="D141" s="3563" t="s">
        <v>4198</v>
      </c>
      <c r="E141" s="3563" t="s">
        <v>4297</v>
      </c>
      <c r="F141" s="3563" t="s">
        <v>4200</v>
      </c>
      <c r="G141" s="3564">
        <v>91.05</v>
      </c>
      <c r="H141" s="3564">
        <v>74.489999999999995</v>
      </c>
      <c r="I141" s="3564">
        <v>16.559999999999999</v>
      </c>
      <c r="J141" s="3565">
        <v>917813</v>
      </c>
      <c r="K141" s="3565">
        <v>10080.32</v>
      </c>
      <c r="L141" s="3565">
        <v>12321.29</v>
      </c>
      <c r="M141" s="3565">
        <v>0</v>
      </c>
      <c r="N141" s="3565">
        <v>0</v>
      </c>
      <c r="O141" s="3563" t="s">
        <v>3453</v>
      </c>
    </row>
    <row r="142" spans="1:15">
      <c r="A142" s="3563" t="s">
        <v>4341</v>
      </c>
      <c r="B142" s="3563" t="s">
        <v>4196</v>
      </c>
      <c r="C142" s="3563" t="s">
        <v>4197</v>
      </c>
      <c r="D142" s="3563" t="s">
        <v>4198</v>
      </c>
      <c r="E142" s="3563" t="s">
        <v>4297</v>
      </c>
      <c r="F142" s="3563" t="s">
        <v>4200</v>
      </c>
      <c r="G142" s="3564">
        <v>107.09</v>
      </c>
      <c r="H142" s="3564">
        <v>87.61</v>
      </c>
      <c r="I142" s="3564">
        <v>19.48</v>
      </c>
      <c r="J142" s="3565">
        <v>1113679</v>
      </c>
      <c r="K142" s="3565">
        <v>10399.469999999999</v>
      </c>
      <c r="L142" s="3565">
        <v>12711.78</v>
      </c>
      <c r="M142" s="3565">
        <v>0</v>
      </c>
      <c r="N142" s="3565">
        <v>0</v>
      </c>
      <c r="O142" s="3563" t="s">
        <v>3453</v>
      </c>
    </row>
    <row r="143" spans="1:15">
      <c r="A143" s="3563" t="s">
        <v>4342</v>
      </c>
      <c r="B143" s="3563" t="s">
        <v>4196</v>
      </c>
      <c r="C143" s="3563" t="s">
        <v>4197</v>
      </c>
      <c r="D143" s="3563" t="s">
        <v>4198</v>
      </c>
      <c r="E143" s="3563" t="s">
        <v>4297</v>
      </c>
      <c r="F143" s="3563" t="s">
        <v>4200</v>
      </c>
      <c r="G143" s="3564">
        <v>96.95</v>
      </c>
      <c r="H143" s="3564">
        <v>79.319999999999993</v>
      </c>
      <c r="I143" s="3564">
        <v>17.63</v>
      </c>
      <c r="J143" s="3565">
        <v>961816</v>
      </c>
      <c r="K143" s="3565">
        <v>9920.74</v>
      </c>
      <c r="L143" s="3565">
        <v>12125.77</v>
      </c>
      <c r="M143" s="3565">
        <v>0</v>
      </c>
      <c r="N143" s="3565">
        <v>0</v>
      </c>
      <c r="O143" s="3563" t="s">
        <v>3453</v>
      </c>
    </row>
    <row r="144" spans="1:15">
      <c r="A144" s="3563" t="s">
        <v>4343</v>
      </c>
      <c r="B144" s="3563" t="s">
        <v>4196</v>
      </c>
      <c r="C144" s="3563" t="s">
        <v>4197</v>
      </c>
      <c r="D144" s="3563" t="s">
        <v>4198</v>
      </c>
      <c r="E144" s="3563" t="s">
        <v>4297</v>
      </c>
      <c r="F144" s="3563" t="s">
        <v>4200</v>
      </c>
      <c r="G144" s="3564">
        <v>96.95</v>
      </c>
      <c r="H144" s="3564">
        <v>79.319999999999993</v>
      </c>
      <c r="I144" s="3564">
        <v>17.63</v>
      </c>
      <c r="J144" s="3565">
        <v>961816</v>
      </c>
      <c r="K144" s="3565">
        <v>9920.74</v>
      </c>
      <c r="L144" s="3565">
        <v>12125.77</v>
      </c>
      <c r="M144" s="3565">
        <v>0</v>
      </c>
      <c r="N144" s="3565">
        <v>0</v>
      </c>
      <c r="O144" s="3563" t="s">
        <v>3453</v>
      </c>
    </row>
    <row r="145" spans="1:15">
      <c r="A145" s="3563" t="s">
        <v>4344</v>
      </c>
      <c r="B145" s="3563" t="s">
        <v>4196</v>
      </c>
      <c r="C145" s="3563" t="s">
        <v>4197</v>
      </c>
      <c r="D145" s="3563" t="s">
        <v>4198</v>
      </c>
      <c r="E145" s="3563" t="s">
        <v>4297</v>
      </c>
      <c r="F145" s="3563" t="s">
        <v>4200</v>
      </c>
      <c r="G145" s="3564">
        <v>107.09</v>
      </c>
      <c r="H145" s="3564">
        <v>87.61</v>
      </c>
      <c r="I145" s="3564">
        <v>19.48</v>
      </c>
      <c r="J145" s="3565">
        <v>1113679</v>
      </c>
      <c r="K145" s="3565">
        <v>10399.469999999999</v>
      </c>
      <c r="L145" s="3565">
        <v>12711.78</v>
      </c>
      <c r="M145" s="3565">
        <v>0</v>
      </c>
      <c r="N145" s="3565">
        <v>0</v>
      </c>
      <c r="O145" s="3563" t="s">
        <v>3453</v>
      </c>
    </row>
    <row r="146" spans="1:15">
      <c r="A146" s="3563" t="s">
        <v>4345</v>
      </c>
      <c r="B146" s="3563" t="s">
        <v>4196</v>
      </c>
      <c r="C146" s="3563" t="s">
        <v>4197</v>
      </c>
      <c r="D146" s="3563" t="s">
        <v>4198</v>
      </c>
      <c r="E146" s="3563" t="s">
        <v>4297</v>
      </c>
      <c r="F146" s="3563" t="s">
        <v>4200</v>
      </c>
      <c r="G146" s="3564">
        <v>94.13</v>
      </c>
      <c r="H146" s="3564">
        <v>77.010000000000005</v>
      </c>
      <c r="I146" s="3564">
        <v>17.12</v>
      </c>
      <c r="J146" s="3565">
        <v>970891</v>
      </c>
      <c r="K146" s="3565">
        <v>10314.36</v>
      </c>
      <c r="L146" s="3565">
        <v>12607.34</v>
      </c>
      <c r="M146" s="3565">
        <v>0</v>
      </c>
      <c r="N146" s="3565">
        <v>0</v>
      </c>
      <c r="O146" s="3563" t="s">
        <v>3453</v>
      </c>
    </row>
    <row r="147" spans="1:15">
      <c r="A147" s="3563" t="s">
        <v>4346</v>
      </c>
      <c r="B147" s="3563" t="s">
        <v>4196</v>
      </c>
      <c r="C147" s="3563" t="s">
        <v>4197</v>
      </c>
      <c r="D147" s="3563" t="s">
        <v>4198</v>
      </c>
      <c r="E147" s="3563" t="s">
        <v>4297</v>
      </c>
      <c r="F147" s="3563" t="s">
        <v>4200</v>
      </c>
      <c r="G147" s="3564">
        <v>96.95</v>
      </c>
      <c r="H147" s="3564">
        <v>79.319999999999993</v>
      </c>
      <c r="I147" s="3564">
        <v>17.63</v>
      </c>
      <c r="J147" s="3565">
        <v>950472</v>
      </c>
      <c r="K147" s="3565">
        <v>9803.73</v>
      </c>
      <c r="L147" s="3565">
        <v>11982.75</v>
      </c>
      <c r="M147" s="3565">
        <v>0</v>
      </c>
      <c r="N147" s="3565">
        <v>0</v>
      </c>
      <c r="O147" s="3563" t="s">
        <v>3453</v>
      </c>
    </row>
    <row r="148" spans="1:15">
      <c r="A148" s="3563" t="s">
        <v>4347</v>
      </c>
      <c r="B148" s="3563" t="s">
        <v>4196</v>
      </c>
      <c r="C148" s="3563" t="s">
        <v>4197</v>
      </c>
      <c r="D148" s="3563" t="s">
        <v>4198</v>
      </c>
      <c r="E148" s="3563" t="s">
        <v>4297</v>
      </c>
      <c r="F148" s="3563" t="s">
        <v>4200</v>
      </c>
      <c r="G148" s="3564">
        <v>96.95</v>
      </c>
      <c r="H148" s="3564">
        <v>79.319999999999993</v>
      </c>
      <c r="I148" s="3564">
        <v>17.63</v>
      </c>
      <c r="J148" s="3565">
        <v>950472</v>
      </c>
      <c r="K148" s="3565">
        <v>9803.73</v>
      </c>
      <c r="L148" s="3565">
        <v>11982.75</v>
      </c>
      <c r="M148" s="3565">
        <v>0</v>
      </c>
      <c r="N148" s="3565">
        <v>0</v>
      </c>
      <c r="O148" s="3563" t="s">
        <v>3453</v>
      </c>
    </row>
    <row r="149" spans="1:15">
      <c r="A149" s="3563" t="s">
        <v>4348</v>
      </c>
      <c r="B149" s="3563" t="s">
        <v>4196</v>
      </c>
      <c r="C149" s="3563" t="s">
        <v>4197</v>
      </c>
      <c r="D149" s="3563" t="s">
        <v>4198</v>
      </c>
      <c r="E149" s="3563" t="s">
        <v>4297</v>
      </c>
      <c r="F149" s="3563" t="s">
        <v>4200</v>
      </c>
      <c r="G149" s="3564">
        <v>94.13</v>
      </c>
      <c r="H149" s="3564">
        <v>77.010000000000005</v>
      </c>
      <c r="I149" s="3564">
        <v>17.12</v>
      </c>
      <c r="J149" s="3565">
        <v>960877</v>
      </c>
      <c r="K149" s="3565">
        <v>10207.98</v>
      </c>
      <c r="L149" s="3565">
        <v>12477.3</v>
      </c>
      <c r="M149" s="3565">
        <v>0</v>
      </c>
      <c r="N149" s="3565">
        <v>0</v>
      </c>
      <c r="O149" s="3563" t="s">
        <v>3453</v>
      </c>
    </row>
    <row r="150" spans="1:15">
      <c r="A150" s="3563" t="s">
        <v>4349</v>
      </c>
      <c r="B150" s="3563" t="s">
        <v>4196</v>
      </c>
      <c r="C150" s="3563" t="s">
        <v>4197</v>
      </c>
      <c r="D150" s="3563" t="s">
        <v>4198</v>
      </c>
      <c r="E150" s="3563" t="s">
        <v>4297</v>
      </c>
      <c r="F150" s="3563" t="s">
        <v>4200</v>
      </c>
      <c r="G150" s="3564">
        <v>107.09</v>
      </c>
      <c r="H150" s="3564">
        <v>87.61</v>
      </c>
      <c r="I150" s="3564">
        <v>19.48</v>
      </c>
      <c r="J150" s="3565">
        <v>1118237</v>
      </c>
      <c r="K150" s="3565">
        <v>10442.030000000001</v>
      </c>
      <c r="L150" s="3565">
        <v>12763.81</v>
      </c>
      <c r="M150" s="3565">
        <v>0</v>
      </c>
      <c r="N150" s="3565">
        <v>0</v>
      </c>
      <c r="O150" s="3563" t="s">
        <v>3453</v>
      </c>
    </row>
    <row r="151" spans="1:15">
      <c r="A151" s="3563" t="s">
        <v>4350</v>
      </c>
      <c r="B151" s="3563" t="s">
        <v>4196</v>
      </c>
      <c r="C151" s="3563" t="s">
        <v>4197</v>
      </c>
      <c r="D151" s="3563" t="s">
        <v>4198</v>
      </c>
      <c r="E151" s="3563" t="s">
        <v>4297</v>
      </c>
      <c r="F151" s="3563" t="s">
        <v>4200</v>
      </c>
      <c r="G151" s="3564">
        <v>96.95</v>
      </c>
      <c r="H151" s="3564">
        <v>79.319999999999993</v>
      </c>
      <c r="I151" s="3564">
        <v>17.63</v>
      </c>
      <c r="J151" s="3565">
        <v>950472</v>
      </c>
      <c r="K151" s="3565">
        <v>9803.73</v>
      </c>
      <c r="L151" s="3565">
        <v>11982.75</v>
      </c>
      <c r="M151" s="3565">
        <v>0</v>
      </c>
      <c r="N151" s="3565">
        <v>0</v>
      </c>
      <c r="O151" s="3563" t="s">
        <v>3453</v>
      </c>
    </row>
    <row r="152" spans="1:15">
      <c r="A152" s="3563" t="s">
        <v>4351</v>
      </c>
      <c r="B152" s="3563" t="s">
        <v>4196</v>
      </c>
      <c r="C152" s="3563" t="s">
        <v>4197</v>
      </c>
      <c r="D152" s="3563" t="s">
        <v>4198</v>
      </c>
      <c r="E152" s="3563" t="s">
        <v>4297</v>
      </c>
      <c r="F152" s="3563" t="s">
        <v>4200</v>
      </c>
      <c r="G152" s="3564">
        <v>96.95</v>
      </c>
      <c r="H152" s="3564">
        <v>79.319999999999993</v>
      </c>
      <c r="I152" s="3564">
        <v>17.63</v>
      </c>
      <c r="J152" s="3565">
        <v>950472</v>
      </c>
      <c r="K152" s="3565">
        <v>9803.73</v>
      </c>
      <c r="L152" s="3565">
        <v>11982.75</v>
      </c>
      <c r="M152" s="3565">
        <v>0</v>
      </c>
      <c r="N152" s="3565">
        <v>0</v>
      </c>
      <c r="O152" s="3563" t="s">
        <v>3453</v>
      </c>
    </row>
    <row r="153" spans="1:15">
      <c r="A153" s="3563" t="s">
        <v>4352</v>
      </c>
      <c r="B153" s="3563" t="s">
        <v>4196</v>
      </c>
      <c r="C153" s="3563" t="s">
        <v>4197</v>
      </c>
      <c r="D153" s="3563" t="s">
        <v>4198</v>
      </c>
      <c r="E153" s="3563" t="s">
        <v>4297</v>
      </c>
      <c r="F153" s="3563" t="s">
        <v>4200</v>
      </c>
      <c r="G153" s="3564">
        <v>107.09</v>
      </c>
      <c r="H153" s="3564">
        <v>87.61</v>
      </c>
      <c r="I153" s="3564">
        <v>19.48</v>
      </c>
      <c r="J153" s="3565">
        <v>1106844</v>
      </c>
      <c r="K153" s="3565">
        <v>10335.64</v>
      </c>
      <c r="L153" s="3565">
        <v>12633.76</v>
      </c>
      <c r="M153" s="3565">
        <v>0</v>
      </c>
      <c r="N153" s="3565">
        <v>0</v>
      </c>
      <c r="O153" s="3563" t="s">
        <v>3453</v>
      </c>
    </row>
    <row r="154" spans="1:15">
      <c r="A154" s="3563" t="s">
        <v>4353</v>
      </c>
      <c r="B154" s="3563" t="s">
        <v>4196</v>
      </c>
      <c r="C154" s="3563" t="s">
        <v>4197</v>
      </c>
      <c r="D154" s="3563" t="s">
        <v>4198</v>
      </c>
      <c r="E154" s="3563" t="s">
        <v>4297</v>
      </c>
      <c r="F154" s="3563" t="s">
        <v>4200</v>
      </c>
      <c r="G154" s="3564">
        <v>107.09</v>
      </c>
      <c r="H154" s="3564">
        <v>87.61</v>
      </c>
      <c r="I154" s="3564">
        <v>19.48</v>
      </c>
      <c r="J154" s="3565">
        <v>1131908</v>
      </c>
      <c r="K154" s="3565">
        <v>10569.69</v>
      </c>
      <c r="L154" s="3565">
        <v>12919.85</v>
      </c>
      <c r="M154" s="3565">
        <v>0</v>
      </c>
      <c r="N154" s="3565">
        <v>0</v>
      </c>
      <c r="O154" s="3563" t="s">
        <v>3453</v>
      </c>
    </row>
    <row r="155" spans="1:15">
      <c r="A155" s="3563" t="s">
        <v>4354</v>
      </c>
      <c r="B155" s="3563" t="s">
        <v>4196</v>
      </c>
      <c r="C155" s="3563" t="s">
        <v>4197</v>
      </c>
      <c r="D155" s="3563" t="s">
        <v>4198</v>
      </c>
      <c r="E155" s="3563" t="s">
        <v>4297</v>
      </c>
      <c r="F155" s="3563" t="s">
        <v>4200</v>
      </c>
      <c r="G155" s="3564">
        <v>96.95</v>
      </c>
      <c r="H155" s="3564">
        <v>79.319999999999993</v>
      </c>
      <c r="I155" s="3564">
        <v>17.63</v>
      </c>
      <c r="J155" s="3565">
        <v>957691</v>
      </c>
      <c r="K155" s="3565">
        <v>9878.19</v>
      </c>
      <c r="L155" s="3565">
        <v>12073.76</v>
      </c>
      <c r="M155" s="3565">
        <v>0</v>
      </c>
      <c r="N155" s="3565">
        <v>0</v>
      </c>
      <c r="O155" s="3563" t="s">
        <v>3453</v>
      </c>
    </row>
    <row r="156" spans="1:15">
      <c r="A156" s="3563" t="s">
        <v>4355</v>
      </c>
      <c r="B156" s="3563" t="s">
        <v>4196</v>
      </c>
      <c r="C156" s="3563" t="s">
        <v>4197</v>
      </c>
      <c r="D156" s="3563" t="s">
        <v>4198</v>
      </c>
      <c r="E156" s="3563" t="s">
        <v>4297</v>
      </c>
      <c r="F156" s="3563" t="s">
        <v>4200</v>
      </c>
      <c r="G156" s="3564">
        <v>96.95</v>
      </c>
      <c r="H156" s="3564">
        <v>79.319999999999993</v>
      </c>
      <c r="I156" s="3564">
        <v>17.63</v>
      </c>
      <c r="J156" s="3565">
        <v>957691</v>
      </c>
      <c r="K156" s="3565">
        <v>9878.19</v>
      </c>
      <c r="L156" s="3565">
        <v>12073.76</v>
      </c>
      <c r="M156" s="3565">
        <v>0</v>
      </c>
      <c r="N156" s="3565">
        <v>0</v>
      </c>
      <c r="O156" s="3563" t="s">
        <v>3453</v>
      </c>
    </row>
    <row r="157" spans="1:15">
      <c r="A157" s="3563" t="s">
        <v>4356</v>
      </c>
      <c r="B157" s="3563" t="s">
        <v>4196</v>
      </c>
      <c r="C157" s="3563" t="s">
        <v>4197</v>
      </c>
      <c r="D157" s="3563" t="s">
        <v>4198</v>
      </c>
      <c r="E157" s="3563" t="s">
        <v>4297</v>
      </c>
      <c r="F157" s="3563" t="s">
        <v>4200</v>
      </c>
      <c r="G157" s="3564">
        <v>107.09</v>
      </c>
      <c r="H157" s="3564">
        <v>87.61</v>
      </c>
      <c r="I157" s="3564">
        <v>19.48</v>
      </c>
      <c r="J157" s="3565">
        <v>1120515</v>
      </c>
      <c r="K157" s="3565">
        <v>10463.299999999999</v>
      </c>
      <c r="L157" s="3565">
        <v>12789.81</v>
      </c>
      <c r="M157" s="3565">
        <v>0</v>
      </c>
      <c r="N157" s="3565">
        <v>0</v>
      </c>
      <c r="O157" s="3563" t="s">
        <v>3453</v>
      </c>
    </row>
    <row r="158" spans="1:15">
      <c r="A158" s="3563" t="s">
        <v>4357</v>
      </c>
      <c r="B158" s="3563" t="s">
        <v>4196</v>
      </c>
      <c r="C158" s="3563" t="s">
        <v>4197</v>
      </c>
      <c r="D158" s="3563" t="s">
        <v>4198</v>
      </c>
      <c r="E158" s="3563" t="s">
        <v>4297</v>
      </c>
      <c r="F158" s="3563" t="s">
        <v>4200</v>
      </c>
      <c r="G158" s="3564">
        <v>107.09</v>
      </c>
      <c r="H158" s="3564">
        <v>87.61</v>
      </c>
      <c r="I158" s="3564">
        <v>19.48</v>
      </c>
      <c r="J158" s="3565">
        <v>1145578</v>
      </c>
      <c r="K158" s="3565">
        <v>10697.34</v>
      </c>
      <c r="L158" s="3565">
        <v>13075.88</v>
      </c>
      <c r="M158" s="3565">
        <v>0</v>
      </c>
      <c r="N158" s="3565">
        <v>0</v>
      </c>
      <c r="O158" s="3563" t="s">
        <v>3453</v>
      </c>
    </row>
    <row r="159" spans="1:15">
      <c r="A159" s="3563" t="s">
        <v>4358</v>
      </c>
      <c r="B159" s="3563" t="s">
        <v>4196</v>
      </c>
      <c r="C159" s="3563" t="s">
        <v>4197</v>
      </c>
      <c r="D159" s="3563" t="s">
        <v>4198</v>
      </c>
      <c r="E159" s="3563" t="s">
        <v>4297</v>
      </c>
      <c r="F159" s="3563" t="s">
        <v>4200</v>
      </c>
      <c r="G159" s="3564">
        <v>96.95</v>
      </c>
      <c r="H159" s="3564">
        <v>79.319999999999993</v>
      </c>
      <c r="I159" s="3564">
        <v>17.63</v>
      </c>
      <c r="J159" s="3565">
        <v>970068</v>
      </c>
      <c r="K159" s="3565">
        <v>10005.86</v>
      </c>
      <c r="L159" s="3565">
        <v>12229.8</v>
      </c>
      <c r="M159" s="3565">
        <v>0</v>
      </c>
      <c r="N159" s="3565">
        <v>0</v>
      </c>
      <c r="O159" s="3563" t="s">
        <v>3453</v>
      </c>
    </row>
    <row r="160" spans="1:15">
      <c r="A160" s="3563" t="s">
        <v>4359</v>
      </c>
      <c r="B160" s="3563" t="s">
        <v>4196</v>
      </c>
      <c r="C160" s="3563" t="s">
        <v>4197</v>
      </c>
      <c r="D160" s="3563" t="s">
        <v>4198</v>
      </c>
      <c r="E160" s="3563" t="s">
        <v>4297</v>
      </c>
      <c r="F160" s="3563" t="s">
        <v>4200</v>
      </c>
      <c r="G160" s="3564">
        <v>96.95</v>
      </c>
      <c r="H160" s="3564">
        <v>79.319999999999993</v>
      </c>
      <c r="I160" s="3564">
        <v>17.63</v>
      </c>
      <c r="J160" s="3565">
        <v>970068</v>
      </c>
      <c r="K160" s="3565">
        <v>10005.86</v>
      </c>
      <c r="L160" s="3565">
        <v>12229.8</v>
      </c>
      <c r="M160" s="3565">
        <v>0</v>
      </c>
      <c r="N160" s="3565">
        <v>0</v>
      </c>
      <c r="O160" s="3563" t="s">
        <v>3453</v>
      </c>
    </row>
    <row r="161" spans="1:15">
      <c r="A161" s="3563" t="s">
        <v>4360</v>
      </c>
      <c r="B161" s="3563" t="s">
        <v>4196</v>
      </c>
      <c r="C161" s="3563" t="s">
        <v>4197</v>
      </c>
      <c r="D161" s="3563" t="s">
        <v>4198</v>
      </c>
      <c r="E161" s="3563" t="s">
        <v>4297</v>
      </c>
      <c r="F161" s="3563" t="s">
        <v>4200</v>
      </c>
      <c r="G161" s="3564">
        <v>107.09</v>
      </c>
      <c r="H161" s="3564">
        <v>87.61</v>
      </c>
      <c r="I161" s="3564">
        <v>19.48</v>
      </c>
      <c r="J161" s="3565">
        <v>1134186</v>
      </c>
      <c r="K161" s="3565">
        <v>10590.96</v>
      </c>
      <c r="L161" s="3565">
        <v>12945.85</v>
      </c>
      <c r="M161" s="3565">
        <v>0</v>
      </c>
      <c r="N161" s="3565">
        <v>0</v>
      </c>
      <c r="O161" s="3563" t="s">
        <v>3453</v>
      </c>
    </row>
    <row r="162" spans="1:15">
      <c r="A162" s="3563" t="s">
        <v>4361</v>
      </c>
      <c r="B162" s="3563" t="s">
        <v>4196</v>
      </c>
      <c r="C162" s="3563" t="s">
        <v>4197</v>
      </c>
      <c r="D162" s="3563" t="s">
        <v>4198</v>
      </c>
      <c r="E162" s="3563" t="s">
        <v>4297</v>
      </c>
      <c r="F162" s="3563" t="s">
        <v>4200</v>
      </c>
      <c r="G162" s="3564">
        <v>107.09</v>
      </c>
      <c r="H162" s="3564">
        <v>87.61</v>
      </c>
      <c r="I162" s="3564">
        <v>19.48</v>
      </c>
      <c r="J162" s="3565">
        <v>1147857</v>
      </c>
      <c r="K162" s="3565">
        <v>10718.62</v>
      </c>
      <c r="L162" s="3565">
        <v>13101.89</v>
      </c>
      <c r="M162" s="3565">
        <v>0</v>
      </c>
      <c r="N162" s="3565">
        <v>0</v>
      </c>
      <c r="O162" s="3563" t="s">
        <v>3453</v>
      </c>
    </row>
    <row r="163" spans="1:15">
      <c r="A163" s="3563" t="s">
        <v>4362</v>
      </c>
      <c r="B163" s="3563" t="s">
        <v>4196</v>
      </c>
      <c r="C163" s="3563" t="s">
        <v>4197</v>
      </c>
      <c r="D163" s="3563" t="s">
        <v>4198</v>
      </c>
      <c r="E163" s="3563" t="s">
        <v>4297</v>
      </c>
      <c r="F163" s="3563" t="s">
        <v>4200</v>
      </c>
      <c r="G163" s="3564">
        <v>96.95</v>
      </c>
      <c r="H163" s="3564">
        <v>79.319999999999993</v>
      </c>
      <c r="I163" s="3564">
        <v>17.63</v>
      </c>
      <c r="J163" s="3565">
        <v>972130</v>
      </c>
      <c r="K163" s="3565">
        <v>10027.129999999999</v>
      </c>
      <c r="L163" s="3565">
        <v>12255.8</v>
      </c>
      <c r="M163" s="3565">
        <v>0</v>
      </c>
      <c r="N163" s="3565">
        <v>0</v>
      </c>
      <c r="O163" s="3563" t="s">
        <v>3453</v>
      </c>
    </row>
    <row r="164" spans="1:15">
      <c r="A164" s="3563" t="s">
        <v>4363</v>
      </c>
      <c r="B164" s="3563" t="s">
        <v>4196</v>
      </c>
      <c r="C164" s="3563" t="s">
        <v>4197</v>
      </c>
      <c r="D164" s="3563" t="s">
        <v>4198</v>
      </c>
      <c r="E164" s="3563" t="s">
        <v>4297</v>
      </c>
      <c r="F164" s="3563" t="s">
        <v>4200</v>
      </c>
      <c r="G164" s="3564">
        <v>96.95</v>
      </c>
      <c r="H164" s="3564">
        <v>79.319999999999993</v>
      </c>
      <c r="I164" s="3564">
        <v>17.63</v>
      </c>
      <c r="J164" s="3565">
        <v>972130</v>
      </c>
      <c r="K164" s="3565">
        <v>10027.129999999999</v>
      </c>
      <c r="L164" s="3565">
        <v>12255.8</v>
      </c>
      <c r="M164" s="3565">
        <v>0</v>
      </c>
      <c r="N164" s="3565">
        <v>0</v>
      </c>
      <c r="O164" s="3563" t="s">
        <v>3453</v>
      </c>
    </row>
    <row r="165" spans="1:15">
      <c r="A165" s="3563" t="s">
        <v>4364</v>
      </c>
      <c r="B165" s="3563" t="s">
        <v>4196</v>
      </c>
      <c r="C165" s="3563" t="s">
        <v>4197</v>
      </c>
      <c r="D165" s="3563" t="s">
        <v>4198</v>
      </c>
      <c r="E165" s="3563" t="s">
        <v>4297</v>
      </c>
      <c r="F165" s="3563" t="s">
        <v>4200</v>
      </c>
      <c r="G165" s="3564">
        <v>107.09</v>
      </c>
      <c r="H165" s="3564">
        <v>87.61</v>
      </c>
      <c r="I165" s="3564">
        <v>19.48</v>
      </c>
      <c r="J165" s="3565">
        <v>1136464</v>
      </c>
      <c r="K165" s="3565">
        <v>10612.23</v>
      </c>
      <c r="L165" s="3565">
        <v>12971.85</v>
      </c>
      <c r="M165" s="3565">
        <v>0</v>
      </c>
      <c r="N165" s="3565">
        <v>0</v>
      </c>
      <c r="O165" s="3563" t="s">
        <v>3453</v>
      </c>
    </row>
    <row r="166" spans="1:15">
      <c r="A166" s="3563" t="s">
        <v>4365</v>
      </c>
      <c r="B166" s="3563" t="s">
        <v>4196</v>
      </c>
      <c r="C166" s="3563" t="s">
        <v>4197</v>
      </c>
      <c r="D166" s="3563" t="s">
        <v>4198</v>
      </c>
      <c r="E166" s="3563" t="s">
        <v>4297</v>
      </c>
      <c r="F166" s="3563" t="s">
        <v>4200</v>
      </c>
      <c r="G166" s="3564">
        <v>107.09</v>
      </c>
      <c r="H166" s="3564">
        <v>87.61</v>
      </c>
      <c r="I166" s="3564">
        <v>19.48</v>
      </c>
      <c r="J166" s="3565">
        <v>1150136</v>
      </c>
      <c r="K166" s="3565">
        <v>10739.9</v>
      </c>
      <c r="L166" s="3565">
        <v>13127.91</v>
      </c>
      <c r="M166" s="3565">
        <v>0</v>
      </c>
      <c r="N166" s="3565">
        <v>0</v>
      </c>
      <c r="O166" s="3563" t="s">
        <v>3453</v>
      </c>
    </row>
    <row r="167" spans="1:15">
      <c r="A167" s="3563" t="s">
        <v>4366</v>
      </c>
      <c r="B167" s="3563" t="s">
        <v>4196</v>
      </c>
      <c r="C167" s="3563" t="s">
        <v>4197</v>
      </c>
      <c r="D167" s="3563" t="s">
        <v>4198</v>
      </c>
      <c r="E167" s="3563" t="s">
        <v>4297</v>
      </c>
      <c r="F167" s="3563" t="s">
        <v>4200</v>
      </c>
      <c r="G167" s="3564">
        <v>96.95</v>
      </c>
      <c r="H167" s="3564">
        <v>79.319999999999993</v>
      </c>
      <c r="I167" s="3564">
        <v>17.63</v>
      </c>
      <c r="J167" s="3565">
        <v>994821</v>
      </c>
      <c r="K167" s="3565">
        <v>10261.18</v>
      </c>
      <c r="L167" s="3565">
        <v>12541.87</v>
      </c>
      <c r="M167" s="3565">
        <v>0</v>
      </c>
      <c r="N167" s="3565">
        <v>0</v>
      </c>
      <c r="O167" s="3563" t="s">
        <v>3453</v>
      </c>
    </row>
    <row r="168" spans="1:15">
      <c r="A168" s="3563" t="s">
        <v>4367</v>
      </c>
      <c r="B168" s="3563" t="s">
        <v>4196</v>
      </c>
      <c r="C168" s="3563" t="s">
        <v>4197</v>
      </c>
      <c r="D168" s="3563" t="s">
        <v>4198</v>
      </c>
      <c r="E168" s="3563" t="s">
        <v>4297</v>
      </c>
      <c r="F168" s="3563" t="s">
        <v>4200</v>
      </c>
      <c r="G168" s="3564">
        <v>96.95</v>
      </c>
      <c r="H168" s="3564">
        <v>79.319999999999993</v>
      </c>
      <c r="I168" s="3564">
        <v>17.63</v>
      </c>
      <c r="J168" s="3565">
        <v>994821</v>
      </c>
      <c r="K168" s="3565">
        <v>10261.18</v>
      </c>
      <c r="L168" s="3565">
        <v>12541.87</v>
      </c>
      <c r="M168" s="3565">
        <v>0</v>
      </c>
      <c r="N168" s="3565">
        <v>0</v>
      </c>
      <c r="O168" s="3563" t="s">
        <v>3453</v>
      </c>
    </row>
    <row r="169" spans="1:15">
      <c r="A169" s="3563" t="s">
        <v>4368</v>
      </c>
      <c r="B169" s="3563" t="s">
        <v>4196</v>
      </c>
      <c r="C169" s="3563" t="s">
        <v>4197</v>
      </c>
      <c r="D169" s="3563" t="s">
        <v>4198</v>
      </c>
      <c r="E169" s="3563" t="s">
        <v>4297</v>
      </c>
      <c r="F169" s="3563" t="s">
        <v>4200</v>
      </c>
      <c r="G169" s="3564">
        <v>107.09</v>
      </c>
      <c r="H169" s="3564">
        <v>87.61</v>
      </c>
      <c r="I169" s="3564">
        <v>19.48</v>
      </c>
      <c r="J169" s="3565">
        <v>1150136</v>
      </c>
      <c r="K169" s="3565">
        <v>10739.9</v>
      </c>
      <c r="L169" s="3565">
        <v>13127.91</v>
      </c>
      <c r="M169" s="3565">
        <v>0</v>
      </c>
      <c r="N169" s="3565">
        <v>0</v>
      </c>
      <c r="O169" s="3563" t="s">
        <v>3453</v>
      </c>
    </row>
    <row r="170" spans="1:15">
      <c r="A170" s="3563" t="s">
        <v>4369</v>
      </c>
      <c r="B170" s="3563" t="s">
        <v>4196</v>
      </c>
      <c r="C170" s="3563" t="s">
        <v>4197</v>
      </c>
      <c r="D170" s="3563" t="s">
        <v>4198</v>
      </c>
      <c r="E170" s="3563" t="s">
        <v>4297</v>
      </c>
      <c r="F170" s="3563" t="s">
        <v>4200</v>
      </c>
      <c r="G170" s="3564">
        <v>107.09</v>
      </c>
      <c r="H170" s="3564">
        <v>87.61</v>
      </c>
      <c r="I170" s="3564">
        <v>19.48</v>
      </c>
      <c r="J170" s="3565">
        <v>1152414</v>
      </c>
      <c r="K170" s="3565">
        <v>10761.17</v>
      </c>
      <c r="L170" s="3565">
        <v>13153.91</v>
      </c>
      <c r="M170" s="3565">
        <v>0</v>
      </c>
      <c r="N170" s="3565">
        <v>0</v>
      </c>
      <c r="O170" s="3563" t="s">
        <v>3453</v>
      </c>
    </row>
    <row r="171" spans="1:15">
      <c r="A171" s="3563" t="s">
        <v>4370</v>
      </c>
      <c r="B171" s="3563" t="s">
        <v>4196</v>
      </c>
      <c r="C171" s="3563" t="s">
        <v>4197</v>
      </c>
      <c r="D171" s="3563" t="s">
        <v>4198</v>
      </c>
      <c r="E171" s="3563" t="s">
        <v>4297</v>
      </c>
      <c r="F171" s="3563" t="s">
        <v>4200</v>
      </c>
      <c r="G171" s="3564">
        <v>96.95</v>
      </c>
      <c r="H171" s="3564">
        <v>79.319999999999993</v>
      </c>
      <c r="I171" s="3564">
        <v>17.63</v>
      </c>
      <c r="J171" s="3565">
        <v>996883</v>
      </c>
      <c r="K171" s="3565">
        <v>10282.44</v>
      </c>
      <c r="L171" s="3565">
        <v>12567.86</v>
      </c>
      <c r="M171" s="3565">
        <v>0</v>
      </c>
      <c r="N171" s="3565">
        <v>0</v>
      </c>
      <c r="O171" s="3563" t="s">
        <v>3453</v>
      </c>
    </row>
    <row r="172" spans="1:15">
      <c r="A172" s="3563" t="s">
        <v>4371</v>
      </c>
      <c r="B172" s="3563" t="s">
        <v>4196</v>
      </c>
      <c r="C172" s="3563" t="s">
        <v>4197</v>
      </c>
      <c r="D172" s="3563" t="s">
        <v>4198</v>
      </c>
      <c r="E172" s="3563" t="s">
        <v>4297</v>
      </c>
      <c r="F172" s="3563" t="s">
        <v>4200</v>
      </c>
      <c r="G172" s="3564">
        <v>96.95</v>
      </c>
      <c r="H172" s="3564">
        <v>79.319999999999993</v>
      </c>
      <c r="I172" s="3564">
        <v>17.63</v>
      </c>
      <c r="J172" s="3565">
        <v>996883</v>
      </c>
      <c r="K172" s="3565">
        <v>10282.44</v>
      </c>
      <c r="L172" s="3565">
        <v>12567.86</v>
      </c>
      <c r="M172" s="3565">
        <v>0</v>
      </c>
      <c r="N172" s="3565">
        <v>0</v>
      </c>
      <c r="O172" s="3563" t="s">
        <v>3453</v>
      </c>
    </row>
    <row r="173" spans="1:15">
      <c r="A173" s="3563" t="s">
        <v>4372</v>
      </c>
      <c r="B173" s="3563" t="s">
        <v>4196</v>
      </c>
      <c r="C173" s="3563" t="s">
        <v>4197</v>
      </c>
      <c r="D173" s="3563" t="s">
        <v>4198</v>
      </c>
      <c r="E173" s="3563" t="s">
        <v>4297</v>
      </c>
      <c r="F173" s="3563" t="s">
        <v>4200</v>
      </c>
      <c r="G173" s="3564">
        <v>107.09</v>
      </c>
      <c r="H173" s="3564">
        <v>87.61</v>
      </c>
      <c r="I173" s="3564">
        <v>19.48</v>
      </c>
      <c r="J173" s="3565">
        <v>1152414</v>
      </c>
      <c r="K173" s="3565">
        <v>10761.17</v>
      </c>
      <c r="L173" s="3565">
        <v>13153.91</v>
      </c>
      <c r="M173" s="3565">
        <v>0</v>
      </c>
      <c r="N173" s="3565">
        <v>0</v>
      </c>
      <c r="O173" s="3563" t="s">
        <v>3453</v>
      </c>
    </row>
    <row r="174" spans="1:15">
      <c r="A174" s="3563" t="s">
        <v>4373</v>
      </c>
      <c r="B174" s="3563" t="s">
        <v>4196</v>
      </c>
      <c r="C174" s="3563" t="s">
        <v>4197</v>
      </c>
      <c r="D174" s="3563" t="s">
        <v>4198</v>
      </c>
      <c r="E174" s="3563" t="s">
        <v>4297</v>
      </c>
      <c r="F174" s="3563" t="s">
        <v>4200</v>
      </c>
      <c r="G174" s="3564">
        <v>107.09</v>
      </c>
      <c r="H174" s="3564">
        <v>87.61</v>
      </c>
      <c r="I174" s="3564">
        <v>19.48</v>
      </c>
      <c r="J174" s="3565">
        <v>1150136</v>
      </c>
      <c r="K174" s="3565">
        <v>10739.9</v>
      </c>
      <c r="L174" s="3565">
        <v>13127.91</v>
      </c>
      <c r="M174" s="3565">
        <v>0</v>
      </c>
      <c r="N174" s="3565">
        <v>0</v>
      </c>
      <c r="O174" s="3563" t="s">
        <v>3453</v>
      </c>
    </row>
    <row r="175" spans="1:15">
      <c r="A175" s="3563" t="s">
        <v>4374</v>
      </c>
      <c r="B175" s="3563" t="s">
        <v>4196</v>
      </c>
      <c r="C175" s="3563" t="s">
        <v>4197</v>
      </c>
      <c r="D175" s="3563" t="s">
        <v>4198</v>
      </c>
      <c r="E175" s="3563" t="s">
        <v>4297</v>
      </c>
      <c r="F175" s="3563" t="s">
        <v>4200</v>
      </c>
      <c r="G175" s="3564">
        <v>96.95</v>
      </c>
      <c r="H175" s="3564">
        <v>79.319999999999993</v>
      </c>
      <c r="I175" s="3564">
        <v>17.63</v>
      </c>
      <c r="J175" s="3565">
        <v>994821</v>
      </c>
      <c r="K175" s="3565">
        <v>10261.18</v>
      </c>
      <c r="L175" s="3565">
        <v>12541.87</v>
      </c>
      <c r="M175" s="3565">
        <v>0</v>
      </c>
      <c r="N175" s="3565">
        <v>0</v>
      </c>
      <c r="O175" s="3563" t="s">
        <v>3453</v>
      </c>
    </row>
    <row r="176" spans="1:15">
      <c r="A176" s="3563" t="s">
        <v>4375</v>
      </c>
      <c r="B176" s="3563" t="s">
        <v>4196</v>
      </c>
      <c r="C176" s="3563" t="s">
        <v>4197</v>
      </c>
      <c r="D176" s="3563" t="s">
        <v>4198</v>
      </c>
      <c r="E176" s="3563" t="s">
        <v>4297</v>
      </c>
      <c r="F176" s="3563" t="s">
        <v>4200</v>
      </c>
      <c r="G176" s="3564">
        <v>96.95</v>
      </c>
      <c r="H176" s="3564">
        <v>79.319999999999993</v>
      </c>
      <c r="I176" s="3564">
        <v>17.63</v>
      </c>
      <c r="J176" s="3565">
        <v>994821</v>
      </c>
      <c r="K176" s="3565">
        <v>10261.18</v>
      </c>
      <c r="L176" s="3565">
        <v>12541.87</v>
      </c>
      <c r="M176" s="3565">
        <v>0</v>
      </c>
      <c r="N176" s="3565">
        <v>0</v>
      </c>
      <c r="O176" s="3563" t="s">
        <v>3453</v>
      </c>
    </row>
    <row r="177" spans="1:15">
      <c r="A177" s="3563" t="s">
        <v>4376</v>
      </c>
      <c r="B177" s="3563" t="s">
        <v>4196</v>
      </c>
      <c r="C177" s="3563" t="s">
        <v>4197</v>
      </c>
      <c r="D177" s="3563" t="s">
        <v>4198</v>
      </c>
      <c r="E177" s="3563" t="s">
        <v>4297</v>
      </c>
      <c r="F177" s="3563" t="s">
        <v>4200</v>
      </c>
      <c r="G177" s="3564">
        <v>107.09</v>
      </c>
      <c r="H177" s="3564">
        <v>87.61</v>
      </c>
      <c r="I177" s="3564">
        <v>19.48</v>
      </c>
      <c r="J177" s="3565">
        <v>1150136</v>
      </c>
      <c r="K177" s="3565">
        <v>10739.9</v>
      </c>
      <c r="L177" s="3565">
        <v>13127.91</v>
      </c>
      <c r="M177" s="3565">
        <v>0</v>
      </c>
      <c r="N177" s="3565">
        <v>0</v>
      </c>
      <c r="O177" s="3563" t="s">
        <v>3453</v>
      </c>
    </row>
    <row r="178" spans="1:15">
      <c r="A178" s="3563" t="s">
        <v>4377</v>
      </c>
      <c r="B178" s="3563" t="s">
        <v>4196</v>
      </c>
      <c r="C178" s="3563" t="s">
        <v>4197</v>
      </c>
      <c r="D178" s="3563" t="s">
        <v>4198</v>
      </c>
      <c r="E178" s="3563" t="s">
        <v>4378</v>
      </c>
      <c r="F178" s="3563" t="s">
        <v>4200</v>
      </c>
      <c r="G178" s="3564">
        <v>90.9</v>
      </c>
      <c r="H178" s="3564">
        <v>74.489999999999995</v>
      </c>
      <c r="I178" s="3564">
        <v>16.41</v>
      </c>
      <c r="J178" s="3565">
        <v>916302</v>
      </c>
      <c r="K178" s="3565">
        <v>10080.33</v>
      </c>
      <c r="L178" s="3565">
        <v>12301.01</v>
      </c>
      <c r="M178" s="3565">
        <v>0</v>
      </c>
      <c r="N178" s="3565">
        <v>0</v>
      </c>
      <c r="O178" s="3563" t="s">
        <v>3453</v>
      </c>
    </row>
    <row r="179" spans="1:15">
      <c r="A179" s="3563" t="s">
        <v>4379</v>
      </c>
      <c r="B179" s="3563" t="s">
        <v>4196</v>
      </c>
      <c r="C179" s="3563" t="s">
        <v>4197</v>
      </c>
      <c r="D179" s="3563" t="s">
        <v>4198</v>
      </c>
      <c r="E179" s="3563" t="s">
        <v>4378</v>
      </c>
      <c r="F179" s="3563" t="s">
        <v>4200</v>
      </c>
      <c r="G179" s="3564">
        <v>96.79</v>
      </c>
      <c r="H179" s="3564">
        <v>79.319999999999993</v>
      </c>
      <c r="I179" s="3564">
        <v>17.47</v>
      </c>
      <c r="J179" s="3565">
        <v>970526</v>
      </c>
      <c r="K179" s="3565">
        <v>10027.129999999999</v>
      </c>
      <c r="L179" s="3565">
        <v>12235.58</v>
      </c>
      <c r="M179" s="3565">
        <v>0</v>
      </c>
      <c r="N179" s="3565">
        <v>0</v>
      </c>
      <c r="O179" s="3563" t="s">
        <v>3453</v>
      </c>
    </row>
    <row r="180" spans="1:15">
      <c r="A180" s="3563" t="s">
        <v>4380</v>
      </c>
      <c r="B180" s="3563" t="s">
        <v>4196</v>
      </c>
      <c r="C180" s="3563" t="s">
        <v>4197</v>
      </c>
      <c r="D180" s="3563" t="s">
        <v>4198</v>
      </c>
      <c r="E180" s="3563" t="s">
        <v>4378</v>
      </c>
      <c r="F180" s="3563" t="s">
        <v>4200</v>
      </c>
      <c r="G180" s="3564">
        <v>96.9</v>
      </c>
      <c r="H180" s="3564">
        <v>79.41</v>
      </c>
      <c r="I180" s="3564">
        <v>17.489999999999998</v>
      </c>
      <c r="J180" s="3565">
        <v>971629</v>
      </c>
      <c r="K180" s="3565">
        <v>10027.129999999999</v>
      </c>
      <c r="L180" s="3565">
        <v>12235.6</v>
      </c>
      <c r="M180" s="3565">
        <v>0</v>
      </c>
      <c r="N180" s="3565">
        <v>0</v>
      </c>
      <c r="O180" s="3563" t="s">
        <v>3453</v>
      </c>
    </row>
    <row r="181" spans="1:15">
      <c r="A181" s="3563" t="s">
        <v>4381</v>
      </c>
      <c r="B181" s="3563" t="s">
        <v>4196</v>
      </c>
      <c r="C181" s="3563" t="s">
        <v>4197</v>
      </c>
      <c r="D181" s="3563" t="s">
        <v>4198</v>
      </c>
      <c r="E181" s="3563" t="s">
        <v>4378</v>
      </c>
      <c r="F181" s="3563" t="s">
        <v>4200</v>
      </c>
      <c r="G181" s="3564">
        <v>90.9</v>
      </c>
      <c r="H181" s="3564">
        <v>74.489999999999995</v>
      </c>
      <c r="I181" s="3564">
        <v>16.41</v>
      </c>
      <c r="J181" s="3565">
        <v>945312</v>
      </c>
      <c r="K181" s="3565">
        <v>10399.469999999999</v>
      </c>
      <c r="L181" s="3565">
        <v>12690.46</v>
      </c>
      <c r="M181" s="3565">
        <v>0</v>
      </c>
      <c r="N181" s="3565">
        <v>0</v>
      </c>
      <c r="O181" s="3563" t="s">
        <v>3453</v>
      </c>
    </row>
    <row r="182" spans="1:15">
      <c r="A182" s="3563" t="s">
        <v>4382</v>
      </c>
      <c r="B182" s="3563" t="s">
        <v>4196</v>
      </c>
      <c r="C182" s="3563" t="s">
        <v>4197</v>
      </c>
      <c r="D182" s="3563" t="s">
        <v>4198</v>
      </c>
      <c r="E182" s="3563" t="s">
        <v>4378</v>
      </c>
      <c r="F182" s="3563" t="s">
        <v>4200</v>
      </c>
      <c r="G182" s="3564">
        <v>106.91</v>
      </c>
      <c r="H182" s="3564">
        <v>87.61</v>
      </c>
      <c r="I182" s="3564">
        <v>19.3</v>
      </c>
      <c r="J182" s="3565">
        <v>1134555</v>
      </c>
      <c r="K182" s="3565">
        <v>10612.24</v>
      </c>
      <c r="L182" s="3565">
        <v>12950.06</v>
      </c>
      <c r="M182" s="3565">
        <v>0</v>
      </c>
      <c r="N182" s="3565">
        <v>0</v>
      </c>
      <c r="O182" s="3563" t="s">
        <v>3453</v>
      </c>
    </row>
    <row r="183" spans="1:15">
      <c r="A183" s="3563" t="s">
        <v>4383</v>
      </c>
      <c r="B183" s="3563" t="s">
        <v>4196</v>
      </c>
      <c r="C183" s="3563" t="s">
        <v>4197</v>
      </c>
      <c r="D183" s="3563" t="s">
        <v>4198</v>
      </c>
      <c r="E183" s="3563" t="s">
        <v>4378</v>
      </c>
      <c r="F183" s="3563" t="s">
        <v>4200</v>
      </c>
      <c r="G183" s="3564">
        <v>96.79</v>
      </c>
      <c r="H183" s="3564">
        <v>79.319999999999993</v>
      </c>
      <c r="I183" s="3564">
        <v>17.47</v>
      </c>
      <c r="J183" s="3565">
        <v>980823</v>
      </c>
      <c r="K183" s="3565">
        <v>10133.52</v>
      </c>
      <c r="L183" s="3565">
        <v>12365.39</v>
      </c>
      <c r="M183" s="3565">
        <v>0</v>
      </c>
      <c r="N183" s="3565">
        <v>0</v>
      </c>
      <c r="O183" s="3563" t="s">
        <v>3453</v>
      </c>
    </row>
    <row r="184" spans="1:15">
      <c r="A184" s="3563" t="s">
        <v>4384</v>
      </c>
      <c r="B184" s="3563" t="s">
        <v>4196</v>
      </c>
      <c r="C184" s="3563" t="s">
        <v>4197</v>
      </c>
      <c r="D184" s="3563" t="s">
        <v>4198</v>
      </c>
      <c r="E184" s="3563" t="s">
        <v>4378</v>
      </c>
      <c r="F184" s="3563" t="s">
        <v>4200</v>
      </c>
      <c r="G184" s="3564">
        <v>96.79</v>
      </c>
      <c r="H184" s="3564">
        <v>79.319999999999993</v>
      </c>
      <c r="I184" s="3564">
        <v>17.47</v>
      </c>
      <c r="J184" s="3565">
        <v>980823</v>
      </c>
      <c r="K184" s="3565">
        <v>10133.52</v>
      </c>
      <c r="L184" s="3565">
        <v>12365.39</v>
      </c>
      <c r="M184" s="3565">
        <v>0</v>
      </c>
      <c r="N184" s="3565">
        <v>0</v>
      </c>
      <c r="O184" s="3563" t="s">
        <v>3453</v>
      </c>
    </row>
    <row r="185" spans="1:15">
      <c r="A185" s="3563" t="s">
        <v>4385</v>
      </c>
      <c r="B185" s="3563" t="s">
        <v>4196</v>
      </c>
      <c r="C185" s="3563" t="s">
        <v>4197</v>
      </c>
      <c r="D185" s="3563" t="s">
        <v>4198</v>
      </c>
      <c r="E185" s="3563" t="s">
        <v>4378</v>
      </c>
      <c r="F185" s="3563" t="s">
        <v>4200</v>
      </c>
      <c r="G185" s="3564">
        <v>106.91</v>
      </c>
      <c r="H185" s="3564">
        <v>87.61</v>
      </c>
      <c r="I185" s="3564">
        <v>19.3</v>
      </c>
      <c r="J185" s="3565">
        <v>1168675</v>
      </c>
      <c r="K185" s="3565">
        <v>10931.39</v>
      </c>
      <c r="L185" s="3565">
        <v>13339.52</v>
      </c>
      <c r="M185" s="3565">
        <v>0</v>
      </c>
      <c r="N185" s="3565">
        <v>0</v>
      </c>
      <c r="O185" s="3563" t="s">
        <v>3453</v>
      </c>
    </row>
    <row r="186" spans="1:15">
      <c r="A186" s="3563" t="s">
        <v>4386</v>
      </c>
      <c r="B186" s="3563" t="s">
        <v>4196</v>
      </c>
      <c r="C186" s="3563" t="s">
        <v>4197</v>
      </c>
      <c r="D186" s="3563" t="s">
        <v>4198</v>
      </c>
      <c r="E186" s="3563" t="s">
        <v>4378</v>
      </c>
      <c r="F186" s="3563" t="s">
        <v>4200</v>
      </c>
      <c r="G186" s="3564">
        <v>106.91</v>
      </c>
      <c r="H186" s="3564">
        <v>87.61</v>
      </c>
      <c r="I186" s="3564">
        <v>19.3</v>
      </c>
      <c r="J186" s="3565">
        <v>1098160</v>
      </c>
      <c r="K186" s="3565">
        <v>10271.82</v>
      </c>
      <c r="L186" s="3565">
        <v>12534.64</v>
      </c>
      <c r="M186" s="3565">
        <v>0</v>
      </c>
      <c r="N186" s="3565">
        <v>0</v>
      </c>
      <c r="O186" s="3563" t="s">
        <v>3453</v>
      </c>
    </row>
    <row r="187" spans="1:15">
      <c r="A187" s="3563" t="s">
        <v>4387</v>
      </c>
      <c r="B187" s="3563" t="s">
        <v>4196</v>
      </c>
      <c r="C187" s="3563" t="s">
        <v>4197</v>
      </c>
      <c r="D187" s="3563" t="s">
        <v>4198</v>
      </c>
      <c r="E187" s="3563" t="s">
        <v>4378</v>
      </c>
      <c r="F187" s="3563" t="s">
        <v>4200</v>
      </c>
      <c r="G187" s="3564">
        <v>96.79</v>
      </c>
      <c r="H187" s="3564">
        <v>79.319999999999993</v>
      </c>
      <c r="I187" s="3564">
        <v>17.47</v>
      </c>
      <c r="J187" s="3565">
        <v>970526</v>
      </c>
      <c r="K187" s="3565">
        <v>10027.129999999999</v>
      </c>
      <c r="L187" s="3565">
        <v>12235.58</v>
      </c>
      <c r="M187" s="3565">
        <v>0</v>
      </c>
      <c r="N187" s="3565">
        <v>0</v>
      </c>
      <c r="O187" s="3563" t="s">
        <v>3453</v>
      </c>
    </row>
    <row r="188" spans="1:15">
      <c r="A188" s="3563" t="s">
        <v>4388</v>
      </c>
      <c r="B188" s="3563" t="s">
        <v>4196</v>
      </c>
      <c r="C188" s="3563" t="s">
        <v>4197</v>
      </c>
      <c r="D188" s="3563" t="s">
        <v>4198</v>
      </c>
      <c r="E188" s="3563" t="s">
        <v>4378</v>
      </c>
      <c r="F188" s="3563" t="s">
        <v>4200</v>
      </c>
      <c r="G188" s="3564">
        <v>96.79</v>
      </c>
      <c r="H188" s="3564">
        <v>79.319999999999993</v>
      </c>
      <c r="I188" s="3564">
        <v>17.47</v>
      </c>
      <c r="J188" s="3565">
        <v>970526</v>
      </c>
      <c r="K188" s="3565">
        <v>10027.129999999999</v>
      </c>
      <c r="L188" s="3565">
        <v>12235.58</v>
      </c>
      <c r="M188" s="3565">
        <v>0</v>
      </c>
      <c r="N188" s="3565">
        <v>0</v>
      </c>
      <c r="O188" s="3563" t="s">
        <v>3453</v>
      </c>
    </row>
    <row r="189" spans="1:15">
      <c r="A189" s="3563" t="s">
        <v>4389</v>
      </c>
      <c r="B189" s="3563" t="s">
        <v>4196</v>
      </c>
      <c r="C189" s="3563" t="s">
        <v>4197</v>
      </c>
      <c r="D189" s="3563" t="s">
        <v>4198</v>
      </c>
      <c r="E189" s="3563" t="s">
        <v>4378</v>
      </c>
      <c r="F189" s="3563" t="s">
        <v>4200</v>
      </c>
      <c r="G189" s="3564">
        <v>106.91</v>
      </c>
      <c r="H189" s="3564">
        <v>87.61</v>
      </c>
      <c r="I189" s="3564">
        <v>19.3</v>
      </c>
      <c r="J189" s="3565">
        <v>1132280</v>
      </c>
      <c r="K189" s="3565">
        <v>10590.96</v>
      </c>
      <c r="L189" s="3565">
        <v>12924.1</v>
      </c>
      <c r="M189" s="3565">
        <v>0</v>
      </c>
      <c r="N189" s="3565">
        <v>0</v>
      </c>
      <c r="O189" s="3563" t="s">
        <v>3453</v>
      </c>
    </row>
    <row r="190" spans="1:15">
      <c r="A190" s="3563" t="s">
        <v>4390</v>
      </c>
      <c r="B190" s="3563" t="s">
        <v>4196</v>
      </c>
      <c r="C190" s="3563" t="s">
        <v>4197</v>
      </c>
      <c r="D190" s="3563" t="s">
        <v>4198</v>
      </c>
      <c r="E190" s="3563" t="s">
        <v>4378</v>
      </c>
      <c r="F190" s="3563" t="s">
        <v>4200</v>
      </c>
      <c r="G190" s="3564">
        <v>93.98</v>
      </c>
      <c r="H190" s="3564">
        <v>77.010000000000005</v>
      </c>
      <c r="I190" s="3564">
        <v>16.97</v>
      </c>
      <c r="J190" s="3565">
        <v>959346</v>
      </c>
      <c r="K190" s="3565">
        <v>10207.98</v>
      </c>
      <c r="L190" s="3565">
        <v>12457.42</v>
      </c>
      <c r="M190" s="3565">
        <v>0</v>
      </c>
      <c r="N190" s="3565">
        <v>0</v>
      </c>
      <c r="O190" s="3563" t="s">
        <v>3453</v>
      </c>
    </row>
    <row r="191" spans="1:15">
      <c r="A191" s="3563" t="s">
        <v>4391</v>
      </c>
      <c r="B191" s="3563" t="s">
        <v>4196</v>
      </c>
      <c r="C191" s="3563" t="s">
        <v>4197</v>
      </c>
      <c r="D191" s="3563" t="s">
        <v>4198</v>
      </c>
      <c r="E191" s="3563" t="s">
        <v>4378</v>
      </c>
      <c r="F191" s="3563" t="s">
        <v>4200</v>
      </c>
      <c r="G191" s="3564">
        <v>96.79</v>
      </c>
      <c r="H191" s="3564">
        <v>79.319999999999993</v>
      </c>
      <c r="I191" s="3564">
        <v>17.47</v>
      </c>
      <c r="J191" s="3565">
        <v>970526</v>
      </c>
      <c r="K191" s="3565">
        <v>10027.129999999999</v>
      </c>
      <c r="L191" s="3565">
        <v>12235.58</v>
      </c>
      <c r="M191" s="3565">
        <v>0</v>
      </c>
      <c r="N191" s="3565">
        <v>0</v>
      </c>
      <c r="O191" s="3563" t="s">
        <v>3453</v>
      </c>
    </row>
    <row r="192" spans="1:15">
      <c r="A192" s="3563" t="s">
        <v>4392</v>
      </c>
      <c r="B192" s="3563" t="s">
        <v>4196</v>
      </c>
      <c r="C192" s="3563" t="s">
        <v>4197</v>
      </c>
      <c r="D192" s="3563" t="s">
        <v>4198</v>
      </c>
      <c r="E192" s="3563" t="s">
        <v>4378</v>
      </c>
      <c r="F192" s="3563" t="s">
        <v>4200</v>
      </c>
      <c r="G192" s="3564">
        <v>96.79</v>
      </c>
      <c r="H192" s="3564">
        <v>79.319999999999993</v>
      </c>
      <c r="I192" s="3564">
        <v>17.47</v>
      </c>
      <c r="J192" s="3565">
        <v>970526</v>
      </c>
      <c r="K192" s="3565">
        <v>10027.129999999999</v>
      </c>
      <c r="L192" s="3565">
        <v>12235.58</v>
      </c>
      <c r="M192" s="3565">
        <v>0</v>
      </c>
      <c r="N192" s="3565">
        <v>0</v>
      </c>
      <c r="O192" s="3563" t="s">
        <v>3453</v>
      </c>
    </row>
    <row r="193" spans="1:15">
      <c r="A193" s="3563" t="s">
        <v>4393</v>
      </c>
      <c r="B193" s="3563" t="s">
        <v>4196</v>
      </c>
      <c r="C193" s="3563" t="s">
        <v>4197</v>
      </c>
      <c r="D193" s="3563" t="s">
        <v>4198</v>
      </c>
      <c r="E193" s="3563" t="s">
        <v>4378</v>
      </c>
      <c r="F193" s="3563" t="s">
        <v>4200</v>
      </c>
      <c r="G193" s="3564">
        <v>93.98</v>
      </c>
      <c r="H193" s="3564">
        <v>77.010000000000005</v>
      </c>
      <c r="I193" s="3564">
        <v>16.97</v>
      </c>
      <c r="J193" s="3565">
        <v>989340</v>
      </c>
      <c r="K193" s="3565">
        <v>10527.13</v>
      </c>
      <c r="L193" s="3565">
        <v>12846.9</v>
      </c>
      <c r="M193" s="3565">
        <v>0</v>
      </c>
      <c r="N193" s="3565">
        <v>0</v>
      </c>
      <c r="O193" s="3563" t="s">
        <v>3453</v>
      </c>
    </row>
    <row r="194" spans="1:15">
      <c r="A194" s="3563" t="s">
        <v>4394</v>
      </c>
      <c r="B194" s="3563" t="s">
        <v>4196</v>
      </c>
      <c r="C194" s="3563" t="s">
        <v>4197</v>
      </c>
      <c r="D194" s="3563" t="s">
        <v>4198</v>
      </c>
      <c r="E194" s="3563" t="s">
        <v>4378</v>
      </c>
      <c r="F194" s="3563" t="s">
        <v>4200</v>
      </c>
      <c r="G194" s="3564">
        <v>106.91</v>
      </c>
      <c r="H194" s="3564">
        <v>87.61</v>
      </c>
      <c r="I194" s="3564">
        <v>19.3</v>
      </c>
      <c r="J194" s="3565">
        <v>1104983</v>
      </c>
      <c r="K194" s="3565">
        <v>10335.64</v>
      </c>
      <c r="L194" s="3565">
        <v>12612.52</v>
      </c>
      <c r="M194" s="3565">
        <v>0</v>
      </c>
      <c r="N194" s="3565">
        <v>0</v>
      </c>
      <c r="O194" s="3563" t="s">
        <v>3453</v>
      </c>
    </row>
    <row r="195" spans="1:15">
      <c r="A195" s="3563" t="s">
        <v>4395</v>
      </c>
      <c r="B195" s="3563" t="s">
        <v>4196</v>
      </c>
      <c r="C195" s="3563" t="s">
        <v>4197</v>
      </c>
      <c r="D195" s="3563" t="s">
        <v>4198</v>
      </c>
      <c r="E195" s="3563" t="s">
        <v>4378</v>
      </c>
      <c r="F195" s="3563" t="s">
        <v>4200</v>
      </c>
      <c r="G195" s="3564">
        <v>96.79</v>
      </c>
      <c r="H195" s="3564">
        <v>79.319999999999993</v>
      </c>
      <c r="I195" s="3564">
        <v>17.47</v>
      </c>
      <c r="J195" s="3565">
        <v>970526</v>
      </c>
      <c r="K195" s="3565">
        <v>10027.129999999999</v>
      </c>
      <c r="L195" s="3565">
        <v>12235.58</v>
      </c>
      <c r="M195" s="3565">
        <v>0</v>
      </c>
      <c r="N195" s="3565">
        <v>0</v>
      </c>
      <c r="O195" s="3563" t="s">
        <v>3453</v>
      </c>
    </row>
    <row r="196" spans="1:15">
      <c r="A196" s="3563" t="s">
        <v>4396</v>
      </c>
      <c r="B196" s="3563" t="s">
        <v>4196</v>
      </c>
      <c r="C196" s="3563" t="s">
        <v>4197</v>
      </c>
      <c r="D196" s="3563" t="s">
        <v>4198</v>
      </c>
      <c r="E196" s="3563" t="s">
        <v>4378</v>
      </c>
      <c r="F196" s="3563" t="s">
        <v>4200</v>
      </c>
      <c r="G196" s="3564">
        <v>96.79</v>
      </c>
      <c r="H196" s="3564">
        <v>79.319999999999993</v>
      </c>
      <c r="I196" s="3564">
        <v>17.47</v>
      </c>
      <c r="J196" s="3565">
        <v>970526</v>
      </c>
      <c r="K196" s="3565">
        <v>10027.129999999999</v>
      </c>
      <c r="L196" s="3565">
        <v>12235.58</v>
      </c>
      <c r="M196" s="3565">
        <v>0</v>
      </c>
      <c r="N196" s="3565">
        <v>0</v>
      </c>
      <c r="O196" s="3563" t="s">
        <v>3453</v>
      </c>
    </row>
    <row r="197" spans="1:15">
      <c r="A197" s="3563" t="s">
        <v>4397</v>
      </c>
      <c r="B197" s="3563" t="s">
        <v>4196</v>
      </c>
      <c r="C197" s="3563" t="s">
        <v>4197</v>
      </c>
      <c r="D197" s="3563" t="s">
        <v>4198</v>
      </c>
      <c r="E197" s="3563" t="s">
        <v>4378</v>
      </c>
      <c r="F197" s="3563" t="s">
        <v>4200</v>
      </c>
      <c r="G197" s="3564">
        <v>106.91</v>
      </c>
      <c r="H197" s="3564">
        <v>87.61</v>
      </c>
      <c r="I197" s="3564">
        <v>19.3</v>
      </c>
      <c r="J197" s="3565">
        <v>1139104</v>
      </c>
      <c r="K197" s="3565">
        <v>10654.79</v>
      </c>
      <c r="L197" s="3565">
        <v>13001.99</v>
      </c>
      <c r="M197" s="3565">
        <v>0</v>
      </c>
      <c r="N197" s="3565">
        <v>0</v>
      </c>
      <c r="O197" s="3563" t="s">
        <v>3453</v>
      </c>
    </row>
    <row r="198" spans="1:15">
      <c r="A198" s="3563" t="s">
        <v>4398</v>
      </c>
      <c r="B198" s="3563" t="s">
        <v>4196</v>
      </c>
      <c r="C198" s="3563" t="s">
        <v>4197</v>
      </c>
      <c r="D198" s="3563" t="s">
        <v>4198</v>
      </c>
      <c r="E198" s="3563" t="s">
        <v>4378</v>
      </c>
      <c r="F198" s="3563" t="s">
        <v>4200</v>
      </c>
      <c r="G198" s="3564">
        <v>106.91</v>
      </c>
      <c r="H198" s="3564">
        <v>87.61</v>
      </c>
      <c r="I198" s="3564">
        <v>19.3</v>
      </c>
      <c r="J198" s="3565">
        <v>1118631</v>
      </c>
      <c r="K198" s="3565">
        <v>10463.299999999999</v>
      </c>
      <c r="L198" s="3565">
        <v>12768.3</v>
      </c>
      <c r="M198" s="3565">
        <v>0</v>
      </c>
      <c r="N198" s="3565">
        <v>0</v>
      </c>
      <c r="O198" s="3563" t="s">
        <v>3453</v>
      </c>
    </row>
    <row r="199" spans="1:15">
      <c r="A199" s="3563" t="s">
        <v>4399</v>
      </c>
      <c r="B199" s="3563" t="s">
        <v>4196</v>
      </c>
      <c r="C199" s="3563" t="s">
        <v>4197</v>
      </c>
      <c r="D199" s="3563" t="s">
        <v>4198</v>
      </c>
      <c r="E199" s="3563" t="s">
        <v>4378</v>
      </c>
      <c r="F199" s="3563" t="s">
        <v>4200</v>
      </c>
      <c r="G199" s="3564">
        <v>96.79</v>
      </c>
      <c r="H199" s="3564">
        <v>79.319999999999993</v>
      </c>
      <c r="I199" s="3564">
        <v>17.47</v>
      </c>
      <c r="J199" s="3565">
        <v>970526</v>
      </c>
      <c r="K199" s="3565">
        <v>10027.129999999999</v>
      </c>
      <c r="L199" s="3565">
        <v>12235.58</v>
      </c>
      <c r="M199" s="3565">
        <v>0</v>
      </c>
      <c r="N199" s="3565">
        <v>0</v>
      </c>
      <c r="O199" s="3563" t="s">
        <v>3453</v>
      </c>
    </row>
    <row r="200" spans="1:15">
      <c r="A200" s="3563" t="s">
        <v>4400</v>
      </c>
      <c r="B200" s="3563" t="s">
        <v>4196</v>
      </c>
      <c r="C200" s="3563" t="s">
        <v>4197</v>
      </c>
      <c r="D200" s="3563" t="s">
        <v>4198</v>
      </c>
      <c r="E200" s="3563" t="s">
        <v>4378</v>
      </c>
      <c r="F200" s="3563" t="s">
        <v>4200</v>
      </c>
      <c r="G200" s="3564">
        <v>96.79</v>
      </c>
      <c r="H200" s="3564">
        <v>79.319999999999993</v>
      </c>
      <c r="I200" s="3564">
        <v>17.47</v>
      </c>
      <c r="J200" s="3565">
        <v>970526</v>
      </c>
      <c r="K200" s="3565">
        <v>10027.129999999999</v>
      </c>
      <c r="L200" s="3565">
        <v>12235.58</v>
      </c>
      <c r="M200" s="3565">
        <v>0</v>
      </c>
      <c r="N200" s="3565">
        <v>0</v>
      </c>
      <c r="O200" s="3563" t="s">
        <v>3453</v>
      </c>
    </row>
    <row r="201" spans="1:15">
      <c r="A201" s="3563" t="s">
        <v>4401</v>
      </c>
      <c r="B201" s="3563" t="s">
        <v>4196</v>
      </c>
      <c r="C201" s="3563" t="s">
        <v>4197</v>
      </c>
      <c r="D201" s="3563" t="s">
        <v>4198</v>
      </c>
      <c r="E201" s="3563" t="s">
        <v>4378</v>
      </c>
      <c r="F201" s="3563" t="s">
        <v>4200</v>
      </c>
      <c r="G201" s="3564">
        <v>106.91</v>
      </c>
      <c r="H201" s="3564">
        <v>87.61</v>
      </c>
      <c r="I201" s="3564">
        <v>19.3</v>
      </c>
      <c r="J201" s="3565">
        <v>1152752</v>
      </c>
      <c r="K201" s="3565">
        <v>10782.45</v>
      </c>
      <c r="L201" s="3565">
        <v>13157.77</v>
      </c>
      <c r="M201" s="3565">
        <v>0</v>
      </c>
      <c r="N201" s="3565">
        <v>0</v>
      </c>
      <c r="O201" s="3563" t="s">
        <v>3453</v>
      </c>
    </row>
    <row r="202" spans="1:15">
      <c r="A202" s="3563" t="s">
        <v>4402</v>
      </c>
      <c r="B202" s="3563" t="s">
        <v>4196</v>
      </c>
      <c r="C202" s="3563" t="s">
        <v>4197</v>
      </c>
      <c r="D202" s="3563" t="s">
        <v>4198</v>
      </c>
      <c r="E202" s="3563" t="s">
        <v>4378</v>
      </c>
      <c r="F202" s="3563" t="s">
        <v>4200</v>
      </c>
      <c r="G202" s="3564">
        <v>106.91</v>
      </c>
      <c r="H202" s="3564">
        <v>87.61</v>
      </c>
      <c r="I202" s="3564">
        <v>19.3</v>
      </c>
      <c r="J202" s="3565">
        <v>1132280</v>
      </c>
      <c r="K202" s="3565">
        <v>10590.96</v>
      </c>
      <c r="L202" s="3565">
        <v>12924.1</v>
      </c>
      <c r="M202" s="3565">
        <v>0</v>
      </c>
      <c r="N202" s="3565">
        <v>0</v>
      </c>
      <c r="O202" s="3563" t="s">
        <v>3453</v>
      </c>
    </row>
    <row r="203" spans="1:15">
      <c r="A203" s="3563" t="s">
        <v>4403</v>
      </c>
      <c r="B203" s="3563" t="s">
        <v>4196</v>
      </c>
      <c r="C203" s="3563" t="s">
        <v>4197</v>
      </c>
      <c r="D203" s="3563" t="s">
        <v>4198</v>
      </c>
      <c r="E203" s="3563" t="s">
        <v>4378</v>
      </c>
      <c r="F203" s="3563" t="s">
        <v>4200</v>
      </c>
      <c r="G203" s="3564">
        <v>96.79</v>
      </c>
      <c r="H203" s="3564">
        <v>79.319999999999993</v>
      </c>
      <c r="I203" s="3564">
        <v>17.47</v>
      </c>
      <c r="J203" s="3565">
        <v>970526</v>
      </c>
      <c r="K203" s="3565">
        <v>10027.129999999999</v>
      </c>
      <c r="L203" s="3565">
        <v>12235.58</v>
      </c>
      <c r="M203" s="3565">
        <v>0</v>
      </c>
      <c r="N203" s="3565">
        <v>0</v>
      </c>
      <c r="O203" s="3563" t="s">
        <v>3453</v>
      </c>
    </row>
    <row r="204" spans="1:15">
      <c r="A204" s="3563" t="s">
        <v>4404</v>
      </c>
      <c r="B204" s="3563" t="s">
        <v>4196</v>
      </c>
      <c r="C204" s="3563" t="s">
        <v>4197</v>
      </c>
      <c r="D204" s="3563" t="s">
        <v>4198</v>
      </c>
      <c r="E204" s="3563" t="s">
        <v>4378</v>
      </c>
      <c r="F204" s="3563" t="s">
        <v>4200</v>
      </c>
      <c r="G204" s="3564">
        <v>96.79</v>
      </c>
      <c r="H204" s="3564">
        <v>79.319999999999993</v>
      </c>
      <c r="I204" s="3564">
        <v>17.47</v>
      </c>
      <c r="J204" s="3565">
        <v>970526</v>
      </c>
      <c r="K204" s="3565">
        <v>10027.129999999999</v>
      </c>
      <c r="L204" s="3565">
        <v>12235.58</v>
      </c>
      <c r="M204" s="3565">
        <v>0</v>
      </c>
      <c r="N204" s="3565">
        <v>0</v>
      </c>
      <c r="O204" s="3563" t="s">
        <v>3453</v>
      </c>
    </row>
    <row r="205" spans="1:15">
      <c r="A205" s="3563" t="s">
        <v>4405</v>
      </c>
      <c r="B205" s="3563" t="s">
        <v>4196</v>
      </c>
      <c r="C205" s="3563" t="s">
        <v>4197</v>
      </c>
      <c r="D205" s="3563" t="s">
        <v>4198</v>
      </c>
      <c r="E205" s="3563" t="s">
        <v>4378</v>
      </c>
      <c r="F205" s="3563" t="s">
        <v>4200</v>
      </c>
      <c r="G205" s="3564">
        <v>106.91</v>
      </c>
      <c r="H205" s="3564">
        <v>87.61</v>
      </c>
      <c r="I205" s="3564">
        <v>19.3</v>
      </c>
      <c r="J205" s="3565">
        <v>1166400</v>
      </c>
      <c r="K205" s="3565">
        <v>10910.11</v>
      </c>
      <c r="L205" s="3565">
        <v>13313.55</v>
      </c>
      <c r="M205" s="3565">
        <v>0</v>
      </c>
      <c r="N205" s="3565">
        <v>0</v>
      </c>
      <c r="O205" s="3563" t="s">
        <v>3453</v>
      </c>
    </row>
    <row r="206" spans="1:15">
      <c r="A206" s="3563" t="s">
        <v>4406</v>
      </c>
      <c r="B206" s="3563" t="s">
        <v>4196</v>
      </c>
      <c r="C206" s="3563" t="s">
        <v>4197</v>
      </c>
      <c r="D206" s="3563" t="s">
        <v>4198</v>
      </c>
      <c r="E206" s="3563" t="s">
        <v>4378</v>
      </c>
      <c r="F206" s="3563" t="s">
        <v>4200</v>
      </c>
      <c r="G206" s="3564">
        <v>106.91</v>
      </c>
      <c r="H206" s="3564">
        <v>87.61</v>
      </c>
      <c r="I206" s="3564">
        <v>19.3</v>
      </c>
      <c r="J206" s="3565">
        <v>1134555</v>
      </c>
      <c r="K206" s="3565">
        <v>10612.24</v>
      </c>
      <c r="L206" s="3565">
        <v>12950.06</v>
      </c>
      <c r="M206" s="3565">
        <v>0</v>
      </c>
      <c r="N206" s="3565">
        <v>0</v>
      </c>
      <c r="O206" s="3563" t="s">
        <v>3453</v>
      </c>
    </row>
    <row r="207" spans="1:15">
      <c r="A207" s="3563" t="s">
        <v>4407</v>
      </c>
      <c r="B207" s="3563" t="s">
        <v>4196</v>
      </c>
      <c r="C207" s="3563" t="s">
        <v>4197</v>
      </c>
      <c r="D207" s="3563" t="s">
        <v>4198</v>
      </c>
      <c r="E207" s="3563" t="s">
        <v>4378</v>
      </c>
      <c r="F207" s="3563" t="s">
        <v>4200</v>
      </c>
      <c r="G207" s="3564">
        <v>96.79</v>
      </c>
      <c r="H207" s="3564">
        <v>79.319999999999993</v>
      </c>
      <c r="I207" s="3564">
        <v>17.47</v>
      </c>
      <c r="J207" s="3565">
        <v>970526</v>
      </c>
      <c r="K207" s="3565">
        <v>10027.129999999999</v>
      </c>
      <c r="L207" s="3565">
        <v>12235.58</v>
      </c>
      <c r="M207" s="3565">
        <v>0</v>
      </c>
      <c r="N207" s="3565">
        <v>0</v>
      </c>
      <c r="O207" s="3563" t="s">
        <v>3453</v>
      </c>
    </row>
    <row r="208" spans="1:15">
      <c r="A208" s="3563" t="s">
        <v>4408</v>
      </c>
      <c r="B208" s="3563" t="s">
        <v>4196</v>
      </c>
      <c r="C208" s="3563" t="s">
        <v>4197</v>
      </c>
      <c r="D208" s="3563" t="s">
        <v>4198</v>
      </c>
      <c r="E208" s="3563" t="s">
        <v>4378</v>
      </c>
      <c r="F208" s="3563" t="s">
        <v>4200</v>
      </c>
      <c r="G208" s="3564">
        <v>96.79</v>
      </c>
      <c r="H208" s="3564">
        <v>79.319999999999993</v>
      </c>
      <c r="I208" s="3564">
        <v>17.47</v>
      </c>
      <c r="J208" s="3565">
        <v>970526</v>
      </c>
      <c r="K208" s="3565">
        <v>10027.129999999999</v>
      </c>
      <c r="L208" s="3565">
        <v>12235.58</v>
      </c>
      <c r="M208" s="3565">
        <v>0</v>
      </c>
      <c r="N208" s="3565">
        <v>0</v>
      </c>
      <c r="O208" s="3563" t="s">
        <v>3453</v>
      </c>
    </row>
    <row r="209" spans="1:15">
      <c r="A209" s="3563" t="s">
        <v>4409</v>
      </c>
      <c r="B209" s="3563" t="s">
        <v>4196</v>
      </c>
      <c r="C209" s="3563" t="s">
        <v>4197</v>
      </c>
      <c r="D209" s="3563" t="s">
        <v>4198</v>
      </c>
      <c r="E209" s="3563" t="s">
        <v>4378</v>
      </c>
      <c r="F209" s="3563" t="s">
        <v>4200</v>
      </c>
      <c r="G209" s="3564">
        <v>106.91</v>
      </c>
      <c r="H209" s="3564">
        <v>87.61</v>
      </c>
      <c r="I209" s="3564">
        <v>19.3</v>
      </c>
      <c r="J209" s="3565">
        <v>1168675</v>
      </c>
      <c r="K209" s="3565">
        <v>10931.39</v>
      </c>
      <c r="L209" s="3565">
        <v>13339.52</v>
      </c>
      <c r="M209" s="3565">
        <v>0</v>
      </c>
      <c r="N209" s="3565">
        <v>0</v>
      </c>
      <c r="O209" s="3563" t="s">
        <v>3453</v>
      </c>
    </row>
    <row r="210" spans="1:15">
      <c r="A210" s="3563" t="s">
        <v>4410</v>
      </c>
      <c r="B210" s="3563" t="s">
        <v>4196</v>
      </c>
      <c r="C210" s="3563" t="s">
        <v>4197</v>
      </c>
      <c r="D210" s="3563" t="s">
        <v>4198</v>
      </c>
      <c r="E210" s="3563" t="s">
        <v>4378</v>
      </c>
      <c r="F210" s="3563" t="s">
        <v>4200</v>
      </c>
      <c r="G210" s="3564">
        <v>106.91</v>
      </c>
      <c r="H210" s="3564">
        <v>87.61</v>
      </c>
      <c r="I210" s="3564">
        <v>19.3</v>
      </c>
      <c r="J210" s="3565">
        <v>1136829</v>
      </c>
      <c r="K210" s="3565">
        <v>10633.51</v>
      </c>
      <c r="L210" s="3565">
        <v>12976.02</v>
      </c>
      <c r="M210" s="3565">
        <v>0</v>
      </c>
      <c r="N210" s="3565">
        <v>0</v>
      </c>
      <c r="O210" s="3563" t="s">
        <v>3453</v>
      </c>
    </row>
    <row r="211" spans="1:15">
      <c r="A211" s="3563" t="s">
        <v>4411</v>
      </c>
      <c r="B211" s="3563" t="s">
        <v>4196</v>
      </c>
      <c r="C211" s="3563" t="s">
        <v>4197</v>
      </c>
      <c r="D211" s="3563" t="s">
        <v>4198</v>
      </c>
      <c r="E211" s="3563" t="s">
        <v>4378</v>
      </c>
      <c r="F211" s="3563" t="s">
        <v>4200</v>
      </c>
      <c r="G211" s="3564">
        <v>96.79</v>
      </c>
      <c r="H211" s="3564">
        <v>79.319999999999993</v>
      </c>
      <c r="I211" s="3564">
        <v>17.47</v>
      </c>
      <c r="J211" s="3565">
        <v>982882</v>
      </c>
      <c r="K211" s="3565">
        <v>10154.790000000001</v>
      </c>
      <c r="L211" s="3565">
        <v>12391.35</v>
      </c>
      <c r="M211" s="3565">
        <v>0</v>
      </c>
      <c r="N211" s="3565">
        <v>0</v>
      </c>
      <c r="O211" s="3563" t="s">
        <v>3453</v>
      </c>
    </row>
    <row r="212" spans="1:15">
      <c r="A212" s="3563" t="s">
        <v>4412</v>
      </c>
      <c r="B212" s="3563" t="s">
        <v>4196</v>
      </c>
      <c r="C212" s="3563" t="s">
        <v>4197</v>
      </c>
      <c r="D212" s="3563" t="s">
        <v>4198</v>
      </c>
      <c r="E212" s="3563" t="s">
        <v>4378</v>
      </c>
      <c r="F212" s="3563" t="s">
        <v>4200</v>
      </c>
      <c r="G212" s="3564">
        <v>96.79</v>
      </c>
      <c r="H212" s="3564">
        <v>79.319999999999993</v>
      </c>
      <c r="I212" s="3564">
        <v>17.47</v>
      </c>
      <c r="J212" s="3565">
        <v>982882</v>
      </c>
      <c r="K212" s="3565">
        <v>10154.790000000001</v>
      </c>
      <c r="L212" s="3565">
        <v>12391.35</v>
      </c>
      <c r="M212" s="3565">
        <v>0</v>
      </c>
      <c r="N212" s="3565">
        <v>0</v>
      </c>
      <c r="O212" s="3563" t="s">
        <v>3453</v>
      </c>
    </row>
    <row r="213" spans="1:15">
      <c r="A213" s="3563" t="s">
        <v>4413</v>
      </c>
      <c r="B213" s="3563" t="s">
        <v>4196</v>
      </c>
      <c r="C213" s="3563" t="s">
        <v>4197</v>
      </c>
      <c r="D213" s="3563" t="s">
        <v>4198</v>
      </c>
      <c r="E213" s="3563" t="s">
        <v>4378</v>
      </c>
      <c r="F213" s="3563" t="s">
        <v>4200</v>
      </c>
      <c r="G213" s="3564">
        <v>106.91</v>
      </c>
      <c r="H213" s="3564">
        <v>87.61</v>
      </c>
      <c r="I213" s="3564">
        <v>19.3</v>
      </c>
      <c r="J213" s="3565">
        <v>1170949</v>
      </c>
      <c r="K213" s="3565">
        <v>10952.66</v>
      </c>
      <c r="L213" s="3565">
        <v>13365.47</v>
      </c>
      <c r="M213" s="3565">
        <v>0</v>
      </c>
      <c r="N213" s="3565">
        <v>0</v>
      </c>
      <c r="O213" s="3563" t="s">
        <v>3453</v>
      </c>
    </row>
    <row r="214" spans="1:15">
      <c r="A214" s="3563" t="s">
        <v>4414</v>
      </c>
      <c r="B214" s="3563" t="s">
        <v>4196</v>
      </c>
      <c r="C214" s="3563" t="s">
        <v>4197</v>
      </c>
      <c r="D214" s="3563" t="s">
        <v>4198</v>
      </c>
      <c r="E214" s="3563" t="s">
        <v>4378</v>
      </c>
      <c r="F214" s="3563" t="s">
        <v>4200</v>
      </c>
      <c r="G214" s="3564">
        <v>106.91</v>
      </c>
      <c r="H214" s="3564">
        <v>87.61</v>
      </c>
      <c r="I214" s="3564">
        <v>19.3</v>
      </c>
      <c r="J214" s="3565">
        <v>1139104</v>
      </c>
      <c r="K214" s="3565">
        <v>10654.79</v>
      </c>
      <c r="L214" s="3565">
        <v>13001.99</v>
      </c>
      <c r="M214" s="3565">
        <v>0</v>
      </c>
      <c r="N214" s="3565">
        <v>0</v>
      </c>
      <c r="O214" s="3563" t="s">
        <v>3453</v>
      </c>
    </row>
    <row r="215" spans="1:15">
      <c r="A215" s="3563" t="s">
        <v>4415</v>
      </c>
      <c r="B215" s="3563" t="s">
        <v>4196</v>
      </c>
      <c r="C215" s="3563" t="s">
        <v>4197</v>
      </c>
      <c r="D215" s="3563" t="s">
        <v>4198</v>
      </c>
      <c r="E215" s="3563" t="s">
        <v>4378</v>
      </c>
      <c r="F215" s="3563" t="s">
        <v>4200</v>
      </c>
      <c r="G215" s="3564">
        <v>96.79</v>
      </c>
      <c r="H215" s="3564">
        <v>79.319999999999993</v>
      </c>
      <c r="I215" s="3564">
        <v>17.47</v>
      </c>
      <c r="J215" s="3565">
        <v>984942</v>
      </c>
      <c r="K215" s="3565">
        <v>10176.07</v>
      </c>
      <c r="L215" s="3565">
        <v>12417.32</v>
      </c>
      <c r="M215" s="3565">
        <v>0</v>
      </c>
      <c r="N215" s="3565">
        <v>0</v>
      </c>
      <c r="O215" s="3563" t="s">
        <v>3453</v>
      </c>
    </row>
    <row r="216" spans="1:15">
      <c r="A216" s="3563" t="s">
        <v>4416</v>
      </c>
      <c r="B216" s="3563" t="s">
        <v>4196</v>
      </c>
      <c r="C216" s="3563" t="s">
        <v>4197</v>
      </c>
      <c r="D216" s="3563" t="s">
        <v>4198</v>
      </c>
      <c r="E216" s="3563" t="s">
        <v>4378</v>
      </c>
      <c r="F216" s="3563" t="s">
        <v>4200</v>
      </c>
      <c r="G216" s="3564">
        <v>96.79</v>
      </c>
      <c r="H216" s="3564">
        <v>79.319999999999993</v>
      </c>
      <c r="I216" s="3564">
        <v>17.47</v>
      </c>
      <c r="J216" s="3565">
        <v>984942</v>
      </c>
      <c r="K216" s="3565">
        <v>10176.07</v>
      </c>
      <c r="L216" s="3565">
        <v>12417.32</v>
      </c>
      <c r="M216" s="3565">
        <v>0</v>
      </c>
      <c r="N216" s="3565">
        <v>0</v>
      </c>
      <c r="O216" s="3563" t="s">
        <v>3453</v>
      </c>
    </row>
    <row r="217" spans="1:15">
      <c r="A217" s="3563" t="s">
        <v>4417</v>
      </c>
      <c r="B217" s="3563" t="s">
        <v>4196</v>
      </c>
      <c r="C217" s="3563" t="s">
        <v>4197</v>
      </c>
      <c r="D217" s="3563" t="s">
        <v>4198</v>
      </c>
      <c r="E217" s="3563" t="s">
        <v>4378</v>
      </c>
      <c r="F217" s="3563" t="s">
        <v>4200</v>
      </c>
      <c r="G217" s="3564">
        <v>106.91</v>
      </c>
      <c r="H217" s="3564">
        <v>87.61</v>
      </c>
      <c r="I217" s="3564">
        <v>19.3</v>
      </c>
      <c r="J217" s="3565">
        <v>1173224</v>
      </c>
      <c r="K217" s="3565">
        <v>10973.94</v>
      </c>
      <c r="L217" s="3565">
        <v>13391.44</v>
      </c>
      <c r="M217" s="3565">
        <v>0</v>
      </c>
      <c r="N217" s="3565">
        <v>0</v>
      </c>
      <c r="O217" s="3563" t="s">
        <v>3453</v>
      </c>
    </row>
    <row r="218" spans="1:15">
      <c r="A218" s="3563" t="s">
        <v>4418</v>
      </c>
      <c r="B218" s="3563" t="s">
        <v>4196</v>
      </c>
      <c r="C218" s="3563" t="s">
        <v>4197</v>
      </c>
      <c r="D218" s="3563" t="s">
        <v>4198</v>
      </c>
      <c r="E218" s="3563" t="s">
        <v>4378</v>
      </c>
      <c r="F218" s="3563" t="s">
        <v>4200</v>
      </c>
      <c r="G218" s="3564">
        <v>106.91</v>
      </c>
      <c r="H218" s="3564">
        <v>87.61</v>
      </c>
      <c r="I218" s="3564">
        <v>19.3</v>
      </c>
      <c r="J218" s="3565">
        <v>1136829</v>
      </c>
      <c r="K218" s="3565">
        <v>10633.51</v>
      </c>
      <c r="L218" s="3565">
        <v>12976.02</v>
      </c>
      <c r="M218" s="3565">
        <v>0</v>
      </c>
      <c r="N218" s="3565">
        <v>0</v>
      </c>
      <c r="O218" s="3563" t="s">
        <v>3453</v>
      </c>
    </row>
    <row r="219" spans="1:15">
      <c r="A219" s="3563" t="s">
        <v>4419</v>
      </c>
      <c r="B219" s="3563" t="s">
        <v>4196</v>
      </c>
      <c r="C219" s="3563" t="s">
        <v>4197</v>
      </c>
      <c r="D219" s="3563" t="s">
        <v>4198</v>
      </c>
      <c r="E219" s="3563" t="s">
        <v>4378</v>
      </c>
      <c r="F219" s="3563" t="s">
        <v>4200</v>
      </c>
      <c r="G219" s="3564">
        <v>96.79</v>
      </c>
      <c r="H219" s="3564">
        <v>79.319999999999993</v>
      </c>
      <c r="I219" s="3564">
        <v>17.47</v>
      </c>
      <c r="J219" s="3565">
        <v>982882</v>
      </c>
      <c r="K219" s="3565">
        <v>10154.790000000001</v>
      </c>
      <c r="L219" s="3565">
        <v>12391.35</v>
      </c>
      <c r="M219" s="3565">
        <v>0</v>
      </c>
      <c r="N219" s="3565">
        <v>0</v>
      </c>
      <c r="O219" s="3563" t="s">
        <v>3453</v>
      </c>
    </row>
    <row r="220" spans="1:15">
      <c r="A220" s="3563" t="s">
        <v>4420</v>
      </c>
      <c r="B220" s="3563" t="s">
        <v>4196</v>
      </c>
      <c r="C220" s="3563" t="s">
        <v>4197</v>
      </c>
      <c r="D220" s="3563" t="s">
        <v>4198</v>
      </c>
      <c r="E220" s="3563" t="s">
        <v>4378</v>
      </c>
      <c r="F220" s="3563" t="s">
        <v>4200</v>
      </c>
      <c r="G220" s="3564">
        <v>96.79</v>
      </c>
      <c r="H220" s="3564">
        <v>79.319999999999993</v>
      </c>
      <c r="I220" s="3564">
        <v>17.47</v>
      </c>
      <c r="J220" s="3565">
        <v>982882</v>
      </c>
      <c r="K220" s="3565">
        <v>10154.790000000001</v>
      </c>
      <c r="L220" s="3565">
        <v>12391.35</v>
      </c>
      <c r="M220" s="3565">
        <v>0</v>
      </c>
      <c r="N220" s="3565">
        <v>0</v>
      </c>
      <c r="O220" s="3563" t="s">
        <v>3453</v>
      </c>
    </row>
    <row r="221" spans="1:15">
      <c r="A221" s="3563" t="s">
        <v>4421</v>
      </c>
      <c r="B221" s="3563" t="s">
        <v>4196</v>
      </c>
      <c r="C221" s="3563" t="s">
        <v>4197</v>
      </c>
      <c r="D221" s="3563" t="s">
        <v>4198</v>
      </c>
      <c r="E221" s="3563" t="s">
        <v>4378</v>
      </c>
      <c r="F221" s="3563" t="s">
        <v>4200</v>
      </c>
      <c r="G221" s="3564">
        <v>106.91</v>
      </c>
      <c r="H221" s="3564">
        <v>87.61</v>
      </c>
      <c r="I221" s="3564">
        <v>19.3</v>
      </c>
      <c r="J221" s="3565">
        <v>1170949</v>
      </c>
      <c r="K221" s="3565">
        <v>10952.66</v>
      </c>
      <c r="L221" s="3565">
        <v>13365.47</v>
      </c>
      <c r="M221" s="3565">
        <v>0</v>
      </c>
      <c r="N221" s="3565">
        <v>0</v>
      </c>
      <c r="O221" s="3563" t="s">
        <v>3453</v>
      </c>
    </row>
    <row r="222" spans="1:15">
      <c r="A222" s="3563" t="s">
        <v>4422</v>
      </c>
      <c r="B222" s="3563" t="s">
        <v>4196</v>
      </c>
      <c r="C222" s="3563" t="s">
        <v>4197</v>
      </c>
      <c r="D222" s="3563" t="s">
        <v>4198</v>
      </c>
      <c r="E222" s="3563" t="s">
        <v>4423</v>
      </c>
      <c r="F222" s="3563" t="s">
        <v>4200</v>
      </c>
      <c r="G222" s="3564">
        <v>89.05</v>
      </c>
      <c r="H222" s="3564">
        <v>74.14</v>
      </c>
      <c r="I222" s="3564">
        <v>14.91</v>
      </c>
      <c r="J222" s="3565">
        <v>897653</v>
      </c>
      <c r="K222" s="3565">
        <v>10080.33</v>
      </c>
      <c r="L222" s="3565">
        <v>12107.54</v>
      </c>
      <c r="M222" s="3565">
        <v>0</v>
      </c>
      <c r="N222" s="3565">
        <v>0</v>
      </c>
      <c r="O222" s="3563" t="s">
        <v>3453</v>
      </c>
    </row>
    <row r="223" spans="1:15">
      <c r="A223" s="3563" t="s">
        <v>4424</v>
      </c>
      <c r="B223" s="3563" t="s">
        <v>4196</v>
      </c>
      <c r="C223" s="3563" t="s">
        <v>4197</v>
      </c>
      <c r="D223" s="3563" t="s">
        <v>4198</v>
      </c>
      <c r="E223" s="3563" t="s">
        <v>4423</v>
      </c>
      <c r="F223" s="3563" t="s">
        <v>4200</v>
      </c>
      <c r="G223" s="3564">
        <v>95.27</v>
      </c>
      <c r="H223" s="3564">
        <v>79.319999999999993</v>
      </c>
      <c r="I223" s="3564">
        <v>15.95</v>
      </c>
      <c r="J223" s="3565">
        <v>934002</v>
      </c>
      <c r="K223" s="3565">
        <v>9803.74</v>
      </c>
      <c r="L223" s="3565">
        <v>11775.11</v>
      </c>
      <c r="M223" s="3565">
        <v>0</v>
      </c>
      <c r="N223" s="3565">
        <v>0</v>
      </c>
      <c r="O223" s="3563" t="s">
        <v>3453</v>
      </c>
    </row>
    <row r="224" spans="1:15">
      <c r="A224" s="3563" t="s">
        <v>4425</v>
      </c>
      <c r="B224" s="3563" t="s">
        <v>4196</v>
      </c>
      <c r="C224" s="3563" t="s">
        <v>4197</v>
      </c>
      <c r="D224" s="3563" t="s">
        <v>4198</v>
      </c>
      <c r="E224" s="3563" t="s">
        <v>4423</v>
      </c>
      <c r="F224" s="3563" t="s">
        <v>4200</v>
      </c>
      <c r="G224" s="3564">
        <v>95.27</v>
      </c>
      <c r="H224" s="3564">
        <v>79.319999999999993</v>
      </c>
      <c r="I224" s="3564">
        <v>15.95</v>
      </c>
      <c r="J224" s="3565">
        <v>934002</v>
      </c>
      <c r="K224" s="3565">
        <v>9803.74</v>
      </c>
      <c r="L224" s="3565">
        <v>11775.11</v>
      </c>
      <c r="M224" s="3565">
        <v>0</v>
      </c>
      <c r="N224" s="3565">
        <v>0</v>
      </c>
      <c r="O224" s="3563" t="s">
        <v>3453</v>
      </c>
    </row>
    <row r="225" spans="1:15">
      <c r="A225" s="3563" t="s">
        <v>4426</v>
      </c>
      <c r="B225" s="3563" t="s">
        <v>4196</v>
      </c>
      <c r="C225" s="3563" t="s">
        <v>4197</v>
      </c>
      <c r="D225" s="3563" t="s">
        <v>4198</v>
      </c>
      <c r="E225" s="3563" t="s">
        <v>4423</v>
      </c>
      <c r="F225" s="3563" t="s">
        <v>4200</v>
      </c>
      <c r="G225" s="3564">
        <v>89.05</v>
      </c>
      <c r="H225" s="3564">
        <v>74.14</v>
      </c>
      <c r="I225" s="3564">
        <v>14.91</v>
      </c>
      <c r="J225" s="3565">
        <v>907126</v>
      </c>
      <c r="K225" s="3565">
        <v>10186.700000000001</v>
      </c>
      <c r="L225" s="3565">
        <v>12235.31</v>
      </c>
      <c r="M225" s="3565">
        <v>0</v>
      </c>
      <c r="N225" s="3565">
        <v>0</v>
      </c>
      <c r="O225" s="3563" t="s">
        <v>3453</v>
      </c>
    </row>
    <row r="226" spans="1:15">
      <c r="A226" s="3563" t="s">
        <v>4427</v>
      </c>
      <c r="B226" s="3563" t="s">
        <v>4196</v>
      </c>
      <c r="C226" s="3563" t="s">
        <v>4197</v>
      </c>
      <c r="D226" s="3563" t="s">
        <v>4198</v>
      </c>
      <c r="E226" s="3563" t="s">
        <v>4423</v>
      </c>
      <c r="F226" s="3563" t="s">
        <v>4200</v>
      </c>
      <c r="G226" s="3564">
        <v>108</v>
      </c>
      <c r="H226" s="3564">
        <v>87.26</v>
      </c>
      <c r="I226" s="3564">
        <v>20.74</v>
      </c>
      <c r="J226" s="3565">
        <v>1157611</v>
      </c>
      <c r="K226" s="3565">
        <v>10718.62</v>
      </c>
      <c r="L226" s="3565">
        <v>13266.23</v>
      </c>
      <c r="M226" s="3565">
        <v>0</v>
      </c>
      <c r="N226" s="3565">
        <v>0</v>
      </c>
      <c r="O226" s="3563" t="s">
        <v>3453</v>
      </c>
    </row>
    <row r="227" spans="1:15">
      <c r="A227" s="3563" t="s">
        <v>4428</v>
      </c>
      <c r="B227" s="3563" t="s">
        <v>4196</v>
      </c>
      <c r="C227" s="3563" t="s">
        <v>4197</v>
      </c>
      <c r="D227" s="3563" t="s">
        <v>4198</v>
      </c>
      <c r="E227" s="3563" t="s">
        <v>4423</v>
      </c>
      <c r="F227" s="3563" t="s">
        <v>4200</v>
      </c>
      <c r="G227" s="3564">
        <v>98.17</v>
      </c>
      <c r="H227" s="3564">
        <v>79.319999999999993</v>
      </c>
      <c r="I227" s="3564">
        <v>18.850000000000001</v>
      </c>
      <c r="J227" s="3565">
        <v>1005250</v>
      </c>
      <c r="K227" s="3565">
        <v>10239.89</v>
      </c>
      <c r="L227" s="3565">
        <v>12673.35</v>
      </c>
      <c r="M227" s="3565">
        <v>0</v>
      </c>
      <c r="N227" s="3565">
        <v>0</v>
      </c>
      <c r="O227" s="3563" t="s">
        <v>3453</v>
      </c>
    </row>
    <row r="228" spans="1:15">
      <c r="A228" s="3563" t="s">
        <v>4429</v>
      </c>
      <c r="B228" s="3563" t="s">
        <v>4196</v>
      </c>
      <c r="C228" s="3563" t="s">
        <v>4197</v>
      </c>
      <c r="D228" s="3563" t="s">
        <v>4198</v>
      </c>
      <c r="E228" s="3563" t="s">
        <v>4423</v>
      </c>
      <c r="F228" s="3563" t="s">
        <v>4200</v>
      </c>
      <c r="G228" s="3564">
        <v>98.17</v>
      </c>
      <c r="H228" s="3564">
        <v>79.319999999999993</v>
      </c>
      <c r="I228" s="3564">
        <v>18.850000000000001</v>
      </c>
      <c r="J228" s="3565">
        <v>1005250</v>
      </c>
      <c r="K228" s="3565">
        <v>10239.89</v>
      </c>
      <c r="L228" s="3565">
        <v>12673.35</v>
      </c>
      <c r="M228" s="3565">
        <v>0</v>
      </c>
      <c r="N228" s="3565">
        <v>0</v>
      </c>
      <c r="O228" s="3563" t="s">
        <v>3453</v>
      </c>
    </row>
    <row r="229" spans="1:15">
      <c r="A229" s="3563" t="s">
        <v>4430</v>
      </c>
      <c r="B229" s="3563" t="s">
        <v>4196</v>
      </c>
      <c r="C229" s="3563" t="s">
        <v>4197</v>
      </c>
      <c r="D229" s="3563" t="s">
        <v>4198</v>
      </c>
      <c r="E229" s="3563" t="s">
        <v>4423</v>
      </c>
      <c r="F229" s="3563" t="s">
        <v>4200</v>
      </c>
      <c r="G229" s="3564">
        <v>108</v>
      </c>
      <c r="H229" s="3564">
        <v>87.26</v>
      </c>
      <c r="I229" s="3564">
        <v>20.74</v>
      </c>
      <c r="J229" s="3565">
        <v>1157611</v>
      </c>
      <c r="K229" s="3565">
        <v>10718.62</v>
      </c>
      <c r="L229" s="3565">
        <v>13266.23</v>
      </c>
      <c r="M229" s="3565">
        <v>0</v>
      </c>
      <c r="N229" s="3565">
        <v>0</v>
      </c>
      <c r="O229" s="3563" t="s">
        <v>3453</v>
      </c>
    </row>
    <row r="230" spans="1:15">
      <c r="A230" s="3563" t="s">
        <v>4431</v>
      </c>
      <c r="B230" s="3563" t="s">
        <v>4196</v>
      </c>
      <c r="C230" s="3563" t="s">
        <v>4197</v>
      </c>
      <c r="D230" s="3563" t="s">
        <v>4198</v>
      </c>
      <c r="E230" s="3563" t="s">
        <v>4423</v>
      </c>
      <c r="F230" s="3563" t="s">
        <v>4200</v>
      </c>
      <c r="G230" s="3564">
        <v>108</v>
      </c>
      <c r="H230" s="3564">
        <v>87.26</v>
      </c>
      <c r="I230" s="3564">
        <v>20.74</v>
      </c>
      <c r="J230" s="3565">
        <v>1155313</v>
      </c>
      <c r="K230" s="3565">
        <v>10697.34</v>
      </c>
      <c r="L230" s="3565">
        <v>13239.89</v>
      </c>
      <c r="M230" s="3565">
        <v>0</v>
      </c>
      <c r="N230" s="3565">
        <v>0</v>
      </c>
      <c r="O230" s="3563" t="s">
        <v>3453</v>
      </c>
    </row>
    <row r="231" spans="1:15">
      <c r="A231" s="3563" t="s">
        <v>4432</v>
      </c>
      <c r="B231" s="3563" t="s">
        <v>4196</v>
      </c>
      <c r="C231" s="3563" t="s">
        <v>4197</v>
      </c>
      <c r="D231" s="3563" t="s">
        <v>4198</v>
      </c>
      <c r="E231" s="3563" t="s">
        <v>4423</v>
      </c>
      <c r="F231" s="3563" t="s">
        <v>4200</v>
      </c>
      <c r="G231" s="3564">
        <v>98.17</v>
      </c>
      <c r="H231" s="3564">
        <v>79.319999999999993</v>
      </c>
      <c r="I231" s="3564">
        <v>18.850000000000001</v>
      </c>
      <c r="J231" s="3565">
        <v>1003162</v>
      </c>
      <c r="K231" s="3565">
        <v>10218.620000000001</v>
      </c>
      <c r="L231" s="3565">
        <v>12647.02</v>
      </c>
      <c r="M231" s="3565">
        <v>0</v>
      </c>
      <c r="N231" s="3565">
        <v>0</v>
      </c>
      <c r="O231" s="3563" t="s">
        <v>3453</v>
      </c>
    </row>
    <row r="232" spans="1:15">
      <c r="A232" s="3563" t="s">
        <v>4433</v>
      </c>
      <c r="B232" s="3563" t="s">
        <v>4196</v>
      </c>
      <c r="C232" s="3563" t="s">
        <v>4197</v>
      </c>
      <c r="D232" s="3563" t="s">
        <v>4198</v>
      </c>
      <c r="E232" s="3563" t="s">
        <v>4423</v>
      </c>
      <c r="F232" s="3563" t="s">
        <v>4200</v>
      </c>
      <c r="G232" s="3564">
        <v>98.17</v>
      </c>
      <c r="H232" s="3564">
        <v>79.319999999999993</v>
      </c>
      <c r="I232" s="3564">
        <v>18.850000000000001</v>
      </c>
      <c r="J232" s="3565">
        <v>1003162</v>
      </c>
      <c r="K232" s="3565">
        <v>10218.620000000001</v>
      </c>
      <c r="L232" s="3565">
        <v>12647.02</v>
      </c>
      <c r="M232" s="3565">
        <v>0</v>
      </c>
      <c r="N232" s="3565">
        <v>0</v>
      </c>
      <c r="O232" s="3563" t="s">
        <v>3453</v>
      </c>
    </row>
    <row r="233" spans="1:15">
      <c r="A233" s="3563" t="s">
        <v>4434</v>
      </c>
      <c r="B233" s="3563" t="s">
        <v>4196</v>
      </c>
      <c r="C233" s="3563" t="s">
        <v>4197</v>
      </c>
      <c r="D233" s="3563" t="s">
        <v>4198</v>
      </c>
      <c r="E233" s="3563" t="s">
        <v>4423</v>
      </c>
      <c r="F233" s="3563" t="s">
        <v>4200</v>
      </c>
      <c r="G233" s="3564">
        <v>108</v>
      </c>
      <c r="H233" s="3564">
        <v>87.26</v>
      </c>
      <c r="I233" s="3564">
        <v>20.74</v>
      </c>
      <c r="J233" s="3565">
        <v>1155313</v>
      </c>
      <c r="K233" s="3565">
        <v>10697.34</v>
      </c>
      <c r="L233" s="3565">
        <v>13239.89</v>
      </c>
      <c r="M233" s="3565">
        <v>0</v>
      </c>
      <c r="N233" s="3565">
        <v>0</v>
      </c>
      <c r="O233" s="3563" t="s">
        <v>3453</v>
      </c>
    </row>
    <row r="234" spans="1:15">
      <c r="A234" s="3563" t="s">
        <v>4435</v>
      </c>
      <c r="B234" s="3563" t="s">
        <v>4196</v>
      </c>
      <c r="C234" s="3563" t="s">
        <v>4197</v>
      </c>
      <c r="D234" s="3563" t="s">
        <v>4198</v>
      </c>
      <c r="E234" s="3563" t="s">
        <v>4423</v>
      </c>
      <c r="F234" s="3563" t="s">
        <v>4200</v>
      </c>
      <c r="G234" s="3564">
        <v>108</v>
      </c>
      <c r="H234" s="3564">
        <v>87.26</v>
      </c>
      <c r="I234" s="3564">
        <v>20.74</v>
      </c>
      <c r="J234" s="3565">
        <v>1118547</v>
      </c>
      <c r="K234" s="3565">
        <v>10356.92</v>
      </c>
      <c r="L234" s="3565">
        <v>12818.55</v>
      </c>
      <c r="M234" s="3565">
        <v>0</v>
      </c>
      <c r="N234" s="3565">
        <v>0</v>
      </c>
      <c r="O234" s="3563" t="s">
        <v>3453</v>
      </c>
    </row>
    <row r="235" spans="1:15">
      <c r="A235" s="3563" t="s">
        <v>4436</v>
      </c>
      <c r="B235" s="3563" t="s">
        <v>4196</v>
      </c>
      <c r="C235" s="3563" t="s">
        <v>4197</v>
      </c>
      <c r="D235" s="3563" t="s">
        <v>4198</v>
      </c>
      <c r="E235" s="3563" t="s">
        <v>4423</v>
      </c>
      <c r="F235" s="3563" t="s">
        <v>4200</v>
      </c>
      <c r="G235" s="3564">
        <v>98.17</v>
      </c>
      <c r="H235" s="3564">
        <v>79.319999999999993</v>
      </c>
      <c r="I235" s="3564">
        <v>18.850000000000001</v>
      </c>
      <c r="J235" s="3565">
        <v>969743</v>
      </c>
      <c r="K235" s="3565">
        <v>9878.2000000000007</v>
      </c>
      <c r="L235" s="3565">
        <v>12225.71</v>
      </c>
      <c r="M235" s="3565">
        <v>0</v>
      </c>
      <c r="N235" s="3565">
        <v>0</v>
      </c>
      <c r="O235" s="3563" t="s">
        <v>3453</v>
      </c>
    </row>
    <row r="236" spans="1:15">
      <c r="A236" s="3563" t="s">
        <v>4437</v>
      </c>
      <c r="B236" s="3563" t="s">
        <v>4196</v>
      </c>
      <c r="C236" s="3563" t="s">
        <v>4197</v>
      </c>
      <c r="D236" s="3563" t="s">
        <v>4198</v>
      </c>
      <c r="E236" s="3563" t="s">
        <v>4423</v>
      </c>
      <c r="F236" s="3563" t="s">
        <v>4200</v>
      </c>
      <c r="G236" s="3564">
        <v>98.17</v>
      </c>
      <c r="H236" s="3564">
        <v>79.319999999999993</v>
      </c>
      <c r="I236" s="3564">
        <v>18.850000000000001</v>
      </c>
      <c r="J236" s="3565">
        <v>969743</v>
      </c>
      <c r="K236" s="3565">
        <v>9878.2000000000007</v>
      </c>
      <c r="L236" s="3565">
        <v>12225.71</v>
      </c>
      <c r="M236" s="3565">
        <v>0</v>
      </c>
      <c r="N236" s="3565">
        <v>0</v>
      </c>
      <c r="O236" s="3563" t="s">
        <v>3453</v>
      </c>
    </row>
    <row r="237" spans="1:15">
      <c r="A237" s="3563" t="s">
        <v>4438</v>
      </c>
      <c r="B237" s="3563" t="s">
        <v>4196</v>
      </c>
      <c r="C237" s="3563" t="s">
        <v>4197</v>
      </c>
      <c r="D237" s="3563" t="s">
        <v>4198</v>
      </c>
      <c r="E237" s="3563" t="s">
        <v>4423</v>
      </c>
      <c r="F237" s="3563" t="s">
        <v>4200</v>
      </c>
      <c r="G237" s="3564">
        <v>108</v>
      </c>
      <c r="H237" s="3564">
        <v>87.26</v>
      </c>
      <c r="I237" s="3564">
        <v>20.74</v>
      </c>
      <c r="J237" s="3565">
        <v>1118547</v>
      </c>
      <c r="K237" s="3565">
        <v>10356.92</v>
      </c>
      <c r="L237" s="3565">
        <v>12818.55</v>
      </c>
      <c r="M237" s="3565">
        <v>0</v>
      </c>
      <c r="N237" s="3565">
        <v>0</v>
      </c>
      <c r="O237" s="3563" t="s">
        <v>3453</v>
      </c>
    </row>
    <row r="238" spans="1:15">
      <c r="A238" s="3563" t="s">
        <v>4439</v>
      </c>
      <c r="B238" s="3563" t="s">
        <v>4196</v>
      </c>
      <c r="C238" s="3563" t="s">
        <v>4197</v>
      </c>
      <c r="D238" s="3563" t="s">
        <v>4198</v>
      </c>
      <c r="E238" s="3563" t="s">
        <v>4423</v>
      </c>
      <c r="F238" s="3563" t="s">
        <v>4200</v>
      </c>
      <c r="G238" s="3564">
        <v>95.07</v>
      </c>
      <c r="H238" s="3564">
        <v>76.66</v>
      </c>
      <c r="I238" s="3564">
        <v>18.41</v>
      </c>
      <c r="J238" s="3565">
        <v>970473</v>
      </c>
      <c r="K238" s="3565">
        <v>10207.98</v>
      </c>
      <c r="L238" s="3565">
        <v>12659.44</v>
      </c>
      <c r="M238" s="3565">
        <v>0</v>
      </c>
      <c r="N238" s="3565">
        <v>0</v>
      </c>
      <c r="O238" s="3563" t="s">
        <v>3453</v>
      </c>
    </row>
    <row r="239" spans="1:15">
      <c r="A239" s="3563" t="s">
        <v>4440</v>
      </c>
      <c r="B239" s="3563" t="s">
        <v>4196</v>
      </c>
      <c r="C239" s="3563" t="s">
        <v>4197</v>
      </c>
      <c r="D239" s="3563" t="s">
        <v>4198</v>
      </c>
      <c r="E239" s="3563" t="s">
        <v>4423</v>
      </c>
      <c r="F239" s="3563" t="s">
        <v>4200</v>
      </c>
      <c r="G239" s="3564">
        <v>98.37</v>
      </c>
      <c r="H239" s="3564">
        <v>79.319999999999993</v>
      </c>
      <c r="I239" s="3564">
        <v>19.05</v>
      </c>
      <c r="J239" s="3565">
        <v>964393</v>
      </c>
      <c r="K239" s="3565">
        <v>9803.73</v>
      </c>
      <c r="L239" s="3565">
        <v>12158.26</v>
      </c>
      <c r="M239" s="3565">
        <v>0</v>
      </c>
      <c r="N239" s="3565">
        <v>0</v>
      </c>
      <c r="O239" s="3563" t="s">
        <v>3453</v>
      </c>
    </row>
    <row r="240" spans="1:15">
      <c r="A240" s="3563" t="s">
        <v>4441</v>
      </c>
      <c r="B240" s="3563" t="s">
        <v>4196</v>
      </c>
      <c r="C240" s="3563" t="s">
        <v>4197</v>
      </c>
      <c r="D240" s="3563" t="s">
        <v>4198</v>
      </c>
      <c r="E240" s="3563" t="s">
        <v>4423</v>
      </c>
      <c r="F240" s="3563" t="s">
        <v>4200</v>
      </c>
      <c r="G240" s="3564">
        <v>98.37</v>
      </c>
      <c r="H240" s="3564">
        <v>79.319999999999993</v>
      </c>
      <c r="I240" s="3564">
        <v>19.05</v>
      </c>
      <c r="J240" s="3565">
        <v>964393</v>
      </c>
      <c r="K240" s="3565">
        <v>9803.73</v>
      </c>
      <c r="L240" s="3565">
        <v>12158.26</v>
      </c>
      <c r="M240" s="3565">
        <v>0</v>
      </c>
      <c r="N240" s="3565">
        <v>0</v>
      </c>
      <c r="O240" s="3563" t="s">
        <v>3453</v>
      </c>
    </row>
    <row r="241" spans="1:15">
      <c r="A241" s="3563" t="s">
        <v>4442</v>
      </c>
      <c r="B241" s="3563" t="s">
        <v>4196</v>
      </c>
      <c r="C241" s="3563" t="s">
        <v>4197</v>
      </c>
      <c r="D241" s="3563" t="s">
        <v>4198</v>
      </c>
      <c r="E241" s="3563" t="s">
        <v>4423</v>
      </c>
      <c r="F241" s="3563" t="s">
        <v>4200</v>
      </c>
      <c r="G241" s="3564">
        <v>95.07</v>
      </c>
      <c r="H241" s="3564">
        <v>76.66</v>
      </c>
      <c r="I241" s="3564">
        <v>18.41</v>
      </c>
      <c r="J241" s="3565">
        <v>980587</v>
      </c>
      <c r="K241" s="3565">
        <v>10314.370000000001</v>
      </c>
      <c r="L241" s="3565">
        <v>12791.38</v>
      </c>
      <c r="M241" s="3565">
        <v>0</v>
      </c>
      <c r="N241" s="3565">
        <v>0</v>
      </c>
      <c r="O241" s="3563" t="s">
        <v>3453</v>
      </c>
    </row>
    <row r="242" spans="1:15">
      <c r="A242" s="3563" t="s">
        <v>4443</v>
      </c>
      <c r="B242" s="3563" t="s">
        <v>4196</v>
      </c>
      <c r="C242" s="3563" t="s">
        <v>4197</v>
      </c>
      <c r="D242" s="3563" t="s">
        <v>4198</v>
      </c>
      <c r="E242" s="3563" t="s">
        <v>4423</v>
      </c>
      <c r="F242" s="3563" t="s">
        <v>4200</v>
      </c>
      <c r="G242" s="3564">
        <v>108</v>
      </c>
      <c r="H242" s="3564">
        <v>87.26</v>
      </c>
      <c r="I242" s="3564">
        <v>20.74</v>
      </c>
      <c r="J242" s="3565">
        <v>1116249</v>
      </c>
      <c r="K242" s="3565">
        <v>10335.64</v>
      </c>
      <c r="L242" s="3565">
        <v>12792.22</v>
      </c>
      <c r="M242" s="3565">
        <v>0</v>
      </c>
      <c r="N242" s="3565">
        <v>0</v>
      </c>
      <c r="O242" s="3563" t="s">
        <v>3453</v>
      </c>
    </row>
    <row r="243" spans="1:15">
      <c r="A243" s="3563" t="s">
        <v>4444</v>
      </c>
      <c r="B243" s="3563" t="s">
        <v>4196</v>
      </c>
      <c r="C243" s="3563" t="s">
        <v>4197</v>
      </c>
      <c r="D243" s="3563" t="s">
        <v>4198</v>
      </c>
      <c r="E243" s="3563" t="s">
        <v>4423</v>
      </c>
      <c r="F243" s="3563" t="s">
        <v>4200</v>
      </c>
      <c r="G243" s="3564">
        <v>98.17</v>
      </c>
      <c r="H243" s="3564">
        <v>79.319999999999993</v>
      </c>
      <c r="I243" s="3564">
        <v>18.850000000000001</v>
      </c>
      <c r="J243" s="3565">
        <v>962432</v>
      </c>
      <c r="K243" s="3565">
        <v>9803.73</v>
      </c>
      <c r="L243" s="3565">
        <v>12133.54</v>
      </c>
      <c r="M243" s="3565">
        <v>0</v>
      </c>
      <c r="N243" s="3565">
        <v>0</v>
      </c>
      <c r="O243" s="3563" t="s">
        <v>3453</v>
      </c>
    </row>
    <row r="244" spans="1:15">
      <c r="A244" s="3563" t="s">
        <v>4445</v>
      </c>
      <c r="B244" s="3563" t="s">
        <v>4196</v>
      </c>
      <c r="C244" s="3563" t="s">
        <v>4197</v>
      </c>
      <c r="D244" s="3563" t="s">
        <v>4198</v>
      </c>
      <c r="E244" s="3563" t="s">
        <v>4423</v>
      </c>
      <c r="F244" s="3563" t="s">
        <v>4200</v>
      </c>
      <c r="G244" s="3564">
        <v>98.17</v>
      </c>
      <c r="H244" s="3564">
        <v>79.319999999999993</v>
      </c>
      <c r="I244" s="3564">
        <v>18.850000000000001</v>
      </c>
      <c r="J244" s="3565">
        <v>962432</v>
      </c>
      <c r="K244" s="3565">
        <v>9803.73</v>
      </c>
      <c r="L244" s="3565">
        <v>12133.54</v>
      </c>
      <c r="M244" s="3565">
        <v>0</v>
      </c>
      <c r="N244" s="3565">
        <v>0</v>
      </c>
      <c r="O244" s="3563" t="s">
        <v>3453</v>
      </c>
    </row>
    <row r="245" spans="1:15">
      <c r="A245" s="3563" t="s">
        <v>4446</v>
      </c>
      <c r="B245" s="3563" t="s">
        <v>4196</v>
      </c>
      <c r="C245" s="3563" t="s">
        <v>4197</v>
      </c>
      <c r="D245" s="3563" t="s">
        <v>4198</v>
      </c>
      <c r="E245" s="3563" t="s">
        <v>4423</v>
      </c>
      <c r="F245" s="3563" t="s">
        <v>4200</v>
      </c>
      <c r="G245" s="3564">
        <v>108</v>
      </c>
      <c r="H245" s="3564">
        <v>87.26</v>
      </c>
      <c r="I245" s="3564">
        <v>20.74</v>
      </c>
      <c r="J245" s="3565">
        <v>1127739</v>
      </c>
      <c r="K245" s="3565">
        <v>10442.030000000001</v>
      </c>
      <c r="L245" s="3565">
        <v>12923.89</v>
      </c>
      <c r="M245" s="3565">
        <v>0</v>
      </c>
      <c r="N245" s="3565">
        <v>0</v>
      </c>
      <c r="O245" s="3563" t="s">
        <v>3453</v>
      </c>
    </row>
    <row r="246" spans="1:15">
      <c r="A246" s="3563" t="s">
        <v>4447</v>
      </c>
      <c r="B246" s="3563" t="s">
        <v>4196</v>
      </c>
      <c r="C246" s="3563" t="s">
        <v>4197</v>
      </c>
      <c r="D246" s="3563" t="s">
        <v>4198</v>
      </c>
      <c r="E246" s="3563" t="s">
        <v>4423</v>
      </c>
      <c r="F246" s="3563" t="s">
        <v>4200</v>
      </c>
      <c r="G246" s="3564">
        <v>108</v>
      </c>
      <c r="H246" s="3564">
        <v>87.26</v>
      </c>
      <c r="I246" s="3564">
        <v>20.74</v>
      </c>
      <c r="J246" s="3565">
        <v>1130037</v>
      </c>
      <c r="K246" s="3565">
        <v>10463.31</v>
      </c>
      <c r="L246" s="3565">
        <v>12950.23</v>
      </c>
      <c r="M246" s="3565">
        <v>0</v>
      </c>
      <c r="N246" s="3565">
        <v>0</v>
      </c>
      <c r="O246" s="3563" t="s">
        <v>3453</v>
      </c>
    </row>
    <row r="247" spans="1:15">
      <c r="A247" s="3563" t="s">
        <v>4448</v>
      </c>
      <c r="B247" s="3563" t="s">
        <v>4196</v>
      </c>
      <c r="C247" s="3563" t="s">
        <v>4197</v>
      </c>
      <c r="D247" s="3563" t="s">
        <v>4198</v>
      </c>
      <c r="E247" s="3563" t="s">
        <v>4423</v>
      </c>
      <c r="F247" s="3563" t="s">
        <v>4200</v>
      </c>
      <c r="G247" s="3564">
        <v>98.17</v>
      </c>
      <c r="H247" s="3564">
        <v>79.319999999999993</v>
      </c>
      <c r="I247" s="3564">
        <v>18.850000000000001</v>
      </c>
      <c r="J247" s="3565">
        <v>969743</v>
      </c>
      <c r="K247" s="3565">
        <v>9878.2000000000007</v>
      </c>
      <c r="L247" s="3565">
        <v>12225.71</v>
      </c>
      <c r="M247" s="3565">
        <v>0</v>
      </c>
      <c r="N247" s="3565">
        <v>0</v>
      </c>
      <c r="O247" s="3563" t="s">
        <v>3453</v>
      </c>
    </row>
    <row r="248" spans="1:15">
      <c r="A248" s="3563" t="s">
        <v>4449</v>
      </c>
      <c r="B248" s="3563" t="s">
        <v>4196</v>
      </c>
      <c r="C248" s="3563" t="s">
        <v>4197</v>
      </c>
      <c r="D248" s="3563" t="s">
        <v>4198</v>
      </c>
      <c r="E248" s="3563" t="s">
        <v>4423</v>
      </c>
      <c r="F248" s="3563" t="s">
        <v>4200</v>
      </c>
      <c r="G248" s="3564">
        <v>98.17</v>
      </c>
      <c r="H248" s="3564">
        <v>79.319999999999993</v>
      </c>
      <c r="I248" s="3564">
        <v>18.850000000000001</v>
      </c>
      <c r="J248" s="3565">
        <v>969743</v>
      </c>
      <c r="K248" s="3565">
        <v>9878.2000000000007</v>
      </c>
      <c r="L248" s="3565">
        <v>12225.71</v>
      </c>
      <c r="M248" s="3565">
        <v>0</v>
      </c>
      <c r="N248" s="3565">
        <v>0</v>
      </c>
      <c r="O248" s="3563" t="s">
        <v>3453</v>
      </c>
    </row>
    <row r="249" spans="1:15">
      <c r="A249" s="3563" t="s">
        <v>4450</v>
      </c>
      <c r="B249" s="3563" t="s">
        <v>4196</v>
      </c>
      <c r="C249" s="3563" t="s">
        <v>4197</v>
      </c>
      <c r="D249" s="3563" t="s">
        <v>4198</v>
      </c>
      <c r="E249" s="3563" t="s">
        <v>4423</v>
      </c>
      <c r="F249" s="3563" t="s">
        <v>4200</v>
      </c>
      <c r="G249" s="3564">
        <v>108</v>
      </c>
      <c r="H249" s="3564">
        <v>87.26</v>
      </c>
      <c r="I249" s="3564">
        <v>20.74</v>
      </c>
      <c r="J249" s="3565">
        <v>1141526</v>
      </c>
      <c r="K249" s="3565">
        <v>10569.69</v>
      </c>
      <c r="L249" s="3565">
        <v>13081.89</v>
      </c>
      <c r="M249" s="3565">
        <v>0</v>
      </c>
      <c r="N249" s="3565">
        <v>0</v>
      </c>
      <c r="O249" s="3563" t="s">
        <v>3453</v>
      </c>
    </row>
    <row r="250" spans="1:15">
      <c r="A250" s="3563" t="s">
        <v>4451</v>
      </c>
      <c r="B250" s="3563" t="s">
        <v>4196</v>
      </c>
      <c r="C250" s="3563" t="s">
        <v>4197</v>
      </c>
      <c r="D250" s="3563" t="s">
        <v>4198</v>
      </c>
      <c r="E250" s="3563" t="s">
        <v>4423</v>
      </c>
      <c r="F250" s="3563" t="s">
        <v>4200</v>
      </c>
      <c r="G250" s="3564">
        <v>108</v>
      </c>
      <c r="H250" s="3564">
        <v>87.26</v>
      </c>
      <c r="I250" s="3564">
        <v>20.74</v>
      </c>
      <c r="J250" s="3565">
        <v>1143824</v>
      </c>
      <c r="K250" s="3565">
        <v>10590.96</v>
      </c>
      <c r="L250" s="3565">
        <v>13108.23</v>
      </c>
      <c r="M250" s="3565">
        <v>0</v>
      </c>
      <c r="N250" s="3565">
        <v>0</v>
      </c>
      <c r="O250" s="3563" t="s">
        <v>3453</v>
      </c>
    </row>
    <row r="251" spans="1:15">
      <c r="A251" s="3563" t="s">
        <v>4452</v>
      </c>
      <c r="B251" s="3563" t="s">
        <v>4196</v>
      </c>
      <c r="C251" s="3563" t="s">
        <v>4197</v>
      </c>
      <c r="D251" s="3563" t="s">
        <v>4198</v>
      </c>
      <c r="E251" s="3563" t="s">
        <v>4423</v>
      </c>
      <c r="F251" s="3563" t="s">
        <v>4200</v>
      </c>
      <c r="G251" s="3564">
        <v>98.17</v>
      </c>
      <c r="H251" s="3564">
        <v>79.319999999999993</v>
      </c>
      <c r="I251" s="3564">
        <v>18.850000000000001</v>
      </c>
      <c r="J251" s="3565">
        <v>982275</v>
      </c>
      <c r="K251" s="3565">
        <v>10005.86</v>
      </c>
      <c r="L251" s="3565">
        <v>12383.7</v>
      </c>
      <c r="M251" s="3565">
        <v>0</v>
      </c>
      <c r="N251" s="3565">
        <v>0</v>
      </c>
      <c r="O251" s="3563" t="s">
        <v>3453</v>
      </c>
    </row>
    <row r="252" spans="1:15">
      <c r="A252" s="3563" t="s">
        <v>4453</v>
      </c>
      <c r="B252" s="3563" t="s">
        <v>4196</v>
      </c>
      <c r="C252" s="3563" t="s">
        <v>4197</v>
      </c>
      <c r="D252" s="3563" t="s">
        <v>4198</v>
      </c>
      <c r="E252" s="3563" t="s">
        <v>4423</v>
      </c>
      <c r="F252" s="3563" t="s">
        <v>4200</v>
      </c>
      <c r="G252" s="3564">
        <v>98.17</v>
      </c>
      <c r="H252" s="3564">
        <v>79.319999999999993</v>
      </c>
      <c r="I252" s="3564">
        <v>18.850000000000001</v>
      </c>
      <c r="J252" s="3565">
        <v>982275</v>
      </c>
      <c r="K252" s="3565">
        <v>10005.86</v>
      </c>
      <c r="L252" s="3565">
        <v>12383.7</v>
      </c>
      <c r="M252" s="3565">
        <v>0</v>
      </c>
      <c r="N252" s="3565">
        <v>0</v>
      </c>
      <c r="O252" s="3563" t="s">
        <v>3453</v>
      </c>
    </row>
    <row r="253" spans="1:15">
      <c r="A253" s="3563" t="s">
        <v>4454</v>
      </c>
      <c r="B253" s="3563" t="s">
        <v>4196</v>
      </c>
      <c r="C253" s="3563" t="s">
        <v>4197</v>
      </c>
      <c r="D253" s="3563" t="s">
        <v>4198</v>
      </c>
      <c r="E253" s="3563" t="s">
        <v>4423</v>
      </c>
      <c r="F253" s="3563" t="s">
        <v>4200</v>
      </c>
      <c r="G253" s="3564">
        <v>108</v>
      </c>
      <c r="H253" s="3564">
        <v>87.26</v>
      </c>
      <c r="I253" s="3564">
        <v>20.74</v>
      </c>
      <c r="J253" s="3565">
        <v>1155313</v>
      </c>
      <c r="K253" s="3565">
        <v>10697.34</v>
      </c>
      <c r="L253" s="3565">
        <v>13239.89</v>
      </c>
      <c r="M253" s="3565">
        <v>0</v>
      </c>
      <c r="N253" s="3565">
        <v>0</v>
      </c>
      <c r="O253" s="3563" t="s">
        <v>3453</v>
      </c>
    </row>
    <row r="254" spans="1:15">
      <c r="A254" s="3563" t="s">
        <v>4455</v>
      </c>
      <c r="B254" s="3563" t="s">
        <v>4196</v>
      </c>
      <c r="C254" s="3563" t="s">
        <v>4197</v>
      </c>
      <c r="D254" s="3563" t="s">
        <v>4198</v>
      </c>
      <c r="E254" s="3563" t="s">
        <v>4423</v>
      </c>
      <c r="F254" s="3563" t="s">
        <v>4200</v>
      </c>
      <c r="G254" s="3564">
        <v>108</v>
      </c>
      <c r="H254" s="3564">
        <v>87.26</v>
      </c>
      <c r="I254" s="3564">
        <v>20.74</v>
      </c>
      <c r="J254" s="3565">
        <v>1146122</v>
      </c>
      <c r="K254" s="3565">
        <v>10612.24</v>
      </c>
      <c r="L254" s="3565">
        <v>13134.56</v>
      </c>
      <c r="M254" s="3565">
        <v>0</v>
      </c>
      <c r="N254" s="3565">
        <v>0</v>
      </c>
      <c r="O254" s="3563" t="s">
        <v>3453</v>
      </c>
    </row>
    <row r="255" spans="1:15">
      <c r="A255" s="3563" t="s">
        <v>4456</v>
      </c>
      <c r="B255" s="3563" t="s">
        <v>4196</v>
      </c>
      <c r="C255" s="3563" t="s">
        <v>4197</v>
      </c>
      <c r="D255" s="3563" t="s">
        <v>4198</v>
      </c>
      <c r="E255" s="3563" t="s">
        <v>4423</v>
      </c>
      <c r="F255" s="3563" t="s">
        <v>4200</v>
      </c>
      <c r="G255" s="3564">
        <v>98.17</v>
      </c>
      <c r="H255" s="3564">
        <v>79.319999999999993</v>
      </c>
      <c r="I255" s="3564">
        <v>18.850000000000001</v>
      </c>
      <c r="J255" s="3565">
        <v>984363</v>
      </c>
      <c r="K255" s="3565">
        <v>10027.129999999999</v>
      </c>
      <c r="L255" s="3565">
        <v>12410.02</v>
      </c>
      <c r="M255" s="3565">
        <v>0</v>
      </c>
      <c r="N255" s="3565">
        <v>0</v>
      </c>
      <c r="O255" s="3563" t="s">
        <v>3453</v>
      </c>
    </row>
    <row r="256" spans="1:15">
      <c r="A256" s="3563" t="s">
        <v>4457</v>
      </c>
      <c r="B256" s="3563" t="s">
        <v>4196</v>
      </c>
      <c r="C256" s="3563" t="s">
        <v>4197</v>
      </c>
      <c r="D256" s="3563" t="s">
        <v>4198</v>
      </c>
      <c r="E256" s="3563" t="s">
        <v>4423</v>
      </c>
      <c r="F256" s="3563" t="s">
        <v>4200</v>
      </c>
      <c r="G256" s="3564">
        <v>98.17</v>
      </c>
      <c r="H256" s="3564">
        <v>79.319999999999993</v>
      </c>
      <c r="I256" s="3564">
        <v>18.850000000000001</v>
      </c>
      <c r="J256" s="3565">
        <v>984363</v>
      </c>
      <c r="K256" s="3565">
        <v>10027.129999999999</v>
      </c>
      <c r="L256" s="3565">
        <v>12410.02</v>
      </c>
      <c r="M256" s="3565">
        <v>0</v>
      </c>
      <c r="N256" s="3565">
        <v>0</v>
      </c>
      <c r="O256" s="3563" t="s">
        <v>3453</v>
      </c>
    </row>
    <row r="257" spans="1:15">
      <c r="A257" s="3563" t="s">
        <v>4458</v>
      </c>
      <c r="B257" s="3563" t="s">
        <v>4196</v>
      </c>
      <c r="C257" s="3563" t="s">
        <v>4197</v>
      </c>
      <c r="D257" s="3563" t="s">
        <v>4198</v>
      </c>
      <c r="E257" s="3563" t="s">
        <v>4423</v>
      </c>
      <c r="F257" s="3563" t="s">
        <v>4200</v>
      </c>
      <c r="G257" s="3564">
        <v>108</v>
      </c>
      <c r="H257" s="3564">
        <v>87.26</v>
      </c>
      <c r="I257" s="3564">
        <v>20.74</v>
      </c>
      <c r="J257" s="3565">
        <v>1157611</v>
      </c>
      <c r="K257" s="3565">
        <v>10718.62</v>
      </c>
      <c r="L257" s="3565">
        <v>13266.23</v>
      </c>
      <c r="M257" s="3565">
        <v>0</v>
      </c>
      <c r="N257" s="3565">
        <v>0</v>
      </c>
      <c r="O257" s="3563" t="s">
        <v>3453</v>
      </c>
    </row>
    <row r="258" spans="1:15">
      <c r="A258" s="3563" t="s">
        <v>4459</v>
      </c>
      <c r="B258" s="3563" t="s">
        <v>4196</v>
      </c>
      <c r="C258" s="3563" t="s">
        <v>4197</v>
      </c>
      <c r="D258" s="3563" t="s">
        <v>4198</v>
      </c>
      <c r="E258" s="3563" t="s">
        <v>4423</v>
      </c>
      <c r="F258" s="3563" t="s">
        <v>4200</v>
      </c>
      <c r="G258" s="3564">
        <v>108</v>
      </c>
      <c r="H258" s="3564">
        <v>87.26</v>
      </c>
      <c r="I258" s="3564">
        <v>20.74</v>
      </c>
      <c r="J258" s="3565">
        <v>1159909</v>
      </c>
      <c r="K258" s="3565">
        <v>10739.9</v>
      </c>
      <c r="L258" s="3565">
        <v>13292.56</v>
      </c>
      <c r="M258" s="3565">
        <v>0</v>
      </c>
      <c r="N258" s="3565">
        <v>0</v>
      </c>
      <c r="O258" s="3563" t="s">
        <v>3453</v>
      </c>
    </row>
    <row r="259" spans="1:15">
      <c r="A259" s="3563" t="s">
        <v>4460</v>
      </c>
      <c r="B259" s="3563" t="s">
        <v>4196</v>
      </c>
      <c r="C259" s="3563" t="s">
        <v>4197</v>
      </c>
      <c r="D259" s="3563" t="s">
        <v>4198</v>
      </c>
      <c r="E259" s="3563" t="s">
        <v>4423</v>
      </c>
      <c r="F259" s="3563" t="s">
        <v>4200</v>
      </c>
      <c r="G259" s="3564">
        <v>98.17</v>
      </c>
      <c r="H259" s="3564">
        <v>79.319999999999993</v>
      </c>
      <c r="I259" s="3564">
        <v>18.850000000000001</v>
      </c>
      <c r="J259" s="3565">
        <v>1007340</v>
      </c>
      <c r="K259" s="3565">
        <v>10261.18</v>
      </c>
      <c r="L259" s="3565">
        <v>12699.7</v>
      </c>
      <c r="M259" s="3565">
        <v>0</v>
      </c>
      <c r="N259" s="3565">
        <v>0</v>
      </c>
      <c r="O259" s="3563" t="s">
        <v>3453</v>
      </c>
    </row>
    <row r="260" spans="1:15">
      <c r="A260" s="3563" t="s">
        <v>4461</v>
      </c>
      <c r="B260" s="3563" t="s">
        <v>4196</v>
      </c>
      <c r="C260" s="3563" t="s">
        <v>4197</v>
      </c>
      <c r="D260" s="3563" t="s">
        <v>4198</v>
      </c>
      <c r="E260" s="3563" t="s">
        <v>4423</v>
      </c>
      <c r="F260" s="3563" t="s">
        <v>4200</v>
      </c>
      <c r="G260" s="3564">
        <v>98.17</v>
      </c>
      <c r="H260" s="3564">
        <v>79.319999999999993</v>
      </c>
      <c r="I260" s="3564">
        <v>18.850000000000001</v>
      </c>
      <c r="J260" s="3565">
        <v>1007340</v>
      </c>
      <c r="K260" s="3565">
        <v>10261.18</v>
      </c>
      <c r="L260" s="3565">
        <v>12699.7</v>
      </c>
      <c r="M260" s="3565">
        <v>0</v>
      </c>
      <c r="N260" s="3565">
        <v>0</v>
      </c>
      <c r="O260" s="3563" t="s">
        <v>3453</v>
      </c>
    </row>
    <row r="261" spans="1:15">
      <c r="A261" s="3563" t="s">
        <v>4462</v>
      </c>
      <c r="B261" s="3563" t="s">
        <v>4196</v>
      </c>
      <c r="C261" s="3563" t="s">
        <v>4197</v>
      </c>
      <c r="D261" s="3563" t="s">
        <v>4198</v>
      </c>
      <c r="E261" s="3563" t="s">
        <v>4423</v>
      </c>
      <c r="F261" s="3563" t="s">
        <v>4200</v>
      </c>
      <c r="G261" s="3564">
        <v>108</v>
      </c>
      <c r="H261" s="3564">
        <v>87.26</v>
      </c>
      <c r="I261" s="3564">
        <v>20.74</v>
      </c>
      <c r="J261" s="3565">
        <v>1159909</v>
      </c>
      <c r="K261" s="3565">
        <v>10739.9</v>
      </c>
      <c r="L261" s="3565">
        <v>13292.56</v>
      </c>
      <c r="M261" s="3565">
        <v>0</v>
      </c>
      <c r="N261" s="3565">
        <v>0</v>
      </c>
      <c r="O261" s="3563" t="s">
        <v>3453</v>
      </c>
    </row>
    <row r="262" spans="1:15">
      <c r="A262" s="3563" t="s">
        <v>4463</v>
      </c>
      <c r="B262" s="3563" t="s">
        <v>4196</v>
      </c>
      <c r="C262" s="3563" t="s">
        <v>4197</v>
      </c>
      <c r="D262" s="3563" t="s">
        <v>4198</v>
      </c>
      <c r="E262" s="3563" t="s">
        <v>4423</v>
      </c>
      <c r="F262" s="3563" t="s">
        <v>4200</v>
      </c>
      <c r="G262" s="3564">
        <v>108</v>
      </c>
      <c r="H262" s="3564">
        <v>87.26</v>
      </c>
      <c r="I262" s="3564">
        <v>20.74</v>
      </c>
      <c r="J262" s="3565">
        <v>1162207</v>
      </c>
      <c r="K262" s="3565">
        <v>10761.18</v>
      </c>
      <c r="L262" s="3565">
        <v>13318.9</v>
      </c>
      <c r="M262" s="3565">
        <v>0</v>
      </c>
      <c r="N262" s="3565">
        <v>0</v>
      </c>
      <c r="O262" s="3563" t="s">
        <v>3453</v>
      </c>
    </row>
    <row r="263" spans="1:15">
      <c r="A263" s="3563" t="s">
        <v>4464</v>
      </c>
      <c r="B263" s="3563" t="s">
        <v>4196</v>
      </c>
      <c r="C263" s="3563" t="s">
        <v>4197</v>
      </c>
      <c r="D263" s="3563" t="s">
        <v>4198</v>
      </c>
      <c r="E263" s="3563" t="s">
        <v>4423</v>
      </c>
      <c r="F263" s="3563" t="s">
        <v>4200</v>
      </c>
      <c r="G263" s="3564">
        <v>98.17</v>
      </c>
      <c r="H263" s="3564">
        <v>79.319999999999993</v>
      </c>
      <c r="I263" s="3564">
        <v>18.850000000000001</v>
      </c>
      <c r="J263" s="3565">
        <v>1009428</v>
      </c>
      <c r="K263" s="3565">
        <v>10282.450000000001</v>
      </c>
      <c r="L263" s="3565">
        <v>12726.02</v>
      </c>
      <c r="M263" s="3565">
        <v>0</v>
      </c>
      <c r="N263" s="3565">
        <v>0</v>
      </c>
      <c r="O263" s="3563" t="s">
        <v>3453</v>
      </c>
    </row>
    <row r="264" spans="1:15">
      <c r="A264" s="3563" t="s">
        <v>4465</v>
      </c>
      <c r="B264" s="3563" t="s">
        <v>4196</v>
      </c>
      <c r="C264" s="3563" t="s">
        <v>4197</v>
      </c>
      <c r="D264" s="3563" t="s">
        <v>4198</v>
      </c>
      <c r="E264" s="3563" t="s">
        <v>4423</v>
      </c>
      <c r="F264" s="3563" t="s">
        <v>4200</v>
      </c>
      <c r="G264" s="3564">
        <v>98.17</v>
      </c>
      <c r="H264" s="3564">
        <v>79.319999999999993</v>
      </c>
      <c r="I264" s="3564">
        <v>18.850000000000001</v>
      </c>
      <c r="J264" s="3565">
        <v>1009428</v>
      </c>
      <c r="K264" s="3565">
        <v>10282.450000000001</v>
      </c>
      <c r="L264" s="3565">
        <v>12726.02</v>
      </c>
      <c r="M264" s="3565">
        <v>0</v>
      </c>
      <c r="N264" s="3565">
        <v>0</v>
      </c>
      <c r="O264" s="3563" t="s">
        <v>3453</v>
      </c>
    </row>
    <row r="265" spans="1:15">
      <c r="A265" s="3563" t="s">
        <v>4466</v>
      </c>
      <c r="B265" s="3563" t="s">
        <v>4196</v>
      </c>
      <c r="C265" s="3563" t="s">
        <v>4197</v>
      </c>
      <c r="D265" s="3563" t="s">
        <v>4198</v>
      </c>
      <c r="E265" s="3563" t="s">
        <v>4423</v>
      </c>
      <c r="F265" s="3563" t="s">
        <v>4200</v>
      </c>
      <c r="G265" s="3564">
        <v>108</v>
      </c>
      <c r="H265" s="3564">
        <v>87.26</v>
      </c>
      <c r="I265" s="3564">
        <v>20.74</v>
      </c>
      <c r="J265" s="3565">
        <v>1162207</v>
      </c>
      <c r="K265" s="3565">
        <v>10761.18</v>
      </c>
      <c r="L265" s="3565">
        <v>13318.9</v>
      </c>
      <c r="M265" s="3565">
        <v>0</v>
      </c>
      <c r="N265" s="3565">
        <v>0</v>
      </c>
      <c r="O265" s="3563" t="s">
        <v>3453</v>
      </c>
    </row>
    <row r="266" spans="1:15">
      <c r="A266" s="3563" t="s">
        <v>4467</v>
      </c>
      <c r="B266" s="3563" t="s">
        <v>4196</v>
      </c>
      <c r="C266" s="3563" t="s">
        <v>4197</v>
      </c>
      <c r="D266" s="3563" t="s">
        <v>4198</v>
      </c>
      <c r="E266" s="3563" t="s">
        <v>4423</v>
      </c>
      <c r="F266" s="3563" t="s">
        <v>4200</v>
      </c>
      <c r="G266" s="3564">
        <v>108</v>
      </c>
      <c r="H266" s="3564">
        <v>87.26</v>
      </c>
      <c r="I266" s="3564">
        <v>20.74</v>
      </c>
      <c r="J266" s="3565">
        <v>1159909</v>
      </c>
      <c r="K266" s="3565">
        <v>10739.9</v>
      </c>
      <c r="L266" s="3565">
        <v>13292.56</v>
      </c>
      <c r="M266" s="3565">
        <v>0</v>
      </c>
      <c r="N266" s="3565">
        <v>0</v>
      </c>
      <c r="O266" s="3563" t="s">
        <v>3453</v>
      </c>
    </row>
    <row r="267" spans="1:15">
      <c r="A267" s="3563" t="s">
        <v>4468</v>
      </c>
      <c r="B267" s="3563" t="s">
        <v>4196</v>
      </c>
      <c r="C267" s="3563" t="s">
        <v>4197</v>
      </c>
      <c r="D267" s="3563" t="s">
        <v>4198</v>
      </c>
      <c r="E267" s="3563" t="s">
        <v>4423</v>
      </c>
      <c r="F267" s="3563" t="s">
        <v>4200</v>
      </c>
      <c r="G267" s="3564">
        <v>98.17</v>
      </c>
      <c r="H267" s="3564">
        <v>79.319999999999993</v>
      </c>
      <c r="I267" s="3564">
        <v>18.850000000000001</v>
      </c>
      <c r="J267" s="3565">
        <v>1007340</v>
      </c>
      <c r="K267" s="3565">
        <v>10261.18</v>
      </c>
      <c r="L267" s="3565">
        <v>12699.7</v>
      </c>
      <c r="M267" s="3565">
        <v>0</v>
      </c>
      <c r="N267" s="3565">
        <v>0</v>
      </c>
      <c r="O267" s="3563" t="s">
        <v>3453</v>
      </c>
    </row>
    <row r="268" spans="1:15">
      <c r="A268" s="3563" t="s">
        <v>4469</v>
      </c>
      <c r="B268" s="3563" t="s">
        <v>4196</v>
      </c>
      <c r="C268" s="3563" t="s">
        <v>4197</v>
      </c>
      <c r="D268" s="3563" t="s">
        <v>4198</v>
      </c>
      <c r="E268" s="3563" t="s">
        <v>4423</v>
      </c>
      <c r="F268" s="3563" t="s">
        <v>4200</v>
      </c>
      <c r="G268" s="3564">
        <v>98.17</v>
      </c>
      <c r="H268" s="3564">
        <v>79.319999999999993</v>
      </c>
      <c r="I268" s="3564">
        <v>18.850000000000001</v>
      </c>
      <c r="J268" s="3565">
        <v>1007340</v>
      </c>
      <c r="K268" s="3565">
        <v>10261.18</v>
      </c>
      <c r="L268" s="3565">
        <v>12699.7</v>
      </c>
      <c r="M268" s="3565">
        <v>0</v>
      </c>
      <c r="N268" s="3565">
        <v>0</v>
      </c>
      <c r="O268" s="3563" t="s">
        <v>3453</v>
      </c>
    </row>
    <row r="269" spans="1:15">
      <c r="A269" s="3563" t="s">
        <v>4470</v>
      </c>
      <c r="B269" s="3563" t="s">
        <v>4196</v>
      </c>
      <c r="C269" s="3563" t="s">
        <v>4197</v>
      </c>
      <c r="D269" s="3563" t="s">
        <v>4198</v>
      </c>
      <c r="E269" s="3563" t="s">
        <v>4423</v>
      </c>
      <c r="F269" s="3563" t="s">
        <v>4200</v>
      </c>
      <c r="G269" s="3564">
        <v>108</v>
      </c>
      <c r="H269" s="3564">
        <v>87.26</v>
      </c>
      <c r="I269" s="3564">
        <v>20.74</v>
      </c>
      <c r="J269" s="3565">
        <v>1159909</v>
      </c>
      <c r="K269" s="3565">
        <v>10739.9</v>
      </c>
      <c r="L269" s="3565">
        <v>13292.56</v>
      </c>
      <c r="M269" s="3565">
        <v>0</v>
      </c>
      <c r="N269" s="3565">
        <v>0</v>
      </c>
      <c r="O269" s="3563" t="s">
        <v>3453</v>
      </c>
    </row>
    <row r="270" spans="1:15">
      <c r="A270" s="3563" t="s">
        <v>4471</v>
      </c>
      <c r="B270" s="3563" t="s">
        <v>4196</v>
      </c>
      <c r="C270" s="3563" t="s">
        <v>4197</v>
      </c>
      <c r="D270" s="3563" t="s">
        <v>4198</v>
      </c>
      <c r="E270" s="3563" t="s">
        <v>4423</v>
      </c>
      <c r="F270" s="3563" t="s">
        <v>4200</v>
      </c>
      <c r="G270" s="3564">
        <v>89.05</v>
      </c>
      <c r="H270" s="3564">
        <v>74.14</v>
      </c>
      <c r="I270" s="3564">
        <v>14.91</v>
      </c>
      <c r="J270" s="3565">
        <v>907126</v>
      </c>
      <c r="K270" s="3565">
        <v>10186.700000000001</v>
      </c>
      <c r="L270" s="3565">
        <v>12235.31</v>
      </c>
      <c r="M270" s="3565">
        <v>0</v>
      </c>
      <c r="N270" s="3565">
        <v>0</v>
      </c>
      <c r="O270" s="3563" t="s">
        <v>3453</v>
      </c>
    </row>
    <row r="271" spans="1:15">
      <c r="A271" s="3563" t="s">
        <v>4472</v>
      </c>
      <c r="B271" s="3563" t="s">
        <v>4196</v>
      </c>
      <c r="C271" s="3563" t="s">
        <v>4197</v>
      </c>
      <c r="D271" s="3563" t="s">
        <v>4198</v>
      </c>
      <c r="E271" s="3563" t="s">
        <v>4423</v>
      </c>
      <c r="F271" s="3563" t="s">
        <v>4200</v>
      </c>
      <c r="G271" s="3564">
        <v>95.27</v>
      </c>
      <c r="H271" s="3564">
        <v>79.319999999999993</v>
      </c>
      <c r="I271" s="3564">
        <v>15.95</v>
      </c>
      <c r="J271" s="3565">
        <v>934002</v>
      </c>
      <c r="K271" s="3565">
        <v>9803.74</v>
      </c>
      <c r="L271" s="3565">
        <v>11775.11</v>
      </c>
      <c r="M271" s="3565">
        <v>0</v>
      </c>
      <c r="N271" s="3565">
        <v>0</v>
      </c>
      <c r="O271" s="3563" t="s">
        <v>3453</v>
      </c>
    </row>
    <row r="272" spans="1:15">
      <c r="A272" s="3563" t="s">
        <v>4473</v>
      </c>
      <c r="B272" s="3563" t="s">
        <v>4196</v>
      </c>
      <c r="C272" s="3563" t="s">
        <v>4197</v>
      </c>
      <c r="D272" s="3563" t="s">
        <v>4198</v>
      </c>
      <c r="E272" s="3563" t="s">
        <v>4423</v>
      </c>
      <c r="F272" s="3563" t="s">
        <v>4200</v>
      </c>
      <c r="G272" s="3564">
        <v>95.27</v>
      </c>
      <c r="H272" s="3564">
        <v>79.319999999999993</v>
      </c>
      <c r="I272" s="3564">
        <v>15.95</v>
      </c>
      <c r="J272" s="3565">
        <v>934002</v>
      </c>
      <c r="K272" s="3565">
        <v>9803.74</v>
      </c>
      <c r="L272" s="3565">
        <v>11775.11</v>
      </c>
      <c r="M272" s="3565">
        <v>0</v>
      </c>
      <c r="N272" s="3565">
        <v>0</v>
      </c>
      <c r="O272" s="3563" t="s">
        <v>3453</v>
      </c>
    </row>
    <row r="273" spans="1:15">
      <c r="A273" s="3563" t="s">
        <v>4474</v>
      </c>
      <c r="B273" s="3563" t="s">
        <v>4196</v>
      </c>
      <c r="C273" s="3563" t="s">
        <v>4197</v>
      </c>
      <c r="D273" s="3563" t="s">
        <v>4198</v>
      </c>
      <c r="E273" s="3563" t="s">
        <v>4423</v>
      </c>
      <c r="F273" s="3563" t="s">
        <v>4200</v>
      </c>
      <c r="G273" s="3564">
        <v>89.05</v>
      </c>
      <c r="H273" s="3564">
        <v>74.14</v>
      </c>
      <c r="I273" s="3564">
        <v>14.91</v>
      </c>
      <c r="J273" s="3565">
        <v>907126</v>
      </c>
      <c r="K273" s="3565">
        <v>10186.700000000001</v>
      </c>
      <c r="L273" s="3565">
        <v>12235.31</v>
      </c>
      <c r="M273" s="3565">
        <v>0</v>
      </c>
      <c r="N273" s="3565">
        <v>0</v>
      </c>
      <c r="O273" s="3563" t="s">
        <v>3453</v>
      </c>
    </row>
    <row r="274" spans="1:15">
      <c r="A274" s="3563" t="s">
        <v>4475</v>
      </c>
      <c r="B274" s="3563" t="s">
        <v>4196</v>
      </c>
      <c r="C274" s="3563" t="s">
        <v>4197</v>
      </c>
      <c r="D274" s="3563" t="s">
        <v>4198</v>
      </c>
      <c r="E274" s="3563" t="s">
        <v>4423</v>
      </c>
      <c r="F274" s="3563" t="s">
        <v>4200</v>
      </c>
      <c r="G274" s="3564">
        <v>108</v>
      </c>
      <c r="H274" s="3564">
        <v>87.26</v>
      </c>
      <c r="I274" s="3564">
        <v>20.74</v>
      </c>
      <c r="J274" s="3565">
        <v>1157611</v>
      </c>
      <c r="K274" s="3565">
        <v>10718.62</v>
      </c>
      <c r="L274" s="3565">
        <v>13266.23</v>
      </c>
      <c r="M274" s="3565">
        <v>0</v>
      </c>
      <c r="N274" s="3565">
        <v>0</v>
      </c>
      <c r="O274" s="3563" t="s">
        <v>3453</v>
      </c>
    </row>
    <row r="275" spans="1:15">
      <c r="A275" s="3563" t="s">
        <v>4476</v>
      </c>
      <c r="B275" s="3563" t="s">
        <v>4196</v>
      </c>
      <c r="C275" s="3563" t="s">
        <v>4197</v>
      </c>
      <c r="D275" s="3563" t="s">
        <v>4198</v>
      </c>
      <c r="E275" s="3563" t="s">
        <v>4423</v>
      </c>
      <c r="F275" s="3563" t="s">
        <v>4200</v>
      </c>
      <c r="G275" s="3564">
        <v>98.17</v>
      </c>
      <c r="H275" s="3564">
        <v>79.319999999999993</v>
      </c>
      <c r="I275" s="3564">
        <v>18.850000000000001</v>
      </c>
      <c r="J275" s="3565">
        <v>1005250</v>
      </c>
      <c r="K275" s="3565">
        <v>10239.89</v>
      </c>
      <c r="L275" s="3565">
        <v>12673.35</v>
      </c>
      <c r="M275" s="3565">
        <v>0</v>
      </c>
      <c r="N275" s="3565">
        <v>0</v>
      </c>
      <c r="O275" s="3563" t="s">
        <v>3453</v>
      </c>
    </row>
    <row r="276" spans="1:15">
      <c r="A276" s="3563" t="s">
        <v>4477</v>
      </c>
      <c r="B276" s="3563" t="s">
        <v>4196</v>
      </c>
      <c r="C276" s="3563" t="s">
        <v>4197</v>
      </c>
      <c r="D276" s="3563" t="s">
        <v>4198</v>
      </c>
      <c r="E276" s="3563" t="s">
        <v>4423</v>
      </c>
      <c r="F276" s="3563" t="s">
        <v>4200</v>
      </c>
      <c r="G276" s="3564">
        <v>98.17</v>
      </c>
      <c r="H276" s="3564">
        <v>79.319999999999993</v>
      </c>
      <c r="I276" s="3564">
        <v>18.850000000000001</v>
      </c>
      <c r="J276" s="3565">
        <v>1005250</v>
      </c>
      <c r="K276" s="3565">
        <v>10239.89</v>
      </c>
      <c r="L276" s="3565">
        <v>12673.35</v>
      </c>
      <c r="M276" s="3565">
        <v>0</v>
      </c>
      <c r="N276" s="3565">
        <v>0</v>
      </c>
      <c r="O276" s="3563" t="s">
        <v>3453</v>
      </c>
    </row>
    <row r="277" spans="1:15">
      <c r="A277" s="3563" t="s">
        <v>4478</v>
      </c>
      <c r="B277" s="3563" t="s">
        <v>4196</v>
      </c>
      <c r="C277" s="3563" t="s">
        <v>4197</v>
      </c>
      <c r="D277" s="3563" t="s">
        <v>4198</v>
      </c>
      <c r="E277" s="3563" t="s">
        <v>4423</v>
      </c>
      <c r="F277" s="3563" t="s">
        <v>4200</v>
      </c>
      <c r="G277" s="3564">
        <v>108</v>
      </c>
      <c r="H277" s="3564">
        <v>87.26</v>
      </c>
      <c r="I277" s="3564">
        <v>20.74</v>
      </c>
      <c r="J277" s="3565">
        <v>1157611</v>
      </c>
      <c r="K277" s="3565">
        <v>10718.62</v>
      </c>
      <c r="L277" s="3565">
        <v>13266.23</v>
      </c>
      <c r="M277" s="3565">
        <v>0</v>
      </c>
      <c r="N277" s="3565">
        <v>0</v>
      </c>
      <c r="O277" s="3563" t="s">
        <v>3453</v>
      </c>
    </row>
    <row r="278" spans="1:15">
      <c r="A278" s="3563" t="s">
        <v>4479</v>
      </c>
      <c r="B278" s="3563" t="s">
        <v>4196</v>
      </c>
      <c r="C278" s="3563" t="s">
        <v>4197</v>
      </c>
      <c r="D278" s="3563" t="s">
        <v>4198</v>
      </c>
      <c r="E278" s="3563" t="s">
        <v>4423</v>
      </c>
      <c r="F278" s="3563" t="s">
        <v>4200</v>
      </c>
      <c r="G278" s="3564">
        <v>108</v>
      </c>
      <c r="H278" s="3564">
        <v>87.26</v>
      </c>
      <c r="I278" s="3564">
        <v>20.74</v>
      </c>
      <c r="J278" s="3565">
        <v>1155313</v>
      </c>
      <c r="K278" s="3565">
        <v>10697.34</v>
      </c>
      <c r="L278" s="3565">
        <v>13239.89</v>
      </c>
      <c r="M278" s="3565">
        <v>0</v>
      </c>
      <c r="N278" s="3565">
        <v>0</v>
      </c>
      <c r="O278" s="3563" t="s">
        <v>3453</v>
      </c>
    </row>
    <row r="279" spans="1:15">
      <c r="A279" s="3563" t="s">
        <v>4480</v>
      </c>
      <c r="B279" s="3563" t="s">
        <v>4196</v>
      </c>
      <c r="C279" s="3563" t="s">
        <v>4197</v>
      </c>
      <c r="D279" s="3563" t="s">
        <v>4198</v>
      </c>
      <c r="E279" s="3563" t="s">
        <v>4423</v>
      </c>
      <c r="F279" s="3563" t="s">
        <v>4200</v>
      </c>
      <c r="G279" s="3564">
        <v>98.17</v>
      </c>
      <c r="H279" s="3564">
        <v>79.319999999999993</v>
      </c>
      <c r="I279" s="3564">
        <v>18.850000000000001</v>
      </c>
      <c r="J279" s="3565">
        <v>1003162</v>
      </c>
      <c r="K279" s="3565">
        <v>10218.620000000001</v>
      </c>
      <c r="L279" s="3565">
        <v>12647.02</v>
      </c>
      <c r="M279" s="3565">
        <v>0</v>
      </c>
      <c r="N279" s="3565">
        <v>0</v>
      </c>
      <c r="O279" s="3563" t="s">
        <v>3453</v>
      </c>
    </row>
    <row r="280" spans="1:15">
      <c r="A280" s="3563" t="s">
        <v>4481</v>
      </c>
      <c r="B280" s="3563" t="s">
        <v>4196</v>
      </c>
      <c r="C280" s="3563" t="s">
        <v>4197</v>
      </c>
      <c r="D280" s="3563" t="s">
        <v>4198</v>
      </c>
      <c r="E280" s="3563" t="s">
        <v>4423</v>
      </c>
      <c r="F280" s="3563" t="s">
        <v>4200</v>
      </c>
      <c r="G280" s="3564">
        <v>98.17</v>
      </c>
      <c r="H280" s="3564">
        <v>79.319999999999993</v>
      </c>
      <c r="I280" s="3564">
        <v>18.850000000000001</v>
      </c>
      <c r="J280" s="3565">
        <v>1003162</v>
      </c>
      <c r="K280" s="3565">
        <v>10218.620000000001</v>
      </c>
      <c r="L280" s="3565">
        <v>12647.02</v>
      </c>
      <c r="M280" s="3565">
        <v>0</v>
      </c>
      <c r="N280" s="3565">
        <v>0</v>
      </c>
      <c r="O280" s="3563" t="s">
        <v>3453</v>
      </c>
    </row>
    <row r="281" spans="1:15">
      <c r="A281" s="3563" t="s">
        <v>4482</v>
      </c>
      <c r="B281" s="3563" t="s">
        <v>4196</v>
      </c>
      <c r="C281" s="3563" t="s">
        <v>4197</v>
      </c>
      <c r="D281" s="3563" t="s">
        <v>4198</v>
      </c>
      <c r="E281" s="3563" t="s">
        <v>4423</v>
      </c>
      <c r="F281" s="3563" t="s">
        <v>4200</v>
      </c>
      <c r="G281" s="3564">
        <v>108</v>
      </c>
      <c r="H281" s="3564">
        <v>87.26</v>
      </c>
      <c r="I281" s="3564">
        <v>20.74</v>
      </c>
      <c r="J281" s="3565">
        <v>1155313</v>
      </c>
      <c r="K281" s="3565">
        <v>10697.34</v>
      </c>
      <c r="L281" s="3565">
        <v>13239.89</v>
      </c>
      <c r="M281" s="3565">
        <v>0</v>
      </c>
      <c r="N281" s="3565">
        <v>0</v>
      </c>
      <c r="O281" s="3563" t="s">
        <v>3453</v>
      </c>
    </row>
    <row r="282" spans="1:15">
      <c r="A282" s="3563" t="s">
        <v>4483</v>
      </c>
      <c r="B282" s="3563" t="s">
        <v>4196</v>
      </c>
      <c r="C282" s="3563" t="s">
        <v>4197</v>
      </c>
      <c r="D282" s="3563" t="s">
        <v>4198</v>
      </c>
      <c r="E282" s="3563" t="s">
        <v>4423</v>
      </c>
      <c r="F282" s="3563" t="s">
        <v>4200</v>
      </c>
      <c r="G282" s="3564">
        <v>108</v>
      </c>
      <c r="H282" s="3564">
        <v>87.26</v>
      </c>
      <c r="I282" s="3564">
        <v>20.74</v>
      </c>
      <c r="J282" s="3565">
        <v>1118547</v>
      </c>
      <c r="K282" s="3565">
        <v>10356.92</v>
      </c>
      <c r="L282" s="3565">
        <v>12818.55</v>
      </c>
      <c r="M282" s="3565">
        <v>0</v>
      </c>
      <c r="N282" s="3565">
        <v>0</v>
      </c>
      <c r="O282" s="3563" t="s">
        <v>3453</v>
      </c>
    </row>
    <row r="283" spans="1:15">
      <c r="A283" s="3563" t="s">
        <v>4484</v>
      </c>
      <c r="B283" s="3563" t="s">
        <v>4196</v>
      </c>
      <c r="C283" s="3563" t="s">
        <v>4197</v>
      </c>
      <c r="D283" s="3563" t="s">
        <v>4198</v>
      </c>
      <c r="E283" s="3563" t="s">
        <v>4423</v>
      </c>
      <c r="F283" s="3563" t="s">
        <v>4200</v>
      </c>
      <c r="G283" s="3564">
        <v>98.17</v>
      </c>
      <c r="H283" s="3564">
        <v>79.319999999999993</v>
      </c>
      <c r="I283" s="3564">
        <v>18.850000000000001</v>
      </c>
      <c r="J283" s="3565">
        <v>969743</v>
      </c>
      <c r="K283" s="3565">
        <v>9878.2000000000007</v>
      </c>
      <c r="L283" s="3565">
        <v>12225.71</v>
      </c>
      <c r="M283" s="3565">
        <v>0</v>
      </c>
      <c r="N283" s="3565">
        <v>0</v>
      </c>
      <c r="O283" s="3563" t="s">
        <v>3453</v>
      </c>
    </row>
    <row r="284" spans="1:15">
      <c r="A284" s="3563" t="s">
        <v>4485</v>
      </c>
      <c r="B284" s="3563" t="s">
        <v>4196</v>
      </c>
      <c r="C284" s="3563" t="s">
        <v>4197</v>
      </c>
      <c r="D284" s="3563" t="s">
        <v>4198</v>
      </c>
      <c r="E284" s="3563" t="s">
        <v>4423</v>
      </c>
      <c r="F284" s="3563" t="s">
        <v>4200</v>
      </c>
      <c r="G284" s="3564">
        <v>98.17</v>
      </c>
      <c r="H284" s="3564">
        <v>79.319999999999993</v>
      </c>
      <c r="I284" s="3564">
        <v>18.850000000000001</v>
      </c>
      <c r="J284" s="3565">
        <v>969743</v>
      </c>
      <c r="K284" s="3565">
        <v>9878.2000000000007</v>
      </c>
      <c r="L284" s="3565">
        <v>12225.71</v>
      </c>
      <c r="M284" s="3565">
        <v>0</v>
      </c>
      <c r="N284" s="3565">
        <v>0</v>
      </c>
      <c r="O284" s="3563" t="s">
        <v>3453</v>
      </c>
    </row>
    <row r="285" spans="1:15">
      <c r="A285" s="3563" t="s">
        <v>4486</v>
      </c>
      <c r="B285" s="3563" t="s">
        <v>4196</v>
      </c>
      <c r="C285" s="3563" t="s">
        <v>4197</v>
      </c>
      <c r="D285" s="3563" t="s">
        <v>4198</v>
      </c>
      <c r="E285" s="3563" t="s">
        <v>4423</v>
      </c>
      <c r="F285" s="3563" t="s">
        <v>4200</v>
      </c>
      <c r="G285" s="3564">
        <v>108</v>
      </c>
      <c r="H285" s="3564">
        <v>87.26</v>
      </c>
      <c r="I285" s="3564">
        <v>20.74</v>
      </c>
      <c r="J285" s="3565">
        <v>1118547</v>
      </c>
      <c r="K285" s="3565">
        <v>10356.92</v>
      </c>
      <c r="L285" s="3565">
        <v>12818.55</v>
      </c>
      <c r="M285" s="3565">
        <v>0</v>
      </c>
      <c r="N285" s="3565">
        <v>0</v>
      </c>
      <c r="O285" s="3563" t="s">
        <v>3453</v>
      </c>
    </row>
    <row r="286" spans="1:15">
      <c r="A286" s="3563" t="s">
        <v>4487</v>
      </c>
      <c r="B286" s="3563" t="s">
        <v>4196</v>
      </c>
      <c r="C286" s="3563" t="s">
        <v>4197</v>
      </c>
      <c r="D286" s="3563" t="s">
        <v>4198</v>
      </c>
      <c r="E286" s="3563" t="s">
        <v>4423</v>
      </c>
      <c r="F286" s="3563" t="s">
        <v>4200</v>
      </c>
      <c r="G286" s="3564">
        <v>95.07</v>
      </c>
      <c r="H286" s="3564">
        <v>76.66</v>
      </c>
      <c r="I286" s="3564">
        <v>18.41</v>
      </c>
      <c r="J286" s="3565">
        <v>980587</v>
      </c>
      <c r="K286" s="3565">
        <v>10314.370000000001</v>
      </c>
      <c r="L286" s="3565">
        <v>12791.38</v>
      </c>
      <c r="M286" s="3565">
        <v>0</v>
      </c>
      <c r="N286" s="3565">
        <v>0</v>
      </c>
      <c r="O286" s="3563" t="s">
        <v>3453</v>
      </c>
    </row>
    <row r="287" spans="1:15">
      <c r="A287" s="3563" t="s">
        <v>4488</v>
      </c>
      <c r="B287" s="3563" t="s">
        <v>4196</v>
      </c>
      <c r="C287" s="3563" t="s">
        <v>4197</v>
      </c>
      <c r="D287" s="3563" t="s">
        <v>4198</v>
      </c>
      <c r="E287" s="3563" t="s">
        <v>4423</v>
      </c>
      <c r="F287" s="3563" t="s">
        <v>4200</v>
      </c>
      <c r="G287" s="3564">
        <v>98.37</v>
      </c>
      <c r="H287" s="3564">
        <v>79.319999999999993</v>
      </c>
      <c r="I287" s="3564">
        <v>19.05</v>
      </c>
      <c r="J287" s="3565">
        <v>964393</v>
      </c>
      <c r="K287" s="3565">
        <v>9803.73</v>
      </c>
      <c r="L287" s="3565">
        <v>12158.26</v>
      </c>
      <c r="M287" s="3565">
        <v>0</v>
      </c>
      <c r="N287" s="3565">
        <v>0</v>
      </c>
      <c r="O287" s="3563" t="s">
        <v>3453</v>
      </c>
    </row>
    <row r="288" spans="1:15">
      <c r="A288" s="3563" t="s">
        <v>4489</v>
      </c>
      <c r="B288" s="3563" t="s">
        <v>4196</v>
      </c>
      <c r="C288" s="3563" t="s">
        <v>4197</v>
      </c>
      <c r="D288" s="3563" t="s">
        <v>4198</v>
      </c>
      <c r="E288" s="3563" t="s">
        <v>4423</v>
      </c>
      <c r="F288" s="3563" t="s">
        <v>4200</v>
      </c>
      <c r="G288" s="3564">
        <v>98.37</v>
      </c>
      <c r="H288" s="3564">
        <v>79.319999999999993</v>
      </c>
      <c r="I288" s="3564">
        <v>19.05</v>
      </c>
      <c r="J288" s="3565">
        <v>964393</v>
      </c>
      <c r="K288" s="3565">
        <v>9803.73</v>
      </c>
      <c r="L288" s="3565">
        <v>12158.26</v>
      </c>
      <c r="M288" s="3565">
        <v>0</v>
      </c>
      <c r="N288" s="3565">
        <v>0</v>
      </c>
      <c r="O288" s="3563" t="s">
        <v>3453</v>
      </c>
    </row>
    <row r="289" spans="1:15">
      <c r="A289" s="3563" t="s">
        <v>4490</v>
      </c>
      <c r="B289" s="3563" t="s">
        <v>4196</v>
      </c>
      <c r="C289" s="3563" t="s">
        <v>4197</v>
      </c>
      <c r="D289" s="3563" t="s">
        <v>4198</v>
      </c>
      <c r="E289" s="3563" t="s">
        <v>4423</v>
      </c>
      <c r="F289" s="3563" t="s">
        <v>4200</v>
      </c>
      <c r="G289" s="3564">
        <v>95.07</v>
      </c>
      <c r="H289" s="3564">
        <v>76.66</v>
      </c>
      <c r="I289" s="3564">
        <v>18.41</v>
      </c>
      <c r="J289" s="3565">
        <v>980587</v>
      </c>
      <c r="K289" s="3565">
        <v>10314.370000000001</v>
      </c>
      <c r="L289" s="3565">
        <v>12791.38</v>
      </c>
      <c r="M289" s="3565">
        <v>0</v>
      </c>
      <c r="N289" s="3565">
        <v>0</v>
      </c>
      <c r="O289" s="3563" t="s">
        <v>3453</v>
      </c>
    </row>
    <row r="290" spans="1:15">
      <c r="A290" s="3563" t="s">
        <v>4491</v>
      </c>
      <c r="B290" s="3563" t="s">
        <v>4196</v>
      </c>
      <c r="C290" s="3563" t="s">
        <v>4197</v>
      </c>
      <c r="D290" s="3563" t="s">
        <v>4198</v>
      </c>
      <c r="E290" s="3563" t="s">
        <v>4423</v>
      </c>
      <c r="F290" s="3563" t="s">
        <v>4200</v>
      </c>
      <c r="G290" s="3564">
        <v>108</v>
      </c>
      <c r="H290" s="3564">
        <v>87.26</v>
      </c>
      <c r="I290" s="3564">
        <v>20.74</v>
      </c>
      <c r="J290" s="3565">
        <v>1127739</v>
      </c>
      <c r="K290" s="3565">
        <v>10442.030000000001</v>
      </c>
      <c r="L290" s="3565">
        <v>12923.89</v>
      </c>
      <c r="M290" s="3565">
        <v>0</v>
      </c>
      <c r="N290" s="3565">
        <v>0</v>
      </c>
      <c r="O290" s="3563" t="s">
        <v>3453</v>
      </c>
    </row>
    <row r="291" spans="1:15">
      <c r="A291" s="3563" t="s">
        <v>4492</v>
      </c>
      <c r="B291" s="3563" t="s">
        <v>4196</v>
      </c>
      <c r="C291" s="3563" t="s">
        <v>4197</v>
      </c>
      <c r="D291" s="3563" t="s">
        <v>4198</v>
      </c>
      <c r="E291" s="3563" t="s">
        <v>4423</v>
      </c>
      <c r="F291" s="3563" t="s">
        <v>4200</v>
      </c>
      <c r="G291" s="3564">
        <v>98.17</v>
      </c>
      <c r="H291" s="3564">
        <v>79.319999999999993</v>
      </c>
      <c r="I291" s="3564">
        <v>18.850000000000001</v>
      </c>
      <c r="J291" s="3565">
        <v>967654</v>
      </c>
      <c r="K291" s="3565">
        <v>9856.92</v>
      </c>
      <c r="L291" s="3565">
        <v>12199.37</v>
      </c>
      <c r="M291" s="3565">
        <v>0</v>
      </c>
      <c r="N291" s="3565">
        <v>0</v>
      </c>
      <c r="O291" s="3563" t="s">
        <v>3453</v>
      </c>
    </row>
    <row r="292" spans="1:15">
      <c r="A292" s="3563" t="s">
        <v>4493</v>
      </c>
      <c r="B292" s="3563" t="s">
        <v>4196</v>
      </c>
      <c r="C292" s="3563" t="s">
        <v>4197</v>
      </c>
      <c r="D292" s="3563" t="s">
        <v>4198</v>
      </c>
      <c r="E292" s="3563" t="s">
        <v>4423</v>
      </c>
      <c r="F292" s="3563" t="s">
        <v>4200</v>
      </c>
      <c r="G292" s="3564">
        <v>98.17</v>
      </c>
      <c r="H292" s="3564">
        <v>79.319999999999993</v>
      </c>
      <c r="I292" s="3564">
        <v>18.850000000000001</v>
      </c>
      <c r="J292" s="3565">
        <v>967654</v>
      </c>
      <c r="K292" s="3565">
        <v>9856.92</v>
      </c>
      <c r="L292" s="3565">
        <v>12199.37</v>
      </c>
      <c r="M292" s="3565">
        <v>0</v>
      </c>
      <c r="N292" s="3565">
        <v>0</v>
      </c>
      <c r="O292" s="3563" t="s">
        <v>3453</v>
      </c>
    </row>
    <row r="293" spans="1:15">
      <c r="A293" s="3563" t="s">
        <v>4494</v>
      </c>
      <c r="B293" s="3563" t="s">
        <v>4196</v>
      </c>
      <c r="C293" s="3563" t="s">
        <v>4197</v>
      </c>
      <c r="D293" s="3563" t="s">
        <v>4198</v>
      </c>
      <c r="E293" s="3563" t="s">
        <v>4423</v>
      </c>
      <c r="F293" s="3563" t="s">
        <v>4200</v>
      </c>
      <c r="G293" s="3564">
        <v>108</v>
      </c>
      <c r="H293" s="3564">
        <v>87.26</v>
      </c>
      <c r="I293" s="3564">
        <v>20.74</v>
      </c>
      <c r="J293" s="3565">
        <v>1127739</v>
      </c>
      <c r="K293" s="3565">
        <v>10442.030000000001</v>
      </c>
      <c r="L293" s="3565">
        <v>12923.89</v>
      </c>
      <c r="M293" s="3565">
        <v>0</v>
      </c>
      <c r="N293" s="3565">
        <v>0</v>
      </c>
      <c r="O293" s="3563" t="s">
        <v>3453</v>
      </c>
    </row>
    <row r="294" spans="1:15">
      <c r="A294" s="3563" t="s">
        <v>4495</v>
      </c>
      <c r="B294" s="3563" t="s">
        <v>4196</v>
      </c>
      <c r="C294" s="3563" t="s">
        <v>4197</v>
      </c>
      <c r="D294" s="3563" t="s">
        <v>4198</v>
      </c>
      <c r="E294" s="3563" t="s">
        <v>4423</v>
      </c>
      <c r="F294" s="3563" t="s">
        <v>4200</v>
      </c>
      <c r="G294" s="3564">
        <v>108</v>
      </c>
      <c r="H294" s="3564">
        <v>87.26</v>
      </c>
      <c r="I294" s="3564">
        <v>20.74</v>
      </c>
      <c r="J294" s="3565">
        <v>1141526</v>
      </c>
      <c r="K294" s="3565">
        <v>10569.69</v>
      </c>
      <c r="L294" s="3565">
        <v>13081.89</v>
      </c>
      <c r="M294" s="3565">
        <v>0</v>
      </c>
      <c r="N294" s="3565">
        <v>0</v>
      </c>
      <c r="O294" s="3563" t="s">
        <v>3453</v>
      </c>
    </row>
    <row r="295" spans="1:15">
      <c r="A295" s="3563" t="s">
        <v>4496</v>
      </c>
      <c r="B295" s="3563" t="s">
        <v>4196</v>
      </c>
      <c r="C295" s="3563" t="s">
        <v>4197</v>
      </c>
      <c r="D295" s="3563" t="s">
        <v>4198</v>
      </c>
      <c r="E295" s="3563" t="s">
        <v>4423</v>
      </c>
      <c r="F295" s="3563" t="s">
        <v>4200</v>
      </c>
      <c r="G295" s="3564">
        <v>98.17</v>
      </c>
      <c r="H295" s="3564">
        <v>79.319999999999993</v>
      </c>
      <c r="I295" s="3564">
        <v>18.850000000000001</v>
      </c>
      <c r="J295" s="3565">
        <v>980187</v>
      </c>
      <c r="K295" s="3565">
        <v>9984.59</v>
      </c>
      <c r="L295" s="3565">
        <v>12357.38</v>
      </c>
      <c r="M295" s="3565">
        <v>0</v>
      </c>
      <c r="N295" s="3565">
        <v>0</v>
      </c>
      <c r="O295" s="3563" t="s">
        <v>3453</v>
      </c>
    </row>
    <row r="296" spans="1:15">
      <c r="A296" s="3563" t="s">
        <v>4497</v>
      </c>
      <c r="B296" s="3563" t="s">
        <v>4196</v>
      </c>
      <c r="C296" s="3563" t="s">
        <v>4197</v>
      </c>
      <c r="D296" s="3563" t="s">
        <v>4198</v>
      </c>
      <c r="E296" s="3563" t="s">
        <v>4423</v>
      </c>
      <c r="F296" s="3563" t="s">
        <v>4200</v>
      </c>
      <c r="G296" s="3564">
        <v>98.17</v>
      </c>
      <c r="H296" s="3564">
        <v>79.319999999999993</v>
      </c>
      <c r="I296" s="3564">
        <v>18.850000000000001</v>
      </c>
      <c r="J296" s="3565">
        <v>980187</v>
      </c>
      <c r="K296" s="3565">
        <v>9984.59</v>
      </c>
      <c r="L296" s="3565">
        <v>12357.38</v>
      </c>
      <c r="M296" s="3565">
        <v>0</v>
      </c>
      <c r="N296" s="3565">
        <v>0</v>
      </c>
      <c r="O296" s="3563" t="s">
        <v>3453</v>
      </c>
    </row>
    <row r="297" spans="1:15">
      <c r="A297" s="3563" t="s">
        <v>4498</v>
      </c>
      <c r="B297" s="3563" t="s">
        <v>4196</v>
      </c>
      <c r="C297" s="3563" t="s">
        <v>4197</v>
      </c>
      <c r="D297" s="3563" t="s">
        <v>4198</v>
      </c>
      <c r="E297" s="3563" t="s">
        <v>4423</v>
      </c>
      <c r="F297" s="3563" t="s">
        <v>4200</v>
      </c>
      <c r="G297" s="3564">
        <v>108</v>
      </c>
      <c r="H297" s="3564">
        <v>87.26</v>
      </c>
      <c r="I297" s="3564">
        <v>20.74</v>
      </c>
      <c r="J297" s="3565">
        <v>1141526</v>
      </c>
      <c r="K297" s="3565">
        <v>10569.69</v>
      </c>
      <c r="L297" s="3565">
        <v>13081.89</v>
      </c>
      <c r="M297" s="3565">
        <v>0</v>
      </c>
      <c r="N297" s="3565">
        <v>0</v>
      </c>
      <c r="O297" s="3563" t="s">
        <v>3453</v>
      </c>
    </row>
    <row r="298" spans="1:15">
      <c r="A298" s="3563" t="s">
        <v>4499</v>
      </c>
      <c r="B298" s="3563" t="s">
        <v>4196</v>
      </c>
      <c r="C298" s="3563" t="s">
        <v>4197</v>
      </c>
      <c r="D298" s="3563" t="s">
        <v>4198</v>
      </c>
      <c r="E298" s="3563" t="s">
        <v>4423</v>
      </c>
      <c r="F298" s="3563" t="s">
        <v>4200</v>
      </c>
      <c r="G298" s="3564">
        <v>108</v>
      </c>
      <c r="H298" s="3564">
        <v>87.26</v>
      </c>
      <c r="I298" s="3564">
        <v>20.74</v>
      </c>
      <c r="J298" s="3565">
        <v>1155313</v>
      </c>
      <c r="K298" s="3565">
        <v>10697.34</v>
      </c>
      <c r="L298" s="3565">
        <v>13239.89</v>
      </c>
      <c r="M298" s="3565">
        <v>0</v>
      </c>
      <c r="N298" s="3565">
        <v>0</v>
      </c>
      <c r="O298" s="3563" t="s">
        <v>3453</v>
      </c>
    </row>
    <row r="299" spans="1:15">
      <c r="A299" s="3563" t="s">
        <v>4500</v>
      </c>
      <c r="B299" s="3563" t="s">
        <v>4196</v>
      </c>
      <c r="C299" s="3563" t="s">
        <v>4197</v>
      </c>
      <c r="D299" s="3563" t="s">
        <v>4198</v>
      </c>
      <c r="E299" s="3563" t="s">
        <v>4423</v>
      </c>
      <c r="F299" s="3563" t="s">
        <v>4200</v>
      </c>
      <c r="G299" s="3564">
        <v>98.17</v>
      </c>
      <c r="H299" s="3564">
        <v>79.319999999999993</v>
      </c>
      <c r="I299" s="3564">
        <v>18.850000000000001</v>
      </c>
      <c r="J299" s="3565">
        <v>992719</v>
      </c>
      <c r="K299" s="3565">
        <v>10112.24</v>
      </c>
      <c r="L299" s="3565">
        <v>12515.37</v>
      </c>
      <c r="M299" s="3565">
        <v>0</v>
      </c>
      <c r="N299" s="3565">
        <v>0</v>
      </c>
      <c r="O299" s="3563" t="s">
        <v>3453</v>
      </c>
    </row>
    <row r="300" spans="1:15">
      <c r="A300" s="3563" t="s">
        <v>4501</v>
      </c>
      <c r="B300" s="3563" t="s">
        <v>4196</v>
      </c>
      <c r="C300" s="3563" t="s">
        <v>4197</v>
      </c>
      <c r="D300" s="3563" t="s">
        <v>4198</v>
      </c>
      <c r="E300" s="3563" t="s">
        <v>4423</v>
      </c>
      <c r="F300" s="3563" t="s">
        <v>4200</v>
      </c>
      <c r="G300" s="3564">
        <v>98.17</v>
      </c>
      <c r="H300" s="3564">
        <v>79.319999999999993</v>
      </c>
      <c r="I300" s="3564">
        <v>18.850000000000001</v>
      </c>
      <c r="J300" s="3565">
        <v>992719</v>
      </c>
      <c r="K300" s="3565">
        <v>10112.24</v>
      </c>
      <c r="L300" s="3565">
        <v>12515.37</v>
      </c>
      <c r="M300" s="3565">
        <v>0</v>
      </c>
      <c r="N300" s="3565">
        <v>0</v>
      </c>
      <c r="O300" s="3563" t="s">
        <v>3453</v>
      </c>
    </row>
    <row r="301" spans="1:15">
      <c r="A301" s="3563" t="s">
        <v>4502</v>
      </c>
      <c r="B301" s="3563" t="s">
        <v>4196</v>
      </c>
      <c r="C301" s="3563" t="s">
        <v>4197</v>
      </c>
      <c r="D301" s="3563" t="s">
        <v>4198</v>
      </c>
      <c r="E301" s="3563" t="s">
        <v>4423</v>
      </c>
      <c r="F301" s="3563" t="s">
        <v>4200</v>
      </c>
      <c r="G301" s="3564">
        <v>108</v>
      </c>
      <c r="H301" s="3564">
        <v>87.26</v>
      </c>
      <c r="I301" s="3564">
        <v>20.74</v>
      </c>
      <c r="J301" s="3565">
        <v>1155313</v>
      </c>
      <c r="K301" s="3565">
        <v>10697.34</v>
      </c>
      <c r="L301" s="3565">
        <v>13239.89</v>
      </c>
      <c r="M301" s="3565">
        <v>0</v>
      </c>
      <c r="N301" s="3565">
        <v>0</v>
      </c>
      <c r="O301" s="3563" t="s">
        <v>3453</v>
      </c>
    </row>
    <row r="302" spans="1:15">
      <c r="A302" s="3563" t="s">
        <v>4503</v>
      </c>
      <c r="B302" s="3563" t="s">
        <v>4196</v>
      </c>
      <c r="C302" s="3563" t="s">
        <v>4197</v>
      </c>
      <c r="D302" s="3563" t="s">
        <v>4198</v>
      </c>
      <c r="E302" s="3563" t="s">
        <v>4423</v>
      </c>
      <c r="F302" s="3563" t="s">
        <v>4200</v>
      </c>
      <c r="G302" s="3564">
        <v>108</v>
      </c>
      <c r="H302" s="3564">
        <v>87.26</v>
      </c>
      <c r="I302" s="3564">
        <v>20.74</v>
      </c>
      <c r="J302" s="3565">
        <v>1157611</v>
      </c>
      <c r="K302" s="3565">
        <v>10718.62</v>
      </c>
      <c r="L302" s="3565">
        <v>13266.23</v>
      </c>
      <c r="M302" s="3565">
        <v>0</v>
      </c>
      <c r="N302" s="3565">
        <v>0</v>
      </c>
      <c r="O302" s="3563" t="s">
        <v>3453</v>
      </c>
    </row>
    <row r="303" spans="1:15">
      <c r="A303" s="3563" t="s">
        <v>4504</v>
      </c>
      <c r="B303" s="3563" t="s">
        <v>4196</v>
      </c>
      <c r="C303" s="3563" t="s">
        <v>4197</v>
      </c>
      <c r="D303" s="3563" t="s">
        <v>4198</v>
      </c>
      <c r="E303" s="3563" t="s">
        <v>4423</v>
      </c>
      <c r="F303" s="3563" t="s">
        <v>4200</v>
      </c>
      <c r="G303" s="3564">
        <v>98.17</v>
      </c>
      <c r="H303" s="3564">
        <v>79.319999999999993</v>
      </c>
      <c r="I303" s="3564">
        <v>18.850000000000001</v>
      </c>
      <c r="J303" s="3565">
        <v>994807</v>
      </c>
      <c r="K303" s="3565">
        <v>10133.51</v>
      </c>
      <c r="L303" s="3565">
        <v>12541.69</v>
      </c>
      <c r="M303" s="3565">
        <v>0</v>
      </c>
      <c r="N303" s="3565">
        <v>0</v>
      </c>
      <c r="O303" s="3563" t="s">
        <v>3453</v>
      </c>
    </row>
    <row r="304" spans="1:15">
      <c r="A304" s="3563" t="s">
        <v>4505</v>
      </c>
      <c r="B304" s="3563" t="s">
        <v>4196</v>
      </c>
      <c r="C304" s="3563" t="s">
        <v>4197</v>
      </c>
      <c r="D304" s="3563" t="s">
        <v>4198</v>
      </c>
      <c r="E304" s="3563" t="s">
        <v>4423</v>
      </c>
      <c r="F304" s="3563" t="s">
        <v>4200</v>
      </c>
      <c r="G304" s="3564">
        <v>98.17</v>
      </c>
      <c r="H304" s="3564">
        <v>79.319999999999993</v>
      </c>
      <c r="I304" s="3564">
        <v>18.850000000000001</v>
      </c>
      <c r="J304" s="3565">
        <v>994807</v>
      </c>
      <c r="K304" s="3565">
        <v>10133.51</v>
      </c>
      <c r="L304" s="3565">
        <v>12541.69</v>
      </c>
      <c r="M304" s="3565">
        <v>0</v>
      </c>
      <c r="N304" s="3565">
        <v>0</v>
      </c>
      <c r="O304" s="3563" t="s">
        <v>3453</v>
      </c>
    </row>
    <row r="305" spans="1:15">
      <c r="A305" s="3563" t="s">
        <v>4506</v>
      </c>
      <c r="B305" s="3563" t="s">
        <v>4196</v>
      </c>
      <c r="C305" s="3563" t="s">
        <v>4197</v>
      </c>
      <c r="D305" s="3563" t="s">
        <v>4198</v>
      </c>
      <c r="E305" s="3563" t="s">
        <v>4423</v>
      </c>
      <c r="F305" s="3563" t="s">
        <v>4200</v>
      </c>
      <c r="G305" s="3564">
        <v>108</v>
      </c>
      <c r="H305" s="3564">
        <v>87.26</v>
      </c>
      <c r="I305" s="3564">
        <v>20.74</v>
      </c>
      <c r="J305" s="3565">
        <v>1157611</v>
      </c>
      <c r="K305" s="3565">
        <v>10718.62</v>
      </c>
      <c r="L305" s="3565">
        <v>13266.23</v>
      </c>
      <c r="M305" s="3565">
        <v>0</v>
      </c>
      <c r="N305" s="3565">
        <v>0</v>
      </c>
      <c r="O305" s="3563" t="s">
        <v>3453</v>
      </c>
    </row>
    <row r="306" spans="1:15">
      <c r="A306" s="3563" t="s">
        <v>4507</v>
      </c>
      <c r="B306" s="3563" t="s">
        <v>4196</v>
      </c>
      <c r="C306" s="3563" t="s">
        <v>4197</v>
      </c>
      <c r="D306" s="3563" t="s">
        <v>4198</v>
      </c>
      <c r="E306" s="3563" t="s">
        <v>4423</v>
      </c>
      <c r="F306" s="3563" t="s">
        <v>4200</v>
      </c>
      <c r="G306" s="3564">
        <v>108</v>
      </c>
      <c r="H306" s="3564">
        <v>87.26</v>
      </c>
      <c r="I306" s="3564">
        <v>20.74</v>
      </c>
      <c r="J306" s="3565">
        <v>1159909</v>
      </c>
      <c r="K306" s="3565">
        <v>10739.9</v>
      </c>
      <c r="L306" s="3565">
        <v>13292.56</v>
      </c>
      <c r="M306" s="3565">
        <v>0</v>
      </c>
      <c r="N306" s="3565">
        <v>0</v>
      </c>
      <c r="O306" s="3563" t="s">
        <v>3453</v>
      </c>
    </row>
    <row r="307" spans="1:15">
      <c r="A307" s="3563" t="s">
        <v>4508</v>
      </c>
      <c r="B307" s="3563" t="s">
        <v>4196</v>
      </c>
      <c r="C307" s="3563" t="s">
        <v>4197</v>
      </c>
      <c r="D307" s="3563" t="s">
        <v>4198</v>
      </c>
      <c r="E307" s="3563" t="s">
        <v>4423</v>
      </c>
      <c r="F307" s="3563" t="s">
        <v>4200</v>
      </c>
      <c r="G307" s="3564">
        <v>98.17</v>
      </c>
      <c r="H307" s="3564">
        <v>79.319999999999993</v>
      </c>
      <c r="I307" s="3564">
        <v>18.850000000000001</v>
      </c>
      <c r="J307" s="3565">
        <v>1007340</v>
      </c>
      <c r="K307" s="3565">
        <v>10261.18</v>
      </c>
      <c r="L307" s="3565">
        <v>12699.7</v>
      </c>
      <c r="M307" s="3565">
        <v>0</v>
      </c>
      <c r="N307" s="3565">
        <v>0</v>
      </c>
      <c r="O307" s="3563" t="s">
        <v>3453</v>
      </c>
    </row>
    <row r="308" spans="1:15">
      <c r="A308" s="3563" t="s">
        <v>4509</v>
      </c>
      <c r="B308" s="3563" t="s">
        <v>4196</v>
      </c>
      <c r="C308" s="3563" t="s">
        <v>4197</v>
      </c>
      <c r="D308" s="3563" t="s">
        <v>4198</v>
      </c>
      <c r="E308" s="3563" t="s">
        <v>4423</v>
      </c>
      <c r="F308" s="3563" t="s">
        <v>4200</v>
      </c>
      <c r="G308" s="3564">
        <v>98.17</v>
      </c>
      <c r="H308" s="3564">
        <v>79.319999999999993</v>
      </c>
      <c r="I308" s="3564">
        <v>18.850000000000001</v>
      </c>
      <c r="J308" s="3565">
        <v>1007340</v>
      </c>
      <c r="K308" s="3565">
        <v>10261.18</v>
      </c>
      <c r="L308" s="3565">
        <v>12699.7</v>
      </c>
      <c r="M308" s="3565">
        <v>0</v>
      </c>
      <c r="N308" s="3565">
        <v>0</v>
      </c>
      <c r="O308" s="3563" t="s">
        <v>3453</v>
      </c>
    </row>
    <row r="309" spans="1:15">
      <c r="A309" s="3563" t="s">
        <v>4510</v>
      </c>
      <c r="B309" s="3563" t="s">
        <v>4196</v>
      </c>
      <c r="C309" s="3563" t="s">
        <v>4197</v>
      </c>
      <c r="D309" s="3563" t="s">
        <v>4198</v>
      </c>
      <c r="E309" s="3563" t="s">
        <v>4423</v>
      </c>
      <c r="F309" s="3563" t="s">
        <v>4200</v>
      </c>
      <c r="G309" s="3564">
        <v>108</v>
      </c>
      <c r="H309" s="3564">
        <v>87.26</v>
      </c>
      <c r="I309" s="3564">
        <v>20.74</v>
      </c>
      <c r="J309" s="3565">
        <v>1159909</v>
      </c>
      <c r="K309" s="3565">
        <v>10739.9</v>
      </c>
      <c r="L309" s="3565">
        <v>13292.56</v>
      </c>
      <c r="M309" s="3565">
        <v>0</v>
      </c>
      <c r="N309" s="3565">
        <v>0</v>
      </c>
      <c r="O309" s="3563" t="s">
        <v>3453</v>
      </c>
    </row>
    <row r="310" spans="1:15">
      <c r="A310" s="3563" t="s">
        <v>4511</v>
      </c>
      <c r="B310" s="3563" t="s">
        <v>4196</v>
      </c>
      <c r="C310" s="3563" t="s">
        <v>4197</v>
      </c>
      <c r="D310" s="3563" t="s">
        <v>4198</v>
      </c>
      <c r="E310" s="3563" t="s">
        <v>4423</v>
      </c>
      <c r="F310" s="3563" t="s">
        <v>4200</v>
      </c>
      <c r="G310" s="3564">
        <v>108</v>
      </c>
      <c r="H310" s="3564">
        <v>87.26</v>
      </c>
      <c r="I310" s="3564">
        <v>20.74</v>
      </c>
      <c r="J310" s="3565">
        <v>1162207</v>
      </c>
      <c r="K310" s="3565">
        <v>10761.18</v>
      </c>
      <c r="L310" s="3565">
        <v>13318.9</v>
      </c>
      <c r="M310" s="3565">
        <v>0</v>
      </c>
      <c r="N310" s="3565">
        <v>0</v>
      </c>
      <c r="O310" s="3563" t="s">
        <v>3453</v>
      </c>
    </row>
    <row r="311" spans="1:15">
      <c r="A311" s="3563" t="s">
        <v>4512</v>
      </c>
      <c r="B311" s="3563" t="s">
        <v>4196</v>
      </c>
      <c r="C311" s="3563" t="s">
        <v>4197</v>
      </c>
      <c r="D311" s="3563" t="s">
        <v>4198</v>
      </c>
      <c r="E311" s="3563" t="s">
        <v>4423</v>
      </c>
      <c r="F311" s="3563" t="s">
        <v>4200</v>
      </c>
      <c r="G311" s="3564">
        <v>98.17</v>
      </c>
      <c r="H311" s="3564">
        <v>79.319999999999993</v>
      </c>
      <c r="I311" s="3564">
        <v>18.850000000000001</v>
      </c>
      <c r="J311" s="3565">
        <v>1009428</v>
      </c>
      <c r="K311" s="3565">
        <v>10282.450000000001</v>
      </c>
      <c r="L311" s="3565">
        <v>12726.02</v>
      </c>
      <c r="M311" s="3565">
        <v>0</v>
      </c>
      <c r="N311" s="3565">
        <v>0</v>
      </c>
      <c r="O311" s="3563" t="s">
        <v>3453</v>
      </c>
    </row>
    <row r="312" spans="1:15">
      <c r="A312" s="3563" t="s">
        <v>4513</v>
      </c>
      <c r="B312" s="3563" t="s">
        <v>4196</v>
      </c>
      <c r="C312" s="3563" t="s">
        <v>4197</v>
      </c>
      <c r="D312" s="3563" t="s">
        <v>4198</v>
      </c>
      <c r="E312" s="3563" t="s">
        <v>4423</v>
      </c>
      <c r="F312" s="3563" t="s">
        <v>4200</v>
      </c>
      <c r="G312" s="3564">
        <v>98.17</v>
      </c>
      <c r="H312" s="3564">
        <v>79.319999999999993</v>
      </c>
      <c r="I312" s="3564">
        <v>18.850000000000001</v>
      </c>
      <c r="J312" s="3565">
        <v>1009428</v>
      </c>
      <c r="K312" s="3565">
        <v>10282.450000000001</v>
      </c>
      <c r="L312" s="3565">
        <v>12726.02</v>
      </c>
      <c r="M312" s="3565">
        <v>0</v>
      </c>
      <c r="N312" s="3565">
        <v>0</v>
      </c>
      <c r="O312" s="3563" t="s">
        <v>3453</v>
      </c>
    </row>
    <row r="313" spans="1:15">
      <c r="A313" s="3563" t="s">
        <v>4514</v>
      </c>
      <c r="B313" s="3563" t="s">
        <v>4196</v>
      </c>
      <c r="C313" s="3563" t="s">
        <v>4197</v>
      </c>
      <c r="D313" s="3563" t="s">
        <v>4198</v>
      </c>
      <c r="E313" s="3563" t="s">
        <v>4423</v>
      </c>
      <c r="F313" s="3563" t="s">
        <v>4200</v>
      </c>
      <c r="G313" s="3564">
        <v>108</v>
      </c>
      <c r="H313" s="3564">
        <v>87.26</v>
      </c>
      <c r="I313" s="3564">
        <v>20.74</v>
      </c>
      <c r="J313" s="3565">
        <v>1162207</v>
      </c>
      <c r="K313" s="3565">
        <v>10761.18</v>
      </c>
      <c r="L313" s="3565">
        <v>13318.9</v>
      </c>
      <c r="M313" s="3565">
        <v>0</v>
      </c>
      <c r="N313" s="3565">
        <v>0</v>
      </c>
      <c r="O313" s="3563" t="s">
        <v>3453</v>
      </c>
    </row>
    <row r="314" spans="1:15">
      <c r="A314" s="3563" t="s">
        <v>4515</v>
      </c>
      <c r="B314" s="3563" t="s">
        <v>4196</v>
      </c>
      <c r="C314" s="3563" t="s">
        <v>4197</v>
      </c>
      <c r="D314" s="3563" t="s">
        <v>4198</v>
      </c>
      <c r="E314" s="3563" t="s">
        <v>4423</v>
      </c>
      <c r="F314" s="3563" t="s">
        <v>4200</v>
      </c>
      <c r="G314" s="3564">
        <v>108</v>
      </c>
      <c r="H314" s="3564">
        <v>87.26</v>
      </c>
      <c r="I314" s="3564">
        <v>20.74</v>
      </c>
      <c r="J314" s="3565">
        <v>1159909</v>
      </c>
      <c r="K314" s="3565">
        <v>10739.9</v>
      </c>
      <c r="L314" s="3565">
        <v>13292.56</v>
      </c>
      <c r="M314" s="3565">
        <v>0</v>
      </c>
      <c r="N314" s="3565">
        <v>0</v>
      </c>
      <c r="O314" s="3563" t="s">
        <v>3453</v>
      </c>
    </row>
    <row r="315" spans="1:15">
      <c r="A315" s="3563" t="s">
        <v>4516</v>
      </c>
      <c r="B315" s="3563" t="s">
        <v>4196</v>
      </c>
      <c r="C315" s="3563" t="s">
        <v>4197</v>
      </c>
      <c r="D315" s="3563" t="s">
        <v>4198</v>
      </c>
      <c r="E315" s="3563" t="s">
        <v>4423</v>
      </c>
      <c r="F315" s="3563" t="s">
        <v>4200</v>
      </c>
      <c r="G315" s="3564">
        <v>98.17</v>
      </c>
      <c r="H315" s="3564">
        <v>79.319999999999993</v>
      </c>
      <c r="I315" s="3564">
        <v>18.850000000000001</v>
      </c>
      <c r="J315" s="3565">
        <v>1007340</v>
      </c>
      <c r="K315" s="3565">
        <v>10261.18</v>
      </c>
      <c r="L315" s="3565">
        <v>12699.7</v>
      </c>
      <c r="M315" s="3565">
        <v>0</v>
      </c>
      <c r="N315" s="3565">
        <v>0</v>
      </c>
      <c r="O315" s="3563" t="s">
        <v>3453</v>
      </c>
    </row>
    <row r="316" spans="1:15">
      <c r="A316" s="3563" t="s">
        <v>4517</v>
      </c>
      <c r="B316" s="3563" t="s">
        <v>4196</v>
      </c>
      <c r="C316" s="3563" t="s">
        <v>4197</v>
      </c>
      <c r="D316" s="3563" t="s">
        <v>4198</v>
      </c>
      <c r="E316" s="3563" t="s">
        <v>4423</v>
      </c>
      <c r="F316" s="3563" t="s">
        <v>4200</v>
      </c>
      <c r="G316" s="3564">
        <v>98.17</v>
      </c>
      <c r="H316" s="3564">
        <v>79.319999999999993</v>
      </c>
      <c r="I316" s="3564">
        <v>18.850000000000001</v>
      </c>
      <c r="J316" s="3565">
        <v>1007340</v>
      </c>
      <c r="K316" s="3565">
        <v>10261.18</v>
      </c>
      <c r="L316" s="3565">
        <v>12699.7</v>
      </c>
      <c r="M316" s="3565">
        <v>0</v>
      </c>
      <c r="N316" s="3565">
        <v>0</v>
      </c>
      <c r="O316" s="3563" t="s">
        <v>3453</v>
      </c>
    </row>
    <row r="317" spans="1:15">
      <c r="A317" s="3563" t="s">
        <v>4518</v>
      </c>
      <c r="B317" s="3563" t="s">
        <v>4196</v>
      </c>
      <c r="C317" s="3563" t="s">
        <v>4197</v>
      </c>
      <c r="D317" s="3563" t="s">
        <v>4198</v>
      </c>
      <c r="E317" s="3563" t="s">
        <v>4423</v>
      </c>
      <c r="F317" s="3563" t="s">
        <v>4200</v>
      </c>
      <c r="G317" s="3564">
        <v>108</v>
      </c>
      <c r="H317" s="3564">
        <v>87.26</v>
      </c>
      <c r="I317" s="3564">
        <v>20.74</v>
      </c>
      <c r="J317" s="3565">
        <v>1159909</v>
      </c>
      <c r="K317" s="3565">
        <v>10739.9</v>
      </c>
      <c r="L317" s="3565">
        <v>13292.56</v>
      </c>
      <c r="M317" s="3565">
        <v>0</v>
      </c>
      <c r="N317" s="3565">
        <v>0</v>
      </c>
      <c r="O317" s="3563" t="s">
        <v>3453</v>
      </c>
    </row>
    <row r="318" spans="1:15">
      <c r="A318" s="3563" t="s">
        <v>4519</v>
      </c>
      <c r="B318" s="3563" t="s">
        <v>4196</v>
      </c>
      <c r="C318" s="3563" t="s">
        <v>4197</v>
      </c>
      <c r="D318" s="3563" t="s">
        <v>4198</v>
      </c>
      <c r="E318" s="3563" t="s">
        <v>4520</v>
      </c>
      <c r="F318" s="3563" t="s">
        <v>4200</v>
      </c>
      <c r="G318" s="3564">
        <v>89.47</v>
      </c>
      <c r="H318" s="3564">
        <v>74.14</v>
      </c>
      <c r="I318" s="3564">
        <v>15.33</v>
      </c>
      <c r="J318" s="3565">
        <v>897127</v>
      </c>
      <c r="K318" s="3565">
        <v>10027.129999999999</v>
      </c>
      <c r="L318" s="3565">
        <v>12100.45</v>
      </c>
      <c r="M318" s="3565">
        <v>0</v>
      </c>
      <c r="N318" s="3565">
        <v>0</v>
      </c>
      <c r="O318" s="3563" t="s">
        <v>3453</v>
      </c>
    </row>
    <row r="319" spans="1:15">
      <c r="A319" s="3563" t="s">
        <v>4521</v>
      </c>
      <c r="B319" s="3563" t="s">
        <v>4196</v>
      </c>
      <c r="C319" s="3563" t="s">
        <v>4197</v>
      </c>
      <c r="D319" s="3563" t="s">
        <v>4198</v>
      </c>
      <c r="E319" s="3563" t="s">
        <v>4520</v>
      </c>
      <c r="F319" s="3563" t="s">
        <v>4200</v>
      </c>
      <c r="G319" s="3564">
        <v>89.47</v>
      </c>
      <c r="H319" s="3564">
        <v>74.14</v>
      </c>
      <c r="I319" s="3564">
        <v>15.33</v>
      </c>
      <c r="J319" s="3565">
        <v>906645</v>
      </c>
      <c r="K319" s="3565">
        <v>10133.51</v>
      </c>
      <c r="L319" s="3565">
        <v>12228.82</v>
      </c>
      <c r="M319" s="3565">
        <v>0</v>
      </c>
      <c r="N319" s="3565">
        <v>0</v>
      </c>
      <c r="O319" s="3563" t="s">
        <v>3453</v>
      </c>
    </row>
    <row r="320" spans="1:15">
      <c r="A320" s="3563" t="s">
        <v>4522</v>
      </c>
      <c r="B320" s="3563" t="s">
        <v>4196</v>
      </c>
      <c r="C320" s="3563" t="s">
        <v>4197</v>
      </c>
      <c r="D320" s="3563" t="s">
        <v>4198</v>
      </c>
      <c r="E320" s="3563" t="s">
        <v>4520</v>
      </c>
      <c r="F320" s="3563" t="s">
        <v>4200</v>
      </c>
      <c r="G320" s="3564">
        <v>108.51</v>
      </c>
      <c r="H320" s="3564">
        <v>87.26</v>
      </c>
      <c r="I320" s="3564">
        <v>21.25</v>
      </c>
      <c r="J320" s="3565">
        <v>1157306</v>
      </c>
      <c r="K320" s="3565">
        <v>10665.43</v>
      </c>
      <c r="L320" s="3565">
        <v>13262.73</v>
      </c>
      <c r="M320" s="3565">
        <v>0</v>
      </c>
      <c r="N320" s="3565">
        <v>0</v>
      </c>
      <c r="O320" s="3563" t="s">
        <v>3453</v>
      </c>
    </row>
    <row r="321" spans="1:15">
      <c r="A321" s="3563" t="s">
        <v>4523</v>
      </c>
      <c r="B321" s="3563" t="s">
        <v>4196</v>
      </c>
      <c r="C321" s="3563" t="s">
        <v>4197</v>
      </c>
      <c r="D321" s="3563" t="s">
        <v>4198</v>
      </c>
      <c r="E321" s="3563" t="s">
        <v>4520</v>
      </c>
      <c r="F321" s="3563" t="s">
        <v>4200</v>
      </c>
      <c r="G321" s="3564">
        <v>98.64</v>
      </c>
      <c r="H321" s="3564">
        <v>79.319999999999993</v>
      </c>
      <c r="I321" s="3564">
        <v>19.32</v>
      </c>
      <c r="J321" s="3565">
        <v>1025804</v>
      </c>
      <c r="K321" s="3565">
        <v>10399.469999999999</v>
      </c>
      <c r="L321" s="3565">
        <v>12932.48</v>
      </c>
      <c r="M321" s="3565">
        <v>0</v>
      </c>
      <c r="N321" s="3565">
        <v>0</v>
      </c>
      <c r="O321" s="3563" t="s">
        <v>3453</v>
      </c>
    </row>
    <row r="322" spans="1:15">
      <c r="A322" s="3563" t="s">
        <v>4524</v>
      </c>
      <c r="B322" s="3563" t="s">
        <v>4196</v>
      </c>
      <c r="C322" s="3563" t="s">
        <v>4197</v>
      </c>
      <c r="D322" s="3563" t="s">
        <v>4198</v>
      </c>
      <c r="E322" s="3563" t="s">
        <v>4520</v>
      </c>
      <c r="F322" s="3563" t="s">
        <v>4200</v>
      </c>
      <c r="G322" s="3564">
        <v>98.64</v>
      </c>
      <c r="H322" s="3564">
        <v>79.319999999999993</v>
      </c>
      <c r="I322" s="3564">
        <v>19.32</v>
      </c>
      <c r="J322" s="3565">
        <v>1025804</v>
      </c>
      <c r="K322" s="3565">
        <v>10399.469999999999</v>
      </c>
      <c r="L322" s="3565">
        <v>12932.48</v>
      </c>
      <c r="M322" s="3565">
        <v>0</v>
      </c>
      <c r="N322" s="3565">
        <v>0</v>
      </c>
      <c r="O322" s="3563" t="s">
        <v>3453</v>
      </c>
    </row>
    <row r="323" spans="1:15">
      <c r="A323" s="3563" t="s">
        <v>4525</v>
      </c>
      <c r="B323" s="3563" t="s">
        <v>4196</v>
      </c>
      <c r="C323" s="3563" t="s">
        <v>4197</v>
      </c>
      <c r="D323" s="3563" t="s">
        <v>4198</v>
      </c>
      <c r="E323" s="3563" t="s">
        <v>4520</v>
      </c>
      <c r="F323" s="3563" t="s">
        <v>4200</v>
      </c>
      <c r="G323" s="3564">
        <v>108.51</v>
      </c>
      <c r="H323" s="3564">
        <v>87.26</v>
      </c>
      <c r="I323" s="3564">
        <v>21.25</v>
      </c>
      <c r="J323" s="3565">
        <v>1157306</v>
      </c>
      <c r="K323" s="3565">
        <v>10665.43</v>
      </c>
      <c r="L323" s="3565">
        <v>13262.73</v>
      </c>
      <c r="M323" s="3565">
        <v>0</v>
      </c>
      <c r="N323" s="3565">
        <v>0</v>
      </c>
      <c r="O323" s="3563" t="s">
        <v>3453</v>
      </c>
    </row>
    <row r="324" spans="1:15">
      <c r="A324" s="3563" t="s">
        <v>4526</v>
      </c>
      <c r="B324" s="3563" t="s">
        <v>4196</v>
      </c>
      <c r="C324" s="3563" t="s">
        <v>4197</v>
      </c>
      <c r="D324" s="3563" t="s">
        <v>4198</v>
      </c>
      <c r="E324" s="3563" t="s">
        <v>4520</v>
      </c>
      <c r="F324" s="3563" t="s">
        <v>4200</v>
      </c>
      <c r="G324" s="3564">
        <v>108.51</v>
      </c>
      <c r="H324" s="3564">
        <v>87.26</v>
      </c>
      <c r="I324" s="3564">
        <v>21.25</v>
      </c>
      <c r="J324" s="3565">
        <v>1154997</v>
      </c>
      <c r="K324" s="3565">
        <v>10644.15</v>
      </c>
      <c r="L324" s="3565">
        <v>13236.27</v>
      </c>
      <c r="M324" s="3565">
        <v>0</v>
      </c>
      <c r="N324" s="3565">
        <v>0</v>
      </c>
      <c r="O324" s="3563" t="s">
        <v>3453</v>
      </c>
    </row>
    <row r="325" spans="1:15">
      <c r="A325" s="3563" t="s">
        <v>4527</v>
      </c>
      <c r="B325" s="3563" t="s">
        <v>4196</v>
      </c>
      <c r="C325" s="3563" t="s">
        <v>4197</v>
      </c>
      <c r="D325" s="3563" t="s">
        <v>4198</v>
      </c>
      <c r="E325" s="3563" t="s">
        <v>4520</v>
      </c>
      <c r="F325" s="3563" t="s">
        <v>4200</v>
      </c>
      <c r="G325" s="3564">
        <v>98.64</v>
      </c>
      <c r="H325" s="3564">
        <v>79.319999999999993</v>
      </c>
      <c r="I325" s="3564">
        <v>19.32</v>
      </c>
      <c r="J325" s="3565">
        <v>1023706</v>
      </c>
      <c r="K325" s="3565">
        <v>10378.200000000001</v>
      </c>
      <c r="L325" s="3565">
        <v>12906.03</v>
      </c>
      <c r="M325" s="3565">
        <v>0</v>
      </c>
      <c r="N325" s="3565">
        <v>0</v>
      </c>
      <c r="O325" s="3563" t="s">
        <v>3453</v>
      </c>
    </row>
    <row r="326" spans="1:15">
      <c r="A326" s="3563" t="s">
        <v>4528</v>
      </c>
      <c r="B326" s="3563" t="s">
        <v>4196</v>
      </c>
      <c r="C326" s="3563" t="s">
        <v>4197</v>
      </c>
      <c r="D326" s="3563" t="s">
        <v>4198</v>
      </c>
      <c r="E326" s="3563" t="s">
        <v>4520</v>
      </c>
      <c r="F326" s="3563" t="s">
        <v>4200</v>
      </c>
      <c r="G326" s="3564">
        <v>98.64</v>
      </c>
      <c r="H326" s="3564">
        <v>79.319999999999993</v>
      </c>
      <c r="I326" s="3564">
        <v>19.32</v>
      </c>
      <c r="J326" s="3565">
        <v>1023706</v>
      </c>
      <c r="K326" s="3565">
        <v>10378.200000000001</v>
      </c>
      <c r="L326" s="3565">
        <v>12906.03</v>
      </c>
      <c r="M326" s="3565">
        <v>0</v>
      </c>
      <c r="N326" s="3565">
        <v>0</v>
      </c>
      <c r="O326" s="3563" t="s">
        <v>3453</v>
      </c>
    </row>
    <row r="327" spans="1:15">
      <c r="A327" s="3563" t="s">
        <v>4529</v>
      </c>
      <c r="B327" s="3563" t="s">
        <v>4196</v>
      </c>
      <c r="C327" s="3563" t="s">
        <v>4197</v>
      </c>
      <c r="D327" s="3563" t="s">
        <v>4198</v>
      </c>
      <c r="E327" s="3563" t="s">
        <v>4520</v>
      </c>
      <c r="F327" s="3563" t="s">
        <v>4200</v>
      </c>
      <c r="G327" s="3564">
        <v>108.51</v>
      </c>
      <c r="H327" s="3564">
        <v>87.26</v>
      </c>
      <c r="I327" s="3564">
        <v>21.25</v>
      </c>
      <c r="J327" s="3565">
        <v>1154997</v>
      </c>
      <c r="K327" s="3565">
        <v>10644.15</v>
      </c>
      <c r="L327" s="3565">
        <v>13236.27</v>
      </c>
      <c r="M327" s="3565">
        <v>0</v>
      </c>
      <c r="N327" s="3565">
        <v>0</v>
      </c>
      <c r="O327" s="3563" t="s">
        <v>3453</v>
      </c>
    </row>
    <row r="328" spans="1:15">
      <c r="A328" s="3563" t="s">
        <v>4530</v>
      </c>
      <c r="B328" s="3563" t="s">
        <v>4196</v>
      </c>
      <c r="C328" s="3563" t="s">
        <v>4197</v>
      </c>
      <c r="D328" s="3563" t="s">
        <v>4198</v>
      </c>
      <c r="E328" s="3563" t="s">
        <v>4520</v>
      </c>
      <c r="F328" s="3563" t="s">
        <v>4200</v>
      </c>
      <c r="G328" s="3564">
        <v>108.51</v>
      </c>
      <c r="H328" s="3564">
        <v>87.26</v>
      </c>
      <c r="I328" s="3564">
        <v>21.25</v>
      </c>
      <c r="J328" s="3565">
        <v>1118058</v>
      </c>
      <c r="K328" s="3565">
        <v>10303.73</v>
      </c>
      <c r="L328" s="3565">
        <v>12812.95</v>
      </c>
      <c r="M328" s="3565">
        <v>0</v>
      </c>
      <c r="N328" s="3565">
        <v>0</v>
      </c>
      <c r="O328" s="3563" t="s">
        <v>3453</v>
      </c>
    </row>
    <row r="329" spans="1:15">
      <c r="A329" s="3563" t="s">
        <v>4531</v>
      </c>
      <c r="B329" s="3563" t="s">
        <v>4196</v>
      </c>
      <c r="C329" s="3563" t="s">
        <v>4197</v>
      </c>
      <c r="D329" s="3563" t="s">
        <v>4198</v>
      </c>
      <c r="E329" s="3563" t="s">
        <v>4520</v>
      </c>
      <c r="F329" s="3563" t="s">
        <v>4200</v>
      </c>
      <c r="G329" s="3564">
        <v>98.64</v>
      </c>
      <c r="H329" s="3564">
        <v>79.319999999999993</v>
      </c>
      <c r="I329" s="3564">
        <v>19.32</v>
      </c>
      <c r="J329" s="3565">
        <v>990126</v>
      </c>
      <c r="K329" s="3565">
        <v>10037.77</v>
      </c>
      <c r="L329" s="3565">
        <v>12482.68</v>
      </c>
      <c r="M329" s="3565">
        <v>0</v>
      </c>
      <c r="N329" s="3565">
        <v>0</v>
      </c>
      <c r="O329" s="3563" t="s">
        <v>3453</v>
      </c>
    </row>
    <row r="330" spans="1:15">
      <c r="A330" s="3563" t="s">
        <v>4532</v>
      </c>
      <c r="B330" s="3563" t="s">
        <v>4196</v>
      </c>
      <c r="C330" s="3563" t="s">
        <v>4197</v>
      </c>
      <c r="D330" s="3563" t="s">
        <v>4198</v>
      </c>
      <c r="E330" s="3563" t="s">
        <v>4520</v>
      </c>
      <c r="F330" s="3563" t="s">
        <v>4200</v>
      </c>
      <c r="G330" s="3564">
        <v>98.64</v>
      </c>
      <c r="H330" s="3564">
        <v>79.319999999999993</v>
      </c>
      <c r="I330" s="3564">
        <v>19.32</v>
      </c>
      <c r="J330" s="3565">
        <v>990126</v>
      </c>
      <c r="K330" s="3565">
        <v>10037.77</v>
      </c>
      <c r="L330" s="3565">
        <v>12482.68</v>
      </c>
      <c r="M330" s="3565">
        <v>0</v>
      </c>
      <c r="N330" s="3565">
        <v>0</v>
      </c>
      <c r="O330" s="3563" t="s">
        <v>3453</v>
      </c>
    </row>
    <row r="331" spans="1:15">
      <c r="A331" s="3563" t="s">
        <v>4533</v>
      </c>
      <c r="B331" s="3563" t="s">
        <v>4196</v>
      </c>
      <c r="C331" s="3563" t="s">
        <v>4197</v>
      </c>
      <c r="D331" s="3563" t="s">
        <v>4198</v>
      </c>
      <c r="E331" s="3563" t="s">
        <v>4520</v>
      </c>
      <c r="F331" s="3563" t="s">
        <v>4200</v>
      </c>
      <c r="G331" s="3564">
        <v>108.51</v>
      </c>
      <c r="H331" s="3564">
        <v>87.26</v>
      </c>
      <c r="I331" s="3564">
        <v>21.25</v>
      </c>
      <c r="J331" s="3565">
        <v>1118058</v>
      </c>
      <c r="K331" s="3565">
        <v>10303.73</v>
      </c>
      <c r="L331" s="3565">
        <v>12812.95</v>
      </c>
      <c r="M331" s="3565">
        <v>0</v>
      </c>
      <c r="N331" s="3565">
        <v>0</v>
      </c>
      <c r="O331" s="3563" t="s">
        <v>3453</v>
      </c>
    </row>
    <row r="332" spans="1:15">
      <c r="A332" s="3563" t="s">
        <v>4534</v>
      </c>
      <c r="B332" s="3563" t="s">
        <v>4196</v>
      </c>
      <c r="C332" s="3563" t="s">
        <v>4197</v>
      </c>
      <c r="D332" s="3563" t="s">
        <v>4198</v>
      </c>
      <c r="E332" s="3563" t="s">
        <v>4520</v>
      </c>
      <c r="F332" s="3563" t="s">
        <v>4200</v>
      </c>
      <c r="G332" s="3564">
        <v>95.52</v>
      </c>
      <c r="H332" s="3564">
        <v>76.66</v>
      </c>
      <c r="I332" s="3564">
        <v>18.86</v>
      </c>
      <c r="J332" s="3565">
        <v>969986</v>
      </c>
      <c r="K332" s="3565">
        <v>10154.790000000001</v>
      </c>
      <c r="L332" s="3565">
        <v>12653.09</v>
      </c>
      <c r="M332" s="3565">
        <v>0</v>
      </c>
      <c r="N332" s="3565">
        <v>0</v>
      </c>
      <c r="O332" s="3563" t="s">
        <v>3453</v>
      </c>
    </row>
    <row r="333" spans="1:15">
      <c r="A333" s="3563" t="s">
        <v>4535</v>
      </c>
      <c r="B333" s="3563" t="s">
        <v>4196</v>
      </c>
      <c r="C333" s="3563" t="s">
        <v>4197</v>
      </c>
      <c r="D333" s="3563" t="s">
        <v>4198</v>
      </c>
      <c r="E333" s="3563" t="s">
        <v>4520</v>
      </c>
      <c r="F333" s="3563" t="s">
        <v>4200</v>
      </c>
      <c r="G333" s="3564">
        <v>98.83</v>
      </c>
      <c r="H333" s="3564">
        <v>79.319999999999993</v>
      </c>
      <c r="I333" s="3564">
        <v>19.510000000000002</v>
      </c>
      <c r="J333" s="3565">
        <v>966799</v>
      </c>
      <c r="K333" s="3565">
        <v>9782.44</v>
      </c>
      <c r="L333" s="3565">
        <v>12188.59</v>
      </c>
      <c r="M333" s="3565">
        <v>0</v>
      </c>
      <c r="N333" s="3565">
        <v>0</v>
      </c>
      <c r="O333" s="3563" t="s">
        <v>3453</v>
      </c>
    </row>
    <row r="334" spans="1:15">
      <c r="A334" s="3563" t="s">
        <v>4536</v>
      </c>
      <c r="B334" s="3563" t="s">
        <v>4196</v>
      </c>
      <c r="C334" s="3563" t="s">
        <v>4197</v>
      </c>
      <c r="D334" s="3563" t="s">
        <v>4198</v>
      </c>
      <c r="E334" s="3563" t="s">
        <v>4520</v>
      </c>
      <c r="F334" s="3563" t="s">
        <v>4200</v>
      </c>
      <c r="G334" s="3564">
        <v>98.83</v>
      </c>
      <c r="H334" s="3564">
        <v>79.319999999999993</v>
      </c>
      <c r="I334" s="3564">
        <v>19.510000000000002</v>
      </c>
      <c r="J334" s="3565">
        <v>977313</v>
      </c>
      <c r="K334" s="3565">
        <v>9888.83</v>
      </c>
      <c r="L334" s="3565">
        <v>12321.14</v>
      </c>
      <c r="M334" s="3565">
        <v>0</v>
      </c>
      <c r="N334" s="3565">
        <v>0</v>
      </c>
      <c r="O334" s="3563" t="s">
        <v>3453</v>
      </c>
    </row>
    <row r="335" spans="1:15">
      <c r="A335" s="3563" t="s">
        <v>4537</v>
      </c>
      <c r="B335" s="3563" t="s">
        <v>4196</v>
      </c>
      <c r="C335" s="3563" t="s">
        <v>4197</v>
      </c>
      <c r="D335" s="3563" t="s">
        <v>4198</v>
      </c>
      <c r="E335" s="3563" t="s">
        <v>4520</v>
      </c>
      <c r="F335" s="3563" t="s">
        <v>4200</v>
      </c>
      <c r="G335" s="3564">
        <v>95.52</v>
      </c>
      <c r="H335" s="3564">
        <v>76.66</v>
      </c>
      <c r="I335" s="3564">
        <v>18.86</v>
      </c>
      <c r="J335" s="3565">
        <v>980147</v>
      </c>
      <c r="K335" s="3565">
        <v>10261.17</v>
      </c>
      <c r="L335" s="3565">
        <v>12785.64</v>
      </c>
      <c r="M335" s="3565">
        <v>0</v>
      </c>
      <c r="N335" s="3565">
        <v>0</v>
      </c>
      <c r="O335" s="3563" t="s">
        <v>3453</v>
      </c>
    </row>
    <row r="336" spans="1:15">
      <c r="A336" s="3563" t="s">
        <v>4538</v>
      </c>
      <c r="B336" s="3563" t="s">
        <v>4196</v>
      </c>
      <c r="C336" s="3563" t="s">
        <v>4197</v>
      </c>
      <c r="D336" s="3563" t="s">
        <v>4198</v>
      </c>
      <c r="E336" s="3563" t="s">
        <v>4520</v>
      </c>
      <c r="F336" s="3563" t="s">
        <v>4200</v>
      </c>
      <c r="G336" s="3564">
        <v>108.51</v>
      </c>
      <c r="H336" s="3564">
        <v>87.26</v>
      </c>
      <c r="I336" s="3564">
        <v>21.25</v>
      </c>
      <c r="J336" s="3565">
        <v>1115748</v>
      </c>
      <c r="K336" s="3565">
        <v>10282.44</v>
      </c>
      <c r="L336" s="3565">
        <v>12786.48</v>
      </c>
      <c r="M336" s="3565">
        <v>0</v>
      </c>
      <c r="N336" s="3565">
        <v>0</v>
      </c>
      <c r="O336" s="3563" t="s">
        <v>3453</v>
      </c>
    </row>
    <row r="337" spans="1:15">
      <c r="A337" s="3563" t="s">
        <v>4539</v>
      </c>
      <c r="B337" s="3563" t="s">
        <v>4196</v>
      </c>
      <c r="C337" s="3563" t="s">
        <v>4197</v>
      </c>
      <c r="D337" s="3563" t="s">
        <v>4198</v>
      </c>
      <c r="E337" s="3563" t="s">
        <v>4520</v>
      </c>
      <c r="F337" s="3563" t="s">
        <v>4200</v>
      </c>
      <c r="G337" s="3564">
        <v>98.64</v>
      </c>
      <c r="H337" s="3564">
        <v>79.319999999999993</v>
      </c>
      <c r="I337" s="3564">
        <v>19.32</v>
      </c>
      <c r="J337" s="3565">
        <v>977533</v>
      </c>
      <c r="K337" s="3565">
        <v>9910.11</v>
      </c>
      <c r="L337" s="3565">
        <v>12323.92</v>
      </c>
      <c r="M337" s="3565">
        <v>0</v>
      </c>
      <c r="N337" s="3565">
        <v>0</v>
      </c>
      <c r="O337" s="3563" t="s">
        <v>3453</v>
      </c>
    </row>
    <row r="338" spans="1:15">
      <c r="A338" s="3563" t="s">
        <v>4540</v>
      </c>
      <c r="B338" s="3563" t="s">
        <v>4196</v>
      </c>
      <c r="C338" s="3563" t="s">
        <v>4197</v>
      </c>
      <c r="D338" s="3563" t="s">
        <v>4198</v>
      </c>
      <c r="E338" s="3563" t="s">
        <v>4520</v>
      </c>
      <c r="F338" s="3563" t="s">
        <v>4200</v>
      </c>
      <c r="G338" s="3564">
        <v>98.64</v>
      </c>
      <c r="H338" s="3564">
        <v>79.319999999999993</v>
      </c>
      <c r="I338" s="3564">
        <v>19.32</v>
      </c>
      <c r="J338" s="3565">
        <v>988027</v>
      </c>
      <c r="K338" s="3565">
        <v>10016.49</v>
      </c>
      <c r="L338" s="3565">
        <v>12456.22</v>
      </c>
      <c r="M338" s="3565">
        <v>0</v>
      </c>
      <c r="N338" s="3565">
        <v>0</v>
      </c>
      <c r="O338" s="3563" t="s">
        <v>3453</v>
      </c>
    </row>
    <row r="339" spans="1:15">
      <c r="A339" s="3563" t="s">
        <v>4541</v>
      </c>
      <c r="B339" s="3563" t="s">
        <v>4196</v>
      </c>
      <c r="C339" s="3563" t="s">
        <v>4197</v>
      </c>
      <c r="D339" s="3563" t="s">
        <v>4198</v>
      </c>
      <c r="E339" s="3563" t="s">
        <v>4520</v>
      </c>
      <c r="F339" s="3563" t="s">
        <v>4200</v>
      </c>
      <c r="G339" s="3564">
        <v>108.51</v>
      </c>
      <c r="H339" s="3564">
        <v>87.26</v>
      </c>
      <c r="I339" s="3564">
        <v>21.25</v>
      </c>
      <c r="J339" s="3565">
        <v>1127292</v>
      </c>
      <c r="K339" s="3565">
        <v>10388.83</v>
      </c>
      <c r="L339" s="3565">
        <v>12918.77</v>
      </c>
      <c r="M339" s="3565">
        <v>0</v>
      </c>
      <c r="N339" s="3565">
        <v>0</v>
      </c>
      <c r="O339" s="3563" t="s">
        <v>3453</v>
      </c>
    </row>
    <row r="340" spans="1:15">
      <c r="A340" s="3563" t="s">
        <v>4542</v>
      </c>
      <c r="B340" s="3563" t="s">
        <v>4196</v>
      </c>
      <c r="C340" s="3563" t="s">
        <v>4197</v>
      </c>
      <c r="D340" s="3563" t="s">
        <v>4198</v>
      </c>
      <c r="E340" s="3563" t="s">
        <v>4520</v>
      </c>
      <c r="F340" s="3563" t="s">
        <v>4200</v>
      </c>
      <c r="G340" s="3564">
        <v>108.51</v>
      </c>
      <c r="H340" s="3564">
        <v>87.26</v>
      </c>
      <c r="I340" s="3564">
        <v>21.25</v>
      </c>
      <c r="J340" s="3565">
        <v>1129602</v>
      </c>
      <c r="K340" s="3565">
        <v>10410.120000000001</v>
      </c>
      <c r="L340" s="3565">
        <v>12945.24</v>
      </c>
      <c r="M340" s="3565">
        <v>0</v>
      </c>
      <c r="N340" s="3565">
        <v>0</v>
      </c>
      <c r="O340" s="3563" t="s">
        <v>3453</v>
      </c>
    </row>
    <row r="341" spans="1:15">
      <c r="A341" s="3563" t="s">
        <v>4543</v>
      </c>
      <c r="B341" s="3563" t="s">
        <v>4196</v>
      </c>
      <c r="C341" s="3563" t="s">
        <v>4197</v>
      </c>
      <c r="D341" s="3563" t="s">
        <v>4198</v>
      </c>
      <c r="E341" s="3563" t="s">
        <v>4520</v>
      </c>
      <c r="F341" s="3563" t="s">
        <v>4200</v>
      </c>
      <c r="G341" s="3564">
        <v>98.64</v>
      </c>
      <c r="H341" s="3564">
        <v>79.319999999999993</v>
      </c>
      <c r="I341" s="3564">
        <v>19.32</v>
      </c>
      <c r="J341" s="3565">
        <v>990126</v>
      </c>
      <c r="K341" s="3565">
        <v>10037.77</v>
      </c>
      <c r="L341" s="3565">
        <v>12482.68</v>
      </c>
      <c r="M341" s="3565">
        <v>0</v>
      </c>
      <c r="N341" s="3565">
        <v>0</v>
      </c>
      <c r="O341" s="3563" t="s">
        <v>3453</v>
      </c>
    </row>
    <row r="342" spans="1:15">
      <c r="A342" s="3563" t="s">
        <v>4544</v>
      </c>
      <c r="B342" s="3563" t="s">
        <v>4196</v>
      </c>
      <c r="C342" s="3563" t="s">
        <v>4197</v>
      </c>
      <c r="D342" s="3563" t="s">
        <v>4198</v>
      </c>
      <c r="E342" s="3563" t="s">
        <v>4520</v>
      </c>
      <c r="F342" s="3563" t="s">
        <v>4200</v>
      </c>
      <c r="G342" s="3564">
        <v>98.64</v>
      </c>
      <c r="H342" s="3564">
        <v>79.319999999999993</v>
      </c>
      <c r="I342" s="3564">
        <v>19.32</v>
      </c>
      <c r="J342" s="3565">
        <v>1000620</v>
      </c>
      <c r="K342" s="3565">
        <v>10144.16</v>
      </c>
      <c r="L342" s="3565">
        <v>12614.98</v>
      </c>
      <c r="M342" s="3565">
        <v>0</v>
      </c>
      <c r="N342" s="3565">
        <v>0</v>
      </c>
      <c r="O342" s="3563" t="s">
        <v>3453</v>
      </c>
    </row>
    <row r="343" spans="1:15">
      <c r="A343" s="3563" t="s">
        <v>4545</v>
      </c>
      <c r="B343" s="3563" t="s">
        <v>4196</v>
      </c>
      <c r="C343" s="3563" t="s">
        <v>4197</v>
      </c>
      <c r="D343" s="3563" t="s">
        <v>4198</v>
      </c>
      <c r="E343" s="3563" t="s">
        <v>4520</v>
      </c>
      <c r="F343" s="3563" t="s">
        <v>4200</v>
      </c>
      <c r="G343" s="3564">
        <v>108.51</v>
      </c>
      <c r="H343" s="3564">
        <v>87.26</v>
      </c>
      <c r="I343" s="3564">
        <v>21.25</v>
      </c>
      <c r="J343" s="3565">
        <v>1141145</v>
      </c>
      <c r="K343" s="3565">
        <v>10516.5</v>
      </c>
      <c r="L343" s="3565">
        <v>13077.53</v>
      </c>
      <c r="M343" s="3565">
        <v>0</v>
      </c>
      <c r="N343" s="3565">
        <v>0</v>
      </c>
      <c r="O343" s="3563" t="s">
        <v>3453</v>
      </c>
    </row>
    <row r="344" spans="1:15">
      <c r="A344" s="3563" t="s">
        <v>4546</v>
      </c>
      <c r="B344" s="3563" t="s">
        <v>4196</v>
      </c>
      <c r="C344" s="3563" t="s">
        <v>4197</v>
      </c>
      <c r="D344" s="3563" t="s">
        <v>4198</v>
      </c>
      <c r="E344" s="3563" t="s">
        <v>4520</v>
      </c>
      <c r="F344" s="3563" t="s">
        <v>4200</v>
      </c>
      <c r="G344" s="3564">
        <v>108.51</v>
      </c>
      <c r="H344" s="3564">
        <v>87.26</v>
      </c>
      <c r="I344" s="3564">
        <v>21.25</v>
      </c>
      <c r="J344" s="3565">
        <v>1143454</v>
      </c>
      <c r="K344" s="3565">
        <v>10537.78</v>
      </c>
      <c r="L344" s="3565">
        <v>13103.99</v>
      </c>
      <c r="M344" s="3565">
        <v>0</v>
      </c>
      <c r="N344" s="3565">
        <v>0</v>
      </c>
      <c r="O344" s="3563" t="s">
        <v>3453</v>
      </c>
    </row>
    <row r="345" spans="1:15">
      <c r="A345" s="3563" t="s">
        <v>4547</v>
      </c>
      <c r="B345" s="3563" t="s">
        <v>4196</v>
      </c>
      <c r="C345" s="3563" t="s">
        <v>4197</v>
      </c>
      <c r="D345" s="3563" t="s">
        <v>4198</v>
      </c>
      <c r="E345" s="3563" t="s">
        <v>4520</v>
      </c>
      <c r="F345" s="3563" t="s">
        <v>4200</v>
      </c>
      <c r="G345" s="3564">
        <v>98.64</v>
      </c>
      <c r="H345" s="3564">
        <v>79.319999999999993</v>
      </c>
      <c r="I345" s="3564">
        <v>19.32</v>
      </c>
      <c r="J345" s="3565">
        <v>1002719</v>
      </c>
      <c r="K345" s="3565">
        <v>10165.44</v>
      </c>
      <c r="L345" s="3565">
        <v>12641.44</v>
      </c>
      <c r="M345" s="3565">
        <v>0</v>
      </c>
      <c r="N345" s="3565">
        <v>0</v>
      </c>
      <c r="O345" s="3563" t="s">
        <v>3453</v>
      </c>
    </row>
    <row r="346" spans="1:15">
      <c r="A346" s="3563" t="s">
        <v>4548</v>
      </c>
      <c r="B346" s="3563" t="s">
        <v>4196</v>
      </c>
      <c r="C346" s="3563" t="s">
        <v>4197</v>
      </c>
      <c r="D346" s="3563" t="s">
        <v>4198</v>
      </c>
      <c r="E346" s="3563" t="s">
        <v>4520</v>
      </c>
      <c r="F346" s="3563" t="s">
        <v>4200</v>
      </c>
      <c r="G346" s="3564">
        <v>98.64</v>
      </c>
      <c r="H346" s="3564">
        <v>79.319999999999993</v>
      </c>
      <c r="I346" s="3564">
        <v>19.32</v>
      </c>
      <c r="J346" s="3565">
        <v>1013212</v>
      </c>
      <c r="K346" s="3565">
        <v>10271.82</v>
      </c>
      <c r="L346" s="3565">
        <v>12773.73</v>
      </c>
      <c r="M346" s="3565">
        <v>0</v>
      </c>
      <c r="N346" s="3565">
        <v>0</v>
      </c>
      <c r="O346" s="3563" t="s">
        <v>3453</v>
      </c>
    </row>
    <row r="347" spans="1:15">
      <c r="A347" s="3563" t="s">
        <v>4549</v>
      </c>
      <c r="B347" s="3563" t="s">
        <v>4196</v>
      </c>
      <c r="C347" s="3563" t="s">
        <v>4197</v>
      </c>
      <c r="D347" s="3563" t="s">
        <v>4198</v>
      </c>
      <c r="E347" s="3563" t="s">
        <v>4520</v>
      </c>
      <c r="F347" s="3563" t="s">
        <v>4200</v>
      </c>
      <c r="G347" s="3564">
        <v>108.51</v>
      </c>
      <c r="H347" s="3564">
        <v>87.26</v>
      </c>
      <c r="I347" s="3564">
        <v>21.25</v>
      </c>
      <c r="J347" s="3565">
        <v>1154997</v>
      </c>
      <c r="K347" s="3565">
        <v>10644.15</v>
      </c>
      <c r="L347" s="3565">
        <v>13236.27</v>
      </c>
      <c r="M347" s="3565">
        <v>0</v>
      </c>
      <c r="N347" s="3565">
        <v>0</v>
      </c>
      <c r="O347" s="3563" t="s">
        <v>3453</v>
      </c>
    </row>
    <row r="348" spans="1:15">
      <c r="A348" s="3563" t="s">
        <v>4550</v>
      </c>
      <c r="B348" s="3563" t="s">
        <v>4196</v>
      </c>
      <c r="C348" s="3563" t="s">
        <v>4197</v>
      </c>
      <c r="D348" s="3563" t="s">
        <v>4198</v>
      </c>
      <c r="E348" s="3563" t="s">
        <v>4520</v>
      </c>
      <c r="F348" s="3563" t="s">
        <v>4200</v>
      </c>
      <c r="G348" s="3564">
        <v>108.51</v>
      </c>
      <c r="H348" s="3564">
        <v>87.26</v>
      </c>
      <c r="I348" s="3564">
        <v>21.25</v>
      </c>
      <c r="J348" s="3565">
        <v>1145762</v>
      </c>
      <c r="K348" s="3565">
        <v>10559.05</v>
      </c>
      <c r="L348" s="3565">
        <v>13130.44</v>
      </c>
      <c r="M348" s="3565">
        <v>0</v>
      </c>
      <c r="N348" s="3565">
        <v>0</v>
      </c>
      <c r="O348" s="3563" t="s">
        <v>3453</v>
      </c>
    </row>
    <row r="349" spans="1:15">
      <c r="A349" s="3563" t="s">
        <v>4551</v>
      </c>
      <c r="B349" s="3563" t="s">
        <v>4196</v>
      </c>
      <c r="C349" s="3563" t="s">
        <v>4197</v>
      </c>
      <c r="D349" s="3563" t="s">
        <v>4198</v>
      </c>
      <c r="E349" s="3563" t="s">
        <v>4520</v>
      </c>
      <c r="F349" s="3563" t="s">
        <v>4200</v>
      </c>
      <c r="G349" s="3564">
        <v>98.64</v>
      </c>
      <c r="H349" s="3564">
        <v>79.319999999999993</v>
      </c>
      <c r="I349" s="3564">
        <v>19.32</v>
      </c>
      <c r="J349" s="3565">
        <v>1004816</v>
      </c>
      <c r="K349" s="3565">
        <v>10186.700000000001</v>
      </c>
      <c r="L349" s="3565">
        <v>12667.88</v>
      </c>
      <c r="M349" s="3565">
        <v>0</v>
      </c>
      <c r="N349" s="3565">
        <v>0</v>
      </c>
      <c r="O349" s="3563" t="s">
        <v>3453</v>
      </c>
    </row>
    <row r="350" spans="1:15">
      <c r="A350" s="3563" t="s">
        <v>4552</v>
      </c>
      <c r="B350" s="3563" t="s">
        <v>4196</v>
      </c>
      <c r="C350" s="3563" t="s">
        <v>4197</v>
      </c>
      <c r="D350" s="3563" t="s">
        <v>4198</v>
      </c>
      <c r="E350" s="3563" t="s">
        <v>4520</v>
      </c>
      <c r="F350" s="3563" t="s">
        <v>4200</v>
      </c>
      <c r="G350" s="3564">
        <v>98.64</v>
      </c>
      <c r="H350" s="3564">
        <v>79.319999999999993</v>
      </c>
      <c r="I350" s="3564">
        <v>19.32</v>
      </c>
      <c r="J350" s="3565">
        <v>1015310</v>
      </c>
      <c r="K350" s="3565">
        <v>10293.09</v>
      </c>
      <c r="L350" s="3565">
        <v>12800.18</v>
      </c>
      <c r="M350" s="3565">
        <v>0</v>
      </c>
      <c r="N350" s="3565">
        <v>0</v>
      </c>
      <c r="O350" s="3563" t="s">
        <v>3453</v>
      </c>
    </row>
    <row r="351" spans="1:15">
      <c r="A351" s="3563" t="s">
        <v>4553</v>
      </c>
      <c r="B351" s="3563" t="s">
        <v>4196</v>
      </c>
      <c r="C351" s="3563" t="s">
        <v>4197</v>
      </c>
      <c r="D351" s="3563" t="s">
        <v>4198</v>
      </c>
      <c r="E351" s="3563" t="s">
        <v>4520</v>
      </c>
      <c r="F351" s="3563" t="s">
        <v>4200</v>
      </c>
      <c r="G351" s="3564">
        <v>108.51</v>
      </c>
      <c r="H351" s="3564">
        <v>87.26</v>
      </c>
      <c r="I351" s="3564">
        <v>21.25</v>
      </c>
      <c r="J351" s="3565">
        <v>1157306</v>
      </c>
      <c r="K351" s="3565">
        <v>10665.43</v>
      </c>
      <c r="L351" s="3565">
        <v>13262.73</v>
      </c>
      <c r="M351" s="3565">
        <v>0</v>
      </c>
      <c r="N351" s="3565">
        <v>0</v>
      </c>
      <c r="O351" s="3563" t="s">
        <v>3453</v>
      </c>
    </row>
    <row r="352" spans="1:15">
      <c r="A352" s="3563" t="s">
        <v>4554</v>
      </c>
      <c r="B352" s="3563" t="s">
        <v>4196</v>
      </c>
      <c r="C352" s="3563" t="s">
        <v>4197</v>
      </c>
      <c r="D352" s="3563" t="s">
        <v>4198</v>
      </c>
      <c r="E352" s="3563" t="s">
        <v>4520</v>
      </c>
      <c r="F352" s="3563" t="s">
        <v>4200</v>
      </c>
      <c r="G352" s="3564">
        <v>108.51</v>
      </c>
      <c r="H352" s="3564">
        <v>87.26</v>
      </c>
      <c r="I352" s="3564">
        <v>21.25</v>
      </c>
      <c r="J352" s="3565">
        <v>1159614</v>
      </c>
      <c r="K352" s="3565">
        <v>10686.7</v>
      </c>
      <c r="L352" s="3565">
        <v>13289.18</v>
      </c>
      <c r="M352" s="3565">
        <v>0</v>
      </c>
      <c r="N352" s="3565">
        <v>0</v>
      </c>
      <c r="O352" s="3563" t="s">
        <v>3453</v>
      </c>
    </row>
    <row r="353" spans="1:15">
      <c r="A353" s="3563" t="s">
        <v>4555</v>
      </c>
      <c r="B353" s="3563" t="s">
        <v>4196</v>
      </c>
      <c r="C353" s="3563" t="s">
        <v>4197</v>
      </c>
      <c r="D353" s="3563" t="s">
        <v>4198</v>
      </c>
      <c r="E353" s="3563" t="s">
        <v>4520</v>
      </c>
      <c r="F353" s="3563" t="s">
        <v>4200</v>
      </c>
      <c r="G353" s="3564">
        <v>98.64</v>
      </c>
      <c r="H353" s="3564">
        <v>79.319999999999993</v>
      </c>
      <c r="I353" s="3564">
        <v>19.32</v>
      </c>
      <c r="J353" s="3565">
        <v>1027903</v>
      </c>
      <c r="K353" s="3565">
        <v>10420.75</v>
      </c>
      <c r="L353" s="3565">
        <v>12958.94</v>
      </c>
      <c r="M353" s="3565">
        <v>0</v>
      </c>
      <c r="N353" s="3565">
        <v>0</v>
      </c>
      <c r="O353" s="3563" t="s">
        <v>3453</v>
      </c>
    </row>
    <row r="354" spans="1:15">
      <c r="A354" s="3563" t="s">
        <v>4556</v>
      </c>
      <c r="B354" s="3563" t="s">
        <v>4196</v>
      </c>
      <c r="C354" s="3563" t="s">
        <v>4197</v>
      </c>
      <c r="D354" s="3563" t="s">
        <v>4198</v>
      </c>
      <c r="E354" s="3563" t="s">
        <v>4520</v>
      </c>
      <c r="F354" s="3563" t="s">
        <v>4200</v>
      </c>
      <c r="G354" s="3564">
        <v>98.64</v>
      </c>
      <c r="H354" s="3564">
        <v>79.319999999999993</v>
      </c>
      <c r="I354" s="3564">
        <v>19.32</v>
      </c>
      <c r="J354" s="3565">
        <v>1027903</v>
      </c>
      <c r="K354" s="3565">
        <v>10420.75</v>
      </c>
      <c r="L354" s="3565">
        <v>12958.94</v>
      </c>
      <c r="M354" s="3565">
        <v>0</v>
      </c>
      <c r="N354" s="3565">
        <v>0</v>
      </c>
      <c r="O354" s="3563" t="s">
        <v>3453</v>
      </c>
    </row>
    <row r="355" spans="1:15">
      <c r="A355" s="3563" t="s">
        <v>4557</v>
      </c>
      <c r="B355" s="3563" t="s">
        <v>4196</v>
      </c>
      <c r="C355" s="3563" t="s">
        <v>4197</v>
      </c>
      <c r="D355" s="3563" t="s">
        <v>4198</v>
      </c>
      <c r="E355" s="3563" t="s">
        <v>4520</v>
      </c>
      <c r="F355" s="3563" t="s">
        <v>4200</v>
      </c>
      <c r="G355" s="3564">
        <v>108.51</v>
      </c>
      <c r="H355" s="3564">
        <v>87.26</v>
      </c>
      <c r="I355" s="3564">
        <v>21.25</v>
      </c>
      <c r="J355" s="3565">
        <v>1159614</v>
      </c>
      <c r="K355" s="3565">
        <v>10686.7</v>
      </c>
      <c r="L355" s="3565">
        <v>13289.18</v>
      </c>
      <c r="M355" s="3565">
        <v>0</v>
      </c>
      <c r="N355" s="3565">
        <v>0</v>
      </c>
      <c r="O355" s="3563" t="s">
        <v>3453</v>
      </c>
    </row>
    <row r="356" spans="1:15">
      <c r="A356" s="3563" t="s">
        <v>4558</v>
      </c>
      <c r="B356" s="3563" t="s">
        <v>4196</v>
      </c>
      <c r="C356" s="3563" t="s">
        <v>4197</v>
      </c>
      <c r="D356" s="3563" t="s">
        <v>4198</v>
      </c>
      <c r="E356" s="3563" t="s">
        <v>4520</v>
      </c>
      <c r="F356" s="3563" t="s">
        <v>4200</v>
      </c>
      <c r="G356" s="3564">
        <v>108.51</v>
      </c>
      <c r="H356" s="3564">
        <v>87.26</v>
      </c>
      <c r="I356" s="3564">
        <v>21.25</v>
      </c>
      <c r="J356" s="3565">
        <v>1161923</v>
      </c>
      <c r="K356" s="3565">
        <v>10707.98</v>
      </c>
      <c r="L356" s="3565">
        <v>13315.64</v>
      </c>
      <c r="M356" s="3565">
        <v>0</v>
      </c>
      <c r="N356" s="3565">
        <v>0</v>
      </c>
      <c r="O356" s="3563" t="s">
        <v>3453</v>
      </c>
    </row>
    <row r="357" spans="1:15">
      <c r="A357" s="3563" t="s">
        <v>4559</v>
      </c>
      <c r="B357" s="3563" t="s">
        <v>4196</v>
      </c>
      <c r="C357" s="3563" t="s">
        <v>4197</v>
      </c>
      <c r="D357" s="3563" t="s">
        <v>4198</v>
      </c>
      <c r="E357" s="3563" t="s">
        <v>4520</v>
      </c>
      <c r="F357" s="3563" t="s">
        <v>4200</v>
      </c>
      <c r="G357" s="3564">
        <v>98.64</v>
      </c>
      <c r="H357" s="3564">
        <v>79.319999999999993</v>
      </c>
      <c r="I357" s="3564">
        <v>19.32</v>
      </c>
      <c r="J357" s="3565">
        <v>1030002</v>
      </c>
      <c r="K357" s="3565">
        <v>10442.030000000001</v>
      </c>
      <c r="L357" s="3565">
        <v>12985.4</v>
      </c>
      <c r="M357" s="3565">
        <v>0</v>
      </c>
      <c r="N357" s="3565">
        <v>0</v>
      </c>
      <c r="O357" s="3563" t="s">
        <v>3453</v>
      </c>
    </row>
    <row r="358" spans="1:15">
      <c r="A358" s="3563" t="s">
        <v>4560</v>
      </c>
      <c r="B358" s="3563" t="s">
        <v>4196</v>
      </c>
      <c r="C358" s="3563" t="s">
        <v>4197</v>
      </c>
      <c r="D358" s="3563" t="s">
        <v>4198</v>
      </c>
      <c r="E358" s="3563" t="s">
        <v>4520</v>
      </c>
      <c r="F358" s="3563" t="s">
        <v>4200</v>
      </c>
      <c r="G358" s="3564">
        <v>98.64</v>
      </c>
      <c r="H358" s="3564">
        <v>79.319999999999993</v>
      </c>
      <c r="I358" s="3564">
        <v>19.32</v>
      </c>
      <c r="J358" s="3565">
        <v>1030002</v>
      </c>
      <c r="K358" s="3565">
        <v>10442.030000000001</v>
      </c>
      <c r="L358" s="3565">
        <v>12985.4</v>
      </c>
      <c r="M358" s="3565">
        <v>0</v>
      </c>
      <c r="N358" s="3565">
        <v>0</v>
      </c>
      <c r="O358" s="3563" t="s">
        <v>3453</v>
      </c>
    </row>
    <row r="359" spans="1:15">
      <c r="A359" s="3563" t="s">
        <v>4561</v>
      </c>
      <c r="B359" s="3563" t="s">
        <v>4196</v>
      </c>
      <c r="C359" s="3563" t="s">
        <v>4197</v>
      </c>
      <c r="D359" s="3563" t="s">
        <v>4198</v>
      </c>
      <c r="E359" s="3563" t="s">
        <v>4520</v>
      </c>
      <c r="F359" s="3563" t="s">
        <v>4200</v>
      </c>
      <c r="G359" s="3564">
        <v>108.51</v>
      </c>
      <c r="H359" s="3564">
        <v>87.26</v>
      </c>
      <c r="I359" s="3564">
        <v>21.25</v>
      </c>
      <c r="J359" s="3565">
        <v>1161923</v>
      </c>
      <c r="K359" s="3565">
        <v>10707.98</v>
      </c>
      <c r="L359" s="3565">
        <v>13315.64</v>
      </c>
      <c r="M359" s="3565">
        <v>0</v>
      </c>
      <c r="N359" s="3565">
        <v>0</v>
      </c>
      <c r="O359" s="3563" t="s">
        <v>3453</v>
      </c>
    </row>
    <row r="360" spans="1:15">
      <c r="A360" s="3563" t="s">
        <v>4562</v>
      </c>
      <c r="B360" s="3563" t="s">
        <v>4196</v>
      </c>
      <c r="C360" s="3563" t="s">
        <v>4197</v>
      </c>
      <c r="D360" s="3563" t="s">
        <v>4198</v>
      </c>
      <c r="E360" s="3563" t="s">
        <v>4520</v>
      </c>
      <c r="F360" s="3563" t="s">
        <v>4200</v>
      </c>
      <c r="G360" s="3564">
        <v>108.51</v>
      </c>
      <c r="H360" s="3564">
        <v>87.26</v>
      </c>
      <c r="I360" s="3564">
        <v>21.25</v>
      </c>
      <c r="J360" s="3565">
        <v>1159614</v>
      </c>
      <c r="K360" s="3565">
        <v>10686.7</v>
      </c>
      <c r="L360" s="3565">
        <v>13289.18</v>
      </c>
      <c r="M360" s="3565">
        <v>0</v>
      </c>
      <c r="N360" s="3565">
        <v>0</v>
      </c>
      <c r="O360" s="3563" t="s">
        <v>3453</v>
      </c>
    </row>
    <row r="361" spans="1:15">
      <c r="A361" s="3563" t="s">
        <v>4563</v>
      </c>
      <c r="B361" s="3563" t="s">
        <v>4196</v>
      </c>
      <c r="C361" s="3563" t="s">
        <v>4197</v>
      </c>
      <c r="D361" s="3563" t="s">
        <v>4198</v>
      </c>
      <c r="E361" s="3563" t="s">
        <v>4520</v>
      </c>
      <c r="F361" s="3563" t="s">
        <v>4200</v>
      </c>
      <c r="G361" s="3564">
        <v>98.64</v>
      </c>
      <c r="H361" s="3564">
        <v>79.319999999999993</v>
      </c>
      <c r="I361" s="3564">
        <v>19.32</v>
      </c>
      <c r="J361" s="3565">
        <v>1027903</v>
      </c>
      <c r="K361" s="3565">
        <v>10420.75</v>
      </c>
      <c r="L361" s="3565">
        <v>12958.94</v>
      </c>
      <c r="M361" s="3565">
        <v>0</v>
      </c>
      <c r="N361" s="3565">
        <v>0</v>
      </c>
      <c r="O361" s="3563" t="s">
        <v>3453</v>
      </c>
    </row>
    <row r="362" spans="1:15">
      <c r="A362" s="3563" t="s">
        <v>4564</v>
      </c>
      <c r="B362" s="3563" t="s">
        <v>4196</v>
      </c>
      <c r="C362" s="3563" t="s">
        <v>4197</v>
      </c>
      <c r="D362" s="3563" t="s">
        <v>4198</v>
      </c>
      <c r="E362" s="3563" t="s">
        <v>4520</v>
      </c>
      <c r="F362" s="3563" t="s">
        <v>4200</v>
      </c>
      <c r="G362" s="3564">
        <v>98.64</v>
      </c>
      <c r="H362" s="3564">
        <v>79.319999999999993</v>
      </c>
      <c r="I362" s="3564">
        <v>19.32</v>
      </c>
      <c r="J362" s="3565">
        <v>1027903</v>
      </c>
      <c r="K362" s="3565">
        <v>10420.75</v>
      </c>
      <c r="L362" s="3565">
        <v>12958.94</v>
      </c>
      <c r="M362" s="3565">
        <v>0</v>
      </c>
      <c r="N362" s="3565">
        <v>0</v>
      </c>
      <c r="O362" s="3563" t="s">
        <v>3453</v>
      </c>
    </row>
    <row r="363" spans="1:15">
      <c r="A363" s="3563" t="s">
        <v>4565</v>
      </c>
      <c r="B363" s="3563" t="s">
        <v>4196</v>
      </c>
      <c r="C363" s="3563" t="s">
        <v>4197</v>
      </c>
      <c r="D363" s="3563" t="s">
        <v>4198</v>
      </c>
      <c r="E363" s="3563" t="s">
        <v>4520</v>
      </c>
      <c r="F363" s="3563" t="s">
        <v>4200</v>
      </c>
      <c r="G363" s="3564">
        <v>108.51</v>
      </c>
      <c r="H363" s="3564">
        <v>87.26</v>
      </c>
      <c r="I363" s="3564">
        <v>21.25</v>
      </c>
      <c r="J363" s="3565">
        <v>1159614</v>
      </c>
      <c r="K363" s="3565">
        <v>10686.7</v>
      </c>
      <c r="L363" s="3565">
        <v>13289.18</v>
      </c>
      <c r="M363" s="3565">
        <v>0</v>
      </c>
      <c r="N363" s="3565">
        <v>0</v>
      </c>
      <c r="O363" s="3563" t="s">
        <v>3453</v>
      </c>
    </row>
    <row r="364" spans="1:15">
      <c r="A364" s="3563" t="s">
        <v>4566</v>
      </c>
      <c r="B364" s="3563" t="s">
        <v>4196</v>
      </c>
      <c r="C364" s="3563" t="s">
        <v>4197</v>
      </c>
      <c r="D364" s="3563" t="s">
        <v>4198</v>
      </c>
      <c r="E364" s="3563" t="s">
        <v>4520</v>
      </c>
      <c r="F364" s="3563" t="s">
        <v>4200</v>
      </c>
      <c r="G364" s="3564">
        <v>90.53</v>
      </c>
      <c r="H364" s="3564">
        <v>74.14</v>
      </c>
      <c r="I364" s="3564">
        <v>16.39</v>
      </c>
      <c r="J364" s="3565">
        <v>917388</v>
      </c>
      <c r="K364" s="3565">
        <v>10133.52</v>
      </c>
      <c r="L364" s="3565">
        <v>12373.73</v>
      </c>
      <c r="M364" s="3565">
        <v>0</v>
      </c>
      <c r="N364" s="3565">
        <v>0</v>
      </c>
      <c r="O364" s="3563" t="s">
        <v>3453</v>
      </c>
    </row>
    <row r="365" spans="1:15">
      <c r="A365" s="3563" t="s">
        <v>4567</v>
      </c>
      <c r="B365" s="3563" t="s">
        <v>4196</v>
      </c>
      <c r="C365" s="3563" t="s">
        <v>4197</v>
      </c>
      <c r="D365" s="3563" t="s">
        <v>4198</v>
      </c>
      <c r="E365" s="3563" t="s">
        <v>4520</v>
      </c>
      <c r="F365" s="3563" t="s">
        <v>4200</v>
      </c>
      <c r="G365" s="3564">
        <v>109.8</v>
      </c>
      <c r="H365" s="3564">
        <v>87.26</v>
      </c>
      <c r="I365" s="3564">
        <v>22.54</v>
      </c>
      <c r="J365" s="3565">
        <v>1171064</v>
      </c>
      <c r="K365" s="3565">
        <v>10665.43</v>
      </c>
      <c r="L365" s="3565">
        <v>13420.4</v>
      </c>
      <c r="M365" s="3565">
        <v>0</v>
      </c>
      <c r="N365" s="3565">
        <v>0</v>
      </c>
      <c r="O365" s="3563" t="s">
        <v>3453</v>
      </c>
    </row>
    <row r="366" spans="1:15">
      <c r="A366" s="3563" t="s">
        <v>4568</v>
      </c>
      <c r="B366" s="3563" t="s">
        <v>4196</v>
      </c>
      <c r="C366" s="3563" t="s">
        <v>4197</v>
      </c>
      <c r="D366" s="3563" t="s">
        <v>4198</v>
      </c>
      <c r="E366" s="3563" t="s">
        <v>4520</v>
      </c>
      <c r="F366" s="3563" t="s">
        <v>4200</v>
      </c>
      <c r="G366" s="3564">
        <v>99.81</v>
      </c>
      <c r="H366" s="3564">
        <v>79.319999999999993</v>
      </c>
      <c r="I366" s="3564">
        <v>20.49</v>
      </c>
      <c r="J366" s="3565">
        <v>1037972</v>
      </c>
      <c r="K366" s="3565">
        <v>10399.48</v>
      </c>
      <c r="L366" s="3565">
        <v>13085.88</v>
      </c>
      <c r="M366" s="3565">
        <v>0</v>
      </c>
      <c r="N366" s="3565">
        <v>0</v>
      </c>
      <c r="O366" s="3563" t="s">
        <v>3453</v>
      </c>
    </row>
    <row r="367" spans="1:15">
      <c r="A367" s="3563" t="s">
        <v>4569</v>
      </c>
      <c r="B367" s="3563" t="s">
        <v>4196</v>
      </c>
      <c r="C367" s="3563" t="s">
        <v>4197</v>
      </c>
      <c r="D367" s="3563" t="s">
        <v>4198</v>
      </c>
      <c r="E367" s="3563" t="s">
        <v>4520</v>
      </c>
      <c r="F367" s="3563" t="s">
        <v>4200</v>
      </c>
      <c r="G367" s="3564">
        <v>99.81</v>
      </c>
      <c r="H367" s="3564">
        <v>79.319999999999993</v>
      </c>
      <c r="I367" s="3564">
        <v>20.49</v>
      </c>
      <c r="J367" s="3565">
        <v>1037972</v>
      </c>
      <c r="K367" s="3565">
        <v>10399.48</v>
      </c>
      <c r="L367" s="3565">
        <v>13085.88</v>
      </c>
      <c r="M367" s="3565">
        <v>0</v>
      </c>
      <c r="N367" s="3565">
        <v>0</v>
      </c>
      <c r="O367" s="3563" t="s">
        <v>3453</v>
      </c>
    </row>
    <row r="368" spans="1:15">
      <c r="A368" s="3563" t="s">
        <v>4570</v>
      </c>
      <c r="B368" s="3563" t="s">
        <v>4196</v>
      </c>
      <c r="C368" s="3563" t="s">
        <v>4197</v>
      </c>
      <c r="D368" s="3563" t="s">
        <v>4198</v>
      </c>
      <c r="E368" s="3563" t="s">
        <v>4520</v>
      </c>
      <c r="F368" s="3563" t="s">
        <v>4200</v>
      </c>
      <c r="G368" s="3564">
        <v>109.8</v>
      </c>
      <c r="H368" s="3564">
        <v>87.26</v>
      </c>
      <c r="I368" s="3564">
        <v>22.54</v>
      </c>
      <c r="J368" s="3565">
        <v>1171064</v>
      </c>
      <c r="K368" s="3565">
        <v>10665.43</v>
      </c>
      <c r="L368" s="3565">
        <v>13420.4</v>
      </c>
      <c r="M368" s="3565">
        <v>0</v>
      </c>
      <c r="N368" s="3565">
        <v>0</v>
      </c>
      <c r="O368" s="3563" t="s">
        <v>3453</v>
      </c>
    </row>
    <row r="369" spans="1:15">
      <c r="A369" s="3563" t="s">
        <v>4571</v>
      </c>
      <c r="B369" s="3563" t="s">
        <v>4196</v>
      </c>
      <c r="C369" s="3563" t="s">
        <v>4197</v>
      </c>
      <c r="D369" s="3563" t="s">
        <v>4198</v>
      </c>
      <c r="E369" s="3563" t="s">
        <v>4520</v>
      </c>
      <c r="F369" s="3563" t="s">
        <v>4200</v>
      </c>
      <c r="G369" s="3564">
        <v>109.8</v>
      </c>
      <c r="H369" s="3564">
        <v>87.26</v>
      </c>
      <c r="I369" s="3564">
        <v>22.54</v>
      </c>
      <c r="J369" s="3565">
        <v>1168728</v>
      </c>
      <c r="K369" s="3565">
        <v>10644.15</v>
      </c>
      <c r="L369" s="3565">
        <v>13393.63</v>
      </c>
      <c r="M369" s="3565">
        <v>0</v>
      </c>
      <c r="N369" s="3565">
        <v>0</v>
      </c>
      <c r="O369" s="3563" t="s">
        <v>3453</v>
      </c>
    </row>
    <row r="370" spans="1:15">
      <c r="A370" s="3563" t="s">
        <v>4572</v>
      </c>
      <c r="B370" s="3563" t="s">
        <v>4196</v>
      </c>
      <c r="C370" s="3563" t="s">
        <v>4197</v>
      </c>
      <c r="D370" s="3563" t="s">
        <v>4198</v>
      </c>
      <c r="E370" s="3563" t="s">
        <v>4520</v>
      </c>
      <c r="F370" s="3563" t="s">
        <v>4200</v>
      </c>
      <c r="G370" s="3564">
        <v>99.81</v>
      </c>
      <c r="H370" s="3564">
        <v>79.319999999999993</v>
      </c>
      <c r="I370" s="3564">
        <v>20.49</v>
      </c>
      <c r="J370" s="3565">
        <v>1035847</v>
      </c>
      <c r="K370" s="3565">
        <v>10378.19</v>
      </c>
      <c r="L370" s="3565">
        <v>13059.09</v>
      </c>
      <c r="M370" s="3565">
        <v>0</v>
      </c>
      <c r="N370" s="3565">
        <v>0</v>
      </c>
      <c r="O370" s="3563" t="s">
        <v>3453</v>
      </c>
    </row>
    <row r="371" spans="1:15">
      <c r="A371" s="3563" t="s">
        <v>4573</v>
      </c>
      <c r="B371" s="3563" t="s">
        <v>4196</v>
      </c>
      <c r="C371" s="3563" t="s">
        <v>4197</v>
      </c>
      <c r="D371" s="3563" t="s">
        <v>4198</v>
      </c>
      <c r="E371" s="3563" t="s">
        <v>4520</v>
      </c>
      <c r="F371" s="3563" t="s">
        <v>4200</v>
      </c>
      <c r="G371" s="3564">
        <v>99.81</v>
      </c>
      <c r="H371" s="3564">
        <v>79.319999999999993</v>
      </c>
      <c r="I371" s="3564">
        <v>20.49</v>
      </c>
      <c r="J371" s="3565">
        <v>1035847</v>
      </c>
      <c r="K371" s="3565">
        <v>10378.19</v>
      </c>
      <c r="L371" s="3565">
        <v>13059.09</v>
      </c>
      <c r="M371" s="3565">
        <v>0</v>
      </c>
      <c r="N371" s="3565">
        <v>0</v>
      </c>
      <c r="O371" s="3563" t="s">
        <v>3453</v>
      </c>
    </row>
    <row r="372" spans="1:15">
      <c r="A372" s="3563" t="s">
        <v>4574</v>
      </c>
      <c r="B372" s="3563" t="s">
        <v>4196</v>
      </c>
      <c r="C372" s="3563" t="s">
        <v>4197</v>
      </c>
      <c r="D372" s="3563" t="s">
        <v>4198</v>
      </c>
      <c r="E372" s="3563" t="s">
        <v>4520</v>
      </c>
      <c r="F372" s="3563" t="s">
        <v>4200</v>
      </c>
      <c r="G372" s="3564">
        <v>109.8</v>
      </c>
      <c r="H372" s="3564">
        <v>87.26</v>
      </c>
      <c r="I372" s="3564">
        <v>22.54</v>
      </c>
      <c r="J372" s="3565">
        <v>1168728</v>
      </c>
      <c r="K372" s="3565">
        <v>10644.15</v>
      </c>
      <c r="L372" s="3565">
        <v>13393.63</v>
      </c>
      <c r="M372" s="3565">
        <v>0</v>
      </c>
      <c r="N372" s="3565">
        <v>0</v>
      </c>
      <c r="O372" s="3563" t="s">
        <v>3453</v>
      </c>
    </row>
    <row r="373" spans="1:15">
      <c r="A373" s="3563" t="s">
        <v>4575</v>
      </c>
      <c r="B373" s="3563" t="s">
        <v>4196</v>
      </c>
      <c r="C373" s="3563" t="s">
        <v>4197</v>
      </c>
      <c r="D373" s="3563" t="s">
        <v>4198</v>
      </c>
      <c r="E373" s="3563" t="s">
        <v>4520</v>
      </c>
      <c r="F373" s="3563" t="s">
        <v>4200</v>
      </c>
      <c r="G373" s="3564">
        <v>109.8</v>
      </c>
      <c r="H373" s="3564">
        <v>87.26</v>
      </c>
      <c r="I373" s="3564">
        <v>22.54</v>
      </c>
      <c r="J373" s="3565">
        <v>1131349</v>
      </c>
      <c r="K373" s="3565">
        <v>10303.719999999999</v>
      </c>
      <c r="L373" s="3565">
        <v>12965.26</v>
      </c>
      <c r="M373" s="3565">
        <v>0</v>
      </c>
      <c r="N373" s="3565">
        <v>0</v>
      </c>
      <c r="O373" s="3563" t="s">
        <v>3453</v>
      </c>
    </row>
    <row r="374" spans="1:15">
      <c r="A374" s="3563" t="s">
        <v>4576</v>
      </c>
      <c r="B374" s="3563" t="s">
        <v>4196</v>
      </c>
      <c r="C374" s="3563" t="s">
        <v>4197</v>
      </c>
      <c r="D374" s="3563" t="s">
        <v>4198</v>
      </c>
      <c r="E374" s="3563" t="s">
        <v>4520</v>
      </c>
      <c r="F374" s="3563" t="s">
        <v>4200</v>
      </c>
      <c r="G374" s="3564">
        <v>99.81</v>
      </c>
      <c r="H374" s="3564">
        <v>79.319999999999993</v>
      </c>
      <c r="I374" s="3564">
        <v>20.49</v>
      </c>
      <c r="J374" s="3565">
        <v>1001870</v>
      </c>
      <c r="K374" s="3565">
        <v>10037.77</v>
      </c>
      <c r="L374" s="3565">
        <v>12630.74</v>
      </c>
      <c r="M374" s="3565">
        <v>0</v>
      </c>
      <c r="N374" s="3565">
        <v>0</v>
      </c>
      <c r="O374" s="3563" t="s">
        <v>3453</v>
      </c>
    </row>
    <row r="375" spans="1:15">
      <c r="A375" s="3563" t="s">
        <v>4577</v>
      </c>
      <c r="B375" s="3563" t="s">
        <v>4196</v>
      </c>
      <c r="C375" s="3563" t="s">
        <v>4197</v>
      </c>
      <c r="D375" s="3563" t="s">
        <v>4198</v>
      </c>
      <c r="E375" s="3563" t="s">
        <v>4520</v>
      </c>
      <c r="F375" s="3563" t="s">
        <v>4200</v>
      </c>
      <c r="G375" s="3564">
        <v>99.81</v>
      </c>
      <c r="H375" s="3564">
        <v>79.319999999999993</v>
      </c>
      <c r="I375" s="3564">
        <v>20.49</v>
      </c>
      <c r="J375" s="3565">
        <v>1001870</v>
      </c>
      <c r="K375" s="3565">
        <v>10037.77</v>
      </c>
      <c r="L375" s="3565">
        <v>12630.74</v>
      </c>
      <c r="M375" s="3565">
        <v>0</v>
      </c>
      <c r="N375" s="3565">
        <v>0</v>
      </c>
      <c r="O375" s="3563" t="s">
        <v>3453</v>
      </c>
    </row>
    <row r="376" spans="1:15">
      <c r="A376" s="3563" t="s">
        <v>4578</v>
      </c>
      <c r="B376" s="3563" t="s">
        <v>4196</v>
      </c>
      <c r="C376" s="3563" t="s">
        <v>4197</v>
      </c>
      <c r="D376" s="3563" t="s">
        <v>4198</v>
      </c>
      <c r="E376" s="3563" t="s">
        <v>4520</v>
      </c>
      <c r="F376" s="3563" t="s">
        <v>4200</v>
      </c>
      <c r="G376" s="3564">
        <v>109.8</v>
      </c>
      <c r="H376" s="3564">
        <v>87.26</v>
      </c>
      <c r="I376" s="3564">
        <v>22.54</v>
      </c>
      <c r="J376" s="3565">
        <v>1131349</v>
      </c>
      <c r="K376" s="3565">
        <v>10303.719999999999</v>
      </c>
      <c r="L376" s="3565">
        <v>12965.26</v>
      </c>
      <c r="M376" s="3565">
        <v>0</v>
      </c>
      <c r="N376" s="3565">
        <v>0</v>
      </c>
      <c r="O376" s="3563" t="s">
        <v>3453</v>
      </c>
    </row>
    <row r="377" spans="1:15">
      <c r="A377" s="3563" t="s">
        <v>4579</v>
      </c>
      <c r="B377" s="3563" t="s">
        <v>4196</v>
      </c>
      <c r="C377" s="3563" t="s">
        <v>4197</v>
      </c>
      <c r="D377" s="3563" t="s">
        <v>4198</v>
      </c>
      <c r="E377" s="3563" t="s">
        <v>4520</v>
      </c>
      <c r="F377" s="3563" t="s">
        <v>4200</v>
      </c>
      <c r="G377" s="3564">
        <v>109.08</v>
      </c>
      <c r="H377" s="3564">
        <v>76.66</v>
      </c>
      <c r="I377" s="3564">
        <v>32.42</v>
      </c>
      <c r="J377" s="3565">
        <v>1119289</v>
      </c>
      <c r="K377" s="3565">
        <v>10261.18</v>
      </c>
      <c r="L377" s="3565">
        <v>14600.69</v>
      </c>
      <c r="M377" s="3565">
        <v>0</v>
      </c>
      <c r="N377" s="3565">
        <v>0</v>
      </c>
      <c r="O377" s="3563" t="s">
        <v>3453</v>
      </c>
    </row>
    <row r="378" spans="1:15">
      <c r="A378" s="3563" t="s">
        <v>4580</v>
      </c>
      <c r="B378" s="3563" t="s">
        <v>4196</v>
      </c>
      <c r="C378" s="3563" t="s">
        <v>4197</v>
      </c>
      <c r="D378" s="3563" t="s">
        <v>4198</v>
      </c>
      <c r="E378" s="3563" t="s">
        <v>4520</v>
      </c>
      <c r="F378" s="3563" t="s">
        <v>4200</v>
      </c>
      <c r="G378" s="3564">
        <v>109.8</v>
      </c>
      <c r="H378" s="3564">
        <v>87.26</v>
      </c>
      <c r="I378" s="3564">
        <v>22.54</v>
      </c>
      <c r="J378" s="3565">
        <v>1140694</v>
      </c>
      <c r="K378" s="3565">
        <v>10388.83</v>
      </c>
      <c r="L378" s="3565">
        <v>13072.36</v>
      </c>
      <c r="M378" s="3565">
        <v>0</v>
      </c>
      <c r="N378" s="3565">
        <v>0</v>
      </c>
      <c r="O378" s="3563" t="s">
        <v>3453</v>
      </c>
    </row>
    <row r="379" spans="1:15">
      <c r="A379" s="3563" t="s">
        <v>4581</v>
      </c>
      <c r="B379" s="3563" t="s">
        <v>4196</v>
      </c>
      <c r="C379" s="3563" t="s">
        <v>4197</v>
      </c>
      <c r="D379" s="3563" t="s">
        <v>4198</v>
      </c>
      <c r="E379" s="3563" t="s">
        <v>4520</v>
      </c>
      <c r="F379" s="3563" t="s">
        <v>4200</v>
      </c>
      <c r="G379" s="3564">
        <v>99.81</v>
      </c>
      <c r="H379" s="3564">
        <v>79.319999999999993</v>
      </c>
      <c r="I379" s="3564">
        <v>20.49</v>
      </c>
      <c r="J379" s="3565">
        <v>999746</v>
      </c>
      <c r="K379" s="3565">
        <v>10016.49</v>
      </c>
      <c r="L379" s="3565">
        <v>12603.96</v>
      </c>
      <c r="M379" s="3565">
        <v>0</v>
      </c>
      <c r="N379" s="3565">
        <v>0</v>
      </c>
      <c r="O379" s="3563" t="s">
        <v>3453</v>
      </c>
    </row>
    <row r="380" spans="1:15">
      <c r="A380" s="3563" t="s">
        <v>4582</v>
      </c>
      <c r="B380" s="3563" t="s">
        <v>4196</v>
      </c>
      <c r="C380" s="3563" t="s">
        <v>4197</v>
      </c>
      <c r="D380" s="3563" t="s">
        <v>4198</v>
      </c>
      <c r="E380" s="3563" t="s">
        <v>4520</v>
      </c>
      <c r="F380" s="3563" t="s">
        <v>4200</v>
      </c>
      <c r="G380" s="3564">
        <v>99.81</v>
      </c>
      <c r="H380" s="3564">
        <v>79.319999999999993</v>
      </c>
      <c r="I380" s="3564">
        <v>20.49</v>
      </c>
      <c r="J380" s="3565">
        <v>999746</v>
      </c>
      <c r="K380" s="3565">
        <v>10016.49</v>
      </c>
      <c r="L380" s="3565">
        <v>12603.96</v>
      </c>
      <c r="M380" s="3565">
        <v>0</v>
      </c>
      <c r="N380" s="3565">
        <v>0</v>
      </c>
      <c r="O380" s="3563" t="s">
        <v>3453</v>
      </c>
    </row>
    <row r="381" spans="1:15">
      <c r="A381" s="3563" t="s">
        <v>4583</v>
      </c>
      <c r="B381" s="3563" t="s">
        <v>4196</v>
      </c>
      <c r="C381" s="3563" t="s">
        <v>4197</v>
      </c>
      <c r="D381" s="3563" t="s">
        <v>4198</v>
      </c>
      <c r="E381" s="3563" t="s">
        <v>4520</v>
      </c>
      <c r="F381" s="3563" t="s">
        <v>4200</v>
      </c>
      <c r="G381" s="3564">
        <v>109.8</v>
      </c>
      <c r="H381" s="3564">
        <v>87.26</v>
      </c>
      <c r="I381" s="3564">
        <v>22.54</v>
      </c>
      <c r="J381" s="3565">
        <v>1140694</v>
      </c>
      <c r="K381" s="3565">
        <v>10388.83</v>
      </c>
      <c r="L381" s="3565">
        <v>13072.36</v>
      </c>
      <c r="M381" s="3565">
        <v>0</v>
      </c>
      <c r="N381" s="3565">
        <v>0</v>
      </c>
      <c r="O381" s="3563" t="s">
        <v>3453</v>
      </c>
    </row>
    <row r="382" spans="1:15">
      <c r="A382" s="3563" t="s">
        <v>4584</v>
      </c>
      <c r="B382" s="3563" t="s">
        <v>4196</v>
      </c>
      <c r="C382" s="3563" t="s">
        <v>4197</v>
      </c>
      <c r="D382" s="3563" t="s">
        <v>4198</v>
      </c>
      <c r="E382" s="3563" t="s">
        <v>4520</v>
      </c>
      <c r="F382" s="3563" t="s">
        <v>4200</v>
      </c>
      <c r="G382" s="3564">
        <v>109.8</v>
      </c>
      <c r="H382" s="3564">
        <v>87.26</v>
      </c>
      <c r="I382" s="3564">
        <v>22.54</v>
      </c>
      <c r="J382" s="3565">
        <v>1154711</v>
      </c>
      <c r="K382" s="3565">
        <v>10516.49</v>
      </c>
      <c r="L382" s="3565">
        <v>13232.99</v>
      </c>
      <c r="M382" s="3565">
        <v>0</v>
      </c>
      <c r="N382" s="3565">
        <v>0</v>
      </c>
      <c r="O382" s="3563" t="s">
        <v>3453</v>
      </c>
    </row>
    <row r="383" spans="1:15">
      <c r="A383" s="3563" t="s">
        <v>4585</v>
      </c>
      <c r="B383" s="3563" t="s">
        <v>4196</v>
      </c>
      <c r="C383" s="3563" t="s">
        <v>4197</v>
      </c>
      <c r="D383" s="3563" t="s">
        <v>4198</v>
      </c>
      <c r="E383" s="3563" t="s">
        <v>4520</v>
      </c>
      <c r="F383" s="3563" t="s">
        <v>4200</v>
      </c>
      <c r="G383" s="3564">
        <v>99.81</v>
      </c>
      <c r="H383" s="3564">
        <v>79.319999999999993</v>
      </c>
      <c r="I383" s="3564">
        <v>20.49</v>
      </c>
      <c r="J383" s="3565">
        <v>1012488</v>
      </c>
      <c r="K383" s="3565">
        <v>10144.15</v>
      </c>
      <c r="L383" s="3565">
        <v>12764.6</v>
      </c>
      <c r="M383" s="3565">
        <v>0</v>
      </c>
      <c r="N383" s="3565">
        <v>0</v>
      </c>
      <c r="O383" s="3563" t="s">
        <v>3453</v>
      </c>
    </row>
    <row r="384" spans="1:15">
      <c r="A384" s="3563" t="s">
        <v>4586</v>
      </c>
      <c r="B384" s="3563" t="s">
        <v>4196</v>
      </c>
      <c r="C384" s="3563" t="s">
        <v>4197</v>
      </c>
      <c r="D384" s="3563" t="s">
        <v>4198</v>
      </c>
      <c r="E384" s="3563" t="s">
        <v>4520</v>
      </c>
      <c r="F384" s="3563" t="s">
        <v>4200</v>
      </c>
      <c r="G384" s="3564">
        <v>99.81</v>
      </c>
      <c r="H384" s="3564">
        <v>79.319999999999993</v>
      </c>
      <c r="I384" s="3564">
        <v>20.49</v>
      </c>
      <c r="J384" s="3565">
        <v>1012488</v>
      </c>
      <c r="K384" s="3565">
        <v>10144.15</v>
      </c>
      <c r="L384" s="3565">
        <v>12764.6</v>
      </c>
      <c r="M384" s="3565">
        <v>0</v>
      </c>
      <c r="N384" s="3565">
        <v>0</v>
      </c>
      <c r="O384" s="3563" t="s">
        <v>3453</v>
      </c>
    </row>
    <row r="385" spans="1:15">
      <c r="A385" s="3563" t="s">
        <v>4587</v>
      </c>
      <c r="B385" s="3563" t="s">
        <v>4196</v>
      </c>
      <c r="C385" s="3563" t="s">
        <v>4197</v>
      </c>
      <c r="D385" s="3563" t="s">
        <v>4198</v>
      </c>
      <c r="E385" s="3563" t="s">
        <v>4520</v>
      </c>
      <c r="F385" s="3563" t="s">
        <v>4200</v>
      </c>
      <c r="G385" s="3564">
        <v>109.8</v>
      </c>
      <c r="H385" s="3564">
        <v>87.26</v>
      </c>
      <c r="I385" s="3564">
        <v>22.54</v>
      </c>
      <c r="J385" s="3565">
        <v>1154711</v>
      </c>
      <c r="K385" s="3565">
        <v>10516.49</v>
      </c>
      <c r="L385" s="3565">
        <v>13232.99</v>
      </c>
      <c r="M385" s="3565">
        <v>0</v>
      </c>
      <c r="N385" s="3565">
        <v>0</v>
      </c>
      <c r="O385" s="3563" t="s">
        <v>3453</v>
      </c>
    </row>
    <row r="386" spans="1:15">
      <c r="A386" s="3563" t="s">
        <v>4588</v>
      </c>
      <c r="B386" s="3563" t="s">
        <v>4196</v>
      </c>
      <c r="C386" s="3563" t="s">
        <v>4197</v>
      </c>
      <c r="D386" s="3563" t="s">
        <v>4198</v>
      </c>
      <c r="E386" s="3563" t="s">
        <v>4520</v>
      </c>
      <c r="F386" s="3563" t="s">
        <v>4200</v>
      </c>
      <c r="G386" s="3564">
        <v>109.8</v>
      </c>
      <c r="H386" s="3564">
        <v>87.26</v>
      </c>
      <c r="I386" s="3564">
        <v>22.54</v>
      </c>
      <c r="J386" s="3565">
        <v>1168728</v>
      </c>
      <c r="K386" s="3565">
        <v>10644.15</v>
      </c>
      <c r="L386" s="3565">
        <v>13393.63</v>
      </c>
      <c r="M386" s="3565">
        <v>0</v>
      </c>
      <c r="N386" s="3565">
        <v>0</v>
      </c>
      <c r="O386" s="3563" t="s">
        <v>3453</v>
      </c>
    </row>
    <row r="387" spans="1:15">
      <c r="A387" s="3563" t="s">
        <v>4589</v>
      </c>
      <c r="B387" s="3563" t="s">
        <v>4196</v>
      </c>
      <c r="C387" s="3563" t="s">
        <v>4197</v>
      </c>
      <c r="D387" s="3563" t="s">
        <v>4198</v>
      </c>
      <c r="E387" s="3563" t="s">
        <v>4520</v>
      </c>
      <c r="F387" s="3563" t="s">
        <v>4200</v>
      </c>
      <c r="G387" s="3564">
        <v>99.81</v>
      </c>
      <c r="H387" s="3564">
        <v>79.319999999999993</v>
      </c>
      <c r="I387" s="3564">
        <v>20.49</v>
      </c>
      <c r="J387" s="3565">
        <v>1025229</v>
      </c>
      <c r="K387" s="3565">
        <v>10271.81</v>
      </c>
      <c r="L387" s="3565">
        <v>12925.23</v>
      </c>
      <c r="M387" s="3565">
        <v>0</v>
      </c>
      <c r="N387" s="3565">
        <v>0</v>
      </c>
      <c r="O387" s="3563" t="s">
        <v>3453</v>
      </c>
    </row>
    <row r="388" spans="1:15">
      <c r="A388" s="3563" t="s">
        <v>4590</v>
      </c>
      <c r="B388" s="3563" t="s">
        <v>4196</v>
      </c>
      <c r="C388" s="3563" t="s">
        <v>4197</v>
      </c>
      <c r="D388" s="3563" t="s">
        <v>4198</v>
      </c>
      <c r="E388" s="3563" t="s">
        <v>4520</v>
      </c>
      <c r="F388" s="3563" t="s">
        <v>4200</v>
      </c>
      <c r="G388" s="3564">
        <v>99.81</v>
      </c>
      <c r="H388" s="3564">
        <v>79.319999999999993</v>
      </c>
      <c r="I388" s="3564">
        <v>20.49</v>
      </c>
      <c r="J388" s="3565">
        <v>1025229</v>
      </c>
      <c r="K388" s="3565">
        <v>10271.81</v>
      </c>
      <c r="L388" s="3565">
        <v>12925.23</v>
      </c>
      <c r="M388" s="3565">
        <v>0</v>
      </c>
      <c r="N388" s="3565">
        <v>0</v>
      </c>
      <c r="O388" s="3563" t="s">
        <v>3453</v>
      </c>
    </row>
    <row r="389" spans="1:15">
      <c r="A389" s="3563" t="s">
        <v>4591</v>
      </c>
      <c r="B389" s="3563" t="s">
        <v>4196</v>
      </c>
      <c r="C389" s="3563" t="s">
        <v>4197</v>
      </c>
      <c r="D389" s="3563" t="s">
        <v>4198</v>
      </c>
      <c r="E389" s="3563" t="s">
        <v>4520</v>
      </c>
      <c r="F389" s="3563" t="s">
        <v>4200</v>
      </c>
      <c r="G389" s="3564">
        <v>109.8</v>
      </c>
      <c r="H389" s="3564">
        <v>87.26</v>
      </c>
      <c r="I389" s="3564">
        <v>22.54</v>
      </c>
      <c r="J389" s="3565">
        <v>1168728</v>
      </c>
      <c r="K389" s="3565">
        <v>10644.15</v>
      </c>
      <c r="L389" s="3565">
        <v>13393.63</v>
      </c>
      <c r="M389" s="3565">
        <v>0</v>
      </c>
      <c r="N389" s="3565">
        <v>0</v>
      </c>
      <c r="O389" s="3563" t="s">
        <v>3453</v>
      </c>
    </row>
    <row r="390" spans="1:15">
      <c r="A390" s="3563" t="s">
        <v>4592</v>
      </c>
      <c r="B390" s="3563" t="s">
        <v>4196</v>
      </c>
      <c r="C390" s="3563" t="s">
        <v>4197</v>
      </c>
      <c r="D390" s="3563" t="s">
        <v>4198</v>
      </c>
      <c r="E390" s="3563" t="s">
        <v>4520</v>
      </c>
      <c r="F390" s="3563" t="s">
        <v>4200</v>
      </c>
      <c r="G390" s="3564">
        <v>109.8</v>
      </c>
      <c r="H390" s="3564">
        <v>87.26</v>
      </c>
      <c r="I390" s="3564">
        <v>22.54</v>
      </c>
      <c r="J390" s="3565">
        <v>1171064</v>
      </c>
      <c r="K390" s="3565">
        <v>10665.43</v>
      </c>
      <c r="L390" s="3565">
        <v>13420.4</v>
      </c>
      <c r="M390" s="3565">
        <v>0</v>
      </c>
      <c r="N390" s="3565">
        <v>0</v>
      </c>
      <c r="O390" s="3563" t="s">
        <v>3453</v>
      </c>
    </row>
    <row r="391" spans="1:15">
      <c r="A391" s="3563" t="s">
        <v>4593</v>
      </c>
      <c r="B391" s="3563" t="s">
        <v>4196</v>
      </c>
      <c r="C391" s="3563" t="s">
        <v>4197</v>
      </c>
      <c r="D391" s="3563" t="s">
        <v>4198</v>
      </c>
      <c r="E391" s="3563" t="s">
        <v>4520</v>
      </c>
      <c r="F391" s="3563" t="s">
        <v>4200</v>
      </c>
      <c r="G391" s="3564">
        <v>99.81</v>
      </c>
      <c r="H391" s="3564">
        <v>79.319999999999993</v>
      </c>
      <c r="I391" s="3564">
        <v>20.49</v>
      </c>
      <c r="J391" s="3565">
        <v>1027354</v>
      </c>
      <c r="K391" s="3565">
        <v>10293.1</v>
      </c>
      <c r="L391" s="3565">
        <v>12952.02</v>
      </c>
      <c r="M391" s="3565">
        <v>0</v>
      </c>
      <c r="N391" s="3565">
        <v>0</v>
      </c>
      <c r="O391" s="3563" t="s">
        <v>3453</v>
      </c>
    </row>
    <row r="392" spans="1:15">
      <c r="A392" s="3563" t="s">
        <v>4594</v>
      </c>
      <c r="B392" s="3563" t="s">
        <v>4196</v>
      </c>
      <c r="C392" s="3563" t="s">
        <v>4197</v>
      </c>
      <c r="D392" s="3563" t="s">
        <v>4198</v>
      </c>
      <c r="E392" s="3563" t="s">
        <v>4520</v>
      </c>
      <c r="F392" s="3563" t="s">
        <v>4200</v>
      </c>
      <c r="G392" s="3564">
        <v>99.81</v>
      </c>
      <c r="H392" s="3564">
        <v>79.319999999999993</v>
      </c>
      <c r="I392" s="3564">
        <v>20.49</v>
      </c>
      <c r="J392" s="3565">
        <v>1027354</v>
      </c>
      <c r="K392" s="3565">
        <v>10293.1</v>
      </c>
      <c r="L392" s="3565">
        <v>12952.02</v>
      </c>
      <c r="M392" s="3565">
        <v>0</v>
      </c>
      <c r="N392" s="3565">
        <v>0</v>
      </c>
      <c r="O392" s="3563" t="s">
        <v>3453</v>
      </c>
    </row>
    <row r="393" spans="1:15">
      <c r="A393" s="3563" t="s">
        <v>4595</v>
      </c>
      <c r="B393" s="3563" t="s">
        <v>4196</v>
      </c>
      <c r="C393" s="3563" t="s">
        <v>4197</v>
      </c>
      <c r="D393" s="3563" t="s">
        <v>4198</v>
      </c>
      <c r="E393" s="3563" t="s">
        <v>4520</v>
      </c>
      <c r="F393" s="3563" t="s">
        <v>4200</v>
      </c>
      <c r="G393" s="3564">
        <v>109.8</v>
      </c>
      <c r="H393" s="3564">
        <v>87.26</v>
      </c>
      <c r="I393" s="3564">
        <v>22.54</v>
      </c>
      <c r="J393" s="3565">
        <v>1171064</v>
      </c>
      <c r="K393" s="3565">
        <v>10665.43</v>
      </c>
      <c r="L393" s="3565">
        <v>13420.4</v>
      </c>
      <c r="M393" s="3565">
        <v>0</v>
      </c>
      <c r="N393" s="3565">
        <v>0</v>
      </c>
      <c r="O393" s="3563" t="s">
        <v>3453</v>
      </c>
    </row>
    <row r="394" spans="1:15">
      <c r="A394" s="3563" t="s">
        <v>4596</v>
      </c>
      <c r="B394" s="3563" t="s">
        <v>4196</v>
      </c>
      <c r="C394" s="3563" t="s">
        <v>4197</v>
      </c>
      <c r="D394" s="3563" t="s">
        <v>4198</v>
      </c>
      <c r="E394" s="3563" t="s">
        <v>4520</v>
      </c>
      <c r="F394" s="3563" t="s">
        <v>4200</v>
      </c>
      <c r="G394" s="3564">
        <v>109.8</v>
      </c>
      <c r="H394" s="3564">
        <v>87.26</v>
      </c>
      <c r="I394" s="3564">
        <v>22.54</v>
      </c>
      <c r="J394" s="3565">
        <v>1173400</v>
      </c>
      <c r="K394" s="3565">
        <v>10686.7</v>
      </c>
      <c r="L394" s="3565">
        <v>13447.17</v>
      </c>
      <c r="M394" s="3565">
        <v>0</v>
      </c>
      <c r="N394" s="3565">
        <v>0</v>
      </c>
      <c r="O394" s="3563" t="s">
        <v>3453</v>
      </c>
    </row>
    <row r="395" spans="1:15">
      <c r="A395" s="3563" t="s">
        <v>4597</v>
      </c>
      <c r="B395" s="3563" t="s">
        <v>4196</v>
      </c>
      <c r="C395" s="3563" t="s">
        <v>4197</v>
      </c>
      <c r="D395" s="3563" t="s">
        <v>4198</v>
      </c>
      <c r="E395" s="3563" t="s">
        <v>4520</v>
      </c>
      <c r="F395" s="3563" t="s">
        <v>4200</v>
      </c>
      <c r="G395" s="3564">
        <v>99.81</v>
      </c>
      <c r="H395" s="3564">
        <v>79.319999999999993</v>
      </c>
      <c r="I395" s="3564">
        <v>20.49</v>
      </c>
      <c r="J395" s="3565">
        <v>1040095</v>
      </c>
      <c r="K395" s="3565">
        <v>10420.75</v>
      </c>
      <c r="L395" s="3565">
        <v>13112.64</v>
      </c>
      <c r="M395" s="3565">
        <v>0</v>
      </c>
      <c r="N395" s="3565">
        <v>0</v>
      </c>
      <c r="O395" s="3563" t="s">
        <v>3453</v>
      </c>
    </row>
    <row r="396" spans="1:15">
      <c r="A396" s="3563" t="s">
        <v>4598</v>
      </c>
      <c r="B396" s="3563" t="s">
        <v>4196</v>
      </c>
      <c r="C396" s="3563" t="s">
        <v>4197</v>
      </c>
      <c r="D396" s="3563" t="s">
        <v>4198</v>
      </c>
      <c r="E396" s="3563" t="s">
        <v>4520</v>
      </c>
      <c r="F396" s="3563" t="s">
        <v>4200</v>
      </c>
      <c r="G396" s="3564">
        <v>99.81</v>
      </c>
      <c r="H396" s="3564">
        <v>79.319999999999993</v>
      </c>
      <c r="I396" s="3564">
        <v>20.49</v>
      </c>
      <c r="J396" s="3565">
        <v>1040095</v>
      </c>
      <c r="K396" s="3565">
        <v>10420.75</v>
      </c>
      <c r="L396" s="3565">
        <v>13112.64</v>
      </c>
      <c r="M396" s="3565">
        <v>0</v>
      </c>
      <c r="N396" s="3565">
        <v>0</v>
      </c>
      <c r="O396" s="3563" t="s">
        <v>3453</v>
      </c>
    </row>
    <row r="397" spans="1:15">
      <c r="A397" s="3563" t="s">
        <v>4599</v>
      </c>
      <c r="B397" s="3563" t="s">
        <v>4196</v>
      </c>
      <c r="C397" s="3563" t="s">
        <v>4197</v>
      </c>
      <c r="D397" s="3563" t="s">
        <v>4198</v>
      </c>
      <c r="E397" s="3563" t="s">
        <v>4520</v>
      </c>
      <c r="F397" s="3563" t="s">
        <v>4200</v>
      </c>
      <c r="G397" s="3564">
        <v>109.8</v>
      </c>
      <c r="H397" s="3564">
        <v>87.26</v>
      </c>
      <c r="I397" s="3564">
        <v>22.54</v>
      </c>
      <c r="J397" s="3565">
        <v>1173400</v>
      </c>
      <c r="K397" s="3565">
        <v>10686.7</v>
      </c>
      <c r="L397" s="3565">
        <v>13447.17</v>
      </c>
      <c r="M397" s="3565">
        <v>0</v>
      </c>
      <c r="N397" s="3565">
        <v>0</v>
      </c>
      <c r="O397" s="3563" t="s">
        <v>3453</v>
      </c>
    </row>
    <row r="398" spans="1:15">
      <c r="A398" s="3563" t="s">
        <v>4600</v>
      </c>
      <c r="B398" s="3563" t="s">
        <v>4196</v>
      </c>
      <c r="C398" s="3563" t="s">
        <v>4197</v>
      </c>
      <c r="D398" s="3563" t="s">
        <v>4198</v>
      </c>
      <c r="E398" s="3563" t="s">
        <v>4520</v>
      </c>
      <c r="F398" s="3563" t="s">
        <v>4200</v>
      </c>
      <c r="G398" s="3564">
        <v>109.8</v>
      </c>
      <c r="H398" s="3564">
        <v>87.26</v>
      </c>
      <c r="I398" s="3564">
        <v>22.54</v>
      </c>
      <c r="J398" s="3565">
        <v>1175737</v>
      </c>
      <c r="K398" s="3565">
        <v>10707.99</v>
      </c>
      <c r="L398" s="3565">
        <v>13473.95</v>
      </c>
      <c r="M398" s="3565">
        <v>0</v>
      </c>
      <c r="N398" s="3565">
        <v>0</v>
      </c>
      <c r="O398" s="3563" t="s">
        <v>3453</v>
      </c>
    </row>
    <row r="399" spans="1:15">
      <c r="A399" s="3563" t="s">
        <v>4601</v>
      </c>
      <c r="B399" s="3563" t="s">
        <v>4196</v>
      </c>
      <c r="C399" s="3563" t="s">
        <v>4197</v>
      </c>
      <c r="D399" s="3563" t="s">
        <v>4198</v>
      </c>
      <c r="E399" s="3563" t="s">
        <v>4520</v>
      </c>
      <c r="F399" s="3563" t="s">
        <v>4200</v>
      </c>
      <c r="G399" s="3564">
        <v>99.81</v>
      </c>
      <c r="H399" s="3564">
        <v>79.319999999999993</v>
      </c>
      <c r="I399" s="3564">
        <v>20.49</v>
      </c>
      <c r="J399" s="3565">
        <v>1042219</v>
      </c>
      <c r="K399" s="3565">
        <v>10442.030000000001</v>
      </c>
      <c r="L399" s="3565">
        <v>13139.42</v>
      </c>
      <c r="M399" s="3565">
        <v>0</v>
      </c>
      <c r="N399" s="3565">
        <v>0</v>
      </c>
      <c r="O399" s="3563" t="s">
        <v>3453</v>
      </c>
    </row>
    <row r="400" spans="1:15">
      <c r="A400" s="3563" t="s">
        <v>4602</v>
      </c>
      <c r="B400" s="3563" t="s">
        <v>4196</v>
      </c>
      <c r="C400" s="3563" t="s">
        <v>4197</v>
      </c>
      <c r="D400" s="3563" t="s">
        <v>4198</v>
      </c>
      <c r="E400" s="3563" t="s">
        <v>4520</v>
      </c>
      <c r="F400" s="3563" t="s">
        <v>4200</v>
      </c>
      <c r="G400" s="3564">
        <v>99.81</v>
      </c>
      <c r="H400" s="3564">
        <v>79.319999999999993</v>
      </c>
      <c r="I400" s="3564">
        <v>20.49</v>
      </c>
      <c r="J400" s="3565">
        <v>1042219</v>
      </c>
      <c r="K400" s="3565">
        <v>10442.030000000001</v>
      </c>
      <c r="L400" s="3565">
        <v>13139.42</v>
      </c>
      <c r="M400" s="3565">
        <v>0</v>
      </c>
      <c r="N400" s="3565">
        <v>0</v>
      </c>
      <c r="O400" s="3563" t="s">
        <v>3453</v>
      </c>
    </row>
    <row r="401" spans="1:15">
      <c r="A401" s="3563" t="s">
        <v>4603</v>
      </c>
      <c r="B401" s="3563" t="s">
        <v>4196</v>
      </c>
      <c r="C401" s="3563" t="s">
        <v>4197</v>
      </c>
      <c r="D401" s="3563" t="s">
        <v>4198</v>
      </c>
      <c r="E401" s="3563" t="s">
        <v>4520</v>
      </c>
      <c r="F401" s="3563" t="s">
        <v>4200</v>
      </c>
      <c r="G401" s="3564">
        <v>109.8</v>
      </c>
      <c r="H401" s="3564">
        <v>87.26</v>
      </c>
      <c r="I401" s="3564">
        <v>22.54</v>
      </c>
      <c r="J401" s="3565">
        <v>1175737</v>
      </c>
      <c r="K401" s="3565">
        <v>10707.99</v>
      </c>
      <c r="L401" s="3565">
        <v>13473.95</v>
      </c>
      <c r="M401" s="3565">
        <v>0</v>
      </c>
      <c r="N401" s="3565">
        <v>0</v>
      </c>
      <c r="O401" s="3563" t="s">
        <v>3453</v>
      </c>
    </row>
    <row r="402" spans="1:15">
      <c r="A402" s="3563" t="s">
        <v>4604</v>
      </c>
      <c r="B402" s="3563" t="s">
        <v>4196</v>
      </c>
      <c r="C402" s="3563" t="s">
        <v>4197</v>
      </c>
      <c r="D402" s="3563" t="s">
        <v>4198</v>
      </c>
      <c r="E402" s="3563" t="s">
        <v>4520</v>
      </c>
      <c r="F402" s="3563" t="s">
        <v>4200</v>
      </c>
      <c r="G402" s="3564">
        <v>109.8</v>
      </c>
      <c r="H402" s="3564">
        <v>87.26</v>
      </c>
      <c r="I402" s="3564">
        <v>22.54</v>
      </c>
      <c r="J402" s="3565">
        <v>1173400</v>
      </c>
      <c r="K402" s="3565">
        <v>10686.7</v>
      </c>
      <c r="L402" s="3565">
        <v>13447.17</v>
      </c>
      <c r="M402" s="3565">
        <v>0</v>
      </c>
      <c r="N402" s="3565">
        <v>0</v>
      </c>
      <c r="O402" s="3563" t="s">
        <v>3453</v>
      </c>
    </row>
    <row r="403" spans="1:15">
      <c r="A403" s="3563" t="s">
        <v>4605</v>
      </c>
      <c r="B403" s="3563" t="s">
        <v>4196</v>
      </c>
      <c r="C403" s="3563" t="s">
        <v>4197</v>
      </c>
      <c r="D403" s="3563" t="s">
        <v>4198</v>
      </c>
      <c r="E403" s="3563" t="s">
        <v>4520</v>
      </c>
      <c r="F403" s="3563" t="s">
        <v>4200</v>
      </c>
      <c r="G403" s="3564">
        <v>99.81</v>
      </c>
      <c r="H403" s="3564">
        <v>79.319999999999993</v>
      </c>
      <c r="I403" s="3564">
        <v>20.49</v>
      </c>
      <c r="J403" s="3565">
        <v>1040095</v>
      </c>
      <c r="K403" s="3565">
        <v>10420.75</v>
      </c>
      <c r="L403" s="3565">
        <v>13112.64</v>
      </c>
      <c r="M403" s="3565">
        <v>0</v>
      </c>
      <c r="N403" s="3565">
        <v>0</v>
      </c>
      <c r="O403" s="3563" t="s">
        <v>3453</v>
      </c>
    </row>
    <row r="404" spans="1:15">
      <c r="A404" s="3563" t="s">
        <v>4606</v>
      </c>
      <c r="B404" s="3563" t="s">
        <v>4196</v>
      </c>
      <c r="C404" s="3563" t="s">
        <v>4197</v>
      </c>
      <c r="D404" s="3563" t="s">
        <v>4198</v>
      </c>
      <c r="E404" s="3563" t="s">
        <v>4520</v>
      </c>
      <c r="F404" s="3563" t="s">
        <v>4200</v>
      </c>
      <c r="G404" s="3564">
        <v>99.81</v>
      </c>
      <c r="H404" s="3564">
        <v>79.319999999999993</v>
      </c>
      <c r="I404" s="3564">
        <v>20.49</v>
      </c>
      <c r="J404" s="3565">
        <v>1040095</v>
      </c>
      <c r="K404" s="3565">
        <v>10420.75</v>
      </c>
      <c r="L404" s="3565">
        <v>13112.64</v>
      </c>
      <c r="M404" s="3565">
        <v>0</v>
      </c>
      <c r="N404" s="3565">
        <v>0</v>
      </c>
      <c r="O404" s="3563" t="s">
        <v>3453</v>
      </c>
    </row>
    <row r="405" spans="1:15">
      <c r="A405" s="3563" t="s">
        <v>4607</v>
      </c>
      <c r="B405" s="3563" t="s">
        <v>4196</v>
      </c>
      <c r="C405" s="3563" t="s">
        <v>4197</v>
      </c>
      <c r="D405" s="3563" t="s">
        <v>4198</v>
      </c>
      <c r="E405" s="3563" t="s">
        <v>4520</v>
      </c>
      <c r="F405" s="3563" t="s">
        <v>4200</v>
      </c>
      <c r="G405" s="3564">
        <v>109.8</v>
      </c>
      <c r="H405" s="3564">
        <v>87.26</v>
      </c>
      <c r="I405" s="3564">
        <v>22.54</v>
      </c>
      <c r="J405" s="3565">
        <v>1173400</v>
      </c>
      <c r="K405" s="3565">
        <v>10686.7</v>
      </c>
      <c r="L405" s="3565">
        <v>13447.17</v>
      </c>
      <c r="M405" s="3565">
        <v>0</v>
      </c>
      <c r="N405" s="3565">
        <v>0</v>
      </c>
      <c r="O405" s="3563" t="s">
        <v>3453</v>
      </c>
    </row>
    <row r="406" spans="1:15">
      <c r="A406" s="3563" t="s">
        <v>4608</v>
      </c>
      <c r="B406" s="3563" t="s">
        <v>4196</v>
      </c>
      <c r="C406" s="3563" t="s">
        <v>4197</v>
      </c>
      <c r="D406" s="3563" t="s">
        <v>4198</v>
      </c>
      <c r="E406" s="3563" t="s">
        <v>4609</v>
      </c>
      <c r="F406" s="3563" t="s">
        <v>4200</v>
      </c>
      <c r="G406" s="3564">
        <v>89.76</v>
      </c>
      <c r="H406" s="3564">
        <v>74.14</v>
      </c>
      <c r="I406" s="3564">
        <v>15.62</v>
      </c>
      <c r="J406" s="3565">
        <v>919133</v>
      </c>
      <c r="K406" s="3565">
        <v>10239.9</v>
      </c>
      <c r="L406" s="3565">
        <v>12397.26</v>
      </c>
      <c r="M406" s="3565">
        <v>0</v>
      </c>
      <c r="N406" s="3565">
        <v>0</v>
      </c>
      <c r="O406" s="3563" t="s">
        <v>3453</v>
      </c>
    </row>
    <row r="407" spans="1:15">
      <c r="A407" s="3563" t="s">
        <v>4610</v>
      </c>
      <c r="B407" s="3563" t="s">
        <v>4196</v>
      </c>
      <c r="C407" s="3563" t="s">
        <v>4197</v>
      </c>
      <c r="D407" s="3563" t="s">
        <v>4198</v>
      </c>
      <c r="E407" s="3563" t="s">
        <v>4609</v>
      </c>
      <c r="F407" s="3563" t="s">
        <v>4200</v>
      </c>
      <c r="G407" s="3564">
        <v>108.87</v>
      </c>
      <c r="H407" s="3564">
        <v>87.26</v>
      </c>
      <c r="I407" s="3564">
        <v>21.61</v>
      </c>
      <c r="J407" s="3565">
        <v>1137981</v>
      </c>
      <c r="K407" s="3565">
        <v>10452.66</v>
      </c>
      <c r="L407" s="3565">
        <v>13041.27</v>
      </c>
      <c r="M407" s="3565">
        <v>0</v>
      </c>
      <c r="N407" s="3565">
        <v>0</v>
      </c>
      <c r="O407" s="3563" t="s">
        <v>3453</v>
      </c>
    </row>
    <row r="408" spans="1:15">
      <c r="A408" s="3563" t="s">
        <v>4611</v>
      </c>
      <c r="B408" s="3563" t="s">
        <v>4196</v>
      </c>
      <c r="C408" s="3563" t="s">
        <v>4197</v>
      </c>
      <c r="D408" s="3563" t="s">
        <v>4198</v>
      </c>
      <c r="E408" s="3563" t="s">
        <v>4609</v>
      </c>
      <c r="F408" s="3563" t="s">
        <v>4200</v>
      </c>
      <c r="G408" s="3564">
        <v>98.96</v>
      </c>
      <c r="H408" s="3564">
        <v>79.319999999999993</v>
      </c>
      <c r="I408" s="3564">
        <v>19.64</v>
      </c>
      <c r="J408" s="3565">
        <v>1018604</v>
      </c>
      <c r="K408" s="3565">
        <v>10293.09</v>
      </c>
      <c r="L408" s="3565">
        <v>12841.7</v>
      </c>
      <c r="M408" s="3565">
        <v>0</v>
      </c>
      <c r="N408" s="3565">
        <v>0</v>
      </c>
      <c r="O408" s="3563" t="s">
        <v>3453</v>
      </c>
    </row>
    <row r="409" spans="1:15">
      <c r="A409" s="3563" t="s">
        <v>4612</v>
      </c>
      <c r="B409" s="3563" t="s">
        <v>4196</v>
      </c>
      <c r="C409" s="3563" t="s">
        <v>4197</v>
      </c>
      <c r="D409" s="3563" t="s">
        <v>4198</v>
      </c>
      <c r="E409" s="3563" t="s">
        <v>4609</v>
      </c>
      <c r="F409" s="3563" t="s">
        <v>4200</v>
      </c>
      <c r="G409" s="3564">
        <v>98.96</v>
      </c>
      <c r="H409" s="3564">
        <v>79.319999999999993</v>
      </c>
      <c r="I409" s="3564">
        <v>19.64</v>
      </c>
      <c r="J409" s="3565">
        <v>1018604</v>
      </c>
      <c r="K409" s="3565">
        <v>10293.09</v>
      </c>
      <c r="L409" s="3565">
        <v>12841.7</v>
      </c>
      <c r="M409" s="3565">
        <v>0</v>
      </c>
      <c r="N409" s="3565">
        <v>0</v>
      </c>
      <c r="O409" s="3563" t="s">
        <v>3453</v>
      </c>
    </row>
    <row r="410" spans="1:15">
      <c r="A410" s="3563" t="s">
        <v>4613</v>
      </c>
      <c r="B410" s="3563" t="s">
        <v>4196</v>
      </c>
      <c r="C410" s="3563" t="s">
        <v>4197</v>
      </c>
      <c r="D410" s="3563" t="s">
        <v>4198</v>
      </c>
      <c r="E410" s="3563" t="s">
        <v>4609</v>
      </c>
      <c r="F410" s="3563" t="s">
        <v>4200</v>
      </c>
      <c r="G410" s="3564">
        <v>108.87</v>
      </c>
      <c r="H410" s="3564">
        <v>87.26</v>
      </c>
      <c r="I410" s="3564">
        <v>21.61</v>
      </c>
      <c r="J410" s="3565">
        <v>1172727</v>
      </c>
      <c r="K410" s="3565">
        <v>10771.81</v>
      </c>
      <c r="L410" s="3565">
        <v>13439.46</v>
      </c>
      <c r="M410" s="3565">
        <v>0</v>
      </c>
      <c r="N410" s="3565">
        <v>0</v>
      </c>
      <c r="O410" s="3563" t="s">
        <v>3453</v>
      </c>
    </row>
    <row r="411" spans="1:15">
      <c r="A411" s="3563" t="s">
        <v>4614</v>
      </c>
      <c r="B411" s="3563" t="s">
        <v>4196</v>
      </c>
      <c r="C411" s="3563" t="s">
        <v>4197</v>
      </c>
      <c r="D411" s="3563" t="s">
        <v>4198</v>
      </c>
      <c r="E411" s="3563" t="s">
        <v>4609</v>
      </c>
      <c r="F411" s="3563" t="s">
        <v>4200</v>
      </c>
      <c r="G411" s="3564">
        <v>108.87</v>
      </c>
      <c r="H411" s="3564">
        <v>87.26</v>
      </c>
      <c r="I411" s="3564">
        <v>21.61</v>
      </c>
      <c r="J411" s="3565">
        <v>1135665</v>
      </c>
      <c r="K411" s="3565">
        <v>10431.39</v>
      </c>
      <c r="L411" s="3565">
        <v>13014.73</v>
      </c>
      <c r="M411" s="3565">
        <v>0</v>
      </c>
      <c r="N411" s="3565">
        <v>0</v>
      </c>
      <c r="O411" s="3563" t="s">
        <v>3453</v>
      </c>
    </row>
    <row r="412" spans="1:15">
      <c r="A412" s="3563" t="s">
        <v>4615</v>
      </c>
      <c r="B412" s="3563" t="s">
        <v>4196</v>
      </c>
      <c r="C412" s="3563" t="s">
        <v>4197</v>
      </c>
      <c r="D412" s="3563" t="s">
        <v>4198</v>
      </c>
      <c r="E412" s="3563" t="s">
        <v>4609</v>
      </c>
      <c r="F412" s="3563" t="s">
        <v>4200</v>
      </c>
      <c r="G412" s="3564">
        <v>98.96</v>
      </c>
      <c r="H412" s="3564">
        <v>79.319999999999993</v>
      </c>
      <c r="I412" s="3564">
        <v>19.64</v>
      </c>
      <c r="J412" s="3565">
        <v>1016498</v>
      </c>
      <c r="K412" s="3565">
        <v>10271.81</v>
      </c>
      <c r="L412" s="3565">
        <v>12815.15</v>
      </c>
      <c r="M412" s="3565">
        <v>0</v>
      </c>
      <c r="N412" s="3565">
        <v>0</v>
      </c>
      <c r="O412" s="3563" t="s">
        <v>3453</v>
      </c>
    </row>
    <row r="413" spans="1:15">
      <c r="A413" s="3563" t="s">
        <v>4616</v>
      </c>
      <c r="B413" s="3563" t="s">
        <v>4196</v>
      </c>
      <c r="C413" s="3563" t="s">
        <v>4197</v>
      </c>
      <c r="D413" s="3563" t="s">
        <v>4198</v>
      </c>
      <c r="E413" s="3563" t="s">
        <v>4609</v>
      </c>
      <c r="F413" s="3563" t="s">
        <v>4200</v>
      </c>
      <c r="G413" s="3564">
        <v>98.96</v>
      </c>
      <c r="H413" s="3564">
        <v>79.319999999999993</v>
      </c>
      <c r="I413" s="3564">
        <v>19.64</v>
      </c>
      <c r="J413" s="3565">
        <v>1016498</v>
      </c>
      <c r="K413" s="3565">
        <v>10271.81</v>
      </c>
      <c r="L413" s="3565">
        <v>12815.15</v>
      </c>
      <c r="M413" s="3565">
        <v>0</v>
      </c>
      <c r="N413" s="3565">
        <v>0</v>
      </c>
      <c r="O413" s="3563" t="s">
        <v>3453</v>
      </c>
    </row>
    <row r="414" spans="1:15">
      <c r="A414" s="3563" t="s">
        <v>4617</v>
      </c>
      <c r="B414" s="3563" t="s">
        <v>4196</v>
      </c>
      <c r="C414" s="3563" t="s">
        <v>4197</v>
      </c>
      <c r="D414" s="3563" t="s">
        <v>4198</v>
      </c>
      <c r="E414" s="3563" t="s">
        <v>4609</v>
      </c>
      <c r="F414" s="3563" t="s">
        <v>4200</v>
      </c>
      <c r="G414" s="3564">
        <v>108.87</v>
      </c>
      <c r="H414" s="3564">
        <v>87.26</v>
      </c>
      <c r="I414" s="3564">
        <v>21.61</v>
      </c>
      <c r="J414" s="3565">
        <v>1170411</v>
      </c>
      <c r="K414" s="3565">
        <v>10750.54</v>
      </c>
      <c r="L414" s="3565">
        <v>13412.92</v>
      </c>
      <c r="M414" s="3565">
        <v>0</v>
      </c>
      <c r="N414" s="3565">
        <v>0</v>
      </c>
      <c r="O414" s="3563" t="s">
        <v>3453</v>
      </c>
    </row>
    <row r="415" spans="1:15">
      <c r="A415" s="3563" t="s">
        <v>4618</v>
      </c>
      <c r="B415" s="3563" t="s">
        <v>4196</v>
      </c>
      <c r="C415" s="3563" t="s">
        <v>4197</v>
      </c>
      <c r="D415" s="3563" t="s">
        <v>4198</v>
      </c>
      <c r="E415" s="3563" t="s">
        <v>4609</v>
      </c>
      <c r="F415" s="3563" t="s">
        <v>4200</v>
      </c>
      <c r="G415" s="3564">
        <v>108.87</v>
      </c>
      <c r="H415" s="3564">
        <v>87.26</v>
      </c>
      <c r="I415" s="3564">
        <v>21.61</v>
      </c>
      <c r="J415" s="3565">
        <v>1098603</v>
      </c>
      <c r="K415" s="3565">
        <v>10090.959999999999</v>
      </c>
      <c r="L415" s="3565">
        <v>12590</v>
      </c>
      <c r="M415" s="3565">
        <v>0</v>
      </c>
      <c r="N415" s="3565">
        <v>0</v>
      </c>
      <c r="O415" s="3563" t="s">
        <v>3453</v>
      </c>
    </row>
    <row r="416" spans="1:15">
      <c r="A416" s="3563" t="s">
        <v>4619</v>
      </c>
      <c r="B416" s="3563" t="s">
        <v>4196</v>
      </c>
      <c r="C416" s="3563" t="s">
        <v>4197</v>
      </c>
      <c r="D416" s="3563" t="s">
        <v>4198</v>
      </c>
      <c r="E416" s="3563" t="s">
        <v>4609</v>
      </c>
      <c r="F416" s="3563" t="s">
        <v>4200</v>
      </c>
      <c r="G416" s="3564">
        <v>98.96</v>
      </c>
      <c r="H416" s="3564">
        <v>79.319999999999993</v>
      </c>
      <c r="I416" s="3564">
        <v>19.64</v>
      </c>
      <c r="J416" s="3565">
        <v>982810</v>
      </c>
      <c r="K416" s="3565">
        <v>9931.39</v>
      </c>
      <c r="L416" s="3565">
        <v>12390.44</v>
      </c>
      <c r="M416" s="3565">
        <v>0</v>
      </c>
      <c r="N416" s="3565">
        <v>0</v>
      </c>
      <c r="O416" s="3563" t="s">
        <v>3453</v>
      </c>
    </row>
    <row r="417" spans="1:15">
      <c r="A417" s="3563" t="s">
        <v>4620</v>
      </c>
      <c r="B417" s="3563" t="s">
        <v>4196</v>
      </c>
      <c r="C417" s="3563" t="s">
        <v>4197</v>
      </c>
      <c r="D417" s="3563" t="s">
        <v>4198</v>
      </c>
      <c r="E417" s="3563" t="s">
        <v>4609</v>
      </c>
      <c r="F417" s="3563" t="s">
        <v>4200</v>
      </c>
      <c r="G417" s="3564">
        <v>98.96</v>
      </c>
      <c r="H417" s="3564">
        <v>79.319999999999993</v>
      </c>
      <c r="I417" s="3564">
        <v>19.64</v>
      </c>
      <c r="J417" s="3565">
        <v>982810</v>
      </c>
      <c r="K417" s="3565">
        <v>9931.39</v>
      </c>
      <c r="L417" s="3565">
        <v>12390.44</v>
      </c>
      <c r="M417" s="3565">
        <v>0</v>
      </c>
      <c r="N417" s="3565">
        <v>0</v>
      </c>
      <c r="O417" s="3563" t="s">
        <v>3453</v>
      </c>
    </row>
    <row r="418" spans="1:15">
      <c r="A418" s="3563" t="s">
        <v>4621</v>
      </c>
      <c r="B418" s="3563" t="s">
        <v>4196</v>
      </c>
      <c r="C418" s="3563" t="s">
        <v>4197</v>
      </c>
      <c r="D418" s="3563" t="s">
        <v>4198</v>
      </c>
      <c r="E418" s="3563" t="s">
        <v>4609</v>
      </c>
      <c r="F418" s="3563" t="s">
        <v>4200</v>
      </c>
      <c r="G418" s="3564">
        <v>108.87</v>
      </c>
      <c r="H418" s="3564">
        <v>87.26</v>
      </c>
      <c r="I418" s="3564">
        <v>21.61</v>
      </c>
      <c r="J418" s="3565">
        <v>1133348</v>
      </c>
      <c r="K418" s="3565">
        <v>10410.1</v>
      </c>
      <c r="L418" s="3565">
        <v>12988.17</v>
      </c>
      <c r="M418" s="3565">
        <v>0</v>
      </c>
      <c r="N418" s="3565">
        <v>0</v>
      </c>
      <c r="O418" s="3563" t="s">
        <v>3453</v>
      </c>
    </row>
    <row r="419" spans="1:15">
      <c r="A419" s="3563" t="s">
        <v>4622</v>
      </c>
      <c r="B419" s="3563" t="s">
        <v>4196</v>
      </c>
      <c r="C419" s="3563" t="s">
        <v>4197</v>
      </c>
      <c r="D419" s="3563" t="s">
        <v>4198</v>
      </c>
      <c r="E419" s="3563" t="s">
        <v>4609</v>
      </c>
      <c r="F419" s="3563" t="s">
        <v>4200</v>
      </c>
      <c r="G419" s="3564">
        <v>95.83</v>
      </c>
      <c r="H419" s="3564">
        <v>76.66</v>
      </c>
      <c r="I419" s="3564">
        <v>19.170000000000002</v>
      </c>
      <c r="J419" s="3565">
        <v>962939</v>
      </c>
      <c r="K419" s="3565">
        <v>10048.41</v>
      </c>
      <c r="L419" s="3565">
        <v>12561.17</v>
      </c>
      <c r="M419" s="3565">
        <v>0</v>
      </c>
      <c r="N419" s="3565">
        <v>0</v>
      </c>
      <c r="O419" s="3563" t="s">
        <v>3453</v>
      </c>
    </row>
    <row r="420" spans="1:15">
      <c r="A420" s="3563" t="s">
        <v>4623</v>
      </c>
      <c r="B420" s="3563" t="s">
        <v>4196</v>
      </c>
      <c r="C420" s="3563" t="s">
        <v>4197</v>
      </c>
      <c r="D420" s="3563" t="s">
        <v>4198</v>
      </c>
      <c r="E420" s="3563" t="s">
        <v>4609</v>
      </c>
      <c r="F420" s="3563" t="s">
        <v>4200</v>
      </c>
      <c r="G420" s="3564">
        <v>99.16</v>
      </c>
      <c r="H420" s="3564">
        <v>79.319999999999993</v>
      </c>
      <c r="I420" s="3564">
        <v>19.84</v>
      </c>
      <c r="J420" s="3565">
        <v>977412</v>
      </c>
      <c r="K420" s="3565">
        <v>9856.92</v>
      </c>
      <c r="L420" s="3565">
        <v>12322.39</v>
      </c>
      <c r="M420" s="3565">
        <v>0</v>
      </c>
      <c r="N420" s="3565">
        <v>0</v>
      </c>
      <c r="O420" s="3563" t="s">
        <v>3453</v>
      </c>
    </row>
    <row r="421" spans="1:15">
      <c r="A421" s="3563" t="s">
        <v>4624</v>
      </c>
      <c r="B421" s="3563" t="s">
        <v>4196</v>
      </c>
      <c r="C421" s="3563" t="s">
        <v>4197</v>
      </c>
      <c r="D421" s="3563" t="s">
        <v>4198</v>
      </c>
      <c r="E421" s="3563" t="s">
        <v>4609</v>
      </c>
      <c r="F421" s="3563" t="s">
        <v>4200</v>
      </c>
      <c r="G421" s="3564">
        <v>99.16</v>
      </c>
      <c r="H421" s="3564">
        <v>79.319999999999993</v>
      </c>
      <c r="I421" s="3564">
        <v>19.84</v>
      </c>
      <c r="J421" s="3565">
        <v>977412</v>
      </c>
      <c r="K421" s="3565">
        <v>9856.92</v>
      </c>
      <c r="L421" s="3565">
        <v>12322.39</v>
      </c>
      <c r="M421" s="3565">
        <v>0</v>
      </c>
      <c r="N421" s="3565">
        <v>0</v>
      </c>
      <c r="O421" s="3563" t="s">
        <v>3453</v>
      </c>
    </row>
    <row r="422" spans="1:15">
      <c r="A422" s="3563" t="s">
        <v>4625</v>
      </c>
      <c r="B422" s="3563" t="s">
        <v>4196</v>
      </c>
      <c r="C422" s="3563" t="s">
        <v>4197</v>
      </c>
      <c r="D422" s="3563" t="s">
        <v>4198</v>
      </c>
      <c r="E422" s="3563" t="s">
        <v>4609</v>
      </c>
      <c r="F422" s="3563" t="s">
        <v>4200</v>
      </c>
      <c r="G422" s="3564">
        <v>95.83</v>
      </c>
      <c r="H422" s="3564">
        <v>76.66</v>
      </c>
      <c r="I422" s="3564">
        <v>19.170000000000002</v>
      </c>
      <c r="J422" s="3565">
        <v>993523</v>
      </c>
      <c r="K422" s="3565">
        <v>10367.56</v>
      </c>
      <c r="L422" s="3565">
        <v>12960.12</v>
      </c>
      <c r="M422" s="3565">
        <v>0</v>
      </c>
      <c r="N422" s="3565">
        <v>0</v>
      </c>
      <c r="O422" s="3563" t="s">
        <v>3453</v>
      </c>
    </row>
    <row r="423" spans="1:15">
      <c r="A423" s="3563" t="s">
        <v>4626</v>
      </c>
      <c r="B423" s="3563" t="s">
        <v>4196</v>
      </c>
      <c r="C423" s="3563" t="s">
        <v>4197</v>
      </c>
      <c r="D423" s="3563" t="s">
        <v>4198</v>
      </c>
      <c r="E423" s="3563" t="s">
        <v>4609</v>
      </c>
      <c r="F423" s="3563" t="s">
        <v>4200</v>
      </c>
      <c r="G423" s="3564">
        <v>108.87</v>
      </c>
      <c r="H423" s="3564">
        <v>87.26</v>
      </c>
      <c r="I423" s="3564">
        <v>21.61</v>
      </c>
      <c r="J423" s="3565">
        <v>1107869</v>
      </c>
      <c r="K423" s="3565">
        <v>10176.07</v>
      </c>
      <c r="L423" s="3565">
        <v>12696.18</v>
      </c>
      <c r="M423" s="3565">
        <v>0</v>
      </c>
      <c r="N423" s="3565">
        <v>0</v>
      </c>
      <c r="O423" s="3563" t="s">
        <v>3453</v>
      </c>
    </row>
    <row r="424" spans="1:15">
      <c r="A424" s="3563" t="s">
        <v>4627</v>
      </c>
      <c r="B424" s="3563" t="s">
        <v>4196</v>
      </c>
      <c r="C424" s="3563" t="s">
        <v>4197</v>
      </c>
      <c r="D424" s="3563" t="s">
        <v>4198</v>
      </c>
      <c r="E424" s="3563" t="s">
        <v>4609</v>
      </c>
      <c r="F424" s="3563" t="s">
        <v>4200</v>
      </c>
      <c r="G424" s="3564">
        <v>98.96</v>
      </c>
      <c r="H424" s="3564">
        <v>79.319999999999993</v>
      </c>
      <c r="I424" s="3564">
        <v>19.64</v>
      </c>
      <c r="J424" s="3565">
        <v>980705</v>
      </c>
      <c r="K424" s="3565">
        <v>9910.1200000000008</v>
      </c>
      <c r="L424" s="3565">
        <v>12363.91</v>
      </c>
      <c r="M424" s="3565">
        <v>0</v>
      </c>
      <c r="N424" s="3565">
        <v>0</v>
      </c>
      <c r="O424" s="3563" t="s">
        <v>3453</v>
      </c>
    </row>
    <row r="425" spans="1:15">
      <c r="A425" s="3563" t="s">
        <v>4628</v>
      </c>
      <c r="B425" s="3563" t="s">
        <v>4196</v>
      </c>
      <c r="C425" s="3563" t="s">
        <v>4197</v>
      </c>
      <c r="D425" s="3563" t="s">
        <v>4198</v>
      </c>
      <c r="E425" s="3563" t="s">
        <v>4609</v>
      </c>
      <c r="F425" s="3563" t="s">
        <v>4200</v>
      </c>
      <c r="G425" s="3564">
        <v>98.96</v>
      </c>
      <c r="H425" s="3564">
        <v>79.319999999999993</v>
      </c>
      <c r="I425" s="3564">
        <v>19.64</v>
      </c>
      <c r="J425" s="3565">
        <v>980705</v>
      </c>
      <c r="K425" s="3565">
        <v>9910.1200000000008</v>
      </c>
      <c r="L425" s="3565">
        <v>12363.91</v>
      </c>
      <c r="M425" s="3565">
        <v>0</v>
      </c>
      <c r="N425" s="3565">
        <v>0</v>
      </c>
      <c r="O425" s="3563" t="s">
        <v>3453</v>
      </c>
    </row>
    <row r="426" spans="1:15">
      <c r="A426" s="3563" t="s">
        <v>4629</v>
      </c>
      <c r="B426" s="3563" t="s">
        <v>4196</v>
      </c>
      <c r="C426" s="3563" t="s">
        <v>4197</v>
      </c>
      <c r="D426" s="3563" t="s">
        <v>4198</v>
      </c>
      <c r="E426" s="3563" t="s">
        <v>4609</v>
      </c>
      <c r="F426" s="3563" t="s">
        <v>4200</v>
      </c>
      <c r="G426" s="3564">
        <v>108.87</v>
      </c>
      <c r="H426" s="3564">
        <v>87.26</v>
      </c>
      <c r="I426" s="3564">
        <v>21.61</v>
      </c>
      <c r="J426" s="3565">
        <v>1142614</v>
      </c>
      <c r="K426" s="3565">
        <v>10495.21</v>
      </c>
      <c r="L426" s="3565">
        <v>13094.36</v>
      </c>
      <c r="M426" s="3565">
        <v>0</v>
      </c>
      <c r="N426" s="3565">
        <v>0</v>
      </c>
      <c r="O426" s="3563" t="s">
        <v>3453</v>
      </c>
    </row>
    <row r="427" spans="1:15">
      <c r="A427" s="3563" t="s">
        <v>4630</v>
      </c>
      <c r="B427" s="3563" t="s">
        <v>4196</v>
      </c>
      <c r="C427" s="3563" t="s">
        <v>4197</v>
      </c>
      <c r="D427" s="3563" t="s">
        <v>4198</v>
      </c>
      <c r="E427" s="3563" t="s">
        <v>4609</v>
      </c>
      <c r="F427" s="3563" t="s">
        <v>4200</v>
      </c>
      <c r="G427" s="3564">
        <v>108.87</v>
      </c>
      <c r="H427" s="3564">
        <v>87.26</v>
      </c>
      <c r="I427" s="3564">
        <v>21.61</v>
      </c>
      <c r="J427" s="3565">
        <v>1121766</v>
      </c>
      <c r="K427" s="3565">
        <v>10303.719999999999</v>
      </c>
      <c r="L427" s="3565">
        <v>12855.44</v>
      </c>
      <c r="M427" s="3565">
        <v>0</v>
      </c>
      <c r="N427" s="3565">
        <v>0</v>
      </c>
      <c r="O427" s="3563" t="s">
        <v>3453</v>
      </c>
    </row>
    <row r="428" spans="1:15">
      <c r="A428" s="3563" t="s">
        <v>4631</v>
      </c>
      <c r="B428" s="3563" t="s">
        <v>4196</v>
      </c>
      <c r="C428" s="3563" t="s">
        <v>4197</v>
      </c>
      <c r="D428" s="3563" t="s">
        <v>4198</v>
      </c>
      <c r="E428" s="3563" t="s">
        <v>4609</v>
      </c>
      <c r="F428" s="3563" t="s">
        <v>4200</v>
      </c>
      <c r="G428" s="3564">
        <v>98.96</v>
      </c>
      <c r="H428" s="3564">
        <v>79.319999999999993</v>
      </c>
      <c r="I428" s="3564">
        <v>19.64</v>
      </c>
      <c r="J428" s="3565">
        <v>993338</v>
      </c>
      <c r="K428" s="3565">
        <v>10037.77</v>
      </c>
      <c r="L428" s="3565">
        <v>12523.17</v>
      </c>
      <c r="M428" s="3565">
        <v>0</v>
      </c>
      <c r="N428" s="3565">
        <v>0</v>
      </c>
      <c r="O428" s="3563" t="s">
        <v>3453</v>
      </c>
    </row>
    <row r="429" spans="1:15">
      <c r="A429" s="3563" t="s">
        <v>4632</v>
      </c>
      <c r="B429" s="3563" t="s">
        <v>4196</v>
      </c>
      <c r="C429" s="3563" t="s">
        <v>4197</v>
      </c>
      <c r="D429" s="3563" t="s">
        <v>4198</v>
      </c>
      <c r="E429" s="3563" t="s">
        <v>4609</v>
      </c>
      <c r="F429" s="3563" t="s">
        <v>4200</v>
      </c>
      <c r="G429" s="3564">
        <v>98.96</v>
      </c>
      <c r="H429" s="3564">
        <v>79.319999999999993</v>
      </c>
      <c r="I429" s="3564">
        <v>19.64</v>
      </c>
      <c r="J429" s="3565">
        <v>993338</v>
      </c>
      <c r="K429" s="3565">
        <v>10037.77</v>
      </c>
      <c r="L429" s="3565">
        <v>12523.17</v>
      </c>
      <c r="M429" s="3565">
        <v>0</v>
      </c>
      <c r="N429" s="3565">
        <v>0</v>
      </c>
      <c r="O429" s="3563" t="s">
        <v>3453</v>
      </c>
    </row>
    <row r="430" spans="1:15">
      <c r="A430" s="3563" t="s">
        <v>4633</v>
      </c>
      <c r="B430" s="3563" t="s">
        <v>4196</v>
      </c>
      <c r="C430" s="3563" t="s">
        <v>4197</v>
      </c>
      <c r="D430" s="3563" t="s">
        <v>4198</v>
      </c>
      <c r="E430" s="3563" t="s">
        <v>4609</v>
      </c>
      <c r="F430" s="3563" t="s">
        <v>4200</v>
      </c>
      <c r="G430" s="3564">
        <v>108.87</v>
      </c>
      <c r="H430" s="3564">
        <v>87.26</v>
      </c>
      <c r="I430" s="3564">
        <v>21.61</v>
      </c>
      <c r="J430" s="3565">
        <v>1156512</v>
      </c>
      <c r="K430" s="3565">
        <v>10622.87</v>
      </c>
      <c r="L430" s="3565">
        <v>13253.63</v>
      </c>
      <c r="M430" s="3565">
        <v>0</v>
      </c>
      <c r="N430" s="3565">
        <v>0</v>
      </c>
      <c r="O430" s="3563" t="s">
        <v>3453</v>
      </c>
    </row>
    <row r="431" spans="1:15">
      <c r="A431" s="3563" t="s">
        <v>4634</v>
      </c>
      <c r="B431" s="3563" t="s">
        <v>4196</v>
      </c>
      <c r="C431" s="3563" t="s">
        <v>4197</v>
      </c>
      <c r="D431" s="3563" t="s">
        <v>4198</v>
      </c>
      <c r="E431" s="3563" t="s">
        <v>4609</v>
      </c>
      <c r="F431" s="3563" t="s">
        <v>4200</v>
      </c>
      <c r="G431" s="3564">
        <v>108.87</v>
      </c>
      <c r="H431" s="3564">
        <v>87.26</v>
      </c>
      <c r="I431" s="3564">
        <v>21.61</v>
      </c>
      <c r="J431" s="3565">
        <v>1135665</v>
      </c>
      <c r="K431" s="3565">
        <v>10431.39</v>
      </c>
      <c r="L431" s="3565">
        <v>13014.73</v>
      </c>
      <c r="M431" s="3565">
        <v>0</v>
      </c>
      <c r="N431" s="3565">
        <v>0</v>
      </c>
      <c r="O431" s="3563" t="s">
        <v>3453</v>
      </c>
    </row>
    <row r="432" spans="1:15">
      <c r="A432" s="3563" t="s">
        <v>4635</v>
      </c>
      <c r="B432" s="3563" t="s">
        <v>4196</v>
      </c>
      <c r="C432" s="3563" t="s">
        <v>4197</v>
      </c>
      <c r="D432" s="3563" t="s">
        <v>4198</v>
      </c>
      <c r="E432" s="3563" t="s">
        <v>4609</v>
      </c>
      <c r="F432" s="3563" t="s">
        <v>4200</v>
      </c>
      <c r="G432" s="3564">
        <v>98.96</v>
      </c>
      <c r="H432" s="3564">
        <v>79.319999999999993</v>
      </c>
      <c r="I432" s="3564">
        <v>19.64</v>
      </c>
      <c r="J432" s="3565">
        <v>1005971</v>
      </c>
      <c r="K432" s="3565">
        <v>10165.43</v>
      </c>
      <c r="L432" s="3565">
        <v>12682.44</v>
      </c>
      <c r="M432" s="3565">
        <v>0</v>
      </c>
      <c r="N432" s="3565">
        <v>0</v>
      </c>
      <c r="O432" s="3563" t="s">
        <v>3453</v>
      </c>
    </row>
    <row r="433" spans="1:15">
      <c r="A433" s="3563" t="s">
        <v>4636</v>
      </c>
      <c r="B433" s="3563" t="s">
        <v>4196</v>
      </c>
      <c r="C433" s="3563" t="s">
        <v>4197</v>
      </c>
      <c r="D433" s="3563" t="s">
        <v>4198</v>
      </c>
      <c r="E433" s="3563" t="s">
        <v>4609</v>
      </c>
      <c r="F433" s="3563" t="s">
        <v>4200</v>
      </c>
      <c r="G433" s="3564">
        <v>98.96</v>
      </c>
      <c r="H433" s="3564">
        <v>79.319999999999993</v>
      </c>
      <c r="I433" s="3564">
        <v>19.64</v>
      </c>
      <c r="J433" s="3565">
        <v>1005971</v>
      </c>
      <c r="K433" s="3565">
        <v>10165.43</v>
      </c>
      <c r="L433" s="3565">
        <v>12682.44</v>
      </c>
      <c r="M433" s="3565">
        <v>0</v>
      </c>
      <c r="N433" s="3565">
        <v>0</v>
      </c>
      <c r="O433" s="3563" t="s">
        <v>3453</v>
      </c>
    </row>
    <row r="434" spans="1:15">
      <c r="A434" s="3563" t="s">
        <v>4637</v>
      </c>
      <c r="B434" s="3563" t="s">
        <v>4196</v>
      </c>
      <c r="C434" s="3563" t="s">
        <v>4197</v>
      </c>
      <c r="D434" s="3563" t="s">
        <v>4198</v>
      </c>
      <c r="E434" s="3563" t="s">
        <v>4609</v>
      </c>
      <c r="F434" s="3563" t="s">
        <v>4200</v>
      </c>
      <c r="G434" s="3564">
        <v>108.87</v>
      </c>
      <c r="H434" s="3564">
        <v>87.26</v>
      </c>
      <c r="I434" s="3564">
        <v>21.61</v>
      </c>
      <c r="J434" s="3565">
        <v>1170411</v>
      </c>
      <c r="K434" s="3565">
        <v>10750.54</v>
      </c>
      <c r="L434" s="3565">
        <v>13412.92</v>
      </c>
      <c r="M434" s="3565">
        <v>0</v>
      </c>
      <c r="N434" s="3565">
        <v>0</v>
      </c>
      <c r="O434" s="3563" t="s">
        <v>3453</v>
      </c>
    </row>
    <row r="435" spans="1:15">
      <c r="A435" s="3563" t="s">
        <v>4638</v>
      </c>
      <c r="B435" s="3563" t="s">
        <v>4196</v>
      </c>
      <c r="C435" s="3563" t="s">
        <v>4197</v>
      </c>
      <c r="D435" s="3563" t="s">
        <v>4198</v>
      </c>
      <c r="E435" s="3563" t="s">
        <v>4609</v>
      </c>
      <c r="F435" s="3563" t="s">
        <v>4200</v>
      </c>
      <c r="G435" s="3564">
        <v>108.87</v>
      </c>
      <c r="H435" s="3564">
        <v>87.26</v>
      </c>
      <c r="I435" s="3564">
        <v>21.61</v>
      </c>
      <c r="J435" s="3565">
        <v>1137981</v>
      </c>
      <c r="K435" s="3565">
        <v>10452.66</v>
      </c>
      <c r="L435" s="3565">
        <v>13041.27</v>
      </c>
      <c r="M435" s="3565">
        <v>0</v>
      </c>
      <c r="N435" s="3565">
        <v>0</v>
      </c>
      <c r="O435" s="3563" t="s">
        <v>3453</v>
      </c>
    </row>
    <row r="436" spans="1:15">
      <c r="A436" s="3563" t="s">
        <v>4639</v>
      </c>
      <c r="B436" s="3563" t="s">
        <v>4196</v>
      </c>
      <c r="C436" s="3563" t="s">
        <v>4197</v>
      </c>
      <c r="D436" s="3563" t="s">
        <v>4198</v>
      </c>
      <c r="E436" s="3563" t="s">
        <v>4609</v>
      </c>
      <c r="F436" s="3563" t="s">
        <v>4200</v>
      </c>
      <c r="G436" s="3564">
        <v>98.96</v>
      </c>
      <c r="H436" s="3564">
        <v>79.319999999999993</v>
      </c>
      <c r="I436" s="3564">
        <v>19.64</v>
      </c>
      <c r="J436" s="3565">
        <v>1008076</v>
      </c>
      <c r="K436" s="3565">
        <v>10186.700000000001</v>
      </c>
      <c r="L436" s="3565">
        <v>12708.98</v>
      </c>
      <c r="M436" s="3565">
        <v>0</v>
      </c>
      <c r="N436" s="3565">
        <v>0</v>
      </c>
      <c r="O436" s="3563" t="s">
        <v>3453</v>
      </c>
    </row>
    <row r="437" spans="1:15">
      <c r="A437" s="3563" t="s">
        <v>4640</v>
      </c>
      <c r="B437" s="3563" t="s">
        <v>4196</v>
      </c>
      <c r="C437" s="3563" t="s">
        <v>4197</v>
      </c>
      <c r="D437" s="3563" t="s">
        <v>4198</v>
      </c>
      <c r="E437" s="3563" t="s">
        <v>4609</v>
      </c>
      <c r="F437" s="3563" t="s">
        <v>4200</v>
      </c>
      <c r="G437" s="3564">
        <v>98.96</v>
      </c>
      <c r="H437" s="3564">
        <v>79.319999999999993</v>
      </c>
      <c r="I437" s="3564">
        <v>19.64</v>
      </c>
      <c r="J437" s="3565">
        <v>1008076</v>
      </c>
      <c r="K437" s="3565">
        <v>10186.700000000001</v>
      </c>
      <c r="L437" s="3565">
        <v>12708.98</v>
      </c>
      <c r="M437" s="3565">
        <v>0</v>
      </c>
      <c r="N437" s="3565">
        <v>0</v>
      </c>
      <c r="O437" s="3563" t="s">
        <v>3453</v>
      </c>
    </row>
    <row r="438" spans="1:15">
      <c r="A438" s="3563" t="s">
        <v>4641</v>
      </c>
      <c r="B438" s="3563" t="s">
        <v>4196</v>
      </c>
      <c r="C438" s="3563" t="s">
        <v>4197</v>
      </c>
      <c r="D438" s="3563" t="s">
        <v>4198</v>
      </c>
      <c r="E438" s="3563" t="s">
        <v>4609</v>
      </c>
      <c r="F438" s="3563" t="s">
        <v>4200</v>
      </c>
      <c r="G438" s="3564">
        <v>108.87</v>
      </c>
      <c r="H438" s="3564">
        <v>87.26</v>
      </c>
      <c r="I438" s="3564">
        <v>21.61</v>
      </c>
      <c r="J438" s="3565">
        <v>1172727</v>
      </c>
      <c r="K438" s="3565">
        <v>10771.81</v>
      </c>
      <c r="L438" s="3565">
        <v>13439.46</v>
      </c>
      <c r="M438" s="3565">
        <v>0</v>
      </c>
      <c r="N438" s="3565">
        <v>0</v>
      </c>
      <c r="O438" s="3563" t="s">
        <v>3453</v>
      </c>
    </row>
    <row r="439" spans="1:15">
      <c r="A439" s="3563" t="s">
        <v>4642</v>
      </c>
      <c r="B439" s="3563" t="s">
        <v>4196</v>
      </c>
      <c r="C439" s="3563" t="s">
        <v>4197</v>
      </c>
      <c r="D439" s="3563" t="s">
        <v>4198</v>
      </c>
      <c r="E439" s="3563" t="s">
        <v>4609</v>
      </c>
      <c r="F439" s="3563" t="s">
        <v>4200</v>
      </c>
      <c r="G439" s="3564">
        <v>108.87</v>
      </c>
      <c r="H439" s="3564">
        <v>87.26</v>
      </c>
      <c r="I439" s="3564">
        <v>21.61</v>
      </c>
      <c r="J439" s="3565">
        <v>1140298</v>
      </c>
      <c r="K439" s="3565">
        <v>10473.94</v>
      </c>
      <c r="L439" s="3565">
        <v>13067.82</v>
      </c>
      <c r="M439" s="3565">
        <v>0</v>
      </c>
      <c r="N439" s="3565">
        <v>0</v>
      </c>
      <c r="O439" s="3563" t="s">
        <v>3453</v>
      </c>
    </row>
    <row r="440" spans="1:15">
      <c r="A440" s="3563" t="s">
        <v>4643</v>
      </c>
      <c r="B440" s="3563" t="s">
        <v>4196</v>
      </c>
      <c r="C440" s="3563" t="s">
        <v>4197</v>
      </c>
      <c r="D440" s="3563" t="s">
        <v>4198</v>
      </c>
      <c r="E440" s="3563" t="s">
        <v>4609</v>
      </c>
      <c r="F440" s="3563" t="s">
        <v>4200</v>
      </c>
      <c r="G440" s="3564">
        <v>98.96</v>
      </c>
      <c r="H440" s="3564">
        <v>79.319999999999993</v>
      </c>
      <c r="I440" s="3564">
        <v>19.64</v>
      </c>
      <c r="J440" s="3565">
        <v>1020710</v>
      </c>
      <c r="K440" s="3565">
        <v>10314.370000000001</v>
      </c>
      <c r="L440" s="3565">
        <v>12868.26</v>
      </c>
      <c r="M440" s="3565">
        <v>0</v>
      </c>
      <c r="N440" s="3565">
        <v>0</v>
      </c>
      <c r="O440" s="3563" t="s">
        <v>3453</v>
      </c>
    </row>
    <row r="441" spans="1:15">
      <c r="A441" s="3563" t="s">
        <v>4644</v>
      </c>
      <c r="B441" s="3563" t="s">
        <v>4196</v>
      </c>
      <c r="C441" s="3563" t="s">
        <v>4197</v>
      </c>
      <c r="D441" s="3563" t="s">
        <v>4198</v>
      </c>
      <c r="E441" s="3563" t="s">
        <v>4609</v>
      </c>
      <c r="F441" s="3563" t="s">
        <v>4200</v>
      </c>
      <c r="G441" s="3564">
        <v>98.96</v>
      </c>
      <c r="H441" s="3564">
        <v>79.319999999999993</v>
      </c>
      <c r="I441" s="3564">
        <v>19.64</v>
      </c>
      <c r="J441" s="3565">
        <v>1020710</v>
      </c>
      <c r="K441" s="3565">
        <v>10314.370000000001</v>
      </c>
      <c r="L441" s="3565">
        <v>12868.26</v>
      </c>
      <c r="M441" s="3565">
        <v>0</v>
      </c>
      <c r="N441" s="3565">
        <v>0</v>
      </c>
      <c r="O441" s="3563" t="s">
        <v>3453</v>
      </c>
    </row>
    <row r="442" spans="1:15">
      <c r="A442" s="3563" t="s">
        <v>4645</v>
      </c>
      <c r="B442" s="3563" t="s">
        <v>4196</v>
      </c>
      <c r="C442" s="3563" t="s">
        <v>4197</v>
      </c>
      <c r="D442" s="3563" t="s">
        <v>4198</v>
      </c>
      <c r="E442" s="3563" t="s">
        <v>4609</v>
      </c>
      <c r="F442" s="3563" t="s">
        <v>4200</v>
      </c>
      <c r="G442" s="3564">
        <v>108.87</v>
      </c>
      <c r="H442" s="3564">
        <v>87.26</v>
      </c>
      <c r="I442" s="3564">
        <v>21.61</v>
      </c>
      <c r="J442" s="3565">
        <v>1175044</v>
      </c>
      <c r="K442" s="3565">
        <v>10793.09</v>
      </c>
      <c r="L442" s="3565">
        <v>13466.01</v>
      </c>
      <c r="M442" s="3565">
        <v>0</v>
      </c>
      <c r="N442" s="3565">
        <v>0</v>
      </c>
      <c r="O442" s="3563" t="s">
        <v>3453</v>
      </c>
    </row>
    <row r="443" spans="1:15">
      <c r="A443" s="3563" t="s">
        <v>4646</v>
      </c>
      <c r="B443" s="3563" t="s">
        <v>4196</v>
      </c>
      <c r="C443" s="3563" t="s">
        <v>4197</v>
      </c>
      <c r="D443" s="3563" t="s">
        <v>4198</v>
      </c>
      <c r="E443" s="3563" t="s">
        <v>4609</v>
      </c>
      <c r="F443" s="3563" t="s">
        <v>4200</v>
      </c>
      <c r="G443" s="3564">
        <v>108.87</v>
      </c>
      <c r="H443" s="3564">
        <v>87.26</v>
      </c>
      <c r="I443" s="3564">
        <v>21.61</v>
      </c>
      <c r="J443" s="3565">
        <v>1142614</v>
      </c>
      <c r="K443" s="3565">
        <v>10495.21</v>
      </c>
      <c r="L443" s="3565">
        <v>13094.36</v>
      </c>
      <c r="M443" s="3565">
        <v>0</v>
      </c>
      <c r="N443" s="3565">
        <v>0</v>
      </c>
      <c r="O443" s="3563" t="s">
        <v>3453</v>
      </c>
    </row>
    <row r="444" spans="1:15">
      <c r="A444" s="3563" t="s">
        <v>4647</v>
      </c>
      <c r="B444" s="3563" t="s">
        <v>4196</v>
      </c>
      <c r="C444" s="3563" t="s">
        <v>4197</v>
      </c>
      <c r="D444" s="3563" t="s">
        <v>4198</v>
      </c>
      <c r="E444" s="3563" t="s">
        <v>4609</v>
      </c>
      <c r="F444" s="3563" t="s">
        <v>4200</v>
      </c>
      <c r="G444" s="3564">
        <v>98.96</v>
      </c>
      <c r="H444" s="3564">
        <v>79.319999999999993</v>
      </c>
      <c r="I444" s="3564">
        <v>19.64</v>
      </c>
      <c r="J444" s="3565">
        <v>1022815</v>
      </c>
      <c r="K444" s="3565">
        <v>10335.64</v>
      </c>
      <c r="L444" s="3565">
        <v>12894.79</v>
      </c>
      <c r="M444" s="3565">
        <v>0</v>
      </c>
      <c r="N444" s="3565">
        <v>0</v>
      </c>
      <c r="O444" s="3563" t="s">
        <v>3453</v>
      </c>
    </row>
    <row r="445" spans="1:15">
      <c r="A445" s="3563" t="s">
        <v>4648</v>
      </c>
      <c r="B445" s="3563" t="s">
        <v>4196</v>
      </c>
      <c r="C445" s="3563" t="s">
        <v>4197</v>
      </c>
      <c r="D445" s="3563" t="s">
        <v>4198</v>
      </c>
      <c r="E445" s="3563" t="s">
        <v>4609</v>
      </c>
      <c r="F445" s="3563" t="s">
        <v>4200</v>
      </c>
      <c r="G445" s="3564">
        <v>98.96</v>
      </c>
      <c r="H445" s="3564">
        <v>79.319999999999993</v>
      </c>
      <c r="I445" s="3564">
        <v>19.64</v>
      </c>
      <c r="J445" s="3565">
        <v>1022815</v>
      </c>
      <c r="K445" s="3565">
        <v>10335.64</v>
      </c>
      <c r="L445" s="3565">
        <v>12894.79</v>
      </c>
      <c r="M445" s="3565">
        <v>0</v>
      </c>
      <c r="N445" s="3565">
        <v>0</v>
      </c>
      <c r="O445" s="3563" t="s">
        <v>3453</v>
      </c>
    </row>
    <row r="446" spans="1:15">
      <c r="A446" s="3563" t="s">
        <v>4649</v>
      </c>
      <c r="B446" s="3563" t="s">
        <v>4196</v>
      </c>
      <c r="C446" s="3563" t="s">
        <v>4197</v>
      </c>
      <c r="D446" s="3563" t="s">
        <v>4198</v>
      </c>
      <c r="E446" s="3563" t="s">
        <v>4609</v>
      </c>
      <c r="F446" s="3563" t="s">
        <v>4200</v>
      </c>
      <c r="G446" s="3564">
        <v>108.87</v>
      </c>
      <c r="H446" s="3564">
        <v>87.26</v>
      </c>
      <c r="I446" s="3564">
        <v>21.61</v>
      </c>
      <c r="J446" s="3565">
        <v>1177360</v>
      </c>
      <c r="K446" s="3565">
        <v>10814.37</v>
      </c>
      <c r="L446" s="3565">
        <v>13492.55</v>
      </c>
      <c r="M446" s="3565">
        <v>0</v>
      </c>
      <c r="N446" s="3565">
        <v>0</v>
      </c>
      <c r="O446" s="3563" t="s">
        <v>3453</v>
      </c>
    </row>
    <row r="447" spans="1:15">
      <c r="A447" s="3563" t="s">
        <v>4650</v>
      </c>
      <c r="B447" s="3563" t="s">
        <v>4196</v>
      </c>
      <c r="C447" s="3563" t="s">
        <v>4197</v>
      </c>
      <c r="D447" s="3563" t="s">
        <v>4198</v>
      </c>
      <c r="E447" s="3563" t="s">
        <v>4609</v>
      </c>
      <c r="F447" s="3563" t="s">
        <v>4200</v>
      </c>
      <c r="G447" s="3564">
        <v>108.87</v>
      </c>
      <c r="H447" s="3564">
        <v>87.26</v>
      </c>
      <c r="I447" s="3564">
        <v>21.61</v>
      </c>
      <c r="J447" s="3565">
        <v>1140298</v>
      </c>
      <c r="K447" s="3565">
        <v>10473.94</v>
      </c>
      <c r="L447" s="3565">
        <v>13067.82</v>
      </c>
      <c r="M447" s="3565">
        <v>0</v>
      </c>
      <c r="N447" s="3565">
        <v>0</v>
      </c>
      <c r="O447" s="3563" t="s">
        <v>3453</v>
      </c>
    </row>
    <row r="448" spans="1:15">
      <c r="A448" s="3563" t="s">
        <v>4651</v>
      </c>
      <c r="B448" s="3563" t="s">
        <v>4196</v>
      </c>
      <c r="C448" s="3563" t="s">
        <v>4197</v>
      </c>
      <c r="D448" s="3563" t="s">
        <v>4198</v>
      </c>
      <c r="E448" s="3563" t="s">
        <v>4609</v>
      </c>
      <c r="F448" s="3563" t="s">
        <v>4200</v>
      </c>
      <c r="G448" s="3564">
        <v>98.96</v>
      </c>
      <c r="H448" s="3564">
        <v>79.319999999999993</v>
      </c>
      <c r="I448" s="3564">
        <v>19.64</v>
      </c>
      <c r="J448" s="3565">
        <v>1020710</v>
      </c>
      <c r="K448" s="3565">
        <v>10314.370000000001</v>
      </c>
      <c r="L448" s="3565">
        <v>12868.26</v>
      </c>
      <c r="M448" s="3565">
        <v>0</v>
      </c>
      <c r="N448" s="3565">
        <v>0</v>
      </c>
      <c r="O448" s="3563" t="s">
        <v>3453</v>
      </c>
    </row>
    <row r="449" spans="1:15">
      <c r="A449" s="3563" t="s">
        <v>4652</v>
      </c>
      <c r="B449" s="3563" t="s">
        <v>4196</v>
      </c>
      <c r="C449" s="3563" t="s">
        <v>4197</v>
      </c>
      <c r="D449" s="3563" t="s">
        <v>4198</v>
      </c>
      <c r="E449" s="3563" t="s">
        <v>4609</v>
      </c>
      <c r="F449" s="3563" t="s">
        <v>4200</v>
      </c>
      <c r="G449" s="3564">
        <v>98.96</v>
      </c>
      <c r="H449" s="3564">
        <v>79.319999999999993</v>
      </c>
      <c r="I449" s="3564">
        <v>19.64</v>
      </c>
      <c r="J449" s="3565">
        <v>1020710</v>
      </c>
      <c r="K449" s="3565">
        <v>10314.370000000001</v>
      </c>
      <c r="L449" s="3565">
        <v>12868.26</v>
      </c>
      <c r="M449" s="3565">
        <v>0</v>
      </c>
      <c r="N449" s="3565">
        <v>0</v>
      </c>
      <c r="O449" s="3563" t="s">
        <v>3453</v>
      </c>
    </row>
    <row r="450" spans="1:15">
      <c r="A450" s="3563" t="s">
        <v>4653</v>
      </c>
      <c r="B450" s="3563" t="s">
        <v>4196</v>
      </c>
      <c r="C450" s="3563" t="s">
        <v>4197</v>
      </c>
      <c r="D450" s="3563" t="s">
        <v>4198</v>
      </c>
      <c r="E450" s="3563" t="s">
        <v>4609</v>
      </c>
      <c r="F450" s="3563" t="s">
        <v>4200</v>
      </c>
      <c r="G450" s="3564">
        <v>108.87</v>
      </c>
      <c r="H450" s="3564">
        <v>87.26</v>
      </c>
      <c r="I450" s="3564">
        <v>21.61</v>
      </c>
      <c r="J450" s="3565">
        <v>1175044</v>
      </c>
      <c r="K450" s="3565">
        <v>10793.09</v>
      </c>
      <c r="L450" s="3565">
        <v>13466.01</v>
      </c>
      <c r="M450" s="3565">
        <v>0</v>
      </c>
      <c r="N450" s="3565">
        <v>0</v>
      </c>
      <c r="O450" s="3563" t="s">
        <v>3453</v>
      </c>
    </row>
    <row r="451" spans="1:15">
      <c r="A451" s="3563" t="s">
        <v>4654</v>
      </c>
      <c r="B451" s="3563" t="s">
        <v>4196</v>
      </c>
      <c r="C451" s="3563" t="s">
        <v>4197</v>
      </c>
      <c r="D451" s="3563" t="s">
        <v>4198</v>
      </c>
      <c r="E451" s="3563" t="s">
        <v>4609</v>
      </c>
      <c r="F451" s="3563" t="s">
        <v>4200</v>
      </c>
      <c r="G451" s="3564">
        <v>109.05</v>
      </c>
      <c r="H451" s="3564">
        <v>87.26</v>
      </c>
      <c r="I451" s="3564">
        <v>21.79</v>
      </c>
      <c r="J451" s="3565">
        <v>1174666</v>
      </c>
      <c r="K451" s="3565">
        <v>10771.81</v>
      </c>
      <c r="L451" s="3565">
        <v>13461.68</v>
      </c>
      <c r="M451" s="3565">
        <v>0</v>
      </c>
      <c r="N451" s="3565">
        <v>0</v>
      </c>
      <c r="O451" s="3563" t="s">
        <v>3453</v>
      </c>
    </row>
    <row r="452" spans="1:15">
      <c r="A452" s="3563" t="s">
        <v>4655</v>
      </c>
      <c r="B452" s="3563" t="s">
        <v>4196</v>
      </c>
      <c r="C452" s="3563" t="s">
        <v>4197</v>
      </c>
      <c r="D452" s="3563" t="s">
        <v>4198</v>
      </c>
      <c r="E452" s="3563" t="s">
        <v>4609</v>
      </c>
      <c r="F452" s="3563" t="s">
        <v>4200</v>
      </c>
      <c r="G452" s="3564">
        <v>99.13</v>
      </c>
      <c r="H452" s="3564">
        <v>79.319999999999993</v>
      </c>
      <c r="I452" s="3564">
        <v>19.809999999999999</v>
      </c>
      <c r="J452" s="3565">
        <v>1020354</v>
      </c>
      <c r="K452" s="3565">
        <v>10293.09</v>
      </c>
      <c r="L452" s="3565">
        <v>12863.77</v>
      </c>
      <c r="M452" s="3565">
        <v>0</v>
      </c>
      <c r="N452" s="3565">
        <v>0</v>
      </c>
      <c r="O452" s="3563" t="s">
        <v>3453</v>
      </c>
    </row>
    <row r="453" spans="1:15">
      <c r="A453" s="3563" t="s">
        <v>4656</v>
      </c>
      <c r="B453" s="3563" t="s">
        <v>4196</v>
      </c>
      <c r="C453" s="3563" t="s">
        <v>4197</v>
      </c>
      <c r="D453" s="3563" t="s">
        <v>4198</v>
      </c>
      <c r="E453" s="3563" t="s">
        <v>4609</v>
      </c>
      <c r="F453" s="3563" t="s">
        <v>4200</v>
      </c>
      <c r="G453" s="3564">
        <v>99.13</v>
      </c>
      <c r="H453" s="3564">
        <v>79.319999999999993</v>
      </c>
      <c r="I453" s="3564">
        <v>19.809999999999999</v>
      </c>
      <c r="J453" s="3565">
        <v>1020354</v>
      </c>
      <c r="K453" s="3565">
        <v>10293.09</v>
      </c>
      <c r="L453" s="3565">
        <v>12863.77</v>
      </c>
      <c r="M453" s="3565">
        <v>0</v>
      </c>
      <c r="N453" s="3565">
        <v>0</v>
      </c>
      <c r="O453" s="3563" t="s">
        <v>3453</v>
      </c>
    </row>
    <row r="454" spans="1:15">
      <c r="A454" s="3563" t="s">
        <v>4657</v>
      </c>
      <c r="B454" s="3563" t="s">
        <v>4196</v>
      </c>
      <c r="C454" s="3563" t="s">
        <v>4197</v>
      </c>
      <c r="D454" s="3563" t="s">
        <v>4198</v>
      </c>
      <c r="E454" s="3563" t="s">
        <v>4609</v>
      </c>
      <c r="F454" s="3563" t="s">
        <v>4200</v>
      </c>
      <c r="G454" s="3564">
        <v>109.05</v>
      </c>
      <c r="H454" s="3564">
        <v>87.26</v>
      </c>
      <c r="I454" s="3564">
        <v>21.79</v>
      </c>
      <c r="J454" s="3565">
        <v>1174666</v>
      </c>
      <c r="K454" s="3565">
        <v>10771.81</v>
      </c>
      <c r="L454" s="3565">
        <v>13461.68</v>
      </c>
      <c r="M454" s="3565">
        <v>0</v>
      </c>
      <c r="N454" s="3565">
        <v>0</v>
      </c>
      <c r="O454" s="3563" t="s">
        <v>3453</v>
      </c>
    </row>
    <row r="455" spans="1:15">
      <c r="A455" s="3563" t="s">
        <v>4658</v>
      </c>
      <c r="B455" s="3563" t="s">
        <v>4196</v>
      </c>
      <c r="C455" s="3563" t="s">
        <v>4197</v>
      </c>
      <c r="D455" s="3563" t="s">
        <v>4198</v>
      </c>
      <c r="E455" s="3563" t="s">
        <v>4609</v>
      </c>
      <c r="F455" s="3563" t="s">
        <v>4200</v>
      </c>
      <c r="G455" s="3564">
        <v>109.05</v>
      </c>
      <c r="H455" s="3564">
        <v>87.26</v>
      </c>
      <c r="I455" s="3564">
        <v>21.79</v>
      </c>
      <c r="J455" s="3565">
        <v>1172346</v>
      </c>
      <c r="K455" s="3565">
        <v>10750.54</v>
      </c>
      <c r="L455" s="3565">
        <v>13435.09</v>
      </c>
      <c r="M455" s="3565">
        <v>0</v>
      </c>
      <c r="N455" s="3565">
        <v>0</v>
      </c>
      <c r="O455" s="3563" t="s">
        <v>3453</v>
      </c>
    </row>
    <row r="456" spans="1:15">
      <c r="A456" s="3563" t="s">
        <v>4659</v>
      </c>
      <c r="B456" s="3563" t="s">
        <v>4196</v>
      </c>
      <c r="C456" s="3563" t="s">
        <v>4197</v>
      </c>
      <c r="D456" s="3563" t="s">
        <v>4198</v>
      </c>
      <c r="E456" s="3563" t="s">
        <v>4609</v>
      </c>
      <c r="F456" s="3563" t="s">
        <v>4200</v>
      </c>
      <c r="G456" s="3564">
        <v>99.13</v>
      </c>
      <c r="H456" s="3564">
        <v>79.319999999999993</v>
      </c>
      <c r="I456" s="3564">
        <v>19.809999999999999</v>
      </c>
      <c r="J456" s="3565">
        <v>1018245</v>
      </c>
      <c r="K456" s="3565">
        <v>10271.81</v>
      </c>
      <c r="L456" s="3565">
        <v>12837.18</v>
      </c>
      <c r="M456" s="3565">
        <v>0</v>
      </c>
      <c r="N456" s="3565">
        <v>0</v>
      </c>
      <c r="O456" s="3563" t="s">
        <v>3453</v>
      </c>
    </row>
    <row r="457" spans="1:15">
      <c r="A457" s="3563" t="s">
        <v>4660</v>
      </c>
      <c r="B457" s="3563" t="s">
        <v>4196</v>
      </c>
      <c r="C457" s="3563" t="s">
        <v>4197</v>
      </c>
      <c r="D457" s="3563" t="s">
        <v>4198</v>
      </c>
      <c r="E457" s="3563" t="s">
        <v>4609</v>
      </c>
      <c r="F457" s="3563" t="s">
        <v>4200</v>
      </c>
      <c r="G457" s="3564">
        <v>99.13</v>
      </c>
      <c r="H457" s="3564">
        <v>79.319999999999993</v>
      </c>
      <c r="I457" s="3564">
        <v>19.809999999999999</v>
      </c>
      <c r="J457" s="3565">
        <v>1018245</v>
      </c>
      <c r="K457" s="3565">
        <v>10271.81</v>
      </c>
      <c r="L457" s="3565">
        <v>12837.18</v>
      </c>
      <c r="M457" s="3565">
        <v>0</v>
      </c>
      <c r="N457" s="3565">
        <v>0</v>
      </c>
      <c r="O457" s="3563" t="s">
        <v>3453</v>
      </c>
    </row>
    <row r="458" spans="1:15">
      <c r="A458" s="3563" t="s">
        <v>4661</v>
      </c>
      <c r="B458" s="3563" t="s">
        <v>4196</v>
      </c>
      <c r="C458" s="3563" t="s">
        <v>4197</v>
      </c>
      <c r="D458" s="3563" t="s">
        <v>4198</v>
      </c>
      <c r="E458" s="3563" t="s">
        <v>4609</v>
      </c>
      <c r="F458" s="3563" t="s">
        <v>4200</v>
      </c>
      <c r="G458" s="3564">
        <v>109.05</v>
      </c>
      <c r="H458" s="3564">
        <v>87.26</v>
      </c>
      <c r="I458" s="3564">
        <v>21.79</v>
      </c>
      <c r="J458" s="3565">
        <v>1172346</v>
      </c>
      <c r="K458" s="3565">
        <v>10750.54</v>
      </c>
      <c r="L458" s="3565">
        <v>13435.09</v>
      </c>
      <c r="M458" s="3565">
        <v>0</v>
      </c>
      <c r="N458" s="3565">
        <v>0</v>
      </c>
      <c r="O458" s="3563" t="s">
        <v>3453</v>
      </c>
    </row>
    <row r="459" spans="1:15">
      <c r="A459" s="3563" t="s">
        <v>4662</v>
      </c>
      <c r="B459" s="3563" t="s">
        <v>4196</v>
      </c>
      <c r="C459" s="3563" t="s">
        <v>4197</v>
      </c>
      <c r="D459" s="3563" t="s">
        <v>4198</v>
      </c>
      <c r="E459" s="3563" t="s">
        <v>4609</v>
      </c>
      <c r="F459" s="3563" t="s">
        <v>4200</v>
      </c>
      <c r="G459" s="3564">
        <v>109.05</v>
      </c>
      <c r="H459" s="3564">
        <v>87.26</v>
      </c>
      <c r="I459" s="3564">
        <v>21.79</v>
      </c>
      <c r="J459" s="3565">
        <v>1135223</v>
      </c>
      <c r="K459" s="3565">
        <v>10410.11</v>
      </c>
      <c r="L459" s="3565">
        <v>13009.66</v>
      </c>
      <c r="M459" s="3565">
        <v>0</v>
      </c>
      <c r="N459" s="3565">
        <v>0</v>
      </c>
      <c r="O459" s="3563" t="s">
        <v>3453</v>
      </c>
    </row>
    <row r="460" spans="1:15">
      <c r="A460" s="3563" t="s">
        <v>4663</v>
      </c>
      <c r="B460" s="3563" t="s">
        <v>4196</v>
      </c>
      <c r="C460" s="3563" t="s">
        <v>4197</v>
      </c>
      <c r="D460" s="3563" t="s">
        <v>4198</v>
      </c>
      <c r="E460" s="3563" t="s">
        <v>4609</v>
      </c>
      <c r="F460" s="3563" t="s">
        <v>4200</v>
      </c>
      <c r="G460" s="3564">
        <v>99.13</v>
      </c>
      <c r="H460" s="3564">
        <v>79.319999999999993</v>
      </c>
      <c r="I460" s="3564">
        <v>19.809999999999999</v>
      </c>
      <c r="J460" s="3565">
        <v>984498</v>
      </c>
      <c r="K460" s="3565">
        <v>9931.3799999999992</v>
      </c>
      <c r="L460" s="3565">
        <v>12411.72</v>
      </c>
      <c r="M460" s="3565">
        <v>0</v>
      </c>
      <c r="N460" s="3565">
        <v>0</v>
      </c>
      <c r="O460" s="3563" t="s">
        <v>3453</v>
      </c>
    </row>
    <row r="461" spans="1:15">
      <c r="A461" s="3563" t="s">
        <v>4664</v>
      </c>
      <c r="B461" s="3563" t="s">
        <v>4196</v>
      </c>
      <c r="C461" s="3563" t="s">
        <v>4197</v>
      </c>
      <c r="D461" s="3563" t="s">
        <v>4198</v>
      </c>
      <c r="E461" s="3563" t="s">
        <v>4609</v>
      </c>
      <c r="F461" s="3563" t="s">
        <v>4200</v>
      </c>
      <c r="G461" s="3564">
        <v>99.13</v>
      </c>
      <c r="H461" s="3564">
        <v>79.319999999999993</v>
      </c>
      <c r="I461" s="3564">
        <v>19.809999999999999</v>
      </c>
      <c r="J461" s="3565">
        <v>984498</v>
      </c>
      <c r="K461" s="3565">
        <v>9931.3799999999992</v>
      </c>
      <c r="L461" s="3565">
        <v>12411.72</v>
      </c>
      <c r="M461" s="3565">
        <v>0</v>
      </c>
      <c r="N461" s="3565">
        <v>0</v>
      </c>
      <c r="O461" s="3563" t="s">
        <v>3453</v>
      </c>
    </row>
    <row r="462" spans="1:15">
      <c r="A462" s="3563" t="s">
        <v>4665</v>
      </c>
      <c r="B462" s="3563" t="s">
        <v>4196</v>
      </c>
      <c r="C462" s="3563" t="s">
        <v>4197</v>
      </c>
      <c r="D462" s="3563" t="s">
        <v>4198</v>
      </c>
      <c r="E462" s="3563" t="s">
        <v>4609</v>
      </c>
      <c r="F462" s="3563" t="s">
        <v>4200</v>
      </c>
      <c r="G462" s="3564">
        <v>109.05</v>
      </c>
      <c r="H462" s="3564">
        <v>87.26</v>
      </c>
      <c r="I462" s="3564">
        <v>21.79</v>
      </c>
      <c r="J462" s="3565">
        <v>1135223</v>
      </c>
      <c r="K462" s="3565">
        <v>10410.11</v>
      </c>
      <c r="L462" s="3565">
        <v>13009.66</v>
      </c>
      <c r="M462" s="3565">
        <v>0</v>
      </c>
      <c r="N462" s="3565">
        <v>0</v>
      </c>
      <c r="O462" s="3563" t="s">
        <v>3453</v>
      </c>
    </row>
    <row r="463" spans="1:15">
      <c r="A463" s="3563" t="s">
        <v>4666</v>
      </c>
      <c r="B463" s="3563" t="s">
        <v>4196</v>
      </c>
      <c r="C463" s="3563" t="s">
        <v>4197</v>
      </c>
      <c r="D463" s="3563" t="s">
        <v>4198</v>
      </c>
      <c r="E463" s="3563" t="s">
        <v>4609</v>
      </c>
      <c r="F463" s="3563" t="s">
        <v>4200</v>
      </c>
      <c r="G463" s="3564">
        <v>96</v>
      </c>
      <c r="H463" s="3564">
        <v>76.66</v>
      </c>
      <c r="I463" s="3564">
        <v>19.34</v>
      </c>
      <c r="J463" s="3565">
        <v>995286</v>
      </c>
      <c r="K463" s="3565">
        <v>10367.56</v>
      </c>
      <c r="L463" s="3565">
        <v>12983.12</v>
      </c>
      <c r="M463" s="3565">
        <v>0</v>
      </c>
      <c r="N463" s="3565">
        <v>0</v>
      </c>
      <c r="O463" s="3563" t="s">
        <v>3453</v>
      </c>
    </row>
    <row r="464" spans="1:15">
      <c r="A464" s="3563" t="s">
        <v>4667</v>
      </c>
      <c r="B464" s="3563" t="s">
        <v>4196</v>
      </c>
      <c r="C464" s="3563" t="s">
        <v>4197</v>
      </c>
      <c r="D464" s="3563" t="s">
        <v>4198</v>
      </c>
      <c r="E464" s="3563" t="s">
        <v>4609</v>
      </c>
      <c r="F464" s="3563" t="s">
        <v>4200</v>
      </c>
      <c r="G464" s="3564">
        <v>99.33</v>
      </c>
      <c r="H464" s="3564">
        <v>79.319999999999993</v>
      </c>
      <c r="I464" s="3564">
        <v>20.010000000000002</v>
      </c>
      <c r="J464" s="3565">
        <v>979088</v>
      </c>
      <c r="K464" s="3565">
        <v>9856.92</v>
      </c>
      <c r="L464" s="3565">
        <v>12343.52</v>
      </c>
      <c r="M464" s="3565">
        <v>0</v>
      </c>
      <c r="N464" s="3565">
        <v>0</v>
      </c>
      <c r="O464" s="3563" t="s">
        <v>3453</v>
      </c>
    </row>
    <row r="465" spans="1:15">
      <c r="A465" s="3563" t="s">
        <v>4668</v>
      </c>
      <c r="B465" s="3563" t="s">
        <v>4196</v>
      </c>
      <c r="C465" s="3563" t="s">
        <v>4197</v>
      </c>
      <c r="D465" s="3563" t="s">
        <v>4198</v>
      </c>
      <c r="E465" s="3563" t="s">
        <v>4609</v>
      </c>
      <c r="F465" s="3563" t="s">
        <v>4200</v>
      </c>
      <c r="G465" s="3564">
        <v>99.33</v>
      </c>
      <c r="H465" s="3564">
        <v>79.319999999999993</v>
      </c>
      <c r="I465" s="3564">
        <v>20.010000000000002</v>
      </c>
      <c r="J465" s="3565">
        <v>979088</v>
      </c>
      <c r="K465" s="3565">
        <v>9856.92</v>
      </c>
      <c r="L465" s="3565">
        <v>12343.52</v>
      </c>
      <c r="M465" s="3565">
        <v>0</v>
      </c>
      <c r="N465" s="3565">
        <v>0</v>
      </c>
      <c r="O465" s="3563" t="s">
        <v>3453</v>
      </c>
    </row>
    <row r="466" spans="1:15">
      <c r="A466" s="3563" t="s">
        <v>4669</v>
      </c>
      <c r="B466" s="3563" t="s">
        <v>4196</v>
      </c>
      <c r="C466" s="3563" t="s">
        <v>4197</v>
      </c>
      <c r="D466" s="3563" t="s">
        <v>4198</v>
      </c>
      <c r="E466" s="3563" t="s">
        <v>4609</v>
      </c>
      <c r="F466" s="3563" t="s">
        <v>4200</v>
      </c>
      <c r="G466" s="3564">
        <v>96</v>
      </c>
      <c r="H466" s="3564">
        <v>76.66</v>
      </c>
      <c r="I466" s="3564">
        <v>19.34</v>
      </c>
      <c r="J466" s="3565">
        <v>985073</v>
      </c>
      <c r="K466" s="3565">
        <v>10261.18</v>
      </c>
      <c r="L466" s="3565">
        <v>12849.9</v>
      </c>
      <c r="M466" s="3565">
        <v>0</v>
      </c>
      <c r="N466" s="3565">
        <v>0</v>
      </c>
      <c r="O466" s="3563" t="s">
        <v>3453</v>
      </c>
    </row>
    <row r="467" spans="1:15">
      <c r="A467" s="3563" t="s">
        <v>4670</v>
      </c>
      <c r="B467" s="3563" t="s">
        <v>4196</v>
      </c>
      <c r="C467" s="3563" t="s">
        <v>4197</v>
      </c>
      <c r="D467" s="3563" t="s">
        <v>4198</v>
      </c>
      <c r="E467" s="3563" t="s">
        <v>4609</v>
      </c>
      <c r="F467" s="3563" t="s">
        <v>4200</v>
      </c>
      <c r="G467" s="3564">
        <v>109.05</v>
      </c>
      <c r="H467" s="3564">
        <v>87.26</v>
      </c>
      <c r="I467" s="3564">
        <v>21.79</v>
      </c>
      <c r="J467" s="3565">
        <v>1144504</v>
      </c>
      <c r="K467" s="3565">
        <v>10495.22</v>
      </c>
      <c r="L467" s="3565">
        <v>13116.02</v>
      </c>
      <c r="M467" s="3565">
        <v>0</v>
      </c>
      <c r="N467" s="3565">
        <v>0</v>
      </c>
      <c r="O467" s="3563" t="s">
        <v>3453</v>
      </c>
    </row>
    <row r="468" spans="1:15">
      <c r="A468" s="3563" t="s">
        <v>4671</v>
      </c>
      <c r="B468" s="3563" t="s">
        <v>4196</v>
      </c>
      <c r="C468" s="3563" t="s">
        <v>4197</v>
      </c>
      <c r="D468" s="3563" t="s">
        <v>4198</v>
      </c>
      <c r="E468" s="3563" t="s">
        <v>4609</v>
      </c>
      <c r="F468" s="3563" t="s">
        <v>4200</v>
      </c>
      <c r="G468" s="3564">
        <v>99.13</v>
      </c>
      <c r="H468" s="3564">
        <v>79.319999999999993</v>
      </c>
      <c r="I468" s="3564">
        <v>19.809999999999999</v>
      </c>
      <c r="J468" s="3565">
        <v>982390</v>
      </c>
      <c r="K468" s="3565">
        <v>9910.1200000000008</v>
      </c>
      <c r="L468" s="3565">
        <v>12385.15</v>
      </c>
      <c r="M468" s="3565">
        <v>0</v>
      </c>
      <c r="N468" s="3565">
        <v>0</v>
      </c>
      <c r="O468" s="3563" t="s">
        <v>3453</v>
      </c>
    </row>
    <row r="469" spans="1:15">
      <c r="A469" s="3563" t="s">
        <v>4672</v>
      </c>
      <c r="B469" s="3563" t="s">
        <v>4196</v>
      </c>
      <c r="C469" s="3563" t="s">
        <v>4197</v>
      </c>
      <c r="D469" s="3563" t="s">
        <v>4198</v>
      </c>
      <c r="E469" s="3563" t="s">
        <v>4609</v>
      </c>
      <c r="F469" s="3563" t="s">
        <v>4200</v>
      </c>
      <c r="G469" s="3564">
        <v>99.13</v>
      </c>
      <c r="H469" s="3564">
        <v>79.319999999999993</v>
      </c>
      <c r="I469" s="3564">
        <v>19.809999999999999</v>
      </c>
      <c r="J469" s="3565">
        <v>977116</v>
      </c>
      <c r="K469" s="3565">
        <v>9856.92</v>
      </c>
      <c r="L469" s="3565">
        <v>12318.66</v>
      </c>
      <c r="M469" s="3565">
        <v>0</v>
      </c>
      <c r="N469" s="3565">
        <v>0</v>
      </c>
      <c r="O469" s="3563" t="s">
        <v>3453</v>
      </c>
    </row>
    <row r="470" spans="1:15">
      <c r="A470" s="3563" t="s">
        <v>4673</v>
      </c>
      <c r="B470" s="3563" t="s">
        <v>4196</v>
      </c>
      <c r="C470" s="3563" t="s">
        <v>4197</v>
      </c>
      <c r="D470" s="3563" t="s">
        <v>4198</v>
      </c>
      <c r="E470" s="3563" t="s">
        <v>4609</v>
      </c>
      <c r="F470" s="3563" t="s">
        <v>4200</v>
      </c>
      <c r="G470" s="3564">
        <v>109.05</v>
      </c>
      <c r="H470" s="3564">
        <v>87.26</v>
      </c>
      <c r="I470" s="3564">
        <v>21.79</v>
      </c>
      <c r="J470" s="3565">
        <v>1132903</v>
      </c>
      <c r="K470" s="3565">
        <v>10388.84</v>
      </c>
      <c r="L470" s="3565">
        <v>12983.07</v>
      </c>
      <c r="M470" s="3565">
        <v>0</v>
      </c>
      <c r="N470" s="3565">
        <v>0</v>
      </c>
      <c r="O470" s="3563" t="s">
        <v>3453</v>
      </c>
    </row>
    <row r="471" spans="1:15">
      <c r="A471" s="3563" t="s">
        <v>4674</v>
      </c>
      <c r="B471" s="3563" t="s">
        <v>4196</v>
      </c>
      <c r="C471" s="3563" t="s">
        <v>4197</v>
      </c>
      <c r="D471" s="3563" t="s">
        <v>4198</v>
      </c>
      <c r="E471" s="3563" t="s">
        <v>4609</v>
      </c>
      <c r="F471" s="3563" t="s">
        <v>4200</v>
      </c>
      <c r="G471" s="3564">
        <v>109.05</v>
      </c>
      <c r="H471" s="3564">
        <v>87.26</v>
      </c>
      <c r="I471" s="3564">
        <v>21.79</v>
      </c>
      <c r="J471" s="3565">
        <v>1158425</v>
      </c>
      <c r="K471" s="3565">
        <v>10622.88</v>
      </c>
      <c r="L471" s="3565">
        <v>13275.56</v>
      </c>
      <c r="M471" s="3565">
        <v>0</v>
      </c>
      <c r="N471" s="3565">
        <v>0</v>
      </c>
      <c r="O471" s="3563" t="s">
        <v>3453</v>
      </c>
    </row>
    <row r="472" spans="1:15">
      <c r="A472" s="3563" t="s">
        <v>4675</v>
      </c>
      <c r="B472" s="3563" t="s">
        <v>4196</v>
      </c>
      <c r="C472" s="3563" t="s">
        <v>4197</v>
      </c>
      <c r="D472" s="3563" t="s">
        <v>4198</v>
      </c>
      <c r="E472" s="3563" t="s">
        <v>4609</v>
      </c>
      <c r="F472" s="3563" t="s">
        <v>4200</v>
      </c>
      <c r="G472" s="3564">
        <v>99.13</v>
      </c>
      <c r="H472" s="3564">
        <v>79.319999999999993</v>
      </c>
      <c r="I472" s="3564">
        <v>19.809999999999999</v>
      </c>
      <c r="J472" s="3565">
        <v>995044</v>
      </c>
      <c r="K472" s="3565">
        <v>10037.77</v>
      </c>
      <c r="L472" s="3565">
        <v>12544.68</v>
      </c>
      <c r="M472" s="3565">
        <v>0</v>
      </c>
      <c r="N472" s="3565">
        <v>0</v>
      </c>
      <c r="O472" s="3563" t="s">
        <v>3453</v>
      </c>
    </row>
    <row r="473" spans="1:15">
      <c r="A473" s="3563" t="s">
        <v>4676</v>
      </c>
      <c r="B473" s="3563" t="s">
        <v>4196</v>
      </c>
      <c r="C473" s="3563" t="s">
        <v>4197</v>
      </c>
      <c r="D473" s="3563" t="s">
        <v>4198</v>
      </c>
      <c r="E473" s="3563" t="s">
        <v>4609</v>
      </c>
      <c r="F473" s="3563" t="s">
        <v>4200</v>
      </c>
      <c r="G473" s="3564">
        <v>99.13</v>
      </c>
      <c r="H473" s="3564">
        <v>79.319999999999993</v>
      </c>
      <c r="I473" s="3564">
        <v>19.809999999999999</v>
      </c>
      <c r="J473" s="3565">
        <v>984498</v>
      </c>
      <c r="K473" s="3565">
        <v>9931.3799999999992</v>
      </c>
      <c r="L473" s="3565">
        <v>12411.72</v>
      </c>
      <c r="M473" s="3565">
        <v>0</v>
      </c>
      <c r="N473" s="3565">
        <v>0</v>
      </c>
      <c r="O473" s="3563" t="s">
        <v>3453</v>
      </c>
    </row>
    <row r="474" spans="1:15">
      <c r="A474" s="3563" t="s">
        <v>4677</v>
      </c>
      <c r="B474" s="3563" t="s">
        <v>4196</v>
      </c>
      <c r="C474" s="3563" t="s">
        <v>4197</v>
      </c>
      <c r="D474" s="3563" t="s">
        <v>4198</v>
      </c>
      <c r="E474" s="3563" t="s">
        <v>4609</v>
      </c>
      <c r="F474" s="3563" t="s">
        <v>4200</v>
      </c>
      <c r="G474" s="3564">
        <v>109.05</v>
      </c>
      <c r="H474" s="3564">
        <v>87.26</v>
      </c>
      <c r="I474" s="3564">
        <v>21.79</v>
      </c>
      <c r="J474" s="3565">
        <v>1146824</v>
      </c>
      <c r="K474" s="3565">
        <v>10516.5</v>
      </c>
      <c r="L474" s="3565">
        <v>13142.61</v>
      </c>
      <c r="M474" s="3565">
        <v>0</v>
      </c>
      <c r="N474" s="3565">
        <v>0</v>
      </c>
      <c r="O474" s="3563" t="s">
        <v>3453</v>
      </c>
    </row>
    <row r="475" spans="1:15">
      <c r="A475" s="3563" t="s">
        <v>4678</v>
      </c>
      <c r="B475" s="3563" t="s">
        <v>4196</v>
      </c>
      <c r="C475" s="3563" t="s">
        <v>4197</v>
      </c>
      <c r="D475" s="3563" t="s">
        <v>4198</v>
      </c>
      <c r="E475" s="3563" t="s">
        <v>4609</v>
      </c>
      <c r="F475" s="3563" t="s">
        <v>4200</v>
      </c>
      <c r="G475" s="3564">
        <v>109.05</v>
      </c>
      <c r="H475" s="3564">
        <v>87.26</v>
      </c>
      <c r="I475" s="3564">
        <v>21.79</v>
      </c>
      <c r="J475" s="3565">
        <v>1172346</v>
      </c>
      <c r="K475" s="3565">
        <v>10750.54</v>
      </c>
      <c r="L475" s="3565">
        <v>13435.09</v>
      </c>
      <c r="M475" s="3565">
        <v>0</v>
      </c>
      <c r="N475" s="3565">
        <v>0</v>
      </c>
      <c r="O475" s="3563" t="s">
        <v>3453</v>
      </c>
    </row>
    <row r="476" spans="1:15">
      <c r="A476" s="3563" t="s">
        <v>4679</v>
      </c>
      <c r="B476" s="3563" t="s">
        <v>4196</v>
      </c>
      <c r="C476" s="3563" t="s">
        <v>4197</v>
      </c>
      <c r="D476" s="3563" t="s">
        <v>4198</v>
      </c>
      <c r="E476" s="3563" t="s">
        <v>4609</v>
      </c>
      <c r="F476" s="3563" t="s">
        <v>4200</v>
      </c>
      <c r="G476" s="3564">
        <v>99.13</v>
      </c>
      <c r="H476" s="3564">
        <v>79.319999999999993</v>
      </c>
      <c r="I476" s="3564">
        <v>19.809999999999999</v>
      </c>
      <c r="J476" s="3565">
        <v>1007699</v>
      </c>
      <c r="K476" s="3565">
        <v>10165.43</v>
      </c>
      <c r="L476" s="3565">
        <v>12704.22</v>
      </c>
      <c r="M476" s="3565">
        <v>0</v>
      </c>
      <c r="N476" s="3565">
        <v>0</v>
      </c>
      <c r="O476" s="3563" t="s">
        <v>3453</v>
      </c>
    </row>
    <row r="477" spans="1:15">
      <c r="A477" s="3563" t="s">
        <v>4680</v>
      </c>
      <c r="B477" s="3563" t="s">
        <v>4196</v>
      </c>
      <c r="C477" s="3563" t="s">
        <v>4197</v>
      </c>
      <c r="D477" s="3563" t="s">
        <v>4198</v>
      </c>
      <c r="E477" s="3563" t="s">
        <v>4609</v>
      </c>
      <c r="F477" s="3563" t="s">
        <v>4200</v>
      </c>
      <c r="G477" s="3564">
        <v>99.13</v>
      </c>
      <c r="H477" s="3564">
        <v>79.319999999999993</v>
      </c>
      <c r="I477" s="3564">
        <v>19.809999999999999</v>
      </c>
      <c r="J477" s="3565">
        <v>997154</v>
      </c>
      <c r="K477" s="3565">
        <v>10059.049999999999</v>
      </c>
      <c r="L477" s="3565">
        <v>12571.28</v>
      </c>
      <c r="M477" s="3565">
        <v>0</v>
      </c>
      <c r="N477" s="3565">
        <v>0</v>
      </c>
      <c r="O477" s="3563" t="s">
        <v>3453</v>
      </c>
    </row>
    <row r="478" spans="1:15">
      <c r="A478" s="3563" t="s">
        <v>4681</v>
      </c>
      <c r="B478" s="3563" t="s">
        <v>4196</v>
      </c>
      <c r="C478" s="3563" t="s">
        <v>4197</v>
      </c>
      <c r="D478" s="3563" t="s">
        <v>4198</v>
      </c>
      <c r="E478" s="3563" t="s">
        <v>4609</v>
      </c>
      <c r="F478" s="3563" t="s">
        <v>4200</v>
      </c>
      <c r="G478" s="3564">
        <v>109.05</v>
      </c>
      <c r="H478" s="3564">
        <v>87.26</v>
      </c>
      <c r="I478" s="3564">
        <v>21.79</v>
      </c>
      <c r="J478" s="3565">
        <v>1160745</v>
      </c>
      <c r="K478" s="3565">
        <v>10644.15</v>
      </c>
      <c r="L478" s="3565">
        <v>13302.14</v>
      </c>
      <c r="M478" s="3565">
        <v>0</v>
      </c>
      <c r="N478" s="3565">
        <v>0</v>
      </c>
      <c r="O478" s="3563" t="s">
        <v>3453</v>
      </c>
    </row>
    <row r="479" spans="1:15">
      <c r="A479" s="3563" t="s">
        <v>4682</v>
      </c>
      <c r="B479" s="3563" t="s">
        <v>4196</v>
      </c>
      <c r="C479" s="3563" t="s">
        <v>4197</v>
      </c>
      <c r="D479" s="3563" t="s">
        <v>4198</v>
      </c>
      <c r="E479" s="3563" t="s">
        <v>4609</v>
      </c>
      <c r="F479" s="3563" t="s">
        <v>4200</v>
      </c>
      <c r="G479" s="3564">
        <v>109.05</v>
      </c>
      <c r="H479" s="3564">
        <v>87.26</v>
      </c>
      <c r="I479" s="3564">
        <v>21.79</v>
      </c>
      <c r="J479" s="3565">
        <v>1174666</v>
      </c>
      <c r="K479" s="3565">
        <v>10771.81</v>
      </c>
      <c r="L479" s="3565">
        <v>13461.68</v>
      </c>
      <c r="M479" s="3565">
        <v>0</v>
      </c>
      <c r="N479" s="3565">
        <v>0</v>
      </c>
      <c r="O479" s="3563" t="s">
        <v>3453</v>
      </c>
    </row>
    <row r="480" spans="1:15">
      <c r="A480" s="3563" t="s">
        <v>4683</v>
      </c>
      <c r="B480" s="3563" t="s">
        <v>4196</v>
      </c>
      <c r="C480" s="3563" t="s">
        <v>4197</v>
      </c>
      <c r="D480" s="3563" t="s">
        <v>4198</v>
      </c>
      <c r="E480" s="3563" t="s">
        <v>4609</v>
      </c>
      <c r="F480" s="3563" t="s">
        <v>4200</v>
      </c>
      <c r="G480" s="3564">
        <v>99.13</v>
      </c>
      <c r="H480" s="3564">
        <v>79.319999999999993</v>
      </c>
      <c r="I480" s="3564">
        <v>19.809999999999999</v>
      </c>
      <c r="J480" s="3565">
        <v>1009808</v>
      </c>
      <c r="K480" s="3565">
        <v>10186.700000000001</v>
      </c>
      <c r="L480" s="3565">
        <v>12730.81</v>
      </c>
      <c r="M480" s="3565">
        <v>0</v>
      </c>
      <c r="N480" s="3565">
        <v>0</v>
      </c>
      <c r="O480" s="3563" t="s">
        <v>3453</v>
      </c>
    </row>
    <row r="481" spans="1:15">
      <c r="A481" s="3563" t="s">
        <v>4684</v>
      </c>
      <c r="B481" s="3563" t="s">
        <v>4196</v>
      </c>
      <c r="C481" s="3563" t="s">
        <v>4197</v>
      </c>
      <c r="D481" s="3563" t="s">
        <v>4198</v>
      </c>
      <c r="E481" s="3563" t="s">
        <v>4609</v>
      </c>
      <c r="F481" s="3563" t="s">
        <v>4200</v>
      </c>
      <c r="G481" s="3564">
        <v>99.13</v>
      </c>
      <c r="H481" s="3564">
        <v>79.319999999999993</v>
      </c>
      <c r="I481" s="3564">
        <v>19.809999999999999</v>
      </c>
      <c r="J481" s="3565">
        <v>999262</v>
      </c>
      <c r="K481" s="3565">
        <v>10080.32</v>
      </c>
      <c r="L481" s="3565">
        <v>12597.86</v>
      </c>
      <c r="M481" s="3565">
        <v>0</v>
      </c>
      <c r="N481" s="3565">
        <v>0</v>
      </c>
      <c r="O481" s="3563" t="s">
        <v>3453</v>
      </c>
    </row>
    <row r="482" spans="1:15">
      <c r="A482" s="3563" t="s">
        <v>4685</v>
      </c>
      <c r="B482" s="3563" t="s">
        <v>4196</v>
      </c>
      <c r="C482" s="3563" t="s">
        <v>4197</v>
      </c>
      <c r="D482" s="3563" t="s">
        <v>4198</v>
      </c>
      <c r="E482" s="3563" t="s">
        <v>4609</v>
      </c>
      <c r="F482" s="3563" t="s">
        <v>4200</v>
      </c>
      <c r="G482" s="3564">
        <v>109.05</v>
      </c>
      <c r="H482" s="3564">
        <v>87.26</v>
      </c>
      <c r="I482" s="3564">
        <v>21.79</v>
      </c>
      <c r="J482" s="3565">
        <v>1163065</v>
      </c>
      <c r="K482" s="3565">
        <v>10665.43</v>
      </c>
      <c r="L482" s="3565">
        <v>13328.73</v>
      </c>
      <c r="M482" s="3565">
        <v>0</v>
      </c>
      <c r="N482" s="3565">
        <v>0</v>
      </c>
      <c r="O482" s="3563" t="s">
        <v>3453</v>
      </c>
    </row>
    <row r="483" spans="1:15">
      <c r="A483" s="3563" t="s">
        <v>4686</v>
      </c>
      <c r="B483" s="3563" t="s">
        <v>4196</v>
      </c>
      <c r="C483" s="3563" t="s">
        <v>4197</v>
      </c>
      <c r="D483" s="3563" t="s">
        <v>4198</v>
      </c>
      <c r="E483" s="3563" t="s">
        <v>4609</v>
      </c>
      <c r="F483" s="3563" t="s">
        <v>4200</v>
      </c>
      <c r="G483" s="3564">
        <v>109.05</v>
      </c>
      <c r="H483" s="3564">
        <v>87.26</v>
      </c>
      <c r="I483" s="3564">
        <v>21.79</v>
      </c>
      <c r="J483" s="3565">
        <v>1176987</v>
      </c>
      <c r="K483" s="3565">
        <v>10793.09</v>
      </c>
      <c r="L483" s="3565">
        <v>13488.28</v>
      </c>
      <c r="M483" s="3565">
        <v>0</v>
      </c>
      <c r="N483" s="3565">
        <v>0</v>
      </c>
      <c r="O483" s="3563" t="s">
        <v>3453</v>
      </c>
    </row>
    <row r="484" spans="1:15">
      <c r="A484" s="3563" t="s">
        <v>4687</v>
      </c>
      <c r="B484" s="3563" t="s">
        <v>4196</v>
      </c>
      <c r="C484" s="3563" t="s">
        <v>4197</v>
      </c>
      <c r="D484" s="3563" t="s">
        <v>4198</v>
      </c>
      <c r="E484" s="3563" t="s">
        <v>4609</v>
      </c>
      <c r="F484" s="3563" t="s">
        <v>4200</v>
      </c>
      <c r="G484" s="3564">
        <v>99.13</v>
      </c>
      <c r="H484" s="3564">
        <v>79.319999999999993</v>
      </c>
      <c r="I484" s="3564">
        <v>19.809999999999999</v>
      </c>
      <c r="J484" s="3565">
        <v>1022463</v>
      </c>
      <c r="K484" s="3565">
        <v>10314.36</v>
      </c>
      <c r="L484" s="3565">
        <v>12890.36</v>
      </c>
      <c r="M484" s="3565">
        <v>0</v>
      </c>
      <c r="N484" s="3565">
        <v>0</v>
      </c>
      <c r="O484" s="3563" t="s">
        <v>3453</v>
      </c>
    </row>
    <row r="485" spans="1:15">
      <c r="A485" s="3563" t="s">
        <v>4688</v>
      </c>
      <c r="B485" s="3563" t="s">
        <v>4196</v>
      </c>
      <c r="C485" s="3563" t="s">
        <v>4197</v>
      </c>
      <c r="D485" s="3563" t="s">
        <v>4198</v>
      </c>
      <c r="E485" s="3563" t="s">
        <v>4609</v>
      </c>
      <c r="F485" s="3563" t="s">
        <v>4200</v>
      </c>
      <c r="G485" s="3564">
        <v>99.13</v>
      </c>
      <c r="H485" s="3564">
        <v>79.319999999999993</v>
      </c>
      <c r="I485" s="3564">
        <v>19.809999999999999</v>
      </c>
      <c r="J485" s="3565">
        <v>1022463</v>
      </c>
      <c r="K485" s="3565">
        <v>10314.36</v>
      </c>
      <c r="L485" s="3565">
        <v>12890.36</v>
      </c>
      <c r="M485" s="3565">
        <v>0</v>
      </c>
      <c r="N485" s="3565">
        <v>0</v>
      </c>
      <c r="O485" s="3563" t="s">
        <v>3453</v>
      </c>
    </row>
    <row r="486" spans="1:15">
      <c r="A486" s="3563" t="s">
        <v>4689</v>
      </c>
      <c r="B486" s="3563" t="s">
        <v>4196</v>
      </c>
      <c r="C486" s="3563" t="s">
        <v>4197</v>
      </c>
      <c r="D486" s="3563" t="s">
        <v>4198</v>
      </c>
      <c r="E486" s="3563" t="s">
        <v>4609</v>
      </c>
      <c r="F486" s="3563" t="s">
        <v>4200</v>
      </c>
      <c r="G486" s="3564">
        <v>109.05</v>
      </c>
      <c r="H486" s="3564">
        <v>87.26</v>
      </c>
      <c r="I486" s="3564">
        <v>21.79</v>
      </c>
      <c r="J486" s="3565">
        <v>1176987</v>
      </c>
      <c r="K486" s="3565">
        <v>10793.09</v>
      </c>
      <c r="L486" s="3565">
        <v>13488.28</v>
      </c>
      <c r="M486" s="3565">
        <v>0</v>
      </c>
      <c r="N486" s="3565">
        <v>0</v>
      </c>
      <c r="O486" s="3563" t="s">
        <v>3453</v>
      </c>
    </row>
    <row r="487" spans="1:15">
      <c r="A487" s="3563" t="s">
        <v>4690</v>
      </c>
      <c r="B487" s="3563" t="s">
        <v>4196</v>
      </c>
      <c r="C487" s="3563" t="s">
        <v>4197</v>
      </c>
      <c r="D487" s="3563" t="s">
        <v>4198</v>
      </c>
      <c r="E487" s="3563" t="s">
        <v>4609</v>
      </c>
      <c r="F487" s="3563" t="s">
        <v>4200</v>
      </c>
      <c r="G487" s="3564">
        <v>109.05</v>
      </c>
      <c r="H487" s="3564">
        <v>87.26</v>
      </c>
      <c r="I487" s="3564">
        <v>21.79</v>
      </c>
      <c r="J487" s="3565">
        <v>1179307</v>
      </c>
      <c r="K487" s="3565">
        <v>10814.37</v>
      </c>
      <c r="L487" s="3565">
        <v>13514.86</v>
      </c>
      <c r="M487" s="3565">
        <v>0</v>
      </c>
      <c r="N487" s="3565">
        <v>0</v>
      </c>
      <c r="O487" s="3563" t="s">
        <v>3453</v>
      </c>
    </row>
    <row r="488" spans="1:15">
      <c r="A488" s="3563" t="s">
        <v>4691</v>
      </c>
      <c r="B488" s="3563" t="s">
        <v>4196</v>
      </c>
      <c r="C488" s="3563" t="s">
        <v>4197</v>
      </c>
      <c r="D488" s="3563" t="s">
        <v>4198</v>
      </c>
      <c r="E488" s="3563" t="s">
        <v>4609</v>
      </c>
      <c r="F488" s="3563" t="s">
        <v>4200</v>
      </c>
      <c r="G488" s="3564">
        <v>99.13</v>
      </c>
      <c r="H488" s="3564">
        <v>79.319999999999993</v>
      </c>
      <c r="I488" s="3564">
        <v>19.809999999999999</v>
      </c>
      <c r="J488" s="3565">
        <v>1024573</v>
      </c>
      <c r="K488" s="3565">
        <v>10335.65</v>
      </c>
      <c r="L488" s="3565">
        <v>12916.96</v>
      </c>
      <c r="M488" s="3565">
        <v>0</v>
      </c>
      <c r="N488" s="3565">
        <v>0</v>
      </c>
      <c r="O488" s="3563" t="s">
        <v>3453</v>
      </c>
    </row>
    <row r="489" spans="1:15">
      <c r="A489" s="3563" t="s">
        <v>4692</v>
      </c>
      <c r="B489" s="3563" t="s">
        <v>4196</v>
      </c>
      <c r="C489" s="3563" t="s">
        <v>4197</v>
      </c>
      <c r="D489" s="3563" t="s">
        <v>4198</v>
      </c>
      <c r="E489" s="3563" t="s">
        <v>4609</v>
      </c>
      <c r="F489" s="3563" t="s">
        <v>4200</v>
      </c>
      <c r="G489" s="3564">
        <v>99.13</v>
      </c>
      <c r="H489" s="3564">
        <v>79.319999999999993</v>
      </c>
      <c r="I489" s="3564">
        <v>19.809999999999999</v>
      </c>
      <c r="J489" s="3565">
        <v>1024573</v>
      </c>
      <c r="K489" s="3565">
        <v>10335.65</v>
      </c>
      <c r="L489" s="3565">
        <v>12916.96</v>
      </c>
      <c r="M489" s="3565">
        <v>0</v>
      </c>
      <c r="N489" s="3565">
        <v>0</v>
      </c>
      <c r="O489" s="3563" t="s">
        <v>3453</v>
      </c>
    </row>
    <row r="490" spans="1:15">
      <c r="A490" s="3563" t="s">
        <v>4693</v>
      </c>
      <c r="B490" s="3563" t="s">
        <v>4196</v>
      </c>
      <c r="C490" s="3563" t="s">
        <v>4197</v>
      </c>
      <c r="D490" s="3563" t="s">
        <v>4198</v>
      </c>
      <c r="E490" s="3563" t="s">
        <v>4609</v>
      </c>
      <c r="F490" s="3563" t="s">
        <v>4200</v>
      </c>
      <c r="G490" s="3564">
        <v>109.05</v>
      </c>
      <c r="H490" s="3564">
        <v>87.26</v>
      </c>
      <c r="I490" s="3564">
        <v>21.79</v>
      </c>
      <c r="J490" s="3565">
        <v>1179307</v>
      </c>
      <c r="K490" s="3565">
        <v>10814.37</v>
      </c>
      <c r="L490" s="3565">
        <v>13514.86</v>
      </c>
      <c r="M490" s="3565">
        <v>0</v>
      </c>
      <c r="N490" s="3565">
        <v>0</v>
      </c>
      <c r="O490" s="3563" t="s">
        <v>3453</v>
      </c>
    </row>
    <row r="491" spans="1:15">
      <c r="A491" s="3563" t="s">
        <v>4694</v>
      </c>
      <c r="B491" s="3563" t="s">
        <v>4196</v>
      </c>
      <c r="C491" s="3563" t="s">
        <v>4197</v>
      </c>
      <c r="D491" s="3563" t="s">
        <v>4198</v>
      </c>
      <c r="E491" s="3563" t="s">
        <v>4609</v>
      </c>
      <c r="F491" s="3563" t="s">
        <v>4200</v>
      </c>
      <c r="G491" s="3564">
        <v>109.05</v>
      </c>
      <c r="H491" s="3564">
        <v>87.26</v>
      </c>
      <c r="I491" s="3564">
        <v>21.79</v>
      </c>
      <c r="J491" s="3565">
        <v>1176987</v>
      </c>
      <c r="K491" s="3565">
        <v>10793.09</v>
      </c>
      <c r="L491" s="3565">
        <v>13488.28</v>
      </c>
      <c r="M491" s="3565">
        <v>0</v>
      </c>
      <c r="N491" s="3565">
        <v>0</v>
      </c>
      <c r="O491" s="3563" t="s">
        <v>3453</v>
      </c>
    </row>
    <row r="492" spans="1:15">
      <c r="A492" s="3563" t="s">
        <v>4695</v>
      </c>
      <c r="B492" s="3563" t="s">
        <v>4196</v>
      </c>
      <c r="C492" s="3563" t="s">
        <v>4197</v>
      </c>
      <c r="D492" s="3563" t="s">
        <v>4198</v>
      </c>
      <c r="E492" s="3563" t="s">
        <v>4609</v>
      </c>
      <c r="F492" s="3563" t="s">
        <v>4200</v>
      </c>
      <c r="G492" s="3564">
        <v>99.13</v>
      </c>
      <c r="H492" s="3564">
        <v>79.319999999999993</v>
      </c>
      <c r="I492" s="3564">
        <v>19.809999999999999</v>
      </c>
      <c r="J492" s="3565">
        <v>1022463</v>
      </c>
      <c r="K492" s="3565">
        <v>10314.36</v>
      </c>
      <c r="L492" s="3565">
        <v>12890.36</v>
      </c>
      <c r="M492" s="3565">
        <v>0</v>
      </c>
      <c r="N492" s="3565">
        <v>0</v>
      </c>
      <c r="O492" s="3563" t="s">
        <v>3453</v>
      </c>
    </row>
    <row r="493" spans="1:15">
      <c r="A493" s="3563" t="s">
        <v>4696</v>
      </c>
      <c r="B493" s="3563" t="s">
        <v>4196</v>
      </c>
      <c r="C493" s="3563" t="s">
        <v>4197</v>
      </c>
      <c r="D493" s="3563" t="s">
        <v>4198</v>
      </c>
      <c r="E493" s="3563" t="s">
        <v>4609</v>
      </c>
      <c r="F493" s="3563" t="s">
        <v>4200</v>
      </c>
      <c r="G493" s="3564">
        <v>99.13</v>
      </c>
      <c r="H493" s="3564">
        <v>79.319999999999993</v>
      </c>
      <c r="I493" s="3564">
        <v>19.809999999999999</v>
      </c>
      <c r="J493" s="3565">
        <v>1022463</v>
      </c>
      <c r="K493" s="3565">
        <v>10314.36</v>
      </c>
      <c r="L493" s="3565">
        <v>12890.36</v>
      </c>
      <c r="M493" s="3565">
        <v>0</v>
      </c>
      <c r="N493" s="3565">
        <v>0</v>
      </c>
      <c r="O493" s="3563" t="s">
        <v>3453</v>
      </c>
    </row>
    <row r="494" spans="1:15">
      <c r="A494" s="3563" t="s">
        <v>4697</v>
      </c>
      <c r="B494" s="3563" t="s">
        <v>4196</v>
      </c>
      <c r="C494" s="3563" t="s">
        <v>4197</v>
      </c>
      <c r="D494" s="3563" t="s">
        <v>4198</v>
      </c>
      <c r="E494" s="3563" t="s">
        <v>4609</v>
      </c>
      <c r="F494" s="3563" t="s">
        <v>4200</v>
      </c>
      <c r="G494" s="3564">
        <v>109.05</v>
      </c>
      <c r="H494" s="3564">
        <v>87.26</v>
      </c>
      <c r="I494" s="3564">
        <v>21.79</v>
      </c>
      <c r="J494" s="3565">
        <v>1176987</v>
      </c>
      <c r="K494" s="3565">
        <v>10793.09</v>
      </c>
      <c r="L494" s="3565">
        <v>13488.28</v>
      </c>
      <c r="M494" s="3565">
        <v>0</v>
      </c>
      <c r="N494" s="3565">
        <v>0</v>
      </c>
      <c r="O494" s="3563" t="s">
        <v>3453</v>
      </c>
    </row>
    <row r="495" spans="1:15">
      <c r="A495" s="3563" t="s">
        <v>4698</v>
      </c>
      <c r="B495" s="3563" t="s">
        <v>4196</v>
      </c>
      <c r="C495" s="3563" t="s">
        <v>4197</v>
      </c>
      <c r="D495" s="3563" t="s">
        <v>4198</v>
      </c>
      <c r="E495" s="3563" t="s">
        <v>4699</v>
      </c>
      <c r="F495" s="3563" t="s">
        <v>4200</v>
      </c>
      <c r="G495" s="3564">
        <v>89.26</v>
      </c>
      <c r="H495" s="3564">
        <v>74.14</v>
      </c>
      <c r="I495" s="3564">
        <v>15.12</v>
      </c>
      <c r="J495" s="3565">
        <v>904518</v>
      </c>
      <c r="K495" s="3565">
        <v>10133.52</v>
      </c>
      <c r="L495" s="3565">
        <v>12200.13</v>
      </c>
      <c r="M495" s="3565">
        <v>0</v>
      </c>
      <c r="N495" s="3565">
        <v>0</v>
      </c>
      <c r="O495" s="3563" t="s">
        <v>3453</v>
      </c>
    </row>
    <row r="496" spans="1:15">
      <c r="A496" s="3563" t="s">
        <v>4700</v>
      </c>
      <c r="B496" s="3563" t="s">
        <v>4196</v>
      </c>
      <c r="C496" s="3563" t="s">
        <v>4197</v>
      </c>
      <c r="D496" s="3563" t="s">
        <v>4198</v>
      </c>
      <c r="E496" s="3563" t="s">
        <v>4699</v>
      </c>
      <c r="F496" s="3563" t="s">
        <v>4200</v>
      </c>
      <c r="G496" s="3564">
        <v>95.5</v>
      </c>
      <c r="H496" s="3564">
        <v>79.319999999999993</v>
      </c>
      <c r="I496" s="3564">
        <v>16.18</v>
      </c>
      <c r="J496" s="3565">
        <v>931176</v>
      </c>
      <c r="K496" s="3565">
        <v>9750.5300000000007</v>
      </c>
      <c r="L496" s="3565">
        <v>11739.49</v>
      </c>
      <c r="M496" s="3565">
        <v>0</v>
      </c>
      <c r="N496" s="3565">
        <v>0</v>
      </c>
      <c r="O496" s="3563" t="s">
        <v>3453</v>
      </c>
    </row>
    <row r="497" spans="1:15">
      <c r="A497" s="3563" t="s">
        <v>4701</v>
      </c>
      <c r="B497" s="3563" t="s">
        <v>4196</v>
      </c>
      <c r="C497" s="3563" t="s">
        <v>4197</v>
      </c>
      <c r="D497" s="3563" t="s">
        <v>4198</v>
      </c>
      <c r="E497" s="3563" t="s">
        <v>4699</v>
      </c>
      <c r="F497" s="3563" t="s">
        <v>4200</v>
      </c>
      <c r="G497" s="3564">
        <v>95.5</v>
      </c>
      <c r="H497" s="3564">
        <v>79.319999999999993</v>
      </c>
      <c r="I497" s="3564">
        <v>16.18</v>
      </c>
      <c r="J497" s="3565">
        <v>931176</v>
      </c>
      <c r="K497" s="3565">
        <v>9750.5300000000007</v>
      </c>
      <c r="L497" s="3565">
        <v>11739.49</v>
      </c>
      <c r="M497" s="3565">
        <v>0</v>
      </c>
      <c r="N497" s="3565">
        <v>0</v>
      </c>
      <c r="O497" s="3563" t="s">
        <v>3453</v>
      </c>
    </row>
    <row r="498" spans="1:15">
      <c r="A498" s="3563" t="s">
        <v>4702</v>
      </c>
      <c r="B498" s="3563" t="s">
        <v>4196</v>
      </c>
      <c r="C498" s="3563" t="s">
        <v>4197</v>
      </c>
      <c r="D498" s="3563" t="s">
        <v>4198</v>
      </c>
      <c r="E498" s="3563" t="s">
        <v>4699</v>
      </c>
      <c r="F498" s="3563" t="s">
        <v>4200</v>
      </c>
      <c r="G498" s="3564">
        <v>108.26</v>
      </c>
      <c r="H498" s="3564">
        <v>87.26</v>
      </c>
      <c r="I498" s="3564">
        <v>21</v>
      </c>
      <c r="J498" s="3565">
        <v>1154640</v>
      </c>
      <c r="K498" s="3565">
        <v>10665.44</v>
      </c>
      <c r="L498" s="3565">
        <v>13232.18</v>
      </c>
      <c r="M498" s="3565">
        <v>0</v>
      </c>
      <c r="N498" s="3565">
        <v>0</v>
      </c>
      <c r="O498" s="3563" t="s">
        <v>3453</v>
      </c>
    </row>
    <row r="499" spans="1:15">
      <c r="A499" s="3563" t="s">
        <v>4703</v>
      </c>
      <c r="B499" s="3563" t="s">
        <v>4196</v>
      </c>
      <c r="C499" s="3563" t="s">
        <v>4197</v>
      </c>
      <c r="D499" s="3563" t="s">
        <v>4198</v>
      </c>
      <c r="E499" s="3563" t="s">
        <v>4699</v>
      </c>
      <c r="F499" s="3563" t="s">
        <v>4200</v>
      </c>
      <c r="G499" s="3564">
        <v>98.41</v>
      </c>
      <c r="H499" s="3564">
        <v>79.319999999999993</v>
      </c>
      <c r="I499" s="3564">
        <v>19.09</v>
      </c>
      <c r="J499" s="3565">
        <v>1023412</v>
      </c>
      <c r="K499" s="3565">
        <v>10399.469999999999</v>
      </c>
      <c r="L499" s="3565">
        <v>12902.32</v>
      </c>
      <c r="M499" s="3565">
        <v>0</v>
      </c>
      <c r="N499" s="3565">
        <v>0</v>
      </c>
      <c r="O499" s="3563" t="s">
        <v>3453</v>
      </c>
    </row>
    <row r="500" spans="1:15">
      <c r="A500" s="3563" t="s">
        <v>4704</v>
      </c>
      <c r="B500" s="3563" t="s">
        <v>4196</v>
      </c>
      <c r="C500" s="3563" t="s">
        <v>4197</v>
      </c>
      <c r="D500" s="3563" t="s">
        <v>4198</v>
      </c>
      <c r="E500" s="3563" t="s">
        <v>4699</v>
      </c>
      <c r="F500" s="3563" t="s">
        <v>4200</v>
      </c>
      <c r="G500" s="3564">
        <v>98.41</v>
      </c>
      <c r="H500" s="3564">
        <v>79.319999999999993</v>
      </c>
      <c r="I500" s="3564">
        <v>19.09</v>
      </c>
      <c r="J500" s="3565">
        <v>1023412</v>
      </c>
      <c r="K500" s="3565">
        <v>10399.469999999999</v>
      </c>
      <c r="L500" s="3565">
        <v>12902.32</v>
      </c>
      <c r="M500" s="3565">
        <v>0</v>
      </c>
      <c r="N500" s="3565">
        <v>0</v>
      </c>
      <c r="O500" s="3563" t="s">
        <v>3453</v>
      </c>
    </row>
    <row r="501" spans="1:15">
      <c r="A501" s="3563" t="s">
        <v>4705</v>
      </c>
      <c r="B501" s="3563" t="s">
        <v>4196</v>
      </c>
      <c r="C501" s="3563" t="s">
        <v>4197</v>
      </c>
      <c r="D501" s="3563" t="s">
        <v>4198</v>
      </c>
      <c r="E501" s="3563" t="s">
        <v>4699</v>
      </c>
      <c r="F501" s="3563" t="s">
        <v>4200</v>
      </c>
      <c r="G501" s="3564">
        <v>108.26</v>
      </c>
      <c r="H501" s="3564">
        <v>87.26</v>
      </c>
      <c r="I501" s="3564">
        <v>21</v>
      </c>
      <c r="J501" s="3565">
        <v>1154640</v>
      </c>
      <c r="K501" s="3565">
        <v>10665.44</v>
      </c>
      <c r="L501" s="3565">
        <v>13232.18</v>
      </c>
      <c r="M501" s="3565">
        <v>0</v>
      </c>
      <c r="N501" s="3565">
        <v>0</v>
      </c>
      <c r="O501" s="3563" t="s">
        <v>3453</v>
      </c>
    </row>
    <row r="502" spans="1:15">
      <c r="A502" s="3563" t="s">
        <v>4706</v>
      </c>
      <c r="B502" s="3563" t="s">
        <v>4196</v>
      </c>
      <c r="C502" s="3563" t="s">
        <v>4197</v>
      </c>
      <c r="D502" s="3563" t="s">
        <v>4198</v>
      </c>
      <c r="E502" s="3563" t="s">
        <v>4699</v>
      </c>
      <c r="F502" s="3563" t="s">
        <v>4200</v>
      </c>
      <c r="G502" s="3564">
        <v>108.26</v>
      </c>
      <c r="H502" s="3564">
        <v>87.26</v>
      </c>
      <c r="I502" s="3564">
        <v>21</v>
      </c>
      <c r="J502" s="3565">
        <v>1152336</v>
      </c>
      <c r="K502" s="3565">
        <v>10644.15</v>
      </c>
      <c r="L502" s="3565">
        <v>13205.78</v>
      </c>
      <c r="M502" s="3565">
        <v>0</v>
      </c>
      <c r="N502" s="3565">
        <v>0</v>
      </c>
      <c r="O502" s="3563" t="s">
        <v>3453</v>
      </c>
    </row>
    <row r="503" spans="1:15">
      <c r="A503" s="3563" t="s">
        <v>4707</v>
      </c>
      <c r="B503" s="3563" t="s">
        <v>4196</v>
      </c>
      <c r="C503" s="3563" t="s">
        <v>4197</v>
      </c>
      <c r="D503" s="3563" t="s">
        <v>4198</v>
      </c>
      <c r="E503" s="3563" t="s">
        <v>4699</v>
      </c>
      <c r="F503" s="3563" t="s">
        <v>4200</v>
      </c>
      <c r="G503" s="3564">
        <v>98.41</v>
      </c>
      <c r="H503" s="3564">
        <v>79.319999999999993</v>
      </c>
      <c r="I503" s="3564">
        <v>19.09</v>
      </c>
      <c r="J503" s="3565">
        <v>1021319</v>
      </c>
      <c r="K503" s="3565">
        <v>10378.200000000001</v>
      </c>
      <c r="L503" s="3565">
        <v>12875.93</v>
      </c>
      <c r="M503" s="3565">
        <v>0</v>
      </c>
      <c r="N503" s="3565">
        <v>0</v>
      </c>
      <c r="O503" s="3563" t="s">
        <v>3453</v>
      </c>
    </row>
    <row r="504" spans="1:15">
      <c r="A504" s="3563" t="s">
        <v>4708</v>
      </c>
      <c r="B504" s="3563" t="s">
        <v>4196</v>
      </c>
      <c r="C504" s="3563" t="s">
        <v>4197</v>
      </c>
      <c r="D504" s="3563" t="s">
        <v>4198</v>
      </c>
      <c r="E504" s="3563" t="s">
        <v>4699</v>
      </c>
      <c r="F504" s="3563" t="s">
        <v>4200</v>
      </c>
      <c r="G504" s="3564">
        <v>98.41</v>
      </c>
      <c r="H504" s="3564">
        <v>79.319999999999993</v>
      </c>
      <c r="I504" s="3564">
        <v>19.09</v>
      </c>
      <c r="J504" s="3565">
        <v>1021319</v>
      </c>
      <c r="K504" s="3565">
        <v>10378.200000000001</v>
      </c>
      <c r="L504" s="3565">
        <v>12875.93</v>
      </c>
      <c r="M504" s="3565">
        <v>0</v>
      </c>
      <c r="N504" s="3565">
        <v>0</v>
      </c>
      <c r="O504" s="3563" t="s">
        <v>3453</v>
      </c>
    </row>
    <row r="505" spans="1:15">
      <c r="A505" s="3563" t="s">
        <v>4709</v>
      </c>
      <c r="B505" s="3563" t="s">
        <v>4196</v>
      </c>
      <c r="C505" s="3563" t="s">
        <v>4197</v>
      </c>
      <c r="D505" s="3563" t="s">
        <v>4198</v>
      </c>
      <c r="E505" s="3563" t="s">
        <v>4699</v>
      </c>
      <c r="F505" s="3563" t="s">
        <v>4200</v>
      </c>
      <c r="G505" s="3564">
        <v>108.26</v>
      </c>
      <c r="H505" s="3564">
        <v>87.26</v>
      </c>
      <c r="I505" s="3564">
        <v>21</v>
      </c>
      <c r="J505" s="3565">
        <v>1152336</v>
      </c>
      <c r="K505" s="3565">
        <v>10644.15</v>
      </c>
      <c r="L505" s="3565">
        <v>13205.78</v>
      </c>
      <c r="M505" s="3565">
        <v>0</v>
      </c>
      <c r="N505" s="3565">
        <v>0</v>
      </c>
      <c r="O505" s="3563" t="s">
        <v>3453</v>
      </c>
    </row>
    <row r="506" spans="1:15">
      <c r="A506" s="3563" t="s">
        <v>4710</v>
      </c>
      <c r="B506" s="3563" t="s">
        <v>4196</v>
      </c>
      <c r="C506" s="3563" t="s">
        <v>4197</v>
      </c>
      <c r="D506" s="3563" t="s">
        <v>4198</v>
      </c>
      <c r="E506" s="3563" t="s">
        <v>4699</v>
      </c>
      <c r="F506" s="3563" t="s">
        <v>4200</v>
      </c>
      <c r="G506" s="3564">
        <v>108.26</v>
      </c>
      <c r="H506" s="3564">
        <v>87.26</v>
      </c>
      <c r="I506" s="3564">
        <v>21</v>
      </c>
      <c r="J506" s="3565">
        <v>1115481</v>
      </c>
      <c r="K506" s="3565">
        <v>10303.719999999999</v>
      </c>
      <c r="L506" s="3565">
        <v>12783.42</v>
      </c>
      <c r="M506" s="3565">
        <v>0</v>
      </c>
      <c r="N506" s="3565">
        <v>0</v>
      </c>
      <c r="O506" s="3563" t="s">
        <v>3453</v>
      </c>
    </row>
    <row r="507" spans="1:15">
      <c r="A507" s="3563" t="s">
        <v>4711</v>
      </c>
      <c r="B507" s="3563" t="s">
        <v>4196</v>
      </c>
      <c r="C507" s="3563" t="s">
        <v>4197</v>
      </c>
      <c r="D507" s="3563" t="s">
        <v>4198</v>
      </c>
      <c r="E507" s="3563" t="s">
        <v>4699</v>
      </c>
      <c r="F507" s="3563" t="s">
        <v>4200</v>
      </c>
      <c r="G507" s="3564">
        <v>98.41</v>
      </c>
      <c r="H507" s="3564">
        <v>79.319999999999993</v>
      </c>
      <c r="I507" s="3564">
        <v>19.09</v>
      </c>
      <c r="J507" s="3565">
        <v>987818</v>
      </c>
      <c r="K507" s="3565">
        <v>10037.780000000001</v>
      </c>
      <c r="L507" s="3565">
        <v>12453.58</v>
      </c>
      <c r="M507" s="3565">
        <v>0</v>
      </c>
      <c r="N507" s="3565">
        <v>0</v>
      </c>
      <c r="O507" s="3563" t="s">
        <v>3453</v>
      </c>
    </row>
    <row r="508" spans="1:15">
      <c r="A508" s="3563" t="s">
        <v>4712</v>
      </c>
      <c r="B508" s="3563" t="s">
        <v>4196</v>
      </c>
      <c r="C508" s="3563" t="s">
        <v>4197</v>
      </c>
      <c r="D508" s="3563" t="s">
        <v>4198</v>
      </c>
      <c r="E508" s="3563" t="s">
        <v>4699</v>
      </c>
      <c r="F508" s="3563" t="s">
        <v>4200</v>
      </c>
      <c r="G508" s="3564">
        <v>98.41</v>
      </c>
      <c r="H508" s="3564">
        <v>79.319999999999993</v>
      </c>
      <c r="I508" s="3564">
        <v>19.09</v>
      </c>
      <c r="J508" s="3565">
        <v>987818</v>
      </c>
      <c r="K508" s="3565">
        <v>10037.780000000001</v>
      </c>
      <c r="L508" s="3565">
        <v>12453.58</v>
      </c>
      <c r="M508" s="3565">
        <v>0</v>
      </c>
      <c r="N508" s="3565">
        <v>0</v>
      </c>
      <c r="O508" s="3563" t="s">
        <v>3453</v>
      </c>
    </row>
    <row r="509" spans="1:15">
      <c r="A509" s="3563" t="s">
        <v>4713</v>
      </c>
      <c r="B509" s="3563" t="s">
        <v>4196</v>
      </c>
      <c r="C509" s="3563" t="s">
        <v>4197</v>
      </c>
      <c r="D509" s="3563" t="s">
        <v>4198</v>
      </c>
      <c r="E509" s="3563" t="s">
        <v>4699</v>
      </c>
      <c r="F509" s="3563" t="s">
        <v>4200</v>
      </c>
      <c r="G509" s="3564">
        <v>108.26</v>
      </c>
      <c r="H509" s="3564">
        <v>87.26</v>
      </c>
      <c r="I509" s="3564">
        <v>21</v>
      </c>
      <c r="J509" s="3565">
        <v>1115481</v>
      </c>
      <c r="K509" s="3565">
        <v>10303.719999999999</v>
      </c>
      <c r="L509" s="3565">
        <v>12783.42</v>
      </c>
      <c r="M509" s="3565">
        <v>0</v>
      </c>
      <c r="N509" s="3565">
        <v>0</v>
      </c>
      <c r="O509" s="3563" t="s">
        <v>3453</v>
      </c>
    </row>
    <row r="510" spans="1:15">
      <c r="A510" s="3563" t="s">
        <v>4714</v>
      </c>
      <c r="B510" s="3563" t="s">
        <v>4196</v>
      </c>
      <c r="C510" s="3563" t="s">
        <v>4197</v>
      </c>
      <c r="D510" s="3563" t="s">
        <v>4198</v>
      </c>
      <c r="E510" s="3563" t="s">
        <v>4699</v>
      </c>
      <c r="F510" s="3563" t="s">
        <v>4200</v>
      </c>
      <c r="G510" s="3564">
        <v>95.3</v>
      </c>
      <c r="H510" s="3564">
        <v>76.66</v>
      </c>
      <c r="I510" s="3564">
        <v>18.64</v>
      </c>
      <c r="J510" s="3565">
        <v>977890</v>
      </c>
      <c r="K510" s="3565">
        <v>10261.18</v>
      </c>
      <c r="L510" s="3565">
        <v>12756.2</v>
      </c>
      <c r="M510" s="3565">
        <v>0</v>
      </c>
      <c r="N510" s="3565">
        <v>0</v>
      </c>
      <c r="O510" s="3563" t="s">
        <v>3453</v>
      </c>
    </row>
    <row r="511" spans="1:15">
      <c r="A511" s="3563" t="s">
        <v>4715</v>
      </c>
      <c r="B511" s="3563" t="s">
        <v>4196</v>
      </c>
      <c r="C511" s="3563" t="s">
        <v>4197</v>
      </c>
      <c r="D511" s="3563" t="s">
        <v>4198</v>
      </c>
      <c r="E511" s="3563" t="s">
        <v>4699</v>
      </c>
      <c r="F511" s="3563" t="s">
        <v>4200</v>
      </c>
      <c r="G511" s="3564">
        <v>98.6</v>
      </c>
      <c r="H511" s="3564">
        <v>79.319999999999993</v>
      </c>
      <c r="I511" s="3564">
        <v>19.28</v>
      </c>
      <c r="J511" s="3565">
        <v>975039</v>
      </c>
      <c r="K511" s="3565">
        <v>9888.83</v>
      </c>
      <c r="L511" s="3565">
        <v>12292.47</v>
      </c>
      <c r="M511" s="3565">
        <v>0</v>
      </c>
      <c r="N511" s="3565">
        <v>0</v>
      </c>
      <c r="O511" s="3563" t="s">
        <v>3453</v>
      </c>
    </row>
    <row r="512" spans="1:15">
      <c r="A512" s="3563" t="s">
        <v>4716</v>
      </c>
      <c r="B512" s="3563" t="s">
        <v>4196</v>
      </c>
      <c r="C512" s="3563" t="s">
        <v>4197</v>
      </c>
      <c r="D512" s="3563" t="s">
        <v>4198</v>
      </c>
      <c r="E512" s="3563" t="s">
        <v>4699</v>
      </c>
      <c r="F512" s="3563" t="s">
        <v>4200</v>
      </c>
      <c r="G512" s="3564">
        <v>98.6</v>
      </c>
      <c r="H512" s="3564">
        <v>79.319999999999993</v>
      </c>
      <c r="I512" s="3564">
        <v>19.28</v>
      </c>
      <c r="J512" s="3565">
        <v>964549</v>
      </c>
      <c r="K512" s="3565">
        <v>9782.44</v>
      </c>
      <c r="L512" s="3565">
        <v>12160.22</v>
      </c>
      <c r="M512" s="3565">
        <v>0</v>
      </c>
      <c r="N512" s="3565">
        <v>0</v>
      </c>
      <c r="O512" s="3563" t="s">
        <v>3453</v>
      </c>
    </row>
    <row r="513" spans="1:15">
      <c r="A513" s="3563" t="s">
        <v>4717</v>
      </c>
      <c r="B513" s="3563" t="s">
        <v>4196</v>
      </c>
      <c r="C513" s="3563" t="s">
        <v>4197</v>
      </c>
      <c r="D513" s="3563" t="s">
        <v>4198</v>
      </c>
      <c r="E513" s="3563" t="s">
        <v>4699</v>
      </c>
      <c r="F513" s="3563" t="s">
        <v>4200</v>
      </c>
      <c r="G513" s="3564">
        <v>95.3</v>
      </c>
      <c r="H513" s="3564">
        <v>76.66</v>
      </c>
      <c r="I513" s="3564">
        <v>18.64</v>
      </c>
      <c r="J513" s="3565">
        <v>967752</v>
      </c>
      <c r="K513" s="3565">
        <v>10154.799999999999</v>
      </c>
      <c r="L513" s="3565">
        <v>12623.95</v>
      </c>
      <c r="M513" s="3565">
        <v>0</v>
      </c>
      <c r="N513" s="3565">
        <v>0</v>
      </c>
      <c r="O513" s="3563" t="s">
        <v>3453</v>
      </c>
    </row>
    <row r="514" spans="1:15">
      <c r="A514" s="3563" t="s">
        <v>4718</v>
      </c>
      <c r="B514" s="3563" t="s">
        <v>4196</v>
      </c>
      <c r="C514" s="3563" t="s">
        <v>4197</v>
      </c>
      <c r="D514" s="3563" t="s">
        <v>4198</v>
      </c>
      <c r="E514" s="3563" t="s">
        <v>4699</v>
      </c>
      <c r="F514" s="3563" t="s">
        <v>4200</v>
      </c>
      <c r="G514" s="3564">
        <v>108.26</v>
      </c>
      <c r="H514" s="3564">
        <v>87.26</v>
      </c>
      <c r="I514" s="3564">
        <v>21</v>
      </c>
      <c r="J514" s="3565">
        <v>1124695</v>
      </c>
      <c r="K514" s="3565">
        <v>10388.83</v>
      </c>
      <c r="L514" s="3565">
        <v>12889.01</v>
      </c>
      <c r="M514" s="3565">
        <v>0</v>
      </c>
      <c r="N514" s="3565">
        <v>0</v>
      </c>
      <c r="O514" s="3563" t="s">
        <v>3453</v>
      </c>
    </row>
    <row r="515" spans="1:15">
      <c r="A515" s="3563" t="s">
        <v>4719</v>
      </c>
      <c r="B515" s="3563" t="s">
        <v>4196</v>
      </c>
      <c r="C515" s="3563" t="s">
        <v>4197</v>
      </c>
      <c r="D515" s="3563" t="s">
        <v>4198</v>
      </c>
      <c r="E515" s="3563" t="s">
        <v>4699</v>
      </c>
      <c r="F515" s="3563" t="s">
        <v>4200</v>
      </c>
      <c r="G515" s="3564">
        <v>98.41</v>
      </c>
      <c r="H515" s="3564">
        <v>79.319999999999993</v>
      </c>
      <c r="I515" s="3564">
        <v>19.09</v>
      </c>
      <c r="J515" s="3565">
        <v>985723</v>
      </c>
      <c r="K515" s="3565">
        <v>10016.49</v>
      </c>
      <c r="L515" s="3565">
        <v>12427.17</v>
      </c>
      <c r="M515" s="3565">
        <v>0</v>
      </c>
      <c r="N515" s="3565">
        <v>0</v>
      </c>
      <c r="O515" s="3563" t="s">
        <v>3453</v>
      </c>
    </row>
    <row r="516" spans="1:15">
      <c r="A516" s="3563" t="s">
        <v>4720</v>
      </c>
      <c r="B516" s="3563" t="s">
        <v>4196</v>
      </c>
      <c r="C516" s="3563" t="s">
        <v>4197</v>
      </c>
      <c r="D516" s="3563" t="s">
        <v>4198</v>
      </c>
      <c r="E516" s="3563" t="s">
        <v>4699</v>
      </c>
      <c r="F516" s="3563" t="s">
        <v>4200</v>
      </c>
      <c r="G516" s="3564">
        <v>98.41</v>
      </c>
      <c r="H516" s="3564">
        <v>79.319999999999993</v>
      </c>
      <c r="I516" s="3564">
        <v>19.09</v>
      </c>
      <c r="J516" s="3565">
        <v>975254</v>
      </c>
      <c r="K516" s="3565">
        <v>9910.11</v>
      </c>
      <c r="L516" s="3565">
        <v>12295.18</v>
      </c>
      <c r="M516" s="3565">
        <v>0</v>
      </c>
      <c r="N516" s="3565">
        <v>0</v>
      </c>
      <c r="O516" s="3563" t="s">
        <v>3453</v>
      </c>
    </row>
    <row r="517" spans="1:15">
      <c r="A517" s="3563" t="s">
        <v>4721</v>
      </c>
      <c r="B517" s="3563" t="s">
        <v>4196</v>
      </c>
      <c r="C517" s="3563" t="s">
        <v>4197</v>
      </c>
      <c r="D517" s="3563" t="s">
        <v>4198</v>
      </c>
      <c r="E517" s="3563" t="s">
        <v>4699</v>
      </c>
      <c r="F517" s="3563" t="s">
        <v>4200</v>
      </c>
      <c r="G517" s="3564">
        <v>108.26</v>
      </c>
      <c r="H517" s="3564">
        <v>87.26</v>
      </c>
      <c r="I517" s="3564">
        <v>21</v>
      </c>
      <c r="J517" s="3565">
        <v>1113178</v>
      </c>
      <c r="K517" s="3565">
        <v>10282.450000000001</v>
      </c>
      <c r="L517" s="3565">
        <v>12757.02</v>
      </c>
      <c r="M517" s="3565">
        <v>0</v>
      </c>
      <c r="N517" s="3565">
        <v>0</v>
      </c>
      <c r="O517" s="3563" t="s">
        <v>3453</v>
      </c>
    </row>
    <row r="518" spans="1:15">
      <c r="A518" s="3563" t="s">
        <v>4722</v>
      </c>
      <c r="B518" s="3563" t="s">
        <v>4196</v>
      </c>
      <c r="C518" s="3563" t="s">
        <v>4197</v>
      </c>
      <c r="D518" s="3563" t="s">
        <v>4198</v>
      </c>
      <c r="E518" s="3563" t="s">
        <v>4699</v>
      </c>
      <c r="F518" s="3563" t="s">
        <v>4200</v>
      </c>
      <c r="G518" s="3564">
        <v>108.26</v>
      </c>
      <c r="H518" s="3564">
        <v>87.26</v>
      </c>
      <c r="I518" s="3564">
        <v>21</v>
      </c>
      <c r="J518" s="3565">
        <v>1138515</v>
      </c>
      <c r="K518" s="3565">
        <v>10516.49</v>
      </c>
      <c r="L518" s="3565">
        <v>13047.39</v>
      </c>
      <c r="M518" s="3565">
        <v>0</v>
      </c>
      <c r="N518" s="3565">
        <v>0</v>
      </c>
      <c r="O518" s="3563" t="s">
        <v>3453</v>
      </c>
    </row>
    <row r="519" spans="1:15">
      <c r="A519" s="3563" t="s">
        <v>4723</v>
      </c>
      <c r="B519" s="3563" t="s">
        <v>4196</v>
      </c>
      <c r="C519" s="3563" t="s">
        <v>4197</v>
      </c>
      <c r="D519" s="3563" t="s">
        <v>4198</v>
      </c>
      <c r="E519" s="3563" t="s">
        <v>4699</v>
      </c>
      <c r="F519" s="3563" t="s">
        <v>4200</v>
      </c>
      <c r="G519" s="3564">
        <v>98.41</v>
      </c>
      <c r="H519" s="3564">
        <v>79.319999999999993</v>
      </c>
      <c r="I519" s="3564">
        <v>19.09</v>
      </c>
      <c r="J519" s="3565">
        <v>998287</v>
      </c>
      <c r="K519" s="3565">
        <v>10144.16</v>
      </c>
      <c r="L519" s="3565">
        <v>12585.56</v>
      </c>
      <c r="M519" s="3565">
        <v>0</v>
      </c>
      <c r="N519" s="3565">
        <v>0</v>
      </c>
      <c r="O519" s="3563" t="s">
        <v>3453</v>
      </c>
    </row>
    <row r="520" spans="1:15">
      <c r="A520" s="3563" t="s">
        <v>4724</v>
      </c>
      <c r="B520" s="3563" t="s">
        <v>4196</v>
      </c>
      <c r="C520" s="3563" t="s">
        <v>4197</v>
      </c>
      <c r="D520" s="3563" t="s">
        <v>4198</v>
      </c>
      <c r="E520" s="3563" t="s">
        <v>4699</v>
      </c>
      <c r="F520" s="3563" t="s">
        <v>4200</v>
      </c>
      <c r="G520" s="3564">
        <v>98.41</v>
      </c>
      <c r="H520" s="3564">
        <v>79.319999999999993</v>
      </c>
      <c r="I520" s="3564">
        <v>19.09</v>
      </c>
      <c r="J520" s="3565">
        <v>987818</v>
      </c>
      <c r="K520" s="3565">
        <v>10037.780000000001</v>
      </c>
      <c r="L520" s="3565">
        <v>12453.58</v>
      </c>
      <c r="M520" s="3565">
        <v>0</v>
      </c>
      <c r="N520" s="3565">
        <v>0</v>
      </c>
      <c r="O520" s="3563" t="s">
        <v>3453</v>
      </c>
    </row>
    <row r="521" spans="1:15">
      <c r="A521" s="3563" t="s">
        <v>4725</v>
      </c>
      <c r="B521" s="3563" t="s">
        <v>4196</v>
      </c>
      <c r="C521" s="3563" t="s">
        <v>4197</v>
      </c>
      <c r="D521" s="3563" t="s">
        <v>4198</v>
      </c>
      <c r="E521" s="3563" t="s">
        <v>4699</v>
      </c>
      <c r="F521" s="3563" t="s">
        <v>4200</v>
      </c>
      <c r="G521" s="3564">
        <v>108.26</v>
      </c>
      <c r="H521" s="3564">
        <v>87.26</v>
      </c>
      <c r="I521" s="3564">
        <v>21</v>
      </c>
      <c r="J521" s="3565">
        <v>1126998</v>
      </c>
      <c r="K521" s="3565">
        <v>10410.11</v>
      </c>
      <c r="L521" s="3565">
        <v>12915.4</v>
      </c>
      <c r="M521" s="3565">
        <v>0</v>
      </c>
      <c r="N521" s="3565">
        <v>0</v>
      </c>
      <c r="O521" s="3563" t="s">
        <v>3453</v>
      </c>
    </row>
    <row r="522" spans="1:15">
      <c r="A522" s="3563" t="s">
        <v>4726</v>
      </c>
      <c r="B522" s="3563" t="s">
        <v>4196</v>
      </c>
      <c r="C522" s="3563" t="s">
        <v>4197</v>
      </c>
      <c r="D522" s="3563" t="s">
        <v>4198</v>
      </c>
      <c r="E522" s="3563" t="s">
        <v>4699</v>
      </c>
      <c r="F522" s="3563" t="s">
        <v>4200</v>
      </c>
      <c r="G522" s="3564">
        <v>108.26</v>
      </c>
      <c r="H522" s="3564">
        <v>87.26</v>
      </c>
      <c r="I522" s="3564">
        <v>21</v>
      </c>
      <c r="J522" s="3565">
        <v>1152336</v>
      </c>
      <c r="K522" s="3565">
        <v>10644.15</v>
      </c>
      <c r="L522" s="3565">
        <v>13205.78</v>
      </c>
      <c r="M522" s="3565">
        <v>0</v>
      </c>
      <c r="N522" s="3565">
        <v>0</v>
      </c>
      <c r="O522" s="3563" t="s">
        <v>3453</v>
      </c>
    </row>
    <row r="523" spans="1:15">
      <c r="A523" s="3563" t="s">
        <v>4727</v>
      </c>
      <c r="B523" s="3563" t="s">
        <v>4196</v>
      </c>
      <c r="C523" s="3563" t="s">
        <v>4197</v>
      </c>
      <c r="D523" s="3563" t="s">
        <v>4198</v>
      </c>
      <c r="E523" s="3563" t="s">
        <v>4699</v>
      </c>
      <c r="F523" s="3563" t="s">
        <v>4200</v>
      </c>
      <c r="G523" s="3564">
        <v>98.41</v>
      </c>
      <c r="H523" s="3564">
        <v>79.319999999999993</v>
      </c>
      <c r="I523" s="3564">
        <v>19.09</v>
      </c>
      <c r="J523" s="3565">
        <v>1010849</v>
      </c>
      <c r="K523" s="3565">
        <v>10271.81</v>
      </c>
      <c r="L523" s="3565">
        <v>12743.94</v>
      </c>
      <c r="M523" s="3565">
        <v>0</v>
      </c>
      <c r="N523" s="3565">
        <v>0</v>
      </c>
      <c r="O523" s="3563" t="s">
        <v>3453</v>
      </c>
    </row>
    <row r="524" spans="1:15">
      <c r="A524" s="3563" t="s">
        <v>4728</v>
      </c>
      <c r="B524" s="3563" t="s">
        <v>4196</v>
      </c>
      <c r="C524" s="3563" t="s">
        <v>4197</v>
      </c>
      <c r="D524" s="3563" t="s">
        <v>4198</v>
      </c>
      <c r="E524" s="3563" t="s">
        <v>4699</v>
      </c>
      <c r="F524" s="3563" t="s">
        <v>4200</v>
      </c>
      <c r="G524" s="3564">
        <v>98.41</v>
      </c>
      <c r="H524" s="3564">
        <v>79.319999999999993</v>
      </c>
      <c r="I524" s="3564">
        <v>19.09</v>
      </c>
      <c r="J524" s="3565">
        <v>1000380</v>
      </c>
      <c r="K524" s="3565">
        <v>10165.43</v>
      </c>
      <c r="L524" s="3565">
        <v>12611.95</v>
      </c>
      <c r="M524" s="3565">
        <v>0</v>
      </c>
      <c r="N524" s="3565">
        <v>0</v>
      </c>
      <c r="O524" s="3563" t="s">
        <v>3453</v>
      </c>
    </row>
    <row r="525" spans="1:15">
      <c r="A525" s="3563" t="s">
        <v>4729</v>
      </c>
      <c r="B525" s="3563" t="s">
        <v>4196</v>
      </c>
      <c r="C525" s="3563" t="s">
        <v>4197</v>
      </c>
      <c r="D525" s="3563" t="s">
        <v>4198</v>
      </c>
      <c r="E525" s="3563" t="s">
        <v>4699</v>
      </c>
      <c r="F525" s="3563" t="s">
        <v>4200</v>
      </c>
      <c r="G525" s="3564">
        <v>108.26</v>
      </c>
      <c r="H525" s="3564">
        <v>87.26</v>
      </c>
      <c r="I525" s="3564">
        <v>21</v>
      </c>
      <c r="J525" s="3565">
        <v>1140819</v>
      </c>
      <c r="K525" s="3565">
        <v>10537.77</v>
      </c>
      <c r="L525" s="3565">
        <v>13073.79</v>
      </c>
      <c r="M525" s="3565">
        <v>0</v>
      </c>
      <c r="N525" s="3565">
        <v>0</v>
      </c>
      <c r="O525" s="3563" t="s">
        <v>3453</v>
      </c>
    </row>
    <row r="526" spans="1:15">
      <c r="A526" s="3563" t="s">
        <v>4730</v>
      </c>
      <c r="B526" s="3563" t="s">
        <v>4196</v>
      </c>
      <c r="C526" s="3563" t="s">
        <v>4197</v>
      </c>
      <c r="D526" s="3563" t="s">
        <v>4198</v>
      </c>
      <c r="E526" s="3563" t="s">
        <v>4699</v>
      </c>
      <c r="F526" s="3563" t="s">
        <v>4200</v>
      </c>
      <c r="G526" s="3564">
        <v>108.26</v>
      </c>
      <c r="H526" s="3564">
        <v>87.26</v>
      </c>
      <c r="I526" s="3564">
        <v>21</v>
      </c>
      <c r="J526" s="3565">
        <v>1154640</v>
      </c>
      <c r="K526" s="3565">
        <v>10665.44</v>
      </c>
      <c r="L526" s="3565">
        <v>13232.18</v>
      </c>
      <c r="M526" s="3565">
        <v>0</v>
      </c>
      <c r="N526" s="3565">
        <v>0</v>
      </c>
      <c r="O526" s="3563" t="s">
        <v>3453</v>
      </c>
    </row>
    <row r="527" spans="1:15">
      <c r="A527" s="3563" t="s">
        <v>4731</v>
      </c>
      <c r="B527" s="3563" t="s">
        <v>4196</v>
      </c>
      <c r="C527" s="3563" t="s">
        <v>4197</v>
      </c>
      <c r="D527" s="3563" t="s">
        <v>4198</v>
      </c>
      <c r="E527" s="3563" t="s">
        <v>4699</v>
      </c>
      <c r="F527" s="3563" t="s">
        <v>4200</v>
      </c>
      <c r="G527" s="3564">
        <v>98.41</v>
      </c>
      <c r="H527" s="3564">
        <v>79.319999999999993</v>
      </c>
      <c r="I527" s="3564">
        <v>19.09</v>
      </c>
      <c r="J527" s="3565">
        <v>1012943</v>
      </c>
      <c r="K527" s="3565">
        <v>10293.09</v>
      </c>
      <c r="L527" s="3565">
        <v>12770.34</v>
      </c>
      <c r="M527" s="3565">
        <v>0</v>
      </c>
      <c r="N527" s="3565">
        <v>0</v>
      </c>
      <c r="O527" s="3563" t="s">
        <v>3453</v>
      </c>
    </row>
    <row r="528" spans="1:15">
      <c r="A528" s="3563" t="s">
        <v>4732</v>
      </c>
      <c r="B528" s="3563" t="s">
        <v>4196</v>
      </c>
      <c r="C528" s="3563" t="s">
        <v>4197</v>
      </c>
      <c r="D528" s="3563" t="s">
        <v>4198</v>
      </c>
      <c r="E528" s="3563" t="s">
        <v>4699</v>
      </c>
      <c r="F528" s="3563" t="s">
        <v>4200</v>
      </c>
      <c r="G528" s="3564">
        <v>98.41</v>
      </c>
      <c r="H528" s="3564">
        <v>79.319999999999993</v>
      </c>
      <c r="I528" s="3564">
        <v>19.09</v>
      </c>
      <c r="J528" s="3565">
        <v>1002474</v>
      </c>
      <c r="K528" s="3565">
        <v>10186.709999999999</v>
      </c>
      <c r="L528" s="3565">
        <v>12638.35</v>
      </c>
      <c r="M528" s="3565">
        <v>0</v>
      </c>
      <c r="N528" s="3565">
        <v>0</v>
      </c>
      <c r="O528" s="3563" t="s">
        <v>3453</v>
      </c>
    </row>
    <row r="529" spans="1:15">
      <c r="A529" s="3563" t="s">
        <v>4733</v>
      </c>
      <c r="B529" s="3563" t="s">
        <v>4196</v>
      </c>
      <c r="C529" s="3563" t="s">
        <v>4197</v>
      </c>
      <c r="D529" s="3563" t="s">
        <v>4198</v>
      </c>
      <c r="E529" s="3563" t="s">
        <v>4699</v>
      </c>
      <c r="F529" s="3563" t="s">
        <v>4200</v>
      </c>
      <c r="G529" s="3564">
        <v>108.26</v>
      </c>
      <c r="H529" s="3564">
        <v>87.26</v>
      </c>
      <c r="I529" s="3564">
        <v>21</v>
      </c>
      <c r="J529" s="3565">
        <v>1143123</v>
      </c>
      <c r="K529" s="3565">
        <v>10559.05</v>
      </c>
      <c r="L529" s="3565">
        <v>13100.19</v>
      </c>
      <c r="M529" s="3565">
        <v>0</v>
      </c>
      <c r="N529" s="3565">
        <v>0</v>
      </c>
      <c r="O529" s="3563" t="s">
        <v>3453</v>
      </c>
    </row>
    <row r="530" spans="1:15">
      <c r="A530" s="3563" t="s">
        <v>4734</v>
      </c>
      <c r="B530" s="3563" t="s">
        <v>4196</v>
      </c>
      <c r="C530" s="3563" t="s">
        <v>4197</v>
      </c>
      <c r="D530" s="3563" t="s">
        <v>4198</v>
      </c>
      <c r="E530" s="3563" t="s">
        <v>4699</v>
      </c>
      <c r="F530" s="3563" t="s">
        <v>4200</v>
      </c>
      <c r="G530" s="3564">
        <v>108.26</v>
      </c>
      <c r="H530" s="3564">
        <v>87.26</v>
      </c>
      <c r="I530" s="3564">
        <v>21</v>
      </c>
      <c r="J530" s="3565">
        <v>1156943</v>
      </c>
      <c r="K530" s="3565">
        <v>10686.71</v>
      </c>
      <c r="L530" s="3565">
        <v>13258.57</v>
      </c>
      <c r="M530" s="3565">
        <v>0</v>
      </c>
      <c r="N530" s="3565">
        <v>0</v>
      </c>
      <c r="O530" s="3563" t="s">
        <v>3453</v>
      </c>
    </row>
    <row r="531" spans="1:15">
      <c r="A531" s="3563" t="s">
        <v>4735</v>
      </c>
      <c r="B531" s="3563" t="s">
        <v>4196</v>
      </c>
      <c r="C531" s="3563" t="s">
        <v>4197</v>
      </c>
      <c r="D531" s="3563" t="s">
        <v>4198</v>
      </c>
      <c r="E531" s="3563" t="s">
        <v>4699</v>
      </c>
      <c r="F531" s="3563" t="s">
        <v>4200</v>
      </c>
      <c r="G531" s="3564">
        <v>98.41</v>
      </c>
      <c r="H531" s="3564">
        <v>79.319999999999993</v>
      </c>
      <c r="I531" s="3564">
        <v>19.09</v>
      </c>
      <c r="J531" s="3565">
        <v>1025506</v>
      </c>
      <c r="K531" s="3565">
        <v>10420.75</v>
      </c>
      <c r="L531" s="3565">
        <v>12928.72</v>
      </c>
      <c r="M531" s="3565">
        <v>0</v>
      </c>
      <c r="N531" s="3565">
        <v>0</v>
      </c>
      <c r="O531" s="3563" t="s">
        <v>3453</v>
      </c>
    </row>
    <row r="532" spans="1:15">
      <c r="A532" s="3563" t="s">
        <v>4736</v>
      </c>
      <c r="B532" s="3563" t="s">
        <v>4196</v>
      </c>
      <c r="C532" s="3563" t="s">
        <v>4197</v>
      </c>
      <c r="D532" s="3563" t="s">
        <v>4198</v>
      </c>
      <c r="E532" s="3563" t="s">
        <v>4699</v>
      </c>
      <c r="F532" s="3563" t="s">
        <v>4200</v>
      </c>
      <c r="G532" s="3564">
        <v>98.41</v>
      </c>
      <c r="H532" s="3564">
        <v>79.319999999999993</v>
      </c>
      <c r="I532" s="3564">
        <v>19.09</v>
      </c>
      <c r="J532" s="3565">
        <v>1025506</v>
      </c>
      <c r="K532" s="3565">
        <v>10420.75</v>
      </c>
      <c r="L532" s="3565">
        <v>12928.72</v>
      </c>
      <c r="M532" s="3565">
        <v>0</v>
      </c>
      <c r="N532" s="3565">
        <v>0</v>
      </c>
      <c r="O532" s="3563" t="s">
        <v>3453</v>
      </c>
    </row>
    <row r="533" spans="1:15">
      <c r="A533" s="3563" t="s">
        <v>4737</v>
      </c>
      <c r="B533" s="3563" t="s">
        <v>4196</v>
      </c>
      <c r="C533" s="3563" t="s">
        <v>4197</v>
      </c>
      <c r="D533" s="3563" t="s">
        <v>4198</v>
      </c>
      <c r="E533" s="3563" t="s">
        <v>4699</v>
      </c>
      <c r="F533" s="3563" t="s">
        <v>4200</v>
      </c>
      <c r="G533" s="3564">
        <v>108.26</v>
      </c>
      <c r="H533" s="3564">
        <v>87.26</v>
      </c>
      <c r="I533" s="3564">
        <v>21</v>
      </c>
      <c r="J533" s="3565">
        <v>1156943</v>
      </c>
      <c r="K533" s="3565">
        <v>10686.71</v>
      </c>
      <c r="L533" s="3565">
        <v>13258.57</v>
      </c>
      <c r="M533" s="3565">
        <v>0</v>
      </c>
      <c r="N533" s="3565">
        <v>0</v>
      </c>
      <c r="O533" s="3563" t="s">
        <v>3453</v>
      </c>
    </row>
    <row r="534" spans="1:15">
      <c r="A534" s="3563" t="s">
        <v>4738</v>
      </c>
      <c r="B534" s="3563" t="s">
        <v>4196</v>
      </c>
      <c r="C534" s="3563" t="s">
        <v>4197</v>
      </c>
      <c r="D534" s="3563" t="s">
        <v>4198</v>
      </c>
      <c r="E534" s="3563" t="s">
        <v>4699</v>
      </c>
      <c r="F534" s="3563" t="s">
        <v>4200</v>
      </c>
      <c r="G534" s="3564">
        <v>108.26</v>
      </c>
      <c r="H534" s="3564">
        <v>87.26</v>
      </c>
      <c r="I534" s="3564">
        <v>21</v>
      </c>
      <c r="J534" s="3565">
        <v>1159246</v>
      </c>
      <c r="K534" s="3565">
        <v>10707.98</v>
      </c>
      <c r="L534" s="3565">
        <v>13284.96</v>
      </c>
      <c r="M534" s="3565">
        <v>0</v>
      </c>
      <c r="N534" s="3565">
        <v>0</v>
      </c>
      <c r="O534" s="3563" t="s">
        <v>3453</v>
      </c>
    </row>
    <row r="535" spans="1:15">
      <c r="A535" s="3563" t="s">
        <v>4739</v>
      </c>
      <c r="B535" s="3563" t="s">
        <v>4196</v>
      </c>
      <c r="C535" s="3563" t="s">
        <v>4197</v>
      </c>
      <c r="D535" s="3563" t="s">
        <v>4198</v>
      </c>
      <c r="E535" s="3563" t="s">
        <v>4699</v>
      </c>
      <c r="F535" s="3563" t="s">
        <v>4200</v>
      </c>
      <c r="G535" s="3564">
        <v>98.41</v>
      </c>
      <c r="H535" s="3564">
        <v>79.319999999999993</v>
      </c>
      <c r="I535" s="3564">
        <v>19.09</v>
      </c>
      <c r="J535" s="3565">
        <v>1027599</v>
      </c>
      <c r="K535" s="3565">
        <v>10442.02</v>
      </c>
      <c r="L535" s="3565">
        <v>12955.11</v>
      </c>
      <c r="M535" s="3565">
        <v>0</v>
      </c>
      <c r="N535" s="3565">
        <v>0</v>
      </c>
      <c r="O535" s="3563" t="s">
        <v>3453</v>
      </c>
    </row>
    <row r="536" spans="1:15">
      <c r="A536" s="3563" t="s">
        <v>4740</v>
      </c>
      <c r="B536" s="3563" t="s">
        <v>4196</v>
      </c>
      <c r="C536" s="3563" t="s">
        <v>4197</v>
      </c>
      <c r="D536" s="3563" t="s">
        <v>4198</v>
      </c>
      <c r="E536" s="3563" t="s">
        <v>4699</v>
      </c>
      <c r="F536" s="3563" t="s">
        <v>4200</v>
      </c>
      <c r="G536" s="3564">
        <v>98.41</v>
      </c>
      <c r="H536" s="3564">
        <v>79.319999999999993</v>
      </c>
      <c r="I536" s="3564">
        <v>19.09</v>
      </c>
      <c r="J536" s="3565">
        <v>1027599</v>
      </c>
      <c r="K536" s="3565">
        <v>10442.02</v>
      </c>
      <c r="L536" s="3565">
        <v>12955.11</v>
      </c>
      <c r="M536" s="3565">
        <v>0</v>
      </c>
      <c r="N536" s="3565">
        <v>0</v>
      </c>
      <c r="O536" s="3563" t="s">
        <v>3453</v>
      </c>
    </row>
    <row r="537" spans="1:15">
      <c r="A537" s="3563" t="s">
        <v>4741</v>
      </c>
      <c r="B537" s="3563" t="s">
        <v>4196</v>
      </c>
      <c r="C537" s="3563" t="s">
        <v>4197</v>
      </c>
      <c r="D537" s="3563" t="s">
        <v>4198</v>
      </c>
      <c r="E537" s="3563" t="s">
        <v>4699</v>
      </c>
      <c r="F537" s="3563" t="s">
        <v>4200</v>
      </c>
      <c r="G537" s="3564">
        <v>108.26</v>
      </c>
      <c r="H537" s="3564">
        <v>87.26</v>
      </c>
      <c r="I537" s="3564">
        <v>21</v>
      </c>
      <c r="J537" s="3565">
        <v>1159246</v>
      </c>
      <c r="K537" s="3565">
        <v>10707.98</v>
      </c>
      <c r="L537" s="3565">
        <v>13284.96</v>
      </c>
      <c r="M537" s="3565">
        <v>0</v>
      </c>
      <c r="N537" s="3565">
        <v>0</v>
      </c>
      <c r="O537" s="3563" t="s">
        <v>3453</v>
      </c>
    </row>
    <row r="538" spans="1:15">
      <c r="A538" s="3563" t="s">
        <v>4742</v>
      </c>
      <c r="B538" s="3563" t="s">
        <v>4196</v>
      </c>
      <c r="C538" s="3563" t="s">
        <v>4197</v>
      </c>
      <c r="D538" s="3563" t="s">
        <v>4198</v>
      </c>
      <c r="E538" s="3563" t="s">
        <v>4699</v>
      </c>
      <c r="F538" s="3563" t="s">
        <v>4200</v>
      </c>
      <c r="G538" s="3564">
        <v>108.26</v>
      </c>
      <c r="H538" s="3564">
        <v>87.26</v>
      </c>
      <c r="I538" s="3564">
        <v>21</v>
      </c>
      <c r="J538" s="3565">
        <v>1156943</v>
      </c>
      <c r="K538" s="3565">
        <v>10686.71</v>
      </c>
      <c r="L538" s="3565">
        <v>13258.57</v>
      </c>
      <c r="M538" s="3565">
        <v>0</v>
      </c>
      <c r="N538" s="3565">
        <v>0</v>
      </c>
      <c r="O538" s="3563" t="s">
        <v>3453</v>
      </c>
    </row>
    <row r="539" spans="1:15">
      <c r="A539" s="3563" t="s">
        <v>4743</v>
      </c>
      <c r="B539" s="3563" t="s">
        <v>4196</v>
      </c>
      <c r="C539" s="3563" t="s">
        <v>4197</v>
      </c>
      <c r="D539" s="3563" t="s">
        <v>4198</v>
      </c>
      <c r="E539" s="3563" t="s">
        <v>4699</v>
      </c>
      <c r="F539" s="3563" t="s">
        <v>4200</v>
      </c>
      <c r="G539" s="3564">
        <v>98.41</v>
      </c>
      <c r="H539" s="3564">
        <v>79.319999999999993</v>
      </c>
      <c r="I539" s="3564">
        <v>19.09</v>
      </c>
      <c r="J539" s="3565">
        <v>1025506</v>
      </c>
      <c r="K539" s="3565">
        <v>10420.75</v>
      </c>
      <c r="L539" s="3565">
        <v>12928.72</v>
      </c>
      <c r="M539" s="3565">
        <v>0</v>
      </c>
      <c r="N539" s="3565">
        <v>0</v>
      </c>
      <c r="O539" s="3563" t="s">
        <v>3453</v>
      </c>
    </row>
    <row r="540" spans="1:15">
      <c r="A540" s="3563" t="s">
        <v>4744</v>
      </c>
      <c r="B540" s="3563" t="s">
        <v>4196</v>
      </c>
      <c r="C540" s="3563" t="s">
        <v>4197</v>
      </c>
      <c r="D540" s="3563" t="s">
        <v>4198</v>
      </c>
      <c r="E540" s="3563" t="s">
        <v>4699</v>
      </c>
      <c r="F540" s="3563" t="s">
        <v>4200</v>
      </c>
      <c r="G540" s="3564">
        <v>98.41</v>
      </c>
      <c r="H540" s="3564">
        <v>79.319999999999993</v>
      </c>
      <c r="I540" s="3564">
        <v>19.09</v>
      </c>
      <c r="J540" s="3565">
        <v>1025506</v>
      </c>
      <c r="K540" s="3565">
        <v>10420.75</v>
      </c>
      <c r="L540" s="3565">
        <v>12928.72</v>
      </c>
      <c r="M540" s="3565">
        <v>0</v>
      </c>
      <c r="N540" s="3565">
        <v>0</v>
      </c>
      <c r="O540" s="3563" t="s">
        <v>3453</v>
      </c>
    </row>
    <row r="541" spans="1:15">
      <c r="A541" s="3563" t="s">
        <v>4745</v>
      </c>
      <c r="B541" s="3563" t="s">
        <v>4196</v>
      </c>
      <c r="C541" s="3563" t="s">
        <v>4197</v>
      </c>
      <c r="D541" s="3563" t="s">
        <v>4198</v>
      </c>
      <c r="E541" s="3563" t="s">
        <v>4699</v>
      </c>
      <c r="F541" s="3563" t="s">
        <v>4200</v>
      </c>
      <c r="G541" s="3564">
        <v>108.26</v>
      </c>
      <c r="H541" s="3564">
        <v>87.26</v>
      </c>
      <c r="I541" s="3564">
        <v>21</v>
      </c>
      <c r="J541" s="3565">
        <v>1156943</v>
      </c>
      <c r="K541" s="3565">
        <v>10686.71</v>
      </c>
      <c r="L541" s="3565">
        <v>13258.57</v>
      </c>
      <c r="M541" s="3565">
        <v>0</v>
      </c>
      <c r="N541" s="3565">
        <v>0</v>
      </c>
      <c r="O541" s="3563" t="s">
        <v>3453</v>
      </c>
    </row>
    <row r="542" spans="1:15">
      <c r="A542" s="3563" t="s">
        <v>4746</v>
      </c>
      <c r="B542" s="3563" t="s">
        <v>4196</v>
      </c>
      <c r="C542" s="3563" t="s">
        <v>4197</v>
      </c>
      <c r="D542" s="3563" t="s">
        <v>4198</v>
      </c>
      <c r="E542" s="3563" t="s">
        <v>4747</v>
      </c>
      <c r="F542" s="3563" t="s">
        <v>4200</v>
      </c>
      <c r="G542" s="3564">
        <v>89.05</v>
      </c>
      <c r="H542" s="3564">
        <v>74.14</v>
      </c>
      <c r="I542" s="3564">
        <v>14.91</v>
      </c>
      <c r="J542" s="3565">
        <v>911863</v>
      </c>
      <c r="K542" s="3565">
        <v>10239.9</v>
      </c>
      <c r="L542" s="3565">
        <v>12299.2</v>
      </c>
      <c r="M542" s="3565">
        <v>0</v>
      </c>
      <c r="N542" s="3565">
        <v>0</v>
      </c>
      <c r="O542" s="3563" t="s">
        <v>3453</v>
      </c>
    </row>
    <row r="543" spans="1:15">
      <c r="A543" s="3563" t="s">
        <v>4748</v>
      </c>
      <c r="B543" s="3563" t="s">
        <v>4196</v>
      </c>
      <c r="C543" s="3563" t="s">
        <v>4197</v>
      </c>
      <c r="D543" s="3563" t="s">
        <v>4198</v>
      </c>
      <c r="E543" s="3563" t="s">
        <v>4747</v>
      </c>
      <c r="F543" s="3563" t="s">
        <v>4200</v>
      </c>
      <c r="G543" s="3564">
        <v>95.27</v>
      </c>
      <c r="H543" s="3564">
        <v>79.319999999999993</v>
      </c>
      <c r="I543" s="3564">
        <v>15.95</v>
      </c>
      <c r="J543" s="3565">
        <v>990758</v>
      </c>
      <c r="K543" s="3565">
        <v>10399.48</v>
      </c>
      <c r="L543" s="3565">
        <v>12490.65</v>
      </c>
      <c r="M543" s="3565">
        <v>0</v>
      </c>
      <c r="N543" s="3565">
        <v>0</v>
      </c>
      <c r="O543" s="3563" t="s">
        <v>3453</v>
      </c>
    </row>
    <row r="544" spans="1:15">
      <c r="A544" s="3563" t="s">
        <v>4749</v>
      </c>
      <c r="B544" s="3563" t="s">
        <v>4196</v>
      </c>
      <c r="C544" s="3563" t="s">
        <v>4197</v>
      </c>
      <c r="D544" s="3563" t="s">
        <v>4198</v>
      </c>
      <c r="E544" s="3563" t="s">
        <v>4747</v>
      </c>
      <c r="F544" s="3563" t="s">
        <v>4200</v>
      </c>
      <c r="G544" s="3564">
        <v>95.27</v>
      </c>
      <c r="H544" s="3564">
        <v>79.319999999999993</v>
      </c>
      <c r="I544" s="3564">
        <v>15.95</v>
      </c>
      <c r="J544" s="3565">
        <v>990758</v>
      </c>
      <c r="K544" s="3565">
        <v>10399.48</v>
      </c>
      <c r="L544" s="3565">
        <v>12490.65</v>
      </c>
      <c r="M544" s="3565">
        <v>0</v>
      </c>
      <c r="N544" s="3565">
        <v>0</v>
      </c>
      <c r="O544" s="3563" t="s">
        <v>3453</v>
      </c>
    </row>
    <row r="545" spans="1:15">
      <c r="A545" s="3563" t="s">
        <v>4750</v>
      </c>
      <c r="B545" s="3563" t="s">
        <v>4196</v>
      </c>
      <c r="C545" s="3563" t="s">
        <v>4197</v>
      </c>
      <c r="D545" s="3563" t="s">
        <v>4198</v>
      </c>
      <c r="E545" s="3563" t="s">
        <v>4747</v>
      </c>
      <c r="F545" s="3563" t="s">
        <v>4200</v>
      </c>
      <c r="G545" s="3564">
        <v>89.05</v>
      </c>
      <c r="H545" s="3564">
        <v>74.14</v>
      </c>
      <c r="I545" s="3564">
        <v>14.91</v>
      </c>
      <c r="J545" s="3565">
        <v>911863</v>
      </c>
      <c r="K545" s="3565">
        <v>10239.9</v>
      </c>
      <c r="L545" s="3565">
        <v>12299.2</v>
      </c>
      <c r="M545" s="3565">
        <v>0</v>
      </c>
      <c r="N545" s="3565">
        <v>0</v>
      </c>
      <c r="O545" s="3563" t="s">
        <v>3453</v>
      </c>
    </row>
    <row r="546" spans="1:15">
      <c r="A546" s="3563" t="s">
        <v>4751</v>
      </c>
      <c r="B546" s="3563" t="s">
        <v>4196</v>
      </c>
      <c r="C546" s="3563" t="s">
        <v>4197</v>
      </c>
      <c r="D546" s="3563" t="s">
        <v>4198</v>
      </c>
      <c r="E546" s="3563" t="s">
        <v>4747</v>
      </c>
      <c r="F546" s="3563" t="s">
        <v>4200</v>
      </c>
      <c r="G546" s="3564">
        <v>108</v>
      </c>
      <c r="H546" s="3564">
        <v>87.26</v>
      </c>
      <c r="I546" s="3564">
        <v>20.74</v>
      </c>
      <c r="J546" s="3565">
        <v>1163356</v>
      </c>
      <c r="K546" s="3565">
        <v>10771.81</v>
      </c>
      <c r="L546" s="3565">
        <v>13332.07</v>
      </c>
      <c r="M546" s="3565">
        <v>0</v>
      </c>
      <c r="N546" s="3565">
        <v>0</v>
      </c>
      <c r="O546" s="3563" t="s">
        <v>3453</v>
      </c>
    </row>
    <row r="547" spans="1:15">
      <c r="A547" s="3563" t="s">
        <v>4752</v>
      </c>
      <c r="B547" s="3563" t="s">
        <v>4196</v>
      </c>
      <c r="C547" s="3563" t="s">
        <v>4197</v>
      </c>
      <c r="D547" s="3563" t="s">
        <v>4198</v>
      </c>
      <c r="E547" s="3563" t="s">
        <v>4747</v>
      </c>
      <c r="F547" s="3563" t="s">
        <v>4200</v>
      </c>
      <c r="G547" s="3564">
        <v>98.17</v>
      </c>
      <c r="H547" s="3564">
        <v>79.319999999999993</v>
      </c>
      <c r="I547" s="3564">
        <v>18.850000000000001</v>
      </c>
      <c r="J547" s="3565">
        <v>1073135</v>
      </c>
      <c r="K547" s="3565">
        <v>10931.39</v>
      </c>
      <c r="L547" s="3565">
        <v>13529.19</v>
      </c>
      <c r="M547" s="3565">
        <v>0</v>
      </c>
      <c r="N547" s="3565">
        <v>0</v>
      </c>
      <c r="O547" s="3563" t="s">
        <v>3453</v>
      </c>
    </row>
    <row r="548" spans="1:15">
      <c r="A548" s="3563" t="s">
        <v>4753</v>
      </c>
      <c r="B548" s="3563" t="s">
        <v>4196</v>
      </c>
      <c r="C548" s="3563" t="s">
        <v>4197</v>
      </c>
      <c r="D548" s="3563" t="s">
        <v>4198</v>
      </c>
      <c r="E548" s="3563" t="s">
        <v>4747</v>
      </c>
      <c r="F548" s="3563" t="s">
        <v>4200</v>
      </c>
      <c r="G548" s="3564">
        <v>98.17</v>
      </c>
      <c r="H548" s="3564">
        <v>79.319999999999993</v>
      </c>
      <c r="I548" s="3564">
        <v>18.850000000000001</v>
      </c>
      <c r="J548" s="3565">
        <v>1073135</v>
      </c>
      <c r="K548" s="3565">
        <v>10931.39</v>
      </c>
      <c r="L548" s="3565">
        <v>13529.19</v>
      </c>
      <c r="M548" s="3565">
        <v>0</v>
      </c>
      <c r="N548" s="3565">
        <v>0</v>
      </c>
      <c r="O548" s="3563" t="s">
        <v>3453</v>
      </c>
    </row>
    <row r="549" spans="1:15">
      <c r="A549" s="3563" t="s">
        <v>4754</v>
      </c>
      <c r="B549" s="3563" t="s">
        <v>4196</v>
      </c>
      <c r="C549" s="3563" t="s">
        <v>4197</v>
      </c>
      <c r="D549" s="3563" t="s">
        <v>4198</v>
      </c>
      <c r="E549" s="3563" t="s">
        <v>4747</v>
      </c>
      <c r="F549" s="3563" t="s">
        <v>4200</v>
      </c>
      <c r="G549" s="3564">
        <v>108</v>
      </c>
      <c r="H549" s="3564">
        <v>87.26</v>
      </c>
      <c r="I549" s="3564">
        <v>20.74</v>
      </c>
      <c r="J549" s="3565">
        <v>1163356</v>
      </c>
      <c r="K549" s="3565">
        <v>10771.81</v>
      </c>
      <c r="L549" s="3565">
        <v>13332.07</v>
      </c>
      <c r="M549" s="3565">
        <v>0</v>
      </c>
      <c r="N549" s="3565">
        <v>0</v>
      </c>
      <c r="O549" s="3563" t="s">
        <v>3453</v>
      </c>
    </row>
    <row r="550" spans="1:15">
      <c r="A550" s="3563" t="s">
        <v>4755</v>
      </c>
      <c r="B550" s="3563" t="s">
        <v>4196</v>
      </c>
      <c r="C550" s="3563" t="s">
        <v>4197</v>
      </c>
      <c r="D550" s="3563" t="s">
        <v>4198</v>
      </c>
      <c r="E550" s="3563" t="s">
        <v>4747</v>
      </c>
      <c r="F550" s="3563" t="s">
        <v>4200</v>
      </c>
      <c r="G550" s="3564">
        <v>108</v>
      </c>
      <c r="H550" s="3564">
        <v>87.26</v>
      </c>
      <c r="I550" s="3564">
        <v>20.74</v>
      </c>
      <c r="J550" s="3565">
        <v>1161058</v>
      </c>
      <c r="K550" s="3565">
        <v>10750.54</v>
      </c>
      <c r="L550" s="3565">
        <v>13305.73</v>
      </c>
      <c r="M550" s="3565">
        <v>0</v>
      </c>
      <c r="N550" s="3565">
        <v>0</v>
      </c>
      <c r="O550" s="3563" t="s">
        <v>3453</v>
      </c>
    </row>
    <row r="551" spans="1:15">
      <c r="A551" s="3563" t="s">
        <v>4756</v>
      </c>
      <c r="B551" s="3563" t="s">
        <v>4196</v>
      </c>
      <c r="C551" s="3563" t="s">
        <v>4197</v>
      </c>
      <c r="D551" s="3563" t="s">
        <v>4198</v>
      </c>
      <c r="E551" s="3563" t="s">
        <v>4747</v>
      </c>
      <c r="F551" s="3563" t="s">
        <v>4200</v>
      </c>
      <c r="G551" s="3564">
        <v>98.17</v>
      </c>
      <c r="H551" s="3564">
        <v>79.319999999999993</v>
      </c>
      <c r="I551" s="3564">
        <v>18.850000000000001</v>
      </c>
      <c r="J551" s="3565">
        <v>1071045</v>
      </c>
      <c r="K551" s="3565">
        <v>10910.1</v>
      </c>
      <c r="L551" s="3565">
        <v>13502.84</v>
      </c>
      <c r="M551" s="3565">
        <v>0</v>
      </c>
      <c r="N551" s="3565">
        <v>0</v>
      </c>
      <c r="O551" s="3563" t="s">
        <v>3453</v>
      </c>
    </row>
    <row r="552" spans="1:15">
      <c r="A552" s="3563" t="s">
        <v>4757</v>
      </c>
      <c r="B552" s="3563" t="s">
        <v>4196</v>
      </c>
      <c r="C552" s="3563" t="s">
        <v>4197</v>
      </c>
      <c r="D552" s="3563" t="s">
        <v>4198</v>
      </c>
      <c r="E552" s="3563" t="s">
        <v>4747</v>
      </c>
      <c r="F552" s="3563" t="s">
        <v>4200</v>
      </c>
      <c r="G552" s="3564">
        <v>98.17</v>
      </c>
      <c r="H552" s="3564">
        <v>79.319999999999993</v>
      </c>
      <c r="I552" s="3564">
        <v>18.850000000000001</v>
      </c>
      <c r="J552" s="3565">
        <v>1071045</v>
      </c>
      <c r="K552" s="3565">
        <v>10910.1</v>
      </c>
      <c r="L552" s="3565">
        <v>13502.84</v>
      </c>
      <c r="M552" s="3565">
        <v>0</v>
      </c>
      <c r="N552" s="3565">
        <v>0</v>
      </c>
      <c r="O552" s="3563" t="s">
        <v>3453</v>
      </c>
    </row>
    <row r="553" spans="1:15">
      <c r="A553" s="3563" t="s">
        <v>4758</v>
      </c>
      <c r="B553" s="3563" t="s">
        <v>4196</v>
      </c>
      <c r="C553" s="3563" t="s">
        <v>4197</v>
      </c>
      <c r="D553" s="3563" t="s">
        <v>4198</v>
      </c>
      <c r="E553" s="3563" t="s">
        <v>4747</v>
      </c>
      <c r="F553" s="3563" t="s">
        <v>4200</v>
      </c>
      <c r="G553" s="3564">
        <v>108</v>
      </c>
      <c r="H553" s="3564">
        <v>87.26</v>
      </c>
      <c r="I553" s="3564">
        <v>20.74</v>
      </c>
      <c r="J553" s="3565">
        <v>1161058</v>
      </c>
      <c r="K553" s="3565">
        <v>10750.54</v>
      </c>
      <c r="L553" s="3565">
        <v>13305.73</v>
      </c>
      <c r="M553" s="3565">
        <v>0</v>
      </c>
      <c r="N553" s="3565">
        <v>0</v>
      </c>
      <c r="O553" s="3563" t="s">
        <v>3453</v>
      </c>
    </row>
    <row r="554" spans="1:15">
      <c r="A554" s="3563" t="s">
        <v>4759</v>
      </c>
      <c r="B554" s="3563" t="s">
        <v>4196</v>
      </c>
      <c r="C554" s="3563" t="s">
        <v>4197</v>
      </c>
      <c r="D554" s="3563" t="s">
        <v>4198</v>
      </c>
      <c r="E554" s="3563" t="s">
        <v>4747</v>
      </c>
      <c r="F554" s="3563" t="s">
        <v>4200</v>
      </c>
      <c r="G554" s="3564">
        <v>108</v>
      </c>
      <c r="H554" s="3564">
        <v>87.26</v>
      </c>
      <c r="I554" s="3564">
        <v>20.74</v>
      </c>
      <c r="J554" s="3565">
        <v>1124292</v>
      </c>
      <c r="K554" s="3565">
        <v>10410.11</v>
      </c>
      <c r="L554" s="3565">
        <v>12884.39</v>
      </c>
      <c r="M554" s="3565">
        <v>0</v>
      </c>
      <c r="N554" s="3565">
        <v>0</v>
      </c>
      <c r="O554" s="3563" t="s">
        <v>3453</v>
      </c>
    </row>
    <row r="555" spans="1:15">
      <c r="A555" s="3563" t="s">
        <v>4760</v>
      </c>
      <c r="B555" s="3563" t="s">
        <v>4196</v>
      </c>
      <c r="C555" s="3563" t="s">
        <v>4197</v>
      </c>
      <c r="D555" s="3563" t="s">
        <v>4198</v>
      </c>
      <c r="E555" s="3563" t="s">
        <v>4747</v>
      </c>
      <c r="F555" s="3563" t="s">
        <v>4200</v>
      </c>
      <c r="G555" s="3564">
        <v>98.17</v>
      </c>
      <c r="H555" s="3564">
        <v>79.319999999999993</v>
      </c>
      <c r="I555" s="3564">
        <v>18.850000000000001</v>
      </c>
      <c r="J555" s="3565">
        <v>1037626</v>
      </c>
      <c r="K555" s="3565">
        <v>10569.69</v>
      </c>
      <c r="L555" s="3565">
        <v>13081.52</v>
      </c>
      <c r="M555" s="3565">
        <v>0</v>
      </c>
      <c r="N555" s="3565">
        <v>0</v>
      </c>
      <c r="O555" s="3563" t="s">
        <v>3453</v>
      </c>
    </row>
    <row r="556" spans="1:15">
      <c r="A556" s="3563" t="s">
        <v>4761</v>
      </c>
      <c r="B556" s="3563" t="s">
        <v>4196</v>
      </c>
      <c r="C556" s="3563" t="s">
        <v>4197</v>
      </c>
      <c r="D556" s="3563" t="s">
        <v>4198</v>
      </c>
      <c r="E556" s="3563" t="s">
        <v>4747</v>
      </c>
      <c r="F556" s="3563" t="s">
        <v>4200</v>
      </c>
      <c r="G556" s="3564">
        <v>98.17</v>
      </c>
      <c r="H556" s="3564">
        <v>79.319999999999993</v>
      </c>
      <c r="I556" s="3564">
        <v>18.850000000000001</v>
      </c>
      <c r="J556" s="3565">
        <v>1037626</v>
      </c>
      <c r="K556" s="3565">
        <v>10569.69</v>
      </c>
      <c r="L556" s="3565">
        <v>13081.52</v>
      </c>
      <c r="M556" s="3565">
        <v>0</v>
      </c>
      <c r="N556" s="3565">
        <v>0</v>
      </c>
      <c r="O556" s="3563" t="s">
        <v>3453</v>
      </c>
    </row>
    <row r="557" spans="1:15">
      <c r="A557" s="3563" t="s">
        <v>4762</v>
      </c>
      <c r="B557" s="3563" t="s">
        <v>4196</v>
      </c>
      <c r="C557" s="3563" t="s">
        <v>4197</v>
      </c>
      <c r="D557" s="3563" t="s">
        <v>4198</v>
      </c>
      <c r="E557" s="3563" t="s">
        <v>4747</v>
      </c>
      <c r="F557" s="3563" t="s">
        <v>4200</v>
      </c>
      <c r="G557" s="3564">
        <v>108</v>
      </c>
      <c r="H557" s="3564">
        <v>87.26</v>
      </c>
      <c r="I557" s="3564">
        <v>20.74</v>
      </c>
      <c r="J557" s="3565">
        <v>1124292</v>
      </c>
      <c r="K557" s="3565">
        <v>10410.11</v>
      </c>
      <c r="L557" s="3565">
        <v>12884.39</v>
      </c>
      <c r="M557" s="3565">
        <v>0</v>
      </c>
      <c r="N557" s="3565">
        <v>0</v>
      </c>
      <c r="O557" s="3563" t="s">
        <v>3453</v>
      </c>
    </row>
    <row r="558" spans="1:15">
      <c r="A558" s="3563" t="s">
        <v>4763</v>
      </c>
      <c r="B558" s="3563" t="s">
        <v>4196</v>
      </c>
      <c r="C558" s="3563" t="s">
        <v>4197</v>
      </c>
      <c r="D558" s="3563" t="s">
        <v>4198</v>
      </c>
      <c r="E558" s="3563" t="s">
        <v>4747</v>
      </c>
      <c r="F558" s="3563" t="s">
        <v>4200</v>
      </c>
      <c r="G558" s="3564">
        <v>95.07</v>
      </c>
      <c r="H558" s="3564">
        <v>76.66</v>
      </c>
      <c r="I558" s="3564">
        <v>18.41</v>
      </c>
      <c r="J558" s="3565">
        <v>985644</v>
      </c>
      <c r="K558" s="3565">
        <v>10367.56</v>
      </c>
      <c r="L558" s="3565">
        <v>12857.34</v>
      </c>
      <c r="M558" s="3565">
        <v>0</v>
      </c>
      <c r="N558" s="3565">
        <v>0</v>
      </c>
      <c r="O558" s="3563" t="s">
        <v>3453</v>
      </c>
    </row>
    <row r="559" spans="1:15">
      <c r="A559" s="3563" t="s">
        <v>4764</v>
      </c>
      <c r="B559" s="3563" t="s">
        <v>4196</v>
      </c>
      <c r="C559" s="3563" t="s">
        <v>4197</v>
      </c>
      <c r="D559" s="3563" t="s">
        <v>4198</v>
      </c>
      <c r="E559" s="3563" t="s">
        <v>4747</v>
      </c>
      <c r="F559" s="3563" t="s">
        <v>4200</v>
      </c>
      <c r="G559" s="3564">
        <v>98.37</v>
      </c>
      <c r="H559" s="3564">
        <v>79.319999999999993</v>
      </c>
      <c r="I559" s="3564">
        <v>19.05</v>
      </c>
      <c r="J559" s="3565">
        <v>1035554</v>
      </c>
      <c r="K559" s="3565">
        <v>10527.13</v>
      </c>
      <c r="L559" s="3565">
        <v>13055.4</v>
      </c>
      <c r="M559" s="3565">
        <v>0</v>
      </c>
      <c r="N559" s="3565">
        <v>0</v>
      </c>
      <c r="O559" s="3563" t="s">
        <v>3453</v>
      </c>
    </row>
    <row r="560" spans="1:15">
      <c r="A560" s="3563" t="s">
        <v>4765</v>
      </c>
      <c r="B560" s="3563" t="s">
        <v>4196</v>
      </c>
      <c r="C560" s="3563" t="s">
        <v>4197</v>
      </c>
      <c r="D560" s="3563" t="s">
        <v>4198</v>
      </c>
      <c r="E560" s="3563" t="s">
        <v>4747</v>
      </c>
      <c r="F560" s="3563" t="s">
        <v>4200</v>
      </c>
      <c r="G560" s="3564">
        <v>98.37</v>
      </c>
      <c r="H560" s="3564">
        <v>79.319999999999993</v>
      </c>
      <c r="I560" s="3564">
        <v>19.05</v>
      </c>
      <c r="J560" s="3565">
        <v>1035554</v>
      </c>
      <c r="K560" s="3565">
        <v>10527.13</v>
      </c>
      <c r="L560" s="3565">
        <v>13055.4</v>
      </c>
      <c r="M560" s="3565">
        <v>0</v>
      </c>
      <c r="N560" s="3565">
        <v>0</v>
      </c>
      <c r="O560" s="3563" t="s">
        <v>3453</v>
      </c>
    </row>
    <row r="561" spans="1:15">
      <c r="A561" s="3563" t="s">
        <v>4766</v>
      </c>
      <c r="B561" s="3563" t="s">
        <v>4196</v>
      </c>
      <c r="C561" s="3563" t="s">
        <v>4197</v>
      </c>
      <c r="D561" s="3563" t="s">
        <v>4198</v>
      </c>
      <c r="E561" s="3563" t="s">
        <v>4747</v>
      </c>
      <c r="F561" s="3563" t="s">
        <v>4200</v>
      </c>
      <c r="G561" s="3564">
        <v>95.07</v>
      </c>
      <c r="H561" s="3564">
        <v>76.66</v>
      </c>
      <c r="I561" s="3564">
        <v>18.41</v>
      </c>
      <c r="J561" s="3565">
        <v>985644</v>
      </c>
      <c r="K561" s="3565">
        <v>10367.56</v>
      </c>
      <c r="L561" s="3565">
        <v>12857.34</v>
      </c>
      <c r="M561" s="3565">
        <v>0</v>
      </c>
      <c r="N561" s="3565">
        <v>0</v>
      </c>
      <c r="O561" s="3563" t="s">
        <v>3453</v>
      </c>
    </row>
    <row r="562" spans="1:15">
      <c r="A562" s="3563" t="s">
        <v>4767</v>
      </c>
      <c r="B562" s="3563" t="s">
        <v>4196</v>
      </c>
      <c r="C562" s="3563" t="s">
        <v>4197</v>
      </c>
      <c r="D562" s="3563" t="s">
        <v>4198</v>
      </c>
      <c r="E562" s="3563" t="s">
        <v>4747</v>
      </c>
      <c r="F562" s="3563" t="s">
        <v>4200</v>
      </c>
      <c r="G562" s="3564">
        <v>108</v>
      </c>
      <c r="H562" s="3564">
        <v>87.26</v>
      </c>
      <c r="I562" s="3564">
        <v>20.74</v>
      </c>
      <c r="J562" s="3565">
        <v>1133483</v>
      </c>
      <c r="K562" s="3565">
        <v>10495.21</v>
      </c>
      <c r="L562" s="3565">
        <v>12989.72</v>
      </c>
      <c r="M562" s="3565">
        <v>0</v>
      </c>
      <c r="N562" s="3565">
        <v>0</v>
      </c>
      <c r="O562" s="3563" t="s">
        <v>3453</v>
      </c>
    </row>
    <row r="563" spans="1:15">
      <c r="A563" s="3563" t="s">
        <v>4768</v>
      </c>
      <c r="B563" s="3563" t="s">
        <v>4196</v>
      </c>
      <c r="C563" s="3563" t="s">
        <v>4197</v>
      </c>
      <c r="D563" s="3563" t="s">
        <v>4198</v>
      </c>
      <c r="E563" s="3563" t="s">
        <v>4747</v>
      </c>
      <c r="F563" s="3563" t="s">
        <v>4200</v>
      </c>
      <c r="G563" s="3564">
        <v>98.17</v>
      </c>
      <c r="H563" s="3564">
        <v>79.319999999999993</v>
      </c>
      <c r="I563" s="3564">
        <v>18.850000000000001</v>
      </c>
      <c r="J563" s="3565">
        <v>1045981</v>
      </c>
      <c r="K563" s="3565">
        <v>10654.79</v>
      </c>
      <c r="L563" s="3565">
        <v>13186.85</v>
      </c>
      <c r="M563" s="3565">
        <v>0</v>
      </c>
      <c r="N563" s="3565">
        <v>0</v>
      </c>
      <c r="O563" s="3563" t="s">
        <v>3453</v>
      </c>
    </row>
    <row r="564" spans="1:15">
      <c r="A564" s="3563" t="s">
        <v>4769</v>
      </c>
      <c r="B564" s="3563" t="s">
        <v>4196</v>
      </c>
      <c r="C564" s="3563" t="s">
        <v>4197</v>
      </c>
      <c r="D564" s="3563" t="s">
        <v>4198</v>
      </c>
      <c r="E564" s="3563" t="s">
        <v>4747</v>
      </c>
      <c r="F564" s="3563" t="s">
        <v>4200</v>
      </c>
      <c r="G564" s="3564">
        <v>98.17</v>
      </c>
      <c r="H564" s="3564">
        <v>79.319999999999993</v>
      </c>
      <c r="I564" s="3564">
        <v>18.850000000000001</v>
      </c>
      <c r="J564" s="3565">
        <v>1045981</v>
      </c>
      <c r="K564" s="3565">
        <v>10654.79</v>
      </c>
      <c r="L564" s="3565">
        <v>13186.85</v>
      </c>
      <c r="M564" s="3565">
        <v>0</v>
      </c>
      <c r="N564" s="3565">
        <v>0</v>
      </c>
      <c r="O564" s="3563" t="s">
        <v>3453</v>
      </c>
    </row>
    <row r="565" spans="1:15">
      <c r="A565" s="3563" t="s">
        <v>4770</v>
      </c>
      <c r="B565" s="3563" t="s">
        <v>4196</v>
      </c>
      <c r="C565" s="3563" t="s">
        <v>4197</v>
      </c>
      <c r="D565" s="3563" t="s">
        <v>4198</v>
      </c>
      <c r="E565" s="3563" t="s">
        <v>4747</v>
      </c>
      <c r="F565" s="3563" t="s">
        <v>4200</v>
      </c>
      <c r="G565" s="3564">
        <v>108</v>
      </c>
      <c r="H565" s="3564">
        <v>87.26</v>
      </c>
      <c r="I565" s="3564">
        <v>20.74</v>
      </c>
      <c r="J565" s="3565">
        <v>1133483</v>
      </c>
      <c r="K565" s="3565">
        <v>10495.21</v>
      </c>
      <c r="L565" s="3565">
        <v>12989.72</v>
      </c>
      <c r="M565" s="3565">
        <v>0</v>
      </c>
      <c r="N565" s="3565">
        <v>0</v>
      </c>
      <c r="O565" s="3563" t="s">
        <v>3453</v>
      </c>
    </row>
    <row r="566" spans="1:15">
      <c r="A566" s="3563" t="s">
        <v>4771</v>
      </c>
      <c r="B566" s="3563" t="s">
        <v>4196</v>
      </c>
      <c r="C566" s="3563" t="s">
        <v>4197</v>
      </c>
      <c r="D566" s="3563" t="s">
        <v>4198</v>
      </c>
      <c r="E566" s="3563" t="s">
        <v>4747</v>
      </c>
      <c r="F566" s="3563" t="s">
        <v>4200</v>
      </c>
      <c r="G566" s="3564">
        <v>108</v>
      </c>
      <c r="H566" s="3564">
        <v>87.26</v>
      </c>
      <c r="I566" s="3564">
        <v>20.74</v>
      </c>
      <c r="J566" s="3565">
        <v>1147271</v>
      </c>
      <c r="K566" s="3565">
        <v>10622.88</v>
      </c>
      <c r="L566" s="3565">
        <v>13147.73</v>
      </c>
      <c r="M566" s="3565">
        <v>0</v>
      </c>
      <c r="N566" s="3565">
        <v>0</v>
      </c>
      <c r="O566" s="3563" t="s">
        <v>3453</v>
      </c>
    </row>
    <row r="567" spans="1:15">
      <c r="A567" s="3563" t="s">
        <v>4772</v>
      </c>
      <c r="B567" s="3563" t="s">
        <v>4196</v>
      </c>
      <c r="C567" s="3563" t="s">
        <v>4197</v>
      </c>
      <c r="D567" s="3563" t="s">
        <v>4198</v>
      </c>
      <c r="E567" s="3563" t="s">
        <v>4747</v>
      </c>
      <c r="F567" s="3563" t="s">
        <v>4200</v>
      </c>
      <c r="G567" s="3564">
        <v>98.17</v>
      </c>
      <c r="H567" s="3564">
        <v>79.319999999999993</v>
      </c>
      <c r="I567" s="3564">
        <v>18.850000000000001</v>
      </c>
      <c r="J567" s="3565">
        <v>1058513</v>
      </c>
      <c r="K567" s="3565">
        <v>10782.45</v>
      </c>
      <c r="L567" s="3565">
        <v>13344.84</v>
      </c>
      <c r="M567" s="3565">
        <v>0</v>
      </c>
      <c r="N567" s="3565">
        <v>0</v>
      </c>
      <c r="O567" s="3563" t="s">
        <v>3453</v>
      </c>
    </row>
    <row r="568" spans="1:15">
      <c r="A568" s="3563" t="s">
        <v>4773</v>
      </c>
      <c r="B568" s="3563" t="s">
        <v>4196</v>
      </c>
      <c r="C568" s="3563" t="s">
        <v>4197</v>
      </c>
      <c r="D568" s="3563" t="s">
        <v>4198</v>
      </c>
      <c r="E568" s="3563" t="s">
        <v>4747</v>
      </c>
      <c r="F568" s="3563" t="s">
        <v>4200</v>
      </c>
      <c r="G568" s="3564">
        <v>98.17</v>
      </c>
      <c r="H568" s="3564">
        <v>79.319999999999993</v>
      </c>
      <c r="I568" s="3564">
        <v>18.850000000000001</v>
      </c>
      <c r="J568" s="3565">
        <v>1058513</v>
      </c>
      <c r="K568" s="3565">
        <v>10782.45</v>
      </c>
      <c r="L568" s="3565">
        <v>13344.84</v>
      </c>
      <c r="M568" s="3565">
        <v>0</v>
      </c>
      <c r="N568" s="3565">
        <v>0</v>
      </c>
      <c r="O568" s="3563" t="s">
        <v>3453</v>
      </c>
    </row>
    <row r="569" spans="1:15">
      <c r="A569" s="3563" t="s">
        <v>4774</v>
      </c>
      <c r="B569" s="3563" t="s">
        <v>4196</v>
      </c>
      <c r="C569" s="3563" t="s">
        <v>4197</v>
      </c>
      <c r="D569" s="3563" t="s">
        <v>4198</v>
      </c>
      <c r="E569" s="3563" t="s">
        <v>4747</v>
      </c>
      <c r="F569" s="3563" t="s">
        <v>4200</v>
      </c>
      <c r="G569" s="3564">
        <v>108</v>
      </c>
      <c r="H569" s="3564">
        <v>87.26</v>
      </c>
      <c r="I569" s="3564">
        <v>20.74</v>
      </c>
      <c r="J569" s="3565">
        <v>1147271</v>
      </c>
      <c r="K569" s="3565">
        <v>10622.88</v>
      </c>
      <c r="L569" s="3565">
        <v>13147.73</v>
      </c>
      <c r="M569" s="3565">
        <v>0</v>
      </c>
      <c r="N569" s="3565">
        <v>0</v>
      </c>
      <c r="O569" s="3563" t="s">
        <v>3453</v>
      </c>
    </row>
    <row r="570" spans="1:15">
      <c r="A570" s="3563" t="s">
        <v>4775</v>
      </c>
      <c r="B570" s="3563" t="s">
        <v>4196</v>
      </c>
      <c r="C570" s="3563" t="s">
        <v>4197</v>
      </c>
      <c r="D570" s="3563" t="s">
        <v>4198</v>
      </c>
      <c r="E570" s="3563" t="s">
        <v>4747</v>
      </c>
      <c r="F570" s="3563" t="s">
        <v>4200</v>
      </c>
      <c r="G570" s="3564">
        <v>108</v>
      </c>
      <c r="H570" s="3564">
        <v>87.26</v>
      </c>
      <c r="I570" s="3564">
        <v>20.74</v>
      </c>
      <c r="J570" s="3565">
        <v>1161058</v>
      </c>
      <c r="K570" s="3565">
        <v>10750.54</v>
      </c>
      <c r="L570" s="3565">
        <v>13305.73</v>
      </c>
      <c r="M570" s="3565">
        <v>0</v>
      </c>
      <c r="N570" s="3565">
        <v>0</v>
      </c>
      <c r="O570" s="3563" t="s">
        <v>3453</v>
      </c>
    </row>
    <row r="571" spans="1:15">
      <c r="A571" s="3563" t="s">
        <v>4776</v>
      </c>
      <c r="B571" s="3563" t="s">
        <v>4196</v>
      </c>
      <c r="C571" s="3563" t="s">
        <v>4197</v>
      </c>
      <c r="D571" s="3563" t="s">
        <v>4198</v>
      </c>
      <c r="E571" s="3563" t="s">
        <v>4747</v>
      </c>
      <c r="F571" s="3563" t="s">
        <v>4200</v>
      </c>
      <c r="G571" s="3564">
        <v>98.17</v>
      </c>
      <c r="H571" s="3564">
        <v>79.319999999999993</v>
      </c>
      <c r="I571" s="3564">
        <v>18.850000000000001</v>
      </c>
      <c r="J571" s="3565">
        <v>1071045</v>
      </c>
      <c r="K571" s="3565">
        <v>10910.1</v>
      </c>
      <c r="L571" s="3565">
        <v>13502.84</v>
      </c>
      <c r="M571" s="3565">
        <v>0</v>
      </c>
      <c r="N571" s="3565">
        <v>0</v>
      </c>
      <c r="O571" s="3563" t="s">
        <v>3453</v>
      </c>
    </row>
    <row r="572" spans="1:15">
      <c r="A572" s="3563" t="s">
        <v>4777</v>
      </c>
      <c r="B572" s="3563" t="s">
        <v>4196</v>
      </c>
      <c r="C572" s="3563" t="s">
        <v>4197</v>
      </c>
      <c r="D572" s="3563" t="s">
        <v>4198</v>
      </c>
      <c r="E572" s="3563" t="s">
        <v>4747</v>
      </c>
      <c r="F572" s="3563" t="s">
        <v>4200</v>
      </c>
      <c r="G572" s="3564">
        <v>98.17</v>
      </c>
      <c r="H572" s="3564">
        <v>79.319999999999993</v>
      </c>
      <c r="I572" s="3564">
        <v>18.850000000000001</v>
      </c>
      <c r="J572" s="3565">
        <v>1071045</v>
      </c>
      <c r="K572" s="3565">
        <v>10910.1</v>
      </c>
      <c r="L572" s="3565">
        <v>13502.84</v>
      </c>
      <c r="M572" s="3565">
        <v>0</v>
      </c>
      <c r="N572" s="3565">
        <v>0</v>
      </c>
      <c r="O572" s="3563" t="s">
        <v>3453</v>
      </c>
    </row>
    <row r="573" spans="1:15">
      <c r="A573" s="3563" t="s">
        <v>4778</v>
      </c>
      <c r="B573" s="3563" t="s">
        <v>4196</v>
      </c>
      <c r="C573" s="3563" t="s">
        <v>4197</v>
      </c>
      <c r="D573" s="3563" t="s">
        <v>4198</v>
      </c>
      <c r="E573" s="3563" t="s">
        <v>4747</v>
      </c>
      <c r="F573" s="3563" t="s">
        <v>4200</v>
      </c>
      <c r="G573" s="3564">
        <v>108</v>
      </c>
      <c r="H573" s="3564">
        <v>87.26</v>
      </c>
      <c r="I573" s="3564">
        <v>20.74</v>
      </c>
      <c r="J573" s="3565">
        <v>1161058</v>
      </c>
      <c r="K573" s="3565">
        <v>10750.54</v>
      </c>
      <c r="L573" s="3565">
        <v>13305.73</v>
      </c>
      <c r="M573" s="3565">
        <v>0</v>
      </c>
      <c r="N573" s="3565">
        <v>0</v>
      </c>
      <c r="O573" s="3563" t="s">
        <v>3453</v>
      </c>
    </row>
    <row r="574" spans="1:15">
      <c r="A574" s="3563" t="s">
        <v>4779</v>
      </c>
      <c r="B574" s="3563" t="s">
        <v>4196</v>
      </c>
      <c r="C574" s="3563" t="s">
        <v>4197</v>
      </c>
      <c r="D574" s="3563" t="s">
        <v>4198</v>
      </c>
      <c r="E574" s="3563" t="s">
        <v>4747</v>
      </c>
      <c r="F574" s="3563" t="s">
        <v>4200</v>
      </c>
      <c r="G574" s="3564">
        <v>108</v>
      </c>
      <c r="H574" s="3564">
        <v>87.26</v>
      </c>
      <c r="I574" s="3564">
        <v>20.74</v>
      </c>
      <c r="J574" s="3565">
        <v>1163356</v>
      </c>
      <c r="K574" s="3565">
        <v>10771.81</v>
      </c>
      <c r="L574" s="3565">
        <v>13332.07</v>
      </c>
      <c r="M574" s="3565">
        <v>0</v>
      </c>
      <c r="N574" s="3565">
        <v>0</v>
      </c>
      <c r="O574" s="3563" t="s">
        <v>3453</v>
      </c>
    </row>
    <row r="575" spans="1:15">
      <c r="A575" s="3563" t="s">
        <v>4780</v>
      </c>
      <c r="B575" s="3563" t="s">
        <v>4196</v>
      </c>
      <c r="C575" s="3563" t="s">
        <v>4197</v>
      </c>
      <c r="D575" s="3563" t="s">
        <v>4198</v>
      </c>
      <c r="E575" s="3563" t="s">
        <v>4747</v>
      </c>
      <c r="F575" s="3563" t="s">
        <v>4200</v>
      </c>
      <c r="G575" s="3564">
        <v>98.17</v>
      </c>
      <c r="H575" s="3564">
        <v>79.319999999999993</v>
      </c>
      <c r="I575" s="3564">
        <v>18.850000000000001</v>
      </c>
      <c r="J575" s="3565">
        <v>1073135</v>
      </c>
      <c r="K575" s="3565">
        <v>10931.39</v>
      </c>
      <c r="L575" s="3565">
        <v>13529.19</v>
      </c>
      <c r="M575" s="3565">
        <v>0</v>
      </c>
      <c r="N575" s="3565">
        <v>0</v>
      </c>
      <c r="O575" s="3563" t="s">
        <v>3453</v>
      </c>
    </row>
    <row r="576" spans="1:15">
      <c r="A576" s="3563" t="s">
        <v>4781</v>
      </c>
      <c r="B576" s="3563" t="s">
        <v>4196</v>
      </c>
      <c r="C576" s="3563" t="s">
        <v>4197</v>
      </c>
      <c r="D576" s="3563" t="s">
        <v>4198</v>
      </c>
      <c r="E576" s="3563" t="s">
        <v>4747</v>
      </c>
      <c r="F576" s="3563" t="s">
        <v>4200</v>
      </c>
      <c r="G576" s="3564">
        <v>98.17</v>
      </c>
      <c r="H576" s="3564">
        <v>79.319999999999993</v>
      </c>
      <c r="I576" s="3564">
        <v>18.850000000000001</v>
      </c>
      <c r="J576" s="3565">
        <v>1073135</v>
      </c>
      <c r="K576" s="3565">
        <v>10931.39</v>
      </c>
      <c r="L576" s="3565">
        <v>13529.19</v>
      </c>
      <c r="M576" s="3565">
        <v>0</v>
      </c>
      <c r="N576" s="3565">
        <v>0</v>
      </c>
      <c r="O576" s="3563" t="s">
        <v>3453</v>
      </c>
    </row>
    <row r="577" spans="1:15">
      <c r="A577" s="3563" t="s">
        <v>4782</v>
      </c>
      <c r="B577" s="3563" t="s">
        <v>4196</v>
      </c>
      <c r="C577" s="3563" t="s">
        <v>4197</v>
      </c>
      <c r="D577" s="3563" t="s">
        <v>4198</v>
      </c>
      <c r="E577" s="3563" t="s">
        <v>4747</v>
      </c>
      <c r="F577" s="3563" t="s">
        <v>4200</v>
      </c>
      <c r="G577" s="3564">
        <v>108</v>
      </c>
      <c r="H577" s="3564">
        <v>87.26</v>
      </c>
      <c r="I577" s="3564">
        <v>20.74</v>
      </c>
      <c r="J577" s="3565">
        <v>1163356</v>
      </c>
      <c r="K577" s="3565">
        <v>10771.81</v>
      </c>
      <c r="L577" s="3565">
        <v>13332.07</v>
      </c>
      <c r="M577" s="3565">
        <v>0</v>
      </c>
      <c r="N577" s="3565">
        <v>0</v>
      </c>
      <c r="O577" s="3563" t="s">
        <v>3453</v>
      </c>
    </row>
    <row r="578" spans="1:15">
      <c r="A578" s="3563" t="s">
        <v>4783</v>
      </c>
      <c r="B578" s="3563" t="s">
        <v>4196</v>
      </c>
      <c r="C578" s="3563" t="s">
        <v>4197</v>
      </c>
      <c r="D578" s="3563" t="s">
        <v>4198</v>
      </c>
      <c r="E578" s="3563" t="s">
        <v>4747</v>
      </c>
      <c r="F578" s="3563" t="s">
        <v>4200</v>
      </c>
      <c r="G578" s="3564">
        <v>108</v>
      </c>
      <c r="H578" s="3564">
        <v>87.26</v>
      </c>
      <c r="I578" s="3564">
        <v>20.74</v>
      </c>
      <c r="J578" s="3565">
        <v>1165654</v>
      </c>
      <c r="K578" s="3565">
        <v>10793.09</v>
      </c>
      <c r="L578" s="3565">
        <v>13358.4</v>
      </c>
      <c r="M578" s="3565">
        <v>0</v>
      </c>
      <c r="N578" s="3565">
        <v>0</v>
      </c>
      <c r="O578" s="3563" t="s">
        <v>3453</v>
      </c>
    </row>
    <row r="579" spans="1:15">
      <c r="A579" s="3563" t="s">
        <v>4784</v>
      </c>
      <c r="B579" s="3563" t="s">
        <v>4196</v>
      </c>
      <c r="C579" s="3563" t="s">
        <v>4197</v>
      </c>
      <c r="D579" s="3563" t="s">
        <v>4198</v>
      </c>
      <c r="E579" s="3563" t="s">
        <v>4747</v>
      </c>
      <c r="F579" s="3563" t="s">
        <v>4200</v>
      </c>
      <c r="G579" s="3564">
        <v>98.17</v>
      </c>
      <c r="H579" s="3564">
        <v>79.319999999999993</v>
      </c>
      <c r="I579" s="3564">
        <v>18.850000000000001</v>
      </c>
      <c r="J579" s="3565">
        <v>1075223</v>
      </c>
      <c r="K579" s="3565">
        <v>10952.66</v>
      </c>
      <c r="L579" s="3565">
        <v>13555.51</v>
      </c>
      <c r="M579" s="3565">
        <v>0</v>
      </c>
      <c r="N579" s="3565">
        <v>0</v>
      </c>
      <c r="O579" s="3563" t="s">
        <v>3453</v>
      </c>
    </row>
    <row r="580" spans="1:15">
      <c r="A580" s="3563" t="s">
        <v>4785</v>
      </c>
      <c r="B580" s="3563" t="s">
        <v>4196</v>
      </c>
      <c r="C580" s="3563" t="s">
        <v>4197</v>
      </c>
      <c r="D580" s="3563" t="s">
        <v>4198</v>
      </c>
      <c r="E580" s="3563" t="s">
        <v>4747</v>
      </c>
      <c r="F580" s="3563" t="s">
        <v>4200</v>
      </c>
      <c r="G580" s="3564">
        <v>98.17</v>
      </c>
      <c r="H580" s="3564">
        <v>79.319999999999993</v>
      </c>
      <c r="I580" s="3564">
        <v>18.850000000000001</v>
      </c>
      <c r="J580" s="3565">
        <v>1075223</v>
      </c>
      <c r="K580" s="3565">
        <v>10952.66</v>
      </c>
      <c r="L580" s="3565">
        <v>13555.51</v>
      </c>
      <c r="M580" s="3565">
        <v>0</v>
      </c>
      <c r="N580" s="3565">
        <v>0</v>
      </c>
      <c r="O580" s="3563" t="s">
        <v>3453</v>
      </c>
    </row>
    <row r="581" spans="1:15">
      <c r="A581" s="3563" t="s">
        <v>4786</v>
      </c>
      <c r="B581" s="3563" t="s">
        <v>4196</v>
      </c>
      <c r="C581" s="3563" t="s">
        <v>4197</v>
      </c>
      <c r="D581" s="3563" t="s">
        <v>4198</v>
      </c>
      <c r="E581" s="3563" t="s">
        <v>4747</v>
      </c>
      <c r="F581" s="3563" t="s">
        <v>4200</v>
      </c>
      <c r="G581" s="3564">
        <v>108</v>
      </c>
      <c r="H581" s="3564">
        <v>87.26</v>
      </c>
      <c r="I581" s="3564">
        <v>20.74</v>
      </c>
      <c r="J581" s="3565">
        <v>1165654</v>
      </c>
      <c r="K581" s="3565">
        <v>10793.09</v>
      </c>
      <c r="L581" s="3565">
        <v>13358.4</v>
      </c>
      <c r="M581" s="3565">
        <v>0</v>
      </c>
      <c r="N581" s="3565">
        <v>0</v>
      </c>
      <c r="O581" s="3563" t="s">
        <v>3453</v>
      </c>
    </row>
    <row r="582" spans="1:15">
      <c r="A582" s="3563" t="s">
        <v>4787</v>
      </c>
      <c r="B582" s="3563" t="s">
        <v>4196</v>
      </c>
      <c r="C582" s="3563" t="s">
        <v>4197</v>
      </c>
      <c r="D582" s="3563" t="s">
        <v>4198</v>
      </c>
      <c r="E582" s="3563" t="s">
        <v>4747</v>
      </c>
      <c r="F582" s="3563" t="s">
        <v>4200</v>
      </c>
      <c r="G582" s="3564">
        <v>108</v>
      </c>
      <c r="H582" s="3564">
        <v>87.26</v>
      </c>
      <c r="I582" s="3564">
        <v>20.74</v>
      </c>
      <c r="J582" s="3565">
        <v>1167952</v>
      </c>
      <c r="K582" s="3565">
        <v>10814.37</v>
      </c>
      <c r="L582" s="3565">
        <v>13384.74</v>
      </c>
      <c r="M582" s="3565">
        <v>0</v>
      </c>
      <c r="N582" s="3565">
        <v>0</v>
      </c>
      <c r="O582" s="3563" t="s">
        <v>3453</v>
      </c>
    </row>
    <row r="583" spans="1:15">
      <c r="A583" s="3563" t="s">
        <v>4788</v>
      </c>
      <c r="B583" s="3563" t="s">
        <v>4196</v>
      </c>
      <c r="C583" s="3563" t="s">
        <v>4197</v>
      </c>
      <c r="D583" s="3563" t="s">
        <v>4198</v>
      </c>
      <c r="E583" s="3563" t="s">
        <v>4747</v>
      </c>
      <c r="F583" s="3563" t="s">
        <v>4200</v>
      </c>
      <c r="G583" s="3564">
        <v>98.17</v>
      </c>
      <c r="H583" s="3564">
        <v>79.319999999999993</v>
      </c>
      <c r="I583" s="3564">
        <v>18.850000000000001</v>
      </c>
      <c r="J583" s="3565">
        <v>1077312</v>
      </c>
      <c r="K583" s="3565">
        <v>10973.94</v>
      </c>
      <c r="L583" s="3565">
        <v>13581.85</v>
      </c>
      <c r="M583" s="3565">
        <v>0</v>
      </c>
      <c r="N583" s="3565">
        <v>0</v>
      </c>
      <c r="O583" s="3563" t="s">
        <v>3453</v>
      </c>
    </row>
    <row r="584" spans="1:15">
      <c r="A584" s="3563" t="s">
        <v>4789</v>
      </c>
      <c r="B584" s="3563" t="s">
        <v>4196</v>
      </c>
      <c r="C584" s="3563" t="s">
        <v>4197</v>
      </c>
      <c r="D584" s="3563" t="s">
        <v>4198</v>
      </c>
      <c r="E584" s="3563" t="s">
        <v>4747</v>
      </c>
      <c r="F584" s="3563" t="s">
        <v>4200</v>
      </c>
      <c r="G584" s="3564">
        <v>98.17</v>
      </c>
      <c r="H584" s="3564">
        <v>79.319999999999993</v>
      </c>
      <c r="I584" s="3564">
        <v>18.850000000000001</v>
      </c>
      <c r="J584" s="3565">
        <v>1077312</v>
      </c>
      <c r="K584" s="3565">
        <v>10973.94</v>
      </c>
      <c r="L584" s="3565">
        <v>13581.85</v>
      </c>
      <c r="M584" s="3565">
        <v>0</v>
      </c>
      <c r="N584" s="3565">
        <v>0</v>
      </c>
      <c r="O584" s="3563" t="s">
        <v>3453</v>
      </c>
    </row>
    <row r="585" spans="1:15">
      <c r="A585" s="3563" t="s">
        <v>4790</v>
      </c>
      <c r="B585" s="3563" t="s">
        <v>4196</v>
      </c>
      <c r="C585" s="3563" t="s">
        <v>4197</v>
      </c>
      <c r="D585" s="3563" t="s">
        <v>4198</v>
      </c>
      <c r="E585" s="3563" t="s">
        <v>4747</v>
      </c>
      <c r="F585" s="3563" t="s">
        <v>4200</v>
      </c>
      <c r="G585" s="3564">
        <v>108</v>
      </c>
      <c r="H585" s="3564">
        <v>87.26</v>
      </c>
      <c r="I585" s="3564">
        <v>20.74</v>
      </c>
      <c r="J585" s="3565">
        <v>1167952</v>
      </c>
      <c r="K585" s="3565">
        <v>10814.37</v>
      </c>
      <c r="L585" s="3565">
        <v>13384.74</v>
      </c>
      <c r="M585" s="3565">
        <v>0</v>
      </c>
      <c r="N585" s="3565">
        <v>0</v>
      </c>
      <c r="O585" s="3563" t="s">
        <v>3453</v>
      </c>
    </row>
    <row r="586" spans="1:15">
      <c r="A586" s="3563" t="s">
        <v>4791</v>
      </c>
      <c r="B586" s="3563" t="s">
        <v>4196</v>
      </c>
      <c r="C586" s="3563" t="s">
        <v>4197</v>
      </c>
      <c r="D586" s="3563" t="s">
        <v>4198</v>
      </c>
      <c r="E586" s="3563" t="s">
        <v>4747</v>
      </c>
      <c r="F586" s="3563" t="s">
        <v>4200</v>
      </c>
      <c r="G586" s="3564">
        <v>108</v>
      </c>
      <c r="H586" s="3564">
        <v>87.26</v>
      </c>
      <c r="I586" s="3564">
        <v>20.74</v>
      </c>
      <c r="J586" s="3565">
        <v>1165654</v>
      </c>
      <c r="K586" s="3565">
        <v>10793.09</v>
      </c>
      <c r="L586" s="3565">
        <v>13358.4</v>
      </c>
      <c r="M586" s="3565">
        <v>0</v>
      </c>
      <c r="N586" s="3565">
        <v>0</v>
      </c>
      <c r="O586" s="3563" t="s">
        <v>3453</v>
      </c>
    </row>
    <row r="587" spans="1:15">
      <c r="A587" s="3563" t="s">
        <v>4792</v>
      </c>
      <c r="B587" s="3563" t="s">
        <v>4196</v>
      </c>
      <c r="C587" s="3563" t="s">
        <v>4197</v>
      </c>
      <c r="D587" s="3563" t="s">
        <v>4198</v>
      </c>
      <c r="E587" s="3563" t="s">
        <v>4747</v>
      </c>
      <c r="F587" s="3563" t="s">
        <v>4200</v>
      </c>
      <c r="G587" s="3564">
        <v>98.17</v>
      </c>
      <c r="H587" s="3564">
        <v>79.319999999999993</v>
      </c>
      <c r="I587" s="3564">
        <v>18.850000000000001</v>
      </c>
      <c r="J587" s="3565">
        <v>1075223</v>
      </c>
      <c r="K587" s="3565">
        <v>10952.66</v>
      </c>
      <c r="L587" s="3565">
        <v>13555.51</v>
      </c>
      <c r="M587" s="3565">
        <v>0</v>
      </c>
      <c r="N587" s="3565">
        <v>0</v>
      </c>
      <c r="O587" s="3563" t="s">
        <v>3453</v>
      </c>
    </row>
    <row r="588" spans="1:15">
      <c r="A588" s="3563" t="s">
        <v>4793</v>
      </c>
      <c r="B588" s="3563" t="s">
        <v>4196</v>
      </c>
      <c r="C588" s="3563" t="s">
        <v>4197</v>
      </c>
      <c r="D588" s="3563" t="s">
        <v>4198</v>
      </c>
      <c r="E588" s="3563" t="s">
        <v>4747</v>
      </c>
      <c r="F588" s="3563" t="s">
        <v>4200</v>
      </c>
      <c r="G588" s="3564">
        <v>98.17</v>
      </c>
      <c r="H588" s="3564">
        <v>79.319999999999993</v>
      </c>
      <c r="I588" s="3564">
        <v>18.850000000000001</v>
      </c>
      <c r="J588" s="3565">
        <v>1075223</v>
      </c>
      <c r="K588" s="3565">
        <v>10952.66</v>
      </c>
      <c r="L588" s="3565">
        <v>13555.51</v>
      </c>
      <c r="M588" s="3565">
        <v>0</v>
      </c>
      <c r="N588" s="3565">
        <v>0</v>
      </c>
      <c r="O588" s="3563" t="s">
        <v>3453</v>
      </c>
    </row>
    <row r="589" spans="1:15">
      <c r="A589" s="3563" t="s">
        <v>4794</v>
      </c>
      <c r="B589" s="3563" t="s">
        <v>4196</v>
      </c>
      <c r="C589" s="3563" t="s">
        <v>4197</v>
      </c>
      <c r="D589" s="3563" t="s">
        <v>4198</v>
      </c>
      <c r="E589" s="3563" t="s">
        <v>4747</v>
      </c>
      <c r="F589" s="3563" t="s">
        <v>4200</v>
      </c>
      <c r="G589" s="3564">
        <v>108</v>
      </c>
      <c r="H589" s="3564">
        <v>87.26</v>
      </c>
      <c r="I589" s="3564">
        <v>20.74</v>
      </c>
      <c r="J589" s="3565">
        <v>1165654</v>
      </c>
      <c r="K589" s="3565">
        <v>10793.09</v>
      </c>
      <c r="L589" s="3565">
        <v>13358.4</v>
      </c>
      <c r="M589" s="3565">
        <v>0</v>
      </c>
      <c r="N589" s="3565">
        <v>0</v>
      </c>
      <c r="O589" s="3563" t="s">
        <v>3453</v>
      </c>
    </row>
    <row r="590" spans="1:15">
      <c r="A590" s="3563" t="s">
        <v>4795</v>
      </c>
      <c r="B590" s="3563" t="s">
        <v>3453</v>
      </c>
      <c r="C590" s="3563" t="s">
        <v>4197</v>
      </c>
      <c r="D590" s="3563" t="s">
        <v>4796</v>
      </c>
      <c r="E590" s="3563" t="s">
        <v>4199</v>
      </c>
      <c r="F590" s="3563" t="s">
        <v>4797</v>
      </c>
      <c r="G590" s="3564">
        <v>100.83</v>
      </c>
      <c r="H590" s="3564">
        <v>81.739999999999995</v>
      </c>
      <c r="I590" s="3564">
        <v>19.09</v>
      </c>
      <c r="J590" s="3565">
        <v>1055187</v>
      </c>
      <c r="K590" s="3565">
        <v>10465.01</v>
      </c>
      <c r="L590" s="3565">
        <v>12909.07</v>
      </c>
      <c r="M590" s="3565">
        <v>0</v>
      </c>
      <c r="N590" s="3565">
        <v>0</v>
      </c>
      <c r="O590" s="3563" t="s">
        <v>3453</v>
      </c>
    </row>
    <row r="591" spans="1:15">
      <c r="A591" s="3563" t="s">
        <v>4798</v>
      </c>
      <c r="B591" s="3563" t="s">
        <v>3453</v>
      </c>
      <c r="C591" s="3563" t="s">
        <v>4197</v>
      </c>
      <c r="D591" s="3563" t="s">
        <v>4796</v>
      </c>
      <c r="E591" s="3563" t="s">
        <v>4199</v>
      </c>
      <c r="F591" s="3563" t="s">
        <v>4797</v>
      </c>
      <c r="G591" s="3564">
        <v>100.83</v>
      </c>
      <c r="H591" s="3564">
        <v>81.739999999999995</v>
      </c>
      <c r="I591" s="3564">
        <v>19.09</v>
      </c>
      <c r="J591" s="3565">
        <v>1055187</v>
      </c>
      <c r="K591" s="3565">
        <v>10465.01</v>
      </c>
      <c r="L591" s="3565">
        <v>12909.07</v>
      </c>
      <c r="M591" s="3565">
        <v>0</v>
      </c>
      <c r="N591" s="3565">
        <v>0</v>
      </c>
      <c r="O591" s="3563" t="s">
        <v>3453</v>
      </c>
    </row>
    <row r="592" spans="1:15">
      <c r="A592" s="3563" t="s">
        <v>4799</v>
      </c>
      <c r="B592" s="3563" t="s">
        <v>4196</v>
      </c>
      <c r="C592" s="3563" t="s">
        <v>4197</v>
      </c>
      <c r="D592" s="3563" t="s">
        <v>4796</v>
      </c>
      <c r="E592" s="3563" t="s">
        <v>4199</v>
      </c>
      <c r="F592" s="3563" t="s">
        <v>4797</v>
      </c>
      <c r="G592" s="3564">
        <v>101.16</v>
      </c>
      <c r="H592" s="3564">
        <v>82.01</v>
      </c>
      <c r="I592" s="3564">
        <v>19.149999999999999</v>
      </c>
      <c r="J592" s="3565">
        <v>1014383</v>
      </c>
      <c r="K592" s="3565">
        <v>10027.51</v>
      </c>
      <c r="L592" s="3565">
        <v>12369.02</v>
      </c>
      <c r="M592" s="3565">
        <v>0</v>
      </c>
      <c r="N592" s="3565">
        <v>0</v>
      </c>
      <c r="O592" s="3563" t="s">
        <v>3453</v>
      </c>
    </row>
    <row r="593" spans="1:15">
      <c r="A593" s="3563" t="s">
        <v>4800</v>
      </c>
      <c r="B593" s="3563" t="s">
        <v>4196</v>
      </c>
      <c r="C593" s="3563" t="s">
        <v>4197</v>
      </c>
      <c r="D593" s="3563" t="s">
        <v>4796</v>
      </c>
      <c r="E593" s="3563" t="s">
        <v>4199</v>
      </c>
      <c r="F593" s="3563" t="s">
        <v>4797</v>
      </c>
      <c r="G593" s="3564">
        <v>87.58</v>
      </c>
      <c r="H593" s="3564">
        <v>71</v>
      </c>
      <c r="I593" s="3564">
        <v>16.579999999999998</v>
      </c>
      <c r="J593" s="3565">
        <v>889157</v>
      </c>
      <c r="K593" s="3565">
        <v>10152.51</v>
      </c>
      <c r="L593" s="3565">
        <v>12523.34</v>
      </c>
      <c r="M593" s="3565">
        <v>0</v>
      </c>
      <c r="N593" s="3565">
        <v>0</v>
      </c>
      <c r="O593" s="3563" t="s">
        <v>3453</v>
      </c>
    </row>
    <row r="594" spans="1:15">
      <c r="A594" s="3563" t="s">
        <v>4801</v>
      </c>
      <c r="B594" s="3563" t="s">
        <v>3453</v>
      </c>
      <c r="C594" s="3563" t="s">
        <v>4197</v>
      </c>
      <c r="D594" s="3563" t="s">
        <v>4796</v>
      </c>
      <c r="E594" s="3563" t="s">
        <v>4199</v>
      </c>
      <c r="F594" s="3563" t="s">
        <v>4797</v>
      </c>
      <c r="G594" s="3564">
        <v>87.58</v>
      </c>
      <c r="H594" s="3564">
        <v>71</v>
      </c>
      <c r="I594" s="3564">
        <v>16.579999999999998</v>
      </c>
      <c r="J594" s="3565">
        <v>889157</v>
      </c>
      <c r="K594" s="3565">
        <v>10152.51</v>
      </c>
      <c r="L594" s="3565">
        <v>12523.34</v>
      </c>
      <c r="M594" s="3565">
        <v>0</v>
      </c>
      <c r="N594" s="3565">
        <v>0</v>
      </c>
      <c r="O594" s="3563" t="s">
        <v>3453</v>
      </c>
    </row>
    <row r="595" spans="1:15">
      <c r="A595" s="3563" t="s">
        <v>4802</v>
      </c>
      <c r="B595" s="3563" t="s">
        <v>3453</v>
      </c>
      <c r="C595" s="3563" t="s">
        <v>4197</v>
      </c>
      <c r="D595" s="3563" t="s">
        <v>4796</v>
      </c>
      <c r="E595" s="3563" t="s">
        <v>4199</v>
      </c>
      <c r="F595" s="3563" t="s">
        <v>4797</v>
      </c>
      <c r="G595" s="3564">
        <v>109.1</v>
      </c>
      <c r="H595" s="3564">
        <v>88.44</v>
      </c>
      <c r="I595" s="3564">
        <v>20.66</v>
      </c>
      <c r="J595" s="3565">
        <v>1141732</v>
      </c>
      <c r="K595" s="3565">
        <v>10465</v>
      </c>
      <c r="L595" s="3565">
        <v>12909.68</v>
      </c>
      <c r="M595" s="3565">
        <v>0</v>
      </c>
      <c r="N595" s="3565">
        <v>0</v>
      </c>
      <c r="O595" s="3563" t="s">
        <v>3453</v>
      </c>
    </row>
    <row r="596" spans="1:15">
      <c r="A596" s="3563" t="s">
        <v>4803</v>
      </c>
      <c r="B596" s="3563" t="s">
        <v>4196</v>
      </c>
      <c r="C596" s="3563" t="s">
        <v>4197</v>
      </c>
      <c r="D596" s="3563" t="s">
        <v>4796</v>
      </c>
      <c r="E596" s="3563" t="s">
        <v>4199</v>
      </c>
      <c r="F596" s="3563" t="s">
        <v>4797</v>
      </c>
      <c r="G596" s="3564">
        <v>100.83</v>
      </c>
      <c r="H596" s="3564">
        <v>81.739999999999995</v>
      </c>
      <c r="I596" s="3564">
        <v>19.09</v>
      </c>
      <c r="J596" s="3565">
        <v>1056447</v>
      </c>
      <c r="K596" s="3565">
        <v>10477.51</v>
      </c>
      <c r="L596" s="3565">
        <v>12924.48</v>
      </c>
      <c r="M596" s="3565">
        <v>0</v>
      </c>
      <c r="N596" s="3565">
        <v>0</v>
      </c>
      <c r="O596" s="3563" t="s">
        <v>3453</v>
      </c>
    </row>
    <row r="597" spans="1:15">
      <c r="A597" s="3563" t="s">
        <v>4804</v>
      </c>
      <c r="B597" s="3563" t="s">
        <v>4196</v>
      </c>
      <c r="C597" s="3563" t="s">
        <v>4197</v>
      </c>
      <c r="D597" s="3563" t="s">
        <v>4796</v>
      </c>
      <c r="E597" s="3563" t="s">
        <v>4199</v>
      </c>
      <c r="F597" s="3563" t="s">
        <v>4797</v>
      </c>
      <c r="G597" s="3564">
        <v>100.83</v>
      </c>
      <c r="H597" s="3564">
        <v>81.739999999999995</v>
      </c>
      <c r="I597" s="3564">
        <v>19.09</v>
      </c>
      <c r="J597" s="3565">
        <v>1056447</v>
      </c>
      <c r="K597" s="3565">
        <v>10477.51</v>
      </c>
      <c r="L597" s="3565">
        <v>12924.48</v>
      </c>
      <c r="M597" s="3565">
        <v>0</v>
      </c>
      <c r="N597" s="3565">
        <v>0</v>
      </c>
      <c r="O597" s="3563" t="s">
        <v>3453</v>
      </c>
    </row>
    <row r="598" spans="1:15">
      <c r="A598" s="3563" t="s">
        <v>4805</v>
      </c>
      <c r="B598" s="3563" t="s">
        <v>4196</v>
      </c>
      <c r="C598" s="3563" t="s">
        <v>4197</v>
      </c>
      <c r="D598" s="3563" t="s">
        <v>4796</v>
      </c>
      <c r="E598" s="3563" t="s">
        <v>4199</v>
      </c>
      <c r="F598" s="3563" t="s">
        <v>4797</v>
      </c>
      <c r="G598" s="3564">
        <v>101.16</v>
      </c>
      <c r="H598" s="3564">
        <v>82.01</v>
      </c>
      <c r="I598" s="3564">
        <v>19.149999999999999</v>
      </c>
      <c r="J598" s="3565">
        <v>1015647</v>
      </c>
      <c r="K598" s="3565">
        <v>10040.01</v>
      </c>
      <c r="L598" s="3565">
        <v>12384.43</v>
      </c>
      <c r="M598" s="3565">
        <v>0</v>
      </c>
      <c r="N598" s="3565">
        <v>0</v>
      </c>
      <c r="O598" s="3563" t="s">
        <v>3453</v>
      </c>
    </row>
    <row r="599" spans="1:15">
      <c r="A599" s="3563" t="s">
        <v>4806</v>
      </c>
      <c r="B599" s="3563" t="s">
        <v>4196</v>
      </c>
      <c r="C599" s="3563" t="s">
        <v>4197</v>
      </c>
      <c r="D599" s="3563" t="s">
        <v>4796</v>
      </c>
      <c r="E599" s="3563" t="s">
        <v>4199</v>
      </c>
      <c r="F599" s="3563" t="s">
        <v>4797</v>
      </c>
      <c r="G599" s="3564">
        <v>87.58</v>
      </c>
      <c r="H599" s="3564">
        <v>71</v>
      </c>
      <c r="I599" s="3564">
        <v>16.579999999999998</v>
      </c>
      <c r="J599" s="3565">
        <v>890252</v>
      </c>
      <c r="K599" s="3565">
        <v>10165.01</v>
      </c>
      <c r="L599" s="3565">
        <v>12538.76</v>
      </c>
      <c r="M599" s="3565">
        <v>0</v>
      </c>
      <c r="N599" s="3565">
        <v>0</v>
      </c>
      <c r="O599" s="3563" t="s">
        <v>3453</v>
      </c>
    </row>
    <row r="600" spans="1:15">
      <c r="A600" s="3563" t="s">
        <v>4807</v>
      </c>
      <c r="B600" s="3563" t="s">
        <v>4196</v>
      </c>
      <c r="C600" s="3563" t="s">
        <v>4197</v>
      </c>
      <c r="D600" s="3563" t="s">
        <v>4796</v>
      </c>
      <c r="E600" s="3563" t="s">
        <v>4199</v>
      </c>
      <c r="F600" s="3563" t="s">
        <v>4797</v>
      </c>
      <c r="G600" s="3564">
        <v>87.58</v>
      </c>
      <c r="H600" s="3564">
        <v>71</v>
      </c>
      <c r="I600" s="3564">
        <v>16.579999999999998</v>
      </c>
      <c r="J600" s="3565">
        <v>890252</v>
      </c>
      <c r="K600" s="3565">
        <v>10165.01</v>
      </c>
      <c r="L600" s="3565">
        <v>12538.76</v>
      </c>
      <c r="M600" s="3565">
        <v>0</v>
      </c>
      <c r="N600" s="3565">
        <v>0</v>
      </c>
      <c r="O600" s="3563" t="s">
        <v>3453</v>
      </c>
    </row>
    <row r="601" spans="1:15">
      <c r="A601" s="3563" t="s">
        <v>4808</v>
      </c>
      <c r="B601" s="3563" t="s">
        <v>4196</v>
      </c>
      <c r="C601" s="3563" t="s">
        <v>4197</v>
      </c>
      <c r="D601" s="3563" t="s">
        <v>4796</v>
      </c>
      <c r="E601" s="3563" t="s">
        <v>4199</v>
      </c>
      <c r="F601" s="3563" t="s">
        <v>4797</v>
      </c>
      <c r="G601" s="3564">
        <v>109.1</v>
      </c>
      <c r="H601" s="3564">
        <v>88.44</v>
      </c>
      <c r="I601" s="3564">
        <v>20.66</v>
      </c>
      <c r="J601" s="3565">
        <v>1143095</v>
      </c>
      <c r="K601" s="3565">
        <v>10477.5</v>
      </c>
      <c r="L601" s="3565">
        <v>12925.09</v>
      </c>
      <c r="M601" s="3565">
        <v>0</v>
      </c>
      <c r="N601" s="3565">
        <v>0</v>
      </c>
      <c r="O601" s="3563" t="s">
        <v>3453</v>
      </c>
    </row>
    <row r="602" spans="1:15">
      <c r="A602" s="3563" t="s">
        <v>4809</v>
      </c>
      <c r="B602" s="3563" t="s">
        <v>3453</v>
      </c>
      <c r="C602" s="3563" t="s">
        <v>4197</v>
      </c>
      <c r="D602" s="3563" t="s">
        <v>4796</v>
      </c>
      <c r="E602" s="3563" t="s">
        <v>4199</v>
      </c>
      <c r="F602" s="3563" t="s">
        <v>4797</v>
      </c>
      <c r="G602" s="3564">
        <v>100.83</v>
      </c>
      <c r="H602" s="3564">
        <v>81.739999999999995</v>
      </c>
      <c r="I602" s="3564">
        <v>19.09</v>
      </c>
      <c r="J602" s="3565">
        <v>1057707</v>
      </c>
      <c r="K602" s="3565">
        <v>10490</v>
      </c>
      <c r="L602" s="3565">
        <v>12939.89</v>
      </c>
      <c r="M602" s="3565">
        <v>0</v>
      </c>
      <c r="N602" s="3565">
        <v>0</v>
      </c>
      <c r="O602" s="3563" t="s">
        <v>3453</v>
      </c>
    </row>
    <row r="603" spans="1:15">
      <c r="A603" s="3563" t="s">
        <v>4810</v>
      </c>
      <c r="B603" s="3563" t="s">
        <v>4811</v>
      </c>
      <c r="C603" s="3563" t="s">
        <v>4197</v>
      </c>
      <c r="D603" s="3563" t="s">
        <v>4796</v>
      </c>
      <c r="E603" s="3563" t="s">
        <v>4199</v>
      </c>
      <c r="F603" s="3563" t="s">
        <v>4797</v>
      </c>
      <c r="G603" s="3564">
        <v>100.83</v>
      </c>
      <c r="H603" s="3564">
        <v>81.739999999999995</v>
      </c>
      <c r="I603" s="3564">
        <v>19.09</v>
      </c>
      <c r="J603" s="3565">
        <v>1057707</v>
      </c>
      <c r="K603" s="3565">
        <v>10490</v>
      </c>
      <c r="L603" s="3565">
        <v>12939.89</v>
      </c>
      <c r="M603" s="3565">
        <v>1004822</v>
      </c>
      <c r="N603" s="3565">
        <v>9965.51</v>
      </c>
      <c r="O603" s="3566">
        <v>44192</v>
      </c>
    </row>
    <row r="604" spans="1:15">
      <c r="A604" s="3563" t="s">
        <v>4812</v>
      </c>
      <c r="B604" s="3563" t="s">
        <v>4196</v>
      </c>
      <c r="C604" s="3563" t="s">
        <v>4197</v>
      </c>
      <c r="D604" s="3563" t="s">
        <v>4796</v>
      </c>
      <c r="E604" s="3563" t="s">
        <v>4199</v>
      </c>
      <c r="F604" s="3563" t="s">
        <v>4797</v>
      </c>
      <c r="G604" s="3564">
        <v>101.16</v>
      </c>
      <c r="H604" s="3564">
        <v>82.01</v>
      </c>
      <c r="I604" s="3564">
        <v>19.149999999999999</v>
      </c>
      <c r="J604" s="3565">
        <v>1016912</v>
      </c>
      <c r="K604" s="3565">
        <v>10052.51</v>
      </c>
      <c r="L604" s="3565">
        <v>12399.85</v>
      </c>
      <c r="M604" s="3565">
        <v>0</v>
      </c>
      <c r="N604" s="3565">
        <v>0</v>
      </c>
      <c r="O604" s="3563" t="s">
        <v>3453</v>
      </c>
    </row>
    <row r="605" spans="1:15">
      <c r="A605" s="3563" t="s">
        <v>4813</v>
      </c>
      <c r="B605" s="3563" t="s">
        <v>4196</v>
      </c>
      <c r="C605" s="3563" t="s">
        <v>4197</v>
      </c>
      <c r="D605" s="3563" t="s">
        <v>4796</v>
      </c>
      <c r="E605" s="3563" t="s">
        <v>4199</v>
      </c>
      <c r="F605" s="3563" t="s">
        <v>4797</v>
      </c>
      <c r="G605" s="3564">
        <v>87.58</v>
      </c>
      <c r="H605" s="3564">
        <v>71</v>
      </c>
      <c r="I605" s="3564">
        <v>16.579999999999998</v>
      </c>
      <c r="J605" s="3565">
        <v>891345</v>
      </c>
      <c r="K605" s="3565">
        <v>10177.49</v>
      </c>
      <c r="L605" s="3565">
        <v>12554.15</v>
      </c>
      <c r="M605" s="3565">
        <v>0</v>
      </c>
      <c r="N605" s="3565">
        <v>0</v>
      </c>
      <c r="O605" s="3563" t="s">
        <v>3453</v>
      </c>
    </row>
    <row r="606" spans="1:15">
      <c r="A606" s="3563" t="s">
        <v>4814</v>
      </c>
      <c r="B606" s="3563" t="s">
        <v>4196</v>
      </c>
      <c r="C606" s="3563" t="s">
        <v>4197</v>
      </c>
      <c r="D606" s="3563" t="s">
        <v>4796</v>
      </c>
      <c r="E606" s="3563" t="s">
        <v>4199</v>
      </c>
      <c r="F606" s="3563" t="s">
        <v>4797</v>
      </c>
      <c r="G606" s="3564">
        <v>87.58</v>
      </c>
      <c r="H606" s="3564">
        <v>71</v>
      </c>
      <c r="I606" s="3564">
        <v>16.579999999999998</v>
      </c>
      <c r="J606" s="3565">
        <v>891345</v>
      </c>
      <c r="K606" s="3565">
        <v>10177.49</v>
      </c>
      <c r="L606" s="3565">
        <v>12554.15</v>
      </c>
      <c r="M606" s="3565">
        <v>0</v>
      </c>
      <c r="N606" s="3565">
        <v>0</v>
      </c>
      <c r="O606" s="3563" t="s">
        <v>3453</v>
      </c>
    </row>
    <row r="607" spans="1:15">
      <c r="A607" s="3563" t="s">
        <v>4815</v>
      </c>
      <c r="B607" s="3563" t="s">
        <v>4196</v>
      </c>
      <c r="C607" s="3563" t="s">
        <v>4197</v>
      </c>
      <c r="D607" s="3563" t="s">
        <v>4796</v>
      </c>
      <c r="E607" s="3563" t="s">
        <v>4199</v>
      </c>
      <c r="F607" s="3563" t="s">
        <v>4797</v>
      </c>
      <c r="G607" s="3564">
        <v>109.1</v>
      </c>
      <c r="H607" s="3564">
        <v>88.44</v>
      </c>
      <c r="I607" s="3564">
        <v>20.66</v>
      </c>
      <c r="J607" s="3565">
        <v>1144459</v>
      </c>
      <c r="K607" s="3565">
        <v>10490</v>
      </c>
      <c r="L607" s="3565">
        <v>12940.51</v>
      </c>
      <c r="M607" s="3565">
        <v>0</v>
      </c>
      <c r="N607" s="3565">
        <v>0</v>
      </c>
      <c r="O607" s="3563" t="s">
        <v>3453</v>
      </c>
    </row>
    <row r="608" spans="1:15">
      <c r="A608" s="3563" t="s">
        <v>4816</v>
      </c>
      <c r="B608" s="3563" t="s">
        <v>4196</v>
      </c>
      <c r="C608" s="3563" t="s">
        <v>4197</v>
      </c>
      <c r="D608" s="3563" t="s">
        <v>4796</v>
      </c>
      <c r="E608" s="3563" t="s">
        <v>4199</v>
      </c>
      <c r="F608" s="3563" t="s">
        <v>4797</v>
      </c>
      <c r="G608" s="3564">
        <v>100.83</v>
      </c>
      <c r="H608" s="3564">
        <v>81.739999999999995</v>
      </c>
      <c r="I608" s="3564">
        <v>19.09</v>
      </c>
      <c r="J608" s="3565">
        <v>1058968</v>
      </c>
      <c r="K608" s="3565">
        <v>10502.51</v>
      </c>
      <c r="L608" s="3565">
        <v>12955.32</v>
      </c>
      <c r="M608" s="3565">
        <v>0</v>
      </c>
      <c r="N608" s="3565">
        <v>0</v>
      </c>
      <c r="O608" s="3563" t="s">
        <v>3453</v>
      </c>
    </row>
    <row r="609" spans="1:15">
      <c r="A609" s="3563" t="s">
        <v>4817</v>
      </c>
      <c r="B609" s="3563" t="s">
        <v>4196</v>
      </c>
      <c r="C609" s="3563" t="s">
        <v>4197</v>
      </c>
      <c r="D609" s="3563" t="s">
        <v>4796</v>
      </c>
      <c r="E609" s="3563" t="s">
        <v>4199</v>
      </c>
      <c r="F609" s="3563" t="s">
        <v>4797</v>
      </c>
      <c r="G609" s="3564">
        <v>100.83</v>
      </c>
      <c r="H609" s="3564">
        <v>81.739999999999995</v>
      </c>
      <c r="I609" s="3564">
        <v>19.09</v>
      </c>
      <c r="J609" s="3565">
        <v>1058968</v>
      </c>
      <c r="K609" s="3565">
        <v>10502.51</v>
      </c>
      <c r="L609" s="3565">
        <v>12955.32</v>
      </c>
      <c r="M609" s="3565">
        <v>0</v>
      </c>
      <c r="N609" s="3565">
        <v>0</v>
      </c>
      <c r="O609" s="3563" t="s">
        <v>3453</v>
      </c>
    </row>
    <row r="610" spans="1:15">
      <c r="A610" s="3563" t="s">
        <v>4818</v>
      </c>
      <c r="B610" s="3563" t="s">
        <v>4196</v>
      </c>
      <c r="C610" s="3563" t="s">
        <v>4197</v>
      </c>
      <c r="D610" s="3563" t="s">
        <v>4796</v>
      </c>
      <c r="E610" s="3563" t="s">
        <v>4199</v>
      </c>
      <c r="F610" s="3563" t="s">
        <v>4797</v>
      </c>
      <c r="G610" s="3564">
        <v>101.16</v>
      </c>
      <c r="H610" s="3564">
        <v>82.01</v>
      </c>
      <c r="I610" s="3564">
        <v>19.149999999999999</v>
      </c>
      <c r="J610" s="3565">
        <v>1018175</v>
      </c>
      <c r="K610" s="3565">
        <v>10065</v>
      </c>
      <c r="L610" s="3565">
        <v>12415.25</v>
      </c>
      <c r="M610" s="3565">
        <v>0</v>
      </c>
      <c r="N610" s="3565">
        <v>0</v>
      </c>
      <c r="O610" s="3563" t="s">
        <v>3453</v>
      </c>
    </row>
    <row r="611" spans="1:15">
      <c r="A611" s="3563" t="s">
        <v>4819</v>
      </c>
      <c r="B611" s="3563" t="s">
        <v>4196</v>
      </c>
      <c r="C611" s="3563" t="s">
        <v>4197</v>
      </c>
      <c r="D611" s="3563" t="s">
        <v>4796</v>
      </c>
      <c r="E611" s="3563" t="s">
        <v>4199</v>
      </c>
      <c r="F611" s="3563" t="s">
        <v>4797</v>
      </c>
      <c r="G611" s="3564">
        <v>87.58</v>
      </c>
      <c r="H611" s="3564">
        <v>71</v>
      </c>
      <c r="I611" s="3564">
        <v>16.579999999999998</v>
      </c>
      <c r="J611" s="3565">
        <v>892440</v>
      </c>
      <c r="K611" s="3565">
        <v>10190</v>
      </c>
      <c r="L611" s="3565">
        <v>12569.58</v>
      </c>
      <c r="M611" s="3565">
        <v>0</v>
      </c>
      <c r="N611" s="3565">
        <v>0</v>
      </c>
      <c r="O611" s="3563" t="s">
        <v>3453</v>
      </c>
    </row>
    <row r="612" spans="1:15">
      <c r="A612" s="3563" t="s">
        <v>4820</v>
      </c>
      <c r="B612" s="3563" t="s">
        <v>4196</v>
      </c>
      <c r="C612" s="3563" t="s">
        <v>4197</v>
      </c>
      <c r="D612" s="3563" t="s">
        <v>4796</v>
      </c>
      <c r="E612" s="3563" t="s">
        <v>4199</v>
      </c>
      <c r="F612" s="3563" t="s">
        <v>4797</v>
      </c>
      <c r="G612" s="3564">
        <v>87.58</v>
      </c>
      <c r="H612" s="3564">
        <v>71</v>
      </c>
      <c r="I612" s="3564">
        <v>16.579999999999998</v>
      </c>
      <c r="J612" s="3565">
        <v>892440</v>
      </c>
      <c r="K612" s="3565">
        <v>10190</v>
      </c>
      <c r="L612" s="3565">
        <v>12569.58</v>
      </c>
      <c r="M612" s="3565">
        <v>0</v>
      </c>
      <c r="N612" s="3565">
        <v>0</v>
      </c>
      <c r="O612" s="3563" t="s">
        <v>3453</v>
      </c>
    </row>
    <row r="613" spans="1:15">
      <c r="A613" s="3563" t="s">
        <v>4821</v>
      </c>
      <c r="B613" s="3563" t="s">
        <v>4196</v>
      </c>
      <c r="C613" s="3563" t="s">
        <v>4197</v>
      </c>
      <c r="D613" s="3563" t="s">
        <v>4796</v>
      </c>
      <c r="E613" s="3563" t="s">
        <v>4199</v>
      </c>
      <c r="F613" s="3563" t="s">
        <v>4797</v>
      </c>
      <c r="G613" s="3564">
        <v>109.1</v>
      </c>
      <c r="H613" s="3564">
        <v>88.44</v>
      </c>
      <c r="I613" s="3564">
        <v>20.66</v>
      </c>
      <c r="J613" s="3565">
        <v>1145823</v>
      </c>
      <c r="K613" s="3565">
        <v>10502.5</v>
      </c>
      <c r="L613" s="3565">
        <v>12955.94</v>
      </c>
      <c r="M613" s="3565">
        <v>0</v>
      </c>
      <c r="N613" s="3565">
        <v>0</v>
      </c>
      <c r="O613" s="3563" t="s">
        <v>3453</v>
      </c>
    </row>
    <row r="614" spans="1:15">
      <c r="A614" s="3563" t="s">
        <v>4822</v>
      </c>
      <c r="B614" s="3563" t="s">
        <v>4196</v>
      </c>
      <c r="C614" s="3563" t="s">
        <v>4197</v>
      </c>
      <c r="D614" s="3563" t="s">
        <v>4796</v>
      </c>
      <c r="E614" s="3563" t="s">
        <v>4199</v>
      </c>
      <c r="F614" s="3563" t="s">
        <v>4797</v>
      </c>
      <c r="G614" s="3564">
        <v>100.83</v>
      </c>
      <c r="H614" s="3564">
        <v>81.739999999999995</v>
      </c>
      <c r="I614" s="3564">
        <v>19.09</v>
      </c>
      <c r="J614" s="3565">
        <v>1047624</v>
      </c>
      <c r="K614" s="3565">
        <v>10390</v>
      </c>
      <c r="L614" s="3565">
        <v>12816.54</v>
      </c>
      <c r="M614" s="3565">
        <v>0</v>
      </c>
      <c r="N614" s="3565">
        <v>0</v>
      </c>
      <c r="O614" s="3563" t="s">
        <v>3453</v>
      </c>
    </row>
    <row r="615" spans="1:15">
      <c r="A615" s="3563" t="s">
        <v>4823</v>
      </c>
      <c r="B615" s="3563" t="s">
        <v>4811</v>
      </c>
      <c r="C615" s="3563" t="s">
        <v>4197</v>
      </c>
      <c r="D615" s="3563" t="s">
        <v>4796</v>
      </c>
      <c r="E615" s="3563" t="s">
        <v>4199</v>
      </c>
      <c r="F615" s="3563" t="s">
        <v>4797</v>
      </c>
      <c r="G615" s="3564">
        <v>100.83</v>
      </c>
      <c r="H615" s="3564">
        <v>81.739999999999995</v>
      </c>
      <c r="I615" s="3564">
        <v>19.09</v>
      </c>
      <c r="J615" s="3565">
        <v>1047624</v>
      </c>
      <c r="K615" s="3565">
        <v>10390</v>
      </c>
      <c r="L615" s="3565">
        <v>12816.54</v>
      </c>
      <c r="M615" s="3565">
        <v>995243</v>
      </c>
      <c r="N615" s="3565">
        <v>9870.5</v>
      </c>
      <c r="O615" s="3566">
        <v>44192</v>
      </c>
    </row>
    <row r="616" spans="1:15">
      <c r="A616" s="3563" t="s">
        <v>4824</v>
      </c>
      <c r="B616" s="3563" t="s">
        <v>4196</v>
      </c>
      <c r="C616" s="3563" t="s">
        <v>4197</v>
      </c>
      <c r="D616" s="3563" t="s">
        <v>4796</v>
      </c>
      <c r="E616" s="3563" t="s">
        <v>4199</v>
      </c>
      <c r="F616" s="3563" t="s">
        <v>4797</v>
      </c>
      <c r="G616" s="3564">
        <v>101.16</v>
      </c>
      <c r="H616" s="3564">
        <v>82.01</v>
      </c>
      <c r="I616" s="3564">
        <v>19.149999999999999</v>
      </c>
      <c r="J616" s="3565">
        <v>1011545</v>
      </c>
      <c r="K616" s="3565">
        <v>9999.4599999999991</v>
      </c>
      <c r="L616" s="3565">
        <v>12334.41</v>
      </c>
      <c r="M616" s="3565">
        <v>0</v>
      </c>
      <c r="N616" s="3565">
        <v>0</v>
      </c>
      <c r="O616" s="3563" t="s">
        <v>3453</v>
      </c>
    </row>
    <row r="617" spans="1:15">
      <c r="A617" s="3563" t="s">
        <v>4825</v>
      </c>
      <c r="B617" s="3563" t="s">
        <v>4196</v>
      </c>
      <c r="C617" s="3563" t="s">
        <v>4197</v>
      </c>
      <c r="D617" s="3563" t="s">
        <v>4796</v>
      </c>
      <c r="E617" s="3563" t="s">
        <v>4199</v>
      </c>
      <c r="F617" s="3563" t="s">
        <v>4797</v>
      </c>
      <c r="G617" s="3564">
        <v>87.58</v>
      </c>
      <c r="H617" s="3564">
        <v>71</v>
      </c>
      <c r="I617" s="3564">
        <v>16.579999999999998</v>
      </c>
      <c r="J617" s="3565">
        <v>882588</v>
      </c>
      <c r="K617" s="3565">
        <v>10077.51</v>
      </c>
      <c r="L617" s="3565">
        <v>12430.82</v>
      </c>
      <c r="M617" s="3565">
        <v>0</v>
      </c>
      <c r="N617" s="3565">
        <v>0</v>
      </c>
      <c r="O617" s="3563" t="s">
        <v>3453</v>
      </c>
    </row>
    <row r="618" spans="1:15">
      <c r="A618" s="3563" t="s">
        <v>4826</v>
      </c>
      <c r="B618" s="3563" t="s">
        <v>4196</v>
      </c>
      <c r="C618" s="3563" t="s">
        <v>4197</v>
      </c>
      <c r="D618" s="3563" t="s">
        <v>4796</v>
      </c>
      <c r="E618" s="3563" t="s">
        <v>4199</v>
      </c>
      <c r="F618" s="3563" t="s">
        <v>4797</v>
      </c>
      <c r="G618" s="3564">
        <v>87.58</v>
      </c>
      <c r="H618" s="3564">
        <v>71</v>
      </c>
      <c r="I618" s="3564">
        <v>16.579999999999998</v>
      </c>
      <c r="J618" s="3565">
        <v>882588</v>
      </c>
      <c r="K618" s="3565">
        <v>10077.51</v>
      </c>
      <c r="L618" s="3565">
        <v>12430.82</v>
      </c>
      <c r="M618" s="3565">
        <v>0</v>
      </c>
      <c r="N618" s="3565">
        <v>0</v>
      </c>
      <c r="O618" s="3563" t="s">
        <v>3453</v>
      </c>
    </row>
    <row r="619" spans="1:15">
      <c r="A619" s="3563" t="s">
        <v>4827</v>
      </c>
      <c r="B619" s="3563" t="s">
        <v>4196</v>
      </c>
      <c r="C619" s="3563" t="s">
        <v>4197</v>
      </c>
      <c r="D619" s="3563" t="s">
        <v>4796</v>
      </c>
      <c r="E619" s="3563" t="s">
        <v>4199</v>
      </c>
      <c r="F619" s="3563" t="s">
        <v>4797</v>
      </c>
      <c r="G619" s="3564">
        <v>109.1</v>
      </c>
      <c r="H619" s="3564">
        <v>88.44</v>
      </c>
      <c r="I619" s="3564">
        <v>20.66</v>
      </c>
      <c r="J619" s="3565">
        <v>1133549</v>
      </c>
      <c r="K619" s="3565">
        <v>10390</v>
      </c>
      <c r="L619" s="3565">
        <v>12817.15</v>
      </c>
      <c r="M619" s="3565">
        <v>0</v>
      </c>
      <c r="N619" s="3565">
        <v>0</v>
      </c>
      <c r="O619" s="3563" t="s">
        <v>3453</v>
      </c>
    </row>
    <row r="620" spans="1:15">
      <c r="A620" s="3563" t="s">
        <v>4828</v>
      </c>
      <c r="B620" s="3563" t="s">
        <v>3453</v>
      </c>
      <c r="C620" s="3563" t="s">
        <v>4197</v>
      </c>
      <c r="D620" s="3563" t="s">
        <v>4796</v>
      </c>
      <c r="E620" s="3563" t="s">
        <v>4199</v>
      </c>
      <c r="F620" s="3563" t="s">
        <v>4797</v>
      </c>
      <c r="G620" s="3564">
        <v>100.83</v>
      </c>
      <c r="H620" s="3564">
        <v>81.739999999999995</v>
      </c>
      <c r="I620" s="3564">
        <v>19.09</v>
      </c>
      <c r="J620" s="3565">
        <v>1061488</v>
      </c>
      <c r="K620" s="3565">
        <v>10527.5</v>
      </c>
      <c r="L620" s="3565">
        <v>12986.15</v>
      </c>
      <c r="M620" s="3565">
        <v>0</v>
      </c>
      <c r="N620" s="3565">
        <v>0</v>
      </c>
      <c r="O620" s="3563" t="s">
        <v>3453</v>
      </c>
    </row>
    <row r="621" spans="1:15">
      <c r="A621" s="3563" t="s">
        <v>4829</v>
      </c>
      <c r="B621" s="3563" t="s">
        <v>4196</v>
      </c>
      <c r="C621" s="3563" t="s">
        <v>4197</v>
      </c>
      <c r="D621" s="3563" t="s">
        <v>4796</v>
      </c>
      <c r="E621" s="3563" t="s">
        <v>4199</v>
      </c>
      <c r="F621" s="3563" t="s">
        <v>4797</v>
      </c>
      <c r="G621" s="3564">
        <v>100.83</v>
      </c>
      <c r="H621" s="3564">
        <v>81.739999999999995</v>
      </c>
      <c r="I621" s="3564">
        <v>19.09</v>
      </c>
      <c r="J621" s="3565">
        <v>1061488</v>
      </c>
      <c r="K621" s="3565">
        <v>10527.5</v>
      </c>
      <c r="L621" s="3565">
        <v>12986.15</v>
      </c>
      <c r="M621" s="3565">
        <v>0</v>
      </c>
      <c r="N621" s="3565">
        <v>0</v>
      </c>
      <c r="O621" s="3563" t="s">
        <v>3453</v>
      </c>
    </row>
    <row r="622" spans="1:15">
      <c r="A622" s="3563" t="s">
        <v>4830</v>
      </c>
      <c r="B622" s="3563" t="s">
        <v>4196</v>
      </c>
      <c r="C622" s="3563" t="s">
        <v>4197</v>
      </c>
      <c r="D622" s="3563" t="s">
        <v>4796</v>
      </c>
      <c r="E622" s="3563" t="s">
        <v>4199</v>
      </c>
      <c r="F622" s="3563" t="s">
        <v>4797</v>
      </c>
      <c r="G622" s="3564">
        <v>101.16</v>
      </c>
      <c r="H622" s="3564">
        <v>82.01</v>
      </c>
      <c r="I622" s="3564">
        <v>19.149999999999999</v>
      </c>
      <c r="J622" s="3565">
        <v>1020705</v>
      </c>
      <c r="K622" s="3565">
        <v>10090.01</v>
      </c>
      <c r="L622" s="3565">
        <v>12446.1</v>
      </c>
      <c r="M622" s="3565">
        <v>0</v>
      </c>
      <c r="N622" s="3565">
        <v>0</v>
      </c>
      <c r="O622" s="3563" t="s">
        <v>3453</v>
      </c>
    </row>
    <row r="623" spans="1:15">
      <c r="A623" s="3563" t="s">
        <v>4831</v>
      </c>
      <c r="B623" s="3563" t="s">
        <v>4811</v>
      </c>
      <c r="C623" s="3563" t="s">
        <v>4197</v>
      </c>
      <c r="D623" s="3563" t="s">
        <v>4796</v>
      </c>
      <c r="E623" s="3563" t="s">
        <v>4199</v>
      </c>
      <c r="F623" s="3563" t="s">
        <v>4797</v>
      </c>
      <c r="G623" s="3564">
        <v>87.58</v>
      </c>
      <c r="H623" s="3564">
        <v>71</v>
      </c>
      <c r="I623" s="3564">
        <v>16.579999999999998</v>
      </c>
      <c r="J623" s="3565">
        <v>894630</v>
      </c>
      <c r="K623" s="3565">
        <v>10215</v>
      </c>
      <c r="L623" s="3565">
        <v>12600.42</v>
      </c>
      <c r="M623" s="3565">
        <v>849899</v>
      </c>
      <c r="N623" s="3565">
        <v>9704.26</v>
      </c>
      <c r="O623" s="3566">
        <v>44192</v>
      </c>
    </row>
    <row r="624" spans="1:15">
      <c r="A624" s="3563" t="s">
        <v>4832</v>
      </c>
      <c r="B624" s="3563" t="s">
        <v>4196</v>
      </c>
      <c r="C624" s="3563" t="s">
        <v>4197</v>
      </c>
      <c r="D624" s="3563" t="s">
        <v>4796</v>
      </c>
      <c r="E624" s="3563" t="s">
        <v>4199</v>
      </c>
      <c r="F624" s="3563" t="s">
        <v>4797</v>
      </c>
      <c r="G624" s="3564">
        <v>87.58</v>
      </c>
      <c r="H624" s="3564">
        <v>71</v>
      </c>
      <c r="I624" s="3564">
        <v>16.579999999999998</v>
      </c>
      <c r="J624" s="3565">
        <v>894630</v>
      </c>
      <c r="K624" s="3565">
        <v>10215</v>
      </c>
      <c r="L624" s="3565">
        <v>12600.42</v>
      </c>
      <c r="M624" s="3565">
        <v>0</v>
      </c>
      <c r="N624" s="3565">
        <v>0</v>
      </c>
      <c r="O624" s="3563" t="s">
        <v>3453</v>
      </c>
    </row>
    <row r="625" spans="1:15">
      <c r="A625" s="3563" t="s">
        <v>4833</v>
      </c>
      <c r="B625" s="3563" t="s">
        <v>4196</v>
      </c>
      <c r="C625" s="3563" t="s">
        <v>4197</v>
      </c>
      <c r="D625" s="3563" t="s">
        <v>4796</v>
      </c>
      <c r="E625" s="3563" t="s">
        <v>4199</v>
      </c>
      <c r="F625" s="3563" t="s">
        <v>4797</v>
      </c>
      <c r="G625" s="3564">
        <v>109.1</v>
      </c>
      <c r="H625" s="3564">
        <v>88.44</v>
      </c>
      <c r="I625" s="3564">
        <v>20.66</v>
      </c>
      <c r="J625" s="3565">
        <v>1148550</v>
      </c>
      <c r="K625" s="3565">
        <v>10527.5</v>
      </c>
      <c r="L625" s="3565">
        <v>12986.77</v>
      </c>
      <c r="M625" s="3565">
        <v>0</v>
      </c>
      <c r="N625" s="3565">
        <v>0</v>
      </c>
      <c r="O625" s="3563" t="s">
        <v>3453</v>
      </c>
    </row>
    <row r="626" spans="1:15">
      <c r="A626" s="3563" t="s">
        <v>4834</v>
      </c>
      <c r="B626" s="3563" t="s">
        <v>3453</v>
      </c>
      <c r="C626" s="3563" t="s">
        <v>4197</v>
      </c>
      <c r="D626" s="3563" t="s">
        <v>4796</v>
      </c>
      <c r="E626" s="3563" t="s">
        <v>4199</v>
      </c>
      <c r="F626" s="3563" t="s">
        <v>4797</v>
      </c>
      <c r="G626" s="3564">
        <v>100.83</v>
      </c>
      <c r="H626" s="3564">
        <v>81.739999999999995</v>
      </c>
      <c r="I626" s="3564">
        <v>19.09</v>
      </c>
      <c r="J626" s="3565">
        <v>1060228</v>
      </c>
      <c r="K626" s="3565">
        <v>10515.01</v>
      </c>
      <c r="L626" s="3565">
        <v>12970.74</v>
      </c>
      <c r="M626" s="3565">
        <v>0</v>
      </c>
      <c r="N626" s="3565">
        <v>0</v>
      </c>
      <c r="O626" s="3563" t="s">
        <v>3453</v>
      </c>
    </row>
    <row r="627" spans="1:15">
      <c r="A627" s="3563" t="s">
        <v>4835</v>
      </c>
      <c r="B627" s="3563" t="s">
        <v>3453</v>
      </c>
      <c r="C627" s="3563" t="s">
        <v>4197</v>
      </c>
      <c r="D627" s="3563" t="s">
        <v>4796</v>
      </c>
      <c r="E627" s="3563" t="s">
        <v>4199</v>
      </c>
      <c r="F627" s="3563" t="s">
        <v>4797</v>
      </c>
      <c r="G627" s="3564">
        <v>100.83</v>
      </c>
      <c r="H627" s="3564">
        <v>81.739999999999995</v>
      </c>
      <c r="I627" s="3564">
        <v>19.09</v>
      </c>
      <c r="J627" s="3565">
        <v>1060228</v>
      </c>
      <c r="K627" s="3565">
        <v>10515.01</v>
      </c>
      <c r="L627" s="3565">
        <v>12970.74</v>
      </c>
      <c r="M627" s="3565">
        <v>0</v>
      </c>
      <c r="N627" s="3565">
        <v>0</v>
      </c>
      <c r="O627" s="3563" t="s">
        <v>3453</v>
      </c>
    </row>
    <row r="628" spans="1:15">
      <c r="A628" s="3563" t="s">
        <v>4836</v>
      </c>
      <c r="B628" s="3563" t="s">
        <v>4196</v>
      </c>
      <c r="C628" s="3563" t="s">
        <v>4197</v>
      </c>
      <c r="D628" s="3563" t="s">
        <v>4796</v>
      </c>
      <c r="E628" s="3563" t="s">
        <v>4199</v>
      </c>
      <c r="F628" s="3563" t="s">
        <v>4797</v>
      </c>
      <c r="G628" s="3564">
        <v>101.16</v>
      </c>
      <c r="H628" s="3564">
        <v>82.01</v>
      </c>
      <c r="I628" s="3564">
        <v>19.149999999999999</v>
      </c>
      <c r="J628" s="3565">
        <v>1019440</v>
      </c>
      <c r="K628" s="3565">
        <v>10077.5</v>
      </c>
      <c r="L628" s="3565">
        <v>12430.68</v>
      </c>
      <c r="M628" s="3565">
        <v>0</v>
      </c>
      <c r="N628" s="3565">
        <v>0</v>
      </c>
      <c r="O628" s="3563" t="s">
        <v>3453</v>
      </c>
    </row>
    <row r="629" spans="1:15">
      <c r="A629" s="3563" t="s">
        <v>4837</v>
      </c>
      <c r="B629" s="3563" t="s">
        <v>4196</v>
      </c>
      <c r="C629" s="3563" t="s">
        <v>4197</v>
      </c>
      <c r="D629" s="3563" t="s">
        <v>4796</v>
      </c>
      <c r="E629" s="3563" t="s">
        <v>4199</v>
      </c>
      <c r="F629" s="3563" t="s">
        <v>4797</v>
      </c>
      <c r="G629" s="3564">
        <v>87.58</v>
      </c>
      <c r="H629" s="3564">
        <v>71</v>
      </c>
      <c r="I629" s="3564">
        <v>16.579999999999998</v>
      </c>
      <c r="J629" s="3565">
        <v>893535</v>
      </c>
      <c r="K629" s="3565">
        <v>10202.5</v>
      </c>
      <c r="L629" s="3565">
        <v>12585</v>
      </c>
      <c r="M629" s="3565">
        <v>0</v>
      </c>
      <c r="N629" s="3565">
        <v>0</v>
      </c>
      <c r="O629" s="3563" t="s">
        <v>3453</v>
      </c>
    </row>
    <row r="630" spans="1:15">
      <c r="A630" s="3563" t="s">
        <v>4838</v>
      </c>
      <c r="B630" s="3563" t="s">
        <v>3453</v>
      </c>
      <c r="C630" s="3563" t="s">
        <v>4197</v>
      </c>
      <c r="D630" s="3563" t="s">
        <v>4796</v>
      </c>
      <c r="E630" s="3563" t="s">
        <v>4199</v>
      </c>
      <c r="F630" s="3563" t="s">
        <v>4797</v>
      </c>
      <c r="G630" s="3564">
        <v>87.58</v>
      </c>
      <c r="H630" s="3564">
        <v>71</v>
      </c>
      <c r="I630" s="3564">
        <v>16.579999999999998</v>
      </c>
      <c r="J630" s="3565">
        <v>893535</v>
      </c>
      <c r="K630" s="3565">
        <v>10202.5</v>
      </c>
      <c r="L630" s="3565">
        <v>12585</v>
      </c>
      <c r="M630" s="3565">
        <v>0</v>
      </c>
      <c r="N630" s="3565">
        <v>0</v>
      </c>
      <c r="O630" s="3563" t="s">
        <v>3453</v>
      </c>
    </row>
    <row r="631" spans="1:15">
      <c r="A631" s="3563" t="s">
        <v>4839</v>
      </c>
      <c r="B631" s="3563" t="s">
        <v>3453</v>
      </c>
      <c r="C631" s="3563" t="s">
        <v>4197</v>
      </c>
      <c r="D631" s="3563" t="s">
        <v>4796</v>
      </c>
      <c r="E631" s="3563" t="s">
        <v>4199</v>
      </c>
      <c r="F631" s="3563" t="s">
        <v>4797</v>
      </c>
      <c r="G631" s="3564">
        <v>109.1</v>
      </c>
      <c r="H631" s="3564">
        <v>88.44</v>
      </c>
      <c r="I631" s="3564">
        <v>20.66</v>
      </c>
      <c r="J631" s="3565">
        <v>1147187</v>
      </c>
      <c r="K631" s="3565">
        <v>10515</v>
      </c>
      <c r="L631" s="3565">
        <v>12971.36</v>
      </c>
      <c r="M631" s="3565">
        <v>0</v>
      </c>
      <c r="N631" s="3565">
        <v>0</v>
      </c>
      <c r="O631" s="3563" t="s">
        <v>3453</v>
      </c>
    </row>
    <row r="632" spans="1:15">
      <c r="A632" s="3563" t="s">
        <v>4840</v>
      </c>
      <c r="B632" s="3563" t="s">
        <v>4196</v>
      </c>
      <c r="C632" s="3563" t="s">
        <v>4197</v>
      </c>
      <c r="D632" s="3563" t="s">
        <v>4796</v>
      </c>
      <c r="E632" s="3563" t="s">
        <v>4199</v>
      </c>
      <c r="F632" s="3563" t="s">
        <v>4797</v>
      </c>
      <c r="G632" s="3564">
        <v>100.83</v>
      </c>
      <c r="H632" s="3564">
        <v>81.739999999999995</v>
      </c>
      <c r="I632" s="3564">
        <v>19.09</v>
      </c>
      <c r="J632" s="3565">
        <v>1058968</v>
      </c>
      <c r="K632" s="3565">
        <v>10502.51</v>
      </c>
      <c r="L632" s="3565">
        <v>12955.32</v>
      </c>
      <c r="M632" s="3565">
        <v>0</v>
      </c>
      <c r="N632" s="3565">
        <v>0</v>
      </c>
      <c r="O632" s="3563" t="s">
        <v>3453</v>
      </c>
    </row>
    <row r="633" spans="1:15">
      <c r="A633" s="3563" t="s">
        <v>4841</v>
      </c>
      <c r="B633" s="3563" t="s">
        <v>3453</v>
      </c>
      <c r="C633" s="3563" t="s">
        <v>4197</v>
      </c>
      <c r="D633" s="3563" t="s">
        <v>4796</v>
      </c>
      <c r="E633" s="3563" t="s">
        <v>4199</v>
      </c>
      <c r="F633" s="3563" t="s">
        <v>4797</v>
      </c>
      <c r="G633" s="3564">
        <v>100.83</v>
      </c>
      <c r="H633" s="3564">
        <v>81.739999999999995</v>
      </c>
      <c r="I633" s="3564">
        <v>19.09</v>
      </c>
      <c r="J633" s="3565">
        <v>1058968</v>
      </c>
      <c r="K633" s="3565">
        <v>10502.51</v>
      </c>
      <c r="L633" s="3565">
        <v>12955.32</v>
      </c>
      <c r="M633" s="3565">
        <v>0</v>
      </c>
      <c r="N633" s="3565">
        <v>0</v>
      </c>
      <c r="O633" s="3563" t="s">
        <v>3453</v>
      </c>
    </row>
    <row r="634" spans="1:15">
      <c r="A634" s="3563" t="s">
        <v>4842</v>
      </c>
      <c r="B634" s="3563" t="s">
        <v>4196</v>
      </c>
      <c r="C634" s="3563" t="s">
        <v>4197</v>
      </c>
      <c r="D634" s="3563" t="s">
        <v>4796</v>
      </c>
      <c r="E634" s="3563" t="s">
        <v>4199</v>
      </c>
      <c r="F634" s="3563" t="s">
        <v>4797</v>
      </c>
      <c r="G634" s="3564">
        <v>101.16</v>
      </c>
      <c r="H634" s="3564">
        <v>82.01</v>
      </c>
      <c r="I634" s="3564">
        <v>19.149999999999999</v>
      </c>
      <c r="J634" s="3565">
        <v>1018175</v>
      </c>
      <c r="K634" s="3565">
        <v>10065</v>
      </c>
      <c r="L634" s="3565">
        <v>12415.25</v>
      </c>
      <c r="M634" s="3565">
        <v>0</v>
      </c>
      <c r="N634" s="3565">
        <v>0</v>
      </c>
      <c r="O634" s="3563" t="s">
        <v>3453</v>
      </c>
    </row>
    <row r="635" spans="1:15">
      <c r="A635" s="3563" t="s">
        <v>4843</v>
      </c>
      <c r="B635" s="3563" t="s">
        <v>4196</v>
      </c>
      <c r="C635" s="3563" t="s">
        <v>4197</v>
      </c>
      <c r="D635" s="3563" t="s">
        <v>4796</v>
      </c>
      <c r="E635" s="3563" t="s">
        <v>4199</v>
      </c>
      <c r="F635" s="3563" t="s">
        <v>4797</v>
      </c>
      <c r="G635" s="3564">
        <v>87.58</v>
      </c>
      <c r="H635" s="3564">
        <v>71</v>
      </c>
      <c r="I635" s="3564">
        <v>16.579999999999998</v>
      </c>
      <c r="J635" s="3565">
        <v>892440</v>
      </c>
      <c r="K635" s="3565">
        <v>10190</v>
      </c>
      <c r="L635" s="3565">
        <v>12569.58</v>
      </c>
      <c r="M635" s="3565">
        <v>0</v>
      </c>
      <c r="N635" s="3565">
        <v>0</v>
      </c>
      <c r="O635" s="3563" t="s">
        <v>3453</v>
      </c>
    </row>
    <row r="636" spans="1:15">
      <c r="A636" s="3563" t="s">
        <v>4844</v>
      </c>
      <c r="B636" s="3563" t="s">
        <v>4196</v>
      </c>
      <c r="C636" s="3563" t="s">
        <v>4197</v>
      </c>
      <c r="D636" s="3563" t="s">
        <v>4796</v>
      </c>
      <c r="E636" s="3563" t="s">
        <v>4199</v>
      </c>
      <c r="F636" s="3563" t="s">
        <v>4797</v>
      </c>
      <c r="G636" s="3564">
        <v>87.58</v>
      </c>
      <c r="H636" s="3564">
        <v>71</v>
      </c>
      <c r="I636" s="3564">
        <v>16.579999999999998</v>
      </c>
      <c r="J636" s="3565">
        <v>892440</v>
      </c>
      <c r="K636" s="3565">
        <v>10190</v>
      </c>
      <c r="L636" s="3565">
        <v>12569.58</v>
      </c>
      <c r="M636" s="3565">
        <v>0</v>
      </c>
      <c r="N636" s="3565">
        <v>0</v>
      </c>
      <c r="O636" s="3563" t="s">
        <v>3453</v>
      </c>
    </row>
    <row r="637" spans="1:15">
      <c r="A637" s="3563" t="s">
        <v>4845</v>
      </c>
      <c r="B637" s="3563" t="s">
        <v>3453</v>
      </c>
      <c r="C637" s="3563" t="s">
        <v>4197</v>
      </c>
      <c r="D637" s="3563" t="s">
        <v>4796</v>
      </c>
      <c r="E637" s="3563" t="s">
        <v>4199</v>
      </c>
      <c r="F637" s="3563" t="s">
        <v>4797</v>
      </c>
      <c r="G637" s="3564">
        <v>109.1</v>
      </c>
      <c r="H637" s="3564">
        <v>88.44</v>
      </c>
      <c r="I637" s="3564">
        <v>20.66</v>
      </c>
      <c r="J637" s="3565">
        <v>1145823</v>
      </c>
      <c r="K637" s="3565">
        <v>10502.5</v>
      </c>
      <c r="L637" s="3565">
        <v>12955.94</v>
      </c>
      <c r="M637" s="3565">
        <v>0</v>
      </c>
      <c r="N637" s="3565">
        <v>0</v>
      </c>
      <c r="O637" s="3563" t="s">
        <v>3453</v>
      </c>
    </row>
    <row r="638" spans="1:15">
      <c r="A638" s="3563" t="s">
        <v>4846</v>
      </c>
      <c r="B638" s="3563" t="s">
        <v>4196</v>
      </c>
      <c r="C638" s="3563" t="s">
        <v>4197</v>
      </c>
      <c r="D638" s="3563" t="s">
        <v>4796</v>
      </c>
      <c r="E638" s="3563" t="s">
        <v>4199</v>
      </c>
      <c r="F638" s="3563" t="s">
        <v>4797</v>
      </c>
      <c r="G638" s="3564">
        <v>100.83</v>
      </c>
      <c r="H638" s="3564">
        <v>81.739999999999995</v>
      </c>
      <c r="I638" s="3564">
        <v>19.09</v>
      </c>
      <c r="J638" s="3565">
        <v>1045103</v>
      </c>
      <c r="K638" s="3565">
        <v>10365</v>
      </c>
      <c r="L638" s="3565">
        <v>12785.7</v>
      </c>
      <c r="M638" s="3565">
        <v>0</v>
      </c>
      <c r="N638" s="3565">
        <v>0</v>
      </c>
      <c r="O638" s="3563" t="s">
        <v>3453</v>
      </c>
    </row>
    <row r="639" spans="1:15">
      <c r="A639" s="3563" t="s">
        <v>4847</v>
      </c>
      <c r="B639" s="3563" t="s">
        <v>4196</v>
      </c>
      <c r="C639" s="3563" t="s">
        <v>4197</v>
      </c>
      <c r="D639" s="3563" t="s">
        <v>4796</v>
      </c>
      <c r="E639" s="3563" t="s">
        <v>4199</v>
      </c>
      <c r="F639" s="3563" t="s">
        <v>4797</v>
      </c>
      <c r="G639" s="3564">
        <v>100.83</v>
      </c>
      <c r="H639" s="3564">
        <v>81.739999999999995</v>
      </c>
      <c r="I639" s="3564">
        <v>19.09</v>
      </c>
      <c r="J639" s="3565">
        <v>1045103</v>
      </c>
      <c r="K639" s="3565">
        <v>10365</v>
      </c>
      <c r="L639" s="3565">
        <v>12785.7</v>
      </c>
      <c r="M639" s="3565">
        <v>0</v>
      </c>
      <c r="N639" s="3565">
        <v>0</v>
      </c>
      <c r="O639" s="3563" t="s">
        <v>3453</v>
      </c>
    </row>
    <row r="640" spans="1:15">
      <c r="A640" s="3563" t="s">
        <v>4848</v>
      </c>
      <c r="B640" s="3563" t="s">
        <v>4196</v>
      </c>
      <c r="C640" s="3563" t="s">
        <v>4197</v>
      </c>
      <c r="D640" s="3563" t="s">
        <v>4796</v>
      </c>
      <c r="E640" s="3563" t="s">
        <v>4199</v>
      </c>
      <c r="F640" s="3563" t="s">
        <v>4797</v>
      </c>
      <c r="G640" s="3564">
        <v>101.16</v>
      </c>
      <c r="H640" s="3564">
        <v>82.01</v>
      </c>
      <c r="I640" s="3564">
        <v>19.149999999999999</v>
      </c>
      <c r="J640" s="3565">
        <v>1011545</v>
      </c>
      <c r="K640" s="3565">
        <v>9999.4599999999991</v>
      </c>
      <c r="L640" s="3565">
        <v>12334.41</v>
      </c>
      <c r="M640" s="3565">
        <v>0</v>
      </c>
      <c r="N640" s="3565">
        <v>0</v>
      </c>
      <c r="O640" s="3563" t="s">
        <v>3453</v>
      </c>
    </row>
    <row r="641" spans="1:15">
      <c r="A641" s="3563" t="s">
        <v>4849</v>
      </c>
      <c r="B641" s="3563" t="s">
        <v>3453</v>
      </c>
      <c r="C641" s="3563" t="s">
        <v>4197</v>
      </c>
      <c r="D641" s="3563" t="s">
        <v>4796</v>
      </c>
      <c r="E641" s="3563" t="s">
        <v>4199</v>
      </c>
      <c r="F641" s="3563" t="s">
        <v>4797</v>
      </c>
      <c r="G641" s="3564">
        <v>87.58</v>
      </c>
      <c r="H641" s="3564">
        <v>71</v>
      </c>
      <c r="I641" s="3564">
        <v>16.579999999999998</v>
      </c>
      <c r="J641" s="3565">
        <v>880398</v>
      </c>
      <c r="K641" s="3565">
        <v>10052.5</v>
      </c>
      <c r="L641" s="3565">
        <v>12399.97</v>
      </c>
      <c r="M641" s="3565">
        <v>0</v>
      </c>
      <c r="N641" s="3565">
        <v>0</v>
      </c>
      <c r="O641" s="3563" t="s">
        <v>3453</v>
      </c>
    </row>
    <row r="642" spans="1:15">
      <c r="A642" s="3563" t="s">
        <v>4850</v>
      </c>
      <c r="B642" s="3563" t="s">
        <v>4196</v>
      </c>
      <c r="C642" s="3563" t="s">
        <v>4197</v>
      </c>
      <c r="D642" s="3563" t="s">
        <v>4796</v>
      </c>
      <c r="E642" s="3563" t="s">
        <v>4199</v>
      </c>
      <c r="F642" s="3563" t="s">
        <v>4797</v>
      </c>
      <c r="G642" s="3564">
        <v>87.58</v>
      </c>
      <c r="H642" s="3564">
        <v>71</v>
      </c>
      <c r="I642" s="3564">
        <v>16.579999999999998</v>
      </c>
      <c r="J642" s="3565">
        <v>880398</v>
      </c>
      <c r="K642" s="3565">
        <v>10052.5</v>
      </c>
      <c r="L642" s="3565">
        <v>12399.97</v>
      </c>
      <c r="M642" s="3565">
        <v>0</v>
      </c>
      <c r="N642" s="3565">
        <v>0</v>
      </c>
      <c r="O642" s="3563" t="s">
        <v>3453</v>
      </c>
    </row>
    <row r="643" spans="1:15">
      <c r="A643" s="3563" t="s">
        <v>4851</v>
      </c>
      <c r="B643" s="3563" t="s">
        <v>4196</v>
      </c>
      <c r="C643" s="3563" t="s">
        <v>4197</v>
      </c>
      <c r="D643" s="3563" t="s">
        <v>4796</v>
      </c>
      <c r="E643" s="3563" t="s">
        <v>4199</v>
      </c>
      <c r="F643" s="3563" t="s">
        <v>4797</v>
      </c>
      <c r="G643" s="3564">
        <v>109.1</v>
      </c>
      <c r="H643" s="3564">
        <v>88.44</v>
      </c>
      <c r="I643" s="3564">
        <v>20.66</v>
      </c>
      <c r="J643" s="3565">
        <v>1130822</v>
      </c>
      <c r="K643" s="3565">
        <v>10365</v>
      </c>
      <c r="L643" s="3565">
        <v>12786.32</v>
      </c>
      <c r="M643" s="3565">
        <v>0</v>
      </c>
      <c r="N643" s="3565">
        <v>0</v>
      </c>
      <c r="O643" s="3563" t="s">
        <v>3453</v>
      </c>
    </row>
    <row r="644" spans="1:15">
      <c r="A644" s="3563" t="s">
        <v>4852</v>
      </c>
      <c r="B644" s="3563" t="s">
        <v>4196</v>
      </c>
      <c r="C644" s="3563" t="s">
        <v>4197</v>
      </c>
      <c r="D644" s="3563" t="s">
        <v>4796</v>
      </c>
      <c r="E644" s="3563" t="s">
        <v>4199</v>
      </c>
      <c r="F644" s="3563" t="s">
        <v>4797</v>
      </c>
      <c r="G644" s="3564">
        <v>100.83</v>
      </c>
      <c r="H644" s="3564">
        <v>81.739999999999995</v>
      </c>
      <c r="I644" s="3564">
        <v>19.09</v>
      </c>
      <c r="J644" s="3565">
        <v>1056447</v>
      </c>
      <c r="K644" s="3565">
        <v>10477.51</v>
      </c>
      <c r="L644" s="3565">
        <v>12924.48</v>
      </c>
      <c r="M644" s="3565">
        <v>0</v>
      </c>
      <c r="N644" s="3565">
        <v>0</v>
      </c>
      <c r="O644" s="3563" t="s">
        <v>3453</v>
      </c>
    </row>
    <row r="645" spans="1:15">
      <c r="A645" s="3563" t="s">
        <v>4853</v>
      </c>
      <c r="B645" s="3563" t="s">
        <v>4811</v>
      </c>
      <c r="C645" s="3563" t="s">
        <v>4197</v>
      </c>
      <c r="D645" s="3563" t="s">
        <v>4796</v>
      </c>
      <c r="E645" s="3563" t="s">
        <v>4199</v>
      </c>
      <c r="F645" s="3563" t="s">
        <v>4797</v>
      </c>
      <c r="G645" s="3564">
        <v>100.83</v>
      </c>
      <c r="H645" s="3564">
        <v>81.739999999999995</v>
      </c>
      <c r="I645" s="3564">
        <v>19.09</v>
      </c>
      <c r="J645" s="3565">
        <v>1056447</v>
      </c>
      <c r="K645" s="3565">
        <v>10477.51</v>
      </c>
      <c r="L645" s="3565">
        <v>12924.48</v>
      </c>
      <c r="M645" s="3565">
        <v>1003625</v>
      </c>
      <c r="N645" s="3565">
        <v>9953.6299999999992</v>
      </c>
      <c r="O645" s="3566">
        <v>44192</v>
      </c>
    </row>
    <row r="646" spans="1:15">
      <c r="A646" s="3563" t="s">
        <v>4854</v>
      </c>
      <c r="B646" s="3563" t="s">
        <v>4196</v>
      </c>
      <c r="C646" s="3563" t="s">
        <v>4197</v>
      </c>
      <c r="D646" s="3563" t="s">
        <v>4796</v>
      </c>
      <c r="E646" s="3563" t="s">
        <v>4199</v>
      </c>
      <c r="F646" s="3563" t="s">
        <v>4797</v>
      </c>
      <c r="G646" s="3564">
        <v>101.16</v>
      </c>
      <c r="H646" s="3564">
        <v>82.01</v>
      </c>
      <c r="I646" s="3564">
        <v>19.149999999999999</v>
      </c>
      <c r="J646" s="3565">
        <v>1015647</v>
      </c>
      <c r="K646" s="3565">
        <v>10040.01</v>
      </c>
      <c r="L646" s="3565">
        <v>12384.43</v>
      </c>
      <c r="M646" s="3565">
        <v>0</v>
      </c>
      <c r="N646" s="3565">
        <v>0</v>
      </c>
      <c r="O646" s="3563" t="s">
        <v>3453</v>
      </c>
    </row>
    <row r="647" spans="1:15">
      <c r="A647" s="3563" t="s">
        <v>4855</v>
      </c>
      <c r="B647" s="3563" t="s">
        <v>4196</v>
      </c>
      <c r="C647" s="3563" t="s">
        <v>4197</v>
      </c>
      <c r="D647" s="3563" t="s">
        <v>4796</v>
      </c>
      <c r="E647" s="3563" t="s">
        <v>4199</v>
      </c>
      <c r="F647" s="3563" t="s">
        <v>4797</v>
      </c>
      <c r="G647" s="3564">
        <v>87.58</v>
      </c>
      <c r="H647" s="3564">
        <v>71</v>
      </c>
      <c r="I647" s="3564">
        <v>16.579999999999998</v>
      </c>
      <c r="J647" s="3565">
        <v>890252</v>
      </c>
      <c r="K647" s="3565">
        <v>10165.01</v>
      </c>
      <c r="L647" s="3565">
        <v>12538.76</v>
      </c>
      <c r="M647" s="3565">
        <v>0</v>
      </c>
      <c r="N647" s="3565">
        <v>0</v>
      </c>
      <c r="O647" s="3563" t="s">
        <v>3453</v>
      </c>
    </row>
    <row r="648" spans="1:15">
      <c r="A648" s="3563" t="s">
        <v>4856</v>
      </c>
      <c r="B648" s="3563" t="s">
        <v>3453</v>
      </c>
      <c r="C648" s="3563" t="s">
        <v>4197</v>
      </c>
      <c r="D648" s="3563" t="s">
        <v>4796</v>
      </c>
      <c r="E648" s="3563" t="s">
        <v>4199</v>
      </c>
      <c r="F648" s="3563" t="s">
        <v>4797</v>
      </c>
      <c r="G648" s="3564">
        <v>87.58</v>
      </c>
      <c r="H648" s="3564">
        <v>71</v>
      </c>
      <c r="I648" s="3564">
        <v>16.579999999999998</v>
      </c>
      <c r="J648" s="3565">
        <v>890252</v>
      </c>
      <c r="K648" s="3565">
        <v>10165.01</v>
      </c>
      <c r="L648" s="3565">
        <v>12538.76</v>
      </c>
      <c r="M648" s="3565">
        <v>0</v>
      </c>
      <c r="N648" s="3565">
        <v>0</v>
      </c>
      <c r="O648" s="3563" t="s">
        <v>3453</v>
      </c>
    </row>
    <row r="649" spans="1:15">
      <c r="A649" s="3563" t="s">
        <v>4857</v>
      </c>
      <c r="B649" s="3563" t="s">
        <v>4196</v>
      </c>
      <c r="C649" s="3563" t="s">
        <v>4197</v>
      </c>
      <c r="D649" s="3563" t="s">
        <v>4796</v>
      </c>
      <c r="E649" s="3563" t="s">
        <v>4199</v>
      </c>
      <c r="F649" s="3563" t="s">
        <v>4797</v>
      </c>
      <c r="G649" s="3564">
        <v>109.1</v>
      </c>
      <c r="H649" s="3564">
        <v>88.44</v>
      </c>
      <c r="I649" s="3564">
        <v>20.66</v>
      </c>
      <c r="J649" s="3565">
        <v>1143095</v>
      </c>
      <c r="K649" s="3565">
        <v>10477.5</v>
      </c>
      <c r="L649" s="3565">
        <v>12925.09</v>
      </c>
      <c r="M649" s="3565">
        <v>0</v>
      </c>
      <c r="N649" s="3565">
        <v>0</v>
      </c>
      <c r="O649" s="3563" t="s">
        <v>3453</v>
      </c>
    </row>
    <row r="650" spans="1:15">
      <c r="A650" s="3563" t="s">
        <v>4858</v>
      </c>
      <c r="B650" s="3563" t="s">
        <v>4196</v>
      </c>
      <c r="C650" s="3563" t="s">
        <v>4197</v>
      </c>
      <c r="D650" s="3563" t="s">
        <v>4796</v>
      </c>
      <c r="E650" s="3563" t="s">
        <v>4199</v>
      </c>
      <c r="F650" s="3563" t="s">
        <v>4797</v>
      </c>
      <c r="G650" s="3564">
        <v>102.22</v>
      </c>
      <c r="H650" s="3564">
        <v>81.739999999999995</v>
      </c>
      <c r="I650" s="3564">
        <v>20.48</v>
      </c>
      <c r="J650" s="3565">
        <v>1022145</v>
      </c>
      <c r="K650" s="3565">
        <v>9999.4599999999991</v>
      </c>
      <c r="L650" s="3565">
        <v>12504.83</v>
      </c>
      <c r="M650" s="3565">
        <v>0</v>
      </c>
      <c r="N650" s="3565">
        <v>0</v>
      </c>
      <c r="O650" s="3563" t="s">
        <v>3453</v>
      </c>
    </row>
    <row r="651" spans="1:15">
      <c r="A651" s="3563" t="s">
        <v>4859</v>
      </c>
      <c r="B651" s="3563" t="s">
        <v>4196</v>
      </c>
      <c r="C651" s="3563" t="s">
        <v>4197</v>
      </c>
      <c r="D651" s="3563" t="s">
        <v>4796</v>
      </c>
      <c r="E651" s="3563" t="s">
        <v>4199</v>
      </c>
      <c r="F651" s="3563" t="s">
        <v>4797</v>
      </c>
      <c r="G651" s="3564">
        <v>102.22</v>
      </c>
      <c r="H651" s="3564">
        <v>81.739999999999995</v>
      </c>
      <c r="I651" s="3564">
        <v>20.48</v>
      </c>
      <c r="J651" s="3565">
        <v>1022145</v>
      </c>
      <c r="K651" s="3565">
        <v>9999.4599999999991</v>
      </c>
      <c r="L651" s="3565">
        <v>12504.83</v>
      </c>
      <c r="M651" s="3565">
        <v>0</v>
      </c>
      <c r="N651" s="3565">
        <v>0</v>
      </c>
      <c r="O651" s="3563" t="s">
        <v>3453</v>
      </c>
    </row>
    <row r="652" spans="1:15">
      <c r="A652" s="3563" t="s">
        <v>4860</v>
      </c>
      <c r="B652" s="3563" t="s">
        <v>4196</v>
      </c>
      <c r="C652" s="3563" t="s">
        <v>4197</v>
      </c>
      <c r="D652" s="3563" t="s">
        <v>4796</v>
      </c>
      <c r="E652" s="3563" t="s">
        <v>4199</v>
      </c>
      <c r="F652" s="3563" t="s">
        <v>4797</v>
      </c>
      <c r="G652" s="3564">
        <v>102.56</v>
      </c>
      <c r="H652" s="3564">
        <v>82.01</v>
      </c>
      <c r="I652" s="3564">
        <v>20.55</v>
      </c>
      <c r="J652" s="3565">
        <v>1025544</v>
      </c>
      <c r="K652" s="3565">
        <v>9999.4500000000007</v>
      </c>
      <c r="L652" s="3565">
        <v>12505.11</v>
      </c>
      <c r="M652" s="3565">
        <v>0</v>
      </c>
      <c r="N652" s="3565">
        <v>0</v>
      </c>
      <c r="O652" s="3563" t="s">
        <v>3453</v>
      </c>
    </row>
    <row r="653" spans="1:15">
      <c r="A653" s="3563" t="s">
        <v>4861</v>
      </c>
      <c r="B653" s="3563" t="s">
        <v>4811</v>
      </c>
      <c r="C653" s="3563" t="s">
        <v>4197</v>
      </c>
      <c r="D653" s="3563" t="s">
        <v>4796</v>
      </c>
      <c r="E653" s="3563" t="s">
        <v>4199</v>
      </c>
      <c r="F653" s="3563" t="s">
        <v>4797</v>
      </c>
      <c r="G653" s="3564">
        <v>88.79</v>
      </c>
      <c r="H653" s="3564">
        <v>71</v>
      </c>
      <c r="I653" s="3564">
        <v>17.79</v>
      </c>
      <c r="J653" s="3565">
        <v>887852</v>
      </c>
      <c r="K653" s="3565">
        <v>9999.4599999999991</v>
      </c>
      <c r="L653" s="3565">
        <v>12504.96</v>
      </c>
      <c r="M653" s="3565">
        <v>843460</v>
      </c>
      <c r="N653" s="3565">
        <v>9499.49</v>
      </c>
      <c r="O653" s="3566">
        <v>44192</v>
      </c>
    </row>
    <row r="654" spans="1:15">
      <c r="A654" s="3563" t="s">
        <v>4862</v>
      </c>
      <c r="B654" s="3563" t="s">
        <v>4811</v>
      </c>
      <c r="C654" s="3563" t="s">
        <v>4197</v>
      </c>
      <c r="D654" s="3563" t="s">
        <v>4796</v>
      </c>
      <c r="E654" s="3563" t="s">
        <v>4199</v>
      </c>
      <c r="F654" s="3563" t="s">
        <v>4797</v>
      </c>
      <c r="G654" s="3564">
        <v>88.79</v>
      </c>
      <c r="H654" s="3564">
        <v>71</v>
      </c>
      <c r="I654" s="3564">
        <v>17.79</v>
      </c>
      <c r="J654" s="3565">
        <v>887852</v>
      </c>
      <c r="K654" s="3565">
        <v>9999.4599999999991</v>
      </c>
      <c r="L654" s="3565">
        <v>12504.96</v>
      </c>
      <c r="M654" s="3565">
        <v>843460</v>
      </c>
      <c r="N654" s="3565">
        <v>9499.49</v>
      </c>
      <c r="O654" s="3566">
        <v>44192</v>
      </c>
    </row>
    <row r="655" spans="1:15">
      <c r="A655" s="3563" t="s">
        <v>4863</v>
      </c>
      <c r="B655" s="3563" t="s">
        <v>4811</v>
      </c>
      <c r="C655" s="3563" t="s">
        <v>4197</v>
      </c>
      <c r="D655" s="3563" t="s">
        <v>4796</v>
      </c>
      <c r="E655" s="3563" t="s">
        <v>4199</v>
      </c>
      <c r="F655" s="3563" t="s">
        <v>4797</v>
      </c>
      <c r="G655" s="3564">
        <v>100.83</v>
      </c>
      <c r="H655" s="3564">
        <v>81.739999999999995</v>
      </c>
      <c r="I655" s="3564">
        <v>19.09</v>
      </c>
      <c r="J655" s="3565">
        <v>1055187</v>
      </c>
      <c r="K655" s="3565">
        <v>10465.01</v>
      </c>
      <c r="L655" s="3565">
        <v>12909.07</v>
      </c>
      <c r="M655" s="3565">
        <v>1002428</v>
      </c>
      <c r="N655" s="3565">
        <v>9941.76</v>
      </c>
      <c r="O655" s="3566">
        <v>44192</v>
      </c>
    </row>
    <row r="656" spans="1:15">
      <c r="A656" s="3563" t="s">
        <v>4864</v>
      </c>
      <c r="B656" s="3563" t="s">
        <v>4196</v>
      </c>
      <c r="C656" s="3563" t="s">
        <v>4197</v>
      </c>
      <c r="D656" s="3563" t="s">
        <v>4796</v>
      </c>
      <c r="E656" s="3563" t="s">
        <v>4199</v>
      </c>
      <c r="F656" s="3563" t="s">
        <v>4797</v>
      </c>
      <c r="G656" s="3564">
        <v>100.83</v>
      </c>
      <c r="H656" s="3564">
        <v>81.739999999999995</v>
      </c>
      <c r="I656" s="3564">
        <v>19.09</v>
      </c>
      <c r="J656" s="3565">
        <v>1055187</v>
      </c>
      <c r="K656" s="3565">
        <v>10465.01</v>
      </c>
      <c r="L656" s="3565">
        <v>12909.07</v>
      </c>
      <c r="M656" s="3565">
        <v>0</v>
      </c>
      <c r="N656" s="3565">
        <v>0</v>
      </c>
      <c r="O656" s="3563" t="s">
        <v>3453</v>
      </c>
    </row>
    <row r="657" spans="1:15">
      <c r="A657" s="3563" t="s">
        <v>4865</v>
      </c>
      <c r="B657" s="3563" t="s">
        <v>4196</v>
      </c>
      <c r="C657" s="3563" t="s">
        <v>4197</v>
      </c>
      <c r="D657" s="3563" t="s">
        <v>4796</v>
      </c>
      <c r="E657" s="3563" t="s">
        <v>4199</v>
      </c>
      <c r="F657" s="3563" t="s">
        <v>4797</v>
      </c>
      <c r="G657" s="3564">
        <v>101.16</v>
      </c>
      <c r="H657" s="3564">
        <v>82.01</v>
      </c>
      <c r="I657" s="3564">
        <v>19.149999999999999</v>
      </c>
      <c r="J657" s="3565">
        <v>1014383</v>
      </c>
      <c r="K657" s="3565">
        <v>10027.51</v>
      </c>
      <c r="L657" s="3565">
        <v>12369.02</v>
      </c>
      <c r="M657" s="3565">
        <v>0</v>
      </c>
      <c r="N657" s="3565">
        <v>0</v>
      </c>
      <c r="O657" s="3563" t="s">
        <v>3453</v>
      </c>
    </row>
    <row r="658" spans="1:15">
      <c r="A658" s="3563" t="s">
        <v>4866</v>
      </c>
      <c r="B658" s="3563" t="s">
        <v>4196</v>
      </c>
      <c r="C658" s="3563" t="s">
        <v>4197</v>
      </c>
      <c r="D658" s="3563" t="s">
        <v>4796</v>
      </c>
      <c r="E658" s="3563" t="s">
        <v>4199</v>
      </c>
      <c r="F658" s="3563" t="s">
        <v>4797</v>
      </c>
      <c r="G658" s="3564">
        <v>87.58</v>
      </c>
      <c r="H658" s="3564">
        <v>71</v>
      </c>
      <c r="I658" s="3564">
        <v>16.579999999999998</v>
      </c>
      <c r="J658" s="3565">
        <v>889157</v>
      </c>
      <c r="K658" s="3565">
        <v>10152.51</v>
      </c>
      <c r="L658" s="3565">
        <v>12523.34</v>
      </c>
      <c r="M658" s="3565">
        <v>0</v>
      </c>
      <c r="N658" s="3565">
        <v>0</v>
      </c>
      <c r="O658" s="3563" t="s">
        <v>3453</v>
      </c>
    </row>
    <row r="659" spans="1:15">
      <c r="A659" s="3563" t="s">
        <v>4867</v>
      </c>
      <c r="B659" s="3563" t="s">
        <v>3453</v>
      </c>
      <c r="C659" s="3563" t="s">
        <v>4197</v>
      </c>
      <c r="D659" s="3563" t="s">
        <v>4796</v>
      </c>
      <c r="E659" s="3563" t="s">
        <v>4199</v>
      </c>
      <c r="F659" s="3563" t="s">
        <v>4797</v>
      </c>
      <c r="G659" s="3564">
        <v>87.58</v>
      </c>
      <c r="H659" s="3564">
        <v>71</v>
      </c>
      <c r="I659" s="3564">
        <v>16.579999999999998</v>
      </c>
      <c r="J659" s="3565">
        <v>889157</v>
      </c>
      <c r="K659" s="3565">
        <v>10152.51</v>
      </c>
      <c r="L659" s="3565">
        <v>12523.34</v>
      </c>
      <c r="M659" s="3565">
        <v>0</v>
      </c>
      <c r="N659" s="3565">
        <v>0</v>
      </c>
      <c r="O659" s="3563" t="s">
        <v>3453</v>
      </c>
    </row>
    <row r="660" spans="1:15">
      <c r="A660" s="3563" t="s">
        <v>4868</v>
      </c>
      <c r="B660" s="3563" t="s">
        <v>3453</v>
      </c>
      <c r="C660" s="3563" t="s">
        <v>4197</v>
      </c>
      <c r="D660" s="3563" t="s">
        <v>4796</v>
      </c>
      <c r="E660" s="3563" t="s">
        <v>4199</v>
      </c>
      <c r="F660" s="3563" t="s">
        <v>4797</v>
      </c>
      <c r="G660" s="3564">
        <v>109.1</v>
      </c>
      <c r="H660" s="3564">
        <v>88.44</v>
      </c>
      <c r="I660" s="3564">
        <v>20.66</v>
      </c>
      <c r="J660" s="3565">
        <v>1141732</v>
      </c>
      <c r="K660" s="3565">
        <v>10465</v>
      </c>
      <c r="L660" s="3565">
        <v>12909.68</v>
      </c>
      <c r="M660" s="3565">
        <v>0</v>
      </c>
      <c r="N660" s="3565">
        <v>0</v>
      </c>
      <c r="O660" s="3563" t="s">
        <v>3453</v>
      </c>
    </row>
    <row r="661" spans="1:15">
      <c r="A661" s="3563" t="s">
        <v>4869</v>
      </c>
      <c r="B661" s="3563" t="s">
        <v>3453</v>
      </c>
      <c r="C661" s="3563" t="s">
        <v>4197</v>
      </c>
      <c r="D661" s="3563" t="s">
        <v>4796</v>
      </c>
      <c r="E661" s="3563" t="s">
        <v>4199</v>
      </c>
      <c r="F661" s="3563" t="s">
        <v>4797</v>
      </c>
      <c r="G661" s="3564">
        <v>100.83</v>
      </c>
      <c r="H661" s="3564">
        <v>81.739999999999995</v>
      </c>
      <c r="I661" s="3564">
        <v>19.09</v>
      </c>
      <c r="J661" s="3565">
        <v>1053925</v>
      </c>
      <c r="K661" s="3565">
        <v>10452.49</v>
      </c>
      <c r="L661" s="3565">
        <v>12893.63</v>
      </c>
      <c r="M661" s="3565">
        <v>0</v>
      </c>
      <c r="N661" s="3565">
        <v>0</v>
      </c>
      <c r="O661" s="3563" t="s">
        <v>3453</v>
      </c>
    </row>
    <row r="662" spans="1:15">
      <c r="A662" s="3563" t="s">
        <v>4870</v>
      </c>
      <c r="B662" s="3563" t="s">
        <v>4196</v>
      </c>
      <c r="C662" s="3563" t="s">
        <v>4197</v>
      </c>
      <c r="D662" s="3563" t="s">
        <v>4796</v>
      </c>
      <c r="E662" s="3563" t="s">
        <v>4199</v>
      </c>
      <c r="F662" s="3563" t="s">
        <v>4797</v>
      </c>
      <c r="G662" s="3564">
        <v>100.83</v>
      </c>
      <c r="H662" s="3564">
        <v>81.739999999999995</v>
      </c>
      <c r="I662" s="3564">
        <v>19.09</v>
      </c>
      <c r="J662" s="3565">
        <v>1053925</v>
      </c>
      <c r="K662" s="3565">
        <v>10452.49</v>
      </c>
      <c r="L662" s="3565">
        <v>12893.63</v>
      </c>
      <c r="M662" s="3565">
        <v>0</v>
      </c>
      <c r="N662" s="3565">
        <v>0</v>
      </c>
      <c r="O662" s="3563" t="s">
        <v>3453</v>
      </c>
    </row>
    <row r="663" spans="1:15">
      <c r="A663" s="3563" t="s">
        <v>4871</v>
      </c>
      <c r="B663" s="3563" t="s">
        <v>4196</v>
      </c>
      <c r="C663" s="3563" t="s">
        <v>4197</v>
      </c>
      <c r="D663" s="3563" t="s">
        <v>4796</v>
      </c>
      <c r="E663" s="3563" t="s">
        <v>4199</v>
      </c>
      <c r="F663" s="3563" t="s">
        <v>4797</v>
      </c>
      <c r="G663" s="3564">
        <v>101.16</v>
      </c>
      <c r="H663" s="3564">
        <v>82.01</v>
      </c>
      <c r="I663" s="3564">
        <v>19.149999999999999</v>
      </c>
      <c r="J663" s="3565">
        <v>1013118</v>
      </c>
      <c r="K663" s="3565">
        <v>10015.01</v>
      </c>
      <c r="L663" s="3565">
        <v>12353.59</v>
      </c>
      <c r="M663" s="3565">
        <v>0</v>
      </c>
      <c r="N663" s="3565">
        <v>0</v>
      </c>
      <c r="O663" s="3563" t="s">
        <v>3453</v>
      </c>
    </row>
    <row r="664" spans="1:15">
      <c r="A664" s="3563" t="s">
        <v>4872</v>
      </c>
      <c r="B664" s="3563" t="s">
        <v>3453</v>
      </c>
      <c r="C664" s="3563" t="s">
        <v>4197</v>
      </c>
      <c r="D664" s="3563" t="s">
        <v>4796</v>
      </c>
      <c r="E664" s="3563" t="s">
        <v>4199</v>
      </c>
      <c r="F664" s="3563" t="s">
        <v>4797</v>
      </c>
      <c r="G664" s="3564">
        <v>87.58</v>
      </c>
      <c r="H664" s="3564">
        <v>71</v>
      </c>
      <c r="I664" s="3564">
        <v>16.579999999999998</v>
      </c>
      <c r="J664" s="3565">
        <v>888062</v>
      </c>
      <c r="K664" s="3565">
        <v>10140.01</v>
      </c>
      <c r="L664" s="3565">
        <v>12507.92</v>
      </c>
      <c r="M664" s="3565">
        <v>0</v>
      </c>
      <c r="N664" s="3565">
        <v>0</v>
      </c>
      <c r="O664" s="3563" t="s">
        <v>3453</v>
      </c>
    </row>
    <row r="665" spans="1:15">
      <c r="A665" s="3563" t="s">
        <v>4873</v>
      </c>
      <c r="B665" s="3563" t="s">
        <v>3453</v>
      </c>
      <c r="C665" s="3563" t="s">
        <v>4197</v>
      </c>
      <c r="D665" s="3563" t="s">
        <v>4796</v>
      </c>
      <c r="E665" s="3563" t="s">
        <v>4199</v>
      </c>
      <c r="F665" s="3563" t="s">
        <v>4797</v>
      </c>
      <c r="G665" s="3564">
        <v>87.58</v>
      </c>
      <c r="H665" s="3564">
        <v>71</v>
      </c>
      <c r="I665" s="3564">
        <v>16.579999999999998</v>
      </c>
      <c r="J665" s="3565">
        <v>888062</v>
      </c>
      <c r="K665" s="3565">
        <v>10140.01</v>
      </c>
      <c r="L665" s="3565">
        <v>12507.92</v>
      </c>
      <c r="M665" s="3565">
        <v>0</v>
      </c>
      <c r="N665" s="3565">
        <v>0</v>
      </c>
      <c r="O665" s="3563" t="s">
        <v>3453</v>
      </c>
    </row>
    <row r="666" spans="1:15">
      <c r="A666" s="3563" t="s">
        <v>4874</v>
      </c>
      <c r="B666" s="3563" t="s">
        <v>4811</v>
      </c>
      <c r="C666" s="3563" t="s">
        <v>4197</v>
      </c>
      <c r="D666" s="3563" t="s">
        <v>4796</v>
      </c>
      <c r="E666" s="3563" t="s">
        <v>4199</v>
      </c>
      <c r="F666" s="3563" t="s">
        <v>4797</v>
      </c>
      <c r="G666" s="3564">
        <v>109.1</v>
      </c>
      <c r="H666" s="3564">
        <v>88.44</v>
      </c>
      <c r="I666" s="3564">
        <v>20.66</v>
      </c>
      <c r="J666" s="3565">
        <v>1140368</v>
      </c>
      <c r="K666" s="3565">
        <v>10452.5</v>
      </c>
      <c r="L666" s="3565">
        <v>12894.26</v>
      </c>
      <c r="M666" s="3565">
        <v>1083350</v>
      </c>
      <c r="N666" s="3565">
        <v>9929.8799999999992</v>
      </c>
      <c r="O666" s="3566">
        <v>44192</v>
      </c>
    </row>
    <row r="667" spans="1:15">
      <c r="A667" s="3563" t="s">
        <v>4875</v>
      </c>
      <c r="B667" s="3563" t="s">
        <v>3453</v>
      </c>
      <c r="C667" s="3563" t="s">
        <v>4197</v>
      </c>
      <c r="D667" s="3563" t="s">
        <v>4796</v>
      </c>
      <c r="E667" s="3563" t="s">
        <v>4199</v>
      </c>
      <c r="F667" s="3563" t="s">
        <v>4797</v>
      </c>
      <c r="G667" s="3564">
        <v>100.83</v>
      </c>
      <c r="H667" s="3564">
        <v>81.739999999999995</v>
      </c>
      <c r="I667" s="3564">
        <v>19.09</v>
      </c>
      <c r="J667" s="3565">
        <v>1052665</v>
      </c>
      <c r="K667" s="3565">
        <v>10440</v>
      </c>
      <c r="L667" s="3565">
        <v>12878.21</v>
      </c>
      <c r="M667" s="3565">
        <v>0</v>
      </c>
      <c r="N667" s="3565">
        <v>0</v>
      </c>
      <c r="O667" s="3563" t="s">
        <v>3453</v>
      </c>
    </row>
    <row r="668" spans="1:15">
      <c r="A668" s="3563" t="s">
        <v>4876</v>
      </c>
      <c r="B668" s="3563" t="s">
        <v>4196</v>
      </c>
      <c r="C668" s="3563" t="s">
        <v>4197</v>
      </c>
      <c r="D668" s="3563" t="s">
        <v>4796</v>
      </c>
      <c r="E668" s="3563" t="s">
        <v>4199</v>
      </c>
      <c r="F668" s="3563" t="s">
        <v>4797</v>
      </c>
      <c r="G668" s="3564">
        <v>100.83</v>
      </c>
      <c r="H668" s="3564">
        <v>81.739999999999995</v>
      </c>
      <c r="I668" s="3564">
        <v>19.09</v>
      </c>
      <c r="J668" s="3565">
        <v>1052665</v>
      </c>
      <c r="K668" s="3565">
        <v>10440</v>
      </c>
      <c r="L668" s="3565">
        <v>12878.21</v>
      </c>
      <c r="M668" s="3565">
        <v>0</v>
      </c>
      <c r="N668" s="3565">
        <v>0</v>
      </c>
      <c r="O668" s="3563" t="s">
        <v>3453</v>
      </c>
    </row>
    <row r="669" spans="1:15">
      <c r="A669" s="3563" t="s">
        <v>4877</v>
      </c>
      <c r="B669" s="3563" t="s">
        <v>4196</v>
      </c>
      <c r="C669" s="3563" t="s">
        <v>4197</v>
      </c>
      <c r="D669" s="3563" t="s">
        <v>4796</v>
      </c>
      <c r="E669" s="3563" t="s">
        <v>4199</v>
      </c>
      <c r="F669" s="3563" t="s">
        <v>4797</v>
      </c>
      <c r="G669" s="3564">
        <v>101.16</v>
      </c>
      <c r="H669" s="3564">
        <v>82.01</v>
      </c>
      <c r="I669" s="3564">
        <v>19.149999999999999</v>
      </c>
      <c r="J669" s="3565">
        <v>1014959</v>
      </c>
      <c r="K669" s="3565">
        <v>10033.200000000001</v>
      </c>
      <c r="L669" s="3565">
        <v>12376.04</v>
      </c>
      <c r="M669" s="3565">
        <v>0</v>
      </c>
      <c r="N669" s="3565">
        <v>0</v>
      </c>
      <c r="O669" s="3563" t="s">
        <v>3453</v>
      </c>
    </row>
    <row r="670" spans="1:15">
      <c r="A670" s="3563" t="s">
        <v>4878</v>
      </c>
      <c r="B670" s="3563" t="s">
        <v>4196</v>
      </c>
      <c r="C670" s="3563" t="s">
        <v>4197</v>
      </c>
      <c r="D670" s="3563" t="s">
        <v>4796</v>
      </c>
      <c r="E670" s="3563" t="s">
        <v>4199</v>
      </c>
      <c r="F670" s="3563" t="s">
        <v>4797</v>
      </c>
      <c r="G670" s="3564">
        <v>87.58</v>
      </c>
      <c r="H670" s="3564">
        <v>71</v>
      </c>
      <c r="I670" s="3564">
        <v>16.579999999999998</v>
      </c>
      <c r="J670" s="3565">
        <v>886967</v>
      </c>
      <c r="K670" s="3565">
        <v>10127.51</v>
      </c>
      <c r="L670" s="3565">
        <v>12492.49</v>
      </c>
      <c r="M670" s="3565">
        <v>0</v>
      </c>
      <c r="N670" s="3565">
        <v>0</v>
      </c>
      <c r="O670" s="3563" t="s">
        <v>3453</v>
      </c>
    </row>
    <row r="671" spans="1:15">
      <c r="A671" s="3563" t="s">
        <v>4879</v>
      </c>
      <c r="B671" s="3563" t="s">
        <v>3453</v>
      </c>
      <c r="C671" s="3563" t="s">
        <v>4197</v>
      </c>
      <c r="D671" s="3563" t="s">
        <v>4796</v>
      </c>
      <c r="E671" s="3563" t="s">
        <v>4199</v>
      </c>
      <c r="F671" s="3563" t="s">
        <v>4797</v>
      </c>
      <c r="G671" s="3564">
        <v>87.58</v>
      </c>
      <c r="H671" s="3564">
        <v>71</v>
      </c>
      <c r="I671" s="3564">
        <v>16.579999999999998</v>
      </c>
      <c r="J671" s="3565">
        <v>886967</v>
      </c>
      <c r="K671" s="3565">
        <v>10127.51</v>
      </c>
      <c r="L671" s="3565">
        <v>12492.49</v>
      </c>
      <c r="M671" s="3565">
        <v>0</v>
      </c>
      <c r="N671" s="3565">
        <v>0</v>
      </c>
      <c r="O671" s="3563" t="s">
        <v>3453</v>
      </c>
    </row>
    <row r="672" spans="1:15">
      <c r="A672" s="3563" t="s">
        <v>4880</v>
      </c>
      <c r="B672" s="3563" t="s">
        <v>3453</v>
      </c>
      <c r="C672" s="3563" t="s">
        <v>4197</v>
      </c>
      <c r="D672" s="3563" t="s">
        <v>4796</v>
      </c>
      <c r="E672" s="3563" t="s">
        <v>4199</v>
      </c>
      <c r="F672" s="3563" t="s">
        <v>4797</v>
      </c>
      <c r="G672" s="3564">
        <v>109.1</v>
      </c>
      <c r="H672" s="3564">
        <v>88.44</v>
      </c>
      <c r="I672" s="3564">
        <v>20.66</v>
      </c>
      <c r="J672" s="3565">
        <v>1139004</v>
      </c>
      <c r="K672" s="3565">
        <v>10440</v>
      </c>
      <c r="L672" s="3565">
        <v>12878.83</v>
      </c>
      <c r="M672" s="3565">
        <v>0</v>
      </c>
      <c r="N672" s="3565">
        <v>0</v>
      </c>
      <c r="O672" s="3563" t="s">
        <v>3453</v>
      </c>
    </row>
    <row r="673" spans="1:15">
      <c r="A673" s="3563" t="s">
        <v>4881</v>
      </c>
      <c r="B673" s="3563" t="s">
        <v>4196</v>
      </c>
      <c r="C673" s="3563" t="s">
        <v>4197</v>
      </c>
      <c r="D673" s="3563" t="s">
        <v>4796</v>
      </c>
      <c r="E673" s="3563" t="s">
        <v>4199</v>
      </c>
      <c r="F673" s="3563" t="s">
        <v>4797</v>
      </c>
      <c r="G673" s="3564">
        <v>100.83</v>
      </c>
      <c r="H673" s="3564">
        <v>81.739999999999995</v>
      </c>
      <c r="I673" s="3564">
        <v>19.09</v>
      </c>
      <c r="J673" s="3565">
        <v>1051405</v>
      </c>
      <c r="K673" s="3565">
        <v>10427.5</v>
      </c>
      <c r="L673" s="3565">
        <v>12862.8</v>
      </c>
      <c r="M673" s="3565">
        <v>0</v>
      </c>
      <c r="N673" s="3565">
        <v>0</v>
      </c>
      <c r="O673" s="3563" t="s">
        <v>3453</v>
      </c>
    </row>
    <row r="674" spans="1:15">
      <c r="A674" s="3563" t="s">
        <v>4882</v>
      </c>
      <c r="B674" s="3563" t="s">
        <v>4196</v>
      </c>
      <c r="C674" s="3563" t="s">
        <v>4197</v>
      </c>
      <c r="D674" s="3563" t="s">
        <v>4796</v>
      </c>
      <c r="E674" s="3563" t="s">
        <v>4199</v>
      </c>
      <c r="F674" s="3563" t="s">
        <v>4797</v>
      </c>
      <c r="G674" s="3564">
        <v>100.83</v>
      </c>
      <c r="H674" s="3564">
        <v>81.739999999999995</v>
      </c>
      <c r="I674" s="3564">
        <v>19.09</v>
      </c>
      <c r="J674" s="3565">
        <v>1051405</v>
      </c>
      <c r="K674" s="3565">
        <v>10427.5</v>
      </c>
      <c r="L674" s="3565">
        <v>12862.8</v>
      </c>
      <c r="M674" s="3565">
        <v>0</v>
      </c>
      <c r="N674" s="3565">
        <v>0</v>
      </c>
      <c r="O674" s="3563" t="s">
        <v>3453</v>
      </c>
    </row>
    <row r="675" spans="1:15">
      <c r="A675" s="3563" t="s">
        <v>4883</v>
      </c>
      <c r="B675" s="3563" t="s">
        <v>4196</v>
      </c>
      <c r="C675" s="3563" t="s">
        <v>4197</v>
      </c>
      <c r="D675" s="3563" t="s">
        <v>4796</v>
      </c>
      <c r="E675" s="3563" t="s">
        <v>4199</v>
      </c>
      <c r="F675" s="3563" t="s">
        <v>4797</v>
      </c>
      <c r="G675" s="3564">
        <v>101.16</v>
      </c>
      <c r="H675" s="3564">
        <v>82.01</v>
      </c>
      <c r="I675" s="3564">
        <v>19.149999999999999</v>
      </c>
      <c r="J675" s="3565">
        <v>1013695</v>
      </c>
      <c r="K675" s="3565">
        <v>10020.709999999999</v>
      </c>
      <c r="L675" s="3565">
        <v>12360.63</v>
      </c>
      <c r="M675" s="3565">
        <v>0</v>
      </c>
      <c r="N675" s="3565">
        <v>0</v>
      </c>
      <c r="O675" s="3563" t="s">
        <v>3453</v>
      </c>
    </row>
    <row r="676" spans="1:15">
      <c r="A676" s="3563" t="s">
        <v>4884</v>
      </c>
      <c r="B676" s="3563" t="s">
        <v>4196</v>
      </c>
      <c r="C676" s="3563" t="s">
        <v>4197</v>
      </c>
      <c r="D676" s="3563" t="s">
        <v>4796</v>
      </c>
      <c r="E676" s="3563" t="s">
        <v>4199</v>
      </c>
      <c r="F676" s="3563" t="s">
        <v>4797</v>
      </c>
      <c r="G676" s="3564">
        <v>87.58</v>
      </c>
      <c r="H676" s="3564">
        <v>71</v>
      </c>
      <c r="I676" s="3564">
        <v>16.579999999999998</v>
      </c>
      <c r="J676" s="3565">
        <v>885872</v>
      </c>
      <c r="K676" s="3565">
        <v>10115</v>
      </c>
      <c r="L676" s="3565">
        <v>12477.07</v>
      </c>
      <c r="M676" s="3565">
        <v>0</v>
      </c>
      <c r="N676" s="3565">
        <v>0</v>
      </c>
      <c r="O676" s="3563" t="s">
        <v>3453</v>
      </c>
    </row>
    <row r="677" spans="1:15">
      <c r="A677" s="3563" t="s">
        <v>4885</v>
      </c>
      <c r="B677" s="3563" t="s">
        <v>4196</v>
      </c>
      <c r="C677" s="3563" t="s">
        <v>4197</v>
      </c>
      <c r="D677" s="3563" t="s">
        <v>4796</v>
      </c>
      <c r="E677" s="3563" t="s">
        <v>4199</v>
      </c>
      <c r="F677" s="3563" t="s">
        <v>4797</v>
      </c>
      <c r="G677" s="3564">
        <v>87.58</v>
      </c>
      <c r="H677" s="3564">
        <v>71</v>
      </c>
      <c r="I677" s="3564">
        <v>16.579999999999998</v>
      </c>
      <c r="J677" s="3565">
        <v>885872</v>
      </c>
      <c r="K677" s="3565">
        <v>10115</v>
      </c>
      <c r="L677" s="3565">
        <v>12477.07</v>
      </c>
      <c r="M677" s="3565">
        <v>0</v>
      </c>
      <c r="N677" s="3565">
        <v>0</v>
      </c>
      <c r="O677" s="3563" t="s">
        <v>3453</v>
      </c>
    </row>
    <row r="678" spans="1:15">
      <c r="A678" s="3563" t="s">
        <v>4886</v>
      </c>
      <c r="B678" s="3563" t="s">
        <v>4196</v>
      </c>
      <c r="C678" s="3563" t="s">
        <v>4197</v>
      </c>
      <c r="D678" s="3563" t="s">
        <v>4796</v>
      </c>
      <c r="E678" s="3563" t="s">
        <v>4199</v>
      </c>
      <c r="F678" s="3563" t="s">
        <v>4797</v>
      </c>
      <c r="G678" s="3564">
        <v>109.1</v>
      </c>
      <c r="H678" s="3564">
        <v>88.44</v>
      </c>
      <c r="I678" s="3564">
        <v>20.66</v>
      </c>
      <c r="J678" s="3565">
        <v>1137640</v>
      </c>
      <c r="K678" s="3565">
        <v>10427.5</v>
      </c>
      <c r="L678" s="3565">
        <v>12863.41</v>
      </c>
      <c r="M678" s="3565">
        <v>0</v>
      </c>
      <c r="N678" s="3565">
        <v>0</v>
      </c>
      <c r="O678" s="3563" t="s">
        <v>3453</v>
      </c>
    </row>
    <row r="679" spans="1:15">
      <c r="A679" s="3563" t="s">
        <v>4887</v>
      </c>
      <c r="B679" s="3563" t="s">
        <v>4196</v>
      </c>
      <c r="C679" s="3563" t="s">
        <v>4197</v>
      </c>
      <c r="D679" s="3563" t="s">
        <v>4796</v>
      </c>
      <c r="E679" s="3563" t="s">
        <v>4199</v>
      </c>
      <c r="F679" s="3563" t="s">
        <v>4797</v>
      </c>
      <c r="G679" s="3564">
        <v>100.83</v>
      </c>
      <c r="H679" s="3564">
        <v>81.739999999999995</v>
      </c>
      <c r="I679" s="3564">
        <v>19.09</v>
      </c>
      <c r="J679" s="3565">
        <v>1050145</v>
      </c>
      <c r="K679" s="3565">
        <v>10415.01</v>
      </c>
      <c r="L679" s="3565">
        <v>12847.38</v>
      </c>
      <c r="M679" s="3565">
        <v>0</v>
      </c>
      <c r="N679" s="3565">
        <v>0</v>
      </c>
      <c r="O679" s="3563" t="s">
        <v>3453</v>
      </c>
    </row>
    <row r="680" spans="1:15">
      <c r="A680" s="3563" t="s">
        <v>4888</v>
      </c>
      <c r="B680" s="3563" t="s">
        <v>4196</v>
      </c>
      <c r="C680" s="3563" t="s">
        <v>4197</v>
      </c>
      <c r="D680" s="3563" t="s">
        <v>4796</v>
      </c>
      <c r="E680" s="3563" t="s">
        <v>4199</v>
      </c>
      <c r="F680" s="3563" t="s">
        <v>4797</v>
      </c>
      <c r="G680" s="3564">
        <v>100.83</v>
      </c>
      <c r="H680" s="3564">
        <v>81.739999999999995</v>
      </c>
      <c r="I680" s="3564">
        <v>19.09</v>
      </c>
      <c r="J680" s="3565">
        <v>1050145</v>
      </c>
      <c r="K680" s="3565">
        <v>10415.01</v>
      </c>
      <c r="L680" s="3565">
        <v>12847.38</v>
      </c>
      <c r="M680" s="3565">
        <v>0</v>
      </c>
      <c r="N680" s="3565">
        <v>0</v>
      </c>
      <c r="O680" s="3563" t="s">
        <v>3453</v>
      </c>
    </row>
    <row r="681" spans="1:15">
      <c r="A681" s="3563" t="s">
        <v>4889</v>
      </c>
      <c r="B681" s="3563" t="s">
        <v>4196</v>
      </c>
      <c r="C681" s="3563" t="s">
        <v>4197</v>
      </c>
      <c r="D681" s="3563" t="s">
        <v>4796</v>
      </c>
      <c r="E681" s="3563" t="s">
        <v>4199</v>
      </c>
      <c r="F681" s="3563" t="s">
        <v>4797</v>
      </c>
      <c r="G681" s="3564">
        <v>101.16</v>
      </c>
      <c r="H681" s="3564">
        <v>82.01</v>
      </c>
      <c r="I681" s="3564">
        <v>19.149999999999999</v>
      </c>
      <c r="J681" s="3565">
        <v>1012430</v>
      </c>
      <c r="K681" s="3565">
        <v>10008.200000000001</v>
      </c>
      <c r="L681" s="3565">
        <v>12345.2</v>
      </c>
      <c r="M681" s="3565">
        <v>0</v>
      </c>
      <c r="N681" s="3565">
        <v>0</v>
      </c>
      <c r="O681" s="3563" t="s">
        <v>3453</v>
      </c>
    </row>
    <row r="682" spans="1:15">
      <c r="A682" s="3563" t="s">
        <v>4890</v>
      </c>
      <c r="B682" s="3563" t="s">
        <v>4196</v>
      </c>
      <c r="C682" s="3563" t="s">
        <v>4197</v>
      </c>
      <c r="D682" s="3563" t="s">
        <v>4796</v>
      </c>
      <c r="E682" s="3563" t="s">
        <v>4199</v>
      </c>
      <c r="F682" s="3563" t="s">
        <v>4797</v>
      </c>
      <c r="G682" s="3564">
        <v>87.58</v>
      </c>
      <c r="H682" s="3564">
        <v>71</v>
      </c>
      <c r="I682" s="3564">
        <v>16.579999999999998</v>
      </c>
      <c r="J682" s="3565">
        <v>884778</v>
      </c>
      <c r="K682" s="3565">
        <v>10102.51</v>
      </c>
      <c r="L682" s="3565">
        <v>12461.66</v>
      </c>
      <c r="M682" s="3565">
        <v>0</v>
      </c>
      <c r="N682" s="3565">
        <v>0</v>
      </c>
      <c r="O682" s="3563" t="s">
        <v>3453</v>
      </c>
    </row>
    <row r="683" spans="1:15">
      <c r="A683" s="3563" t="s">
        <v>4891</v>
      </c>
      <c r="B683" s="3563" t="s">
        <v>4196</v>
      </c>
      <c r="C683" s="3563" t="s">
        <v>4197</v>
      </c>
      <c r="D683" s="3563" t="s">
        <v>4796</v>
      </c>
      <c r="E683" s="3563" t="s">
        <v>4199</v>
      </c>
      <c r="F683" s="3563" t="s">
        <v>4797</v>
      </c>
      <c r="G683" s="3564">
        <v>87.58</v>
      </c>
      <c r="H683" s="3564">
        <v>71</v>
      </c>
      <c r="I683" s="3564">
        <v>16.579999999999998</v>
      </c>
      <c r="J683" s="3565">
        <v>884778</v>
      </c>
      <c r="K683" s="3565">
        <v>10102.51</v>
      </c>
      <c r="L683" s="3565">
        <v>12461.66</v>
      </c>
      <c r="M683" s="3565">
        <v>0</v>
      </c>
      <c r="N683" s="3565">
        <v>0</v>
      </c>
      <c r="O683" s="3563" t="s">
        <v>3453</v>
      </c>
    </row>
    <row r="684" spans="1:15">
      <c r="A684" s="3563" t="s">
        <v>4892</v>
      </c>
      <c r="B684" s="3563" t="s">
        <v>4196</v>
      </c>
      <c r="C684" s="3563" t="s">
        <v>4197</v>
      </c>
      <c r="D684" s="3563" t="s">
        <v>4796</v>
      </c>
      <c r="E684" s="3563" t="s">
        <v>4199</v>
      </c>
      <c r="F684" s="3563" t="s">
        <v>4797</v>
      </c>
      <c r="G684" s="3564">
        <v>109.1</v>
      </c>
      <c r="H684" s="3564">
        <v>88.44</v>
      </c>
      <c r="I684" s="3564">
        <v>20.66</v>
      </c>
      <c r="J684" s="3565">
        <v>1136277</v>
      </c>
      <c r="K684" s="3565">
        <v>10415</v>
      </c>
      <c r="L684" s="3565">
        <v>12848</v>
      </c>
      <c r="M684" s="3565">
        <v>0</v>
      </c>
      <c r="N684" s="3565">
        <v>0</v>
      </c>
      <c r="O684" s="3563" t="s">
        <v>3453</v>
      </c>
    </row>
    <row r="685" spans="1:15">
      <c r="A685" s="3563" t="s">
        <v>4893</v>
      </c>
      <c r="B685" s="3563" t="s">
        <v>4196</v>
      </c>
      <c r="C685" s="3563" t="s">
        <v>4197</v>
      </c>
      <c r="D685" s="3563" t="s">
        <v>4796</v>
      </c>
      <c r="E685" s="3563" t="s">
        <v>4199</v>
      </c>
      <c r="F685" s="3563" t="s">
        <v>4797</v>
      </c>
      <c r="G685" s="3564">
        <v>100.83</v>
      </c>
      <c r="H685" s="3564">
        <v>81.739999999999995</v>
      </c>
      <c r="I685" s="3564">
        <v>19.09</v>
      </c>
      <c r="J685" s="3565">
        <v>1048884</v>
      </c>
      <c r="K685" s="3565">
        <v>10402.5</v>
      </c>
      <c r="L685" s="3565">
        <v>12831.95</v>
      </c>
      <c r="M685" s="3565">
        <v>0</v>
      </c>
      <c r="N685" s="3565">
        <v>0</v>
      </c>
      <c r="O685" s="3563" t="s">
        <v>3453</v>
      </c>
    </row>
    <row r="686" spans="1:15">
      <c r="A686" s="3563" t="s">
        <v>4894</v>
      </c>
      <c r="B686" s="3563" t="s">
        <v>4196</v>
      </c>
      <c r="C686" s="3563" t="s">
        <v>4197</v>
      </c>
      <c r="D686" s="3563" t="s">
        <v>4796</v>
      </c>
      <c r="E686" s="3563" t="s">
        <v>4199</v>
      </c>
      <c r="F686" s="3563" t="s">
        <v>4797</v>
      </c>
      <c r="G686" s="3564">
        <v>100.83</v>
      </c>
      <c r="H686" s="3564">
        <v>81.739999999999995</v>
      </c>
      <c r="I686" s="3564">
        <v>19.09</v>
      </c>
      <c r="J686" s="3565">
        <v>1048884</v>
      </c>
      <c r="K686" s="3565">
        <v>10402.5</v>
      </c>
      <c r="L686" s="3565">
        <v>12831.95</v>
      </c>
      <c r="M686" s="3565">
        <v>0</v>
      </c>
      <c r="N686" s="3565">
        <v>0</v>
      </c>
      <c r="O686" s="3563" t="s">
        <v>3453</v>
      </c>
    </row>
    <row r="687" spans="1:15">
      <c r="A687" s="3563" t="s">
        <v>4895</v>
      </c>
      <c r="B687" s="3563" t="s">
        <v>4196</v>
      </c>
      <c r="C687" s="3563" t="s">
        <v>4197</v>
      </c>
      <c r="D687" s="3563" t="s">
        <v>4796</v>
      </c>
      <c r="E687" s="3563" t="s">
        <v>4199</v>
      </c>
      <c r="F687" s="3563" t="s">
        <v>4797</v>
      </c>
      <c r="G687" s="3564">
        <v>101.16</v>
      </c>
      <c r="H687" s="3564">
        <v>82.01</v>
      </c>
      <c r="I687" s="3564">
        <v>19.149999999999999</v>
      </c>
      <c r="J687" s="3565">
        <v>1011545</v>
      </c>
      <c r="K687" s="3565">
        <v>9999.4599999999991</v>
      </c>
      <c r="L687" s="3565">
        <v>12334.41</v>
      </c>
      <c r="M687" s="3565">
        <v>0</v>
      </c>
      <c r="N687" s="3565">
        <v>0</v>
      </c>
      <c r="O687" s="3563" t="s">
        <v>3453</v>
      </c>
    </row>
    <row r="688" spans="1:15">
      <c r="A688" s="3563" t="s">
        <v>4896</v>
      </c>
      <c r="B688" s="3563" t="s">
        <v>4196</v>
      </c>
      <c r="C688" s="3563" t="s">
        <v>4197</v>
      </c>
      <c r="D688" s="3563" t="s">
        <v>4796</v>
      </c>
      <c r="E688" s="3563" t="s">
        <v>4199</v>
      </c>
      <c r="F688" s="3563" t="s">
        <v>4797</v>
      </c>
      <c r="G688" s="3564">
        <v>87.58</v>
      </c>
      <c r="H688" s="3564">
        <v>71</v>
      </c>
      <c r="I688" s="3564">
        <v>16.579999999999998</v>
      </c>
      <c r="J688" s="3565">
        <v>883683</v>
      </c>
      <c r="K688" s="3565">
        <v>10090.01</v>
      </c>
      <c r="L688" s="3565">
        <v>12446.24</v>
      </c>
      <c r="M688" s="3565">
        <v>0</v>
      </c>
      <c r="N688" s="3565">
        <v>0</v>
      </c>
      <c r="O688" s="3563" t="s">
        <v>3453</v>
      </c>
    </row>
    <row r="689" spans="1:15">
      <c r="A689" s="3563" t="s">
        <v>4897</v>
      </c>
      <c r="B689" s="3563" t="s">
        <v>4811</v>
      </c>
      <c r="C689" s="3563" t="s">
        <v>4197</v>
      </c>
      <c r="D689" s="3563" t="s">
        <v>4796</v>
      </c>
      <c r="E689" s="3563" t="s">
        <v>4199</v>
      </c>
      <c r="F689" s="3563" t="s">
        <v>4797</v>
      </c>
      <c r="G689" s="3564">
        <v>87.58</v>
      </c>
      <c r="H689" s="3564">
        <v>71</v>
      </c>
      <c r="I689" s="3564">
        <v>16.579999999999998</v>
      </c>
      <c r="J689" s="3565">
        <v>883683</v>
      </c>
      <c r="K689" s="3565">
        <v>10090.01</v>
      </c>
      <c r="L689" s="3565">
        <v>12446.24</v>
      </c>
      <c r="M689" s="3565">
        <v>830663</v>
      </c>
      <c r="N689" s="3565">
        <v>9484.6200000000008</v>
      </c>
      <c r="O689" s="3566">
        <v>44192</v>
      </c>
    </row>
    <row r="690" spans="1:15">
      <c r="A690" s="3563" t="s">
        <v>4898</v>
      </c>
      <c r="B690" s="3563" t="s">
        <v>4196</v>
      </c>
      <c r="C690" s="3563" t="s">
        <v>4197</v>
      </c>
      <c r="D690" s="3563" t="s">
        <v>4796</v>
      </c>
      <c r="E690" s="3563" t="s">
        <v>4199</v>
      </c>
      <c r="F690" s="3563" t="s">
        <v>4797</v>
      </c>
      <c r="G690" s="3564">
        <v>109.1</v>
      </c>
      <c r="H690" s="3564">
        <v>88.44</v>
      </c>
      <c r="I690" s="3564">
        <v>20.66</v>
      </c>
      <c r="J690" s="3565">
        <v>1134913</v>
      </c>
      <c r="K690" s="3565">
        <v>10402.5</v>
      </c>
      <c r="L690" s="3565">
        <v>12832.58</v>
      </c>
      <c r="M690" s="3565">
        <v>0</v>
      </c>
      <c r="N690" s="3565">
        <v>0</v>
      </c>
      <c r="O690" s="3563" t="s">
        <v>3453</v>
      </c>
    </row>
    <row r="691" spans="1:15">
      <c r="A691" s="3563" t="s">
        <v>4899</v>
      </c>
      <c r="B691" s="3563" t="s">
        <v>4811</v>
      </c>
      <c r="C691" s="3563" t="s">
        <v>4197</v>
      </c>
      <c r="D691" s="3563" t="s">
        <v>4796</v>
      </c>
      <c r="E691" s="3563" t="s">
        <v>4199</v>
      </c>
      <c r="F691" s="3563" t="s">
        <v>4797</v>
      </c>
      <c r="G691" s="3564">
        <v>100.83</v>
      </c>
      <c r="H691" s="3564">
        <v>81.739999999999995</v>
      </c>
      <c r="I691" s="3564">
        <v>19.09</v>
      </c>
      <c r="J691" s="3565">
        <v>1009813</v>
      </c>
      <c r="K691" s="3565">
        <v>10015.01</v>
      </c>
      <c r="L691" s="3565">
        <v>12353.96</v>
      </c>
      <c r="M691" s="3565">
        <v>959323</v>
      </c>
      <c r="N691" s="3565">
        <v>9514.26</v>
      </c>
      <c r="O691" s="3566">
        <v>44192</v>
      </c>
    </row>
    <row r="692" spans="1:15">
      <c r="A692" s="3563" t="s">
        <v>4900</v>
      </c>
      <c r="B692" s="3563" t="s">
        <v>4811</v>
      </c>
      <c r="C692" s="3563" t="s">
        <v>4197</v>
      </c>
      <c r="D692" s="3563" t="s">
        <v>4796</v>
      </c>
      <c r="E692" s="3563" t="s">
        <v>4199</v>
      </c>
      <c r="F692" s="3563" t="s">
        <v>4797</v>
      </c>
      <c r="G692" s="3564">
        <v>100.83</v>
      </c>
      <c r="H692" s="3564">
        <v>81.739999999999995</v>
      </c>
      <c r="I692" s="3564">
        <v>19.09</v>
      </c>
      <c r="J692" s="3565">
        <v>1009813</v>
      </c>
      <c r="K692" s="3565">
        <v>10015.01</v>
      </c>
      <c r="L692" s="3565">
        <v>12353.96</v>
      </c>
      <c r="M692" s="3565">
        <v>959323</v>
      </c>
      <c r="N692" s="3565">
        <v>9514.26</v>
      </c>
      <c r="O692" s="3566">
        <v>44192</v>
      </c>
    </row>
    <row r="693" spans="1:15">
      <c r="A693" s="3563" t="s">
        <v>4901</v>
      </c>
      <c r="B693" s="3563" t="s">
        <v>4196</v>
      </c>
      <c r="C693" s="3563" t="s">
        <v>4197</v>
      </c>
      <c r="D693" s="3563" t="s">
        <v>4796</v>
      </c>
      <c r="E693" s="3563" t="s">
        <v>4199</v>
      </c>
      <c r="F693" s="3563" t="s">
        <v>4797</v>
      </c>
      <c r="G693" s="3564">
        <v>101.16</v>
      </c>
      <c r="H693" s="3564">
        <v>82.01</v>
      </c>
      <c r="I693" s="3564">
        <v>19.149999999999999</v>
      </c>
      <c r="J693" s="3565">
        <v>1011545</v>
      </c>
      <c r="K693" s="3565">
        <v>9999.4599999999991</v>
      </c>
      <c r="L693" s="3565">
        <v>12334.41</v>
      </c>
      <c r="M693" s="3565">
        <v>0</v>
      </c>
      <c r="N693" s="3565">
        <v>0</v>
      </c>
      <c r="O693" s="3563" t="s">
        <v>3453</v>
      </c>
    </row>
    <row r="694" spans="1:15">
      <c r="A694" s="3563" t="s">
        <v>4902</v>
      </c>
      <c r="B694" s="3563" t="s">
        <v>4196</v>
      </c>
      <c r="C694" s="3563" t="s">
        <v>4197</v>
      </c>
      <c r="D694" s="3563" t="s">
        <v>4796</v>
      </c>
      <c r="E694" s="3563" t="s">
        <v>4199</v>
      </c>
      <c r="F694" s="3563" t="s">
        <v>4797</v>
      </c>
      <c r="G694" s="3564">
        <v>87.58</v>
      </c>
      <c r="H694" s="3564">
        <v>71</v>
      </c>
      <c r="I694" s="3564">
        <v>16.579999999999998</v>
      </c>
      <c r="J694" s="3565">
        <v>875753</v>
      </c>
      <c r="K694" s="3565">
        <v>9999.4599999999991</v>
      </c>
      <c r="L694" s="3565">
        <v>12334.55</v>
      </c>
      <c r="M694" s="3565">
        <v>0</v>
      </c>
      <c r="N694" s="3565">
        <v>0</v>
      </c>
      <c r="O694" s="3563" t="s">
        <v>3453</v>
      </c>
    </row>
    <row r="695" spans="1:15">
      <c r="A695" s="3563" t="s">
        <v>4903</v>
      </c>
      <c r="B695" s="3563" t="s">
        <v>4196</v>
      </c>
      <c r="C695" s="3563" t="s">
        <v>4197</v>
      </c>
      <c r="D695" s="3563" t="s">
        <v>4796</v>
      </c>
      <c r="E695" s="3563" t="s">
        <v>4199</v>
      </c>
      <c r="F695" s="3563" t="s">
        <v>4797</v>
      </c>
      <c r="G695" s="3564">
        <v>87.58</v>
      </c>
      <c r="H695" s="3564">
        <v>71</v>
      </c>
      <c r="I695" s="3564">
        <v>16.579999999999998</v>
      </c>
      <c r="J695" s="3565">
        <v>875753</v>
      </c>
      <c r="K695" s="3565">
        <v>9999.4599999999991</v>
      </c>
      <c r="L695" s="3565">
        <v>12334.55</v>
      </c>
      <c r="M695" s="3565">
        <v>0</v>
      </c>
      <c r="N695" s="3565">
        <v>0</v>
      </c>
      <c r="O695" s="3563" t="s">
        <v>3453</v>
      </c>
    </row>
    <row r="696" spans="1:15">
      <c r="A696" s="3563" t="s">
        <v>4904</v>
      </c>
      <c r="B696" s="3563" t="s">
        <v>4196</v>
      </c>
      <c r="C696" s="3563" t="s">
        <v>4197</v>
      </c>
      <c r="D696" s="3563" t="s">
        <v>4796</v>
      </c>
      <c r="E696" s="3563" t="s">
        <v>4199</v>
      </c>
      <c r="F696" s="3563" t="s">
        <v>4797</v>
      </c>
      <c r="G696" s="3564">
        <v>109.1</v>
      </c>
      <c r="H696" s="3564">
        <v>88.44</v>
      </c>
      <c r="I696" s="3564">
        <v>20.66</v>
      </c>
      <c r="J696" s="3565">
        <v>1092637</v>
      </c>
      <c r="K696" s="3565">
        <v>10015</v>
      </c>
      <c r="L696" s="3565">
        <v>12354.56</v>
      </c>
      <c r="M696" s="3565">
        <v>0</v>
      </c>
      <c r="N696" s="3565">
        <v>0</v>
      </c>
      <c r="O696" s="3563" t="s">
        <v>3453</v>
      </c>
    </row>
    <row r="697" spans="1:15">
      <c r="A697" s="3563" t="s">
        <v>4905</v>
      </c>
      <c r="B697" s="3563" t="s">
        <v>4196</v>
      </c>
      <c r="C697" s="3563" t="s">
        <v>4197</v>
      </c>
      <c r="D697" s="3563" t="s">
        <v>4796</v>
      </c>
      <c r="E697" s="3563" t="s">
        <v>4199</v>
      </c>
      <c r="F697" s="3563" t="s">
        <v>4797</v>
      </c>
      <c r="G697" s="3564">
        <v>100.83</v>
      </c>
      <c r="H697" s="3564">
        <v>81.739999999999995</v>
      </c>
      <c r="I697" s="3564">
        <v>19.09</v>
      </c>
      <c r="J697" s="3565">
        <v>1018635</v>
      </c>
      <c r="K697" s="3565">
        <v>10102.5</v>
      </c>
      <c r="L697" s="3565">
        <v>12461.89</v>
      </c>
      <c r="M697" s="3565">
        <v>0</v>
      </c>
      <c r="N697" s="3565">
        <v>0</v>
      </c>
      <c r="O697" s="3563" t="s">
        <v>3453</v>
      </c>
    </row>
    <row r="698" spans="1:15">
      <c r="A698" s="3563" t="s">
        <v>4906</v>
      </c>
      <c r="B698" s="3563" t="s">
        <v>4196</v>
      </c>
      <c r="C698" s="3563" t="s">
        <v>4197</v>
      </c>
      <c r="D698" s="3563" t="s">
        <v>4796</v>
      </c>
      <c r="E698" s="3563" t="s">
        <v>4199</v>
      </c>
      <c r="F698" s="3563" t="s">
        <v>4797</v>
      </c>
      <c r="G698" s="3564">
        <v>100.83</v>
      </c>
      <c r="H698" s="3564">
        <v>81.739999999999995</v>
      </c>
      <c r="I698" s="3564">
        <v>19.09</v>
      </c>
      <c r="J698" s="3565">
        <v>1009128</v>
      </c>
      <c r="K698" s="3565">
        <v>10008.209999999999</v>
      </c>
      <c r="L698" s="3565">
        <v>12345.58</v>
      </c>
      <c r="M698" s="3565">
        <v>0</v>
      </c>
      <c r="N698" s="3565">
        <v>0</v>
      </c>
      <c r="O698" s="3563" t="s">
        <v>3453</v>
      </c>
    </row>
    <row r="699" spans="1:15">
      <c r="A699" s="3563" t="s">
        <v>4907</v>
      </c>
      <c r="B699" s="3563" t="s">
        <v>4196</v>
      </c>
      <c r="C699" s="3563" t="s">
        <v>4197</v>
      </c>
      <c r="D699" s="3563" t="s">
        <v>4796</v>
      </c>
      <c r="E699" s="3563" t="s">
        <v>4199</v>
      </c>
      <c r="F699" s="3563" t="s">
        <v>4797</v>
      </c>
      <c r="G699" s="3564">
        <v>101.16</v>
      </c>
      <c r="H699" s="3564">
        <v>82.01</v>
      </c>
      <c r="I699" s="3564">
        <v>19.149999999999999</v>
      </c>
      <c r="J699" s="3565">
        <v>1011545</v>
      </c>
      <c r="K699" s="3565">
        <v>9999.4599999999991</v>
      </c>
      <c r="L699" s="3565">
        <v>12334.41</v>
      </c>
      <c r="M699" s="3565">
        <v>0</v>
      </c>
      <c r="N699" s="3565">
        <v>0</v>
      </c>
      <c r="O699" s="3563" t="s">
        <v>3453</v>
      </c>
    </row>
    <row r="700" spans="1:15">
      <c r="A700" s="3563" t="s">
        <v>4908</v>
      </c>
      <c r="B700" s="3563" t="s">
        <v>4196</v>
      </c>
      <c r="C700" s="3563" t="s">
        <v>4197</v>
      </c>
      <c r="D700" s="3563" t="s">
        <v>4796</v>
      </c>
      <c r="E700" s="3563" t="s">
        <v>4199</v>
      </c>
      <c r="F700" s="3563" t="s">
        <v>4797</v>
      </c>
      <c r="G700" s="3564">
        <v>87.58</v>
      </c>
      <c r="H700" s="3564">
        <v>71</v>
      </c>
      <c r="I700" s="3564">
        <v>16.579999999999998</v>
      </c>
      <c r="J700" s="3565">
        <v>875753</v>
      </c>
      <c r="K700" s="3565">
        <v>9999.4599999999991</v>
      </c>
      <c r="L700" s="3565">
        <v>12334.55</v>
      </c>
      <c r="M700" s="3565">
        <v>0</v>
      </c>
      <c r="N700" s="3565">
        <v>0</v>
      </c>
      <c r="O700" s="3563" t="s">
        <v>3453</v>
      </c>
    </row>
    <row r="701" spans="1:15">
      <c r="A701" s="3563" t="s">
        <v>4909</v>
      </c>
      <c r="B701" s="3563" t="s">
        <v>4196</v>
      </c>
      <c r="C701" s="3563" t="s">
        <v>4197</v>
      </c>
      <c r="D701" s="3563" t="s">
        <v>4796</v>
      </c>
      <c r="E701" s="3563" t="s">
        <v>4199</v>
      </c>
      <c r="F701" s="3563" t="s">
        <v>4797</v>
      </c>
      <c r="G701" s="3564">
        <v>87.58</v>
      </c>
      <c r="H701" s="3564">
        <v>71</v>
      </c>
      <c r="I701" s="3564">
        <v>16.579999999999998</v>
      </c>
      <c r="J701" s="3565">
        <v>875753</v>
      </c>
      <c r="K701" s="3565">
        <v>9999.4599999999991</v>
      </c>
      <c r="L701" s="3565">
        <v>12334.55</v>
      </c>
      <c r="M701" s="3565">
        <v>0</v>
      </c>
      <c r="N701" s="3565">
        <v>0</v>
      </c>
      <c r="O701" s="3563" t="s">
        <v>3453</v>
      </c>
    </row>
    <row r="702" spans="1:15">
      <c r="A702" s="3563" t="s">
        <v>4910</v>
      </c>
      <c r="B702" s="3563" t="s">
        <v>4196</v>
      </c>
      <c r="C702" s="3563" t="s">
        <v>4197</v>
      </c>
      <c r="D702" s="3563" t="s">
        <v>4796</v>
      </c>
      <c r="E702" s="3563" t="s">
        <v>4199</v>
      </c>
      <c r="F702" s="3563" t="s">
        <v>4797</v>
      </c>
      <c r="G702" s="3564">
        <v>109.1</v>
      </c>
      <c r="H702" s="3564">
        <v>88.44</v>
      </c>
      <c r="I702" s="3564">
        <v>20.66</v>
      </c>
      <c r="J702" s="3565">
        <v>1102183</v>
      </c>
      <c r="K702" s="3565">
        <v>10102.5</v>
      </c>
      <c r="L702" s="3565">
        <v>12462.49</v>
      </c>
      <c r="M702" s="3565">
        <v>0</v>
      </c>
      <c r="N702" s="3565">
        <v>0</v>
      </c>
      <c r="O702" s="3563" t="s">
        <v>3453</v>
      </c>
    </row>
    <row r="703" spans="1:15">
      <c r="A703" s="3563" t="s">
        <v>4911</v>
      </c>
      <c r="B703" s="3563" t="s">
        <v>4811</v>
      </c>
      <c r="C703" s="3563" t="s">
        <v>4197</v>
      </c>
      <c r="D703" s="3563" t="s">
        <v>4796</v>
      </c>
      <c r="E703" s="3563" t="s">
        <v>4199</v>
      </c>
      <c r="F703" s="3563" t="s">
        <v>4797</v>
      </c>
      <c r="G703" s="3564">
        <v>100.83</v>
      </c>
      <c r="H703" s="3564">
        <v>81.739999999999995</v>
      </c>
      <c r="I703" s="3564">
        <v>19.09</v>
      </c>
      <c r="J703" s="3565">
        <v>1033760</v>
      </c>
      <c r="K703" s="3565">
        <v>10252.5</v>
      </c>
      <c r="L703" s="3565">
        <v>12646.93</v>
      </c>
      <c r="M703" s="3565">
        <v>982072</v>
      </c>
      <c r="N703" s="3565">
        <v>9739.8799999999992</v>
      </c>
      <c r="O703" s="3566">
        <v>44192</v>
      </c>
    </row>
    <row r="704" spans="1:15">
      <c r="A704" s="3563" t="s">
        <v>4912</v>
      </c>
      <c r="B704" s="3563" t="s">
        <v>4196</v>
      </c>
      <c r="C704" s="3563" t="s">
        <v>4197</v>
      </c>
      <c r="D704" s="3563" t="s">
        <v>4796</v>
      </c>
      <c r="E704" s="3563" t="s">
        <v>4199</v>
      </c>
      <c r="F704" s="3563" t="s">
        <v>4797</v>
      </c>
      <c r="G704" s="3564">
        <v>100.83</v>
      </c>
      <c r="H704" s="3564">
        <v>81.739999999999995</v>
      </c>
      <c r="I704" s="3564">
        <v>19.09</v>
      </c>
      <c r="J704" s="3565">
        <v>1021157</v>
      </c>
      <c r="K704" s="3565">
        <v>10127.51</v>
      </c>
      <c r="L704" s="3565">
        <v>12492.75</v>
      </c>
      <c r="M704" s="3565">
        <v>0</v>
      </c>
      <c r="N704" s="3565">
        <v>0</v>
      </c>
      <c r="O704" s="3563" t="s">
        <v>3453</v>
      </c>
    </row>
    <row r="705" spans="1:15">
      <c r="A705" s="3563" t="s">
        <v>4913</v>
      </c>
      <c r="B705" s="3563" t="s">
        <v>4196</v>
      </c>
      <c r="C705" s="3563" t="s">
        <v>4197</v>
      </c>
      <c r="D705" s="3563" t="s">
        <v>4796</v>
      </c>
      <c r="E705" s="3563" t="s">
        <v>4199</v>
      </c>
      <c r="F705" s="3563" t="s">
        <v>4797</v>
      </c>
      <c r="G705" s="3564">
        <v>101.16</v>
      </c>
      <c r="H705" s="3564">
        <v>82.01</v>
      </c>
      <c r="I705" s="3564">
        <v>19.149999999999999</v>
      </c>
      <c r="J705" s="3565">
        <v>1011545</v>
      </c>
      <c r="K705" s="3565">
        <v>9999.4599999999991</v>
      </c>
      <c r="L705" s="3565">
        <v>12334.41</v>
      </c>
      <c r="M705" s="3565">
        <v>0</v>
      </c>
      <c r="N705" s="3565">
        <v>0</v>
      </c>
      <c r="O705" s="3563" t="s">
        <v>3453</v>
      </c>
    </row>
    <row r="706" spans="1:15">
      <c r="A706" s="3563" t="s">
        <v>4914</v>
      </c>
      <c r="B706" s="3563" t="s">
        <v>4196</v>
      </c>
      <c r="C706" s="3563" t="s">
        <v>4197</v>
      </c>
      <c r="D706" s="3563" t="s">
        <v>4796</v>
      </c>
      <c r="E706" s="3563" t="s">
        <v>4199</v>
      </c>
      <c r="F706" s="3563" t="s">
        <v>4797</v>
      </c>
      <c r="G706" s="3564">
        <v>87.58</v>
      </c>
      <c r="H706" s="3564">
        <v>71</v>
      </c>
      <c r="I706" s="3564">
        <v>16.579999999999998</v>
      </c>
      <c r="J706" s="3565">
        <v>875753</v>
      </c>
      <c r="K706" s="3565">
        <v>9999.4599999999991</v>
      </c>
      <c r="L706" s="3565">
        <v>12334.55</v>
      </c>
      <c r="M706" s="3565">
        <v>0</v>
      </c>
      <c r="N706" s="3565">
        <v>0</v>
      </c>
      <c r="O706" s="3563" t="s">
        <v>3453</v>
      </c>
    </row>
    <row r="707" spans="1:15">
      <c r="A707" s="3563" t="s">
        <v>4915</v>
      </c>
      <c r="B707" s="3563" t="s">
        <v>4196</v>
      </c>
      <c r="C707" s="3563" t="s">
        <v>4197</v>
      </c>
      <c r="D707" s="3563" t="s">
        <v>4796</v>
      </c>
      <c r="E707" s="3563" t="s">
        <v>4199</v>
      </c>
      <c r="F707" s="3563" t="s">
        <v>4797</v>
      </c>
      <c r="G707" s="3564">
        <v>87.58</v>
      </c>
      <c r="H707" s="3564">
        <v>71</v>
      </c>
      <c r="I707" s="3564">
        <v>16.579999999999998</v>
      </c>
      <c r="J707" s="3565">
        <v>875753</v>
      </c>
      <c r="K707" s="3565">
        <v>9999.4599999999991</v>
      </c>
      <c r="L707" s="3565">
        <v>12334.55</v>
      </c>
      <c r="M707" s="3565">
        <v>0</v>
      </c>
      <c r="N707" s="3565">
        <v>0</v>
      </c>
      <c r="O707" s="3563" t="s">
        <v>3453</v>
      </c>
    </row>
    <row r="708" spans="1:15">
      <c r="A708" s="3563" t="s">
        <v>4916</v>
      </c>
      <c r="B708" s="3563" t="s">
        <v>4196</v>
      </c>
      <c r="C708" s="3563" t="s">
        <v>4197</v>
      </c>
      <c r="D708" s="3563" t="s">
        <v>4796</v>
      </c>
      <c r="E708" s="3563" t="s">
        <v>4199</v>
      </c>
      <c r="F708" s="3563" t="s">
        <v>4797</v>
      </c>
      <c r="G708" s="3564">
        <v>109.1</v>
      </c>
      <c r="H708" s="3564">
        <v>88.44</v>
      </c>
      <c r="I708" s="3564">
        <v>20.66</v>
      </c>
      <c r="J708" s="3565">
        <v>1118548</v>
      </c>
      <c r="K708" s="3565">
        <v>10252.5</v>
      </c>
      <c r="L708" s="3565">
        <v>12647.54</v>
      </c>
      <c r="M708" s="3565">
        <v>0</v>
      </c>
      <c r="N708" s="3565">
        <v>0</v>
      </c>
      <c r="O708" s="3563" t="s">
        <v>3453</v>
      </c>
    </row>
    <row r="709" spans="1:15">
      <c r="A709" s="3563" t="s">
        <v>4917</v>
      </c>
      <c r="B709" s="3563" t="s">
        <v>4196</v>
      </c>
      <c r="C709" s="3563" t="s">
        <v>4197</v>
      </c>
      <c r="D709" s="3563" t="s">
        <v>4796</v>
      </c>
      <c r="E709" s="3563" t="s">
        <v>4199</v>
      </c>
      <c r="F709" s="3563" t="s">
        <v>4797</v>
      </c>
      <c r="G709" s="3564">
        <v>100.83</v>
      </c>
      <c r="H709" s="3564">
        <v>81.739999999999995</v>
      </c>
      <c r="I709" s="3564">
        <v>19.09</v>
      </c>
      <c r="J709" s="3565">
        <v>1048884</v>
      </c>
      <c r="K709" s="3565">
        <v>10402.5</v>
      </c>
      <c r="L709" s="3565">
        <v>12831.95</v>
      </c>
      <c r="M709" s="3565">
        <v>0</v>
      </c>
      <c r="N709" s="3565">
        <v>0</v>
      </c>
      <c r="O709" s="3563" t="s">
        <v>3453</v>
      </c>
    </row>
    <row r="710" spans="1:15">
      <c r="A710" s="3563" t="s">
        <v>4918</v>
      </c>
      <c r="B710" s="3563" t="s">
        <v>4811</v>
      </c>
      <c r="C710" s="3563" t="s">
        <v>4197</v>
      </c>
      <c r="D710" s="3563" t="s">
        <v>4796</v>
      </c>
      <c r="E710" s="3563" t="s">
        <v>4199</v>
      </c>
      <c r="F710" s="3563" t="s">
        <v>4797</v>
      </c>
      <c r="G710" s="3564">
        <v>100.83</v>
      </c>
      <c r="H710" s="3564">
        <v>81.739999999999995</v>
      </c>
      <c r="I710" s="3564">
        <v>19.09</v>
      </c>
      <c r="J710" s="3565">
        <v>1036280</v>
      </c>
      <c r="K710" s="3565">
        <v>10277.5</v>
      </c>
      <c r="L710" s="3565">
        <v>12677.76</v>
      </c>
      <c r="M710" s="3565">
        <v>1036280</v>
      </c>
      <c r="N710" s="3565">
        <v>10277.5</v>
      </c>
      <c r="O710" s="3566">
        <v>44192</v>
      </c>
    </row>
    <row r="711" spans="1:15">
      <c r="A711" s="3563" t="s">
        <v>4919</v>
      </c>
      <c r="B711" s="3563" t="s">
        <v>4196</v>
      </c>
      <c r="C711" s="3563" t="s">
        <v>4197</v>
      </c>
      <c r="D711" s="3563" t="s">
        <v>4796</v>
      </c>
      <c r="E711" s="3563" t="s">
        <v>4199</v>
      </c>
      <c r="F711" s="3563" t="s">
        <v>4797</v>
      </c>
      <c r="G711" s="3564">
        <v>101.16</v>
      </c>
      <c r="H711" s="3564">
        <v>82.01</v>
      </c>
      <c r="I711" s="3564">
        <v>19.149999999999999</v>
      </c>
      <c r="J711" s="3565">
        <v>1011545</v>
      </c>
      <c r="K711" s="3565">
        <v>9999.4599999999991</v>
      </c>
      <c r="L711" s="3565">
        <v>12334.41</v>
      </c>
      <c r="M711" s="3565">
        <v>0</v>
      </c>
      <c r="N711" s="3565">
        <v>0</v>
      </c>
      <c r="O711" s="3563" t="s">
        <v>3453</v>
      </c>
    </row>
    <row r="712" spans="1:15">
      <c r="A712" s="3563" t="s">
        <v>4920</v>
      </c>
      <c r="B712" s="3563" t="s">
        <v>4196</v>
      </c>
      <c r="C712" s="3563" t="s">
        <v>4197</v>
      </c>
      <c r="D712" s="3563" t="s">
        <v>4796</v>
      </c>
      <c r="E712" s="3563" t="s">
        <v>4199</v>
      </c>
      <c r="F712" s="3563" t="s">
        <v>4797</v>
      </c>
      <c r="G712" s="3564">
        <v>87.58</v>
      </c>
      <c r="H712" s="3564">
        <v>71</v>
      </c>
      <c r="I712" s="3564">
        <v>16.579999999999998</v>
      </c>
      <c r="J712" s="3565">
        <v>875753</v>
      </c>
      <c r="K712" s="3565">
        <v>9999.4599999999991</v>
      </c>
      <c r="L712" s="3565">
        <v>12334.55</v>
      </c>
      <c r="M712" s="3565">
        <v>0</v>
      </c>
      <c r="N712" s="3565">
        <v>0</v>
      </c>
      <c r="O712" s="3563" t="s">
        <v>3453</v>
      </c>
    </row>
    <row r="713" spans="1:15">
      <c r="A713" s="3563" t="s">
        <v>4921</v>
      </c>
      <c r="B713" s="3563" t="s">
        <v>4196</v>
      </c>
      <c r="C713" s="3563" t="s">
        <v>4197</v>
      </c>
      <c r="D713" s="3563" t="s">
        <v>4796</v>
      </c>
      <c r="E713" s="3563" t="s">
        <v>4199</v>
      </c>
      <c r="F713" s="3563" t="s">
        <v>4797</v>
      </c>
      <c r="G713" s="3564">
        <v>87.58</v>
      </c>
      <c r="H713" s="3564">
        <v>71</v>
      </c>
      <c r="I713" s="3564">
        <v>16.579999999999998</v>
      </c>
      <c r="J713" s="3565">
        <v>875753</v>
      </c>
      <c r="K713" s="3565">
        <v>9999.4599999999991</v>
      </c>
      <c r="L713" s="3565">
        <v>12334.55</v>
      </c>
      <c r="M713" s="3565">
        <v>0</v>
      </c>
      <c r="N713" s="3565">
        <v>0</v>
      </c>
      <c r="O713" s="3563" t="s">
        <v>3453</v>
      </c>
    </row>
    <row r="714" spans="1:15">
      <c r="A714" s="3563" t="s">
        <v>4922</v>
      </c>
      <c r="B714" s="3563" t="s">
        <v>4196</v>
      </c>
      <c r="C714" s="3563" t="s">
        <v>4197</v>
      </c>
      <c r="D714" s="3563" t="s">
        <v>4796</v>
      </c>
      <c r="E714" s="3563" t="s">
        <v>4199</v>
      </c>
      <c r="F714" s="3563" t="s">
        <v>4797</v>
      </c>
      <c r="G714" s="3564">
        <v>109.1</v>
      </c>
      <c r="H714" s="3564">
        <v>88.44</v>
      </c>
      <c r="I714" s="3564">
        <v>20.66</v>
      </c>
      <c r="J714" s="3565">
        <v>1134913</v>
      </c>
      <c r="K714" s="3565">
        <v>10402.5</v>
      </c>
      <c r="L714" s="3565">
        <v>12832.58</v>
      </c>
      <c r="M714" s="3565">
        <v>0</v>
      </c>
      <c r="N714" s="3565">
        <v>0</v>
      </c>
      <c r="O714" s="3563" t="s">
        <v>3453</v>
      </c>
    </row>
    <row r="715" spans="1:15">
      <c r="A715" s="3563" t="s">
        <v>4923</v>
      </c>
      <c r="B715" s="3563" t="s">
        <v>4196</v>
      </c>
      <c r="C715" s="3563" t="s">
        <v>4197</v>
      </c>
      <c r="D715" s="3563" t="s">
        <v>4796</v>
      </c>
      <c r="E715" s="3563" t="s">
        <v>4199</v>
      </c>
      <c r="F715" s="3563" t="s">
        <v>4797</v>
      </c>
      <c r="G715" s="3564">
        <v>100.83</v>
      </c>
      <c r="H715" s="3564">
        <v>81.739999999999995</v>
      </c>
      <c r="I715" s="3564">
        <v>19.09</v>
      </c>
      <c r="J715" s="3565">
        <v>1050145</v>
      </c>
      <c r="K715" s="3565">
        <v>10415.01</v>
      </c>
      <c r="L715" s="3565">
        <v>12847.38</v>
      </c>
      <c r="M715" s="3565">
        <v>0</v>
      </c>
      <c r="N715" s="3565">
        <v>0</v>
      </c>
      <c r="O715" s="3563" t="s">
        <v>3453</v>
      </c>
    </row>
    <row r="716" spans="1:15">
      <c r="A716" s="3563" t="s">
        <v>4924</v>
      </c>
      <c r="B716" s="3563" t="s">
        <v>4811</v>
      </c>
      <c r="C716" s="3563" t="s">
        <v>4197</v>
      </c>
      <c r="D716" s="3563" t="s">
        <v>4796</v>
      </c>
      <c r="E716" s="3563" t="s">
        <v>4199</v>
      </c>
      <c r="F716" s="3563" t="s">
        <v>4797</v>
      </c>
      <c r="G716" s="3564">
        <v>100.83</v>
      </c>
      <c r="H716" s="3564">
        <v>81.739999999999995</v>
      </c>
      <c r="I716" s="3564">
        <v>19.09</v>
      </c>
      <c r="J716" s="3565">
        <v>1037542</v>
      </c>
      <c r="K716" s="3565">
        <v>10290.01</v>
      </c>
      <c r="L716" s="3565">
        <v>12693.2</v>
      </c>
      <c r="M716" s="3565">
        <v>985665</v>
      </c>
      <c r="N716" s="3565">
        <v>9775.51</v>
      </c>
      <c r="O716" s="3566">
        <v>44192</v>
      </c>
    </row>
    <row r="717" spans="1:15">
      <c r="A717" s="3563" t="s">
        <v>4925</v>
      </c>
      <c r="B717" s="3563" t="s">
        <v>4196</v>
      </c>
      <c r="C717" s="3563" t="s">
        <v>4197</v>
      </c>
      <c r="D717" s="3563" t="s">
        <v>4796</v>
      </c>
      <c r="E717" s="3563" t="s">
        <v>4199</v>
      </c>
      <c r="F717" s="3563" t="s">
        <v>4797</v>
      </c>
      <c r="G717" s="3564">
        <v>101.16</v>
      </c>
      <c r="H717" s="3564">
        <v>82.01</v>
      </c>
      <c r="I717" s="3564">
        <v>19.149999999999999</v>
      </c>
      <c r="J717" s="3565">
        <v>1011545</v>
      </c>
      <c r="K717" s="3565">
        <v>9999.4599999999991</v>
      </c>
      <c r="L717" s="3565">
        <v>12334.41</v>
      </c>
      <c r="M717" s="3565">
        <v>0</v>
      </c>
      <c r="N717" s="3565">
        <v>0</v>
      </c>
      <c r="O717" s="3563" t="s">
        <v>3453</v>
      </c>
    </row>
    <row r="718" spans="1:15">
      <c r="A718" s="3563" t="s">
        <v>4926</v>
      </c>
      <c r="B718" s="3563" t="s">
        <v>4811</v>
      </c>
      <c r="C718" s="3563" t="s">
        <v>4197</v>
      </c>
      <c r="D718" s="3563" t="s">
        <v>4796</v>
      </c>
      <c r="E718" s="3563" t="s">
        <v>4199</v>
      </c>
      <c r="F718" s="3563" t="s">
        <v>4797</v>
      </c>
      <c r="G718" s="3564">
        <v>87.58</v>
      </c>
      <c r="H718" s="3564">
        <v>71</v>
      </c>
      <c r="I718" s="3564">
        <v>16.579999999999998</v>
      </c>
      <c r="J718" s="3565">
        <v>876519</v>
      </c>
      <c r="K718" s="3565">
        <v>10008.209999999999</v>
      </c>
      <c r="L718" s="3565">
        <v>12345.34</v>
      </c>
      <c r="M718" s="3565">
        <v>832694</v>
      </c>
      <c r="N718" s="3565">
        <v>9507.81</v>
      </c>
      <c r="O718" s="3566">
        <v>44192</v>
      </c>
    </row>
    <row r="719" spans="1:15">
      <c r="A719" s="3563" t="s">
        <v>4927</v>
      </c>
      <c r="B719" s="3563" t="s">
        <v>4196</v>
      </c>
      <c r="C719" s="3563" t="s">
        <v>4197</v>
      </c>
      <c r="D719" s="3563" t="s">
        <v>4796</v>
      </c>
      <c r="E719" s="3563" t="s">
        <v>4199</v>
      </c>
      <c r="F719" s="3563" t="s">
        <v>4797</v>
      </c>
      <c r="G719" s="3564">
        <v>87.58</v>
      </c>
      <c r="H719" s="3564">
        <v>71</v>
      </c>
      <c r="I719" s="3564">
        <v>16.579999999999998</v>
      </c>
      <c r="J719" s="3565">
        <v>876519</v>
      </c>
      <c r="K719" s="3565">
        <v>10008.209999999999</v>
      </c>
      <c r="L719" s="3565">
        <v>12345.34</v>
      </c>
      <c r="M719" s="3565">
        <v>0</v>
      </c>
      <c r="N719" s="3565">
        <v>0</v>
      </c>
      <c r="O719" s="3563" t="s">
        <v>3453</v>
      </c>
    </row>
    <row r="720" spans="1:15">
      <c r="A720" s="3563" t="s">
        <v>4928</v>
      </c>
      <c r="B720" s="3563" t="s">
        <v>4196</v>
      </c>
      <c r="C720" s="3563" t="s">
        <v>4197</v>
      </c>
      <c r="D720" s="3563" t="s">
        <v>4796</v>
      </c>
      <c r="E720" s="3563" t="s">
        <v>4199</v>
      </c>
      <c r="F720" s="3563" t="s">
        <v>4797</v>
      </c>
      <c r="G720" s="3564">
        <v>109.1</v>
      </c>
      <c r="H720" s="3564">
        <v>88.44</v>
      </c>
      <c r="I720" s="3564">
        <v>20.66</v>
      </c>
      <c r="J720" s="3565">
        <v>1136277</v>
      </c>
      <c r="K720" s="3565">
        <v>10415</v>
      </c>
      <c r="L720" s="3565">
        <v>12848</v>
      </c>
      <c r="M720" s="3565">
        <v>0</v>
      </c>
      <c r="N720" s="3565">
        <v>0</v>
      </c>
      <c r="O720" s="3563" t="s">
        <v>3453</v>
      </c>
    </row>
    <row r="721" spans="1:15">
      <c r="A721" s="3563" t="s">
        <v>4929</v>
      </c>
      <c r="B721" s="3563" t="s">
        <v>4196</v>
      </c>
      <c r="C721" s="3563" t="s">
        <v>4197</v>
      </c>
      <c r="D721" s="3563" t="s">
        <v>4796</v>
      </c>
      <c r="E721" s="3563" t="s">
        <v>4199</v>
      </c>
      <c r="F721" s="3563" t="s">
        <v>4797</v>
      </c>
      <c r="G721" s="3564">
        <v>100.83</v>
      </c>
      <c r="H721" s="3564">
        <v>81.739999999999995</v>
      </c>
      <c r="I721" s="3564">
        <v>19.09</v>
      </c>
      <c r="J721" s="3565">
        <v>1051405</v>
      </c>
      <c r="K721" s="3565">
        <v>10427.5</v>
      </c>
      <c r="L721" s="3565">
        <v>12862.8</v>
      </c>
      <c r="M721" s="3565">
        <v>0</v>
      </c>
      <c r="N721" s="3565">
        <v>0</v>
      </c>
      <c r="O721" s="3563" t="s">
        <v>3453</v>
      </c>
    </row>
    <row r="722" spans="1:15">
      <c r="A722" s="3563" t="s">
        <v>4930</v>
      </c>
      <c r="B722" s="3563" t="s">
        <v>4196</v>
      </c>
      <c r="C722" s="3563" t="s">
        <v>4197</v>
      </c>
      <c r="D722" s="3563" t="s">
        <v>4796</v>
      </c>
      <c r="E722" s="3563" t="s">
        <v>4199</v>
      </c>
      <c r="F722" s="3563" t="s">
        <v>4797</v>
      </c>
      <c r="G722" s="3564">
        <v>100.83</v>
      </c>
      <c r="H722" s="3564">
        <v>81.739999999999995</v>
      </c>
      <c r="I722" s="3564">
        <v>19.09</v>
      </c>
      <c r="J722" s="3565">
        <v>1051405</v>
      </c>
      <c r="K722" s="3565">
        <v>10427.5</v>
      </c>
      <c r="L722" s="3565">
        <v>12862.8</v>
      </c>
      <c r="M722" s="3565">
        <v>0</v>
      </c>
      <c r="N722" s="3565">
        <v>0</v>
      </c>
      <c r="O722" s="3563" t="s">
        <v>3453</v>
      </c>
    </row>
    <row r="723" spans="1:15">
      <c r="A723" s="3563" t="s">
        <v>4931</v>
      </c>
      <c r="B723" s="3563" t="s">
        <v>4811</v>
      </c>
      <c r="C723" s="3563" t="s">
        <v>4197</v>
      </c>
      <c r="D723" s="3563" t="s">
        <v>4796</v>
      </c>
      <c r="E723" s="3563" t="s">
        <v>4199</v>
      </c>
      <c r="F723" s="3563" t="s">
        <v>4797</v>
      </c>
      <c r="G723" s="3564">
        <v>101.16</v>
      </c>
      <c r="H723" s="3564">
        <v>82.01</v>
      </c>
      <c r="I723" s="3564">
        <v>19.149999999999999</v>
      </c>
      <c r="J723" s="3565">
        <v>1013695</v>
      </c>
      <c r="K723" s="3565">
        <v>10020.709999999999</v>
      </c>
      <c r="L723" s="3565">
        <v>12360.63</v>
      </c>
      <c r="M723" s="3565">
        <v>963011</v>
      </c>
      <c r="N723" s="3565">
        <v>9519.68</v>
      </c>
      <c r="O723" s="3566">
        <v>44192</v>
      </c>
    </row>
    <row r="724" spans="1:15">
      <c r="A724" s="3563" t="s">
        <v>4932</v>
      </c>
      <c r="B724" s="3563" t="s">
        <v>4811</v>
      </c>
      <c r="C724" s="3563" t="s">
        <v>4197</v>
      </c>
      <c r="D724" s="3563" t="s">
        <v>4796</v>
      </c>
      <c r="E724" s="3563" t="s">
        <v>4199</v>
      </c>
      <c r="F724" s="3563" t="s">
        <v>4797</v>
      </c>
      <c r="G724" s="3564">
        <v>87.58</v>
      </c>
      <c r="H724" s="3564">
        <v>71</v>
      </c>
      <c r="I724" s="3564">
        <v>16.579999999999998</v>
      </c>
      <c r="J724" s="3565">
        <v>885872</v>
      </c>
      <c r="K724" s="3565">
        <v>10115</v>
      </c>
      <c r="L724" s="3565">
        <v>12477.07</v>
      </c>
      <c r="M724" s="3565">
        <v>841579</v>
      </c>
      <c r="N724" s="3565">
        <v>9609.26</v>
      </c>
      <c r="O724" s="3566">
        <v>44192</v>
      </c>
    </row>
    <row r="725" spans="1:15">
      <c r="A725" s="3563" t="s">
        <v>4933</v>
      </c>
      <c r="B725" s="3563" t="s">
        <v>4196</v>
      </c>
      <c r="C725" s="3563" t="s">
        <v>4197</v>
      </c>
      <c r="D725" s="3563" t="s">
        <v>4796</v>
      </c>
      <c r="E725" s="3563" t="s">
        <v>4199</v>
      </c>
      <c r="F725" s="3563" t="s">
        <v>4797</v>
      </c>
      <c r="G725" s="3564">
        <v>87.58</v>
      </c>
      <c r="H725" s="3564">
        <v>71</v>
      </c>
      <c r="I725" s="3564">
        <v>16.579999999999998</v>
      </c>
      <c r="J725" s="3565">
        <v>885872</v>
      </c>
      <c r="K725" s="3565">
        <v>10115</v>
      </c>
      <c r="L725" s="3565">
        <v>12477.07</v>
      </c>
      <c r="M725" s="3565">
        <v>0</v>
      </c>
      <c r="N725" s="3565">
        <v>0</v>
      </c>
      <c r="O725" s="3563" t="s">
        <v>3453</v>
      </c>
    </row>
    <row r="726" spans="1:15">
      <c r="A726" s="3563" t="s">
        <v>4934</v>
      </c>
      <c r="B726" s="3563" t="s">
        <v>4196</v>
      </c>
      <c r="C726" s="3563" t="s">
        <v>4197</v>
      </c>
      <c r="D726" s="3563" t="s">
        <v>4796</v>
      </c>
      <c r="E726" s="3563" t="s">
        <v>4199</v>
      </c>
      <c r="F726" s="3563" t="s">
        <v>4797</v>
      </c>
      <c r="G726" s="3564">
        <v>109.1</v>
      </c>
      <c r="H726" s="3564">
        <v>88.44</v>
      </c>
      <c r="I726" s="3564">
        <v>20.66</v>
      </c>
      <c r="J726" s="3565">
        <v>1137640</v>
      </c>
      <c r="K726" s="3565">
        <v>10427.5</v>
      </c>
      <c r="L726" s="3565">
        <v>12863.41</v>
      </c>
      <c r="M726" s="3565">
        <v>0</v>
      </c>
      <c r="N726" s="3565">
        <v>0</v>
      </c>
      <c r="O726" s="3563" t="s">
        <v>3453</v>
      </c>
    </row>
    <row r="727" spans="1:15">
      <c r="A727" s="3563" t="s">
        <v>4935</v>
      </c>
      <c r="B727" s="3563" t="s">
        <v>4196</v>
      </c>
      <c r="C727" s="3563" t="s">
        <v>4197</v>
      </c>
      <c r="D727" s="3563" t="s">
        <v>4796</v>
      </c>
      <c r="E727" s="3563" t="s">
        <v>4199</v>
      </c>
      <c r="F727" s="3563" t="s">
        <v>4797</v>
      </c>
      <c r="G727" s="3564">
        <v>100.83</v>
      </c>
      <c r="H727" s="3564">
        <v>81.739999999999995</v>
      </c>
      <c r="I727" s="3564">
        <v>19.09</v>
      </c>
      <c r="J727" s="3565">
        <v>1052665</v>
      </c>
      <c r="K727" s="3565">
        <v>10440</v>
      </c>
      <c r="L727" s="3565">
        <v>12878.21</v>
      </c>
      <c r="M727" s="3565">
        <v>0</v>
      </c>
      <c r="N727" s="3565">
        <v>0</v>
      </c>
      <c r="O727" s="3563" t="s">
        <v>3453</v>
      </c>
    </row>
    <row r="728" spans="1:15">
      <c r="A728" s="3563" t="s">
        <v>4936</v>
      </c>
      <c r="B728" s="3563" t="s">
        <v>4811</v>
      </c>
      <c r="C728" s="3563" t="s">
        <v>4197</v>
      </c>
      <c r="D728" s="3563" t="s">
        <v>4796</v>
      </c>
      <c r="E728" s="3563" t="s">
        <v>4199</v>
      </c>
      <c r="F728" s="3563" t="s">
        <v>4797</v>
      </c>
      <c r="G728" s="3564">
        <v>100.83</v>
      </c>
      <c r="H728" s="3564">
        <v>81.739999999999995</v>
      </c>
      <c r="I728" s="3564">
        <v>19.09</v>
      </c>
      <c r="J728" s="3565">
        <v>1052665</v>
      </c>
      <c r="K728" s="3565">
        <v>10440</v>
      </c>
      <c r="L728" s="3565">
        <v>12878.21</v>
      </c>
      <c r="M728" s="3565">
        <v>1000032</v>
      </c>
      <c r="N728" s="3565">
        <v>9918</v>
      </c>
      <c r="O728" s="3566">
        <v>44192</v>
      </c>
    </row>
    <row r="729" spans="1:15">
      <c r="A729" s="3563" t="s">
        <v>4937</v>
      </c>
      <c r="B729" s="3563" t="s">
        <v>4196</v>
      </c>
      <c r="C729" s="3563" t="s">
        <v>4197</v>
      </c>
      <c r="D729" s="3563" t="s">
        <v>4796</v>
      </c>
      <c r="E729" s="3563" t="s">
        <v>4199</v>
      </c>
      <c r="F729" s="3563" t="s">
        <v>4797</v>
      </c>
      <c r="G729" s="3564">
        <v>101.16</v>
      </c>
      <c r="H729" s="3564">
        <v>82.01</v>
      </c>
      <c r="I729" s="3564">
        <v>19.149999999999999</v>
      </c>
      <c r="J729" s="3565">
        <v>1014959</v>
      </c>
      <c r="K729" s="3565">
        <v>10033.200000000001</v>
      </c>
      <c r="L729" s="3565">
        <v>12376.04</v>
      </c>
      <c r="M729" s="3565">
        <v>0</v>
      </c>
      <c r="N729" s="3565">
        <v>0</v>
      </c>
      <c r="O729" s="3563" t="s">
        <v>3453</v>
      </c>
    </row>
    <row r="730" spans="1:15">
      <c r="A730" s="3563" t="s">
        <v>4938</v>
      </c>
      <c r="B730" s="3563" t="s">
        <v>4811</v>
      </c>
      <c r="C730" s="3563" t="s">
        <v>4197</v>
      </c>
      <c r="D730" s="3563" t="s">
        <v>4796</v>
      </c>
      <c r="E730" s="3563" t="s">
        <v>4199</v>
      </c>
      <c r="F730" s="3563" t="s">
        <v>4797</v>
      </c>
      <c r="G730" s="3564">
        <v>87.58</v>
      </c>
      <c r="H730" s="3564">
        <v>71</v>
      </c>
      <c r="I730" s="3564">
        <v>16.579999999999998</v>
      </c>
      <c r="J730" s="3565">
        <v>886967</v>
      </c>
      <c r="K730" s="3565">
        <v>10127.51</v>
      </c>
      <c r="L730" s="3565">
        <v>12492.49</v>
      </c>
      <c r="M730" s="3565">
        <v>842619</v>
      </c>
      <c r="N730" s="3565">
        <v>9621.1299999999992</v>
      </c>
      <c r="O730" s="3566">
        <v>44192</v>
      </c>
    </row>
    <row r="731" spans="1:15">
      <c r="A731" s="3563" t="s">
        <v>4939</v>
      </c>
      <c r="B731" s="3563" t="s">
        <v>4196</v>
      </c>
      <c r="C731" s="3563" t="s">
        <v>4197</v>
      </c>
      <c r="D731" s="3563" t="s">
        <v>4796</v>
      </c>
      <c r="E731" s="3563" t="s">
        <v>4199</v>
      </c>
      <c r="F731" s="3563" t="s">
        <v>4797</v>
      </c>
      <c r="G731" s="3564">
        <v>87.58</v>
      </c>
      <c r="H731" s="3564">
        <v>71</v>
      </c>
      <c r="I731" s="3564">
        <v>16.579999999999998</v>
      </c>
      <c r="J731" s="3565">
        <v>886967</v>
      </c>
      <c r="K731" s="3565">
        <v>10127.51</v>
      </c>
      <c r="L731" s="3565">
        <v>12492.49</v>
      </c>
      <c r="M731" s="3565">
        <v>0</v>
      </c>
      <c r="N731" s="3565">
        <v>0</v>
      </c>
      <c r="O731" s="3563" t="s">
        <v>3453</v>
      </c>
    </row>
    <row r="732" spans="1:15">
      <c r="A732" s="3563" t="s">
        <v>4940</v>
      </c>
      <c r="B732" s="3563" t="s">
        <v>4196</v>
      </c>
      <c r="C732" s="3563" t="s">
        <v>4197</v>
      </c>
      <c r="D732" s="3563" t="s">
        <v>4796</v>
      </c>
      <c r="E732" s="3563" t="s">
        <v>4199</v>
      </c>
      <c r="F732" s="3563" t="s">
        <v>4797</v>
      </c>
      <c r="G732" s="3564">
        <v>109.1</v>
      </c>
      <c r="H732" s="3564">
        <v>88.44</v>
      </c>
      <c r="I732" s="3564">
        <v>20.66</v>
      </c>
      <c r="J732" s="3565">
        <v>1139004</v>
      </c>
      <c r="K732" s="3565">
        <v>10440</v>
      </c>
      <c r="L732" s="3565">
        <v>12878.83</v>
      </c>
      <c r="M732" s="3565">
        <v>0</v>
      </c>
      <c r="N732" s="3565">
        <v>0</v>
      </c>
      <c r="O732" s="3563" t="s">
        <v>3453</v>
      </c>
    </row>
    <row r="733" spans="1:15">
      <c r="A733" s="3563" t="s">
        <v>4941</v>
      </c>
      <c r="B733" s="3563" t="s">
        <v>4196</v>
      </c>
      <c r="C733" s="3563" t="s">
        <v>4197</v>
      </c>
      <c r="D733" s="3563" t="s">
        <v>4796</v>
      </c>
      <c r="E733" s="3563" t="s">
        <v>4199</v>
      </c>
      <c r="F733" s="3563" t="s">
        <v>4797</v>
      </c>
      <c r="G733" s="3564">
        <v>100.83</v>
      </c>
      <c r="H733" s="3564">
        <v>81.739999999999995</v>
      </c>
      <c r="I733" s="3564">
        <v>19.09</v>
      </c>
      <c r="J733" s="3565">
        <v>1053925</v>
      </c>
      <c r="K733" s="3565">
        <v>10452.49</v>
      </c>
      <c r="L733" s="3565">
        <v>12893.63</v>
      </c>
      <c r="M733" s="3565">
        <v>0</v>
      </c>
      <c r="N733" s="3565">
        <v>0</v>
      </c>
      <c r="O733" s="3563" t="s">
        <v>3453</v>
      </c>
    </row>
    <row r="734" spans="1:15">
      <c r="A734" s="3563" t="s">
        <v>4942</v>
      </c>
      <c r="B734" s="3563" t="s">
        <v>4811</v>
      </c>
      <c r="C734" s="3563" t="s">
        <v>4197</v>
      </c>
      <c r="D734" s="3563" t="s">
        <v>4796</v>
      </c>
      <c r="E734" s="3563" t="s">
        <v>4199</v>
      </c>
      <c r="F734" s="3563" t="s">
        <v>4797</v>
      </c>
      <c r="G734" s="3564">
        <v>100.83</v>
      </c>
      <c r="H734" s="3564">
        <v>81.739999999999995</v>
      </c>
      <c r="I734" s="3564">
        <v>19.09</v>
      </c>
      <c r="J734" s="3565">
        <v>1053925</v>
      </c>
      <c r="K734" s="3565">
        <v>10452.49</v>
      </c>
      <c r="L734" s="3565">
        <v>12893.63</v>
      </c>
      <c r="M734" s="3565">
        <v>1001229</v>
      </c>
      <c r="N734" s="3565">
        <v>9929.8700000000008</v>
      </c>
      <c r="O734" s="3566">
        <v>44192</v>
      </c>
    </row>
    <row r="735" spans="1:15">
      <c r="A735" s="3563" t="s">
        <v>4943</v>
      </c>
      <c r="B735" s="3563" t="s">
        <v>4196</v>
      </c>
      <c r="C735" s="3563" t="s">
        <v>4197</v>
      </c>
      <c r="D735" s="3563" t="s">
        <v>4796</v>
      </c>
      <c r="E735" s="3563" t="s">
        <v>4199</v>
      </c>
      <c r="F735" s="3563" t="s">
        <v>4797</v>
      </c>
      <c r="G735" s="3564">
        <v>101.16</v>
      </c>
      <c r="H735" s="3564">
        <v>82.01</v>
      </c>
      <c r="I735" s="3564">
        <v>19.149999999999999</v>
      </c>
      <c r="J735" s="3565">
        <v>1013118</v>
      </c>
      <c r="K735" s="3565">
        <v>10015.01</v>
      </c>
      <c r="L735" s="3565">
        <v>12353.59</v>
      </c>
      <c r="M735" s="3565">
        <v>0</v>
      </c>
      <c r="N735" s="3565">
        <v>0</v>
      </c>
      <c r="O735" s="3563" t="s">
        <v>3453</v>
      </c>
    </row>
    <row r="736" spans="1:15">
      <c r="A736" s="3563" t="s">
        <v>4944</v>
      </c>
      <c r="B736" s="3563" t="s">
        <v>4811</v>
      </c>
      <c r="C736" s="3563" t="s">
        <v>4197</v>
      </c>
      <c r="D736" s="3563" t="s">
        <v>4796</v>
      </c>
      <c r="E736" s="3563" t="s">
        <v>4199</v>
      </c>
      <c r="F736" s="3563" t="s">
        <v>4797</v>
      </c>
      <c r="G736" s="3564">
        <v>87.58</v>
      </c>
      <c r="H736" s="3564">
        <v>71</v>
      </c>
      <c r="I736" s="3564">
        <v>16.579999999999998</v>
      </c>
      <c r="J736" s="3565">
        <v>888062</v>
      </c>
      <c r="K736" s="3565">
        <v>10140.01</v>
      </c>
      <c r="L736" s="3565">
        <v>12507.92</v>
      </c>
      <c r="M736" s="3565">
        <v>843659</v>
      </c>
      <c r="N736" s="3565">
        <v>9633.01</v>
      </c>
      <c r="O736" s="3566">
        <v>44192</v>
      </c>
    </row>
    <row r="737" spans="1:15">
      <c r="A737" s="3563" t="s">
        <v>4945</v>
      </c>
      <c r="B737" s="3563" t="s">
        <v>3453</v>
      </c>
      <c r="C737" s="3563" t="s">
        <v>4197</v>
      </c>
      <c r="D737" s="3563" t="s">
        <v>4796</v>
      </c>
      <c r="E737" s="3563" t="s">
        <v>4199</v>
      </c>
      <c r="F737" s="3563" t="s">
        <v>4797</v>
      </c>
      <c r="G737" s="3564">
        <v>87.58</v>
      </c>
      <c r="H737" s="3564">
        <v>71</v>
      </c>
      <c r="I737" s="3564">
        <v>16.579999999999998</v>
      </c>
      <c r="J737" s="3565">
        <v>888062</v>
      </c>
      <c r="K737" s="3565">
        <v>10140.01</v>
      </c>
      <c r="L737" s="3565">
        <v>12507.92</v>
      </c>
      <c r="M737" s="3565">
        <v>0</v>
      </c>
      <c r="N737" s="3565">
        <v>0</v>
      </c>
      <c r="O737" s="3563" t="s">
        <v>3453</v>
      </c>
    </row>
    <row r="738" spans="1:15">
      <c r="A738" s="3563" t="s">
        <v>4946</v>
      </c>
      <c r="B738" s="3563" t="s">
        <v>4196</v>
      </c>
      <c r="C738" s="3563" t="s">
        <v>4197</v>
      </c>
      <c r="D738" s="3563" t="s">
        <v>4796</v>
      </c>
      <c r="E738" s="3563" t="s">
        <v>4199</v>
      </c>
      <c r="F738" s="3563" t="s">
        <v>4797</v>
      </c>
      <c r="G738" s="3564">
        <v>109.1</v>
      </c>
      <c r="H738" s="3564">
        <v>88.44</v>
      </c>
      <c r="I738" s="3564">
        <v>20.66</v>
      </c>
      <c r="J738" s="3565">
        <v>1140368</v>
      </c>
      <c r="K738" s="3565">
        <v>10452.5</v>
      </c>
      <c r="L738" s="3565">
        <v>12894.26</v>
      </c>
      <c r="M738" s="3565">
        <v>0</v>
      </c>
      <c r="N738" s="3565">
        <v>0</v>
      </c>
      <c r="O738" s="3563" t="s">
        <v>3453</v>
      </c>
    </row>
    <row r="739" spans="1:15">
      <c r="A739" s="3563" t="s">
        <v>4947</v>
      </c>
      <c r="B739" s="3563" t="s">
        <v>4196</v>
      </c>
      <c r="C739" s="3563" t="s">
        <v>4197</v>
      </c>
      <c r="D739" s="3563" t="s">
        <v>4796</v>
      </c>
      <c r="E739" s="3563" t="s">
        <v>4948</v>
      </c>
      <c r="F739" s="3563" t="s">
        <v>4949</v>
      </c>
      <c r="G739" s="3564">
        <v>130.44999999999999</v>
      </c>
      <c r="H739" s="3564">
        <v>113.15</v>
      </c>
      <c r="I739" s="3564">
        <v>17.3</v>
      </c>
      <c r="J739" s="3565">
        <v>1892205</v>
      </c>
      <c r="K739" s="3565">
        <v>14505.21</v>
      </c>
      <c r="L739" s="3565">
        <v>16722.98</v>
      </c>
      <c r="M739" s="3565">
        <v>0</v>
      </c>
      <c r="N739" s="3565">
        <v>0</v>
      </c>
      <c r="O739" s="3563" t="s">
        <v>3453</v>
      </c>
    </row>
    <row r="740" spans="1:15">
      <c r="A740" s="3563" t="s">
        <v>4950</v>
      </c>
      <c r="B740" s="3563" t="s">
        <v>4196</v>
      </c>
      <c r="C740" s="3563" t="s">
        <v>4197</v>
      </c>
      <c r="D740" s="3563" t="s">
        <v>4796</v>
      </c>
      <c r="E740" s="3563" t="s">
        <v>4948</v>
      </c>
      <c r="F740" s="3563" t="s">
        <v>4949</v>
      </c>
      <c r="G740" s="3564">
        <v>130.69</v>
      </c>
      <c r="H740" s="3564">
        <v>113.36</v>
      </c>
      <c r="I740" s="3564">
        <v>17.329999999999998</v>
      </c>
      <c r="J740" s="3565">
        <v>1668570</v>
      </c>
      <c r="K740" s="3565">
        <v>12767.39</v>
      </c>
      <c r="L740" s="3565">
        <v>14719.21</v>
      </c>
      <c r="M740" s="3565">
        <v>0</v>
      </c>
      <c r="N740" s="3565">
        <v>0</v>
      </c>
      <c r="O740" s="3563" t="s">
        <v>3453</v>
      </c>
    </row>
    <row r="741" spans="1:15">
      <c r="A741" s="3563" t="s">
        <v>4951</v>
      </c>
      <c r="B741" s="3563" t="s">
        <v>3453</v>
      </c>
      <c r="C741" s="3563" t="s">
        <v>4197</v>
      </c>
      <c r="D741" s="3563" t="s">
        <v>4796</v>
      </c>
      <c r="E741" s="3563" t="s">
        <v>4948</v>
      </c>
      <c r="F741" s="3563" t="s">
        <v>4949</v>
      </c>
      <c r="G741" s="3564">
        <v>130.69</v>
      </c>
      <c r="H741" s="3564">
        <v>113.36</v>
      </c>
      <c r="I741" s="3564">
        <v>17.329999999999998</v>
      </c>
      <c r="J741" s="3565">
        <v>1763772</v>
      </c>
      <c r="K741" s="3565">
        <v>13495.85</v>
      </c>
      <c r="L741" s="3565">
        <v>15559.03</v>
      </c>
      <c r="M741" s="3565">
        <v>0</v>
      </c>
      <c r="N741" s="3565">
        <v>0</v>
      </c>
      <c r="O741" s="3563" t="s">
        <v>3453</v>
      </c>
    </row>
    <row r="742" spans="1:15">
      <c r="A742" s="3563" t="s">
        <v>4952</v>
      </c>
      <c r="B742" s="3563" t="s">
        <v>3453</v>
      </c>
      <c r="C742" s="3563" t="s">
        <v>4197</v>
      </c>
      <c r="D742" s="3563" t="s">
        <v>4796</v>
      </c>
      <c r="E742" s="3563" t="s">
        <v>4948</v>
      </c>
      <c r="F742" s="3563" t="s">
        <v>4949</v>
      </c>
      <c r="G742" s="3564">
        <v>130.44999999999999</v>
      </c>
      <c r="H742" s="3564">
        <v>113.15</v>
      </c>
      <c r="I742" s="3564">
        <v>17.3</v>
      </c>
      <c r="J742" s="3565">
        <v>2037354</v>
      </c>
      <c r="K742" s="3565">
        <v>15617.89</v>
      </c>
      <c r="L742" s="3565">
        <v>18005.78</v>
      </c>
      <c r="M742" s="3565">
        <v>0</v>
      </c>
      <c r="N742" s="3565">
        <v>0</v>
      </c>
      <c r="O742" s="3563" t="s">
        <v>3453</v>
      </c>
    </row>
    <row r="743" spans="1:15">
      <c r="A743" s="3563" t="s">
        <v>4953</v>
      </c>
      <c r="B743" s="3563" t="s">
        <v>4196</v>
      </c>
      <c r="C743" s="3563" t="s">
        <v>4197</v>
      </c>
      <c r="D743" s="3563" t="s">
        <v>4796</v>
      </c>
      <c r="E743" s="3563" t="s">
        <v>4948</v>
      </c>
      <c r="F743" s="3563" t="s">
        <v>4949</v>
      </c>
      <c r="G743" s="3564">
        <v>106.13</v>
      </c>
      <c r="H743" s="3564">
        <v>92.06</v>
      </c>
      <c r="I743" s="3564">
        <v>14.07</v>
      </c>
      <c r="J743" s="3565">
        <v>1572913</v>
      </c>
      <c r="K743" s="3565">
        <v>14820.63</v>
      </c>
      <c r="L743" s="3565">
        <v>17085.740000000002</v>
      </c>
      <c r="M743" s="3565">
        <v>0</v>
      </c>
      <c r="N743" s="3565">
        <v>0</v>
      </c>
      <c r="O743" s="3563" t="s">
        <v>3453</v>
      </c>
    </row>
    <row r="744" spans="1:15">
      <c r="A744" s="3563" t="s">
        <v>4954</v>
      </c>
      <c r="B744" s="3563" t="s">
        <v>4196</v>
      </c>
      <c r="C744" s="3563" t="s">
        <v>4197</v>
      </c>
      <c r="D744" s="3563" t="s">
        <v>4796</v>
      </c>
      <c r="E744" s="3563" t="s">
        <v>4948</v>
      </c>
      <c r="F744" s="3563" t="s">
        <v>4949</v>
      </c>
      <c r="G744" s="3564">
        <v>106.47</v>
      </c>
      <c r="H744" s="3564">
        <v>92.35</v>
      </c>
      <c r="I744" s="3564">
        <v>14.12</v>
      </c>
      <c r="J744" s="3565">
        <v>1468589</v>
      </c>
      <c r="K744" s="3565">
        <v>13793.45</v>
      </c>
      <c r="L744" s="3565">
        <v>15902.43</v>
      </c>
      <c r="M744" s="3565">
        <v>0</v>
      </c>
      <c r="N744" s="3565">
        <v>0</v>
      </c>
      <c r="O744" s="3563" t="s">
        <v>3453</v>
      </c>
    </row>
    <row r="745" spans="1:15">
      <c r="A745" s="3563" t="s">
        <v>4955</v>
      </c>
      <c r="B745" s="3563" t="s">
        <v>4196</v>
      </c>
      <c r="C745" s="3563" t="s">
        <v>4197</v>
      </c>
      <c r="D745" s="3563" t="s">
        <v>4796</v>
      </c>
      <c r="E745" s="3563" t="s">
        <v>4948</v>
      </c>
      <c r="F745" s="3563" t="s">
        <v>4949</v>
      </c>
      <c r="G745" s="3564">
        <v>106.47</v>
      </c>
      <c r="H745" s="3564">
        <v>92.35</v>
      </c>
      <c r="I745" s="3564">
        <v>14.12</v>
      </c>
      <c r="J745" s="3565">
        <v>1468589</v>
      </c>
      <c r="K745" s="3565">
        <v>13793.45</v>
      </c>
      <c r="L745" s="3565">
        <v>15902.43</v>
      </c>
      <c r="M745" s="3565">
        <v>0</v>
      </c>
      <c r="N745" s="3565">
        <v>0</v>
      </c>
      <c r="O745" s="3563" t="s">
        <v>3453</v>
      </c>
    </row>
    <row r="746" spans="1:15">
      <c r="A746" s="3563" t="s">
        <v>4956</v>
      </c>
      <c r="B746" s="3563" t="s">
        <v>4196</v>
      </c>
      <c r="C746" s="3563" t="s">
        <v>4197</v>
      </c>
      <c r="D746" s="3563" t="s">
        <v>4796</v>
      </c>
      <c r="E746" s="3563" t="s">
        <v>4948</v>
      </c>
      <c r="F746" s="3563" t="s">
        <v>4949</v>
      </c>
      <c r="G746" s="3564">
        <v>106.13</v>
      </c>
      <c r="H746" s="3564">
        <v>92.06</v>
      </c>
      <c r="I746" s="3564">
        <v>14.07</v>
      </c>
      <c r="J746" s="3565">
        <v>1572913</v>
      </c>
      <c r="K746" s="3565">
        <v>14820.63</v>
      </c>
      <c r="L746" s="3565">
        <v>17085.740000000002</v>
      </c>
      <c r="M746" s="3565">
        <v>0</v>
      </c>
      <c r="N746" s="3565">
        <v>0</v>
      </c>
      <c r="O746" s="3563" t="s">
        <v>3453</v>
      </c>
    </row>
    <row r="747" spans="1:15">
      <c r="A747" s="3563" t="s">
        <v>4957</v>
      </c>
      <c r="B747" s="3563" t="s">
        <v>4811</v>
      </c>
      <c r="C747" s="3563" t="s">
        <v>4197</v>
      </c>
      <c r="D747" s="3563" t="s">
        <v>4796</v>
      </c>
      <c r="E747" s="3563" t="s">
        <v>4948</v>
      </c>
      <c r="F747" s="3563" t="s">
        <v>4949</v>
      </c>
      <c r="G747" s="3564">
        <v>130.44999999999999</v>
      </c>
      <c r="H747" s="3564">
        <v>113.15</v>
      </c>
      <c r="I747" s="3564">
        <v>17.3</v>
      </c>
      <c r="J747" s="3565">
        <v>1934210</v>
      </c>
      <c r="K747" s="3565">
        <v>14827.21</v>
      </c>
      <c r="L747" s="3565">
        <v>17094.21</v>
      </c>
      <c r="M747" s="3565">
        <v>1837500</v>
      </c>
      <c r="N747" s="3565">
        <v>14085.86</v>
      </c>
      <c r="O747" s="3566">
        <v>44191</v>
      </c>
    </row>
    <row r="748" spans="1:15">
      <c r="A748" s="3563" t="s">
        <v>4958</v>
      </c>
      <c r="B748" s="3563" t="s">
        <v>4811</v>
      </c>
      <c r="C748" s="3563" t="s">
        <v>4197</v>
      </c>
      <c r="D748" s="3563" t="s">
        <v>4796</v>
      </c>
      <c r="E748" s="3563" t="s">
        <v>4948</v>
      </c>
      <c r="F748" s="3563" t="s">
        <v>4949</v>
      </c>
      <c r="G748" s="3564">
        <v>130.69</v>
      </c>
      <c r="H748" s="3564">
        <v>113.36</v>
      </c>
      <c r="I748" s="3564">
        <v>17.329999999999998</v>
      </c>
      <c r="J748" s="3565">
        <v>1727905</v>
      </c>
      <c r="K748" s="3565">
        <v>13221.4</v>
      </c>
      <c r="L748" s="3565">
        <v>15242.63</v>
      </c>
      <c r="M748" s="3565">
        <v>1641510</v>
      </c>
      <c r="N748" s="3565">
        <v>12560.33</v>
      </c>
      <c r="O748" s="3566">
        <v>44191</v>
      </c>
    </row>
    <row r="749" spans="1:15">
      <c r="A749" s="3563" t="s">
        <v>4959</v>
      </c>
      <c r="B749" s="3563" t="s">
        <v>4196</v>
      </c>
      <c r="C749" s="3563" t="s">
        <v>4197</v>
      </c>
      <c r="D749" s="3563" t="s">
        <v>4796</v>
      </c>
      <c r="E749" s="3563" t="s">
        <v>4948</v>
      </c>
      <c r="F749" s="3563" t="s">
        <v>4949</v>
      </c>
      <c r="G749" s="3564">
        <v>130.69</v>
      </c>
      <c r="H749" s="3564">
        <v>113.36</v>
      </c>
      <c r="I749" s="3564">
        <v>17.329999999999998</v>
      </c>
      <c r="J749" s="3565">
        <v>1657176</v>
      </c>
      <c r="K749" s="3565">
        <v>12680.21</v>
      </c>
      <c r="L749" s="3565">
        <v>14618.7</v>
      </c>
      <c r="M749" s="3565">
        <v>0</v>
      </c>
      <c r="N749" s="3565">
        <v>0</v>
      </c>
      <c r="O749" s="3563" t="s">
        <v>3453</v>
      </c>
    </row>
    <row r="750" spans="1:15">
      <c r="A750" s="3563" t="s">
        <v>4960</v>
      </c>
      <c r="B750" s="3563" t="s">
        <v>4196</v>
      </c>
      <c r="C750" s="3563" t="s">
        <v>4197</v>
      </c>
      <c r="D750" s="3563" t="s">
        <v>4796</v>
      </c>
      <c r="E750" s="3563" t="s">
        <v>4948</v>
      </c>
      <c r="F750" s="3563" t="s">
        <v>4949</v>
      </c>
      <c r="G750" s="3564">
        <v>130.44999999999999</v>
      </c>
      <c r="H750" s="3564">
        <v>113.15</v>
      </c>
      <c r="I750" s="3564">
        <v>17.3</v>
      </c>
      <c r="J750" s="3565">
        <v>1890641</v>
      </c>
      <c r="K750" s="3565">
        <v>14493.22</v>
      </c>
      <c r="L750" s="3565">
        <v>16709.16</v>
      </c>
      <c r="M750" s="3565">
        <v>0</v>
      </c>
      <c r="N750" s="3565">
        <v>0</v>
      </c>
      <c r="O750" s="3563" t="s">
        <v>3453</v>
      </c>
    </row>
    <row r="751" spans="1:15">
      <c r="A751" s="3563" t="s">
        <v>4961</v>
      </c>
      <c r="B751" s="3563" t="s">
        <v>4811</v>
      </c>
      <c r="C751" s="3563" t="s">
        <v>4197</v>
      </c>
      <c r="D751" s="3563" t="s">
        <v>4796</v>
      </c>
      <c r="E751" s="3563" t="s">
        <v>4948</v>
      </c>
      <c r="F751" s="3563" t="s">
        <v>4949</v>
      </c>
      <c r="G751" s="3564">
        <v>106.13</v>
      </c>
      <c r="H751" s="3564">
        <v>92.06</v>
      </c>
      <c r="I751" s="3564">
        <v>14.07</v>
      </c>
      <c r="J751" s="3565">
        <v>1629365</v>
      </c>
      <c r="K751" s="3565">
        <v>15352.54</v>
      </c>
      <c r="L751" s="3565">
        <v>17698.95</v>
      </c>
      <c r="M751" s="3565">
        <v>1531604</v>
      </c>
      <c r="N751" s="3565">
        <v>14431.4</v>
      </c>
      <c r="O751" s="3563" t="s">
        <v>3453</v>
      </c>
    </row>
    <row r="752" spans="1:15">
      <c r="A752" s="3563" t="s">
        <v>4962</v>
      </c>
      <c r="B752" s="3563" t="s">
        <v>4196</v>
      </c>
      <c r="C752" s="3563" t="s">
        <v>4197</v>
      </c>
      <c r="D752" s="3563" t="s">
        <v>4796</v>
      </c>
      <c r="E752" s="3563" t="s">
        <v>4948</v>
      </c>
      <c r="F752" s="3563" t="s">
        <v>4949</v>
      </c>
      <c r="G752" s="3564">
        <v>106.47</v>
      </c>
      <c r="H752" s="3564">
        <v>92.35</v>
      </c>
      <c r="I752" s="3564">
        <v>14.12</v>
      </c>
      <c r="J752" s="3565">
        <v>1525222</v>
      </c>
      <c r="K752" s="3565">
        <v>14325.37</v>
      </c>
      <c r="L752" s="3565">
        <v>16515.669999999998</v>
      </c>
      <c r="M752" s="3565">
        <v>0</v>
      </c>
      <c r="N752" s="3565">
        <v>0</v>
      </c>
      <c r="O752" s="3563" t="s">
        <v>3453</v>
      </c>
    </row>
    <row r="753" spans="1:15">
      <c r="A753" s="3563" t="s">
        <v>4963</v>
      </c>
      <c r="B753" s="3563" t="s">
        <v>4196</v>
      </c>
      <c r="C753" s="3563" t="s">
        <v>4197</v>
      </c>
      <c r="D753" s="3563" t="s">
        <v>4796</v>
      </c>
      <c r="E753" s="3563" t="s">
        <v>4948</v>
      </c>
      <c r="F753" s="3563" t="s">
        <v>4949</v>
      </c>
      <c r="G753" s="3564">
        <v>106.47</v>
      </c>
      <c r="H753" s="3564">
        <v>92.35</v>
      </c>
      <c r="I753" s="3564">
        <v>14.12</v>
      </c>
      <c r="J753" s="3565">
        <v>1468589</v>
      </c>
      <c r="K753" s="3565">
        <v>13793.45</v>
      </c>
      <c r="L753" s="3565">
        <v>15902.43</v>
      </c>
      <c r="M753" s="3565">
        <v>0</v>
      </c>
      <c r="N753" s="3565">
        <v>0</v>
      </c>
      <c r="O753" s="3563" t="s">
        <v>3453</v>
      </c>
    </row>
    <row r="754" spans="1:15">
      <c r="A754" s="3563" t="s">
        <v>4964</v>
      </c>
      <c r="B754" s="3563" t="s">
        <v>3453</v>
      </c>
      <c r="C754" s="3563" t="s">
        <v>4197</v>
      </c>
      <c r="D754" s="3563" t="s">
        <v>4796</v>
      </c>
      <c r="E754" s="3563" t="s">
        <v>4948</v>
      </c>
      <c r="F754" s="3563" t="s">
        <v>4949</v>
      </c>
      <c r="G754" s="3564">
        <v>106.13</v>
      </c>
      <c r="H754" s="3564">
        <v>92.06</v>
      </c>
      <c r="I754" s="3564">
        <v>14.07</v>
      </c>
      <c r="J754" s="3565">
        <v>1572913</v>
      </c>
      <c r="K754" s="3565">
        <v>14820.63</v>
      </c>
      <c r="L754" s="3565">
        <v>17085.740000000002</v>
      </c>
      <c r="M754" s="3565">
        <v>0</v>
      </c>
      <c r="N754" s="3565">
        <v>0</v>
      </c>
      <c r="O754" s="3563" t="s">
        <v>3453</v>
      </c>
    </row>
    <row r="755" spans="1:15">
      <c r="A755" s="3563" t="s">
        <v>4965</v>
      </c>
      <c r="B755" s="3563" t="s">
        <v>4196</v>
      </c>
      <c r="C755" s="3563" t="s">
        <v>4197</v>
      </c>
      <c r="D755" s="3563" t="s">
        <v>4796</v>
      </c>
      <c r="E755" s="3563" t="s">
        <v>4378</v>
      </c>
      <c r="F755" s="3563" t="s">
        <v>4797</v>
      </c>
      <c r="G755" s="3564">
        <v>94.55</v>
      </c>
      <c r="H755" s="3564">
        <v>81.739999999999995</v>
      </c>
      <c r="I755" s="3564">
        <v>12.81</v>
      </c>
      <c r="J755" s="3565">
        <v>950464</v>
      </c>
      <c r="K755" s="3565">
        <v>10052.5</v>
      </c>
      <c r="L755" s="3565">
        <v>11627.89</v>
      </c>
      <c r="M755" s="3565">
        <v>0</v>
      </c>
      <c r="N755" s="3565">
        <v>0</v>
      </c>
      <c r="O755" s="3563" t="s">
        <v>3453</v>
      </c>
    </row>
    <row r="756" spans="1:15">
      <c r="A756" s="3563" t="s">
        <v>4966</v>
      </c>
      <c r="B756" s="3563" t="s">
        <v>4196</v>
      </c>
      <c r="C756" s="3563" t="s">
        <v>4197</v>
      </c>
      <c r="D756" s="3563" t="s">
        <v>4796</v>
      </c>
      <c r="E756" s="3563" t="s">
        <v>4378</v>
      </c>
      <c r="F756" s="3563" t="s">
        <v>4797</v>
      </c>
      <c r="G756" s="3564">
        <v>94.55</v>
      </c>
      <c r="H756" s="3564">
        <v>81.739999999999995</v>
      </c>
      <c r="I756" s="3564">
        <v>12.81</v>
      </c>
      <c r="J756" s="3565">
        <v>950464</v>
      </c>
      <c r="K756" s="3565">
        <v>10052.5</v>
      </c>
      <c r="L756" s="3565">
        <v>11627.89</v>
      </c>
      <c r="M756" s="3565">
        <v>0</v>
      </c>
      <c r="N756" s="3565">
        <v>0</v>
      </c>
      <c r="O756" s="3563" t="s">
        <v>3453</v>
      </c>
    </row>
    <row r="757" spans="1:15">
      <c r="A757" s="3563" t="s">
        <v>4967</v>
      </c>
      <c r="B757" s="3563" t="s">
        <v>4196</v>
      </c>
      <c r="C757" s="3563" t="s">
        <v>4197</v>
      </c>
      <c r="D757" s="3563" t="s">
        <v>4796</v>
      </c>
      <c r="E757" s="3563" t="s">
        <v>4378</v>
      </c>
      <c r="F757" s="3563" t="s">
        <v>4797</v>
      </c>
      <c r="G757" s="3564">
        <v>82.13</v>
      </c>
      <c r="H757" s="3564">
        <v>71</v>
      </c>
      <c r="I757" s="3564">
        <v>11.13</v>
      </c>
      <c r="J757" s="3565">
        <v>821255</v>
      </c>
      <c r="K757" s="3565">
        <v>9999.4500000000007</v>
      </c>
      <c r="L757" s="3565">
        <v>11566.97</v>
      </c>
      <c r="M757" s="3565">
        <v>0</v>
      </c>
      <c r="N757" s="3565">
        <v>0</v>
      </c>
      <c r="O757" s="3563" t="s">
        <v>3453</v>
      </c>
    </row>
    <row r="758" spans="1:15">
      <c r="A758" s="3563" t="s">
        <v>4968</v>
      </c>
      <c r="B758" s="3563" t="s">
        <v>4196</v>
      </c>
      <c r="C758" s="3563" t="s">
        <v>4197</v>
      </c>
      <c r="D758" s="3563" t="s">
        <v>4796</v>
      </c>
      <c r="E758" s="3563" t="s">
        <v>4378</v>
      </c>
      <c r="F758" s="3563" t="s">
        <v>4797</v>
      </c>
      <c r="G758" s="3564">
        <v>82.13</v>
      </c>
      <c r="H758" s="3564">
        <v>71</v>
      </c>
      <c r="I758" s="3564">
        <v>11.13</v>
      </c>
      <c r="J758" s="3565">
        <v>821255</v>
      </c>
      <c r="K758" s="3565">
        <v>9999.4500000000007</v>
      </c>
      <c r="L758" s="3565">
        <v>11566.97</v>
      </c>
      <c r="M758" s="3565">
        <v>0</v>
      </c>
      <c r="N758" s="3565">
        <v>0</v>
      </c>
      <c r="O758" s="3563" t="s">
        <v>3453</v>
      </c>
    </row>
    <row r="759" spans="1:15">
      <c r="A759" s="3563" t="s">
        <v>4969</v>
      </c>
      <c r="B759" s="3563" t="s">
        <v>4196</v>
      </c>
      <c r="C759" s="3563" t="s">
        <v>4197</v>
      </c>
      <c r="D759" s="3563" t="s">
        <v>4796</v>
      </c>
      <c r="E759" s="3563" t="s">
        <v>4378</v>
      </c>
      <c r="F759" s="3563" t="s">
        <v>4797</v>
      </c>
      <c r="G759" s="3564">
        <v>100.61</v>
      </c>
      <c r="H759" s="3564">
        <v>81.739999999999995</v>
      </c>
      <c r="I759" s="3564">
        <v>18.87</v>
      </c>
      <c r="J759" s="3565">
        <v>1078037</v>
      </c>
      <c r="K759" s="3565">
        <v>10715.01</v>
      </c>
      <c r="L759" s="3565">
        <v>13188.61</v>
      </c>
      <c r="M759" s="3565">
        <v>0</v>
      </c>
      <c r="N759" s="3565">
        <v>0</v>
      </c>
      <c r="O759" s="3563" t="s">
        <v>3453</v>
      </c>
    </row>
    <row r="760" spans="1:15">
      <c r="A760" s="3563" t="s">
        <v>4970</v>
      </c>
      <c r="B760" s="3563" t="s">
        <v>4196</v>
      </c>
      <c r="C760" s="3563" t="s">
        <v>4197</v>
      </c>
      <c r="D760" s="3563" t="s">
        <v>4796</v>
      </c>
      <c r="E760" s="3563" t="s">
        <v>4378</v>
      </c>
      <c r="F760" s="3563" t="s">
        <v>4797</v>
      </c>
      <c r="G760" s="3564">
        <v>100.61</v>
      </c>
      <c r="H760" s="3564">
        <v>81.739999999999995</v>
      </c>
      <c r="I760" s="3564">
        <v>18.87</v>
      </c>
      <c r="J760" s="3565">
        <v>1078037</v>
      </c>
      <c r="K760" s="3565">
        <v>10715.01</v>
      </c>
      <c r="L760" s="3565">
        <v>13188.61</v>
      </c>
      <c r="M760" s="3565">
        <v>0</v>
      </c>
      <c r="N760" s="3565">
        <v>0</v>
      </c>
      <c r="O760" s="3563" t="s">
        <v>3453</v>
      </c>
    </row>
    <row r="761" spans="1:15">
      <c r="A761" s="3563" t="s">
        <v>4971</v>
      </c>
      <c r="B761" s="3563" t="s">
        <v>4196</v>
      </c>
      <c r="C761" s="3563" t="s">
        <v>4197</v>
      </c>
      <c r="D761" s="3563" t="s">
        <v>4796</v>
      </c>
      <c r="E761" s="3563" t="s">
        <v>4378</v>
      </c>
      <c r="F761" s="3563" t="s">
        <v>4797</v>
      </c>
      <c r="G761" s="3564">
        <v>100.95</v>
      </c>
      <c r="H761" s="3564">
        <v>82.01</v>
      </c>
      <c r="I761" s="3564">
        <v>18.940000000000001</v>
      </c>
      <c r="J761" s="3565">
        <v>1037514</v>
      </c>
      <c r="K761" s="3565">
        <v>10277.5</v>
      </c>
      <c r="L761" s="3565">
        <v>12651.07</v>
      </c>
      <c r="M761" s="3565">
        <v>0</v>
      </c>
      <c r="N761" s="3565">
        <v>0</v>
      </c>
      <c r="O761" s="3563" t="s">
        <v>3453</v>
      </c>
    </row>
    <row r="762" spans="1:15">
      <c r="A762" s="3563" t="s">
        <v>4972</v>
      </c>
      <c r="B762" s="3563" t="s">
        <v>4196</v>
      </c>
      <c r="C762" s="3563" t="s">
        <v>4197</v>
      </c>
      <c r="D762" s="3563" t="s">
        <v>4796</v>
      </c>
      <c r="E762" s="3563" t="s">
        <v>4378</v>
      </c>
      <c r="F762" s="3563" t="s">
        <v>4797</v>
      </c>
      <c r="G762" s="3564">
        <v>87.39</v>
      </c>
      <c r="H762" s="3564">
        <v>71</v>
      </c>
      <c r="I762" s="3564">
        <v>16.39</v>
      </c>
      <c r="J762" s="3565">
        <v>909075</v>
      </c>
      <c r="K762" s="3565">
        <v>10402.51</v>
      </c>
      <c r="L762" s="3565">
        <v>12803.87</v>
      </c>
      <c r="M762" s="3565">
        <v>0</v>
      </c>
      <c r="N762" s="3565">
        <v>0</v>
      </c>
      <c r="O762" s="3563" t="s">
        <v>3453</v>
      </c>
    </row>
    <row r="763" spans="1:15">
      <c r="A763" s="3563" t="s">
        <v>4973</v>
      </c>
      <c r="B763" s="3563" t="s">
        <v>4196</v>
      </c>
      <c r="C763" s="3563" t="s">
        <v>4197</v>
      </c>
      <c r="D763" s="3563" t="s">
        <v>4796</v>
      </c>
      <c r="E763" s="3563" t="s">
        <v>4378</v>
      </c>
      <c r="F763" s="3563" t="s">
        <v>4797</v>
      </c>
      <c r="G763" s="3564">
        <v>87.39</v>
      </c>
      <c r="H763" s="3564">
        <v>71</v>
      </c>
      <c r="I763" s="3564">
        <v>16.39</v>
      </c>
      <c r="J763" s="3565">
        <v>909075</v>
      </c>
      <c r="K763" s="3565">
        <v>10402.51</v>
      </c>
      <c r="L763" s="3565">
        <v>12803.87</v>
      </c>
      <c r="M763" s="3565">
        <v>0</v>
      </c>
      <c r="N763" s="3565">
        <v>0</v>
      </c>
      <c r="O763" s="3563" t="s">
        <v>3453</v>
      </c>
    </row>
    <row r="764" spans="1:15">
      <c r="A764" s="3563" t="s">
        <v>4974</v>
      </c>
      <c r="B764" s="3563" t="s">
        <v>4196</v>
      </c>
      <c r="C764" s="3563" t="s">
        <v>4197</v>
      </c>
      <c r="D764" s="3563" t="s">
        <v>4796</v>
      </c>
      <c r="E764" s="3563" t="s">
        <v>4378</v>
      </c>
      <c r="F764" s="3563" t="s">
        <v>4797</v>
      </c>
      <c r="G764" s="3564">
        <v>108.86</v>
      </c>
      <c r="H764" s="3564">
        <v>88.44</v>
      </c>
      <c r="I764" s="3564">
        <v>20.420000000000002</v>
      </c>
      <c r="J764" s="3565">
        <v>1152828</v>
      </c>
      <c r="K764" s="3565">
        <v>10590.01</v>
      </c>
      <c r="L764" s="3565">
        <v>13035.14</v>
      </c>
      <c r="M764" s="3565">
        <v>0</v>
      </c>
      <c r="N764" s="3565">
        <v>0</v>
      </c>
      <c r="O764" s="3563" t="s">
        <v>3453</v>
      </c>
    </row>
    <row r="765" spans="1:15">
      <c r="A765" s="3563" t="s">
        <v>4975</v>
      </c>
      <c r="B765" s="3563" t="s">
        <v>4196</v>
      </c>
      <c r="C765" s="3563" t="s">
        <v>4197</v>
      </c>
      <c r="D765" s="3563" t="s">
        <v>4796</v>
      </c>
      <c r="E765" s="3563" t="s">
        <v>4378</v>
      </c>
      <c r="F765" s="3563" t="s">
        <v>4797</v>
      </c>
      <c r="G765" s="3564">
        <v>100.61</v>
      </c>
      <c r="H765" s="3564">
        <v>81.739999999999995</v>
      </c>
      <c r="I765" s="3564">
        <v>18.87</v>
      </c>
      <c r="J765" s="3565">
        <v>1079294</v>
      </c>
      <c r="K765" s="3565">
        <v>10727.5</v>
      </c>
      <c r="L765" s="3565">
        <v>13203.99</v>
      </c>
      <c r="M765" s="3565">
        <v>0</v>
      </c>
      <c r="N765" s="3565">
        <v>0</v>
      </c>
      <c r="O765" s="3563" t="s">
        <v>3453</v>
      </c>
    </row>
    <row r="766" spans="1:15">
      <c r="A766" s="3563" t="s">
        <v>4976</v>
      </c>
      <c r="B766" s="3563" t="s">
        <v>4196</v>
      </c>
      <c r="C766" s="3563" t="s">
        <v>4197</v>
      </c>
      <c r="D766" s="3563" t="s">
        <v>4796</v>
      </c>
      <c r="E766" s="3563" t="s">
        <v>4378</v>
      </c>
      <c r="F766" s="3563" t="s">
        <v>4797</v>
      </c>
      <c r="G766" s="3564">
        <v>100.61</v>
      </c>
      <c r="H766" s="3564">
        <v>81.739999999999995</v>
      </c>
      <c r="I766" s="3564">
        <v>18.87</v>
      </c>
      <c r="J766" s="3565">
        <v>1079294</v>
      </c>
      <c r="K766" s="3565">
        <v>10727.5</v>
      </c>
      <c r="L766" s="3565">
        <v>13203.99</v>
      </c>
      <c r="M766" s="3565">
        <v>0</v>
      </c>
      <c r="N766" s="3565">
        <v>0</v>
      </c>
      <c r="O766" s="3563" t="s">
        <v>3453</v>
      </c>
    </row>
    <row r="767" spans="1:15">
      <c r="A767" s="3563" t="s">
        <v>4977</v>
      </c>
      <c r="B767" s="3563" t="s">
        <v>4196</v>
      </c>
      <c r="C767" s="3563" t="s">
        <v>4197</v>
      </c>
      <c r="D767" s="3563" t="s">
        <v>4796</v>
      </c>
      <c r="E767" s="3563" t="s">
        <v>4378</v>
      </c>
      <c r="F767" s="3563" t="s">
        <v>4797</v>
      </c>
      <c r="G767" s="3564">
        <v>100.95</v>
      </c>
      <c r="H767" s="3564">
        <v>82.01</v>
      </c>
      <c r="I767" s="3564">
        <v>18.940000000000001</v>
      </c>
      <c r="J767" s="3565">
        <v>1038775</v>
      </c>
      <c r="K767" s="3565">
        <v>10290</v>
      </c>
      <c r="L767" s="3565">
        <v>12666.44</v>
      </c>
      <c r="M767" s="3565">
        <v>0</v>
      </c>
      <c r="N767" s="3565">
        <v>0</v>
      </c>
      <c r="O767" s="3563" t="s">
        <v>3453</v>
      </c>
    </row>
    <row r="768" spans="1:15">
      <c r="A768" s="3563" t="s">
        <v>4978</v>
      </c>
      <c r="B768" s="3563" t="s">
        <v>4196</v>
      </c>
      <c r="C768" s="3563" t="s">
        <v>4197</v>
      </c>
      <c r="D768" s="3563" t="s">
        <v>4796</v>
      </c>
      <c r="E768" s="3563" t="s">
        <v>4378</v>
      </c>
      <c r="F768" s="3563" t="s">
        <v>4797</v>
      </c>
      <c r="G768" s="3564">
        <v>87.39</v>
      </c>
      <c r="H768" s="3564">
        <v>71</v>
      </c>
      <c r="I768" s="3564">
        <v>16.39</v>
      </c>
      <c r="J768" s="3565">
        <v>910167</v>
      </c>
      <c r="K768" s="3565">
        <v>10415</v>
      </c>
      <c r="L768" s="3565">
        <v>12819.25</v>
      </c>
      <c r="M768" s="3565">
        <v>0</v>
      </c>
      <c r="N768" s="3565">
        <v>0</v>
      </c>
      <c r="O768" s="3563" t="s">
        <v>3453</v>
      </c>
    </row>
    <row r="769" spans="1:15">
      <c r="A769" s="3563" t="s">
        <v>4979</v>
      </c>
      <c r="B769" s="3563" t="s">
        <v>4196</v>
      </c>
      <c r="C769" s="3563" t="s">
        <v>4197</v>
      </c>
      <c r="D769" s="3563" t="s">
        <v>4796</v>
      </c>
      <c r="E769" s="3563" t="s">
        <v>4378</v>
      </c>
      <c r="F769" s="3563" t="s">
        <v>4797</v>
      </c>
      <c r="G769" s="3564">
        <v>87.39</v>
      </c>
      <c r="H769" s="3564">
        <v>71</v>
      </c>
      <c r="I769" s="3564">
        <v>16.39</v>
      </c>
      <c r="J769" s="3565">
        <v>910167</v>
      </c>
      <c r="K769" s="3565">
        <v>10415</v>
      </c>
      <c r="L769" s="3565">
        <v>12819.25</v>
      </c>
      <c r="M769" s="3565">
        <v>0</v>
      </c>
      <c r="N769" s="3565">
        <v>0</v>
      </c>
      <c r="O769" s="3563" t="s">
        <v>3453</v>
      </c>
    </row>
    <row r="770" spans="1:15">
      <c r="A770" s="3563" t="s">
        <v>4980</v>
      </c>
      <c r="B770" s="3563" t="s">
        <v>4196</v>
      </c>
      <c r="C770" s="3563" t="s">
        <v>4197</v>
      </c>
      <c r="D770" s="3563" t="s">
        <v>4796</v>
      </c>
      <c r="E770" s="3563" t="s">
        <v>4378</v>
      </c>
      <c r="F770" s="3563" t="s">
        <v>4797</v>
      </c>
      <c r="G770" s="3564">
        <v>108.86</v>
      </c>
      <c r="H770" s="3564">
        <v>88.44</v>
      </c>
      <c r="I770" s="3564">
        <v>20.420000000000002</v>
      </c>
      <c r="J770" s="3565">
        <v>1154189</v>
      </c>
      <c r="K770" s="3565">
        <v>10602.51</v>
      </c>
      <c r="L770" s="3565">
        <v>13050.53</v>
      </c>
      <c r="M770" s="3565">
        <v>0</v>
      </c>
      <c r="N770" s="3565">
        <v>0</v>
      </c>
      <c r="O770" s="3563" t="s">
        <v>3453</v>
      </c>
    </row>
    <row r="771" spans="1:15">
      <c r="A771" s="3563" t="s">
        <v>4981</v>
      </c>
      <c r="B771" s="3563" t="s">
        <v>4196</v>
      </c>
      <c r="C771" s="3563" t="s">
        <v>4197</v>
      </c>
      <c r="D771" s="3563" t="s">
        <v>4796</v>
      </c>
      <c r="E771" s="3563" t="s">
        <v>4378</v>
      </c>
      <c r="F771" s="3563" t="s">
        <v>4797</v>
      </c>
      <c r="G771" s="3564">
        <v>100.61</v>
      </c>
      <c r="H771" s="3564">
        <v>81.739999999999995</v>
      </c>
      <c r="I771" s="3564">
        <v>18.87</v>
      </c>
      <c r="J771" s="3565">
        <v>1080552</v>
      </c>
      <c r="K771" s="3565">
        <v>10740.01</v>
      </c>
      <c r="L771" s="3565">
        <v>13219.38</v>
      </c>
      <c r="M771" s="3565">
        <v>0</v>
      </c>
      <c r="N771" s="3565">
        <v>0</v>
      </c>
      <c r="O771" s="3563" t="s">
        <v>3453</v>
      </c>
    </row>
    <row r="772" spans="1:15">
      <c r="A772" s="3563" t="s">
        <v>4982</v>
      </c>
      <c r="B772" s="3563" t="s">
        <v>4196</v>
      </c>
      <c r="C772" s="3563" t="s">
        <v>4197</v>
      </c>
      <c r="D772" s="3563" t="s">
        <v>4796</v>
      </c>
      <c r="E772" s="3563" t="s">
        <v>4378</v>
      </c>
      <c r="F772" s="3563" t="s">
        <v>4797</v>
      </c>
      <c r="G772" s="3564">
        <v>100.61</v>
      </c>
      <c r="H772" s="3564">
        <v>81.739999999999995</v>
      </c>
      <c r="I772" s="3564">
        <v>18.87</v>
      </c>
      <c r="J772" s="3565">
        <v>1080552</v>
      </c>
      <c r="K772" s="3565">
        <v>10740.01</v>
      </c>
      <c r="L772" s="3565">
        <v>13219.38</v>
      </c>
      <c r="M772" s="3565">
        <v>0</v>
      </c>
      <c r="N772" s="3565">
        <v>0</v>
      </c>
      <c r="O772" s="3563" t="s">
        <v>3453</v>
      </c>
    </row>
    <row r="773" spans="1:15">
      <c r="A773" s="3563" t="s">
        <v>4983</v>
      </c>
      <c r="B773" s="3563" t="s">
        <v>4196</v>
      </c>
      <c r="C773" s="3563" t="s">
        <v>4197</v>
      </c>
      <c r="D773" s="3563" t="s">
        <v>4796</v>
      </c>
      <c r="E773" s="3563" t="s">
        <v>4378</v>
      </c>
      <c r="F773" s="3563" t="s">
        <v>4797</v>
      </c>
      <c r="G773" s="3564">
        <v>100.95</v>
      </c>
      <c r="H773" s="3564">
        <v>82.01</v>
      </c>
      <c r="I773" s="3564">
        <v>18.940000000000001</v>
      </c>
      <c r="J773" s="3565">
        <v>1040038</v>
      </c>
      <c r="K773" s="3565">
        <v>10302.51</v>
      </c>
      <c r="L773" s="3565">
        <v>12681.84</v>
      </c>
      <c r="M773" s="3565">
        <v>0</v>
      </c>
      <c r="N773" s="3565">
        <v>0</v>
      </c>
      <c r="O773" s="3563" t="s">
        <v>3453</v>
      </c>
    </row>
    <row r="774" spans="1:15">
      <c r="A774" s="3563" t="s">
        <v>4984</v>
      </c>
      <c r="B774" s="3563" t="s">
        <v>4196</v>
      </c>
      <c r="C774" s="3563" t="s">
        <v>4197</v>
      </c>
      <c r="D774" s="3563" t="s">
        <v>4796</v>
      </c>
      <c r="E774" s="3563" t="s">
        <v>4378</v>
      </c>
      <c r="F774" s="3563" t="s">
        <v>4797</v>
      </c>
      <c r="G774" s="3564">
        <v>87.39</v>
      </c>
      <c r="H774" s="3564">
        <v>71</v>
      </c>
      <c r="I774" s="3564">
        <v>16.39</v>
      </c>
      <c r="J774" s="3565">
        <v>911259</v>
      </c>
      <c r="K774" s="3565">
        <v>10427.5</v>
      </c>
      <c r="L774" s="3565">
        <v>12834.63</v>
      </c>
      <c r="M774" s="3565">
        <v>0</v>
      </c>
      <c r="N774" s="3565">
        <v>0</v>
      </c>
      <c r="O774" s="3563" t="s">
        <v>3453</v>
      </c>
    </row>
    <row r="775" spans="1:15">
      <c r="A775" s="3563" t="s">
        <v>4985</v>
      </c>
      <c r="B775" s="3563" t="s">
        <v>4196</v>
      </c>
      <c r="C775" s="3563" t="s">
        <v>4197</v>
      </c>
      <c r="D775" s="3563" t="s">
        <v>4796</v>
      </c>
      <c r="E775" s="3563" t="s">
        <v>4378</v>
      </c>
      <c r="F775" s="3563" t="s">
        <v>4797</v>
      </c>
      <c r="G775" s="3564">
        <v>87.39</v>
      </c>
      <c r="H775" s="3564">
        <v>71</v>
      </c>
      <c r="I775" s="3564">
        <v>16.39</v>
      </c>
      <c r="J775" s="3565">
        <v>911259</v>
      </c>
      <c r="K775" s="3565">
        <v>10427.5</v>
      </c>
      <c r="L775" s="3565">
        <v>12834.63</v>
      </c>
      <c r="M775" s="3565">
        <v>0</v>
      </c>
      <c r="N775" s="3565">
        <v>0</v>
      </c>
      <c r="O775" s="3563" t="s">
        <v>3453</v>
      </c>
    </row>
    <row r="776" spans="1:15">
      <c r="A776" s="3563" t="s">
        <v>4986</v>
      </c>
      <c r="B776" s="3563" t="s">
        <v>4196</v>
      </c>
      <c r="C776" s="3563" t="s">
        <v>4197</v>
      </c>
      <c r="D776" s="3563" t="s">
        <v>4796</v>
      </c>
      <c r="E776" s="3563" t="s">
        <v>4378</v>
      </c>
      <c r="F776" s="3563" t="s">
        <v>4797</v>
      </c>
      <c r="G776" s="3564">
        <v>108.86</v>
      </c>
      <c r="H776" s="3564">
        <v>88.44</v>
      </c>
      <c r="I776" s="3564">
        <v>20.420000000000002</v>
      </c>
      <c r="J776" s="3565">
        <v>1155549</v>
      </c>
      <c r="K776" s="3565">
        <v>10615</v>
      </c>
      <c r="L776" s="3565">
        <v>13065.91</v>
      </c>
      <c r="M776" s="3565">
        <v>0</v>
      </c>
      <c r="N776" s="3565">
        <v>0</v>
      </c>
      <c r="O776" s="3563" t="s">
        <v>3453</v>
      </c>
    </row>
    <row r="777" spans="1:15">
      <c r="A777" s="3563" t="s">
        <v>4987</v>
      </c>
      <c r="B777" s="3563" t="s">
        <v>4196</v>
      </c>
      <c r="C777" s="3563" t="s">
        <v>4197</v>
      </c>
      <c r="D777" s="3563" t="s">
        <v>4796</v>
      </c>
      <c r="E777" s="3563" t="s">
        <v>4378</v>
      </c>
      <c r="F777" s="3563" t="s">
        <v>4797</v>
      </c>
      <c r="G777" s="3564">
        <v>100.61</v>
      </c>
      <c r="H777" s="3564">
        <v>81.739999999999995</v>
      </c>
      <c r="I777" s="3564">
        <v>18.87</v>
      </c>
      <c r="J777" s="3565">
        <v>1081809</v>
      </c>
      <c r="K777" s="3565">
        <v>10752.5</v>
      </c>
      <c r="L777" s="3565">
        <v>13234.76</v>
      </c>
      <c r="M777" s="3565">
        <v>0</v>
      </c>
      <c r="N777" s="3565">
        <v>0</v>
      </c>
      <c r="O777" s="3563" t="s">
        <v>3453</v>
      </c>
    </row>
    <row r="778" spans="1:15">
      <c r="A778" s="3563" t="s">
        <v>4988</v>
      </c>
      <c r="B778" s="3563" t="s">
        <v>4196</v>
      </c>
      <c r="C778" s="3563" t="s">
        <v>4197</v>
      </c>
      <c r="D778" s="3563" t="s">
        <v>4796</v>
      </c>
      <c r="E778" s="3563" t="s">
        <v>4378</v>
      </c>
      <c r="F778" s="3563" t="s">
        <v>4797</v>
      </c>
      <c r="G778" s="3564">
        <v>100.61</v>
      </c>
      <c r="H778" s="3564">
        <v>81.739999999999995</v>
      </c>
      <c r="I778" s="3564">
        <v>18.87</v>
      </c>
      <c r="J778" s="3565">
        <v>1081809</v>
      </c>
      <c r="K778" s="3565">
        <v>10752.5</v>
      </c>
      <c r="L778" s="3565">
        <v>13234.76</v>
      </c>
      <c r="M778" s="3565">
        <v>0</v>
      </c>
      <c r="N778" s="3565">
        <v>0</v>
      </c>
      <c r="O778" s="3563" t="s">
        <v>3453</v>
      </c>
    </row>
    <row r="779" spans="1:15">
      <c r="A779" s="3563" t="s">
        <v>4989</v>
      </c>
      <c r="B779" s="3563" t="s">
        <v>4196</v>
      </c>
      <c r="C779" s="3563" t="s">
        <v>4197</v>
      </c>
      <c r="D779" s="3563" t="s">
        <v>4796</v>
      </c>
      <c r="E779" s="3563" t="s">
        <v>4378</v>
      </c>
      <c r="F779" s="3563" t="s">
        <v>4797</v>
      </c>
      <c r="G779" s="3564">
        <v>100.95</v>
      </c>
      <c r="H779" s="3564">
        <v>82.01</v>
      </c>
      <c r="I779" s="3564">
        <v>18.940000000000001</v>
      </c>
      <c r="J779" s="3565">
        <v>1041299</v>
      </c>
      <c r="K779" s="3565">
        <v>10315</v>
      </c>
      <c r="L779" s="3565">
        <v>12697.22</v>
      </c>
      <c r="M779" s="3565">
        <v>0</v>
      </c>
      <c r="N779" s="3565">
        <v>0</v>
      </c>
      <c r="O779" s="3563" t="s">
        <v>3453</v>
      </c>
    </row>
    <row r="780" spans="1:15">
      <c r="A780" s="3563" t="s">
        <v>4990</v>
      </c>
      <c r="B780" s="3563" t="s">
        <v>4196</v>
      </c>
      <c r="C780" s="3563" t="s">
        <v>4197</v>
      </c>
      <c r="D780" s="3563" t="s">
        <v>4796</v>
      </c>
      <c r="E780" s="3563" t="s">
        <v>4378</v>
      </c>
      <c r="F780" s="3563" t="s">
        <v>4797</v>
      </c>
      <c r="G780" s="3564">
        <v>87.39</v>
      </c>
      <c r="H780" s="3564">
        <v>71</v>
      </c>
      <c r="I780" s="3564">
        <v>16.39</v>
      </c>
      <c r="J780" s="3565">
        <v>912352</v>
      </c>
      <c r="K780" s="3565">
        <v>10440</v>
      </c>
      <c r="L780" s="3565">
        <v>12850.03</v>
      </c>
      <c r="M780" s="3565">
        <v>0</v>
      </c>
      <c r="N780" s="3565">
        <v>0</v>
      </c>
      <c r="O780" s="3563" t="s">
        <v>3453</v>
      </c>
    </row>
    <row r="781" spans="1:15">
      <c r="A781" s="3563" t="s">
        <v>4991</v>
      </c>
      <c r="B781" s="3563" t="s">
        <v>4196</v>
      </c>
      <c r="C781" s="3563" t="s">
        <v>4197</v>
      </c>
      <c r="D781" s="3563" t="s">
        <v>4796</v>
      </c>
      <c r="E781" s="3563" t="s">
        <v>4378</v>
      </c>
      <c r="F781" s="3563" t="s">
        <v>4797</v>
      </c>
      <c r="G781" s="3564">
        <v>87.39</v>
      </c>
      <c r="H781" s="3564">
        <v>71</v>
      </c>
      <c r="I781" s="3564">
        <v>16.39</v>
      </c>
      <c r="J781" s="3565">
        <v>912352</v>
      </c>
      <c r="K781" s="3565">
        <v>10440</v>
      </c>
      <c r="L781" s="3565">
        <v>12850.03</v>
      </c>
      <c r="M781" s="3565">
        <v>0</v>
      </c>
      <c r="N781" s="3565">
        <v>0</v>
      </c>
      <c r="O781" s="3563" t="s">
        <v>3453</v>
      </c>
    </row>
    <row r="782" spans="1:15">
      <c r="A782" s="3563" t="s">
        <v>4992</v>
      </c>
      <c r="B782" s="3563" t="s">
        <v>4196</v>
      </c>
      <c r="C782" s="3563" t="s">
        <v>4197</v>
      </c>
      <c r="D782" s="3563" t="s">
        <v>4796</v>
      </c>
      <c r="E782" s="3563" t="s">
        <v>4378</v>
      </c>
      <c r="F782" s="3563" t="s">
        <v>4797</v>
      </c>
      <c r="G782" s="3564">
        <v>108.86</v>
      </c>
      <c r="H782" s="3564">
        <v>88.44</v>
      </c>
      <c r="I782" s="3564">
        <v>20.420000000000002</v>
      </c>
      <c r="J782" s="3565">
        <v>1156910</v>
      </c>
      <c r="K782" s="3565">
        <v>10627.5</v>
      </c>
      <c r="L782" s="3565">
        <v>13081.3</v>
      </c>
      <c r="M782" s="3565">
        <v>0</v>
      </c>
      <c r="N782" s="3565">
        <v>0</v>
      </c>
      <c r="O782" s="3563" t="s">
        <v>3453</v>
      </c>
    </row>
    <row r="783" spans="1:15">
      <c r="A783" s="3563" t="s">
        <v>4993</v>
      </c>
      <c r="B783" s="3563" t="s">
        <v>4196</v>
      </c>
      <c r="C783" s="3563" t="s">
        <v>4197</v>
      </c>
      <c r="D783" s="3563" t="s">
        <v>4796</v>
      </c>
      <c r="E783" s="3563" t="s">
        <v>4378</v>
      </c>
      <c r="F783" s="3563" t="s">
        <v>4797</v>
      </c>
      <c r="G783" s="3564">
        <v>100.61</v>
      </c>
      <c r="H783" s="3564">
        <v>81.739999999999995</v>
      </c>
      <c r="I783" s="3564">
        <v>18.87</v>
      </c>
      <c r="J783" s="3565">
        <v>1070490</v>
      </c>
      <c r="K783" s="3565">
        <v>10640</v>
      </c>
      <c r="L783" s="3565">
        <v>13096.28</v>
      </c>
      <c r="M783" s="3565">
        <v>0</v>
      </c>
      <c r="N783" s="3565">
        <v>0</v>
      </c>
      <c r="O783" s="3563" t="s">
        <v>3453</v>
      </c>
    </row>
    <row r="784" spans="1:15">
      <c r="A784" s="3563" t="s">
        <v>4994</v>
      </c>
      <c r="B784" s="3563" t="s">
        <v>4196</v>
      </c>
      <c r="C784" s="3563" t="s">
        <v>4197</v>
      </c>
      <c r="D784" s="3563" t="s">
        <v>4796</v>
      </c>
      <c r="E784" s="3563" t="s">
        <v>4378</v>
      </c>
      <c r="F784" s="3563" t="s">
        <v>4797</v>
      </c>
      <c r="G784" s="3564">
        <v>100.61</v>
      </c>
      <c r="H784" s="3564">
        <v>81.739999999999995</v>
      </c>
      <c r="I784" s="3564">
        <v>18.87</v>
      </c>
      <c r="J784" s="3565">
        <v>1070490</v>
      </c>
      <c r="K784" s="3565">
        <v>10640</v>
      </c>
      <c r="L784" s="3565">
        <v>13096.28</v>
      </c>
      <c r="M784" s="3565">
        <v>0</v>
      </c>
      <c r="N784" s="3565">
        <v>0</v>
      </c>
      <c r="O784" s="3563" t="s">
        <v>3453</v>
      </c>
    </row>
    <row r="785" spans="1:15">
      <c r="A785" s="3563" t="s">
        <v>4995</v>
      </c>
      <c r="B785" s="3563" t="s">
        <v>4196</v>
      </c>
      <c r="C785" s="3563" t="s">
        <v>4197</v>
      </c>
      <c r="D785" s="3563" t="s">
        <v>4796</v>
      </c>
      <c r="E785" s="3563" t="s">
        <v>4378</v>
      </c>
      <c r="F785" s="3563" t="s">
        <v>4797</v>
      </c>
      <c r="G785" s="3564">
        <v>100.95</v>
      </c>
      <c r="H785" s="3564">
        <v>82.01</v>
      </c>
      <c r="I785" s="3564">
        <v>18.940000000000001</v>
      </c>
      <c r="J785" s="3565">
        <v>1029943</v>
      </c>
      <c r="K785" s="3565">
        <v>10202.51</v>
      </c>
      <c r="L785" s="3565">
        <v>12558.75</v>
      </c>
      <c r="M785" s="3565">
        <v>0</v>
      </c>
      <c r="N785" s="3565">
        <v>0</v>
      </c>
      <c r="O785" s="3563" t="s">
        <v>3453</v>
      </c>
    </row>
    <row r="786" spans="1:15">
      <c r="A786" s="3563" t="s">
        <v>4996</v>
      </c>
      <c r="B786" s="3563" t="s">
        <v>4196</v>
      </c>
      <c r="C786" s="3563" t="s">
        <v>4197</v>
      </c>
      <c r="D786" s="3563" t="s">
        <v>4796</v>
      </c>
      <c r="E786" s="3563" t="s">
        <v>4378</v>
      </c>
      <c r="F786" s="3563" t="s">
        <v>4797</v>
      </c>
      <c r="G786" s="3564">
        <v>87.39</v>
      </c>
      <c r="H786" s="3564">
        <v>71</v>
      </c>
      <c r="I786" s="3564">
        <v>16.39</v>
      </c>
      <c r="J786" s="3565">
        <v>902520</v>
      </c>
      <c r="K786" s="3565">
        <v>10327.5</v>
      </c>
      <c r="L786" s="3565">
        <v>12711.55</v>
      </c>
      <c r="M786" s="3565">
        <v>0</v>
      </c>
      <c r="N786" s="3565">
        <v>0</v>
      </c>
      <c r="O786" s="3563" t="s">
        <v>3453</v>
      </c>
    </row>
    <row r="787" spans="1:15">
      <c r="A787" s="3563" t="s">
        <v>4997</v>
      </c>
      <c r="B787" s="3563" t="s">
        <v>4196</v>
      </c>
      <c r="C787" s="3563" t="s">
        <v>4197</v>
      </c>
      <c r="D787" s="3563" t="s">
        <v>4796</v>
      </c>
      <c r="E787" s="3563" t="s">
        <v>4378</v>
      </c>
      <c r="F787" s="3563" t="s">
        <v>4797</v>
      </c>
      <c r="G787" s="3564">
        <v>87.39</v>
      </c>
      <c r="H787" s="3564">
        <v>71</v>
      </c>
      <c r="I787" s="3564">
        <v>16.39</v>
      </c>
      <c r="J787" s="3565">
        <v>902520</v>
      </c>
      <c r="K787" s="3565">
        <v>10327.5</v>
      </c>
      <c r="L787" s="3565">
        <v>12711.55</v>
      </c>
      <c r="M787" s="3565">
        <v>0</v>
      </c>
      <c r="N787" s="3565">
        <v>0</v>
      </c>
      <c r="O787" s="3563" t="s">
        <v>3453</v>
      </c>
    </row>
    <row r="788" spans="1:15">
      <c r="A788" s="3563" t="s">
        <v>4998</v>
      </c>
      <c r="B788" s="3563" t="s">
        <v>4196</v>
      </c>
      <c r="C788" s="3563" t="s">
        <v>4197</v>
      </c>
      <c r="D788" s="3563" t="s">
        <v>4796</v>
      </c>
      <c r="E788" s="3563" t="s">
        <v>4378</v>
      </c>
      <c r="F788" s="3563" t="s">
        <v>4797</v>
      </c>
      <c r="G788" s="3564">
        <v>108.86</v>
      </c>
      <c r="H788" s="3564">
        <v>88.44</v>
      </c>
      <c r="I788" s="3564">
        <v>20.420000000000002</v>
      </c>
      <c r="J788" s="3565">
        <v>1144663</v>
      </c>
      <c r="K788" s="3565">
        <v>10515</v>
      </c>
      <c r="L788" s="3565">
        <v>12942.82</v>
      </c>
      <c r="M788" s="3565">
        <v>0</v>
      </c>
      <c r="N788" s="3565">
        <v>0</v>
      </c>
      <c r="O788" s="3563" t="s">
        <v>3453</v>
      </c>
    </row>
    <row r="789" spans="1:15">
      <c r="A789" s="3563" t="s">
        <v>4999</v>
      </c>
      <c r="B789" s="3563" t="s">
        <v>4196</v>
      </c>
      <c r="C789" s="3563" t="s">
        <v>4197</v>
      </c>
      <c r="D789" s="3563" t="s">
        <v>4796</v>
      </c>
      <c r="E789" s="3563" t="s">
        <v>4378</v>
      </c>
      <c r="F789" s="3563" t="s">
        <v>4797</v>
      </c>
      <c r="G789" s="3564">
        <v>100.61</v>
      </c>
      <c r="H789" s="3564">
        <v>81.739999999999995</v>
      </c>
      <c r="I789" s="3564">
        <v>18.87</v>
      </c>
      <c r="J789" s="3565">
        <v>1084324</v>
      </c>
      <c r="K789" s="3565">
        <v>10777.5</v>
      </c>
      <c r="L789" s="3565">
        <v>13265.52</v>
      </c>
      <c r="M789" s="3565">
        <v>0</v>
      </c>
      <c r="N789" s="3565">
        <v>0</v>
      </c>
      <c r="O789" s="3563" t="s">
        <v>3453</v>
      </c>
    </row>
    <row r="790" spans="1:15">
      <c r="A790" s="3563" t="s">
        <v>5000</v>
      </c>
      <c r="B790" s="3563" t="s">
        <v>4196</v>
      </c>
      <c r="C790" s="3563" t="s">
        <v>4197</v>
      </c>
      <c r="D790" s="3563" t="s">
        <v>4796</v>
      </c>
      <c r="E790" s="3563" t="s">
        <v>4378</v>
      </c>
      <c r="F790" s="3563" t="s">
        <v>4797</v>
      </c>
      <c r="G790" s="3564">
        <v>100.61</v>
      </c>
      <c r="H790" s="3564">
        <v>81.739999999999995</v>
      </c>
      <c r="I790" s="3564">
        <v>18.87</v>
      </c>
      <c r="J790" s="3565">
        <v>1084324</v>
      </c>
      <c r="K790" s="3565">
        <v>10777.5</v>
      </c>
      <c r="L790" s="3565">
        <v>13265.52</v>
      </c>
      <c r="M790" s="3565">
        <v>0</v>
      </c>
      <c r="N790" s="3565">
        <v>0</v>
      </c>
      <c r="O790" s="3563" t="s">
        <v>3453</v>
      </c>
    </row>
    <row r="791" spans="1:15">
      <c r="A791" s="3563" t="s">
        <v>5001</v>
      </c>
      <c r="B791" s="3563" t="s">
        <v>4196</v>
      </c>
      <c r="C791" s="3563" t="s">
        <v>4197</v>
      </c>
      <c r="D791" s="3563" t="s">
        <v>4796</v>
      </c>
      <c r="E791" s="3563" t="s">
        <v>4378</v>
      </c>
      <c r="F791" s="3563" t="s">
        <v>4797</v>
      </c>
      <c r="G791" s="3564">
        <v>100.95</v>
      </c>
      <c r="H791" s="3564">
        <v>82.01</v>
      </c>
      <c r="I791" s="3564">
        <v>18.940000000000001</v>
      </c>
      <c r="J791" s="3565">
        <v>1043823</v>
      </c>
      <c r="K791" s="3565">
        <v>10340</v>
      </c>
      <c r="L791" s="3565">
        <v>12728</v>
      </c>
      <c r="M791" s="3565">
        <v>0</v>
      </c>
      <c r="N791" s="3565">
        <v>0</v>
      </c>
      <c r="O791" s="3563" t="s">
        <v>3453</v>
      </c>
    </row>
    <row r="792" spans="1:15">
      <c r="A792" s="3563" t="s">
        <v>5002</v>
      </c>
      <c r="B792" s="3563" t="s">
        <v>4196</v>
      </c>
      <c r="C792" s="3563" t="s">
        <v>4197</v>
      </c>
      <c r="D792" s="3563" t="s">
        <v>4796</v>
      </c>
      <c r="E792" s="3563" t="s">
        <v>4378</v>
      </c>
      <c r="F792" s="3563" t="s">
        <v>4797</v>
      </c>
      <c r="G792" s="3564">
        <v>87.39</v>
      </c>
      <c r="H792" s="3564">
        <v>71</v>
      </c>
      <c r="I792" s="3564">
        <v>16.39</v>
      </c>
      <c r="J792" s="3565">
        <v>914537</v>
      </c>
      <c r="K792" s="3565">
        <v>10465.01</v>
      </c>
      <c r="L792" s="3565">
        <v>12880.8</v>
      </c>
      <c r="M792" s="3565">
        <v>0</v>
      </c>
      <c r="N792" s="3565">
        <v>0</v>
      </c>
      <c r="O792" s="3563" t="s">
        <v>3453</v>
      </c>
    </row>
    <row r="793" spans="1:15">
      <c r="A793" s="3563" t="s">
        <v>5003</v>
      </c>
      <c r="B793" s="3563" t="s">
        <v>4196</v>
      </c>
      <c r="C793" s="3563" t="s">
        <v>4197</v>
      </c>
      <c r="D793" s="3563" t="s">
        <v>4796</v>
      </c>
      <c r="E793" s="3563" t="s">
        <v>4378</v>
      </c>
      <c r="F793" s="3563" t="s">
        <v>4797</v>
      </c>
      <c r="G793" s="3564">
        <v>87.39</v>
      </c>
      <c r="H793" s="3564">
        <v>71</v>
      </c>
      <c r="I793" s="3564">
        <v>16.39</v>
      </c>
      <c r="J793" s="3565">
        <v>914537</v>
      </c>
      <c r="K793" s="3565">
        <v>10465.01</v>
      </c>
      <c r="L793" s="3565">
        <v>12880.8</v>
      </c>
      <c r="M793" s="3565">
        <v>0</v>
      </c>
      <c r="N793" s="3565">
        <v>0</v>
      </c>
      <c r="O793" s="3563" t="s">
        <v>3453</v>
      </c>
    </row>
    <row r="794" spans="1:15">
      <c r="A794" s="3563" t="s">
        <v>5004</v>
      </c>
      <c r="B794" s="3563" t="s">
        <v>4196</v>
      </c>
      <c r="C794" s="3563" t="s">
        <v>4197</v>
      </c>
      <c r="D794" s="3563" t="s">
        <v>4796</v>
      </c>
      <c r="E794" s="3563" t="s">
        <v>4378</v>
      </c>
      <c r="F794" s="3563" t="s">
        <v>4797</v>
      </c>
      <c r="G794" s="3564">
        <v>108.86</v>
      </c>
      <c r="H794" s="3564">
        <v>88.44</v>
      </c>
      <c r="I794" s="3564">
        <v>20.420000000000002</v>
      </c>
      <c r="J794" s="3565">
        <v>1159632</v>
      </c>
      <c r="K794" s="3565">
        <v>10652.51</v>
      </c>
      <c r="L794" s="3565">
        <v>13112.08</v>
      </c>
      <c r="M794" s="3565">
        <v>0</v>
      </c>
      <c r="N794" s="3565">
        <v>0</v>
      </c>
      <c r="O794" s="3563" t="s">
        <v>3453</v>
      </c>
    </row>
    <row r="795" spans="1:15">
      <c r="A795" s="3563" t="s">
        <v>5005</v>
      </c>
      <c r="B795" s="3563" t="s">
        <v>4196</v>
      </c>
      <c r="C795" s="3563" t="s">
        <v>4197</v>
      </c>
      <c r="D795" s="3563" t="s">
        <v>4796</v>
      </c>
      <c r="E795" s="3563" t="s">
        <v>4378</v>
      </c>
      <c r="F795" s="3563" t="s">
        <v>4797</v>
      </c>
      <c r="G795" s="3564">
        <v>100.61</v>
      </c>
      <c r="H795" s="3564">
        <v>81.739999999999995</v>
      </c>
      <c r="I795" s="3564">
        <v>18.87</v>
      </c>
      <c r="J795" s="3565">
        <v>1083067</v>
      </c>
      <c r="K795" s="3565">
        <v>10765</v>
      </c>
      <c r="L795" s="3565">
        <v>13250.15</v>
      </c>
      <c r="M795" s="3565">
        <v>0</v>
      </c>
      <c r="N795" s="3565">
        <v>0</v>
      </c>
      <c r="O795" s="3563" t="s">
        <v>3453</v>
      </c>
    </row>
    <row r="796" spans="1:15">
      <c r="A796" s="3563" t="s">
        <v>5006</v>
      </c>
      <c r="B796" s="3563" t="s">
        <v>4196</v>
      </c>
      <c r="C796" s="3563" t="s">
        <v>4197</v>
      </c>
      <c r="D796" s="3563" t="s">
        <v>4796</v>
      </c>
      <c r="E796" s="3563" t="s">
        <v>4378</v>
      </c>
      <c r="F796" s="3563" t="s">
        <v>4797</v>
      </c>
      <c r="G796" s="3564">
        <v>100.61</v>
      </c>
      <c r="H796" s="3564">
        <v>81.739999999999995</v>
      </c>
      <c r="I796" s="3564">
        <v>18.87</v>
      </c>
      <c r="J796" s="3565">
        <v>1083067</v>
      </c>
      <c r="K796" s="3565">
        <v>10765</v>
      </c>
      <c r="L796" s="3565">
        <v>13250.15</v>
      </c>
      <c r="M796" s="3565">
        <v>0</v>
      </c>
      <c r="N796" s="3565">
        <v>0</v>
      </c>
      <c r="O796" s="3563" t="s">
        <v>3453</v>
      </c>
    </row>
    <row r="797" spans="1:15">
      <c r="A797" s="3563" t="s">
        <v>5007</v>
      </c>
      <c r="B797" s="3563" t="s">
        <v>4196</v>
      </c>
      <c r="C797" s="3563" t="s">
        <v>4197</v>
      </c>
      <c r="D797" s="3563" t="s">
        <v>4796</v>
      </c>
      <c r="E797" s="3563" t="s">
        <v>4378</v>
      </c>
      <c r="F797" s="3563" t="s">
        <v>4797</v>
      </c>
      <c r="G797" s="3564">
        <v>100.95</v>
      </c>
      <c r="H797" s="3564">
        <v>82.01</v>
      </c>
      <c r="I797" s="3564">
        <v>18.940000000000001</v>
      </c>
      <c r="J797" s="3565">
        <v>1042562</v>
      </c>
      <c r="K797" s="3565">
        <v>10327.51</v>
      </c>
      <c r="L797" s="3565">
        <v>12712.62</v>
      </c>
      <c r="M797" s="3565">
        <v>0</v>
      </c>
      <c r="N797" s="3565">
        <v>0</v>
      </c>
      <c r="O797" s="3563" t="s">
        <v>3453</v>
      </c>
    </row>
    <row r="798" spans="1:15">
      <c r="A798" s="3563" t="s">
        <v>5008</v>
      </c>
      <c r="B798" s="3563" t="s">
        <v>4196</v>
      </c>
      <c r="C798" s="3563" t="s">
        <v>4197</v>
      </c>
      <c r="D798" s="3563" t="s">
        <v>4796</v>
      </c>
      <c r="E798" s="3563" t="s">
        <v>4378</v>
      </c>
      <c r="F798" s="3563" t="s">
        <v>4797</v>
      </c>
      <c r="G798" s="3564">
        <v>87.39</v>
      </c>
      <c r="H798" s="3564">
        <v>71</v>
      </c>
      <c r="I798" s="3564">
        <v>16.39</v>
      </c>
      <c r="J798" s="3565">
        <v>913444</v>
      </c>
      <c r="K798" s="3565">
        <v>10452.5</v>
      </c>
      <c r="L798" s="3565">
        <v>12865.41</v>
      </c>
      <c r="M798" s="3565">
        <v>0</v>
      </c>
      <c r="N798" s="3565">
        <v>0</v>
      </c>
      <c r="O798" s="3563" t="s">
        <v>3453</v>
      </c>
    </row>
    <row r="799" spans="1:15">
      <c r="A799" s="3563" t="s">
        <v>5009</v>
      </c>
      <c r="B799" s="3563" t="s">
        <v>4196</v>
      </c>
      <c r="C799" s="3563" t="s">
        <v>4197</v>
      </c>
      <c r="D799" s="3563" t="s">
        <v>4796</v>
      </c>
      <c r="E799" s="3563" t="s">
        <v>4378</v>
      </c>
      <c r="F799" s="3563" t="s">
        <v>4797</v>
      </c>
      <c r="G799" s="3564">
        <v>87.39</v>
      </c>
      <c r="H799" s="3564">
        <v>71</v>
      </c>
      <c r="I799" s="3564">
        <v>16.39</v>
      </c>
      <c r="J799" s="3565">
        <v>913444</v>
      </c>
      <c r="K799" s="3565">
        <v>10452.5</v>
      </c>
      <c r="L799" s="3565">
        <v>12865.41</v>
      </c>
      <c r="M799" s="3565">
        <v>0</v>
      </c>
      <c r="N799" s="3565">
        <v>0</v>
      </c>
      <c r="O799" s="3563" t="s">
        <v>3453</v>
      </c>
    </row>
    <row r="800" spans="1:15">
      <c r="A800" s="3563" t="s">
        <v>5010</v>
      </c>
      <c r="B800" s="3563" t="s">
        <v>4196</v>
      </c>
      <c r="C800" s="3563" t="s">
        <v>4197</v>
      </c>
      <c r="D800" s="3563" t="s">
        <v>4796</v>
      </c>
      <c r="E800" s="3563" t="s">
        <v>4378</v>
      </c>
      <c r="F800" s="3563" t="s">
        <v>4797</v>
      </c>
      <c r="G800" s="3564">
        <v>108.86</v>
      </c>
      <c r="H800" s="3564">
        <v>88.44</v>
      </c>
      <c r="I800" s="3564">
        <v>20.420000000000002</v>
      </c>
      <c r="J800" s="3565">
        <v>1158270</v>
      </c>
      <c r="K800" s="3565">
        <v>10640</v>
      </c>
      <c r="L800" s="3565">
        <v>13096.68</v>
      </c>
      <c r="M800" s="3565">
        <v>0</v>
      </c>
      <c r="N800" s="3565">
        <v>0</v>
      </c>
      <c r="O800" s="3563" t="s">
        <v>3453</v>
      </c>
    </row>
    <row r="801" spans="1:15">
      <c r="A801" s="3563" t="s">
        <v>5011</v>
      </c>
      <c r="B801" s="3563" t="s">
        <v>4196</v>
      </c>
      <c r="C801" s="3563" t="s">
        <v>4197</v>
      </c>
      <c r="D801" s="3563" t="s">
        <v>4796</v>
      </c>
      <c r="E801" s="3563" t="s">
        <v>4378</v>
      </c>
      <c r="F801" s="3563" t="s">
        <v>4797</v>
      </c>
      <c r="G801" s="3564">
        <v>100.61</v>
      </c>
      <c r="H801" s="3564">
        <v>81.739999999999995</v>
      </c>
      <c r="I801" s="3564">
        <v>18.87</v>
      </c>
      <c r="J801" s="3565">
        <v>1081809</v>
      </c>
      <c r="K801" s="3565">
        <v>10752.5</v>
      </c>
      <c r="L801" s="3565">
        <v>13234.76</v>
      </c>
      <c r="M801" s="3565">
        <v>0</v>
      </c>
      <c r="N801" s="3565">
        <v>0</v>
      </c>
      <c r="O801" s="3563" t="s">
        <v>3453</v>
      </c>
    </row>
    <row r="802" spans="1:15">
      <c r="A802" s="3563" t="s">
        <v>5012</v>
      </c>
      <c r="B802" s="3563" t="s">
        <v>4196</v>
      </c>
      <c r="C802" s="3563" t="s">
        <v>4197</v>
      </c>
      <c r="D802" s="3563" t="s">
        <v>4796</v>
      </c>
      <c r="E802" s="3563" t="s">
        <v>4378</v>
      </c>
      <c r="F802" s="3563" t="s">
        <v>4797</v>
      </c>
      <c r="G802" s="3564">
        <v>100.61</v>
      </c>
      <c r="H802" s="3564">
        <v>81.739999999999995</v>
      </c>
      <c r="I802" s="3564">
        <v>18.87</v>
      </c>
      <c r="J802" s="3565">
        <v>1081809</v>
      </c>
      <c r="K802" s="3565">
        <v>10752.5</v>
      </c>
      <c r="L802" s="3565">
        <v>13234.76</v>
      </c>
      <c r="M802" s="3565">
        <v>0</v>
      </c>
      <c r="N802" s="3565">
        <v>0</v>
      </c>
      <c r="O802" s="3563" t="s">
        <v>3453</v>
      </c>
    </row>
    <row r="803" spans="1:15">
      <c r="A803" s="3563" t="s">
        <v>5013</v>
      </c>
      <c r="B803" s="3563" t="s">
        <v>4196</v>
      </c>
      <c r="C803" s="3563" t="s">
        <v>4197</v>
      </c>
      <c r="D803" s="3563" t="s">
        <v>4796</v>
      </c>
      <c r="E803" s="3563" t="s">
        <v>4378</v>
      </c>
      <c r="F803" s="3563" t="s">
        <v>4797</v>
      </c>
      <c r="G803" s="3564">
        <v>100.95</v>
      </c>
      <c r="H803" s="3564">
        <v>82.01</v>
      </c>
      <c r="I803" s="3564">
        <v>18.940000000000001</v>
      </c>
      <c r="J803" s="3565">
        <v>1041299</v>
      </c>
      <c r="K803" s="3565">
        <v>10315</v>
      </c>
      <c r="L803" s="3565">
        <v>12697.22</v>
      </c>
      <c r="M803" s="3565">
        <v>0</v>
      </c>
      <c r="N803" s="3565">
        <v>0</v>
      </c>
      <c r="O803" s="3563" t="s">
        <v>3453</v>
      </c>
    </row>
    <row r="804" spans="1:15">
      <c r="A804" s="3563" t="s">
        <v>5014</v>
      </c>
      <c r="B804" s="3563" t="s">
        <v>4196</v>
      </c>
      <c r="C804" s="3563" t="s">
        <v>4197</v>
      </c>
      <c r="D804" s="3563" t="s">
        <v>4796</v>
      </c>
      <c r="E804" s="3563" t="s">
        <v>4378</v>
      </c>
      <c r="F804" s="3563" t="s">
        <v>4797</v>
      </c>
      <c r="G804" s="3564">
        <v>87.39</v>
      </c>
      <c r="H804" s="3564">
        <v>71</v>
      </c>
      <c r="I804" s="3564">
        <v>16.39</v>
      </c>
      <c r="J804" s="3565">
        <v>912352</v>
      </c>
      <c r="K804" s="3565">
        <v>10440</v>
      </c>
      <c r="L804" s="3565">
        <v>12850.03</v>
      </c>
      <c r="M804" s="3565">
        <v>0</v>
      </c>
      <c r="N804" s="3565">
        <v>0</v>
      </c>
      <c r="O804" s="3563" t="s">
        <v>3453</v>
      </c>
    </row>
    <row r="805" spans="1:15">
      <c r="A805" s="3563" t="s">
        <v>5015</v>
      </c>
      <c r="B805" s="3563" t="s">
        <v>4196</v>
      </c>
      <c r="C805" s="3563" t="s">
        <v>4197</v>
      </c>
      <c r="D805" s="3563" t="s">
        <v>4796</v>
      </c>
      <c r="E805" s="3563" t="s">
        <v>4378</v>
      </c>
      <c r="F805" s="3563" t="s">
        <v>4797</v>
      </c>
      <c r="G805" s="3564">
        <v>87.39</v>
      </c>
      <c r="H805" s="3564">
        <v>71</v>
      </c>
      <c r="I805" s="3564">
        <v>16.39</v>
      </c>
      <c r="J805" s="3565">
        <v>912352</v>
      </c>
      <c r="K805" s="3565">
        <v>10440</v>
      </c>
      <c r="L805" s="3565">
        <v>12850.03</v>
      </c>
      <c r="M805" s="3565">
        <v>0</v>
      </c>
      <c r="N805" s="3565">
        <v>0</v>
      </c>
      <c r="O805" s="3563" t="s">
        <v>3453</v>
      </c>
    </row>
    <row r="806" spans="1:15">
      <c r="A806" s="3563" t="s">
        <v>5016</v>
      </c>
      <c r="B806" s="3563" t="s">
        <v>4196</v>
      </c>
      <c r="C806" s="3563" t="s">
        <v>4197</v>
      </c>
      <c r="D806" s="3563" t="s">
        <v>4796</v>
      </c>
      <c r="E806" s="3563" t="s">
        <v>4378</v>
      </c>
      <c r="F806" s="3563" t="s">
        <v>4797</v>
      </c>
      <c r="G806" s="3564">
        <v>108.86</v>
      </c>
      <c r="H806" s="3564">
        <v>88.44</v>
      </c>
      <c r="I806" s="3564">
        <v>20.420000000000002</v>
      </c>
      <c r="J806" s="3565">
        <v>1156910</v>
      </c>
      <c r="K806" s="3565">
        <v>10627.5</v>
      </c>
      <c r="L806" s="3565">
        <v>13081.3</v>
      </c>
      <c r="M806" s="3565">
        <v>0</v>
      </c>
      <c r="N806" s="3565">
        <v>0</v>
      </c>
      <c r="O806" s="3563" t="s">
        <v>3453</v>
      </c>
    </row>
    <row r="807" spans="1:15">
      <c r="A807" s="3563" t="s">
        <v>5017</v>
      </c>
      <c r="B807" s="3563" t="s">
        <v>4196</v>
      </c>
      <c r="C807" s="3563" t="s">
        <v>4197</v>
      </c>
      <c r="D807" s="3563" t="s">
        <v>4796</v>
      </c>
      <c r="E807" s="3563" t="s">
        <v>4378</v>
      </c>
      <c r="F807" s="3563" t="s">
        <v>4797</v>
      </c>
      <c r="G807" s="3564">
        <v>100.61</v>
      </c>
      <c r="H807" s="3564">
        <v>81.739999999999995</v>
      </c>
      <c r="I807" s="3564">
        <v>18.87</v>
      </c>
      <c r="J807" s="3565">
        <v>1067975</v>
      </c>
      <c r="K807" s="3565">
        <v>10615</v>
      </c>
      <c r="L807" s="3565">
        <v>13065.51</v>
      </c>
      <c r="M807" s="3565">
        <v>0</v>
      </c>
      <c r="N807" s="3565">
        <v>0</v>
      </c>
      <c r="O807" s="3563" t="s">
        <v>3453</v>
      </c>
    </row>
    <row r="808" spans="1:15">
      <c r="A808" s="3563" t="s">
        <v>5018</v>
      </c>
      <c r="B808" s="3563" t="s">
        <v>4196</v>
      </c>
      <c r="C808" s="3563" t="s">
        <v>4197</v>
      </c>
      <c r="D808" s="3563" t="s">
        <v>4796</v>
      </c>
      <c r="E808" s="3563" t="s">
        <v>4378</v>
      </c>
      <c r="F808" s="3563" t="s">
        <v>4797</v>
      </c>
      <c r="G808" s="3564">
        <v>100.61</v>
      </c>
      <c r="H808" s="3564">
        <v>81.739999999999995</v>
      </c>
      <c r="I808" s="3564">
        <v>18.87</v>
      </c>
      <c r="J808" s="3565">
        <v>1067975</v>
      </c>
      <c r="K808" s="3565">
        <v>10615</v>
      </c>
      <c r="L808" s="3565">
        <v>13065.51</v>
      </c>
      <c r="M808" s="3565">
        <v>0</v>
      </c>
      <c r="N808" s="3565">
        <v>0</v>
      </c>
      <c r="O808" s="3563" t="s">
        <v>3453</v>
      </c>
    </row>
    <row r="809" spans="1:15">
      <c r="A809" s="3563" t="s">
        <v>5019</v>
      </c>
      <c r="B809" s="3563" t="s">
        <v>4196</v>
      </c>
      <c r="C809" s="3563" t="s">
        <v>4197</v>
      </c>
      <c r="D809" s="3563" t="s">
        <v>4796</v>
      </c>
      <c r="E809" s="3563" t="s">
        <v>4378</v>
      </c>
      <c r="F809" s="3563" t="s">
        <v>4797</v>
      </c>
      <c r="G809" s="3564">
        <v>100.95</v>
      </c>
      <c r="H809" s="3564">
        <v>82.01</v>
      </c>
      <c r="I809" s="3564">
        <v>18.940000000000001</v>
      </c>
      <c r="J809" s="3565">
        <v>1027419</v>
      </c>
      <c r="K809" s="3565">
        <v>10177.5</v>
      </c>
      <c r="L809" s="3565">
        <v>12527.97</v>
      </c>
      <c r="M809" s="3565">
        <v>0</v>
      </c>
      <c r="N809" s="3565">
        <v>0</v>
      </c>
      <c r="O809" s="3563" t="s">
        <v>3453</v>
      </c>
    </row>
    <row r="810" spans="1:15">
      <c r="A810" s="3563" t="s">
        <v>5020</v>
      </c>
      <c r="B810" s="3563" t="s">
        <v>4196</v>
      </c>
      <c r="C810" s="3563" t="s">
        <v>4197</v>
      </c>
      <c r="D810" s="3563" t="s">
        <v>4796</v>
      </c>
      <c r="E810" s="3563" t="s">
        <v>4378</v>
      </c>
      <c r="F810" s="3563" t="s">
        <v>4797</v>
      </c>
      <c r="G810" s="3564">
        <v>87.39</v>
      </c>
      <c r="H810" s="3564">
        <v>71</v>
      </c>
      <c r="I810" s="3564">
        <v>16.39</v>
      </c>
      <c r="J810" s="3565">
        <v>900335</v>
      </c>
      <c r="K810" s="3565">
        <v>10302.49</v>
      </c>
      <c r="L810" s="3565">
        <v>12680.77</v>
      </c>
      <c r="M810" s="3565">
        <v>0</v>
      </c>
      <c r="N810" s="3565">
        <v>0</v>
      </c>
      <c r="O810" s="3563" t="s">
        <v>3453</v>
      </c>
    </row>
    <row r="811" spans="1:15">
      <c r="A811" s="3563" t="s">
        <v>5021</v>
      </c>
      <c r="B811" s="3563" t="s">
        <v>4196</v>
      </c>
      <c r="C811" s="3563" t="s">
        <v>4197</v>
      </c>
      <c r="D811" s="3563" t="s">
        <v>4796</v>
      </c>
      <c r="E811" s="3563" t="s">
        <v>4378</v>
      </c>
      <c r="F811" s="3563" t="s">
        <v>4797</v>
      </c>
      <c r="G811" s="3564">
        <v>87.39</v>
      </c>
      <c r="H811" s="3564">
        <v>71</v>
      </c>
      <c r="I811" s="3564">
        <v>16.39</v>
      </c>
      <c r="J811" s="3565">
        <v>900335</v>
      </c>
      <c r="K811" s="3565">
        <v>10302.49</v>
      </c>
      <c r="L811" s="3565">
        <v>12680.77</v>
      </c>
      <c r="M811" s="3565">
        <v>0</v>
      </c>
      <c r="N811" s="3565">
        <v>0</v>
      </c>
      <c r="O811" s="3563" t="s">
        <v>3453</v>
      </c>
    </row>
    <row r="812" spans="1:15">
      <c r="A812" s="3563" t="s">
        <v>5022</v>
      </c>
      <c r="B812" s="3563" t="s">
        <v>4196</v>
      </c>
      <c r="C812" s="3563" t="s">
        <v>4197</v>
      </c>
      <c r="D812" s="3563" t="s">
        <v>4796</v>
      </c>
      <c r="E812" s="3563" t="s">
        <v>4378</v>
      </c>
      <c r="F812" s="3563" t="s">
        <v>4797</v>
      </c>
      <c r="G812" s="3564">
        <v>108.86</v>
      </c>
      <c r="H812" s="3564">
        <v>88.44</v>
      </c>
      <c r="I812" s="3564">
        <v>20.420000000000002</v>
      </c>
      <c r="J812" s="3565">
        <v>1141942</v>
      </c>
      <c r="K812" s="3565">
        <v>10490.01</v>
      </c>
      <c r="L812" s="3565">
        <v>12912.05</v>
      </c>
      <c r="M812" s="3565">
        <v>0</v>
      </c>
      <c r="N812" s="3565">
        <v>0</v>
      </c>
      <c r="O812" s="3563" t="s">
        <v>3453</v>
      </c>
    </row>
    <row r="813" spans="1:15">
      <c r="A813" s="3563" t="s">
        <v>5023</v>
      </c>
      <c r="B813" s="3563" t="s">
        <v>4196</v>
      </c>
      <c r="C813" s="3563" t="s">
        <v>4197</v>
      </c>
      <c r="D813" s="3563" t="s">
        <v>4796</v>
      </c>
      <c r="E813" s="3563" t="s">
        <v>4378</v>
      </c>
      <c r="F813" s="3563" t="s">
        <v>4797</v>
      </c>
      <c r="G813" s="3564">
        <v>100.61</v>
      </c>
      <c r="H813" s="3564">
        <v>81.739999999999995</v>
      </c>
      <c r="I813" s="3564">
        <v>18.87</v>
      </c>
      <c r="J813" s="3565">
        <v>1079294</v>
      </c>
      <c r="K813" s="3565">
        <v>10727.5</v>
      </c>
      <c r="L813" s="3565">
        <v>13203.99</v>
      </c>
      <c r="M813" s="3565">
        <v>0</v>
      </c>
      <c r="N813" s="3565">
        <v>0</v>
      </c>
      <c r="O813" s="3563" t="s">
        <v>3453</v>
      </c>
    </row>
    <row r="814" spans="1:15">
      <c r="A814" s="3563" t="s">
        <v>5024</v>
      </c>
      <c r="B814" s="3563" t="s">
        <v>4196</v>
      </c>
      <c r="C814" s="3563" t="s">
        <v>4197</v>
      </c>
      <c r="D814" s="3563" t="s">
        <v>4796</v>
      </c>
      <c r="E814" s="3563" t="s">
        <v>4378</v>
      </c>
      <c r="F814" s="3563" t="s">
        <v>4797</v>
      </c>
      <c r="G814" s="3564">
        <v>100.61</v>
      </c>
      <c r="H814" s="3564">
        <v>81.739999999999995</v>
      </c>
      <c r="I814" s="3564">
        <v>18.87</v>
      </c>
      <c r="J814" s="3565">
        <v>1079294</v>
      </c>
      <c r="K814" s="3565">
        <v>10727.5</v>
      </c>
      <c r="L814" s="3565">
        <v>13203.99</v>
      </c>
      <c r="M814" s="3565">
        <v>0</v>
      </c>
      <c r="N814" s="3565">
        <v>0</v>
      </c>
      <c r="O814" s="3563" t="s">
        <v>3453</v>
      </c>
    </row>
    <row r="815" spans="1:15">
      <c r="A815" s="3563" t="s">
        <v>5025</v>
      </c>
      <c r="B815" s="3563" t="s">
        <v>4196</v>
      </c>
      <c r="C815" s="3563" t="s">
        <v>4197</v>
      </c>
      <c r="D815" s="3563" t="s">
        <v>4796</v>
      </c>
      <c r="E815" s="3563" t="s">
        <v>4378</v>
      </c>
      <c r="F815" s="3563" t="s">
        <v>4797</v>
      </c>
      <c r="G815" s="3564">
        <v>100.95</v>
      </c>
      <c r="H815" s="3564">
        <v>82.01</v>
      </c>
      <c r="I815" s="3564">
        <v>18.940000000000001</v>
      </c>
      <c r="J815" s="3565">
        <v>1038775</v>
      </c>
      <c r="K815" s="3565">
        <v>10290</v>
      </c>
      <c r="L815" s="3565">
        <v>12666.44</v>
      </c>
      <c r="M815" s="3565">
        <v>0</v>
      </c>
      <c r="N815" s="3565">
        <v>0</v>
      </c>
      <c r="O815" s="3563" t="s">
        <v>3453</v>
      </c>
    </row>
    <row r="816" spans="1:15">
      <c r="A816" s="3563" t="s">
        <v>5026</v>
      </c>
      <c r="B816" s="3563" t="s">
        <v>4196</v>
      </c>
      <c r="C816" s="3563" t="s">
        <v>4197</v>
      </c>
      <c r="D816" s="3563" t="s">
        <v>4796</v>
      </c>
      <c r="E816" s="3563" t="s">
        <v>4378</v>
      </c>
      <c r="F816" s="3563" t="s">
        <v>4797</v>
      </c>
      <c r="G816" s="3564">
        <v>87.39</v>
      </c>
      <c r="H816" s="3564">
        <v>71</v>
      </c>
      <c r="I816" s="3564">
        <v>16.39</v>
      </c>
      <c r="J816" s="3565">
        <v>910167</v>
      </c>
      <c r="K816" s="3565">
        <v>10415</v>
      </c>
      <c r="L816" s="3565">
        <v>12819.25</v>
      </c>
      <c r="M816" s="3565">
        <v>0</v>
      </c>
      <c r="N816" s="3565">
        <v>0</v>
      </c>
      <c r="O816" s="3563" t="s">
        <v>3453</v>
      </c>
    </row>
    <row r="817" spans="1:15">
      <c r="A817" s="3563" t="s">
        <v>5027</v>
      </c>
      <c r="B817" s="3563" t="s">
        <v>4196</v>
      </c>
      <c r="C817" s="3563" t="s">
        <v>4197</v>
      </c>
      <c r="D817" s="3563" t="s">
        <v>4796</v>
      </c>
      <c r="E817" s="3563" t="s">
        <v>4378</v>
      </c>
      <c r="F817" s="3563" t="s">
        <v>4797</v>
      </c>
      <c r="G817" s="3564">
        <v>87.39</v>
      </c>
      <c r="H817" s="3564">
        <v>71</v>
      </c>
      <c r="I817" s="3564">
        <v>16.39</v>
      </c>
      <c r="J817" s="3565">
        <v>910167</v>
      </c>
      <c r="K817" s="3565">
        <v>10415</v>
      </c>
      <c r="L817" s="3565">
        <v>12819.25</v>
      </c>
      <c r="M817" s="3565">
        <v>0</v>
      </c>
      <c r="N817" s="3565">
        <v>0</v>
      </c>
      <c r="O817" s="3563" t="s">
        <v>3453</v>
      </c>
    </row>
    <row r="818" spans="1:15">
      <c r="A818" s="3563" t="s">
        <v>5028</v>
      </c>
      <c r="B818" s="3563" t="s">
        <v>4196</v>
      </c>
      <c r="C818" s="3563" t="s">
        <v>4197</v>
      </c>
      <c r="D818" s="3563" t="s">
        <v>4796</v>
      </c>
      <c r="E818" s="3563" t="s">
        <v>4378</v>
      </c>
      <c r="F818" s="3563" t="s">
        <v>4797</v>
      </c>
      <c r="G818" s="3564">
        <v>108.86</v>
      </c>
      <c r="H818" s="3564">
        <v>88.44</v>
      </c>
      <c r="I818" s="3564">
        <v>20.420000000000002</v>
      </c>
      <c r="J818" s="3565">
        <v>1154189</v>
      </c>
      <c r="K818" s="3565">
        <v>10602.51</v>
      </c>
      <c r="L818" s="3565">
        <v>13050.53</v>
      </c>
      <c r="M818" s="3565">
        <v>0</v>
      </c>
      <c r="N818" s="3565">
        <v>0</v>
      </c>
      <c r="O818" s="3563" t="s">
        <v>3453</v>
      </c>
    </row>
    <row r="819" spans="1:15">
      <c r="A819" s="3563" t="s">
        <v>5029</v>
      </c>
      <c r="B819" s="3563" t="s">
        <v>4196</v>
      </c>
      <c r="C819" s="3563" t="s">
        <v>4197</v>
      </c>
      <c r="D819" s="3563" t="s">
        <v>4796</v>
      </c>
      <c r="E819" s="3563" t="s">
        <v>4378</v>
      </c>
      <c r="F819" s="3563" t="s">
        <v>4797</v>
      </c>
      <c r="G819" s="3564">
        <v>104</v>
      </c>
      <c r="H819" s="3564">
        <v>81.739999999999995</v>
      </c>
      <c r="I819" s="3564">
        <v>22.26</v>
      </c>
      <c r="J819" s="3565">
        <v>1061060</v>
      </c>
      <c r="K819" s="3565">
        <v>10202.5</v>
      </c>
      <c r="L819" s="3565">
        <v>12980.92</v>
      </c>
      <c r="M819" s="3565">
        <v>0</v>
      </c>
      <c r="N819" s="3565">
        <v>0</v>
      </c>
      <c r="O819" s="3563" t="s">
        <v>3453</v>
      </c>
    </row>
    <row r="820" spans="1:15">
      <c r="A820" s="3563" t="s">
        <v>5030</v>
      </c>
      <c r="B820" s="3563" t="s">
        <v>4196</v>
      </c>
      <c r="C820" s="3563" t="s">
        <v>4197</v>
      </c>
      <c r="D820" s="3563" t="s">
        <v>4796</v>
      </c>
      <c r="E820" s="3563" t="s">
        <v>4378</v>
      </c>
      <c r="F820" s="3563" t="s">
        <v>4797</v>
      </c>
      <c r="G820" s="3564">
        <v>104</v>
      </c>
      <c r="H820" s="3564">
        <v>81.739999999999995</v>
      </c>
      <c r="I820" s="3564">
        <v>22.26</v>
      </c>
      <c r="J820" s="3565">
        <v>1061060</v>
      </c>
      <c r="K820" s="3565">
        <v>10202.5</v>
      </c>
      <c r="L820" s="3565">
        <v>12980.92</v>
      </c>
      <c r="M820" s="3565">
        <v>0</v>
      </c>
      <c r="N820" s="3565">
        <v>0</v>
      </c>
      <c r="O820" s="3563" t="s">
        <v>3453</v>
      </c>
    </row>
    <row r="821" spans="1:15">
      <c r="A821" s="3563" t="s">
        <v>5031</v>
      </c>
      <c r="B821" s="3563" t="s">
        <v>4196</v>
      </c>
      <c r="C821" s="3563" t="s">
        <v>4197</v>
      </c>
      <c r="D821" s="3563" t="s">
        <v>4796</v>
      </c>
      <c r="E821" s="3563" t="s">
        <v>4378</v>
      </c>
      <c r="F821" s="3563" t="s">
        <v>4797</v>
      </c>
      <c r="G821" s="3564">
        <v>90.33</v>
      </c>
      <c r="H821" s="3564">
        <v>71</v>
      </c>
      <c r="I821" s="3564">
        <v>19.329999999999998</v>
      </c>
      <c r="J821" s="3565">
        <v>903252</v>
      </c>
      <c r="K821" s="3565">
        <v>9999.4699999999993</v>
      </c>
      <c r="L821" s="3565">
        <v>12721.86</v>
      </c>
      <c r="M821" s="3565">
        <v>0</v>
      </c>
      <c r="N821" s="3565">
        <v>0</v>
      </c>
      <c r="O821" s="3563" t="s">
        <v>3453</v>
      </c>
    </row>
    <row r="822" spans="1:15">
      <c r="A822" s="3563" t="s">
        <v>5032</v>
      </c>
      <c r="B822" s="3563" t="s">
        <v>4196</v>
      </c>
      <c r="C822" s="3563" t="s">
        <v>4197</v>
      </c>
      <c r="D822" s="3563" t="s">
        <v>4796</v>
      </c>
      <c r="E822" s="3563" t="s">
        <v>4378</v>
      </c>
      <c r="F822" s="3563" t="s">
        <v>4797</v>
      </c>
      <c r="G822" s="3564">
        <v>90.33</v>
      </c>
      <c r="H822" s="3564">
        <v>71</v>
      </c>
      <c r="I822" s="3564">
        <v>19.329999999999998</v>
      </c>
      <c r="J822" s="3565">
        <v>903252</v>
      </c>
      <c r="K822" s="3565">
        <v>9999.4699999999993</v>
      </c>
      <c r="L822" s="3565">
        <v>12721.86</v>
      </c>
      <c r="M822" s="3565">
        <v>0</v>
      </c>
      <c r="N822" s="3565">
        <v>0</v>
      </c>
      <c r="O822" s="3563" t="s">
        <v>3453</v>
      </c>
    </row>
    <row r="823" spans="1:15">
      <c r="A823" s="3563" t="s">
        <v>5033</v>
      </c>
      <c r="B823" s="3563" t="s">
        <v>4196</v>
      </c>
      <c r="C823" s="3563" t="s">
        <v>4197</v>
      </c>
      <c r="D823" s="3563" t="s">
        <v>4796</v>
      </c>
      <c r="E823" s="3563" t="s">
        <v>4378</v>
      </c>
      <c r="F823" s="3563" t="s">
        <v>4797</v>
      </c>
      <c r="G823" s="3564">
        <v>100.61</v>
      </c>
      <c r="H823" s="3564">
        <v>81.739999999999995</v>
      </c>
      <c r="I823" s="3564">
        <v>18.87</v>
      </c>
      <c r="J823" s="3565">
        <v>1078037</v>
      </c>
      <c r="K823" s="3565">
        <v>10715.01</v>
      </c>
      <c r="L823" s="3565">
        <v>13188.61</v>
      </c>
      <c r="M823" s="3565">
        <v>0</v>
      </c>
      <c r="N823" s="3565">
        <v>0</v>
      </c>
      <c r="O823" s="3563" t="s">
        <v>3453</v>
      </c>
    </row>
    <row r="824" spans="1:15">
      <c r="A824" s="3563" t="s">
        <v>5034</v>
      </c>
      <c r="B824" s="3563" t="s">
        <v>4196</v>
      </c>
      <c r="C824" s="3563" t="s">
        <v>4197</v>
      </c>
      <c r="D824" s="3563" t="s">
        <v>4796</v>
      </c>
      <c r="E824" s="3563" t="s">
        <v>4378</v>
      </c>
      <c r="F824" s="3563" t="s">
        <v>4797</v>
      </c>
      <c r="G824" s="3564">
        <v>100.61</v>
      </c>
      <c r="H824" s="3564">
        <v>81.739999999999995</v>
      </c>
      <c r="I824" s="3564">
        <v>18.87</v>
      </c>
      <c r="J824" s="3565">
        <v>1078037</v>
      </c>
      <c r="K824" s="3565">
        <v>10715.01</v>
      </c>
      <c r="L824" s="3565">
        <v>13188.61</v>
      </c>
      <c r="M824" s="3565">
        <v>0</v>
      </c>
      <c r="N824" s="3565">
        <v>0</v>
      </c>
      <c r="O824" s="3563" t="s">
        <v>3453</v>
      </c>
    </row>
    <row r="825" spans="1:15">
      <c r="A825" s="3563" t="s">
        <v>5035</v>
      </c>
      <c r="B825" s="3563" t="s">
        <v>4196</v>
      </c>
      <c r="C825" s="3563" t="s">
        <v>4197</v>
      </c>
      <c r="D825" s="3563" t="s">
        <v>4796</v>
      </c>
      <c r="E825" s="3563" t="s">
        <v>4378</v>
      </c>
      <c r="F825" s="3563" t="s">
        <v>4797</v>
      </c>
      <c r="G825" s="3564">
        <v>100.95</v>
      </c>
      <c r="H825" s="3564">
        <v>82.01</v>
      </c>
      <c r="I825" s="3564">
        <v>18.940000000000001</v>
      </c>
      <c r="J825" s="3565">
        <v>1037514</v>
      </c>
      <c r="K825" s="3565">
        <v>10277.5</v>
      </c>
      <c r="L825" s="3565">
        <v>12651.07</v>
      </c>
      <c r="M825" s="3565">
        <v>0</v>
      </c>
      <c r="N825" s="3565">
        <v>0</v>
      </c>
      <c r="O825" s="3563" t="s">
        <v>3453</v>
      </c>
    </row>
    <row r="826" spans="1:15">
      <c r="A826" s="3563" t="s">
        <v>5036</v>
      </c>
      <c r="B826" s="3563" t="s">
        <v>4196</v>
      </c>
      <c r="C826" s="3563" t="s">
        <v>4197</v>
      </c>
      <c r="D826" s="3563" t="s">
        <v>4796</v>
      </c>
      <c r="E826" s="3563" t="s">
        <v>4378</v>
      </c>
      <c r="F826" s="3563" t="s">
        <v>4797</v>
      </c>
      <c r="G826" s="3564">
        <v>87.39</v>
      </c>
      <c r="H826" s="3564">
        <v>71</v>
      </c>
      <c r="I826" s="3564">
        <v>16.39</v>
      </c>
      <c r="J826" s="3565">
        <v>909075</v>
      </c>
      <c r="K826" s="3565">
        <v>10402.51</v>
      </c>
      <c r="L826" s="3565">
        <v>12803.87</v>
      </c>
      <c r="M826" s="3565">
        <v>0</v>
      </c>
      <c r="N826" s="3565">
        <v>0</v>
      </c>
      <c r="O826" s="3563" t="s">
        <v>3453</v>
      </c>
    </row>
    <row r="827" spans="1:15">
      <c r="A827" s="3563" t="s">
        <v>5037</v>
      </c>
      <c r="B827" s="3563" t="s">
        <v>4196</v>
      </c>
      <c r="C827" s="3563" t="s">
        <v>4197</v>
      </c>
      <c r="D827" s="3563" t="s">
        <v>4796</v>
      </c>
      <c r="E827" s="3563" t="s">
        <v>4378</v>
      </c>
      <c r="F827" s="3563" t="s">
        <v>4797</v>
      </c>
      <c r="G827" s="3564">
        <v>87.39</v>
      </c>
      <c r="H827" s="3564">
        <v>71</v>
      </c>
      <c r="I827" s="3564">
        <v>16.39</v>
      </c>
      <c r="J827" s="3565">
        <v>909075</v>
      </c>
      <c r="K827" s="3565">
        <v>10402.51</v>
      </c>
      <c r="L827" s="3565">
        <v>12803.87</v>
      </c>
      <c r="M827" s="3565">
        <v>0</v>
      </c>
      <c r="N827" s="3565">
        <v>0</v>
      </c>
      <c r="O827" s="3563" t="s">
        <v>3453</v>
      </c>
    </row>
    <row r="828" spans="1:15">
      <c r="A828" s="3563" t="s">
        <v>5038</v>
      </c>
      <c r="B828" s="3563" t="s">
        <v>4196</v>
      </c>
      <c r="C828" s="3563" t="s">
        <v>4197</v>
      </c>
      <c r="D828" s="3563" t="s">
        <v>4796</v>
      </c>
      <c r="E828" s="3563" t="s">
        <v>4378</v>
      </c>
      <c r="F828" s="3563" t="s">
        <v>4797</v>
      </c>
      <c r="G828" s="3564">
        <v>108.86</v>
      </c>
      <c r="H828" s="3564">
        <v>88.44</v>
      </c>
      <c r="I828" s="3564">
        <v>20.420000000000002</v>
      </c>
      <c r="J828" s="3565">
        <v>1152828</v>
      </c>
      <c r="K828" s="3565">
        <v>10590.01</v>
      </c>
      <c r="L828" s="3565">
        <v>13035.14</v>
      </c>
      <c r="M828" s="3565">
        <v>0</v>
      </c>
      <c r="N828" s="3565">
        <v>0</v>
      </c>
      <c r="O828" s="3563" t="s">
        <v>3453</v>
      </c>
    </row>
    <row r="829" spans="1:15">
      <c r="A829" s="3563" t="s">
        <v>5039</v>
      </c>
      <c r="B829" s="3563" t="s">
        <v>4196</v>
      </c>
      <c r="C829" s="3563" t="s">
        <v>4197</v>
      </c>
      <c r="D829" s="3563" t="s">
        <v>4796</v>
      </c>
      <c r="E829" s="3563" t="s">
        <v>4378</v>
      </c>
      <c r="F829" s="3563" t="s">
        <v>4797</v>
      </c>
      <c r="G829" s="3564">
        <v>100.61</v>
      </c>
      <c r="H829" s="3564">
        <v>81.739999999999995</v>
      </c>
      <c r="I829" s="3564">
        <v>18.87</v>
      </c>
      <c r="J829" s="3565">
        <v>1076779</v>
      </c>
      <c r="K829" s="3565">
        <v>10702.5</v>
      </c>
      <c r="L829" s="3565">
        <v>13173.22</v>
      </c>
      <c r="M829" s="3565">
        <v>0</v>
      </c>
      <c r="N829" s="3565">
        <v>0</v>
      </c>
      <c r="O829" s="3563" t="s">
        <v>3453</v>
      </c>
    </row>
    <row r="830" spans="1:15">
      <c r="A830" s="3563" t="s">
        <v>5040</v>
      </c>
      <c r="B830" s="3563" t="s">
        <v>4196</v>
      </c>
      <c r="C830" s="3563" t="s">
        <v>4197</v>
      </c>
      <c r="D830" s="3563" t="s">
        <v>4796</v>
      </c>
      <c r="E830" s="3563" t="s">
        <v>4378</v>
      </c>
      <c r="F830" s="3563" t="s">
        <v>4797</v>
      </c>
      <c r="G830" s="3564">
        <v>100.61</v>
      </c>
      <c r="H830" s="3564">
        <v>81.739999999999995</v>
      </c>
      <c r="I830" s="3564">
        <v>18.87</v>
      </c>
      <c r="J830" s="3565">
        <v>1076779</v>
      </c>
      <c r="K830" s="3565">
        <v>10702.5</v>
      </c>
      <c r="L830" s="3565">
        <v>13173.22</v>
      </c>
      <c r="M830" s="3565">
        <v>0</v>
      </c>
      <c r="N830" s="3565">
        <v>0</v>
      </c>
      <c r="O830" s="3563" t="s">
        <v>3453</v>
      </c>
    </row>
    <row r="831" spans="1:15">
      <c r="A831" s="3563" t="s">
        <v>5041</v>
      </c>
      <c r="B831" s="3563" t="s">
        <v>4196</v>
      </c>
      <c r="C831" s="3563" t="s">
        <v>4197</v>
      </c>
      <c r="D831" s="3563" t="s">
        <v>4796</v>
      </c>
      <c r="E831" s="3563" t="s">
        <v>4378</v>
      </c>
      <c r="F831" s="3563" t="s">
        <v>4797</v>
      </c>
      <c r="G831" s="3564">
        <v>100.95</v>
      </c>
      <c r="H831" s="3564">
        <v>82.01</v>
      </c>
      <c r="I831" s="3564">
        <v>18.940000000000001</v>
      </c>
      <c r="J831" s="3565">
        <v>1036252</v>
      </c>
      <c r="K831" s="3565">
        <v>10265</v>
      </c>
      <c r="L831" s="3565">
        <v>12635.68</v>
      </c>
      <c r="M831" s="3565">
        <v>0</v>
      </c>
      <c r="N831" s="3565">
        <v>0</v>
      </c>
      <c r="O831" s="3563" t="s">
        <v>3453</v>
      </c>
    </row>
    <row r="832" spans="1:15">
      <c r="A832" s="3563" t="s">
        <v>5042</v>
      </c>
      <c r="B832" s="3563" t="s">
        <v>4196</v>
      </c>
      <c r="C832" s="3563" t="s">
        <v>4197</v>
      </c>
      <c r="D832" s="3563" t="s">
        <v>4796</v>
      </c>
      <c r="E832" s="3563" t="s">
        <v>4378</v>
      </c>
      <c r="F832" s="3563" t="s">
        <v>4797</v>
      </c>
      <c r="G832" s="3564">
        <v>87.39</v>
      </c>
      <c r="H832" s="3564">
        <v>71</v>
      </c>
      <c r="I832" s="3564">
        <v>16.39</v>
      </c>
      <c r="J832" s="3565">
        <v>907983</v>
      </c>
      <c r="K832" s="3565">
        <v>10390.01</v>
      </c>
      <c r="L832" s="3565">
        <v>12788.49</v>
      </c>
      <c r="M832" s="3565">
        <v>0</v>
      </c>
      <c r="N832" s="3565">
        <v>0</v>
      </c>
      <c r="O832" s="3563" t="s">
        <v>3453</v>
      </c>
    </row>
    <row r="833" spans="1:15">
      <c r="A833" s="3563" t="s">
        <v>5043</v>
      </c>
      <c r="B833" s="3563" t="s">
        <v>4196</v>
      </c>
      <c r="C833" s="3563" t="s">
        <v>4197</v>
      </c>
      <c r="D833" s="3563" t="s">
        <v>4796</v>
      </c>
      <c r="E833" s="3563" t="s">
        <v>4378</v>
      </c>
      <c r="F833" s="3563" t="s">
        <v>4797</v>
      </c>
      <c r="G833" s="3564">
        <v>87.39</v>
      </c>
      <c r="H833" s="3564">
        <v>71</v>
      </c>
      <c r="I833" s="3564">
        <v>16.39</v>
      </c>
      <c r="J833" s="3565">
        <v>907983</v>
      </c>
      <c r="K833" s="3565">
        <v>10390.01</v>
      </c>
      <c r="L833" s="3565">
        <v>12788.49</v>
      </c>
      <c r="M833" s="3565">
        <v>0</v>
      </c>
      <c r="N833" s="3565">
        <v>0</v>
      </c>
      <c r="O833" s="3563" t="s">
        <v>3453</v>
      </c>
    </row>
    <row r="834" spans="1:15">
      <c r="A834" s="3563" t="s">
        <v>5044</v>
      </c>
      <c r="B834" s="3563" t="s">
        <v>4196</v>
      </c>
      <c r="C834" s="3563" t="s">
        <v>4197</v>
      </c>
      <c r="D834" s="3563" t="s">
        <v>4796</v>
      </c>
      <c r="E834" s="3563" t="s">
        <v>4378</v>
      </c>
      <c r="F834" s="3563" t="s">
        <v>4797</v>
      </c>
      <c r="G834" s="3564">
        <v>108.86</v>
      </c>
      <c r="H834" s="3564">
        <v>88.44</v>
      </c>
      <c r="I834" s="3564">
        <v>20.420000000000002</v>
      </c>
      <c r="J834" s="3565">
        <v>1151467</v>
      </c>
      <c r="K834" s="3565">
        <v>10577.5</v>
      </c>
      <c r="L834" s="3565">
        <v>13019.75</v>
      </c>
      <c r="M834" s="3565">
        <v>0</v>
      </c>
      <c r="N834" s="3565">
        <v>0</v>
      </c>
      <c r="O834" s="3563" t="s">
        <v>3453</v>
      </c>
    </row>
    <row r="835" spans="1:15">
      <c r="A835" s="3563" t="s">
        <v>5045</v>
      </c>
      <c r="B835" s="3563" t="s">
        <v>4196</v>
      </c>
      <c r="C835" s="3563" t="s">
        <v>4197</v>
      </c>
      <c r="D835" s="3563" t="s">
        <v>4796</v>
      </c>
      <c r="E835" s="3563" t="s">
        <v>4378</v>
      </c>
      <c r="F835" s="3563" t="s">
        <v>4797</v>
      </c>
      <c r="G835" s="3564">
        <v>100.61</v>
      </c>
      <c r="H835" s="3564">
        <v>81.739999999999995</v>
      </c>
      <c r="I835" s="3564">
        <v>18.87</v>
      </c>
      <c r="J835" s="3565">
        <v>1075522</v>
      </c>
      <c r="K835" s="3565">
        <v>10690.01</v>
      </c>
      <c r="L835" s="3565">
        <v>13157.84</v>
      </c>
      <c r="M835" s="3565">
        <v>0</v>
      </c>
      <c r="N835" s="3565">
        <v>0</v>
      </c>
      <c r="O835" s="3563" t="s">
        <v>3453</v>
      </c>
    </row>
    <row r="836" spans="1:15">
      <c r="A836" s="3563" t="s">
        <v>5046</v>
      </c>
      <c r="B836" s="3563" t="s">
        <v>4196</v>
      </c>
      <c r="C836" s="3563" t="s">
        <v>4197</v>
      </c>
      <c r="D836" s="3563" t="s">
        <v>4796</v>
      </c>
      <c r="E836" s="3563" t="s">
        <v>4378</v>
      </c>
      <c r="F836" s="3563" t="s">
        <v>4797</v>
      </c>
      <c r="G836" s="3564">
        <v>100.61</v>
      </c>
      <c r="H836" s="3564">
        <v>81.739999999999995</v>
      </c>
      <c r="I836" s="3564">
        <v>18.87</v>
      </c>
      <c r="J836" s="3565">
        <v>1075522</v>
      </c>
      <c r="K836" s="3565">
        <v>10690.01</v>
      </c>
      <c r="L836" s="3565">
        <v>13157.84</v>
      </c>
      <c r="M836" s="3565">
        <v>0</v>
      </c>
      <c r="N836" s="3565">
        <v>0</v>
      </c>
      <c r="O836" s="3563" t="s">
        <v>3453</v>
      </c>
    </row>
    <row r="837" spans="1:15">
      <c r="A837" s="3563" t="s">
        <v>5047</v>
      </c>
      <c r="B837" s="3563" t="s">
        <v>4196</v>
      </c>
      <c r="C837" s="3563" t="s">
        <v>4197</v>
      </c>
      <c r="D837" s="3563" t="s">
        <v>4796</v>
      </c>
      <c r="E837" s="3563" t="s">
        <v>4378</v>
      </c>
      <c r="F837" s="3563" t="s">
        <v>4797</v>
      </c>
      <c r="G837" s="3564">
        <v>100.95</v>
      </c>
      <c r="H837" s="3564">
        <v>82.01</v>
      </c>
      <c r="I837" s="3564">
        <v>18.940000000000001</v>
      </c>
      <c r="J837" s="3565">
        <v>1034990</v>
      </c>
      <c r="K837" s="3565">
        <v>10252.5</v>
      </c>
      <c r="L837" s="3565">
        <v>12620.29</v>
      </c>
      <c r="M837" s="3565">
        <v>0</v>
      </c>
      <c r="N837" s="3565">
        <v>0</v>
      </c>
      <c r="O837" s="3563" t="s">
        <v>3453</v>
      </c>
    </row>
    <row r="838" spans="1:15">
      <c r="A838" s="3563" t="s">
        <v>5048</v>
      </c>
      <c r="B838" s="3563" t="s">
        <v>4196</v>
      </c>
      <c r="C838" s="3563" t="s">
        <v>4197</v>
      </c>
      <c r="D838" s="3563" t="s">
        <v>4796</v>
      </c>
      <c r="E838" s="3563" t="s">
        <v>4378</v>
      </c>
      <c r="F838" s="3563" t="s">
        <v>4797</v>
      </c>
      <c r="G838" s="3564">
        <v>87.39</v>
      </c>
      <c r="H838" s="3564">
        <v>71</v>
      </c>
      <c r="I838" s="3564">
        <v>16.39</v>
      </c>
      <c r="J838" s="3565">
        <v>906890</v>
      </c>
      <c r="K838" s="3565">
        <v>10377.5</v>
      </c>
      <c r="L838" s="3565">
        <v>12773.1</v>
      </c>
      <c r="M838" s="3565">
        <v>0</v>
      </c>
      <c r="N838" s="3565">
        <v>0</v>
      </c>
      <c r="O838" s="3563" t="s">
        <v>3453</v>
      </c>
    </row>
    <row r="839" spans="1:15">
      <c r="A839" s="3563" t="s">
        <v>5049</v>
      </c>
      <c r="B839" s="3563" t="s">
        <v>4196</v>
      </c>
      <c r="C839" s="3563" t="s">
        <v>4197</v>
      </c>
      <c r="D839" s="3563" t="s">
        <v>4796</v>
      </c>
      <c r="E839" s="3563" t="s">
        <v>4378</v>
      </c>
      <c r="F839" s="3563" t="s">
        <v>4797</v>
      </c>
      <c r="G839" s="3564">
        <v>87.39</v>
      </c>
      <c r="H839" s="3564">
        <v>71</v>
      </c>
      <c r="I839" s="3564">
        <v>16.39</v>
      </c>
      <c r="J839" s="3565">
        <v>906890</v>
      </c>
      <c r="K839" s="3565">
        <v>10377.5</v>
      </c>
      <c r="L839" s="3565">
        <v>12773.1</v>
      </c>
      <c r="M839" s="3565">
        <v>0</v>
      </c>
      <c r="N839" s="3565">
        <v>0</v>
      </c>
      <c r="O839" s="3563" t="s">
        <v>3453</v>
      </c>
    </row>
    <row r="840" spans="1:15">
      <c r="A840" s="3563" t="s">
        <v>5050</v>
      </c>
      <c r="B840" s="3563" t="s">
        <v>4196</v>
      </c>
      <c r="C840" s="3563" t="s">
        <v>4197</v>
      </c>
      <c r="D840" s="3563" t="s">
        <v>4796</v>
      </c>
      <c r="E840" s="3563" t="s">
        <v>4378</v>
      </c>
      <c r="F840" s="3563" t="s">
        <v>4797</v>
      </c>
      <c r="G840" s="3564">
        <v>108.86</v>
      </c>
      <c r="H840" s="3564">
        <v>88.44</v>
      </c>
      <c r="I840" s="3564">
        <v>20.420000000000002</v>
      </c>
      <c r="J840" s="3565">
        <v>1150107</v>
      </c>
      <c r="K840" s="3565">
        <v>10565.01</v>
      </c>
      <c r="L840" s="3565">
        <v>13004.38</v>
      </c>
      <c r="M840" s="3565">
        <v>0</v>
      </c>
      <c r="N840" s="3565">
        <v>0</v>
      </c>
      <c r="O840" s="3563" t="s">
        <v>3453</v>
      </c>
    </row>
    <row r="841" spans="1:15">
      <c r="A841" s="3563" t="s">
        <v>5051</v>
      </c>
      <c r="B841" s="3563" t="s">
        <v>4196</v>
      </c>
      <c r="C841" s="3563" t="s">
        <v>4197</v>
      </c>
      <c r="D841" s="3563" t="s">
        <v>4796</v>
      </c>
      <c r="E841" s="3563" t="s">
        <v>4378</v>
      </c>
      <c r="F841" s="3563" t="s">
        <v>4797</v>
      </c>
      <c r="G841" s="3564">
        <v>100.61</v>
      </c>
      <c r="H841" s="3564">
        <v>81.739999999999995</v>
      </c>
      <c r="I841" s="3564">
        <v>18.87</v>
      </c>
      <c r="J841" s="3565">
        <v>1074264</v>
      </c>
      <c r="K841" s="3565">
        <v>10677.51</v>
      </c>
      <c r="L841" s="3565">
        <v>13142.45</v>
      </c>
      <c r="M841" s="3565">
        <v>0</v>
      </c>
      <c r="N841" s="3565">
        <v>0</v>
      </c>
      <c r="O841" s="3563" t="s">
        <v>3453</v>
      </c>
    </row>
    <row r="842" spans="1:15">
      <c r="A842" s="3563" t="s">
        <v>5052</v>
      </c>
      <c r="B842" s="3563" t="s">
        <v>4196</v>
      </c>
      <c r="C842" s="3563" t="s">
        <v>4197</v>
      </c>
      <c r="D842" s="3563" t="s">
        <v>4796</v>
      </c>
      <c r="E842" s="3563" t="s">
        <v>4378</v>
      </c>
      <c r="F842" s="3563" t="s">
        <v>4797</v>
      </c>
      <c r="G842" s="3564">
        <v>100.61</v>
      </c>
      <c r="H842" s="3564">
        <v>81.739999999999995</v>
      </c>
      <c r="I842" s="3564">
        <v>18.87</v>
      </c>
      <c r="J842" s="3565">
        <v>1074264</v>
      </c>
      <c r="K842" s="3565">
        <v>10677.51</v>
      </c>
      <c r="L842" s="3565">
        <v>13142.45</v>
      </c>
      <c r="M842" s="3565">
        <v>0</v>
      </c>
      <c r="N842" s="3565">
        <v>0</v>
      </c>
      <c r="O842" s="3563" t="s">
        <v>3453</v>
      </c>
    </row>
    <row r="843" spans="1:15">
      <c r="A843" s="3563" t="s">
        <v>5053</v>
      </c>
      <c r="B843" s="3563" t="s">
        <v>4196</v>
      </c>
      <c r="C843" s="3563" t="s">
        <v>4197</v>
      </c>
      <c r="D843" s="3563" t="s">
        <v>4796</v>
      </c>
      <c r="E843" s="3563" t="s">
        <v>4378</v>
      </c>
      <c r="F843" s="3563" t="s">
        <v>4797</v>
      </c>
      <c r="G843" s="3564">
        <v>100.95</v>
      </c>
      <c r="H843" s="3564">
        <v>82.01</v>
      </c>
      <c r="I843" s="3564">
        <v>18.940000000000001</v>
      </c>
      <c r="J843" s="3565">
        <v>1033728</v>
      </c>
      <c r="K843" s="3565">
        <v>10240</v>
      </c>
      <c r="L843" s="3565">
        <v>12604.9</v>
      </c>
      <c r="M843" s="3565">
        <v>0</v>
      </c>
      <c r="N843" s="3565">
        <v>0</v>
      </c>
      <c r="O843" s="3563" t="s">
        <v>3453</v>
      </c>
    </row>
    <row r="844" spans="1:15">
      <c r="A844" s="3563" t="s">
        <v>5054</v>
      </c>
      <c r="B844" s="3563" t="s">
        <v>4196</v>
      </c>
      <c r="C844" s="3563" t="s">
        <v>4197</v>
      </c>
      <c r="D844" s="3563" t="s">
        <v>4796</v>
      </c>
      <c r="E844" s="3563" t="s">
        <v>4378</v>
      </c>
      <c r="F844" s="3563" t="s">
        <v>4797</v>
      </c>
      <c r="G844" s="3564">
        <v>87.39</v>
      </c>
      <c r="H844" s="3564">
        <v>71</v>
      </c>
      <c r="I844" s="3564">
        <v>16.39</v>
      </c>
      <c r="J844" s="3565">
        <v>905798</v>
      </c>
      <c r="K844" s="3565">
        <v>10365.01</v>
      </c>
      <c r="L844" s="3565">
        <v>12757.72</v>
      </c>
      <c r="M844" s="3565">
        <v>0</v>
      </c>
      <c r="N844" s="3565">
        <v>0</v>
      </c>
      <c r="O844" s="3563" t="s">
        <v>3453</v>
      </c>
    </row>
    <row r="845" spans="1:15">
      <c r="A845" s="3563" t="s">
        <v>5055</v>
      </c>
      <c r="B845" s="3563" t="s">
        <v>4196</v>
      </c>
      <c r="C845" s="3563" t="s">
        <v>4197</v>
      </c>
      <c r="D845" s="3563" t="s">
        <v>4796</v>
      </c>
      <c r="E845" s="3563" t="s">
        <v>4378</v>
      </c>
      <c r="F845" s="3563" t="s">
        <v>4797</v>
      </c>
      <c r="G845" s="3564">
        <v>87.39</v>
      </c>
      <c r="H845" s="3564">
        <v>71</v>
      </c>
      <c r="I845" s="3564">
        <v>16.39</v>
      </c>
      <c r="J845" s="3565">
        <v>905798</v>
      </c>
      <c r="K845" s="3565">
        <v>10365.01</v>
      </c>
      <c r="L845" s="3565">
        <v>12757.72</v>
      </c>
      <c r="M845" s="3565">
        <v>0</v>
      </c>
      <c r="N845" s="3565">
        <v>0</v>
      </c>
      <c r="O845" s="3563" t="s">
        <v>3453</v>
      </c>
    </row>
    <row r="846" spans="1:15">
      <c r="A846" s="3563" t="s">
        <v>5056</v>
      </c>
      <c r="B846" s="3563" t="s">
        <v>4196</v>
      </c>
      <c r="C846" s="3563" t="s">
        <v>4197</v>
      </c>
      <c r="D846" s="3563" t="s">
        <v>4796</v>
      </c>
      <c r="E846" s="3563" t="s">
        <v>4378</v>
      </c>
      <c r="F846" s="3563" t="s">
        <v>4797</v>
      </c>
      <c r="G846" s="3564">
        <v>108.86</v>
      </c>
      <c r="H846" s="3564">
        <v>88.44</v>
      </c>
      <c r="I846" s="3564">
        <v>20.420000000000002</v>
      </c>
      <c r="J846" s="3565">
        <v>1148745</v>
      </c>
      <c r="K846" s="3565">
        <v>10552.5</v>
      </c>
      <c r="L846" s="3565">
        <v>12988.98</v>
      </c>
      <c r="M846" s="3565">
        <v>0</v>
      </c>
      <c r="N846" s="3565">
        <v>0</v>
      </c>
      <c r="O846" s="3563" t="s">
        <v>3453</v>
      </c>
    </row>
    <row r="847" spans="1:15">
      <c r="A847" s="3563" t="s">
        <v>5057</v>
      </c>
      <c r="B847" s="3563" t="s">
        <v>4196</v>
      </c>
      <c r="C847" s="3563" t="s">
        <v>4197</v>
      </c>
      <c r="D847" s="3563" t="s">
        <v>4796</v>
      </c>
      <c r="E847" s="3563" t="s">
        <v>4378</v>
      </c>
      <c r="F847" s="3563" t="s">
        <v>4797</v>
      </c>
      <c r="G847" s="3564">
        <v>100.61</v>
      </c>
      <c r="H847" s="3564">
        <v>81.739999999999995</v>
      </c>
      <c r="I847" s="3564">
        <v>18.87</v>
      </c>
      <c r="J847" s="3565">
        <v>1073007</v>
      </c>
      <c r="K847" s="3565">
        <v>10665.01</v>
      </c>
      <c r="L847" s="3565">
        <v>13127.07</v>
      </c>
      <c r="M847" s="3565">
        <v>0</v>
      </c>
      <c r="N847" s="3565">
        <v>0</v>
      </c>
      <c r="O847" s="3563" t="s">
        <v>3453</v>
      </c>
    </row>
    <row r="848" spans="1:15">
      <c r="A848" s="3563" t="s">
        <v>5058</v>
      </c>
      <c r="B848" s="3563" t="s">
        <v>4196</v>
      </c>
      <c r="C848" s="3563" t="s">
        <v>4197</v>
      </c>
      <c r="D848" s="3563" t="s">
        <v>4796</v>
      </c>
      <c r="E848" s="3563" t="s">
        <v>4378</v>
      </c>
      <c r="F848" s="3563" t="s">
        <v>4797</v>
      </c>
      <c r="G848" s="3564">
        <v>100.61</v>
      </c>
      <c r="H848" s="3564">
        <v>81.739999999999995</v>
      </c>
      <c r="I848" s="3564">
        <v>18.87</v>
      </c>
      <c r="J848" s="3565">
        <v>1073007</v>
      </c>
      <c r="K848" s="3565">
        <v>10665.01</v>
      </c>
      <c r="L848" s="3565">
        <v>13127.07</v>
      </c>
      <c r="M848" s="3565">
        <v>0</v>
      </c>
      <c r="N848" s="3565">
        <v>0</v>
      </c>
      <c r="O848" s="3563" t="s">
        <v>3453</v>
      </c>
    </row>
    <row r="849" spans="1:15">
      <c r="A849" s="3563" t="s">
        <v>5059</v>
      </c>
      <c r="B849" s="3563" t="s">
        <v>4196</v>
      </c>
      <c r="C849" s="3563" t="s">
        <v>4197</v>
      </c>
      <c r="D849" s="3563" t="s">
        <v>4796</v>
      </c>
      <c r="E849" s="3563" t="s">
        <v>4378</v>
      </c>
      <c r="F849" s="3563" t="s">
        <v>4797</v>
      </c>
      <c r="G849" s="3564">
        <v>100.95</v>
      </c>
      <c r="H849" s="3564">
        <v>82.01</v>
      </c>
      <c r="I849" s="3564">
        <v>18.940000000000001</v>
      </c>
      <c r="J849" s="3565">
        <v>1032467</v>
      </c>
      <c r="K849" s="3565">
        <v>10227.51</v>
      </c>
      <c r="L849" s="3565">
        <v>12589.53</v>
      </c>
      <c r="M849" s="3565">
        <v>0</v>
      </c>
      <c r="N849" s="3565">
        <v>0</v>
      </c>
      <c r="O849" s="3563" t="s">
        <v>3453</v>
      </c>
    </row>
    <row r="850" spans="1:15">
      <c r="A850" s="3563" t="s">
        <v>5060</v>
      </c>
      <c r="B850" s="3563" t="s">
        <v>4196</v>
      </c>
      <c r="C850" s="3563" t="s">
        <v>4197</v>
      </c>
      <c r="D850" s="3563" t="s">
        <v>4796</v>
      </c>
      <c r="E850" s="3563" t="s">
        <v>4378</v>
      </c>
      <c r="F850" s="3563" t="s">
        <v>4797</v>
      </c>
      <c r="G850" s="3564">
        <v>87.39</v>
      </c>
      <c r="H850" s="3564">
        <v>71</v>
      </c>
      <c r="I850" s="3564">
        <v>16.39</v>
      </c>
      <c r="J850" s="3565">
        <v>904705</v>
      </c>
      <c r="K850" s="3565">
        <v>10352.5</v>
      </c>
      <c r="L850" s="3565">
        <v>12742.32</v>
      </c>
      <c r="M850" s="3565">
        <v>0</v>
      </c>
      <c r="N850" s="3565">
        <v>0</v>
      </c>
      <c r="O850" s="3563" t="s">
        <v>3453</v>
      </c>
    </row>
    <row r="851" spans="1:15">
      <c r="A851" s="3563" t="s">
        <v>5061</v>
      </c>
      <c r="B851" s="3563" t="s">
        <v>4196</v>
      </c>
      <c r="C851" s="3563" t="s">
        <v>4197</v>
      </c>
      <c r="D851" s="3563" t="s">
        <v>4796</v>
      </c>
      <c r="E851" s="3563" t="s">
        <v>4378</v>
      </c>
      <c r="F851" s="3563" t="s">
        <v>4797</v>
      </c>
      <c r="G851" s="3564">
        <v>87.39</v>
      </c>
      <c r="H851" s="3564">
        <v>71</v>
      </c>
      <c r="I851" s="3564">
        <v>16.39</v>
      </c>
      <c r="J851" s="3565">
        <v>904705</v>
      </c>
      <c r="K851" s="3565">
        <v>10352.5</v>
      </c>
      <c r="L851" s="3565">
        <v>12742.32</v>
      </c>
      <c r="M851" s="3565">
        <v>0</v>
      </c>
      <c r="N851" s="3565">
        <v>0</v>
      </c>
      <c r="O851" s="3563" t="s">
        <v>3453</v>
      </c>
    </row>
    <row r="852" spans="1:15">
      <c r="A852" s="3563" t="s">
        <v>5062</v>
      </c>
      <c r="B852" s="3563" t="s">
        <v>4196</v>
      </c>
      <c r="C852" s="3563" t="s">
        <v>4197</v>
      </c>
      <c r="D852" s="3563" t="s">
        <v>4796</v>
      </c>
      <c r="E852" s="3563" t="s">
        <v>4378</v>
      </c>
      <c r="F852" s="3563" t="s">
        <v>4797</v>
      </c>
      <c r="G852" s="3564">
        <v>108.86</v>
      </c>
      <c r="H852" s="3564">
        <v>88.44</v>
      </c>
      <c r="I852" s="3564">
        <v>20.420000000000002</v>
      </c>
      <c r="J852" s="3565">
        <v>1147385</v>
      </c>
      <c r="K852" s="3565">
        <v>10540.01</v>
      </c>
      <c r="L852" s="3565">
        <v>12973.6</v>
      </c>
      <c r="M852" s="3565">
        <v>0</v>
      </c>
      <c r="N852" s="3565">
        <v>0</v>
      </c>
      <c r="O852" s="3563" t="s">
        <v>3453</v>
      </c>
    </row>
    <row r="853" spans="1:15">
      <c r="A853" s="3563" t="s">
        <v>5063</v>
      </c>
      <c r="B853" s="3563" t="s">
        <v>4196</v>
      </c>
      <c r="C853" s="3563" t="s">
        <v>4197</v>
      </c>
      <c r="D853" s="3563" t="s">
        <v>4796</v>
      </c>
      <c r="E853" s="3563" t="s">
        <v>4378</v>
      </c>
      <c r="F853" s="3563" t="s">
        <v>4797</v>
      </c>
      <c r="G853" s="3564">
        <v>100.61</v>
      </c>
      <c r="H853" s="3564">
        <v>81.739999999999995</v>
      </c>
      <c r="I853" s="3564">
        <v>18.87</v>
      </c>
      <c r="J853" s="3565">
        <v>1071748</v>
      </c>
      <c r="K853" s="3565">
        <v>10652.5</v>
      </c>
      <c r="L853" s="3565">
        <v>13111.67</v>
      </c>
      <c r="M853" s="3565">
        <v>0</v>
      </c>
      <c r="N853" s="3565">
        <v>0</v>
      </c>
      <c r="O853" s="3563" t="s">
        <v>3453</v>
      </c>
    </row>
    <row r="854" spans="1:15">
      <c r="A854" s="3563" t="s">
        <v>5064</v>
      </c>
      <c r="B854" s="3563" t="s">
        <v>4196</v>
      </c>
      <c r="C854" s="3563" t="s">
        <v>4197</v>
      </c>
      <c r="D854" s="3563" t="s">
        <v>4796</v>
      </c>
      <c r="E854" s="3563" t="s">
        <v>4378</v>
      </c>
      <c r="F854" s="3563" t="s">
        <v>4797</v>
      </c>
      <c r="G854" s="3564">
        <v>100.61</v>
      </c>
      <c r="H854" s="3564">
        <v>81.739999999999995</v>
      </c>
      <c r="I854" s="3564">
        <v>18.87</v>
      </c>
      <c r="J854" s="3565">
        <v>1071748</v>
      </c>
      <c r="K854" s="3565">
        <v>10652.5</v>
      </c>
      <c r="L854" s="3565">
        <v>13111.67</v>
      </c>
      <c r="M854" s="3565">
        <v>0</v>
      </c>
      <c r="N854" s="3565">
        <v>0</v>
      </c>
      <c r="O854" s="3563" t="s">
        <v>3453</v>
      </c>
    </row>
    <row r="855" spans="1:15">
      <c r="A855" s="3563" t="s">
        <v>5065</v>
      </c>
      <c r="B855" s="3563" t="s">
        <v>4196</v>
      </c>
      <c r="C855" s="3563" t="s">
        <v>4197</v>
      </c>
      <c r="D855" s="3563" t="s">
        <v>4796</v>
      </c>
      <c r="E855" s="3563" t="s">
        <v>4378</v>
      </c>
      <c r="F855" s="3563" t="s">
        <v>4797</v>
      </c>
      <c r="G855" s="3564">
        <v>100.95</v>
      </c>
      <c r="H855" s="3564">
        <v>82.01</v>
      </c>
      <c r="I855" s="3564">
        <v>18.940000000000001</v>
      </c>
      <c r="J855" s="3565">
        <v>1031204</v>
      </c>
      <c r="K855" s="3565">
        <v>10215</v>
      </c>
      <c r="L855" s="3565">
        <v>12574.13</v>
      </c>
      <c r="M855" s="3565">
        <v>0</v>
      </c>
      <c r="N855" s="3565">
        <v>0</v>
      </c>
      <c r="O855" s="3563" t="s">
        <v>3453</v>
      </c>
    </row>
    <row r="856" spans="1:15">
      <c r="A856" s="3563" t="s">
        <v>5066</v>
      </c>
      <c r="B856" s="3563" t="s">
        <v>4196</v>
      </c>
      <c r="C856" s="3563" t="s">
        <v>4197</v>
      </c>
      <c r="D856" s="3563" t="s">
        <v>4796</v>
      </c>
      <c r="E856" s="3563" t="s">
        <v>4378</v>
      </c>
      <c r="F856" s="3563" t="s">
        <v>4797</v>
      </c>
      <c r="G856" s="3564">
        <v>87.39</v>
      </c>
      <c r="H856" s="3564">
        <v>71</v>
      </c>
      <c r="I856" s="3564">
        <v>16.39</v>
      </c>
      <c r="J856" s="3565">
        <v>903613</v>
      </c>
      <c r="K856" s="3565">
        <v>10340</v>
      </c>
      <c r="L856" s="3565">
        <v>12726.94</v>
      </c>
      <c r="M856" s="3565">
        <v>0</v>
      </c>
      <c r="N856" s="3565">
        <v>0</v>
      </c>
      <c r="O856" s="3563" t="s">
        <v>3453</v>
      </c>
    </row>
    <row r="857" spans="1:15">
      <c r="A857" s="3563" t="s">
        <v>5067</v>
      </c>
      <c r="B857" s="3563" t="s">
        <v>4196</v>
      </c>
      <c r="C857" s="3563" t="s">
        <v>4197</v>
      </c>
      <c r="D857" s="3563" t="s">
        <v>4796</v>
      </c>
      <c r="E857" s="3563" t="s">
        <v>4378</v>
      </c>
      <c r="F857" s="3563" t="s">
        <v>4797</v>
      </c>
      <c r="G857" s="3564">
        <v>87.39</v>
      </c>
      <c r="H857" s="3564">
        <v>71</v>
      </c>
      <c r="I857" s="3564">
        <v>16.39</v>
      </c>
      <c r="J857" s="3565">
        <v>903613</v>
      </c>
      <c r="K857" s="3565">
        <v>10340</v>
      </c>
      <c r="L857" s="3565">
        <v>12726.94</v>
      </c>
      <c r="M857" s="3565">
        <v>0</v>
      </c>
      <c r="N857" s="3565">
        <v>0</v>
      </c>
      <c r="O857" s="3563" t="s">
        <v>3453</v>
      </c>
    </row>
    <row r="858" spans="1:15">
      <c r="A858" s="3563" t="s">
        <v>5068</v>
      </c>
      <c r="B858" s="3563" t="s">
        <v>4196</v>
      </c>
      <c r="C858" s="3563" t="s">
        <v>4197</v>
      </c>
      <c r="D858" s="3563" t="s">
        <v>4796</v>
      </c>
      <c r="E858" s="3563" t="s">
        <v>4378</v>
      </c>
      <c r="F858" s="3563" t="s">
        <v>4797</v>
      </c>
      <c r="G858" s="3564">
        <v>108.86</v>
      </c>
      <c r="H858" s="3564">
        <v>88.44</v>
      </c>
      <c r="I858" s="3564">
        <v>20.420000000000002</v>
      </c>
      <c r="J858" s="3565">
        <v>1146024</v>
      </c>
      <c r="K858" s="3565">
        <v>10527.5</v>
      </c>
      <c r="L858" s="3565">
        <v>12958.21</v>
      </c>
      <c r="M858" s="3565">
        <v>0</v>
      </c>
      <c r="N858" s="3565">
        <v>0</v>
      </c>
      <c r="O858" s="3563" t="s">
        <v>3453</v>
      </c>
    </row>
    <row r="859" spans="1:15">
      <c r="A859" s="3563" t="s">
        <v>5069</v>
      </c>
      <c r="B859" s="3563" t="s">
        <v>4196</v>
      </c>
      <c r="C859" s="3563" t="s">
        <v>4197</v>
      </c>
      <c r="D859" s="3563" t="s">
        <v>4796</v>
      </c>
      <c r="E859" s="3563" t="s">
        <v>4378</v>
      </c>
      <c r="F859" s="3563" t="s">
        <v>4797</v>
      </c>
      <c r="G859" s="3564">
        <v>100.61</v>
      </c>
      <c r="H859" s="3564">
        <v>81.739999999999995</v>
      </c>
      <c r="I859" s="3564">
        <v>18.87</v>
      </c>
      <c r="J859" s="3565">
        <v>1032762</v>
      </c>
      <c r="K859" s="3565">
        <v>10265</v>
      </c>
      <c r="L859" s="3565">
        <v>12634.72</v>
      </c>
      <c r="M859" s="3565">
        <v>0</v>
      </c>
      <c r="N859" s="3565">
        <v>0</v>
      </c>
      <c r="O859" s="3563" t="s">
        <v>3453</v>
      </c>
    </row>
    <row r="860" spans="1:15">
      <c r="A860" s="3563" t="s">
        <v>5070</v>
      </c>
      <c r="B860" s="3563" t="s">
        <v>4196</v>
      </c>
      <c r="C860" s="3563" t="s">
        <v>4197</v>
      </c>
      <c r="D860" s="3563" t="s">
        <v>4796</v>
      </c>
      <c r="E860" s="3563" t="s">
        <v>4378</v>
      </c>
      <c r="F860" s="3563" t="s">
        <v>4797</v>
      </c>
      <c r="G860" s="3564">
        <v>100.61</v>
      </c>
      <c r="H860" s="3564">
        <v>81.739999999999995</v>
      </c>
      <c r="I860" s="3564">
        <v>18.87</v>
      </c>
      <c r="J860" s="3565">
        <v>1032762</v>
      </c>
      <c r="K860" s="3565">
        <v>10265</v>
      </c>
      <c r="L860" s="3565">
        <v>12634.72</v>
      </c>
      <c r="M860" s="3565">
        <v>0</v>
      </c>
      <c r="N860" s="3565">
        <v>0</v>
      </c>
      <c r="O860" s="3563" t="s">
        <v>3453</v>
      </c>
    </row>
    <row r="861" spans="1:15">
      <c r="A861" s="3563" t="s">
        <v>5071</v>
      </c>
      <c r="B861" s="3563" t="s">
        <v>4196</v>
      </c>
      <c r="C861" s="3563" t="s">
        <v>4197</v>
      </c>
      <c r="D861" s="3563" t="s">
        <v>4796</v>
      </c>
      <c r="E861" s="3563" t="s">
        <v>4378</v>
      </c>
      <c r="F861" s="3563" t="s">
        <v>4797</v>
      </c>
      <c r="G861" s="3564">
        <v>100.95</v>
      </c>
      <c r="H861" s="3564">
        <v>82.01</v>
      </c>
      <c r="I861" s="3564">
        <v>18.940000000000001</v>
      </c>
      <c r="J861" s="3565">
        <v>1009445</v>
      </c>
      <c r="K861" s="3565">
        <v>9999.4599999999991</v>
      </c>
      <c r="L861" s="3565">
        <v>12308.8</v>
      </c>
      <c r="M861" s="3565">
        <v>0</v>
      </c>
      <c r="N861" s="3565">
        <v>0</v>
      </c>
      <c r="O861" s="3563" t="s">
        <v>3453</v>
      </c>
    </row>
    <row r="862" spans="1:15">
      <c r="A862" s="3563" t="s">
        <v>5072</v>
      </c>
      <c r="B862" s="3563" t="s">
        <v>4196</v>
      </c>
      <c r="C862" s="3563" t="s">
        <v>4197</v>
      </c>
      <c r="D862" s="3563" t="s">
        <v>4796</v>
      </c>
      <c r="E862" s="3563" t="s">
        <v>4378</v>
      </c>
      <c r="F862" s="3563" t="s">
        <v>4797</v>
      </c>
      <c r="G862" s="3564">
        <v>87.39</v>
      </c>
      <c r="H862" s="3564">
        <v>71</v>
      </c>
      <c r="I862" s="3564">
        <v>16.39</v>
      </c>
      <c r="J862" s="3565">
        <v>873853</v>
      </c>
      <c r="K862" s="3565">
        <v>9999.4599999999991</v>
      </c>
      <c r="L862" s="3565">
        <v>12307.79</v>
      </c>
      <c r="M862" s="3565">
        <v>0</v>
      </c>
      <c r="N862" s="3565">
        <v>0</v>
      </c>
      <c r="O862" s="3563" t="s">
        <v>3453</v>
      </c>
    </row>
    <row r="863" spans="1:15">
      <c r="A863" s="3563" t="s">
        <v>5073</v>
      </c>
      <c r="B863" s="3563" t="s">
        <v>4196</v>
      </c>
      <c r="C863" s="3563" t="s">
        <v>4197</v>
      </c>
      <c r="D863" s="3563" t="s">
        <v>4796</v>
      </c>
      <c r="E863" s="3563" t="s">
        <v>4378</v>
      </c>
      <c r="F863" s="3563" t="s">
        <v>4797</v>
      </c>
      <c r="G863" s="3564">
        <v>87.39</v>
      </c>
      <c r="H863" s="3564">
        <v>71</v>
      </c>
      <c r="I863" s="3564">
        <v>16.39</v>
      </c>
      <c r="J863" s="3565">
        <v>873853</v>
      </c>
      <c r="K863" s="3565">
        <v>9999.4599999999991</v>
      </c>
      <c r="L863" s="3565">
        <v>12307.79</v>
      </c>
      <c r="M863" s="3565">
        <v>0</v>
      </c>
      <c r="N863" s="3565">
        <v>0</v>
      </c>
      <c r="O863" s="3563" t="s">
        <v>3453</v>
      </c>
    </row>
    <row r="864" spans="1:15">
      <c r="A864" s="3563" t="s">
        <v>5074</v>
      </c>
      <c r="B864" s="3563" t="s">
        <v>4196</v>
      </c>
      <c r="C864" s="3563" t="s">
        <v>4197</v>
      </c>
      <c r="D864" s="3563" t="s">
        <v>4796</v>
      </c>
      <c r="E864" s="3563" t="s">
        <v>4378</v>
      </c>
      <c r="F864" s="3563" t="s">
        <v>4797</v>
      </c>
      <c r="G864" s="3564">
        <v>108.86</v>
      </c>
      <c r="H864" s="3564">
        <v>88.44</v>
      </c>
      <c r="I864" s="3564">
        <v>20.420000000000002</v>
      </c>
      <c r="J864" s="3565">
        <v>1103840</v>
      </c>
      <c r="K864" s="3565">
        <v>10140</v>
      </c>
      <c r="L864" s="3565">
        <v>12481.23</v>
      </c>
      <c r="M864" s="3565">
        <v>0</v>
      </c>
      <c r="N864" s="3565">
        <v>0</v>
      </c>
      <c r="O864" s="3563" t="s">
        <v>3453</v>
      </c>
    </row>
    <row r="865" spans="1:15">
      <c r="A865" s="3563" t="s">
        <v>5075</v>
      </c>
      <c r="B865" s="3563" t="s">
        <v>4196</v>
      </c>
      <c r="C865" s="3563" t="s">
        <v>4197</v>
      </c>
      <c r="D865" s="3563" t="s">
        <v>4796</v>
      </c>
      <c r="E865" s="3563" t="s">
        <v>4378</v>
      </c>
      <c r="F865" s="3563" t="s">
        <v>4797</v>
      </c>
      <c r="G865" s="3564">
        <v>100.61</v>
      </c>
      <c r="H865" s="3564">
        <v>81.739999999999995</v>
      </c>
      <c r="I865" s="3564">
        <v>18.87</v>
      </c>
      <c r="J865" s="3565">
        <v>1041565</v>
      </c>
      <c r="K865" s="3565">
        <v>10352.5</v>
      </c>
      <c r="L865" s="3565">
        <v>12742.41</v>
      </c>
      <c r="M865" s="3565">
        <v>0</v>
      </c>
      <c r="N865" s="3565">
        <v>0</v>
      </c>
      <c r="O865" s="3563" t="s">
        <v>3453</v>
      </c>
    </row>
    <row r="866" spans="1:15">
      <c r="A866" s="3563" t="s">
        <v>5076</v>
      </c>
      <c r="B866" s="3563" t="s">
        <v>4196</v>
      </c>
      <c r="C866" s="3563" t="s">
        <v>4197</v>
      </c>
      <c r="D866" s="3563" t="s">
        <v>4796</v>
      </c>
      <c r="E866" s="3563" t="s">
        <v>4378</v>
      </c>
      <c r="F866" s="3563" t="s">
        <v>4797</v>
      </c>
      <c r="G866" s="3564">
        <v>100.61</v>
      </c>
      <c r="H866" s="3564">
        <v>81.739999999999995</v>
      </c>
      <c r="I866" s="3564">
        <v>18.87</v>
      </c>
      <c r="J866" s="3565">
        <v>1041565</v>
      </c>
      <c r="K866" s="3565">
        <v>10352.5</v>
      </c>
      <c r="L866" s="3565">
        <v>12742.41</v>
      </c>
      <c r="M866" s="3565">
        <v>0</v>
      </c>
      <c r="N866" s="3565">
        <v>0</v>
      </c>
      <c r="O866" s="3563" t="s">
        <v>3453</v>
      </c>
    </row>
    <row r="867" spans="1:15">
      <c r="A867" s="3563" t="s">
        <v>5077</v>
      </c>
      <c r="B867" s="3563" t="s">
        <v>4196</v>
      </c>
      <c r="C867" s="3563" t="s">
        <v>4197</v>
      </c>
      <c r="D867" s="3563" t="s">
        <v>4796</v>
      </c>
      <c r="E867" s="3563" t="s">
        <v>4378</v>
      </c>
      <c r="F867" s="3563" t="s">
        <v>4797</v>
      </c>
      <c r="G867" s="3564">
        <v>100.95</v>
      </c>
      <c r="H867" s="3564">
        <v>82.01</v>
      </c>
      <c r="I867" s="3564">
        <v>18.940000000000001</v>
      </c>
      <c r="J867" s="3565">
        <v>1009445</v>
      </c>
      <c r="K867" s="3565">
        <v>9999.4599999999991</v>
      </c>
      <c r="L867" s="3565">
        <v>12308.8</v>
      </c>
      <c r="M867" s="3565">
        <v>0</v>
      </c>
      <c r="N867" s="3565">
        <v>0</v>
      </c>
      <c r="O867" s="3563" t="s">
        <v>3453</v>
      </c>
    </row>
    <row r="868" spans="1:15">
      <c r="A868" s="3563" t="s">
        <v>5078</v>
      </c>
      <c r="B868" s="3563" t="s">
        <v>4196</v>
      </c>
      <c r="C868" s="3563" t="s">
        <v>4197</v>
      </c>
      <c r="D868" s="3563" t="s">
        <v>4796</v>
      </c>
      <c r="E868" s="3563" t="s">
        <v>4378</v>
      </c>
      <c r="F868" s="3563" t="s">
        <v>4797</v>
      </c>
      <c r="G868" s="3564">
        <v>87.39</v>
      </c>
      <c r="H868" s="3564">
        <v>71</v>
      </c>
      <c r="I868" s="3564">
        <v>16.39</v>
      </c>
      <c r="J868" s="3565">
        <v>873853</v>
      </c>
      <c r="K868" s="3565">
        <v>9999.4599999999991</v>
      </c>
      <c r="L868" s="3565">
        <v>12307.79</v>
      </c>
      <c r="M868" s="3565">
        <v>0</v>
      </c>
      <c r="N868" s="3565">
        <v>0</v>
      </c>
      <c r="O868" s="3563" t="s">
        <v>3453</v>
      </c>
    </row>
    <row r="869" spans="1:15">
      <c r="A869" s="3563" t="s">
        <v>5079</v>
      </c>
      <c r="B869" s="3563" t="s">
        <v>4196</v>
      </c>
      <c r="C869" s="3563" t="s">
        <v>4197</v>
      </c>
      <c r="D869" s="3563" t="s">
        <v>4796</v>
      </c>
      <c r="E869" s="3563" t="s">
        <v>4378</v>
      </c>
      <c r="F869" s="3563" t="s">
        <v>4797</v>
      </c>
      <c r="G869" s="3564">
        <v>87.39</v>
      </c>
      <c r="H869" s="3564">
        <v>71</v>
      </c>
      <c r="I869" s="3564">
        <v>16.39</v>
      </c>
      <c r="J869" s="3565">
        <v>873853</v>
      </c>
      <c r="K869" s="3565">
        <v>9999.4599999999991</v>
      </c>
      <c r="L869" s="3565">
        <v>12307.79</v>
      </c>
      <c r="M869" s="3565">
        <v>0</v>
      </c>
      <c r="N869" s="3565">
        <v>0</v>
      </c>
      <c r="O869" s="3563" t="s">
        <v>3453</v>
      </c>
    </row>
    <row r="870" spans="1:15">
      <c r="A870" s="3563" t="s">
        <v>5080</v>
      </c>
      <c r="B870" s="3563" t="s">
        <v>4196</v>
      </c>
      <c r="C870" s="3563" t="s">
        <v>4197</v>
      </c>
      <c r="D870" s="3563" t="s">
        <v>4796</v>
      </c>
      <c r="E870" s="3563" t="s">
        <v>4378</v>
      </c>
      <c r="F870" s="3563" t="s">
        <v>4797</v>
      </c>
      <c r="G870" s="3564">
        <v>108.86</v>
      </c>
      <c r="H870" s="3564">
        <v>88.44</v>
      </c>
      <c r="I870" s="3564">
        <v>20.420000000000002</v>
      </c>
      <c r="J870" s="3565">
        <v>1113367</v>
      </c>
      <c r="K870" s="3565">
        <v>10227.51</v>
      </c>
      <c r="L870" s="3565">
        <v>12588.95</v>
      </c>
      <c r="M870" s="3565">
        <v>0</v>
      </c>
      <c r="N870" s="3565">
        <v>0</v>
      </c>
      <c r="O870" s="3563" t="s">
        <v>3453</v>
      </c>
    </row>
    <row r="871" spans="1:15">
      <c r="A871" s="3563" t="s">
        <v>5081</v>
      </c>
      <c r="B871" s="3563" t="s">
        <v>4196</v>
      </c>
      <c r="C871" s="3563" t="s">
        <v>4197</v>
      </c>
      <c r="D871" s="3563" t="s">
        <v>4796</v>
      </c>
      <c r="E871" s="3563" t="s">
        <v>4378</v>
      </c>
      <c r="F871" s="3563" t="s">
        <v>4797</v>
      </c>
      <c r="G871" s="3564">
        <v>100.61</v>
      </c>
      <c r="H871" s="3564">
        <v>81.739999999999995</v>
      </c>
      <c r="I871" s="3564">
        <v>18.87</v>
      </c>
      <c r="J871" s="3565">
        <v>1056657</v>
      </c>
      <c r="K871" s="3565">
        <v>10502.5</v>
      </c>
      <c r="L871" s="3565">
        <v>12927.05</v>
      </c>
      <c r="M871" s="3565">
        <v>0</v>
      </c>
      <c r="N871" s="3565">
        <v>0</v>
      </c>
      <c r="O871" s="3563" t="s">
        <v>3453</v>
      </c>
    </row>
    <row r="872" spans="1:15">
      <c r="A872" s="3563" t="s">
        <v>5082</v>
      </c>
      <c r="B872" s="3563" t="s">
        <v>4196</v>
      </c>
      <c r="C872" s="3563" t="s">
        <v>4197</v>
      </c>
      <c r="D872" s="3563" t="s">
        <v>4796</v>
      </c>
      <c r="E872" s="3563" t="s">
        <v>4378</v>
      </c>
      <c r="F872" s="3563" t="s">
        <v>4797</v>
      </c>
      <c r="G872" s="3564">
        <v>100.61</v>
      </c>
      <c r="H872" s="3564">
        <v>81.739999999999995</v>
      </c>
      <c r="I872" s="3564">
        <v>18.87</v>
      </c>
      <c r="J872" s="3565">
        <v>1056657</v>
      </c>
      <c r="K872" s="3565">
        <v>10502.5</v>
      </c>
      <c r="L872" s="3565">
        <v>12927.05</v>
      </c>
      <c r="M872" s="3565">
        <v>0</v>
      </c>
      <c r="N872" s="3565">
        <v>0</v>
      </c>
      <c r="O872" s="3563" t="s">
        <v>3453</v>
      </c>
    </row>
    <row r="873" spans="1:15">
      <c r="A873" s="3563" t="s">
        <v>5083</v>
      </c>
      <c r="B873" s="3563" t="s">
        <v>4196</v>
      </c>
      <c r="C873" s="3563" t="s">
        <v>4197</v>
      </c>
      <c r="D873" s="3563" t="s">
        <v>4796</v>
      </c>
      <c r="E873" s="3563" t="s">
        <v>4378</v>
      </c>
      <c r="F873" s="3563" t="s">
        <v>4797</v>
      </c>
      <c r="G873" s="3564">
        <v>100.95</v>
      </c>
      <c r="H873" s="3564">
        <v>82.01</v>
      </c>
      <c r="I873" s="3564">
        <v>18.940000000000001</v>
      </c>
      <c r="J873" s="3565">
        <v>1009445</v>
      </c>
      <c r="K873" s="3565">
        <v>9999.4599999999991</v>
      </c>
      <c r="L873" s="3565">
        <v>12308.8</v>
      </c>
      <c r="M873" s="3565">
        <v>0</v>
      </c>
      <c r="N873" s="3565">
        <v>0</v>
      </c>
      <c r="O873" s="3563" t="s">
        <v>3453</v>
      </c>
    </row>
    <row r="874" spans="1:15">
      <c r="A874" s="3563" t="s">
        <v>5084</v>
      </c>
      <c r="B874" s="3563" t="s">
        <v>4196</v>
      </c>
      <c r="C874" s="3563" t="s">
        <v>4197</v>
      </c>
      <c r="D874" s="3563" t="s">
        <v>4796</v>
      </c>
      <c r="E874" s="3563" t="s">
        <v>4378</v>
      </c>
      <c r="F874" s="3563" t="s">
        <v>4797</v>
      </c>
      <c r="G874" s="3564">
        <v>87.39</v>
      </c>
      <c r="H874" s="3564">
        <v>71</v>
      </c>
      <c r="I874" s="3564">
        <v>16.39</v>
      </c>
      <c r="J874" s="3565">
        <v>873853</v>
      </c>
      <c r="K874" s="3565">
        <v>9999.4599999999991</v>
      </c>
      <c r="L874" s="3565">
        <v>12307.79</v>
      </c>
      <c r="M874" s="3565">
        <v>0</v>
      </c>
      <c r="N874" s="3565">
        <v>0</v>
      </c>
      <c r="O874" s="3563" t="s">
        <v>3453</v>
      </c>
    </row>
    <row r="875" spans="1:15">
      <c r="A875" s="3563" t="s">
        <v>5085</v>
      </c>
      <c r="B875" s="3563" t="s">
        <v>4196</v>
      </c>
      <c r="C875" s="3563" t="s">
        <v>4197</v>
      </c>
      <c r="D875" s="3563" t="s">
        <v>4796</v>
      </c>
      <c r="E875" s="3563" t="s">
        <v>4378</v>
      </c>
      <c r="F875" s="3563" t="s">
        <v>4797</v>
      </c>
      <c r="G875" s="3564">
        <v>87.39</v>
      </c>
      <c r="H875" s="3564">
        <v>71</v>
      </c>
      <c r="I875" s="3564">
        <v>16.39</v>
      </c>
      <c r="J875" s="3565">
        <v>873853</v>
      </c>
      <c r="K875" s="3565">
        <v>9999.4599999999991</v>
      </c>
      <c r="L875" s="3565">
        <v>12307.79</v>
      </c>
      <c r="M875" s="3565">
        <v>0</v>
      </c>
      <c r="N875" s="3565">
        <v>0</v>
      </c>
      <c r="O875" s="3563" t="s">
        <v>3453</v>
      </c>
    </row>
    <row r="876" spans="1:15">
      <c r="A876" s="3563" t="s">
        <v>5086</v>
      </c>
      <c r="B876" s="3563" t="s">
        <v>4196</v>
      </c>
      <c r="C876" s="3563" t="s">
        <v>4197</v>
      </c>
      <c r="D876" s="3563" t="s">
        <v>4796</v>
      </c>
      <c r="E876" s="3563" t="s">
        <v>4378</v>
      </c>
      <c r="F876" s="3563" t="s">
        <v>4797</v>
      </c>
      <c r="G876" s="3564">
        <v>108.86</v>
      </c>
      <c r="H876" s="3564">
        <v>88.44</v>
      </c>
      <c r="I876" s="3564">
        <v>20.420000000000002</v>
      </c>
      <c r="J876" s="3565">
        <v>1129695</v>
      </c>
      <c r="K876" s="3565">
        <v>10377.5</v>
      </c>
      <c r="L876" s="3565">
        <v>12773.58</v>
      </c>
      <c r="M876" s="3565">
        <v>0</v>
      </c>
      <c r="N876" s="3565">
        <v>0</v>
      </c>
      <c r="O876" s="3563" t="s">
        <v>3453</v>
      </c>
    </row>
    <row r="877" spans="1:15">
      <c r="A877" s="3563" t="s">
        <v>5087</v>
      </c>
      <c r="B877" s="3563" t="s">
        <v>4196</v>
      </c>
      <c r="C877" s="3563" t="s">
        <v>4197</v>
      </c>
      <c r="D877" s="3563" t="s">
        <v>4796</v>
      </c>
      <c r="E877" s="3563" t="s">
        <v>4378</v>
      </c>
      <c r="F877" s="3563" t="s">
        <v>4797</v>
      </c>
      <c r="G877" s="3564">
        <v>100.61</v>
      </c>
      <c r="H877" s="3564">
        <v>81.739999999999995</v>
      </c>
      <c r="I877" s="3564">
        <v>18.87</v>
      </c>
      <c r="J877" s="3565">
        <v>1071748</v>
      </c>
      <c r="K877" s="3565">
        <v>10652.5</v>
      </c>
      <c r="L877" s="3565">
        <v>13111.67</v>
      </c>
      <c r="M877" s="3565">
        <v>0</v>
      </c>
      <c r="N877" s="3565">
        <v>0</v>
      </c>
      <c r="O877" s="3563" t="s">
        <v>3453</v>
      </c>
    </row>
    <row r="878" spans="1:15">
      <c r="A878" s="3563" t="s">
        <v>5088</v>
      </c>
      <c r="B878" s="3563" t="s">
        <v>4196</v>
      </c>
      <c r="C878" s="3563" t="s">
        <v>4197</v>
      </c>
      <c r="D878" s="3563" t="s">
        <v>4796</v>
      </c>
      <c r="E878" s="3563" t="s">
        <v>4378</v>
      </c>
      <c r="F878" s="3563" t="s">
        <v>4797</v>
      </c>
      <c r="G878" s="3564">
        <v>100.61</v>
      </c>
      <c r="H878" s="3564">
        <v>81.739999999999995</v>
      </c>
      <c r="I878" s="3564">
        <v>18.87</v>
      </c>
      <c r="J878" s="3565">
        <v>1071748</v>
      </c>
      <c r="K878" s="3565">
        <v>10652.5</v>
      </c>
      <c r="L878" s="3565">
        <v>13111.67</v>
      </c>
      <c r="M878" s="3565">
        <v>0</v>
      </c>
      <c r="N878" s="3565">
        <v>0</v>
      </c>
      <c r="O878" s="3563" t="s">
        <v>3453</v>
      </c>
    </row>
    <row r="879" spans="1:15">
      <c r="A879" s="3563" t="s">
        <v>5089</v>
      </c>
      <c r="B879" s="3563" t="s">
        <v>4196</v>
      </c>
      <c r="C879" s="3563" t="s">
        <v>4197</v>
      </c>
      <c r="D879" s="3563" t="s">
        <v>4796</v>
      </c>
      <c r="E879" s="3563" t="s">
        <v>4378</v>
      </c>
      <c r="F879" s="3563" t="s">
        <v>4797</v>
      </c>
      <c r="G879" s="3564">
        <v>100.95</v>
      </c>
      <c r="H879" s="3564">
        <v>82.01</v>
      </c>
      <c r="I879" s="3564">
        <v>18.940000000000001</v>
      </c>
      <c r="J879" s="3565">
        <v>1009445</v>
      </c>
      <c r="K879" s="3565">
        <v>9999.4599999999991</v>
      </c>
      <c r="L879" s="3565">
        <v>12308.8</v>
      </c>
      <c r="M879" s="3565">
        <v>0</v>
      </c>
      <c r="N879" s="3565">
        <v>0</v>
      </c>
      <c r="O879" s="3563" t="s">
        <v>3453</v>
      </c>
    </row>
    <row r="880" spans="1:15">
      <c r="A880" s="3563" t="s">
        <v>5090</v>
      </c>
      <c r="B880" s="3563" t="s">
        <v>4196</v>
      </c>
      <c r="C880" s="3563" t="s">
        <v>4197</v>
      </c>
      <c r="D880" s="3563" t="s">
        <v>4796</v>
      </c>
      <c r="E880" s="3563" t="s">
        <v>4378</v>
      </c>
      <c r="F880" s="3563" t="s">
        <v>4797</v>
      </c>
      <c r="G880" s="3564">
        <v>87.39</v>
      </c>
      <c r="H880" s="3564">
        <v>71</v>
      </c>
      <c r="I880" s="3564">
        <v>16.39</v>
      </c>
      <c r="J880" s="3565">
        <v>881765</v>
      </c>
      <c r="K880" s="3565">
        <v>10090</v>
      </c>
      <c r="L880" s="3565">
        <v>12419.23</v>
      </c>
      <c r="M880" s="3565">
        <v>0</v>
      </c>
      <c r="N880" s="3565">
        <v>0</v>
      </c>
      <c r="O880" s="3563" t="s">
        <v>3453</v>
      </c>
    </row>
    <row r="881" spans="1:15">
      <c r="A881" s="3563" t="s">
        <v>5091</v>
      </c>
      <c r="B881" s="3563" t="s">
        <v>4196</v>
      </c>
      <c r="C881" s="3563" t="s">
        <v>4197</v>
      </c>
      <c r="D881" s="3563" t="s">
        <v>4796</v>
      </c>
      <c r="E881" s="3563" t="s">
        <v>4378</v>
      </c>
      <c r="F881" s="3563" t="s">
        <v>4797</v>
      </c>
      <c r="G881" s="3564">
        <v>87.39</v>
      </c>
      <c r="H881" s="3564">
        <v>71</v>
      </c>
      <c r="I881" s="3564">
        <v>16.39</v>
      </c>
      <c r="J881" s="3565">
        <v>881765</v>
      </c>
      <c r="K881" s="3565">
        <v>10090</v>
      </c>
      <c r="L881" s="3565">
        <v>12419.23</v>
      </c>
      <c r="M881" s="3565">
        <v>0</v>
      </c>
      <c r="N881" s="3565">
        <v>0</v>
      </c>
      <c r="O881" s="3563" t="s">
        <v>3453</v>
      </c>
    </row>
    <row r="882" spans="1:15">
      <c r="A882" s="3563" t="s">
        <v>5092</v>
      </c>
      <c r="B882" s="3563" t="s">
        <v>4196</v>
      </c>
      <c r="C882" s="3563" t="s">
        <v>4197</v>
      </c>
      <c r="D882" s="3563" t="s">
        <v>4796</v>
      </c>
      <c r="E882" s="3563" t="s">
        <v>4378</v>
      </c>
      <c r="F882" s="3563" t="s">
        <v>4797</v>
      </c>
      <c r="G882" s="3564">
        <v>108.86</v>
      </c>
      <c r="H882" s="3564">
        <v>88.44</v>
      </c>
      <c r="I882" s="3564">
        <v>20.420000000000002</v>
      </c>
      <c r="J882" s="3565">
        <v>1146024</v>
      </c>
      <c r="K882" s="3565">
        <v>10527.5</v>
      </c>
      <c r="L882" s="3565">
        <v>12958.21</v>
      </c>
      <c r="M882" s="3565">
        <v>0</v>
      </c>
      <c r="N882" s="3565">
        <v>0</v>
      </c>
      <c r="O882" s="3563" t="s">
        <v>3453</v>
      </c>
    </row>
    <row r="883" spans="1:15">
      <c r="A883" s="3563" t="s">
        <v>5093</v>
      </c>
      <c r="B883" s="3563" t="s">
        <v>4196</v>
      </c>
      <c r="C883" s="3563" t="s">
        <v>4197</v>
      </c>
      <c r="D883" s="3563" t="s">
        <v>4796</v>
      </c>
      <c r="E883" s="3563" t="s">
        <v>4378</v>
      </c>
      <c r="F883" s="3563" t="s">
        <v>4797</v>
      </c>
      <c r="G883" s="3564">
        <v>100.61</v>
      </c>
      <c r="H883" s="3564">
        <v>81.739999999999995</v>
      </c>
      <c r="I883" s="3564">
        <v>18.87</v>
      </c>
      <c r="J883" s="3565">
        <v>1073007</v>
      </c>
      <c r="K883" s="3565">
        <v>10665.01</v>
      </c>
      <c r="L883" s="3565">
        <v>13127.07</v>
      </c>
      <c r="M883" s="3565">
        <v>0</v>
      </c>
      <c r="N883" s="3565">
        <v>0</v>
      </c>
      <c r="O883" s="3563" t="s">
        <v>3453</v>
      </c>
    </row>
    <row r="884" spans="1:15">
      <c r="A884" s="3563" t="s">
        <v>5094</v>
      </c>
      <c r="B884" s="3563" t="s">
        <v>4196</v>
      </c>
      <c r="C884" s="3563" t="s">
        <v>4197</v>
      </c>
      <c r="D884" s="3563" t="s">
        <v>4796</v>
      </c>
      <c r="E884" s="3563" t="s">
        <v>4378</v>
      </c>
      <c r="F884" s="3563" t="s">
        <v>4797</v>
      </c>
      <c r="G884" s="3564">
        <v>100.61</v>
      </c>
      <c r="H884" s="3564">
        <v>81.739999999999995</v>
      </c>
      <c r="I884" s="3564">
        <v>18.87</v>
      </c>
      <c r="J884" s="3565">
        <v>1073007</v>
      </c>
      <c r="K884" s="3565">
        <v>10665.01</v>
      </c>
      <c r="L884" s="3565">
        <v>13127.07</v>
      </c>
      <c r="M884" s="3565">
        <v>0</v>
      </c>
      <c r="N884" s="3565">
        <v>0</v>
      </c>
      <c r="O884" s="3563" t="s">
        <v>3453</v>
      </c>
    </row>
    <row r="885" spans="1:15">
      <c r="A885" s="3563" t="s">
        <v>5095</v>
      </c>
      <c r="B885" s="3563" t="s">
        <v>4196</v>
      </c>
      <c r="C885" s="3563" t="s">
        <v>4197</v>
      </c>
      <c r="D885" s="3563" t="s">
        <v>4796</v>
      </c>
      <c r="E885" s="3563" t="s">
        <v>4378</v>
      </c>
      <c r="F885" s="3563" t="s">
        <v>4797</v>
      </c>
      <c r="G885" s="3564">
        <v>100.95</v>
      </c>
      <c r="H885" s="3564">
        <v>82.01</v>
      </c>
      <c r="I885" s="3564">
        <v>18.940000000000001</v>
      </c>
      <c r="J885" s="3565">
        <v>1010329</v>
      </c>
      <c r="K885" s="3565">
        <v>10008.209999999999</v>
      </c>
      <c r="L885" s="3565">
        <v>12319.58</v>
      </c>
      <c r="M885" s="3565">
        <v>0</v>
      </c>
      <c r="N885" s="3565">
        <v>0</v>
      </c>
      <c r="O885" s="3563" t="s">
        <v>3453</v>
      </c>
    </row>
    <row r="886" spans="1:15">
      <c r="A886" s="3563" t="s">
        <v>5096</v>
      </c>
      <c r="B886" s="3563" t="s">
        <v>4196</v>
      </c>
      <c r="C886" s="3563" t="s">
        <v>4197</v>
      </c>
      <c r="D886" s="3563" t="s">
        <v>4796</v>
      </c>
      <c r="E886" s="3563" t="s">
        <v>4378</v>
      </c>
      <c r="F886" s="3563" t="s">
        <v>4797</v>
      </c>
      <c r="G886" s="3564">
        <v>87.39</v>
      </c>
      <c r="H886" s="3564">
        <v>71</v>
      </c>
      <c r="I886" s="3564">
        <v>16.39</v>
      </c>
      <c r="J886" s="3565">
        <v>882858</v>
      </c>
      <c r="K886" s="3565">
        <v>10102.51</v>
      </c>
      <c r="L886" s="3565">
        <v>12434.62</v>
      </c>
      <c r="M886" s="3565">
        <v>0</v>
      </c>
      <c r="N886" s="3565">
        <v>0</v>
      </c>
      <c r="O886" s="3563" t="s">
        <v>3453</v>
      </c>
    </row>
    <row r="887" spans="1:15">
      <c r="A887" s="3563" t="s">
        <v>5097</v>
      </c>
      <c r="B887" s="3563" t="s">
        <v>4196</v>
      </c>
      <c r="C887" s="3563" t="s">
        <v>4197</v>
      </c>
      <c r="D887" s="3563" t="s">
        <v>4796</v>
      </c>
      <c r="E887" s="3563" t="s">
        <v>4378</v>
      </c>
      <c r="F887" s="3563" t="s">
        <v>4797</v>
      </c>
      <c r="G887" s="3564">
        <v>87.39</v>
      </c>
      <c r="H887" s="3564">
        <v>71</v>
      </c>
      <c r="I887" s="3564">
        <v>16.39</v>
      </c>
      <c r="J887" s="3565">
        <v>882858</v>
      </c>
      <c r="K887" s="3565">
        <v>10102.51</v>
      </c>
      <c r="L887" s="3565">
        <v>12434.62</v>
      </c>
      <c r="M887" s="3565">
        <v>0</v>
      </c>
      <c r="N887" s="3565">
        <v>0</v>
      </c>
      <c r="O887" s="3563" t="s">
        <v>3453</v>
      </c>
    </row>
    <row r="888" spans="1:15">
      <c r="A888" s="3563" t="s">
        <v>5098</v>
      </c>
      <c r="B888" s="3563" t="s">
        <v>4196</v>
      </c>
      <c r="C888" s="3563" t="s">
        <v>4197</v>
      </c>
      <c r="D888" s="3563" t="s">
        <v>4796</v>
      </c>
      <c r="E888" s="3563" t="s">
        <v>4378</v>
      </c>
      <c r="F888" s="3563" t="s">
        <v>4797</v>
      </c>
      <c r="G888" s="3564">
        <v>108.86</v>
      </c>
      <c r="H888" s="3564">
        <v>88.44</v>
      </c>
      <c r="I888" s="3564">
        <v>20.420000000000002</v>
      </c>
      <c r="J888" s="3565">
        <v>1147385</v>
      </c>
      <c r="K888" s="3565">
        <v>10540.01</v>
      </c>
      <c r="L888" s="3565">
        <v>12973.6</v>
      </c>
      <c r="M888" s="3565">
        <v>0</v>
      </c>
      <c r="N888" s="3565">
        <v>0</v>
      </c>
      <c r="O888" s="3563" t="s">
        <v>3453</v>
      </c>
    </row>
    <row r="889" spans="1:15">
      <c r="A889" s="3563" t="s">
        <v>5099</v>
      </c>
      <c r="B889" s="3563" t="s">
        <v>4196</v>
      </c>
      <c r="C889" s="3563" t="s">
        <v>4197</v>
      </c>
      <c r="D889" s="3563" t="s">
        <v>4796</v>
      </c>
      <c r="E889" s="3563" t="s">
        <v>4378</v>
      </c>
      <c r="F889" s="3563" t="s">
        <v>4797</v>
      </c>
      <c r="G889" s="3564">
        <v>100.61</v>
      </c>
      <c r="H889" s="3564">
        <v>81.739999999999995</v>
      </c>
      <c r="I889" s="3564">
        <v>18.87</v>
      </c>
      <c r="J889" s="3565">
        <v>1074264</v>
      </c>
      <c r="K889" s="3565">
        <v>10677.51</v>
      </c>
      <c r="L889" s="3565">
        <v>13142.45</v>
      </c>
      <c r="M889" s="3565">
        <v>0</v>
      </c>
      <c r="N889" s="3565">
        <v>0</v>
      </c>
      <c r="O889" s="3563" t="s">
        <v>3453</v>
      </c>
    </row>
    <row r="890" spans="1:15">
      <c r="A890" s="3563" t="s">
        <v>5100</v>
      </c>
      <c r="B890" s="3563" t="s">
        <v>4196</v>
      </c>
      <c r="C890" s="3563" t="s">
        <v>4197</v>
      </c>
      <c r="D890" s="3563" t="s">
        <v>4796</v>
      </c>
      <c r="E890" s="3563" t="s">
        <v>4378</v>
      </c>
      <c r="F890" s="3563" t="s">
        <v>4797</v>
      </c>
      <c r="G890" s="3564">
        <v>100.61</v>
      </c>
      <c r="H890" s="3564">
        <v>81.739999999999995</v>
      </c>
      <c r="I890" s="3564">
        <v>18.87</v>
      </c>
      <c r="J890" s="3565">
        <v>1074264</v>
      </c>
      <c r="K890" s="3565">
        <v>10677.51</v>
      </c>
      <c r="L890" s="3565">
        <v>13142.45</v>
      </c>
      <c r="M890" s="3565">
        <v>0</v>
      </c>
      <c r="N890" s="3565">
        <v>0</v>
      </c>
      <c r="O890" s="3563" t="s">
        <v>3453</v>
      </c>
    </row>
    <row r="891" spans="1:15">
      <c r="A891" s="3563" t="s">
        <v>5101</v>
      </c>
      <c r="B891" s="3563" t="s">
        <v>4196</v>
      </c>
      <c r="C891" s="3563" t="s">
        <v>4197</v>
      </c>
      <c r="D891" s="3563" t="s">
        <v>4796</v>
      </c>
      <c r="E891" s="3563" t="s">
        <v>4378</v>
      </c>
      <c r="F891" s="3563" t="s">
        <v>4797</v>
      </c>
      <c r="G891" s="3564">
        <v>100.95</v>
      </c>
      <c r="H891" s="3564">
        <v>82.01</v>
      </c>
      <c r="I891" s="3564">
        <v>18.940000000000001</v>
      </c>
      <c r="J891" s="3565">
        <v>1033728</v>
      </c>
      <c r="K891" s="3565">
        <v>10240</v>
      </c>
      <c r="L891" s="3565">
        <v>12604.9</v>
      </c>
      <c r="M891" s="3565">
        <v>0</v>
      </c>
      <c r="N891" s="3565">
        <v>0</v>
      </c>
      <c r="O891" s="3563" t="s">
        <v>3453</v>
      </c>
    </row>
    <row r="892" spans="1:15">
      <c r="A892" s="3563" t="s">
        <v>5102</v>
      </c>
      <c r="B892" s="3563" t="s">
        <v>4196</v>
      </c>
      <c r="C892" s="3563" t="s">
        <v>4197</v>
      </c>
      <c r="D892" s="3563" t="s">
        <v>4796</v>
      </c>
      <c r="E892" s="3563" t="s">
        <v>4378</v>
      </c>
      <c r="F892" s="3563" t="s">
        <v>4797</v>
      </c>
      <c r="G892" s="3564">
        <v>87.39</v>
      </c>
      <c r="H892" s="3564">
        <v>71</v>
      </c>
      <c r="I892" s="3564">
        <v>16.39</v>
      </c>
      <c r="J892" s="3565">
        <v>905798</v>
      </c>
      <c r="K892" s="3565">
        <v>10365.01</v>
      </c>
      <c r="L892" s="3565">
        <v>12757.72</v>
      </c>
      <c r="M892" s="3565">
        <v>0</v>
      </c>
      <c r="N892" s="3565">
        <v>0</v>
      </c>
      <c r="O892" s="3563" t="s">
        <v>3453</v>
      </c>
    </row>
    <row r="893" spans="1:15">
      <c r="A893" s="3563" t="s">
        <v>5103</v>
      </c>
      <c r="B893" s="3563" t="s">
        <v>4196</v>
      </c>
      <c r="C893" s="3563" t="s">
        <v>4197</v>
      </c>
      <c r="D893" s="3563" t="s">
        <v>4796</v>
      </c>
      <c r="E893" s="3563" t="s">
        <v>4378</v>
      </c>
      <c r="F893" s="3563" t="s">
        <v>4797</v>
      </c>
      <c r="G893" s="3564">
        <v>87.39</v>
      </c>
      <c r="H893" s="3564">
        <v>71</v>
      </c>
      <c r="I893" s="3564">
        <v>16.39</v>
      </c>
      <c r="J893" s="3565">
        <v>905798</v>
      </c>
      <c r="K893" s="3565">
        <v>10365.01</v>
      </c>
      <c r="L893" s="3565">
        <v>12757.72</v>
      </c>
      <c r="M893" s="3565">
        <v>0</v>
      </c>
      <c r="N893" s="3565">
        <v>0</v>
      </c>
      <c r="O893" s="3563" t="s">
        <v>3453</v>
      </c>
    </row>
    <row r="894" spans="1:15">
      <c r="A894" s="3563" t="s">
        <v>5104</v>
      </c>
      <c r="B894" s="3563" t="s">
        <v>4196</v>
      </c>
      <c r="C894" s="3563" t="s">
        <v>4197</v>
      </c>
      <c r="D894" s="3563" t="s">
        <v>4796</v>
      </c>
      <c r="E894" s="3563" t="s">
        <v>4378</v>
      </c>
      <c r="F894" s="3563" t="s">
        <v>4797</v>
      </c>
      <c r="G894" s="3564">
        <v>108.86</v>
      </c>
      <c r="H894" s="3564">
        <v>88.44</v>
      </c>
      <c r="I894" s="3564">
        <v>20.420000000000002</v>
      </c>
      <c r="J894" s="3565">
        <v>1148745</v>
      </c>
      <c r="K894" s="3565">
        <v>10552.5</v>
      </c>
      <c r="L894" s="3565">
        <v>12988.98</v>
      </c>
      <c r="M894" s="3565">
        <v>0</v>
      </c>
      <c r="N894" s="3565">
        <v>0</v>
      </c>
      <c r="O894" s="3563" t="s">
        <v>3453</v>
      </c>
    </row>
    <row r="895" spans="1:15">
      <c r="A895" s="3563" t="s">
        <v>5105</v>
      </c>
      <c r="B895" s="3563" t="s">
        <v>4196</v>
      </c>
      <c r="C895" s="3563" t="s">
        <v>4197</v>
      </c>
      <c r="D895" s="3563" t="s">
        <v>4796</v>
      </c>
      <c r="E895" s="3563" t="s">
        <v>4378</v>
      </c>
      <c r="F895" s="3563" t="s">
        <v>4797</v>
      </c>
      <c r="G895" s="3564">
        <v>100.61</v>
      </c>
      <c r="H895" s="3564">
        <v>81.739999999999995</v>
      </c>
      <c r="I895" s="3564">
        <v>18.87</v>
      </c>
      <c r="J895" s="3565">
        <v>1075522</v>
      </c>
      <c r="K895" s="3565">
        <v>10690.01</v>
      </c>
      <c r="L895" s="3565">
        <v>13157.84</v>
      </c>
      <c r="M895" s="3565">
        <v>0</v>
      </c>
      <c r="N895" s="3565">
        <v>0</v>
      </c>
      <c r="O895" s="3563" t="s">
        <v>3453</v>
      </c>
    </row>
    <row r="896" spans="1:15">
      <c r="A896" s="3563" t="s">
        <v>5106</v>
      </c>
      <c r="B896" s="3563" t="s">
        <v>4196</v>
      </c>
      <c r="C896" s="3563" t="s">
        <v>4197</v>
      </c>
      <c r="D896" s="3563" t="s">
        <v>4796</v>
      </c>
      <c r="E896" s="3563" t="s">
        <v>4378</v>
      </c>
      <c r="F896" s="3563" t="s">
        <v>4797</v>
      </c>
      <c r="G896" s="3564">
        <v>100.61</v>
      </c>
      <c r="H896" s="3564">
        <v>81.739999999999995</v>
      </c>
      <c r="I896" s="3564">
        <v>18.87</v>
      </c>
      <c r="J896" s="3565">
        <v>1075522</v>
      </c>
      <c r="K896" s="3565">
        <v>10690.01</v>
      </c>
      <c r="L896" s="3565">
        <v>13157.84</v>
      </c>
      <c r="M896" s="3565">
        <v>0</v>
      </c>
      <c r="N896" s="3565">
        <v>0</v>
      </c>
      <c r="O896" s="3563" t="s">
        <v>3453</v>
      </c>
    </row>
    <row r="897" spans="1:15">
      <c r="A897" s="3563" t="s">
        <v>5107</v>
      </c>
      <c r="B897" s="3563" t="s">
        <v>4196</v>
      </c>
      <c r="C897" s="3563" t="s">
        <v>4197</v>
      </c>
      <c r="D897" s="3563" t="s">
        <v>4796</v>
      </c>
      <c r="E897" s="3563" t="s">
        <v>4378</v>
      </c>
      <c r="F897" s="3563" t="s">
        <v>4797</v>
      </c>
      <c r="G897" s="3564">
        <v>100.95</v>
      </c>
      <c r="H897" s="3564">
        <v>82.01</v>
      </c>
      <c r="I897" s="3564">
        <v>18.940000000000001</v>
      </c>
      <c r="J897" s="3565">
        <v>1034990</v>
      </c>
      <c r="K897" s="3565">
        <v>10252.5</v>
      </c>
      <c r="L897" s="3565">
        <v>12620.29</v>
      </c>
      <c r="M897" s="3565">
        <v>0</v>
      </c>
      <c r="N897" s="3565">
        <v>0</v>
      </c>
      <c r="O897" s="3563" t="s">
        <v>3453</v>
      </c>
    </row>
    <row r="898" spans="1:15">
      <c r="A898" s="3563" t="s">
        <v>5108</v>
      </c>
      <c r="B898" s="3563" t="s">
        <v>4196</v>
      </c>
      <c r="C898" s="3563" t="s">
        <v>4197</v>
      </c>
      <c r="D898" s="3563" t="s">
        <v>4796</v>
      </c>
      <c r="E898" s="3563" t="s">
        <v>4378</v>
      </c>
      <c r="F898" s="3563" t="s">
        <v>4797</v>
      </c>
      <c r="G898" s="3564">
        <v>87.39</v>
      </c>
      <c r="H898" s="3564">
        <v>71</v>
      </c>
      <c r="I898" s="3564">
        <v>16.39</v>
      </c>
      <c r="J898" s="3565">
        <v>906890</v>
      </c>
      <c r="K898" s="3565">
        <v>10377.5</v>
      </c>
      <c r="L898" s="3565">
        <v>12773.1</v>
      </c>
      <c r="M898" s="3565">
        <v>0</v>
      </c>
      <c r="N898" s="3565">
        <v>0</v>
      </c>
      <c r="O898" s="3563" t="s">
        <v>3453</v>
      </c>
    </row>
    <row r="899" spans="1:15">
      <c r="A899" s="3563" t="s">
        <v>5109</v>
      </c>
      <c r="B899" s="3563" t="s">
        <v>4196</v>
      </c>
      <c r="C899" s="3563" t="s">
        <v>4197</v>
      </c>
      <c r="D899" s="3563" t="s">
        <v>4796</v>
      </c>
      <c r="E899" s="3563" t="s">
        <v>4378</v>
      </c>
      <c r="F899" s="3563" t="s">
        <v>4797</v>
      </c>
      <c r="G899" s="3564">
        <v>87.39</v>
      </c>
      <c r="H899" s="3564">
        <v>71</v>
      </c>
      <c r="I899" s="3564">
        <v>16.39</v>
      </c>
      <c r="J899" s="3565">
        <v>906890</v>
      </c>
      <c r="K899" s="3565">
        <v>10377.5</v>
      </c>
      <c r="L899" s="3565">
        <v>12773.1</v>
      </c>
      <c r="M899" s="3565">
        <v>0</v>
      </c>
      <c r="N899" s="3565">
        <v>0</v>
      </c>
      <c r="O899" s="3563" t="s">
        <v>3453</v>
      </c>
    </row>
    <row r="900" spans="1:15">
      <c r="A900" s="3563" t="s">
        <v>5110</v>
      </c>
      <c r="B900" s="3563" t="s">
        <v>4196</v>
      </c>
      <c r="C900" s="3563" t="s">
        <v>4197</v>
      </c>
      <c r="D900" s="3563" t="s">
        <v>4796</v>
      </c>
      <c r="E900" s="3563" t="s">
        <v>4378</v>
      </c>
      <c r="F900" s="3563" t="s">
        <v>4797</v>
      </c>
      <c r="G900" s="3564">
        <v>108.86</v>
      </c>
      <c r="H900" s="3564">
        <v>88.44</v>
      </c>
      <c r="I900" s="3564">
        <v>20.420000000000002</v>
      </c>
      <c r="J900" s="3565">
        <v>1150107</v>
      </c>
      <c r="K900" s="3565">
        <v>10565.01</v>
      </c>
      <c r="L900" s="3565">
        <v>13004.38</v>
      </c>
      <c r="M900" s="3565">
        <v>0</v>
      </c>
      <c r="N900" s="3565">
        <v>0</v>
      </c>
      <c r="O900" s="3563" t="s">
        <v>3453</v>
      </c>
    </row>
    <row r="901" spans="1:15">
      <c r="A901" s="3563" t="s">
        <v>5111</v>
      </c>
      <c r="B901" s="3563" t="s">
        <v>4196</v>
      </c>
      <c r="C901" s="3563" t="s">
        <v>4197</v>
      </c>
      <c r="D901" s="3563" t="s">
        <v>4796</v>
      </c>
      <c r="E901" s="3563" t="s">
        <v>4378</v>
      </c>
      <c r="F901" s="3563" t="s">
        <v>4797</v>
      </c>
      <c r="G901" s="3564">
        <v>100.61</v>
      </c>
      <c r="H901" s="3564">
        <v>81.739999999999995</v>
      </c>
      <c r="I901" s="3564">
        <v>18.87</v>
      </c>
      <c r="J901" s="3565">
        <v>1076779</v>
      </c>
      <c r="K901" s="3565">
        <v>10702.5</v>
      </c>
      <c r="L901" s="3565">
        <v>13173.22</v>
      </c>
      <c r="M901" s="3565">
        <v>0</v>
      </c>
      <c r="N901" s="3565">
        <v>0</v>
      </c>
      <c r="O901" s="3563" t="s">
        <v>3453</v>
      </c>
    </row>
    <row r="902" spans="1:15">
      <c r="A902" s="3563" t="s">
        <v>5112</v>
      </c>
      <c r="B902" s="3563" t="s">
        <v>4196</v>
      </c>
      <c r="C902" s="3563" t="s">
        <v>4197</v>
      </c>
      <c r="D902" s="3563" t="s">
        <v>4796</v>
      </c>
      <c r="E902" s="3563" t="s">
        <v>4378</v>
      </c>
      <c r="F902" s="3563" t="s">
        <v>4797</v>
      </c>
      <c r="G902" s="3564">
        <v>100.61</v>
      </c>
      <c r="H902" s="3564">
        <v>81.739999999999995</v>
      </c>
      <c r="I902" s="3564">
        <v>18.87</v>
      </c>
      <c r="J902" s="3565">
        <v>1076779</v>
      </c>
      <c r="K902" s="3565">
        <v>10702.5</v>
      </c>
      <c r="L902" s="3565">
        <v>13173.22</v>
      </c>
      <c r="M902" s="3565">
        <v>0</v>
      </c>
      <c r="N902" s="3565">
        <v>0</v>
      </c>
      <c r="O902" s="3563" t="s">
        <v>3453</v>
      </c>
    </row>
    <row r="903" spans="1:15">
      <c r="A903" s="3563" t="s">
        <v>5113</v>
      </c>
      <c r="B903" s="3563" t="s">
        <v>4196</v>
      </c>
      <c r="C903" s="3563" t="s">
        <v>4197</v>
      </c>
      <c r="D903" s="3563" t="s">
        <v>4796</v>
      </c>
      <c r="E903" s="3563" t="s">
        <v>4378</v>
      </c>
      <c r="F903" s="3563" t="s">
        <v>4797</v>
      </c>
      <c r="G903" s="3564">
        <v>100.95</v>
      </c>
      <c r="H903" s="3564">
        <v>82.01</v>
      </c>
      <c r="I903" s="3564">
        <v>18.940000000000001</v>
      </c>
      <c r="J903" s="3565">
        <v>1036252</v>
      </c>
      <c r="K903" s="3565">
        <v>10265</v>
      </c>
      <c r="L903" s="3565">
        <v>12635.68</v>
      </c>
      <c r="M903" s="3565">
        <v>0</v>
      </c>
      <c r="N903" s="3565">
        <v>0</v>
      </c>
      <c r="O903" s="3563" t="s">
        <v>3453</v>
      </c>
    </row>
    <row r="904" spans="1:15">
      <c r="A904" s="3563" t="s">
        <v>5114</v>
      </c>
      <c r="B904" s="3563" t="s">
        <v>4196</v>
      </c>
      <c r="C904" s="3563" t="s">
        <v>4197</v>
      </c>
      <c r="D904" s="3563" t="s">
        <v>4796</v>
      </c>
      <c r="E904" s="3563" t="s">
        <v>4378</v>
      </c>
      <c r="F904" s="3563" t="s">
        <v>4797</v>
      </c>
      <c r="G904" s="3564">
        <v>87.39</v>
      </c>
      <c r="H904" s="3564">
        <v>71</v>
      </c>
      <c r="I904" s="3564">
        <v>16.39</v>
      </c>
      <c r="J904" s="3565">
        <v>907983</v>
      </c>
      <c r="K904" s="3565">
        <v>10390.01</v>
      </c>
      <c r="L904" s="3565">
        <v>12788.49</v>
      </c>
      <c r="M904" s="3565">
        <v>0</v>
      </c>
      <c r="N904" s="3565">
        <v>0</v>
      </c>
      <c r="O904" s="3563" t="s">
        <v>3453</v>
      </c>
    </row>
    <row r="905" spans="1:15">
      <c r="A905" s="3563" t="s">
        <v>5115</v>
      </c>
      <c r="B905" s="3563" t="s">
        <v>4196</v>
      </c>
      <c r="C905" s="3563" t="s">
        <v>4197</v>
      </c>
      <c r="D905" s="3563" t="s">
        <v>4796</v>
      </c>
      <c r="E905" s="3563" t="s">
        <v>4378</v>
      </c>
      <c r="F905" s="3563" t="s">
        <v>4797</v>
      </c>
      <c r="G905" s="3564">
        <v>87.39</v>
      </c>
      <c r="H905" s="3564">
        <v>71</v>
      </c>
      <c r="I905" s="3564">
        <v>16.39</v>
      </c>
      <c r="J905" s="3565">
        <v>907983</v>
      </c>
      <c r="K905" s="3565">
        <v>10390.01</v>
      </c>
      <c r="L905" s="3565">
        <v>12788.49</v>
      </c>
      <c r="M905" s="3565">
        <v>0</v>
      </c>
      <c r="N905" s="3565">
        <v>0</v>
      </c>
      <c r="O905" s="3563" t="s">
        <v>3453</v>
      </c>
    </row>
    <row r="906" spans="1:15">
      <c r="A906" s="3563" t="s">
        <v>5116</v>
      </c>
      <c r="B906" s="3563" t="s">
        <v>4196</v>
      </c>
      <c r="C906" s="3563" t="s">
        <v>4197</v>
      </c>
      <c r="D906" s="3563" t="s">
        <v>4796</v>
      </c>
      <c r="E906" s="3563" t="s">
        <v>4378</v>
      </c>
      <c r="F906" s="3563" t="s">
        <v>4797</v>
      </c>
      <c r="G906" s="3564">
        <v>108.86</v>
      </c>
      <c r="H906" s="3564">
        <v>88.44</v>
      </c>
      <c r="I906" s="3564">
        <v>20.420000000000002</v>
      </c>
      <c r="J906" s="3565">
        <v>1151467</v>
      </c>
      <c r="K906" s="3565">
        <v>10577.5</v>
      </c>
      <c r="L906" s="3565">
        <v>13019.75</v>
      </c>
      <c r="M906" s="3565">
        <v>0</v>
      </c>
      <c r="N906" s="3565">
        <v>0</v>
      </c>
      <c r="O906" s="3563" t="s">
        <v>3453</v>
      </c>
    </row>
    <row r="907" spans="1:15">
      <c r="A907" s="3563" t="s">
        <v>5117</v>
      </c>
      <c r="B907" s="3563" t="s">
        <v>4196</v>
      </c>
      <c r="C907" s="3563" t="s">
        <v>4197</v>
      </c>
      <c r="D907" s="3563" t="s">
        <v>4796</v>
      </c>
      <c r="E907" s="3563" t="s">
        <v>4297</v>
      </c>
      <c r="F907" s="3563" t="s">
        <v>4797</v>
      </c>
      <c r="G907" s="3564">
        <v>82.12</v>
      </c>
      <c r="H907" s="3564">
        <v>71</v>
      </c>
      <c r="I907" s="3564">
        <v>11.12</v>
      </c>
      <c r="J907" s="3565">
        <v>821155</v>
      </c>
      <c r="K907" s="3565">
        <v>9999.4500000000007</v>
      </c>
      <c r="L907" s="3565">
        <v>11565.56</v>
      </c>
      <c r="M907" s="3565">
        <v>0</v>
      </c>
      <c r="N907" s="3565">
        <v>0</v>
      </c>
      <c r="O907" s="3563" t="s">
        <v>3453</v>
      </c>
    </row>
    <row r="908" spans="1:15">
      <c r="A908" s="3563" t="s">
        <v>5118</v>
      </c>
      <c r="B908" s="3563" t="s">
        <v>4196</v>
      </c>
      <c r="C908" s="3563" t="s">
        <v>4197</v>
      </c>
      <c r="D908" s="3563" t="s">
        <v>4796</v>
      </c>
      <c r="E908" s="3563" t="s">
        <v>4297</v>
      </c>
      <c r="F908" s="3563" t="s">
        <v>4797</v>
      </c>
      <c r="G908" s="3564">
        <v>82.12</v>
      </c>
      <c r="H908" s="3564">
        <v>71</v>
      </c>
      <c r="I908" s="3564">
        <v>11.12</v>
      </c>
      <c r="J908" s="3565">
        <v>821155</v>
      </c>
      <c r="K908" s="3565">
        <v>9999.4500000000007</v>
      </c>
      <c r="L908" s="3565">
        <v>11565.56</v>
      </c>
      <c r="M908" s="3565">
        <v>0</v>
      </c>
      <c r="N908" s="3565">
        <v>0</v>
      </c>
      <c r="O908" s="3563" t="s">
        <v>3453</v>
      </c>
    </row>
    <row r="909" spans="1:15">
      <c r="A909" s="3563" t="s">
        <v>5119</v>
      </c>
      <c r="B909" s="3563" t="s">
        <v>4196</v>
      </c>
      <c r="C909" s="3563" t="s">
        <v>4197</v>
      </c>
      <c r="D909" s="3563" t="s">
        <v>4796</v>
      </c>
      <c r="E909" s="3563" t="s">
        <v>4297</v>
      </c>
      <c r="F909" s="3563" t="s">
        <v>4797</v>
      </c>
      <c r="G909" s="3564">
        <v>94.55</v>
      </c>
      <c r="H909" s="3564">
        <v>81.739999999999995</v>
      </c>
      <c r="I909" s="3564">
        <v>12.81</v>
      </c>
      <c r="J909" s="3565">
        <v>950464</v>
      </c>
      <c r="K909" s="3565">
        <v>10052.5</v>
      </c>
      <c r="L909" s="3565">
        <v>11627.89</v>
      </c>
      <c r="M909" s="3565">
        <v>0</v>
      </c>
      <c r="N909" s="3565">
        <v>0</v>
      </c>
      <c r="O909" s="3563" t="s">
        <v>3453</v>
      </c>
    </row>
    <row r="910" spans="1:15">
      <c r="A910" s="3563" t="s">
        <v>5120</v>
      </c>
      <c r="B910" s="3563" t="s">
        <v>4196</v>
      </c>
      <c r="C910" s="3563" t="s">
        <v>4197</v>
      </c>
      <c r="D910" s="3563" t="s">
        <v>4796</v>
      </c>
      <c r="E910" s="3563" t="s">
        <v>4297</v>
      </c>
      <c r="F910" s="3563" t="s">
        <v>4797</v>
      </c>
      <c r="G910" s="3564">
        <v>94.55</v>
      </c>
      <c r="H910" s="3564">
        <v>81.739999999999995</v>
      </c>
      <c r="I910" s="3564">
        <v>12.81</v>
      </c>
      <c r="J910" s="3565">
        <v>950464</v>
      </c>
      <c r="K910" s="3565">
        <v>10052.5</v>
      </c>
      <c r="L910" s="3565">
        <v>11627.89</v>
      </c>
      <c r="M910" s="3565">
        <v>0</v>
      </c>
      <c r="N910" s="3565">
        <v>0</v>
      </c>
      <c r="O910" s="3563" t="s">
        <v>3453</v>
      </c>
    </row>
    <row r="911" spans="1:15">
      <c r="A911" s="3563" t="s">
        <v>5121</v>
      </c>
      <c r="B911" s="3563" t="s">
        <v>4196</v>
      </c>
      <c r="C911" s="3563" t="s">
        <v>4197</v>
      </c>
      <c r="D911" s="3563" t="s">
        <v>4796</v>
      </c>
      <c r="E911" s="3563" t="s">
        <v>4297</v>
      </c>
      <c r="F911" s="3563" t="s">
        <v>4797</v>
      </c>
      <c r="G911" s="3564">
        <v>108.86</v>
      </c>
      <c r="H911" s="3564">
        <v>88.44</v>
      </c>
      <c r="I911" s="3564">
        <v>20.420000000000002</v>
      </c>
      <c r="J911" s="3565">
        <v>1152828</v>
      </c>
      <c r="K911" s="3565">
        <v>10590.01</v>
      </c>
      <c r="L911" s="3565">
        <v>13035.14</v>
      </c>
      <c r="M911" s="3565">
        <v>0</v>
      </c>
      <c r="N911" s="3565">
        <v>0</v>
      </c>
      <c r="O911" s="3563" t="s">
        <v>3453</v>
      </c>
    </row>
    <row r="912" spans="1:15">
      <c r="A912" s="3563" t="s">
        <v>5122</v>
      </c>
      <c r="B912" s="3563" t="s">
        <v>4196</v>
      </c>
      <c r="C912" s="3563" t="s">
        <v>4197</v>
      </c>
      <c r="D912" s="3563" t="s">
        <v>4796</v>
      </c>
      <c r="E912" s="3563" t="s">
        <v>4297</v>
      </c>
      <c r="F912" s="3563" t="s">
        <v>4797</v>
      </c>
      <c r="G912" s="3564">
        <v>87.39</v>
      </c>
      <c r="H912" s="3564">
        <v>71</v>
      </c>
      <c r="I912" s="3564">
        <v>16.39</v>
      </c>
      <c r="J912" s="3565">
        <v>909075</v>
      </c>
      <c r="K912" s="3565">
        <v>10402.51</v>
      </c>
      <c r="L912" s="3565">
        <v>12803.87</v>
      </c>
      <c r="M912" s="3565">
        <v>0</v>
      </c>
      <c r="N912" s="3565">
        <v>0</v>
      </c>
      <c r="O912" s="3563" t="s">
        <v>3453</v>
      </c>
    </row>
    <row r="913" spans="1:15">
      <c r="A913" s="3563" t="s">
        <v>5123</v>
      </c>
      <c r="B913" s="3563" t="s">
        <v>4196</v>
      </c>
      <c r="C913" s="3563" t="s">
        <v>4197</v>
      </c>
      <c r="D913" s="3563" t="s">
        <v>4796</v>
      </c>
      <c r="E913" s="3563" t="s">
        <v>4297</v>
      </c>
      <c r="F913" s="3563" t="s">
        <v>4797</v>
      </c>
      <c r="G913" s="3564">
        <v>87.39</v>
      </c>
      <c r="H913" s="3564">
        <v>71</v>
      </c>
      <c r="I913" s="3564">
        <v>16.39</v>
      </c>
      <c r="J913" s="3565">
        <v>909075</v>
      </c>
      <c r="K913" s="3565">
        <v>10402.51</v>
      </c>
      <c r="L913" s="3565">
        <v>12803.87</v>
      </c>
      <c r="M913" s="3565">
        <v>0</v>
      </c>
      <c r="N913" s="3565">
        <v>0</v>
      </c>
      <c r="O913" s="3563" t="s">
        <v>3453</v>
      </c>
    </row>
    <row r="914" spans="1:15">
      <c r="A914" s="3563" t="s">
        <v>5124</v>
      </c>
      <c r="B914" s="3563" t="s">
        <v>4196</v>
      </c>
      <c r="C914" s="3563" t="s">
        <v>4197</v>
      </c>
      <c r="D914" s="3563" t="s">
        <v>4796</v>
      </c>
      <c r="E914" s="3563" t="s">
        <v>4297</v>
      </c>
      <c r="F914" s="3563" t="s">
        <v>4797</v>
      </c>
      <c r="G914" s="3564">
        <v>100.94</v>
      </c>
      <c r="H914" s="3564">
        <v>82.01</v>
      </c>
      <c r="I914" s="3564">
        <v>18.93</v>
      </c>
      <c r="J914" s="3565">
        <v>1037412</v>
      </c>
      <c r="K914" s="3565">
        <v>10277.51</v>
      </c>
      <c r="L914" s="3565">
        <v>12649.82</v>
      </c>
      <c r="M914" s="3565">
        <v>0</v>
      </c>
      <c r="N914" s="3565">
        <v>0</v>
      </c>
      <c r="O914" s="3563" t="s">
        <v>3453</v>
      </c>
    </row>
    <row r="915" spans="1:15">
      <c r="A915" s="3563" t="s">
        <v>5125</v>
      </c>
      <c r="B915" s="3563" t="s">
        <v>4196</v>
      </c>
      <c r="C915" s="3563" t="s">
        <v>4197</v>
      </c>
      <c r="D915" s="3563" t="s">
        <v>4796</v>
      </c>
      <c r="E915" s="3563" t="s">
        <v>4297</v>
      </c>
      <c r="F915" s="3563" t="s">
        <v>4797</v>
      </c>
      <c r="G915" s="3564">
        <v>100.61</v>
      </c>
      <c r="H915" s="3564">
        <v>81.739999999999995</v>
      </c>
      <c r="I915" s="3564">
        <v>18.87</v>
      </c>
      <c r="J915" s="3565">
        <v>1078037</v>
      </c>
      <c r="K915" s="3565">
        <v>10715.01</v>
      </c>
      <c r="L915" s="3565">
        <v>13188.61</v>
      </c>
      <c r="M915" s="3565">
        <v>0</v>
      </c>
      <c r="N915" s="3565">
        <v>0</v>
      </c>
      <c r="O915" s="3563" t="s">
        <v>3453</v>
      </c>
    </row>
    <row r="916" spans="1:15">
      <c r="A916" s="3563" t="s">
        <v>5126</v>
      </c>
      <c r="B916" s="3563" t="s">
        <v>4196</v>
      </c>
      <c r="C916" s="3563" t="s">
        <v>4197</v>
      </c>
      <c r="D916" s="3563" t="s">
        <v>4796</v>
      </c>
      <c r="E916" s="3563" t="s">
        <v>4297</v>
      </c>
      <c r="F916" s="3563" t="s">
        <v>4797</v>
      </c>
      <c r="G916" s="3564">
        <v>100.61</v>
      </c>
      <c r="H916" s="3564">
        <v>81.739999999999995</v>
      </c>
      <c r="I916" s="3564">
        <v>18.87</v>
      </c>
      <c r="J916" s="3565">
        <v>1078037</v>
      </c>
      <c r="K916" s="3565">
        <v>10715.01</v>
      </c>
      <c r="L916" s="3565">
        <v>13188.61</v>
      </c>
      <c r="M916" s="3565">
        <v>0</v>
      </c>
      <c r="N916" s="3565">
        <v>0</v>
      </c>
      <c r="O916" s="3563" t="s">
        <v>3453</v>
      </c>
    </row>
    <row r="917" spans="1:15">
      <c r="A917" s="3563" t="s">
        <v>5127</v>
      </c>
      <c r="B917" s="3563" t="s">
        <v>4196</v>
      </c>
      <c r="C917" s="3563" t="s">
        <v>4197</v>
      </c>
      <c r="D917" s="3563" t="s">
        <v>4796</v>
      </c>
      <c r="E917" s="3563" t="s">
        <v>4297</v>
      </c>
      <c r="F917" s="3563" t="s">
        <v>4797</v>
      </c>
      <c r="G917" s="3564">
        <v>108.86</v>
      </c>
      <c r="H917" s="3564">
        <v>88.44</v>
      </c>
      <c r="I917" s="3564">
        <v>20.420000000000002</v>
      </c>
      <c r="J917" s="3565">
        <v>1154189</v>
      </c>
      <c r="K917" s="3565">
        <v>10602.51</v>
      </c>
      <c r="L917" s="3565">
        <v>13050.53</v>
      </c>
      <c r="M917" s="3565">
        <v>0</v>
      </c>
      <c r="N917" s="3565">
        <v>0</v>
      </c>
      <c r="O917" s="3563" t="s">
        <v>3453</v>
      </c>
    </row>
    <row r="918" spans="1:15">
      <c r="A918" s="3563" t="s">
        <v>5128</v>
      </c>
      <c r="B918" s="3563" t="s">
        <v>4196</v>
      </c>
      <c r="C918" s="3563" t="s">
        <v>4197</v>
      </c>
      <c r="D918" s="3563" t="s">
        <v>4796</v>
      </c>
      <c r="E918" s="3563" t="s">
        <v>4297</v>
      </c>
      <c r="F918" s="3563" t="s">
        <v>4797</v>
      </c>
      <c r="G918" s="3564">
        <v>87.39</v>
      </c>
      <c r="H918" s="3564">
        <v>71</v>
      </c>
      <c r="I918" s="3564">
        <v>16.39</v>
      </c>
      <c r="J918" s="3565">
        <v>910167</v>
      </c>
      <c r="K918" s="3565">
        <v>10415</v>
      </c>
      <c r="L918" s="3565">
        <v>12819.25</v>
      </c>
      <c r="M918" s="3565">
        <v>0</v>
      </c>
      <c r="N918" s="3565">
        <v>0</v>
      </c>
      <c r="O918" s="3563" t="s">
        <v>3453</v>
      </c>
    </row>
    <row r="919" spans="1:15">
      <c r="A919" s="3563" t="s">
        <v>5129</v>
      </c>
      <c r="B919" s="3563" t="s">
        <v>4196</v>
      </c>
      <c r="C919" s="3563" t="s">
        <v>4197</v>
      </c>
      <c r="D919" s="3563" t="s">
        <v>4796</v>
      </c>
      <c r="E919" s="3563" t="s">
        <v>4297</v>
      </c>
      <c r="F919" s="3563" t="s">
        <v>4797</v>
      </c>
      <c r="G919" s="3564">
        <v>87.39</v>
      </c>
      <c r="H919" s="3564">
        <v>71</v>
      </c>
      <c r="I919" s="3564">
        <v>16.39</v>
      </c>
      <c r="J919" s="3565">
        <v>910167</v>
      </c>
      <c r="K919" s="3565">
        <v>10415</v>
      </c>
      <c r="L919" s="3565">
        <v>12819.25</v>
      </c>
      <c r="M919" s="3565">
        <v>0</v>
      </c>
      <c r="N919" s="3565">
        <v>0</v>
      </c>
      <c r="O919" s="3563" t="s">
        <v>3453</v>
      </c>
    </row>
    <row r="920" spans="1:15">
      <c r="A920" s="3563" t="s">
        <v>5130</v>
      </c>
      <c r="B920" s="3563" t="s">
        <v>4196</v>
      </c>
      <c r="C920" s="3563" t="s">
        <v>4197</v>
      </c>
      <c r="D920" s="3563" t="s">
        <v>4796</v>
      </c>
      <c r="E920" s="3563" t="s">
        <v>4297</v>
      </c>
      <c r="F920" s="3563" t="s">
        <v>4797</v>
      </c>
      <c r="G920" s="3564">
        <v>100.94</v>
      </c>
      <c r="H920" s="3564">
        <v>82.01</v>
      </c>
      <c r="I920" s="3564">
        <v>18.93</v>
      </c>
      <c r="J920" s="3565">
        <v>1038673</v>
      </c>
      <c r="K920" s="3565">
        <v>10290</v>
      </c>
      <c r="L920" s="3565">
        <v>12665.2</v>
      </c>
      <c r="M920" s="3565">
        <v>0</v>
      </c>
      <c r="N920" s="3565">
        <v>0</v>
      </c>
      <c r="O920" s="3563" t="s">
        <v>3453</v>
      </c>
    </row>
    <row r="921" spans="1:15">
      <c r="A921" s="3563" t="s">
        <v>5131</v>
      </c>
      <c r="B921" s="3563" t="s">
        <v>4196</v>
      </c>
      <c r="C921" s="3563" t="s">
        <v>4197</v>
      </c>
      <c r="D921" s="3563" t="s">
        <v>4796</v>
      </c>
      <c r="E921" s="3563" t="s">
        <v>4297</v>
      </c>
      <c r="F921" s="3563" t="s">
        <v>4797</v>
      </c>
      <c r="G921" s="3564">
        <v>100.61</v>
      </c>
      <c r="H921" s="3564">
        <v>81.739999999999995</v>
      </c>
      <c r="I921" s="3564">
        <v>18.87</v>
      </c>
      <c r="J921" s="3565">
        <v>1079294</v>
      </c>
      <c r="K921" s="3565">
        <v>10727.5</v>
      </c>
      <c r="L921" s="3565">
        <v>13203.99</v>
      </c>
      <c r="M921" s="3565">
        <v>0</v>
      </c>
      <c r="N921" s="3565">
        <v>0</v>
      </c>
      <c r="O921" s="3563" t="s">
        <v>3453</v>
      </c>
    </row>
    <row r="922" spans="1:15">
      <c r="A922" s="3563" t="s">
        <v>5132</v>
      </c>
      <c r="B922" s="3563" t="s">
        <v>4196</v>
      </c>
      <c r="C922" s="3563" t="s">
        <v>4197</v>
      </c>
      <c r="D922" s="3563" t="s">
        <v>4796</v>
      </c>
      <c r="E922" s="3563" t="s">
        <v>4297</v>
      </c>
      <c r="F922" s="3563" t="s">
        <v>4797</v>
      </c>
      <c r="G922" s="3564">
        <v>100.61</v>
      </c>
      <c r="H922" s="3564">
        <v>81.739999999999995</v>
      </c>
      <c r="I922" s="3564">
        <v>18.87</v>
      </c>
      <c r="J922" s="3565">
        <v>1079294</v>
      </c>
      <c r="K922" s="3565">
        <v>10727.5</v>
      </c>
      <c r="L922" s="3565">
        <v>13203.99</v>
      </c>
      <c r="M922" s="3565">
        <v>0</v>
      </c>
      <c r="N922" s="3565">
        <v>0</v>
      </c>
      <c r="O922" s="3563" t="s">
        <v>3453</v>
      </c>
    </row>
    <row r="923" spans="1:15">
      <c r="A923" s="3563" t="s">
        <v>5133</v>
      </c>
      <c r="B923" s="3563" t="s">
        <v>4196</v>
      </c>
      <c r="C923" s="3563" t="s">
        <v>4197</v>
      </c>
      <c r="D923" s="3563" t="s">
        <v>4796</v>
      </c>
      <c r="E923" s="3563" t="s">
        <v>4297</v>
      </c>
      <c r="F923" s="3563" t="s">
        <v>4797</v>
      </c>
      <c r="G923" s="3564">
        <v>108.86</v>
      </c>
      <c r="H923" s="3564">
        <v>88.44</v>
      </c>
      <c r="I923" s="3564">
        <v>20.420000000000002</v>
      </c>
      <c r="J923" s="3565">
        <v>1155549</v>
      </c>
      <c r="K923" s="3565">
        <v>10615</v>
      </c>
      <c r="L923" s="3565">
        <v>13065.91</v>
      </c>
      <c r="M923" s="3565">
        <v>0</v>
      </c>
      <c r="N923" s="3565">
        <v>0</v>
      </c>
      <c r="O923" s="3563" t="s">
        <v>3453</v>
      </c>
    </row>
    <row r="924" spans="1:15">
      <c r="A924" s="3563" t="s">
        <v>5134</v>
      </c>
      <c r="B924" s="3563" t="s">
        <v>4196</v>
      </c>
      <c r="C924" s="3563" t="s">
        <v>4197</v>
      </c>
      <c r="D924" s="3563" t="s">
        <v>4796</v>
      </c>
      <c r="E924" s="3563" t="s">
        <v>4297</v>
      </c>
      <c r="F924" s="3563" t="s">
        <v>4797</v>
      </c>
      <c r="G924" s="3564">
        <v>87.39</v>
      </c>
      <c r="H924" s="3564">
        <v>71</v>
      </c>
      <c r="I924" s="3564">
        <v>16.39</v>
      </c>
      <c r="J924" s="3565">
        <v>911259</v>
      </c>
      <c r="K924" s="3565">
        <v>10427.5</v>
      </c>
      <c r="L924" s="3565">
        <v>12834.63</v>
      </c>
      <c r="M924" s="3565">
        <v>0</v>
      </c>
      <c r="N924" s="3565">
        <v>0</v>
      </c>
      <c r="O924" s="3563" t="s">
        <v>3453</v>
      </c>
    </row>
    <row r="925" spans="1:15">
      <c r="A925" s="3563" t="s">
        <v>5135</v>
      </c>
      <c r="B925" s="3563" t="s">
        <v>4196</v>
      </c>
      <c r="C925" s="3563" t="s">
        <v>4197</v>
      </c>
      <c r="D925" s="3563" t="s">
        <v>4796</v>
      </c>
      <c r="E925" s="3563" t="s">
        <v>4297</v>
      </c>
      <c r="F925" s="3563" t="s">
        <v>4797</v>
      </c>
      <c r="G925" s="3564">
        <v>87.39</v>
      </c>
      <c r="H925" s="3564">
        <v>71</v>
      </c>
      <c r="I925" s="3564">
        <v>16.39</v>
      </c>
      <c r="J925" s="3565">
        <v>911259</v>
      </c>
      <c r="K925" s="3565">
        <v>10427.5</v>
      </c>
      <c r="L925" s="3565">
        <v>12834.63</v>
      </c>
      <c r="M925" s="3565">
        <v>0</v>
      </c>
      <c r="N925" s="3565">
        <v>0</v>
      </c>
      <c r="O925" s="3563" t="s">
        <v>3453</v>
      </c>
    </row>
    <row r="926" spans="1:15">
      <c r="A926" s="3563" t="s">
        <v>5136</v>
      </c>
      <c r="B926" s="3563" t="s">
        <v>4196</v>
      </c>
      <c r="C926" s="3563" t="s">
        <v>4197</v>
      </c>
      <c r="D926" s="3563" t="s">
        <v>4796</v>
      </c>
      <c r="E926" s="3563" t="s">
        <v>4297</v>
      </c>
      <c r="F926" s="3563" t="s">
        <v>4797</v>
      </c>
      <c r="G926" s="3564">
        <v>100.94</v>
      </c>
      <c r="H926" s="3564">
        <v>82.01</v>
      </c>
      <c r="I926" s="3564">
        <v>18.93</v>
      </c>
      <c r="J926" s="3565">
        <v>1039934</v>
      </c>
      <c r="K926" s="3565">
        <v>10302.5</v>
      </c>
      <c r="L926" s="3565">
        <v>12680.58</v>
      </c>
      <c r="M926" s="3565">
        <v>0</v>
      </c>
      <c r="N926" s="3565">
        <v>0</v>
      </c>
      <c r="O926" s="3563" t="s">
        <v>3453</v>
      </c>
    </row>
    <row r="927" spans="1:15">
      <c r="A927" s="3563" t="s">
        <v>5137</v>
      </c>
      <c r="B927" s="3563" t="s">
        <v>4196</v>
      </c>
      <c r="C927" s="3563" t="s">
        <v>4197</v>
      </c>
      <c r="D927" s="3563" t="s">
        <v>4796</v>
      </c>
      <c r="E927" s="3563" t="s">
        <v>4297</v>
      </c>
      <c r="F927" s="3563" t="s">
        <v>4797</v>
      </c>
      <c r="G927" s="3564">
        <v>100.61</v>
      </c>
      <c r="H927" s="3564">
        <v>81.739999999999995</v>
      </c>
      <c r="I927" s="3564">
        <v>18.87</v>
      </c>
      <c r="J927" s="3565">
        <v>1080552</v>
      </c>
      <c r="K927" s="3565">
        <v>10740.01</v>
      </c>
      <c r="L927" s="3565">
        <v>13219.38</v>
      </c>
      <c r="M927" s="3565">
        <v>0</v>
      </c>
      <c r="N927" s="3565">
        <v>0</v>
      </c>
      <c r="O927" s="3563" t="s">
        <v>3453</v>
      </c>
    </row>
    <row r="928" spans="1:15">
      <c r="A928" s="3563" t="s">
        <v>5138</v>
      </c>
      <c r="B928" s="3563" t="s">
        <v>4196</v>
      </c>
      <c r="C928" s="3563" t="s">
        <v>4197</v>
      </c>
      <c r="D928" s="3563" t="s">
        <v>4796</v>
      </c>
      <c r="E928" s="3563" t="s">
        <v>4297</v>
      </c>
      <c r="F928" s="3563" t="s">
        <v>4797</v>
      </c>
      <c r="G928" s="3564">
        <v>100.61</v>
      </c>
      <c r="H928" s="3564">
        <v>81.739999999999995</v>
      </c>
      <c r="I928" s="3564">
        <v>18.87</v>
      </c>
      <c r="J928" s="3565">
        <v>1080552</v>
      </c>
      <c r="K928" s="3565">
        <v>10740.01</v>
      </c>
      <c r="L928" s="3565">
        <v>13219.38</v>
      </c>
      <c r="M928" s="3565">
        <v>0</v>
      </c>
      <c r="N928" s="3565">
        <v>0</v>
      </c>
      <c r="O928" s="3563" t="s">
        <v>3453</v>
      </c>
    </row>
    <row r="929" spans="1:15">
      <c r="A929" s="3563" t="s">
        <v>5139</v>
      </c>
      <c r="B929" s="3563" t="s">
        <v>4196</v>
      </c>
      <c r="C929" s="3563" t="s">
        <v>4197</v>
      </c>
      <c r="D929" s="3563" t="s">
        <v>4796</v>
      </c>
      <c r="E929" s="3563" t="s">
        <v>4297</v>
      </c>
      <c r="F929" s="3563" t="s">
        <v>4797</v>
      </c>
      <c r="G929" s="3564">
        <v>108.86</v>
      </c>
      <c r="H929" s="3564">
        <v>88.44</v>
      </c>
      <c r="I929" s="3564">
        <v>20.420000000000002</v>
      </c>
      <c r="J929" s="3565">
        <v>1156910</v>
      </c>
      <c r="K929" s="3565">
        <v>10627.5</v>
      </c>
      <c r="L929" s="3565">
        <v>13081.3</v>
      </c>
      <c r="M929" s="3565">
        <v>0</v>
      </c>
      <c r="N929" s="3565">
        <v>0</v>
      </c>
      <c r="O929" s="3563" t="s">
        <v>3453</v>
      </c>
    </row>
    <row r="930" spans="1:15">
      <c r="A930" s="3563" t="s">
        <v>5140</v>
      </c>
      <c r="B930" s="3563" t="s">
        <v>4196</v>
      </c>
      <c r="C930" s="3563" t="s">
        <v>4197</v>
      </c>
      <c r="D930" s="3563" t="s">
        <v>4796</v>
      </c>
      <c r="E930" s="3563" t="s">
        <v>4297</v>
      </c>
      <c r="F930" s="3563" t="s">
        <v>4797</v>
      </c>
      <c r="G930" s="3564">
        <v>87.39</v>
      </c>
      <c r="H930" s="3564">
        <v>71</v>
      </c>
      <c r="I930" s="3564">
        <v>16.39</v>
      </c>
      <c r="J930" s="3565">
        <v>912352</v>
      </c>
      <c r="K930" s="3565">
        <v>10440</v>
      </c>
      <c r="L930" s="3565">
        <v>12850.03</v>
      </c>
      <c r="M930" s="3565">
        <v>0</v>
      </c>
      <c r="N930" s="3565">
        <v>0</v>
      </c>
      <c r="O930" s="3563" t="s">
        <v>3453</v>
      </c>
    </row>
    <row r="931" spans="1:15">
      <c r="A931" s="3563" t="s">
        <v>5141</v>
      </c>
      <c r="B931" s="3563" t="s">
        <v>4196</v>
      </c>
      <c r="C931" s="3563" t="s">
        <v>4197</v>
      </c>
      <c r="D931" s="3563" t="s">
        <v>4796</v>
      </c>
      <c r="E931" s="3563" t="s">
        <v>4297</v>
      </c>
      <c r="F931" s="3563" t="s">
        <v>4797</v>
      </c>
      <c r="G931" s="3564">
        <v>87.39</v>
      </c>
      <c r="H931" s="3564">
        <v>71</v>
      </c>
      <c r="I931" s="3564">
        <v>16.39</v>
      </c>
      <c r="J931" s="3565">
        <v>912352</v>
      </c>
      <c r="K931" s="3565">
        <v>10440</v>
      </c>
      <c r="L931" s="3565">
        <v>12850.03</v>
      </c>
      <c r="M931" s="3565">
        <v>0</v>
      </c>
      <c r="N931" s="3565">
        <v>0</v>
      </c>
      <c r="O931" s="3563" t="s">
        <v>3453</v>
      </c>
    </row>
    <row r="932" spans="1:15">
      <c r="A932" s="3563" t="s">
        <v>5142</v>
      </c>
      <c r="B932" s="3563" t="s">
        <v>4196</v>
      </c>
      <c r="C932" s="3563" t="s">
        <v>4197</v>
      </c>
      <c r="D932" s="3563" t="s">
        <v>4796</v>
      </c>
      <c r="E932" s="3563" t="s">
        <v>4297</v>
      </c>
      <c r="F932" s="3563" t="s">
        <v>4797</v>
      </c>
      <c r="G932" s="3564">
        <v>100.94</v>
      </c>
      <c r="H932" s="3564">
        <v>82.01</v>
      </c>
      <c r="I932" s="3564">
        <v>18.93</v>
      </c>
      <c r="J932" s="3565">
        <v>1041197</v>
      </c>
      <c r="K932" s="3565">
        <v>10315.01</v>
      </c>
      <c r="L932" s="3565">
        <v>12695.98</v>
      </c>
      <c r="M932" s="3565">
        <v>0</v>
      </c>
      <c r="N932" s="3565">
        <v>0</v>
      </c>
      <c r="O932" s="3563" t="s">
        <v>3453</v>
      </c>
    </row>
    <row r="933" spans="1:15">
      <c r="A933" s="3563" t="s">
        <v>5143</v>
      </c>
      <c r="B933" s="3563" t="s">
        <v>4196</v>
      </c>
      <c r="C933" s="3563" t="s">
        <v>4197</v>
      </c>
      <c r="D933" s="3563" t="s">
        <v>4796</v>
      </c>
      <c r="E933" s="3563" t="s">
        <v>4297</v>
      </c>
      <c r="F933" s="3563" t="s">
        <v>4797</v>
      </c>
      <c r="G933" s="3564">
        <v>100.61</v>
      </c>
      <c r="H933" s="3564">
        <v>81.739999999999995</v>
      </c>
      <c r="I933" s="3564">
        <v>18.87</v>
      </c>
      <c r="J933" s="3565">
        <v>1081809</v>
      </c>
      <c r="K933" s="3565">
        <v>10752.5</v>
      </c>
      <c r="L933" s="3565">
        <v>13234.76</v>
      </c>
      <c r="M933" s="3565">
        <v>0</v>
      </c>
      <c r="N933" s="3565">
        <v>0</v>
      </c>
      <c r="O933" s="3563" t="s">
        <v>3453</v>
      </c>
    </row>
    <row r="934" spans="1:15">
      <c r="A934" s="3563" t="s">
        <v>5144</v>
      </c>
      <c r="B934" s="3563" t="s">
        <v>4196</v>
      </c>
      <c r="C934" s="3563" t="s">
        <v>4197</v>
      </c>
      <c r="D934" s="3563" t="s">
        <v>4796</v>
      </c>
      <c r="E934" s="3563" t="s">
        <v>4297</v>
      </c>
      <c r="F934" s="3563" t="s">
        <v>4797</v>
      </c>
      <c r="G934" s="3564">
        <v>100.61</v>
      </c>
      <c r="H934" s="3564">
        <v>81.739999999999995</v>
      </c>
      <c r="I934" s="3564">
        <v>18.87</v>
      </c>
      <c r="J934" s="3565">
        <v>1081809</v>
      </c>
      <c r="K934" s="3565">
        <v>10752.5</v>
      </c>
      <c r="L934" s="3565">
        <v>13234.76</v>
      </c>
      <c r="M934" s="3565">
        <v>0</v>
      </c>
      <c r="N934" s="3565">
        <v>0</v>
      </c>
      <c r="O934" s="3563" t="s">
        <v>3453</v>
      </c>
    </row>
    <row r="935" spans="1:15">
      <c r="A935" s="3563" t="s">
        <v>5145</v>
      </c>
      <c r="B935" s="3563" t="s">
        <v>4196</v>
      </c>
      <c r="C935" s="3563" t="s">
        <v>4197</v>
      </c>
      <c r="D935" s="3563" t="s">
        <v>4796</v>
      </c>
      <c r="E935" s="3563" t="s">
        <v>4297</v>
      </c>
      <c r="F935" s="3563" t="s">
        <v>4797</v>
      </c>
      <c r="G935" s="3564">
        <v>108.86</v>
      </c>
      <c r="H935" s="3564">
        <v>88.44</v>
      </c>
      <c r="I935" s="3564">
        <v>20.420000000000002</v>
      </c>
      <c r="J935" s="3565">
        <v>1144663</v>
      </c>
      <c r="K935" s="3565">
        <v>10515</v>
      </c>
      <c r="L935" s="3565">
        <v>12942.82</v>
      </c>
      <c r="M935" s="3565">
        <v>0</v>
      </c>
      <c r="N935" s="3565">
        <v>0</v>
      </c>
      <c r="O935" s="3563" t="s">
        <v>3453</v>
      </c>
    </row>
    <row r="936" spans="1:15">
      <c r="A936" s="3563" t="s">
        <v>5146</v>
      </c>
      <c r="B936" s="3563" t="s">
        <v>4196</v>
      </c>
      <c r="C936" s="3563" t="s">
        <v>4197</v>
      </c>
      <c r="D936" s="3563" t="s">
        <v>4796</v>
      </c>
      <c r="E936" s="3563" t="s">
        <v>4297</v>
      </c>
      <c r="F936" s="3563" t="s">
        <v>4797</v>
      </c>
      <c r="G936" s="3564">
        <v>87.39</v>
      </c>
      <c r="H936" s="3564">
        <v>71</v>
      </c>
      <c r="I936" s="3564">
        <v>16.39</v>
      </c>
      <c r="J936" s="3565">
        <v>902520</v>
      </c>
      <c r="K936" s="3565">
        <v>10327.5</v>
      </c>
      <c r="L936" s="3565">
        <v>12711.55</v>
      </c>
      <c r="M936" s="3565">
        <v>0</v>
      </c>
      <c r="N936" s="3565">
        <v>0</v>
      </c>
      <c r="O936" s="3563" t="s">
        <v>3453</v>
      </c>
    </row>
    <row r="937" spans="1:15">
      <c r="A937" s="3563" t="s">
        <v>5147</v>
      </c>
      <c r="B937" s="3563" t="s">
        <v>4196</v>
      </c>
      <c r="C937" s="3563" t="s">
        <v>4197</v>
      </c>
      <c r="D937" s="3563" t="s">
        <v>4796</v>
      </c>
      <c r="E937" s="3563" t="s">
        <v>4297</v>
      </c>
      <c r="F937" s="3563" t="s">
        <v>4797</v>
      </c>
      <c r="G937" s="3564">
        <v>87.39</v>
      </c>
      <c r="H937" s="3564">
        <v>71</v>
      </c>
      <c r="I937" s="3564">
        <v>16.39</v>
      </c>
      <c r="J937" s="3565">
        <v>902520</v>
      </c>
      <c r="K937" s="3565">
        <v>10327.5</v>
      </c>
      <c r="L937" s="3565">
        <v>12711.55</v>
      </c>
      <c r="M937" s="3565">
        <v>0</v>
      </c>
      <c r="N937" s="3565">
        <v>0</v>
      </c>
      <c r="O937" s="3563" t="s">
        <v>3453</v>
      </c>
    </row>
    <row r="938" spans="1:15">
      <c r="A938" s="3563" t="s">
        <v>5148</v>
      </c>
      <c r="B938" s="3563" t="s">
        <v>4196</v>
      </c>
      <c r="C938" s="3563" t="s">
        <v>4197</v>
      </c>
      <c r="D938" s="3563" t="s">
        <v>4796</v>
      </c>
      <c r="E938" s="3563" t="s">
        <v>4297</v>
      </c>
      <c r="F938" s="3563" t="s">
        <v>4797</v>
      </c>
      <c r="G938" s="3564">
        <v>100.94</v>
      </c>
      <c r="H938" s="3564">
        <v>82.01</v>
      </c>
      <c r="I938" s="3564">
        <v>18.93</v>
      </c>
      <c r="J938" s="3565">
        <v>1029840</v>
      </c>
      <c r="K938" s="3565">
        <v>10202.5</v>
      </c>
      <c r="L938" s="3565">
        <v>12557.49</v>
      </c>
      <c r="M938" s="3565">
        <v>0</v>
      </c>
      <c r="N938" s="3565">
        <v>0</v>
      </c>
      <c r="O938" s="3563" t="s">
        <v>3453</v>
      </c>
    </row>
    <row r="939" spans="1:15">
      <c r="A939" s="3563" t="s">
        <v>5149</v>
      </c>
      <c r="B939" s="3563" t="s">
        <v>4196</v>
      </c>
      <c r="C939" s="3563" t="s">
        <v>4197</v>
      </c>
      <c r="D939" s="3563" t="s">
        <v>4796</v>
      </c>
      <c r="E939" s="3563" t="s">
        <v>4297</v>
      </c>
      <c r="F939" s="3563" t="s">
        <v>4797</v>
      </c>
      <c r="G939" s="3564">
        <v>100.61</v>
      </c>
      <c r="H939" s="3564">
        <v>81.739999999999995</v>
      </c>
      <c r="I939" s="3564">
        <v>18.87</v>
      </c>
      <c r="J939" s="3565">
        <v>1070490</v>
      </c>
      <c r="K939" s="3565">
        <v>10640</v>
      </c>
      <c r="L939" s="3565">
        <v>13096.28</v>
      </c>
      <c r="M939" s="3565">
        <v>0</v>
      </c>
      <c r="N939" s="3565">
        <v>0</v>
      </c>
      <c r="O939" s="3563" t="s">
        <v>3453</v>
      </c>
    </row>
    <row r="940" spans="1:15">
      <c r="A940" s="3563" t="s">
        <v>5150</v>
      </c>
      <c r="B940" s="3563" t="s">
        <v>4196</v>
      </c>
      <c r="C940" s="3563" t="s">
        <v>4197</v>
      </c>
      <c r="D940" s="3563" t="s">
        <v>4796</v>
      </c>
      <c r="E940" s="3563" t="s">
        <v>4297</v>
      </c>
      <c r="F940" s="3563" t="s">
        <v>4797</v>
      </c>
      <c r="G940" s="3564">
        <v>100.61</v>
      </c>
      <c r="H940" s="3564">
        <v>81.739999999999995</v>
      </c>
      <c r="I940" s="3564">
        <v>18.87</v>
      </c>
      <c r="J940" s="3565">
        <v>1070490</v>
      </c>
      <c r="K940" s="3565">
        <v>10640</v>
      </c>
      <c r="L940" s="3565">
        <v>13096.28</v>
      </c>
      <c r="M940" s="3565">
        <v>0</v>
      </c>
      <c r="N940" s="3565">
        <v>0</v>
      </c>
      <c r="O940" s="3563" t="s">
        <v>3453</v>
      </c>
    </row>
    <row r="941" spans="1:15">
      <c r="A941" s="3563" t="s">
        <v>5151</v>
      </c>
      <c r="B941" s="3563" t="s">
        <v>4196</v>
      </c>
      <c r="C941" s="3563" t="s">
        <v>4197</v>
      </c>
      <c r="D941" s="3563" t="s">
        <v>4796</v>
      </c>
      <c r="E941" s="3563" t="s">
        <v>4297</v>
      </c>
      <c r="F941" s="3563" t="s">
        <v>4797</v>
      </c>
      <c r="G941" s="3564">
        <v>108.86</v>
      </c>
      <c r="H941" s="3564">
        <v>88.44</v>
      </c>
      <c r="I941" s="3564">
        <v>20.420000000000002</v>
      </c>
      <c r="J941" s="3565">
        <v>1159632</v>
      </c>
      <c r="K941" s="3565">
        <v>10652.51</v>
      </c>
      <c r="L941" s="3565">
        <v>13112.08</v>
      </c>
      <c r="M941" s="3565">
        <v>0</v>
      </c>
      <c r="N941" s="3565">
        <v>0</v>
      </c>
      <c r="O941" s="3563" t="s">
        <v>3453</v>
      </c>
    </row>
    <row r="942" spans="1:15">
      <c r="A942" s="3563" t="s">
        <v>5152</v>
      </c>
      <c r="B942" s="3563" t="s">
        <v>4196</v>
      </c>
      <c r="C942" s="3563" t="s">
        <v>4197</v>
      </c>
      <c r="D942" s="3563" t="s">
        <v>4796</v>
      </c>
      <c r="E942" s="3563" t="s">
        <v>4297</v>
      </c>
      <c r="F942" s="3563" t="s">
        <v>4797</v>
      </c>
      <c r="G942" s="3564">
        <v>87.39</v>
      </c>
      <c r="H942" s="3564">
        <v>71</v>
      </c>
      <c r="I942" s="3564">
        <v>16.39</v>
      </c>
      <c r="J942" s="3565">
        <v>914537</v>
      </c>
      <c r="K942" s="3565">
        <v>10465.01</v>
      </c>
      <c r="L942" s="3565">
        <v>12880.8</v>
      </c>
      <c r="M942" s="3565">
        <v>0</v>
      </c>
      <c r="N942" s="3565">
        <v>0</v>
      </c>
      <c r="O942" s="3563" t="s">
        <v>3453</v>
      </c>
    </row>
    <row r="943" spans="1:15">
      <c r="A943" s="3563" t="s">
        <v>5153</v>
      </c>
      <c r="B943" s="3563" t="s">
        <v>4196</v>
      </c>
      <c r="C943" s="3563" t="s">
        <v>4197</v>
      </c>
      <c r="D943" s="3563" t="s">
        <v>4796</v>
      </c>
      <c r="E943" s="3563" t="s">
        <v>4297</v>
      </c>
      <c r="F943" s="3563" t="s">
        <v>4797</v>
      </c>
      <c r="G943" s="3564">
        <v>87.39</v>
      </c>
      <c r="H943" s="3564">
        <v>71</v>
      </c>
      <c r="I943" s="3564">
        <v>16.39</v>
      </c>
      <c r="J943" s="3565">
        <v>914537</v>
      </c>
      <c r="K943" s="3565">
        <v>10465.01</v>
      </c>
      <c r="L943" s="3565">
        <v>12880.8</v>
      </c>
      <c r="M943" s="3565">
        <v>0</v>
      </c>
      <c r="N943" s="3565">
        <v>0</v>
      </c>
      <c r="O943" s="3563" t="s">
        <v>3453</v>
      </c>
    </row>
    <row r="944" spans="1:15">
      <c r="A944" s="3563" t="s">
        <v>5154</v>
      </c>
      <c r="B944" s="3563" t="s">
        <v>4196</v>
      </c>
      <c r="C944" s="3563" t="s">
        <v>4197</v>
      </c>
      <c r="D944" s="3563" t="s">
        <v>4796</v>
      </c>
      <c r="E944" s="3563" t="s">
        <v>4297</v>
      </c>
      <c r="F944" s="3563" t="s">
        <v>4797</v>
      </c>
      <c r="G944" s="3564">
        <v>100.94</v>
      </c>
      <c r="H944" s="3564">
        <v>82.01</v>
      </c>
      <c r="I944" s="3564">
        <v>18.93</v>
      </c>
      <c r="J944" s="3565">
        <v>1043720</v>
      </c>
      <c r="K944" s="3565">
        <v>10340</v>
      </c>
      <c r="L944" s="3565">
        <v>12726.74</v>
      </c>
      <c r="M944" s="3565">
        <v>0</v>
      </c>
      <c r="N944" s="3565">
        <v>0</v>
      </c>
      <c r="O944" s="3563" t="s">
        <v>3453</v>
      </c>
    </row>
    <row r="945" spans="1:15">
      <c r="A945" s="3563" t="s">
        <v>5155</v>
      </c>
      <c r="B945" s="3563" t="s">
        <v>4196</v>
      </c>
      <c r="C945" s="3563" t="s">
        <v>4197</v>
      </c>
      <c r="D945" s="3563" t="s">
        <v>4796</v>
      </c>
      <c r="E945" s="3563" t="s">
        <v>4297</v>
      </c>
      <c r="F945" s="3563" t="s">
        <v>4797</v>
      </c>
      <c r="G945" s="3564">
        <v>100.61</v>
      </c>
      <c r="H945" s="3564">
        <v>81.739999999999995</v>
      </c>
      <c r="I945" s="3564">
        <v>18.87</v>
      </c>
      <c r="J945" s="3565">
        <v>1084324</v>
      </c>
      <c r="K945" s="3565">
        <v>10777.5</v>
      </c>
      <c r="L945" s="3565">
        <v>13265.52</v>
      </c>
      <c r="M945" s="3565">
        <v>0</v>
      </c>
      <c r="N945" s="3565">
        <v>0</v>
      </c>
      <c r="O945" s="3563" t="s">
        <v>3453</v>
      </c>
    </row>
    <row r="946" spans="1:15">
      <c r="A946" s="3563" t="s">
        <v>5156</v>
      </c>
      <c r="B946" s="3563" t="s">
        <v>4196</v>
      </c>
      <c r="C946" s="3563" t="s">
        <v>4197</v>
      </c>
      <c r="D946" s="3563" t="s">
        <v>4796</v>
      </c>
      <c r="E946" s="3563" t="s">
        <v>4297</v>
      </c>
      <c r="F946" s="3563" t="s">
        <v>4797</v>
      </c>
      <c r="G946" s="3564">
        <v>100.61</v>
      </c>
      <c r="H946" s="3564">
        <v>81.739999999999995</v>
      </c>
      <c r="I946" s="3564">
        <v>18.87</v>
      </c>
      <c r="J946" s="3565">
        <v>1084324</v>
      </c>
      <c r="K946" s="3565">
        <v>10777.5</v>
      </c>
      <c r="L946" s="3565">
        <v>13265.52</v>
      </c>
      <c r="M946" s="3565">
        <v>0</v>
      </c>
      <c r="N946" s="3565">
        <v>0</v>
      </c>
      <c r="O946" s="3563" t="s">
        <v>3453</v>
      </c>
    </row>
    <row r="947" spans="1:15">
      <c r="A947" s="3563" t="s">
        <v>5157</v>
      </c>
      <c r="B947" s="3563" t="s">
        <v>4196</v>
      </c>
      <c r="C947" s="3563" t="s">
        <v>4197</v>
      </c>
      <c r="D947" s="3563" t="s">
        <v>4796</v>
      </c>
      <c r="E947" s="3563" t="s">
        <v>4297</v>
      </c>
      <c r="F947" s="3563" t="s">
        <v>4797</v>
      </c>
      <c r="G947" s="3564">
        <v>108.86</v>
      </c>
      <c r="H947" s="3564">
        <v>88.44</v>
      </c>
      <c r="I947" s="3564">
        <v>20.420000000000002</v>
      </c>
      <c r="J947" s="3565">
        <v>1158270</v>
      </c>
      <c r="K947" s="3565">
        <v>10640</v>
      </c>
      <c r="L947" s="3565">
        <v>13096.68</v>
      </c>
      <c r="M947" s="3565">
        <v>0</v>
      </c>
      <c r="N947" s="3565">
        <v>0</v>
      </c>
      <c r="O947" s="3563" t="s">
        <v>3453</v>
      </c>
    </row>
    <row r="948" spans="1:15">
      <c r="A948" s="3563" t="s">
        <v>5158</v>
      </c>
      <c r="B948" s="3563" t="s">
        <v>4196</v>
      </c>
      <c r="C948" s="3563" t="s">
        <v>4197</v>
      </c>
      <c r="D948" s="3563" t="s">
        <v>4796</v>
      </c>
      <c r="E948" s="3563" t="s">
        <v>4297</v>
      </c>
      <c r="F948" s="3563" t="s">
        <v>4797</v>
      </c>
      <c r="G948" s="3564">
        <v>87.39</v>
      </c>
      <c r="H948" s="3564">
        <v>71</v>
      </c>
      <c r="I948" s="3564">
        <v>16.39</v>
      </c>
      <c r="J948" s="3565">
        <v>913444</v>
      </c>
      <c r="K948" s="3565">
        <v>10452.5</v>
      </c>
      <c r="L948" s="3565">
        <v>12865.41</v>
      </c>
      <c r="M948" s="3565">
        <v>0</v>
      </c>
      <c r="N948" s="3565">
        <v>0</v>
      </c>
      <c r="O948" s="3563" t="s">
        <v>3453</v>
      </c>
    </row>
    <row r="949" spans="1:15">
      <c r="A949" s="3563" t="s">
        <v>5159</v>
      </c>
      <c r="B949" s="3563" t="s">
        <v>4196</v>
      </c>
      <c r="C949" s="3563" t="s">
        <v>4197</v>
      </c>
      <c r="D949" s="3563" t="s">
        <v>4796</v>
      </c>
      <c r="E949" s="3563" t="s">
        <v>4297</v>
      </c>
      <c r="F949" s="3563" t="s">
        <v>4797</v>
      </c>
      <c r="G949" s="3564">
        <v>87.39</v>
      </c>
      <c r="H949" s="3564">
        <v>71</v>
      </c>
      <c r="I949" s="3564">
        <v>16.39</v>
      </c>
      <c r="J949" s="3565">
        <v>913444</v>
      </c>
      <c r="K949" s="3565">
        <v>10452.5</v>
      </c>
      <c r="L949" s="3565">
        <v>12865.41</v>
      </c>
      <c r="M949" s="3565">
        <v>0</v>
      </c>
      <c r="N949" s="3565">
        <v>0</v>
      </c>
      <c r="O949" s="3563" t="s">
        <v>3453</v>
      </c>
    </row>
    <row r="950" spans="1:15">
      <c r="A950" s="3563" t="s">
        <v>5160</v>
      </c>
      <c r="B950" s="3563" t="s">
        <v>4196</v>
      </c>
      <c r="C950" s="3563" t="s">
        <v>4197</v>
      </c>
      <c r="D950" s="3563" t="s">
        <v>4796</v>
      </c>
      <c r="E950" s="3563" t="s">
        <v>4297</v>
      </c>
      <c r="F950" s="3563" t="s">
        <v>4797</v>
      </c>
      <c r="G950" s="3564">
        <v>100.94</v>
      </c>
      <c r="H950" s="3564">
        <v>82.01</v>
      </c>
      <c r="I950" s="3564">
        <v>18.93</v>
      </c>
      <c r="J950" s="3565">
        <v>1042458</v>
      </c>
      <c r="K950" s="3565">
        <v>10327.5</v>
      </c>
      <c r="L950" s="3565">
        <v>12711.35</v>
      </c>
      <c r="M950" s="3565">
        <v>0</v>
      </c>
      <c r="N950" s="3565">
        <v>0</v>
      </c>
      <c r="O950" s="3563" t="s">
        <v>3453</v>
      </c>
    </row>
    <row r="951" spans="1:15">
      <c r="A951" s="3563" t="s">
        <v>5161</v>
      </c>
      <c r="B951" s="3563" t="s">
        <v>4196</v>
      </c>
      <c r="C951" s="3563" t="s">
        <v>4197</v>
      </c>
      <c r="D951" s="3563" t="s">
        <v>4796</v>
      </c>
      <c r="E951" s="3563" t="s">
        <v>4297</v>
      </c>
      <c r="F951" s="3563" t="s">
        <v>4797</v>
      </c>
      <c r="G951" s="3564">
        <v>100.61</v>
      </c>
      <c r="H951" s="3564">
        <v>81.739999999999995</v>
      </c>
      <c r="I951" s="3564">
        <v>18.87</v>
      </c>
      <c r="J951" s="3565">
        <v>1083067</v>
      </c>
      <c r="K951" s="3565">
        <v>10765</v>
      </c>
      <c r="L951" s="3565">
        <v>13250.15</v>
      </c>
      <c r="M951" s="3565">
        <v>0</v>
      </c>
      <c r="N951" s="3565">
        <v>0</v>
      </c>
      <c r="O951" s="3563" t="s">
        <v>3453</v>
      </c>
    </row>
    <row r="952" spans="1:15">
      <c r="A952" s="3563" t="s">
        <v>5162</v>
      </c>
      <c r="B952" s="3563" t="s">
        <v>4196</v>
      </c>
      <c r="C952" s="3563" t="s">
        <v>4197</v>
      </c>
      <c r="D952" s="3563" t="s">
        <v>4796</v>
      </c>
      <c r="E952" s="3563" t="s">
        <v>4297</v>
      </c>
      <c r="F952" s="3563" t="s">
        <v>4797</v>
      </c>
      <c r="G952" s="3564">
        <v>100.61</v>
      </c>
      <c r="H952" s="3564">
        <v>81.739999999999995</v>
      </c>
      <c r="I952" s="3564">
        <v>18.87</v>
      </c>
      <c r="J952" s="3565">
        <v>1083067</v>
      </c>
      <c r="K952" s="3565">
        <v>10765</v>
      </c>
      <c r="L952" s="3565">
        <v>13250.15</v>
      </c>
      <c r="M952" s="3565">
        <v>0</v>
      </c>
      <c r="N952" s="3565">
        <v>0</v>
      </c>
      <c r="O952" s="3563" t="s">
        <v>3453</v>
      </c>
    </row>
    <row r="953" spans="1:15">
      <c r="A953" s="3563" t="s">
        <v>5163</v>
      </c>
      <c r="B953" s="3563" t="s">
        <v>4196</v>
      </c>
      <c r="C953" s="3563" t="s">
        <v>4197</v>
      </c>
      <c r="D953" s="3563" t="s">
        <v>4796</v>
      </c>
      <c r="E953" s="3563" t="s">
        <v>4297</v>
      </c>
      <c r="F953" s="3563" t="s">
        <v>4797</v>
      </c>
      <c r="G953" s="3564">
        <v>108.86</v>
      </c>
      <c r="H953" s="3564">
        <v>88.44</v>
      </c>
      <c r="I953" s="3564">
        <v>20.420000000000002</v>
      </c>
      <c r="J953" s="3565">
        <v>1156910</v>
      </c>
      <c r="K953" s="3565">
        <v>10627.5</v>
      </c>
      <c r="L953" s="3565">
        <v>13081.3</v>
      </c>
      <c r="M953" s="3565">
        <v>0</v>
      </c>
      <c r="N953" s="3565">
        <v>0</v>
      </c>
      <c r="O953" s="3563" t="s">
        <v>3453</v>
      </c>
    </row>
    <row r="954" spans="1:15">
      <c r="A954" s="3563" t="s">
        <v>5164</v>
      </c>
      <c r="B954" s="3563" t="s">
        <v>4196</v>
      </c>
      <c r="C954" s="3563" t="s">
        <v>4197</v>
      </c>
      <c r="D954" s="3563" t="s">
        <v>4796</v>
      </c>
      <c r="E954" s="3563" t="s">
        <v>4297</v>
      </c>
      <c r="F954" s="3563" t="s">
        <v>4797</v>
      </c>
      <c r="G954" s="3564">
        <v>87.39</v>
      </c>
      <c r="H954" s="3564">
        <v>71</v>
      </c>
      <c r="I954" s="3564">
        <v>16.39</v>
      </c>
      <c r="J954" s="3565">
        <v>912352</v>
      </c>
      <c r="K954" s="3565">
        <v>10440</v>
      </c>
      <c r="L954" s="3565">
        <v>12850.03</v>
      </c>
      <c r="M954" s="3565">
        <v>0</v>
      </c>
      <c r="N954" s="3565">
        <v>0</v>
      </c>
      <c r="O954" s="3563" t="s">
        <v>3453</v>
      </c>
    </row>
    <row r="955" spans="1:15">
      <c r="A955" s="3563" t="s">
        <v>5165</v>
      </c>
      <c r="B955" s="3563" t="s">
        <v>4196</v>
      </c>
      <c r="C955" s="3563" t="s">
        <v>4197</v>
      </c>
      <c r="D955" s="3563" t="s">
        <v>4796</v>
      </c>
      <c r="E955" s="3563" t="s">
        <v>4297</v>
      </c>
      <c r="F955" s="3563" t="s">
        <v>4797</v>
      </c>
      <c r="G955" s="3564">
        <v>87.39</v>
      </c>
      <c r="H955" s="3564">
        <v>71</v>
      </c>
      <c r="I955" s="3564">
        <v>16.39</v>
      </c>
      <c r="J955" s="3565">
        <v>912352</v>
      </c>
      <c r="K955" s="3565">
        <v>10440</v>
      </c>
      <c r="L955" s="3565">
        <v>12850.03</v>
      </c>
      <c r="M955" s="3565">
        <v>0</v>
      </c>
      <c r="N955" s="3565">
        <v>0</v>
      </c>
      <c r="O955" s="3563" t="s">
        <v>3453</v>
      </c>
    </row>
    <row r="956" spans="1:15">
      <c r="A956" s="3563" t="s">
        <v>5166</v>
      </c>
      <c r="B956" s="3563" t="s">
        <v>4196</v>
      </c>
      <c r="C956" s="3563" t="s">
        <v>4197</v>
      </c>
      <c r="D956" s="3563" t="s">
        <v>4796</v>
      </c>
      <c r="E956" s="3563" t="s">
        <v>4297</v>
      </c>
      <c r="F956" s="3563" t="s">
        <v>4797</v>
      </c>
      <c r="G956" s="3564">
        <v>100.94</v>
      </c>
      <c r="H956" s="3564">
        <v>82.01</v>
      </c>
      <c r="I956" s="3564">
        <v>18.93</v>
      </c>
      <c r="J956" s="3565">
        <v>1041197</v>
      </c>
      <c r="K956" s="3565">
        <v>10315.01</v>
      </c>
      <c r="L956" s="3565">
        <v>12695.98</v>
      </c>
      <c r="M956" s="3565">
        <v>0</v>
      </c>
      <c r="N956" s="3565">
        <v>0</v>
      </c>
      <c r="O956" s="3563" t="s">
        <v>3453</v>
      </c>
    </row>
    <row r="957" spans="1:15">
      <c r="A957" s="3563" t="s">
        <v>5167</v>
      </c>
      <c r="B957" s="3563" t="s">
        <v>4196</v>
      </c>
      <c r="C957" s="3563" t="s">
        <v>4197</v>
      </c>
      <c r="D957" s="3563" t="s">
        <v>4796</v>
      </c>
      <c r="E957" s="3563" t="s">
        <v>4297</v>
      </c>
      <c r="F957" s="3563" t="s">
        <v>4797</v>
      </c>
      <c r="G957" s="3564">
        <v>100.61</v>
      </c>
      <c r="H957" s="3564">
        <v>81.739999999999995</v>
      </c>
      <c r="I957" s="3564">
        <v>18.87</v>
      </c>
      <c r="J957" s="3565">
        <v>1081809</v>
      </c>
      <c r="K957" s="3565">
        <v>10752.5</v>
      </c>
      <c r="L957" s="3565">
        <v>13234.76</v>
      </c>
      <c r="M957" s="3565">
        <v>0</v>
      </c>
      <c r="N957" s="3565">
        <v>0</v>
      </c>
      <c r="O957" s="3563" t="s">
        <v>3453</v>
      </c>
    </row>
    <row r="958" spans="1:15">
      <c r="A958" s="3563" t="s">
        <v>5168</v>
      </c>
      <c r="B958" s="3563" t="s">
        <v>4196</v>
      </c>
      <c r="C958" s="3563" t="s">
        <v>4197</v>
      </c>
      <c r="D958" s="3563" t="s">
        <v>4796</v>
      </c>
      <c r="E958" s="3563" t="s">
        <v>4297</v>
      </c>
      <c r="F958" s="3563" t="s">
        <v>4797</v>
      </c>
      <c r="G958" s="3564">
        <v>100.61</v>
      </c>
      <c r="H958" s="3564">
        <v>81.739999999999995</v>
      </c>
      <c r="I958" s="3564">
        <v>18.87</v>
      </c>
      <c r="J958" s="3565">
        <v>1081809</v>
      </c>
      <c r="K958" s="3565">
        <v>10752.5</v>
      </c>
      <c r="L958" s="3565">
        <v>13234.76</v>
      </c>
      <c r="M958" s="3565">
        <v>0</v>
      </c>
      <c r="N958" s="3565">
        <v>0</v>
      </c>
      <c r="O958" s="3563" t="s">
        <v>3453</v>
      </c>
    </row>
    <row r="959" spans="1:15">
      <c r="A959" s="3563" t="s">
        <v>5169</v>
      </c>
      <c r="B959" s="3563" t="s">
        <v>4196</v>
      </c>
      <c r="C959" s="3563" t="s">
        <v>4197</v>
      </c>
      <c r="D959" s="3563" t="s">
        <v>4796</v>
      </c>
      <c r="E959" s="3563" t="s">
        <v>4297</v>
      </c>
      <c r="F959" s="3563" t="s">
        <v>4797</v>
      </c>
      <c r="G959" s="3564">
        <v>108.86</v>
      </c>
      <c r="H959" s="3564">
        <v>88.44</v>
      </c>
      <c r="I959" s="3564">
        <v>20.420000000000002</v>
      </c>
      <c r="J959" s="3565">
        <v>1141942</v>
      </c>
      <c r="K959" s="3565">
        <v>10490.01</v>
      </c>
      <c r="L959" s="3565">
        <v>12912.05</v>
      </c>
      <c r="M959" s="3565">
        <v>0</v>
      </c>
      <c r="N959" s="3565">
        <v>0</v>
      </c>
      <c r="O959" s="3563" t="s">
        <v>3453</v>
      </c>
    </row>
    <row r="960" spans="1:15">
      <c r="A960" s="3563" t="s">
        <v>5170</v>
      </c>
      <c r="B960" s="3563" t="s">
        <v>4196</v>
      </c>
      <c r="C960" s="3563" t="s">
        <v>4197</v>
      </c>
      <c r="D960" s="3563" t="s">
        <v>4796</v>
      </c>
      <c r="E960" s="3563" t="s">
        <v>4297</v>
      </c>
      <c r="F960" s="3563" t="s">
        <v>4797</v>
      </c>
      <c r="G960" s="3564">
        <v>87.39</v>
      </c>
      <c r="H960" s="3564">
        <v>71</v>
      </c>
      <c r="I960" s="3564">
        <v>16.39</v>
      </c>
      <c r="J960" s="3565">
        <v>900335</v>
      </c>
      <c r="K960" s="3565">
        <v>10302.49</v>
      </c>
      <c r="L960" s="3565">
        <v>12680.77</v>
      </c>
      <c r="M960" s="3565">
        <v>0</v>
      </c>
      <c r="N960" s="3565">
        <v>0</v>
      </c>
      <c r="O960" s="3563" t="s">
        <v>3453</v>
      </c>
    </row>
    <row r="961" spans="1:15">
      <c r="A961" s="3563" t="s">
        <v>5171</v>
      </c>
      <c r="B961" s="3563" t="s">
        <v>4196</v>
      </c>
      <c r="C961" s="3563" t="s">
        <v>4197</v>
      </c>
      <c r="D961" s="3563" t="s">
        <v>4796</v>
      </c>
      <c r="E961" s="3563" t="s">
        <v>4297</v>
      </c>
      <c r="F961" s="3563" t="s">
        <v>4797</v>
      </c>
      <c r="G961" s="3564">
        <v>87.39</v>
      </c>
      <c r="H961" s="3564">
        <v>71</v>
      </c>
      <c r="I961" s="3564">
        <v>16.39</v>
      </c>
      <c r="J961" s="3565">
        <v>900335</v>
      </c>
      <c r="K961" s="3565">
        <v>10302.49</v>
      </c>
      <c r="L961" s="3565">
        <v>12680.77</v>
      </c>
      <c r="M961" s="3565">
        <v>0</v>
      </c>
      <c r="N961" s="3565">
        <v>0</v>
      </c>
      <c r="O961" s="3563" t="s">
        <v>3453</v>
      </c>
    </row>
    <row r="962" spans="1:15">
      <c r="A962" s="3563" t="s">
        <v>5172</v>
      </c>
      <c r="B962" s="3563" t="s">
        <v>4196</v>
      </c>
      <c r="C962" s="3563" t="s">
        <v>4197</v>
      </c>
      <c r="D962" s="3563" t="s">
        <v>4796</v>
      </c>
      <c r="E962" s="3563" t="s">
        <v>4297</v>
      </c>
      <c r="F962" s="3563" t="s">
        <v>4797</v>
      </c>
      <c r="G962" s="3564">
        <v>100.94</v>
      </c>
      <c r="H962" s="3564">
        <v>82.01</v>
      </c>
      <c r="I962" s="3564">
        <v>18.93</v>
      </c>
      <c r="J962" s="3565">
        <v>1027317</v>
      </c>
      <c r="K962" s="3565">
        <v>10177.5</v>
      </c>
      <c r="L962" s="3565">
        <v>12526.73</v>
      </c>
      <c r="M962" s="3565">
        <v>0</v>
      </c>
      <c r="N962" s="3565">
        <v>0</v>
      </c>
      <c r="O962" s="3563" t="s">
        <v>3453</v>
      </c>
    </row>
    <row r="963" spans="1:15">
      <c r="A963" s="3563" t="s">
        <v>5173</v>
      </c>
      <c r="B963" s="3563" t="s">
        <v>4196</v>
      </c>
      <c r="C963" s="3563" t="s">
        <v>4197</v>
      </c>
      <c r="D963" s="3563" t="s">
        <v>4796</v>
      </c>
      <c r="E963" s="3563" t="s">
        <v>4297</v>
      </c>
      <c r="F963" s="3563" t="s">
        <v>4797</v>
      </c>
      <c r="G963" s="3564">
        <v>100.61</v>
      </c>
      <c r="H963" s="3564">
        <v>81.739999999999995</v>
      </c>
      <c r="I963" s="3564">
        <v>18.87</v>
      </c>
      <c r="J963" s="3565">
        <v>1067975</v>
      </c>
      <c r="K963" s="3565">
        <v>10615</v>
      </c>
      <c r="L963" s="3565">
        <v>13065.51</v>
      </c>
      <c r="M963" s="3565">
        <v>0</v>
      </c>
      <c r="N963" s="3565">
        <v>0</v>
      </c>
      <c r="O963" s="3563" t="s">
        <v>3453</v>
      </c>
    </row>
    <row r="964" spans="1:15">
      <c r="A964" s="3563" t="s">
        <v>5174</v>
      </c>
      <c r="B964" s="3563" t="s">
        <v>4196</v>
      </c>
      <c r="C964" s="3563" t="s">
        <v>4197</v>
      </c>
      <c r="D964" s="3563" t="s">
        <v>4796</v>
      </c>
      <c r="E964" s="3563" t="s">
        <v>4297</v>
      </c>
      <c r="F964" s="3563" t="s">
        <v>4797</v>
      </c>
      <c r="G964" s="3564">
        <v>100.61</v>
      </c>
      <c r="H964" s="3564">
        <v>81.739999999999995</v>
      </c>
      <c r="I964" s="3564">
        <v>18.87</v>
      </c>
      <c r="J964" s="3565">
        <v>1067975</v>
      </c>
      <c r="K964" s="3565">
        <v>10615</v>
      </c>
      <c r="L964" s="3565">
        <v>13065.51</v>
      </c>
      <c r="M964" s="3565">
        <v>0</v>
      </c>
      <c r="N964" s="3565">
        <v>0</v>
      </c>
      <c r="O964" s="3563" t="s">
        <v>3453</v>
      </c>
    </row>
    <row r="965" spans="1:15">
      <c r="A965" s="3563" t="s">
        <v>5175</v>
      </c>
      <c r="B965" s="3563" t="s">
        <v>4196</v>
      </c>
      <c r="C965" s="3563" t="s">
        <v>4197</v>
      </c>
      <c r="D965" s="3563" t="s">
        <v>4796</v>
      </c>
      <c r="E965" s="3563" t="s">
        <v>4297</v>
      </c>
      <c r="F965" s="3563" t="s">
        <v>4797</v>
      </c>
      <c r="G965" s="3564">
        <v>108.86</v>
      </c>
      <c r="H965" s="3564">
        <v>88.44</v>
      </c>
      <c r="I965" s="3564">
        <v>20.420000000000002</v>
      </c>
      <c r="J965" s="3565">
        <v>1154189</v>
      </c>
      <c r="K965" s="3565">
        <v>10602.51</v>
      </c>
      <c r="L965" s="3565">
        <v>13050.53</v>
      </c>
      <c r="M965" s="3565">
        <v>0</v>
      </c>
      <c r="N965" s="3565">
        <v>0</v>
      </c>
      <c r="O965" s="3563" t="s">
        <v>3453</v>
      </c>
    </row>
    <row r="966" spans="1:15">
      <c r="A966" s="3563" t="s">
        <v>5176</v>
      </c>
      <c r="B966" s="3563" t="s">
        <v>4196</v>
      </c>
      <c r="C966" s="3563" t="s">
        <v>4197</v>
      </c>
      <c r="D966" s="3563" t="s">
        <v>4796</v>
      </c>
      <c r="E966" s="3563" t="s">
        <v>4297</v>
      </c>
      <c r="F966" s="3563" t="s">
        <v>4797</v>
      </c>
      <c r="G966" s="3564">
        <v>87.39</v>
      </c>
      <c r="H966" s="3564">
        <v>71</v>
      </c>
      <c r="I966" s="3564">
        <v>16.39</v>
      </c>
      <c r="J966" s="3565">
        <v>910167</v>
      </c>
      <c r="K966" s="3565">
        <v>10415</v>
      </c>
      <c r="L966" s="3565">
        <v>12819.25</v>
      </c>
      <c r="M966" s="3565">
        <v>0</v>
      </c>
      <c r="N966" s="3565">
        <v>0</v>
      </c>
      <c r="O966" s="3563" t="s">
        <v>3453</v>
      </c>
    </row>
    <row r="967" spans="1:15">
      <c r="A967" s="3563" t="s">
        <v>5177</v>
      </c>
      <c r="B967" s="3563" t="s">
        <v>4196</v>
      </c>
      <c r="C967" s="3563" t="s">
        <v>4197</v>
      </c>
      <c r="D967" s="3563" t="s">
        <v>4796</v>
      </c>
      <c r="E967" s="3563" t="s">
        <v>4297</v>
      </c>
      <c r="F967" s="3563" t="s">
        <v>4797</v>
      </c>
      <c r="G967" s="3564">
        <v>87.39</v>
      </c>
      <c r="H967" s="3564">
        <v>71</v>
      </c>
      <c r="I967" s="3564">
        <v>16.39</v>
      </c>
      <c r="J967" s="3565">
        <v>910167</v>
      </c>
      <c r="K967" s="3565">
        <v>10415</v>
      </c>
      <c r="L967" s="3565">
        <v>12819.25</v>
      </c>
      <c r="M967" s="3565">
        <v>0</v>
      </c>
      <c r="N967" s="3565">
        <v>0</v>
      </c>
      <c r="O967" s="3563" t="s">
        <v>3453</v>
      </c>
    </row>
    <row r="968" spans="1:15">
      <c r="A968" s="3563" t="s">
        <v>5178</v>
      </c>
      <c r="B968" s="3563" t="s">
        <v>4196</v>
      </c>
      <c r="C968" s="3563" t="s">
        <v>4197</v>
      </c>
      <c r="D968" s="3563" t="s">
        <v>4796</v>
      </c>
      <c r="E968" s="3563" t="s">
        <v>4297</v>
      </c>
      <c r="F968" s="3563" t="s">
        <v>4797</v>
      </c>
      <c r="G968" s="3564">
        <v>100.94</v>
      </c>
      <c r="H968" s="3564">
        <v>82.01</v>
      </c>
      <c r="I968" s="3564">
        <v>18.93</v>
      </c>
      <c r="J968" s="3565">
        <v>1038673</v>
      </c>
      <c r="K968" s="3565">
        <v>10290</v>
      </c>
      <c r="L968" s="3565">
        <v>12665.2</v>
      </c>
      <c r="M968" s="3565">
        <v>0</v>
      </c>
      <c r="N968" s="3565">
        <v>0</v>
      </c>
      <c r="O968" s="3563" t="s">
        <v>3453</v>
      </c>
    </row>
    <row r="969" spans="1:15">
      <c r="A969" s="3563" t="s">
        <v>5179</v>
      </c>
      <c r="B969" s="3563" t="s">
        <v>4196</v>
      </c>
      <c r="C969" s="3563" t="s">
        <v>4197</v>
      </c>
      <c r="D969" s="3563" t="s">
        <v>4796</v>
      </c>
      <c r="E969" s="3563" t="s">
        <v>4297</v>
      </c>
      <c r="F969" s="3563" t="s">
        <v>4797</v>
      </c>
      <c r="G969" s="3564">
        <v>100.61</v>
      </c>
      <c r="H969" s="3564">
        <v>81.739999999999995</v>
      </c>
      <c r="I969" s="3564">
        <v>18.87</v>
      </c>
      <c r="J969" s="3565">
        <v>1079294</v>
      </c>
      <c r="K969" s="3565">
        <v>10727.5</v>
      </c>
      <c r="L969" s="3565">
        <v>13203.99</v>
      </c>
      <c r="M969" s="3565">
        <v>0</v>
      </c>
      <c r="N969" s="3565">
        <v>0</v>
      </c>
      <c r="O969" s="3563" t="s">
        <v>3453</v>
      </c>
    </row>
    <row r="970" spans="1:15">
      <c r="A970" s="3563" t="s">
        <v>5180</v>
      </c>
      <c r="B970" s="3563" t="s">
        <v>4196</v>
      </c>
      <c r="C970" s="3563" t="s">
        <v>4197</v>
      </c>
      <c r="D970" s="3563" t="s">
        <v>4796</v>
      </c>
      <c r="E970" s="3563" t="s">
        <v>4297</v>
      </c>
      <c r="F970" s="3563" t="s">
        <v>4797</v>
      </c>
      <c r="G970" s="3564">
        <v>100.61</v>
      </c>
      <c r="H970" s="3564">
        <v>81.739999999999995</v>
      </c>
      <c r="I970" s="3564">
        <v>18.87</v>
      </c>
      <c r="J970" s="3565">
        <v>1079294</v>
      </c>
      <c r="K970" s="3565">
        <v>10727.5</v>
      </c>
      <c r="L970" s="3565">
        <v>13203.99</v>
      </c>
      <c r="M970" s="3565">
        <v>0</v>
      </c>
      <c r="N970" s="3565">
        <v>0</v>
      </c>
      <c r="O970" s="3563" t="s">
        <v>3453</v>
      </c>
    </row>
    <row r="971" spans="1:15">
      <c r="A971" s="3563" t="s">
        <v>5181</v>
      </c>
      <c r="B971" s="3563" t="s">
        <v>4196</v>
      </c>
      <c r="C971" s="3563" t="s">
        <v>4197</v>
      </c>
      <c r="D971" s="3563" t="s">
        <v>4796</v>
      </c>
      <c r="E971" s="3563" t="s">
        <v>4297</v>
      </c>
      <c r="F971" s="3563" t="s">
        <v>4797</v>
      </c>
      <c r="G971" s="3564">
        <v>90.33</v>
      </c>
      <c r="H971" s="3564">
        <v>71</v>
      </c>
      <c r="I971" s="3564">
        <v>19.329999999999998</v>
      </c>
      <c r="J971" s="3565">
        <v>903252</v>
      </c>
      <c r="K971" s="3565">
        <v>9999.4699999999993</v>
      </c>
      <c r="L971" s="3565">
        <v>12721.86</v>
      </c>
      <c r="M971" s="3565">
        <v>0</v>
      </c>
      <c r="N971" s="3565">
        <v>0</v>
      </c>
      <c r="O971" s="3563" t="s">
        <v>3453</v>
      </c>
    </row>
    <row r="972" spans="1:15">
      <c r="A972" s="3563" t="s">
        <v>5182</v>
      </c>
      <c r="B972" s="3563" t="s">
        <v>4196</v>
      </c>
      <c r="C972" s="3563" t="s">
        <v>4197</v>
      </c>
      <c r="D972" s="3563" t="s">
        <v>4796</v>
      </c>
      <c r="E972" s="3563" t="s">
        <v>4297</v>
      </c>
      <c r="F972" s="3563" t="s">
        <v>4797</v>
      </c>
      <c r="G972" s="3564">
        <v>90.33</v>
      </c>
      <c r="H972" s="3564">
        <v>71</v>
      </c>
      <c r="I972" s="3564">
        <v>19.329999999999998</v>
      </c>
      <c r="J972" s="3565">
        <v>903252</v>
      </c>
      <c r="K972" s="3565">
        <v>9999.4699999999993</v>
      </c>
      <c r="L972" s="3565">
        <v>12721.86</v>
      </c>
      <c r="M972" s="3565">
        <v>0</v>
      </c>
      <c r="N972" s="3565">
        <v>0</v>
      </c>
      <c r="O972" s="3563" t="s">
        <v>3453</v>
      </c>
    </row>
    <row r="973" spans="1:15">
      <c r="A973" s="3563" t="s">
        <v>5183</v>
      </c>
      <c r="B973" s="3563" t="s">
        <v>4196</v>
      </c>
      <c r="C973" s="3563" t="s">
        <v>4197</v>
      </c>
      <c r="D973" s="3563" t="s">
        <v>4796</v>
      </c>
      <c r="E973" s="3563" t="s">
        <v>4297</v>
      </c>
      <c r="F973" s="3563" t="s">
        <v>4797</v>
      </c>
      <c r="G973" s="3564">
        <v>103.99</v>
      </c>
      <c r="H973" s="3564">
        <v>81.739999999999995</v>
      </c>
      <c r="I973" s="3564">
        <v>22.25</v>
      </c>
      <c r="J973" s="3565">
        <v>1060958</v>
      </c>
      <c r="K973" s="3565">
        <v>10202.5</v>
      </c>
      <c r="L973" s="3565">
        <v>12979.67</v>
      </c>
      <c r="M973" s="3565">
        <v>0</v>
      </c>
      <c r="N973" s="3565">
        <v>0</v>
      </c>
      <c r="O973" s="3563" t="s">
        <v>3453</v>
      </c>
    </row>
    <row r="974" spans="1:15">
      <c r="A974" s="3563" t="s">
        <v>5184</v>
      </c>
      <c r="B974" s="3563" t="s">
        <v>4196</v>
      </c>
      <c r="C974" s="3563" t="s">
        <v>4197</v>
      </c>
      <c r="D974" s="3563" t="s">
        <v>4796</v>
      </c>
      <c r="E974" s="3563" t="s">
        <v>4297</v>
      </c>
      <c r="F974" s="3563" t="s">
        <v>4797</v>
      </c>
      <c r="G974" s="3564">
        <v>103.99</v>
      </c>
      <c r="H974" s="3564">
        <v>81.739999999999995</v>
      </c>
      <c r="I974" s="3564">
        <v>22.25</v>
      </c>
      <c r="J974" s="3565">
        <v>1060958</v>
      </c>
      <c r="K974" s="3565">
        <v>10202.5</v>
      </c>
      <c r="L974" s="3565">
        <v>12979.67</v>
      </c>
      <c r="M974" s="3565">
        <v>0</v>
      </c>
      <c r="N974" s="3565">
        <v>0</v>
      </c>
      <c r="O974" s="3563" t="s">
        <v>3453</v>
      </c>
    </row>
    <row r="975" spans="1:15">
      <c r="A975" s="3563" t="s">
        <v>5185</v>
      </c>
      <c r="B975" s="3563" t="s">
        <v>4196</v>
      </c>
      <c r="C975" s="3563" t="s">
        <v>4197</v>
      </c>
      <c r="D975" s="3563" t="s">
        <v>4796</v>
      </c>
      <c r="E975" s="3563" t="s">
        <v>4297</v>
      </c>
      <c r="F975" s="3563" t="s">
        <v>4797</v>
      </c>
      <c r="G975" s="3564">
        <v>108.86</v>
      </c>
      <c r="H975" s="3564">
        <v>88.44</v>
      </c>
      <c r="I975" s="3564">
        <v>20.420000000000002</v>
      </c>
      <c r="J975" s="3565">
        <v>1152828</v>
      </c>
      <c r="K975" s="3565">
        <v>10590.01</v>
      </c>
      <c r="L975" s="3565">
        <v>13035.14</v>
      </c>
      <c r="M975" s="3565">
        <v>0</v>
      </c>
      <c r="N975" s="3565">
        <v>0</v>
      </c>
      <c r="O975" s="3563" t="s">
        <v>3453</v>
      </c>
    </row>
    <row r="976" spans="1:15">
      <c r="A976" s="3563" t="s">
        <v>5186</v>
      </c>
      <c r="B976" s="3563" t="s">
        <v>4196</v>
      </c>
      <c r="C976" s="3563" t="s">
        <v>4197</v>
      </c>
      <c r="D976" s="3563" t="s">
        <v>4796</v>
      </c>
      <c r="E976" s="3563" t="s">
        <v>4297</v>
      </c>
      <c r="F976" s="3563" t="s">
        <v>4797</v>
      </c>
      <c r="G976" s="3564">
        <v>87.39</v>
      </c>
      <c r="H976" s="3564">
        <v>71</v>
      </c>
      <c r="I976" s="3564">
        <v>16.39</v>
      </c>
      <c r="J976" s="3565">
        <v>909075</v>
      </c>
      <c r="K976" s="3565">
        <v>10402.51</v>
      </c>
      <c r="L976" s="3565">
        <v>12803.87</v>
      </c>
      <c r="M976" s="3565">
        <v>0</v>
      </c>
      <c r="N976" s="3565">
        <v>0</v>
      </c>
      <c r="O976" s="3563" t="s">
        <v>3453</v>
      </c>
    </row>
    <row r="977" spans="1:15">
      <c r="A977" s="3563" t="s">
        <v>5187</v>
      </c>
      <c r="B977" s="3563" t="s">
        <v>4196</v>
      </c>
      <c r="C977" s="3563" t="s">
        <v>4197</v>
      </c>
      <c r="D977" s="3563" t="s">
        <v>4796</v>
      </c>
      <c r="E977" s="3563" t="s">
        <v>4297</v>
      </c>
      <c r="F977" s="3563" t="s">
        <v>4797</v>
      </c>
      <c r="G977" s="3564">
        <v>87.39</v>
      </c>
      <c r="H977" s="3564">
        <v>71</v>
      </c>
      <c r="I977" s="3564">
        <v>16.39</v>
      </c>
      <c r="J977" s="3565">
        <v>909075</v>
      </c>
      <c r="K977" s="3565">
        <v>10402.51</v>
      </c>
      <c r="L977" s="3565">
        <v>12803.87</v>
      </c>
      <c r="M977" s="3565">
        <v>0</v>
      </c>
      <c r="N977" s="3565">
        <v>0</v>
      </c>
      <c r="O977" s="3563" t="s">
        <v>3453</v>
      </c>
    </row>
    <row r="978" spans="1:15">
      <c r="A978" s="3563" t="s">
        <v>5188</v>
      </c>
      <c r="B978" s="3563" t="s">
        <v>4196</v>
      </c>
      <c r="C978" s="3563" t="s">
        <v>4197</v>
      </c>
      <c r="D978" s="3563" t="s">
        <v>4796</v>
      </c>
      <c r="E978" s="3563" t="s">
        <v>4297</v>
      </c>
      <c r="F978" s="3563" t="s">
        <v>4797</v>
      </c>
      <c r="G978" s="3564">
        <v>100.94</v>
      </c>
      <c r="H978" s="3564">
        <v>82.01</v>
      </c>
      <c r="I978" s="3564">
        <v>18.93</v>
      </c>
      <c r="J978" s="3565">
        <v>1037412</v>
      </c>
      <c r="K978" s="3565">
        <v>10277.51</v>
      </c>
      <c r="L978" s="3565">
        <v>12649.82</v>
      </c>
      <c r="M978" s="3565">
        <v>0</v>
      </c>
      <c r="N978" s="3565">
        <v>0</v>
      </c>
      <c r="O978" s="3563" t="s">
        <v>3453</v>
      </c>
    </row>
    <row r="979" spans="1:15">
      <c r="A979" s="3563" t="s">
        <v>5189</v>
      </c>
      <c r="B979" s="3563" t="s">
        <v>4196</v>
      </c>
      <c r="C979" s="3563" t="s">
        <v>4197</v>
      </c>
      <c r="D979" s="3563" t="s">
        <v>4796</v>
      </c>
      <c r="E979" s="3563" t="s">
        <v>4297</v>
      </c>
      <c r="F979" s="3563" t="s">
        <v>4797</v>
      </c>
      <c r="G979" s="3564">
        <v>100.61</v>
      </c>
      <c r="H979" s="3564">
        <v>81.739999999999995</v>
      </c>
      <c r="I979" s="3564">
        <v>18.87</v>
      </c>
      <c r="J979" s="3565">
        <v>1078037</v>
      </c>
      <c r="K979" s="3565">
        <v>10715.01</v>
      </c>
      <c r="L979" s="3565">
        <v>13188.61</v>
      </c>
      <c r="M979" s="3565">
        <v>0</v>
      </c>
      <c r="N979" s="3565">
        <v>0</v>
      </c>
      <c r="O979" s="3563" t="s">
        <v>3453</v>
      </c>
    </row>
    <row r="980" spans="1:15">
      <c r="A980" s="3563" t="s">
        <v>5190</v>
      </c>
      <c r="B980" s="3563" t="s">
        <v>4196</v>
      </c>
      <c r="C980" s="3563" t="s">
        <v>4197</v>
      </c>
      <c r="D980" s="3563" t="s">
        <v>4796</v>
      </c>
      <c r="E980" s="3563" t="s">
        <v>4297</v>
      </c>
      <c r="F980" s="3563" t="s">
        <v>4797</v>
      </c>
      <c r="G980" s="3564">
        <v>100.61</v>
      </c>
      <c r="H980" s="3564">
        <v>81.739999999999995</v>
      </c>
      <c r="I980" s="3564">
        <v>18.87</v>
      </c>
      <c r="J980" s="3565">
        <v>1078037</v>
      </c>
      <c r="K980" s="3565">
        <v>10715.01</v>
      </c>
      <c r="L980" s="3565">
        <v>13188.61</v>
      </c>
      <c r="M980" s="3565">
        <v>0</v>
      </c>
      <c r="N980" s="3565">
        <v>0</v>
      </c>
      <c r="O980" s="3563" t="s">
        <v>3453</v>
      </c>
    </row>
    <row r="981" spans="1:15">
      <c r="A981" s="3563" t="s">
        <v>5191</v>
      </c>
      <c r="B981" s="3563" t="s">
        <v>4196</v>
      </c>
      <c r="C981" s="3563" t="s">
        <v>4197</v>
      </c>
      <c r="D981" s="3563" t="s">
        <v>4796</v>
      </c>
      <c r="E981" s="3563" t="s">
        <v>4297</v>
      </c>
      <c r="F981" s="3563" t="s">
        <v>4797</v>
      </c>
      <c r="G981" s="3564">
        <v>108.86</v>
      </c>
      <c r="H981" s="3564">
        <v>88.44</v>
      </c>
      <c r="I981" s="3564">
        <v>20.420000000000002</v>
      </c>
      <c r="J981" s="3565">
        <v>1151467</v>
      </c>
      <c r="K981" s="3565">
        <v>10577.5</v>
      </c>
      <c r="L981" s="3565">
        <v>13019.75</v>
      </c>
      <c r="M981" s="3565">
        <v>0</v>
      </c>
      <c r="N981" s="3565">
        <v>0</v>
      </c>
      <c r="O981" s="3563" t="s">
        <v>3453</v>
      </c>
    </row>
    <row r="982" spans="1:15">
      <c r="A982" s="3563" t="s">
        <v>5192</v>
      </c>
      <c r="B982" s="3563" t="s">
        <v>4196</v>
      </c>
      <c r="C982" s="3563" t="s">
        <v>4197</v>
      </c>
      <c r="D982" s="3563" t="s">
        <v>4796</v>
      </c>
      <c r="E982" s="3563" t="s">
        <v>4297</v>
      </c>
      <c r="F982" s="3563" t="s">
        <v>4797</v>
      </c>
      <c r="G982" s="3564">
        <v>87.39</v>
      </c>
      <c r="H982" s="3564">
        <v>71</v>
      </c>
      <c r="I982" s="3564">
        <v>16.39</v>
      </c>
      <c r="J982" s="3565">
        <v>907983</v>
      </c>
      <c r="K982" s="3565">
        <v>10390.01</v>
      </c>
      <c r="L982" s="3565">
        <v>12788.49</v>
      </c>
      <c r="M982" s="3565">
        <v>0</v>
      </c>
      <c r="N982" s="3565">
        <v>0</v>
      </c>
      <c r="O982" s="3563" t="s">
        <v>3453</v>
      </c>
    </row>
    <row r="983" spans="1:15">
      <c r="A983" s="3563" t="s">
        <v>5193</v>
      </c>
      <c r="B983" s="3563" t="s">
        <v>4196</v>
      </c>
      <c r="C983" s="3563" t="s">
        <v>4197</v>
      </c>
      <c r="D983" s="3563" t="s">
        <v>4796</v>
      </c>
      <c r="E983" s="3563" t="s">
        <v>4297</v>
      </c>
      <c r="F983" s="3563" t="s">
        <v>4797</v>
      </c>
      <c r="G983" s="3564">
        <v>87.39</v>
      </c>
      <c r="H983" s="3564">
        <v>71</v>
      </c>
      <c r="I983" s="3564">
        <v>16.39</v>
      </c>
      <c r="J983" s="3565">
        <v>907983</v>
      </c>
      <c r="K983" s="3565">
        <v>10390.01</v>
      </c>
      <c r="L983" s="3565">
        <v>12788.49</v>
      </c>
      <c r="M983" s="3565">
        <v>0</v>
      </c>
      <c r="N983" s="3565">
        <v>0</v>
      </c>
      <c r="O983" s="3563" t="s">
        <v>3453</v>
      </c>
    </row>
    <row r="984" spans="1:15">
      <c r="A984" s="3563" t="s">
        <v>5194</v>
      </c>
      <c r="B984" s="3563" t="s">
        <v>4196</v>
      </c>
      <c r="C984" s="3563" t="s">
        <v>4197</v>
      </c>
      <c r="D984" s="3563" t="s">
        <v>4796</v>
      </c>
      <c r="E984" s="3563" t="s">
        <v>4297</v>
      </c>
      <c r="F984" s="3563" t="s">
        <v>4797</v>
      </c>
      <c r="G984" s="3564">
        <v>100.94</v>
      </c>
      <c r="H984" s="3564">
        <v>82.01</v>
      </c>
      <c r="I984" s="3564">
        <v>18.93</v>
      </c>
      <c r="J984" s="3565">
        <v>1036149</v>
      </c>
      <c r="K984" s="3565">
        <v>10265</v>
      </c>
      <c r="L984" s="3565">
        <v>12634.42</v>
      </c>
      <c r="M984" s="3565">
        <v>0</v>
      </c>
      <c r="N984" s="3565">
        <v>0</v>
      </c>
      <c r="O984" s="3563" t="s">
        <v>3453</v>
      </c>
    </row>
    <row r="985" spans="1:15">
      <c r="A985" s="3563" t="s">
        <v>5195</v>
      </c>
      <c r="B985" s="3563" t="s">
        <v>4196</v>
      </c>
      <c r="C985" s="3563" t="s">
        <v>4197</v>
      </c>
      <c r="D985" s="3563" t="s">
        <v>4796</v>
      </c>
      <c r="E985" s="3563" t="s">
        <v>4297</v>
      </c>
      <c r="F985" s="3563" t="s">
        <v>4797</v>
      </c>
      <c r="G985" s="3564">
        <v>100.61</v>
      </c>
      <c r="H985" s="3564">
        <v>81.739999999999995</v>
      </c>
      <c r="I985" s="3564">
        <v>18.87</v>
      </c>
      <c r="J985" s="3565">
        <v>1076779</v>
      </c>
      <c r="K985" s="3565">
        <v>10702.5</v>
      </c>
      <c r="L985" s="3565">
        <v>13173.22</v>
      </c>
      <c r="M985" s="3565">
        <v>0</v>
      </c>
      <c r="N985" s="3565">
        <v>0</v>
      </c>
      <c r="O985" s="3563" t="s">
        <v>3453</v>
      </c>
    </row>
    <row r="986" spans="1:15">
      <c r="A986" s="3563" t="s">
        <v>5196</v>
      </c>
      <c r="B986" s="3563" t="s">
        <v>4196</v>
      </c>
      <c r="C986" s="3563" t="s">
        <v>4197</v>
      </c>
      <c r="D986" s="3563" t="s">
        <v>4796</v>
      </c>
      <c r="E986" s="3563" t="s">
        <v>4297</v>
      </c>
      <c r="F986" s="3563" t="s">
        <v>4797</v>
      </c>
      <c r="G986" s="3564">
        <v>100.61</v>
      </c>
      <c r="H986" s="3564">
        <v>81.739999999999995</v>
      </c>
      <c r="I986" s="3564">
        <v>18.87</v>
      </c>
      <c r="J986" s="3565">
        <v>1076779</v>
      </c>
      <c r="K986" s="3565">
        <v>10702.5</v>
      </c>
      <c r="L986" s="3565">
        <v>13173.22</v>
      </c>
      <c r="M986" s="3565">
        <v>0</v>
      </c>
      <c r="N986" s="3565">
        <v>0</v>
      </c>
      <c r="O986" s="3563" t="s">
        <v>3453</v>
      </c>
    </row>
    <row r="987" spans="1:15">
      <c r="A987" s="3563" t="s">
        <v>5197</v>
      </c>
      <c r="B987" s="3563" t="s">
        <v>4196</v>
      </c>
      <c r="C987" s="3563" t="s">
        <v>4197</v>
      </c>
      <c r="D987" s="3563" t="s">
        <v>4796</v>
      </c>
      <c r="E987" s="3563" t="s">
        <v>4297</v>
      </c>
      <c r="F987" s="3563" t="s">
        <v>4797</v>
      </c>
      <c r="G987" s="3564">
        <v>108.86</v>
      </c>
      <c r="H987" s="3564">
        <v>88.44</v>
      </c>
      <c r="I987" s="3564">
        <v>20.420000000000002</v>
      </c>
      <c r="J987" s="3565">
        <v>1150107</v>
      </c>
      <c r="K987" s="3565">
        <v>10565.01</v>
      </c>
      <c r="L987" s="3565">
        <v>13004.38</v>
      </c>
      <c r="M987" s="3565">
        <v>0</v>
      </c>
      <c r="N987" s="3565">
        <v>0</v>
      </c>
      <c r="O987" s="3563" t="s">
        <v>3453</v>
      </c>
    </row>
    <row r="988" spans="1:15">
      <c r="A988" s="3563" t="s">
        <v>5198</v>
      </c>
      <c r="B988" s="3563" t="s">
        <v>4196</v>
      </c>
      <c r="C988" s="3563" t="s">
        <v>4197</v>
      </c>
      <c r="D988" s="3563" t="s">
        <v>4796</v>
      </c>
      <c r="E988" s="3563" t="s">
        <v>4297</v>
      </c>
      <c r="F988" s="3563" t="s">
        <v>4797</v>
      </c>
      <c r="G988" s="3564">
        <v>87.39</v>
      </c>
      <c r="H988" s="3564">
        <v>71</v>
      </c>
      <c r="I988" s="3564">
        <v>16.39</v>
      </c>
      <c r="J988" s="3565">
        <v>906890</v>
      </c>
      <c r="K988" s="3565">
        <v>10377.5</v>
      </c>
      <c r="L988" s="3565">
        <v>12773.1</v>
      </c>
      <c r="M988" s="3565">
        <v>0</v>
      </c>
      <c r="N988" s="3565">
        <v>0</v>
      </c>
      <c r="O988" s="3563" t="s">
        <v>3453</v>
      </c>
    </row>
    <row r="989" spans="1:15">
      <c r="A989" s="3563" t="s">
        <v>5199</v>
      </c>
      <c r="B989" s="3563" t="s">
        <v>4196</v>
      </c>
      <c r="C989" s="3563" t="s">
        <v>4197</v>
      </c>
      <c r="D989" s="3563" t="s">
        <v>4796</v>
      </c>
      <c r="E989" s="3563" t="s">
        <v>4297</v>
      </c>
      <c r="F989" s="3563" t="s">
        <v>4797</v>
      </c>
      <c r="G989" s="3564">
        <v>87.39</v>
      </c>
      <c r="H989" s="3564">
        <v>71</v>
      </c>
      <c r="I989" s="3564">
        <v>16.39</v>
      </c>
      <c r="J989" s="3565">
        <v>906890</v>
      </c>
      <c r="K989" s="3565">
        <v>10377.5</v>
      </c>
      <c r="L989" s="3565">
        <v>12773.1</v>
      </c>
      <c r="M989" s="3565">
        <v>0</v>
      </c>
      <c r="N989" s="3565">
        <v>0</v>
      </c>
      <c r="O989" s="3563" t="s">
        <v>3453</v>
      </c>
    </row>
    <row r="990" spans="1:15">
      <c r="A990" s="3563" t="s">
        <v>5200</v>
      </c>
      <c r="B990" s="3563" t="s">
        <v>4196</v>
      </c>
      <c r="C990" s="3563" t="s">
        <v>4197</v>
      </c>
      <c r="D990" s="3563" t="s">
        <v>4796</v>
      </c>
      <c r="E990" s="3563" t="s">
        <v>4297</v>
      </c>
      <c r="F990" s="3563" t="s">
        <v>4797</v>
      </c>
      <c r="G990" s="3564">
        <v>100.94</v>
      </c>
      <c r="H990" s="3564">
        <v>82.01</v>
      </c>
      <c r="I990" s="3564">
        <v>18.93</v>
      </c>
      <c r="J990" s="3565">
        <v>1034888</v>
      </c>
      <c r="K990" s="3565">
        <v>10252.51</v>
      </c>
      <c r="L990" s="3565">
        <v>12619.05</v>
      </c>
      <c r="M990" s="3565">
        <v>0</v>
      </c>
      <c r="N990" s="3565">
        <v>0</v>
      </c>
      <c r="O990" s="3563" t="s">
        <v>3453</v>
      </c>
    </row>
    <row r="991" spans="1:15">
      <c r="A991" s="3563" t="s">
        <v>5201</v>
      </c>
      <c r="B991" s="3563" t="s">
        <v>4196</v>
      </c>
      <c r="C991" s="3563" t="s">
        <v>4197</v>
      </c>
      <c r="D991" s="3563" t="s">
        <v>4796</v>
      </c>
      <c r="E991" s="3563" t="s">
        <v>4297</v>
      </c>
      <c r="F991" s="3563" t="s">
        <v>4797</v>
      </c>
      <c r="G991" s="3564">
        <v>100.61</v>
      </c>
      <c r="H991" s="3564">
        <v>81.739999999999995</v>
      </c>
      <c r="I991" s="3564">
        <v>18.87</v>
      </c>
      <c r="J991" s="3565">
        <v>1075522</v>
      </c>
      <c r="K991" s="3565">
        <v>10690.01</v>
      </c>
      <c r="L991" s="3565">
        <v>13157.84</v>
      </c>
      <c r="M991" s="3565">
        <v>0</v>
      </c>
      <c r="N991" s="3565">
        <v>0</v>
      </c>
      <c r="O991" s="3563" t="s">
        <v>3453</v>
      </c>
    </row>
    <row r="992" spans="1:15">
      <c r="A992" s="3563" t="s">
        <v>5202</v>
      </c>
      <c r="B992" s="3563" t="s">
        <v>4196</v>
      </c>
      <c r="C992" s="3563" t="s">
        <v>4197</v>
      </c>
      <c r="D992" s="3563" t="s">
        <v>4796</v>
      </c>
      <c r="E992" s="3563" t="s">
        <v>4297</v>
      </c>
      <c r="F992" s="3563" t="s">
        <v>4797</v>
      </c>
      <c r="G992" s="3564">
        <v>100.61</v>
      </c>
      <c r="H992" s="3564">
        <v>81.739999999999995</v>
      </c>
      <c r="I992" s="3564">
        <v>18.87</v>
      </c>
      <c r="J992" s="3565">
        <v>1075522</v>
      </c>
      <c r="K992" s="3565">
        <v>10690.01</v>
      </c>
      <c r="L992" s="3565">
        <v>13157.84</v>
      </c>
      <c r="M992" s="3565">
        <v>0</v>
      </c>
      <c r="N992" s="3565">
        <v>0</v>
      </c>
      <c r="O992" s="3563" t="s">
        <v>3453</v>
      </c>
    </row>
    <row r="993" spans="1:15">
      <c r="A993" s="3563" t="s">
        <v>5203</v>
      </c>
      <c r="B993" s="3563" t="s">
        <v>4196</v>
      </c>
      <c r="C993" s="3563" t="s">
        <v>4197</v>
      </c>
      <c r="D993" s="3563" t="s">
        <v>4796</v>
      </c>
      <c r="E993" s="3563" t="s">
        <v>4297</v>
      </c>
      <c r="F993" s="3563" t="s">
        <v>4797</v>
      </c>
      <c r="G993" s="3564">
        <v>108.86</v>
      </c>
      <c r="H993" s="3564">
        <v>88.44</v>
      </c>
      <c r="I993" s="3564">
        <v>20.420000000000002</v>
      </c>
      <c r="J993" s="3565">
        <v>1148745</v>
      </c>
      <c r="K993" s="3565">
        <v>10552.5</v>
      </c>
      <c r="L993" s="3565">
        <v>12988.98</v>
      </c>
      <c r="M993" s="3565">
        <v>0</v>
      </c>
      <c r="N993" s="3565">
        <v>0</v>
      </c>
      <c r="O993" s="3563" t="s">
        <v>3453</v>
      </c>
    </row>
    <row r="994" spans="1:15">
      <c r="A994" s="3563" t="s">
        <v>5204</v>
      </c>
      <c r="B994" s="3563" t="s">
        <v>4196</v>
      </c>
      <c r="C994" s="3563" t="s">
        <v>4197</v>
      </c>
      <c r="D994" s="3563" t="s">
        <v>4796</v>
      </c>
      <c r="E994" s="3563" t="s">
        <v>4297</v>
      </c>
      <c r="F994" s="3563" t="s">
        <v>4797</v>
      </c>
      <c r="G994" s="3564">
        <v>87.39</v>
      </c>
      <c r="H994" s="3564">
        <v>71</v>
      </c>
      <c r="I994" s="3564">
        <v>16.39</v>
      </c>
      <c r="J994" s="3565">
        <v>905798</v>
      </c>
      <c r="K994" s="3565">
        <v>10365.01</v>
      </c>
      <c r="L994" s="3565">
        <v>12757.72</v>
      </c>
      <c r="M994" s="3565">
        <v>0</v>
      </c>
      <c r="N994" s="3565">
        <v>0</v>
      </c>
      <c r="O994" s="3563" t="s">
        <v>3453</v>
      </c>
    </row>
    <row r="995" spans="1:15">
      <c r="A995" s="3563" t="s">
        <v>5205</v>
      </c>
      <c r="B995" s="3563" t="s">
        <v>4196</v>
      </c>
      <c r="C995" s="3563" t="s">
        <v>4197</v>
      </c>
      <c r="D995" s="3563" t="s">
        <v>4796</v>
      </c>
      <c r="E995" s="3563" t="s">
        <v>4297</v>
      </c>
      <c r="F995" s="3563" t="s">
        <v>4797</v>
      </c>
      <c r="G995" s="3564">
        <v>87.39</v>
      </c>
      <c r="H995" s="3564">
        <v>71</v>
      </c>
      <c r="I995" s="3564">
        <v>16.39</v>
      </c>
      <c r="J995" s="3565">
        <v>905798</v>
      </c>
      <c r="K995" s="3565">
        <v>10365.01</v>
      </c>
      <c r="L995" s="3565">
        <v>12757.72</v>
      </c>
      <c r="M995" s="3565">
        <v>0</v>
      </c>
      <c r="N995" s="3565">
        <v>0</v>
      </c>
      <c r="O995" s="3563" t="s">
        <v>3453</v>
      </c>
    </row>
    <row r="996" spans="1:15">
      <c r="A996" s="3563" t="s">
        <v>5206</v>
      </c>
      <c r="B996" s="3563" t="s">
        <v>4196</v>
      </c>
      <c r="C996" s="3563" t="s">
        <v>4197</v>
      </c>
      <c r="D996" s="3563" t="s">
        <v>4796</v>
      </c>
      <c r="E996" s="3563" t="s">
        <v>4297</v>
      </c>
      <c r="F996" s="3563" t="s">
        <v>4797</v>
      </c>
      <c r="G996" s="3564">
        <v>100.94</v>
      </c>
      <c r="H996" s="3564">
        <v>82.01</v>
      </c>
      <c r="I996" s="3564">
        <v>18.93</v>
      </c>
      <c r="J996" s="3565">
        <v>1033625</v>
      </c>
      <c r="K996" s="3565">
        <v>10239.99</v>
      </c>
      <c r="L996" s="3565">
        <v>12603.65</v>
      </c>
      <c r="M996" s="3565">
        <v>0</v>
      </c>
      <c r="N996" s="3565">
        <v>0</v>
      </c>
      <c r="O996" s="3563" t="s">
        <v>3453</v>
      </c>
    </row>
    <row r="997" spans="1:15">
      <c r="A997" s="3563" t="s">
        <v>5207</v>
      </c>
      <c r="B997" s="3563" t="s">
        <v>4196</v>
      </c>
      <c r="C997" s="3563" t="s">
        <v>4197</v>
      </c>
      <c r="D997" s="3563" t="s">
        <v>4796</v>
      </c>
      <c r="E997" s="3563" t="s">
        <v>4297</v>
      </c>
      <c r="F997" s="3563" t="s">
        <v>4797</v>
      </c>
      <c r="G997" s="3564">
        <v>100.61</v>
      </c>
      <c r="H997" s="3564">
        <v>81.739999999999995</v>
      </c>
      <c r="I997" s="3564">
        <v>18.87</v>
      </c>
      <c r="J997" s="3565">
        <v>1074264</v>
      </c>
      <c r="K997" s="3565">
        <v>10677.51</v>
      </c>
      <c r="L997" s="3565">
        <v>13142.45</v>
      </c>
      <c r="M997" s="3565">
        <v>0</v>
      </c>
      <c r="N997" s="3565">
        <v>0</v>
      </c>
      <c r="O997" s="3563" t="s">
        <v>3453</v>
      </c>
    </row>
    <row r="998" spans="1:15">
      <c r="A998" s="3563" t="s">
        <v>5208</v>
      </c>
      <c r="B998" s="3563" t="s">
        <v>4196</v>
      </c>
      <c r="C998" s="3563" t="s">
        <v>4197</v>
      </c>
      <c r="D998" s="3563" t="s">
        <v>4796</v>
      </c>
      <c r="E998" s="3563" t="s">
        <v>4297</v>
      </c>
      <c r="F998" s="3563" t="s">
        <v>4797</v>
      </c>
      <c r="G998" s="3564">
        <v>100.61</v>
      </c>
      <c r="H998" s="3564">
        <v>81.739999999999995</v>
      </c>
      <c r="I998" s="3564">
        <v>18.87</v>
      </c>
      <c r="J998" s="3565">
        <v>1074264</v>
      </c>
      <c r="K998" s="3565">
        <v>10677.51</v>
      </c>
      <c r="L998" s="3565">
        <v>13142.45</v>
      </c>
      <c r="M998" s="3565">
        <v>0</v>
      </c>
      <c r="N998" s="3565">
        <v>0</v>
      </c>
      <c r="O998" s="3563" t="s">
        <v>3453</v>
      </c>
    </row>
    <row r="999" spans="1:15">
      <c r="A999" s="3563" t="s">
        <v>5209</v>
      </c>
      <c r="B999" s="3563" t="s">
        <v>4196</v>
      </c>
      <c r="C999" s="3563" t="s">
        <v>4197</v>
      </c>
      <c r="D999" s="3563" t="s">
        <v>4796</v>
      </c>
      <c r="E999" s="3563" t="s">
        <v>4297</v>
      </c>
      <c r="F999" s="3563" t="s">
        <v>4797</v>
      </c>
      <c r="G999" s="3564">
        <v>108.86</v>
      </c>
      <c r="H999" s="3564">
        <v>88.44</v>
      </c>
      <c r="I999" s="3564">
        <v>20.420000000000002</v>
      </c>
      <c r="J999" s="3565">
        <v>1147385</v>
      </c>
      <c r="K999" s="3565">
        <v>10540.01</v>
      </c>
      <c r="L999" s="3565">
        <v>12973.6</v>
      </c>
      <c r="M999" s="3565">
        <v>0</v>
      </c>
      <c r="N999" s="3565">
        <v>0</v>
      </c>
      <c r="O999" s="3563" t="s">
        <v>3453</v>
      </c>
    </row>
    <row r="1000" spans="1:15">
      <c r="A1000" s="3563" t="s">
        <v>5210</v>
      </c>
      <c r="B1000" s="3563" t="s">
        <v>4196</v>
      </c>
      <c r="C1000" s="3563" t="s">
        <v>4197</v>
      </c>
      <c r="D1000" s="3563" t="s">
        <v>4796</v>
      </c>
      <c r="E1000" s="3563" t="s">
        <v>4297</v>
      </c>
      <c r="F1000" s="3563" t="s">
        <v>4797</v>
      </c>
      <c r="G1000" s="3564">
        <v>87.39</v>
      </c>
      <c r="H1000" s="3564">
        <v>71</v>
      </c>
      <c r="I1000" s="3564">
        <v>16.39</v>
      </c>
      <c r="J1000" s="3565">
        <v>904705</v>
      </c>
      <c r="K1000" s="3565">
        <v>10352.5</v>
      </c>
      <c r="L1000" s="3565">
        <v>12742.32</v>
      </c>
      <c r="M1000" s="3565">
        <v>0</v>
      </c>
      <c r="N1000" s="3565">
        <v>0</v>
      </c>
      <c r="O1000" s="3563" t="s">
        <v>3453</v>
      </c>
    </row>
    <row r="1001" spans="1:15">
      <c r="A1001" s="3563" t="s">
        <v>5211</v>
      </c>
      <c r="B1001" s="3563" t="s">
        <v>4196</v>
      </c>
      <c r="C1001" s="3563" t="s">
        <v>4197</v>
      </c>
      <c r="D1001" s="3563" t="s">
        <v>4796</v>
      </c>
      <c r="E1001" s="3563" t="s">
        <v>4297</v>
      </c>
      <c r="F1001" s="3563" t="s">
        <v>4797</v>
      </c>
      <c r="G1001" s="3564">
        <v>87.39</v>
      </c>
      <c r="H1001" s="3564">
        <v>71</v>
      </c>
      <c r="I1001" s="3564">
        <v>16.39</v>
      </c>
      <c r="J1001" s="3565">
        <v>904705</v>
      </c>
      <c r="K1001" s="3565">
        <v>10352.5</v>
      </c>
      <c r="L1001" s="3565">
        <v>12742.32</v>
      </c>
      <c r="M1001" s="3565">
        <v>0</v>
      </c>
      <c r="N1001" s="3565">
        <v>0</v>
      </c>
      <c r="O1001" s="3563" t="s">
        <v>3453</v>
      </c>
    </row>
    <row r="1002" spans="1:15">
      <c r="A1002" s="3563" t="s">
        <v>5212</v>
      </c>
      <c r="B1002" s="3563" t="s">
        <v>4196</v>
      </c>
      <c r="C1002" s="3563" t="s">
        <v>4197</v>
      </c>
      <c r="D1002" s="3563" t="s">
        <v>4796</v>
      </c>
      <c r="E1002" s="3563" t="s">
        <v>4297</v>
      </c>
      <c r="F1002" s="3563" t="s">
        <v>4797</v>
      </c>
      <c r="G1002" s="3564">
        <v>100.94</v>
      </c>
      <c r="H1002" s="3564">
        <v>82.01</v>
      </c>
      <c r="I1002" s="3564">
        <v>18.93</v>
      </c>
      <c r="J1002" s="3565">
        <v>1032364</v>
      </c>
      <c r="K1002" s="3565">
        <v>10227.5</v>
      </c>
      <c r="L1002" s="3565">
        <v>12588.27</v>
      </c>
      <c r="M1002" s="3565">
        <v>0</v>
      </c>
      <c r="N1002" s="3565">
        <v>0</v>
      </c>
      <c r="O1002" s="3563" t="s">
        <v>3453</v>
      </c>
    </row>
    <row r="1003" spans="1:15">
      <c r="A1003" s="3563" t="s">
        <v>5213</v>
      </c>
      <c r="B1003" s="3563" t="s">
        <v>4196</v>
      </c>
      <c r="C1003" s="3563" t="s">
        <v>4197</v>
      </c>
      <c r="D1003" s="3563" t="s">
        <v>4796</v>
      </c>
      <c r="E1003" s="3563" t="s">
        <v>4297</v>
      </c>
      <c r="F1003" s="3563" t="s">
        <v>4797</v>
      </c>
      <c r="G1003" s="3564">
        <v>100.61</v>
      </c>
      <c r="H1003" s="3564">
        <v>81.739999999999995</v>
      </c>
      <c r="I1003" s="3564">
        <v>18.87</v>
      </c>
      <c r="J1003" s="3565">
        <v>1073007</v>
      </c>
      <c r="K1003" s="3565">
        <v>10665.01</v>
      </c>
      <c r="L1003" s="3565">
        <v>13127.07</v>
      </c>
      <c r="M1003" s="3565">
        <v>0</v>
      </c>
      <c r="N1003" s="3565">
        <v>0</v>
      </c>
      <c r="O1003" s="3563" t="s">
        <v>3453</v>
      </c>
    </row>
    <row r="1004" spans="1:15">
      <c r="A1004" s="3563" t="s">
        <v>5214</v>
      </c>
      <c r="B1004" s="3563" t="s">
        <v>4196</v>
      </c>
      <c r="C1004" s="3563" t="s">
        <v>4197</v>
      </c>
      <c r="D1004" s="3563" t="s">
        <v>4796</v>
      </c>
      <c r="E1004" s="3563" t="s">
        <v>4297</v>
      </c>
      <c r="F1004" s="3563" t="s">
        <v>4797</v>
      </c>
      <c r="G1004" s="3564">
        <v>100.61</v>
      </c>
      <c r="H1004" s="3564">
        <v>81.739999999999995</v>
      </c>
      <c r="I1004" s="3564">
        <v>18.87</v>
      </c>
      <c r="J1004" s="3565">
        <v>1073007</v>
      </c>
      <c r="K1004" s="3565">
        <v>10665.01</v>
      </c>
      <c r="L1004" s="3565">
        <v>13127.07</v>
      </c>
      <c r="M1004" s="3565">
        <v>0</v>
      </c>
      <c r="N1004" s="3565">
        <v>0</v>
      </c>
      <c r="O1004" s="3563" t="s">
        <v>3453</v>
      </c>
    </row>
    <row r="1005" spans="1:15">
      <c r="A1005" s="3563" t="s">
        <v>5215</v>
      </c>
      <c r="B1005" s="3563" t="s">
        <v>4196</v>
      </c>
      <c r="C1005" s="3563" t="s">
        <v>4197</v>
      </c>
      <c r="D1005" s="3563" t="s">
        <v>4796</v>
      </c>
      <c r="E1005" s="3563" t="s">
        <v>4297</v>
      </c>
      <c r="F1005" s="3563" t="s">
        <v>4797</v>
      </c>
      <c r="G1005" s="3564">
        <v>108.86</v>
      </c>
      <c r="H1005" s="3564">
        <v>88.44</v>
      </c>
      <c r="I1005" s="3564">
        <v>20.420000000000002</v>
      </c>
      <c r="J1005" s="3565">
        <v>1146024</v>
      </c>
      <c r="K1005" s="3565">
        <v>10527.5</v>
      </c>
      <c r="L1005" s="3565">
        <v>12958.21</v>
      </c>
      <c r="M1005" s="3565">
        <v>0</v>
      </c>
      <c r="N1005" s="3565">
        <v>0</v>
      </c>
      <c r="O1005" s="3563" t="s">
        <v>3453</v>
      </c>
    </row>
    <row r="1006" spans="1:15">
      <c r="A1006" s="3563" t="s">
        <v>5216</v>
      </c>
      <c r="B1006" s="3563" t="s">
        <v>4196</v>
      </c>
      <c r="C1006" s="3563" t="s">
        <v>4197</v>
      </c>
      <c r="D1006" s="3563" t="s">
        <v>4796</v>
      </c>
      <c r="E1006" s="3563" t="s">
        <v>4297</v>
      </c>
      <c r="F1006" s="3563" t="s">
        <v>4797</v>
      </c>
      <c r="G1006" s="3564">
        <v>87.39</v>
      </c>
      <c r="H1006" s="3564">
        <v>71</v>
      </c>
      <c r="I1006" s="3564">
        <v>16.39</v>
      </c>
      <c r="J1006" s="3565">
        <v>903613</v>
      </c>
      <c r="K1006" s="3565">
        <v>10340</v>
      </c>
      <c r="L1006" s="3565">
        <v>12726.94</v>
      </c>
      <c r="M1006" s="3565">
        <v>0</v>
      </c>
      <c r="N1006" s="3565">
        <v>0</v>
      </c>
      <c r="O1006" s="3563" t="s">
        <v>3453</v>
      </c>
    </row>
    <row r="1007" spans="1:15">
      <c r="A1007" s="3563" t="s">
        <v>5217</v>
      </c>
      <c r="B1007" s="3563" t="s">
        <v>4196</v>
      </c>
      <c r="C1007" s="3563" t="s">
        <v>4197</v>
      </c>
      <c r="D1007" s="3563" t="s">
        <v>4796</v>
      </c>
      <c r="E1007" s="3563" t="s">
        <v>4297</v>
      </c>
      <c r="F1007" s="3563" t="s">
        <v>4797</v>
      </c>
      <c r="G1007" s="3564">
        <v>87.39</v>
      </c>
      <c r="H1007" s="3564">
        <v>71</v>
      </c>
      <c r="I1007" s="3564">
        <v>16.39</v>
      </c>
      <c r="J1007" s="3565">
        <v>903613</v>
      </c>
      <c r="K1007" s="3565">
        <v>10340</v>
      </c>
      <c r="L1007" s="3565">
        <v>12726.94</v>
      </c>
      <c r="M1007" s="3565">
        <v>0</v>
      </c>
      <c r="N1007" s="3565">
        <v>0</v>
      </c>
      <c r="O1007" s="3563" t="s">
        <v>3453</v>
      </c>
    </row>
    <row r="1008" spans="1:15">
      <c r="A1008" s="3563" t="s">
        <v>5218</v>
      </c>
      <c r="B1008" s="3563" t="s">
        <v>4196</v>
      </c>
      <c r="C1008" s="3563" t="s">
        <v>4197</v>
      </c>
      <c r="D1008" s="3563" t="s">
        <v>4796</v>
      </c>
      <c r="E1008" s="3563" t="s">
        <v>4297</v>
      </c>
      <c r="F1008" s="3563" t="s">
        <v>4797</v>
      </c>
      <c r="G1008" s="3564">
        <v>100.94</v>
      </c>
      <c r="H1008" s="3564">
        <v>82.01</v>
      </c>
      <c r="I1008" s="3564">
        <v>18.93</v>
      </c>
      <c r="J1008" s="3565">
        <v>1031103</v>
      </c>
      <c r="K1008" s="3565">
        <v>10215.01</v>
      </c>
      <c r="L1008" s="3565">
        <v>12572.89</v>
      </c>
      <c r="M1008" s="3565">
        <v>0</v>
      </c>
      <c r="N1008" s="3565">
        <v>0</v>
      </c>
      <c r="O1008" s="3563" t="s">
        <v>3453</v>
      </c>
    </row>
    <row r="1009" spans="1:15">
      <c r="A1009" s="3563" t="s">
        <v>5219</v>
      </c>
      <c r="B1009" s="3563" t="s">
        <v>4196</v>
      </c>
      <c r="C1009" s="3563" t="s">
        <v>4197</v>
      </c>
      <c r="D1009" s="3563" t="s">
        <v>4796</v>
      </c>
      <c r="E1009" s="3563" t="s">
        <v>4297</v>
      </c>
      <c r="F1009" s="3563" t="s">
        <v>4797</v>
      </c>
      <c r="G1009" s="3564">
        <v>100.61</v>
      </c>
      <c r="H1009" s="3564">
        <v>81.739999999999995</v>
      </c>
      <c r="I1009" s="3564">
        <v>18.87</v>
      </c>
      <c r="J1009" s="3565">
        <v>1071748</v>
      </c>
      <c r="K1009" s="3565">
        <v>10652.5</v>
      </c>
      <c r="L1009" s="3565">
        <v>13111.67</v>
      </c>
      <c r="M1009" s="3565">
        <v>0</v>
      </c>
      <c r="N1009" s="3565">
        <v>0</v>
      </c>
      <c r="O1009" s="3563" t="s">
        <v>3453</v>
      </c>
    </row>
    <row r="1010" spans="1:15">
      <c r="A1010" s="3563" t="s">
        <v>5220</v>
      </c>
      <c r="B1010" s="3563" t="s">
        <v>4196</v>
      </c>
      <c r="C1010" s="3563" t="s">
        <v>4197</v>
      </c>
      <c r="D1010" s="3563" t="s">
        <v>4796</v>
      </c>
      <c r="E1010" s="3563" t="s">
        <v>4297</v>
      </c>
      <c r="F1010" s="3563" t="s">
        <v>4797</v>
      </c>
      <c r="G1010" s="3564">
        <v>100.61</v>
      </c>
      <c r="H1010" s="3564">
        <v>81.739999999999995</v>
      </c>
      <c r="I1010" s="3564">
        <v>18.87</v>
      </c>
      <c r="J1010" s="3565">
        <v>1071748</v>
      </c>
      <c r="K1010" s="3565">
        <v>10652.5</v>
      </c>
      <c r="L1010" s="3565">
        <v>13111.67</v>
      </c>
      <c r="M1010" s="3565">
        <v>0</v>
      </c>
      <c r="N1010" s="3565">
        <v>0</v>
      </c>
      <c r="O1010" s="3563" t="s">
        <v>3453</v>
      </c>
    </row>
    <row r="1011" spans="1:15">
      <c r="A1011" s="3563" t="s">
        <v>5221</v>
      </c>
      <c r="B1011" s="3563" t="s">
        <v>4196</v>
      </c>
      <c r="C1011" s="3563" t="s">
        <v>4197</v>
      </c>
      <c r="D1011" s="3563" t="s">
        <v>4796</v>
      </c>
      <c r="E1011" s="3563" t="s">
        <v>4297</v>
      </c>
      <c r="F1011" s="3563" t="s">
        <v>4797</v>
      </c>
      <c r="G1011" s="3564">
        <v>108.86</v>
      </c>
      <c r="H1011" s="3564">
        <v>88.44</v>
      </c>
      <c r="I1011" s="3564">
        <v>20.420000000000002</v>
      </c>
      <c r="J1011" s="3565">
        <v>1103840</v>
      </c>
      <c r="K1011" s="3565">
        <v>10140</v>
      </c>
      <c r="L1011" s="3565">
        <v>12481.23</v>
      </c>
      <c r="M1011" s="3565">
        <v>0</v>
      </c>
      <c r="N1011" s="3565">
        <v>0</v>
      </c>
      <c r="O1011" s="3563" t="s">
        <v>3453</v>
      </c>
    </row>
    <row r="1012" spans="1:15">
      <c r="A1012" s="3563" t="s">
        <v>5222</v>
      </c>
      <c r="B1012" s="3563" t="s">
        <v>4196</v>
      </c>
      <c r="C1012" s="3563" t="s">
        <v>4197</v>
      </c>
      <c r="D1012" s="3563" t="s">
        <v>4796</v>
      </c>
      <c r="E1012" s="3563" t="s">
        <v>4297</v>
      </c>
      <c r="F1012" s="3563" t="s">
        <v>4797</v>
      </c>
      <c r="G1012" s="3564">
        <v>87.39</v>
      </c>
      <c r="H1012" s="3564">
        <v>71</v>
      </c>
      <c r="I1012" s="3564">
        <v>16.39</v>
      </c>
      <c r="J1012" s="3565">
        <v>873853</v>
      </c>
      <c r="K1012" s="3565">
        <v>9999.4599999999991</v>
      </c>
      <c r="L1012" s="3565">
        <v>12307.79</v>
      </c>
      <c r="M1012" s="3565">
        <v>0</v>
      </c>
      <c r="N1012" s="3565">
        <v>0</v>
      </c>
      <c r="O1012" s="3563" t="s">
        <v>3453</v>
      </c>
    </row>
    <row r="1013" spans="1:15">
      <c r="A1013" s="3563" t="s">
        <v>5223</v>
      </c>
      <c r="B1013" s="3563" t="s">
        <v>4196</v>
      </c>
      <c r="C1013" s="3563" t="s">
        <v>4197</v>
      </c>
      <c r="D1013" s="3563" t="s">
        <v>4796</v>
      </c>
      <c r="E1013" s="3563" t="s">
        <v>4297</v>
      </c>
      <c r="F1013" s="3563" t="s">
        <v>4797</v>
      </c>
      <c r="G1013" s="3564">
        <v>87.39</v>
      </c>
      <c r="H1013" s="3564">
        <v>71</v>
      </c>
      <c r="I1013" s="3564">
        <v>16.39</v>
      </c>
      <c r="J1013" s="3565">
        <v>873853</v>
      </c>
      <c r="K1013" s="3565">
        <v>9999.4599999999991</v>
      </c>
      <c r="L1013" s="3565">
        <v>12307.79</v>
      </c>
      <c r="M1013" s="3565">
        <v>0</v>
      </c>
      <c r="N1013" s="3565">
        <v>0</v>
      </c>
      <c r="O1013" s="3563" t="s">
        <v>3453</v>
      </c>
    </row>
    <row r="1014" spans="1:15">
      <c r="A1014" s="3563" t="s">
        <v>5224</v>
      </c>
      <c r="B1014" s="3563" t="s">
        <v>4196</v>
      </c>
      <c r="C1014" s="3563" t="s">
        <v>4197</v>
      </c>
      <c r="D1014" s="3563" t="s">
        <v>4796</v>
      </c>
      <c r="E1014" s="3563" t="s">
        <v>4297</v>
      </c>
      <c r="F1014" s="3563" t="s">
        <v>4797</v>
      </c>
      <c r="G1014" s="3564">
        <v>100.94</v>
      </c>
      <c r="H1014" s="3564">
        <v>82.01</v>
      </c>
      <c r="I1014" s="3564">
        <v>18.93</v>
      </c>
      <c r="J1014" s="3565">
        <v>1009345</v>
      </c>
      <c r="K1014" s="3565">
        <v>9999.4599999999991</v>
      </c>
      <c r="L1014" s="3565">
        <v>12307.58</v>
      </c>
      <c r="M1014" s="3565">
        <v>0</v>
      </c>
      <c r="N1014" s="3565">
        <v>0</v>
      </c>
      <c r="O1014" s="3563" t="s">
        <v>3453</v>
      </c>
    </row>
    <row r="1015" spans="1:15">
      <c r="A1015" s="3563" t="s">
        <v>5225</v>
      </c>
      <c r="B1015" s="3563" t="s">
        <v>4196</v>
      </c>
      <c r="C1015" s="3563" t="s">
        <v>4197</v>
      </c>
      <c r="D1015" s="3563" t="s">
        <v>4796</v>
      </c>
      <c r="E1015" s="3563" t="s">
        <v>4297</v>
      </c>
      <c r="F1015" s="3563" t="s">
        <v>4797</v>
      </c>
      <c r="G1015" s="3564">
        <v>100.61</v>
      </c>
      <c r="H1015" s="3564">
        <v>81.739999999999995</v>
      </c>
      <c r="I1015" s="3564">
        <v>18.87</v>
      </c>
      <c r="J1015" s="3565">
        <v>1032762</v>
      </c>
      <c r="K1015" s="3565">
        <v>10265</v>
      </c>
      <c r="L1015" s="3565">
        <v>12634.72</v>
      </c>
      <c r="M1015" s="3565">
        <v>0</v>
      </c>
      <c r="N1015" s="3565">
        <v>0</v>
      </c>
      <c r="O1015" s="3563" t="s">
        <v>3453</v>
      </c>
    </row>
    <row r="1016" spans="1:15">
      <c r="A1016" s="3563" t="s">
        <v>5226</v>
      </c>
      <c r="B1016" s="3563" t="s">
        <v>4196</v>
      </c>
      <c r="C1016" s="3563" t="s">
        <v>4197</v>
      </c>
      <c r="D1016" s="3563" t="s">
        <v>4796</v>
      </c>
      <c r="E1016" s="3563" t="s">
        <v>4297</v>
      </c>
      <c r="F1016" s="3563" t="s">
        <v>4797</v>
      </c>
      <c r="G1016" s="3564">
        <v>100.61</v>
      </c>
      <c r="H1016" s="3564">
        <v>81.739999999999995</v>
      </c>
      <c r="I1016" s="3564">
        <v>18.87</v>
      </c>
      <c r="J1016" s="3565">
        <v>1032762</v>
      </c>
      <c r="K1016" s="3565">
        <v>10265</v>
      </c>
      <c r="L1016" s="3565">
        <v>12634.72</v>
      </c>
      <c r="M1016" s="3565">
        <v>0</v>
      </c>
      <c r="N1016" s="3565">
        <v>0</v>
      </c>
      <c r="O1016" s="3563" t="s">
        <v>3453</v>
      </c>
    </row>
    <row r="1017" spans="1:15">
      <c r="A1017" s="3563" t="s">
        <v>5227</v>
      </c>
      <c r="B1017" s="3563" t="s">
        <v>4196</v>
      </c>
      <c r="C1017" s="3563" t="s">
        <v>4197</v>
      </c>
      <c r="D1017" s="3563" t="s">
        <v>4796</v>
      </c>
      <c r="E1017" s="3563" t="s">
        <v>4297</v>
      </c>
      <c r="F1017" s="3563" t="s">
        <v>4797</v>
      </c>
      <c r="G1017" s="3564">
        <v>108.86</v>
      </c>
      <c r="H1017" s="3564">
        <v>88.44</v>
      </c>
      <c r="I1017" s="3564">
        <v>20.420000000000002</v>
      </c>
      <c r="J1017" s="3565">
        <v>1113367</v>
      </c>
      <c r="K1017" s="3565">
        <v>10227.51</v>
      </c>
      <c r="L1017" s="3565">
        <v>12588.95</v>
      </c>
      <c r="M1017" s="3565">
        <v>0</v>
      </c>
      <c r="N1017" s="3565">
        <v>0</v>
      </c>
      <c r="O1017" s="3563" t="s">
        <v>3453</v>
      </c>
    </row>
    <row r="1018" spans="1:15">
      <c r="A1018" s="3563" t="s">
        <v>5228</v>
      </c>
      <c r="B1018" s="3563" t="s">
        <v>4196</v>
      </c>
      <c r="C1018" s="3563" t="s">
        <v>4197</v>
      </c>
      <c r="D1018" s="3563" t="s">
        <v>4796</v>
      </c>
      <c r="E1018" s="3563" t="s">
        <v>4297</v>
      </c>
      <c r="F1018" s="3563" t="s">
        <v>4797</v>
      </c>
      <c r="G1018" s="3564">
        <v>87.39</v>
      </c>
      <c r="H1018" s="3564">
        <v>71</v>
      </c>
      <c r="I1018" s="3564">
        <v>16.39</v>
      </c>
      <c r="J1018" s="3565">
        <v>873853</v>
      </c>
      <c r="K1018" s="3565">
        <v>9999.4599999999991</v>
      </c>
      <c r="L1018" s="3565">
        <v>12307.79</v>
      </c>
      <c r="M1018" s="3565">
        <v>0</v>
      </c>
      <c r="N1018" s="3565">
        <v>0</v>
      </c>
      <c r="O1018" s="3563" t="s">
        <v>3453</v>
      </c>
    </row>
    <row r="1019" spans="1:15">
      <c r="A1019" s="3563" t="s">
        <v>5229</v>
      </c>
      <c r="B1019" s="3563" t="s">
        <v>4196</v>
      </c>
      <c r="C1019" s="3563" t="s">
        <v>4197</v>
      </c>
      <c r="D1019" s="3563" t="s">
        <v>4796</v>
      </c>
      <c r="E1019" s="3563" t="s">
        <v>4297</v>
      </c>
      <c r="F1019" s="3563" t="s">
        <v>4797</v>
      </c>
      <c r="G1019" s="3564">
        <v>87.39</v>
      </c>
      <c r="H1019" s="3564">
        <v>71</v>
      </c>
      <c r="I1019" s="3564">
        <v>16.39</v>
      </c>
      <c r="J1019" s="3565">
        <v>873853</v>
      </c>
      <c r="K1019" s="3565">
        <v>9999.4599999999991</v>
      </c>
      <c r="L1019" s="3565">
        <v>12307.79</v>
      </c>
      <c r="M1019" s="3565">
        <v>0</v>
      </c>
      <c r="N1019" s="3565">
        <v>0</v>
      </c>
      <c r="O1019" s="3563" t="s">
        <v>3453</v>
      </c>
    </row>
    <row r="1020" spans="1:15">
      <c r="A1020" s="3563" t="s">
        <v>5230</v>
      </c>
      <c r="B1020" s="3563" t="s">
        <v>4196</v>
      </c>
      <c r="C1020" s="3563" t="s">
        <v>4197</v>
      </c>
      <c r="D1020" s="3563" t="s">
        <v>4796</v>
      </c>
      <c r="E1020" s="3563" t="s">
        <v>4297</v>
      </c>
      <c r="F1020" s="3563" t="s">
        <v>4797</v>
      </c>
      <c r="G1020" s="3564">
        <v>100.94</v>
      </c>
      <c r="H1020" s="3564">
        <v>82.01</v>
      </c>
      <c r="I1020" s="3564">
        <v>18.93</v>
      </c>
      <c r="J1020" s="3565">
        <v>1009345</v>
      </c>
      <c r="K1020" s="3565">
        <v>9999.4599999999991</v>
      </c>
      <c r="L1020" s="3565">
        <v>12307.58</v>
      </c>
      <c r="M1020" s="3565">
        <v>0</v>
      </c>
      <c r="N1020" s="3565">
        <v>0</v>
      </c>
      <c r="O1020" s="3563" t="s">
        <v>3453</v>
      </c>
    </row>
    <row r="1021" spans="1:15">
      <c r="A1021" s="3563" t="s">
        <v>5231</v>
      </c>
      <c r="B1021" s="3563" t="s">
        <v>4196</v>
      </c>
      <c r="C1021" s="3563" t="s">
        <v>4197</v>
      </c>
      <c r="D1021" s="3563" t="s">
        <v>4796</v>
      </c>
      <c r="E1021" s="3563" t="s">
        <v>4297</v>
      </c>
      <c r="F1021" s="3563" t="s">
        <v>4797</v>
      </c>
      <c r="G1021" s="3564">
        <v>100.61</v>
      </c>
      <c r="H1021" s="3564">
        <v>81.739999999999995</v>
      </c>
      <c r="I1021" s="3564">
        <v>18.87</v>
      </c>
      <c r="J1021" s="3565">
        <v>1041565</v>
      </c>
      <c r="K1021" s="3565">
        <v>10352.5</v>
      </c>
      <c r="L1021" s="3565">
        <v>12742.41</v>
      </c>
      <c r="M1021" s="3565">
        <v>0</v>
      </c>
      <c r="N1021" s="3565">
        <v>0</v>
      </c>
      <c r="O1021" s="3563" t="s">
        <v>3453</v>
      </c>
    </row>
    <row r="1022" spans="1:15">
      <c r="A1022" s="3563" t="s">
        <v>5232</v>
      </c>
      <c r="B1022" s="3563" t="s">
        <v>4196</v>
      </c>
      <c r="C1022" s="3563" t="s">
        <v>4197</v>
      </c>
      <c r="D1022" s="3563" t="s">
        <v>4796</v>
      </c>
      <c r="E1022" s="3563" t="s">
        <v>4297</v>
      </c>
      <c r="F1022" s="3563" t="s">
        <v>4797</v>
      </c>
      <c r="G1022" s="3564">
        <v>100.61</v>
      </c>
      <c r="H1022" s="3564">
        <v>81.739999999999995</v>
      </c>
      <c r="I1022" s="3564">
        <v>18.87</v>
      </c>
      <c r="J1022" s="3565">
        <v>1041565</v>
      </c>
      <c r="K1022" s="3565">
        <v>10352.5</v>
      </c>
      <c r="L1022" s="3565">
        <v>12742.41</v>
      </c>
      <c r="M1022" s="3565">
        <v>0</v>
      </c>
      <c r="N1022" s="3565">
        <v>0</v>
      </c>
      <c r="O1022" s="3563" t="s">
        <v>3453</v>
      </c>
    </row>
    <row r="1023" spans="1:15">
      <c r="A1023" s="3563" t="s">
        <v>5233</v>
      </c>
      <c r="B1023" s="3563" t="s">
        <v>4196</v>
      </c>
      <c r="C1023" s="3563" t="s">
        <v>4197</v>
      </c>
      <c r="D1023" s="3563" t="s">
        <v>4796</v>
      </c>
      <c r="E1023" s="3563" t="s">
        <v>4297</v>
      </c>
      <c r="F1023" s="3563" t="s">
        <v>4797</v>
      </c>
      <c r="G1023" s="3564">
        <v>108.86</v>
      </c>
      <c r="H1023" s="3564">
        <v>88.44</v>
      </c>
      <c r="I1023" s="3564">
        <v>20.420000000000002</v>
      </c>
      <c r="J1023" s="3565">
        <v>1129695</v>
      </c>
      <c r="K1023" s="3565">
        <v>10377.5</v>
      </c>
      <c r="L1023" s="3565">
        <v>12773.58</v>
      </c>
      <c r="M1023" s="3565">
        <v>0</v>
      </c>
      <c r="N1023" s="3565">
        <v>0</v>
      </c>
      <c r="O1023" s="3563" t="s">
        <v>3453</v>
      </c>
    </row>
    <row r="1024" spans="1:15">
      <c r="A1024" s="3563" t="s">
        <v>5234</v>
      </c>
      <c r="B1024" s="3563" t="s">
        <v>4196</v>
      </c>
      <c r="C1024" s="3563" t="s">
        <v>4197</v>
      </c>
      <c r="D1024" s="3563" t="s">
        <v>4796</v>
      </c>
      <c r="E1024" s="3563" t="s">
        <v>4297</v>
      </c>
      <c r="F1024" s="3563" t="s">
        <v>4797</v>
      </c>
      <c r="G1024" s="3564">
        <v>87.39</v>
      </c>
      <c r="H1024" s="3564">
        <v>71</v>
      </c>
      <c r="I1024" s="3564">
        <v>16.39</v>
      </c>
      <c r="J1024" s="3565">
        <v>873853</v>
      </c>
      <c r="K1024" s="3565">
        <v>9999.4599999999991</v>
      </c>
      <c r="L1024" s="3565">
        <v>12307.79</v>
      </c>
      <c r="M1024" s="3565">
        <v>0</v>
      </c>
      <c r="N1024" s="3565">
        <v>0</v>
      </c>
      <c r="O1024" s="3563" t="s">
        <v>3453</v>
      </c>
    </row>
    <row r="1025" spans="1:15">
      <c r="A1025" s="3563" t="s">
        <v>5235</v>
      </c>
      <c r="B1025" s="3563" t="s">
        <v>4196</v>
      </c>
      <c r="C1025" s="3563" t="s">
        <v>4197</v>
      </c>
      <c r="D1025" s="3563" t="s">
        <v>4796</v>
      </c>
      <c r="E1025" s="3563" t="s">
        <v>4297</v>
      </c>
      <c r="F1025" s="3563" t="s">
        <v>4797</v>
      </c>
      <c r="G1025" s="3564">
        <v>87.39</v>
      </c>
      <c r="H1025" s="3564">
        <v>71</v>
      </c>
      <c r="I1025" s="3564">
        <v>16.39</v>
      </c>
      <c r="J1025" s="3565">
        <v>873853</v>
      </c>
      <c r="K1025" s="3565">
        <v>9999.4599999999991</v>
      </c>
      <c r="L1025" s="3565">
        <v>12307.79</v>
      </c>
      <c r="M1025" s="3565">
        <v>0</v>
      </c>
      <c r="N1025" s="3565">
        <v>0</v>
      </c>
      <c r="O1025" s="3563" t="s">
        <v>3453</v>
      </c>
    </row>
    <row r="1026" spans="1:15">
      <c r="A1026" s="3563" t="s">
        <v>5236</v>
      </c>
      <c r="B1026" s="3563" t="s">
        <v>4196</v>
      </c>
      <c r="C1026" s="3563" t="s">
        <v>4197</v>
      </c>
      <c r="D1026" s="3563" t="s">
        <v>4796</v>
      </c>
      <c r="E1026" s="3563" t="s">
        <v>4297</v>
      </c>
      <c r="F1026" s="3563" t="s">
        <v>4797</v>
      </c>
      <c r="G1026" s="3564">
        <v>100.94</v>
      </c>
      <c r="H1026" s="3564">
        <v>82.01</v>
      </c>
      <c r="I1026" s="3564">
        <v>18.93</v>
      </c>
      <c r="J1026" s="3565">
        <v>1009345</v>
      </c>
      <c r="K1026" s="3565">
        <v>9999.4599999999991</v>
      </c>
      <c r="L1026" s="3565">
        <v>12307.58</v>
      </c>
      <c r="M1026" s="3565">
        <v>0</v>
      </c>
      <c r="N1026" s="3565">
        <v>0</v>
      </c>
      <c r="O1026" s="3563" t="s">
        <v>3453</v>
      </c>
    </row>
    <row r="1027" spans="1:15">
      <c r="A1027" s="3563" t="s">
        <v>5237</v>
      </c>
      <c r="B1027" s="3563" t="s">
        <v>4196</v>
      </c>
      <c r="C1027" s="3563" t="s">
        <v>4197</v>
      </c>
      <c r="D1027" s="3563" t="s">
        <v>4796</v>
      </c>
      <c r="E1027" s="3563" t="s">
        <v>4297</v>
      </c>
      <c r="F1027" s="3563" t="s">
        <v>4797</v>
      </c>
      <c r="G1027" s="3564">
        <v>100.61</v>
      </c>
      <c r="H1027" s="3564">
        <v>81.739999999999995</v>
      </c>
      <c r="I1027" s="3564">
        <v>18.87</v>
      </c>
      <c r="J1027" s="3565">
        <v>1056657</v>
      </c>
      <c r="K1027" s="3565">
        <v>10502.5</v>
      </c>
      <c r="L1027" s="3565">
        <v>12927.05</v>
      </c>
      <c r="M1027" s="3565">
        <v>0</v>
      </c>
      <c r="N1027" s="3565">
        <v>0</v>
      </c>
      <c r="O1027" s="3563" t="s">
        <v>3453</v>
      </c>
    </row>
    <row r="1028" spans="1:15">
      <c r="A1028" s="3563" t="s">
        <v>5238</v>
      </c>
      <c r="B1028" s="3563" t="s">
        <v>4196</v>
      </c>
      <c r="C1028" s="3563" t="s">
        <v>4197</v>
      </c>
      <c r="D1028" s="3563" t="s">
        <v>4796</v>
      </c>
      <c r="E1028" s="3563" t="s">
        <v>4297</v>
      </c>
      <c r="F1028" s="3563" t="s">
        <v>4797</v>
      </c>
      <c r="G1028" s="3564">
        <v>100.61</v>
      </c>
      <c r="H1028" s="3564">
        <v>81.739999999999995</v>
      </c>
      <c r="I1028" s="3564">
        <v>18.87</v>
      </c>
      <c r="J1028" s="3565">
        <v>1056657</v>
      </c>
      <c r="K1028" s="3565">
        <v>10502.5</v>
      </c>
      <c r="L1028" s="3565">
        <v>12927.05</v>
      </c>
      <c r="M1028" s="3565">
        <v>0</v>
      </c>
      <c r="N1028" s="3565">
        <v>0</v>
      </c>
      <c r="O1028" s="3563" t="s">
        <v>3453</v>
      </c>
    </row>
    <row r="1029" spans="1:15">
      <c r="A1029" s="3563" t="s">
        <v>5239</v>
      </c>
      <c r="B1029" s="3563" t="s">
        <v>4196</v>
      </c>
      <c r="C1029" s="3563" t="s">
        <v>4197</v>
      </c>
      <c r="D1029" s="3563" t="s">
        <v>4796</v>
      </c>
      <c r="E1029" s="3563" t="s">
        <v>4297</v>
      </c>
      <c r="F1029" s="3563" t="s">
        <v>4797</v>
      </c>
      <c r="G1029" s="3564">
        <v>108.86</v>
      </c>
      <c r="H1029" s="3564">
        <v>88.44</v>
      </c>
      <c r="I1029" s="3564">
        <v>20.420000000000002</v>
      </c>
      <c r="J1029" s="3565">
        <v>1146024</v>
      </c>
      <c r="K1029" s="3565">
        <v>10527.5</v>
      </c>
      <c r="L1029" s="3565">
        <v>12958.21</v>
      </c>
      <c r="M1029" s="3565">
        <v>0</v>
      </c>
      <c r="N1029" s="3565">
        <v>0</v>
      </c>
      <c r="O1029" s="3563" t="s">
        <v>3453</v>
      </c>
    </row>
    <row r="1030" spans="1:15">
      <c r="A1030" s="3563" t="s">
        <v>5240</v>
      </c>
      <c r="B1030" s="3563" t="s">
        <v>4196</v>
      </c>
      <c r="C1030" s="3563" t="s">
        <v>4197</v>
      </c>
      <c r="D1030" s="3563" t="s">
        <v>4796</v>
      </c>
      <c r="E1030" s="3563" t="s">
        <v>4297</v>
      </c>
      <c r="F1030" s="3563" t="s">
        <v>4797</v>
      </c>
      <c r="G1030" s="3564">
        <v>87.39</v>
      </c>
      <c r="H1030" s="3564">
        <v>71</v>
      </c>
      <c r="I1030" s="3564">
        <v>16.39</v>
      </c>
      <c r="J1030" s="3565">
        <v>881765</v>
      </c>
      <c r="K1030" s="3565">
        <v>10090</v>
      </c>
      <c r="L1030" s="3565">
        <v>12419.23</v>
      </c>
      <c r="M1030" s="3565">
        <v>0</v>
      </c>
      <c r="N1030" s="3565">
        <v>0</v>
      </c>
      <c r="O1030" s="3563" t="s">
        <v>3453</v>
      </c>
    </row>
    <row r="1031" spans="1:15">
      <c r="A1031" s="3563" t="s">
        <v>5241</v>
      </c>
      <c r="B1031" s="3563" t="s">
        <v>4196</v>
      </c>
      <c r="C1031" s="3563" t="s">
        <v>4197</v>
      </c>
      <c r="D1031" s="3563" t="s">
        <v>4796</v>
      </c>
      <c r="E1031" s="3563" t="s">
        <v>4297</v>
      </c>
      <c r="F1031" s="3563" t="s">
        <v>4797</v>
      </c>
      <c r="G1031" s="3564">
        <v>87.39</v>
      </c>
      <c r="H1031" s="3564">
        <v>71</v>
      </c>
      <c r="I1031" s="3564">
        <v>16.39</v>
      </c>
      <c r="J1031" s="3565">
        <v>881765</v>
      </c>
      <c r="K1031" s="3565">
        <v>10090</v>
      </c>
      <c r="L1031" s="3565">
        <v>12419.23</v>
      </c>
      <c r="M1031" s="3565">
        <v>0</v>
      </c>
      <c r="N1031" s="3565">
        <v>0</v>
      </c>
      <c r="O1031" s="3563" t="s">
        <v>3453</v>
      </c>
    </row>
    <row r="1032" spans="1:15">
      <c r="A1032" s="3563" t="s">
        <v>5242</v>
      </c>
      <c r="B1032" s="3563" t="s">
        <v>4196</v>
      </c>
      <c r="C1032" s="3563" t="s">
        <v>4197</v>
      </c>
      <c r="D1032" s="3563" t="s">
        <v>4796</v>
      </c>
      <c r="E1032" s="3563" t="s">
        <v>4297</v>
      </c>
      <c r="F1032" s="3563" t="s">
        <v>4797</v>
      </c>
      <c r="G1032" s="3564">
        <v>100.94</v>
      </c>
      <c r="H1032" s="3564">
        <v>82.01</v>
      </c>
      <c r="I1032" s="3564">
        <v>18.93</v>
      </c>
      <c r="J1032" s="3565">
        <v>1009345</v>
      </c>
      <c r="K1032" s="3565">
        <v>9999.4599999999991</v>
      </c>
      <c r="L1032" s="3565">
        <v>12307.58</v>
      </c>
      <c r="M1032" s="3565">
        <v>0</v>
      </c>
      <c r="N1032" s="3565">
        <v>0</v>
      </c>
      <c r="O1032" s="3563" t="s">
        <v>3453</v>
      </c>
    </row>
    <row r="1033" spans="1:15">
      <c r="A1033" s="3563" t="s">
        <v>5243</v>
      </c>
      <c r="B1033" s="3563" t="s">
        <v>4196</v>
      </c>
      <c r="C1033" s="3563" t="s">
        <v>4197</v>
      </c>
      <c r="D1033" s="3563" t="s">
        <v>4796</v>
      </c>
      <c r="E1033" s="3563" t="s">
        <v>4297</v>
      </c>
      <c r="F1033" s="3563" t="s">
        <v>4797</v>
      </c>
      <c r="G1033" s="3564">
        <v>100.61</v>
      </c>
      <c r="H1033" s="3564">
        <v>81.739999999999995</v>
      </c>
      <c r="I1033" s="3564">
        <v>18.87</v>
      </c>
      <c r="J1033" s="3565">
        <v>1071748</v>
      </c>
      <c r="K1033" s="3565">
        <v>10652.5</v>
      </c>
      <c r="L1033" s="3565">
        <v>13111.67</v>
      </c>
      <c r="M1033" s="3565">
        <v>0</v>
      </c>
      <c r="N1033" s="3565">
        <v>0</v>
      </c>
      <c r="O1033" s="3563" t="s">
        <v>3453</v>
      </c>
    </row>
    <row r="1034" spans="1:15">
      <c r="A1034" s="3563" t="s">
        <v>5244</v>
      </c>
      <c r="B1034" s="3563" t="s">
        <v>4196</v>
      </c>
      <c r="C1034" s="3563" t="s">
        <v>4197</v>
      </c>
      <c r="D1034" s="3563" t="s">
        <v>4796</v>
      </c>
      <c r="E1034" s="3563" t="s">
        <v>4297</v>
      </c>
      <c r="F1034" s="3563" t="s">
        <v>4797</v>
      </c>
      <c r="G1034" s="3564">
        <v>100.61</v>
      </c>
      <c r="H1034" s="3564">
        <v>81.739999999999995</v>
      </c>
      <c r="I1034" s="3564">
        <v>18.87</v>
      </c>
      <c r="J1034" s="3565">
        <v>1071748</v>
      </c>
      <c r="K1034" s="3565">
        <v>10652.5</v>
      </c>
      <c r="L1034" s="3565">
        <v>13111.67</v>
      </c>
      <c r="M1034" s="3565">
        <v>0</v>
      </c>
      <c r="N1034" s="3565">
        <v>0</v>
      </c>
      <c r="O1034" s="3563" t="s">
        <v>3453</v>
      </c>
    </row>
    <row r="1035" spans="1:15">
      <c r="A1035" s="3563" t="s">
        <v>5245</v>
      </c>
      <c r="B1035" s="3563" t="s">
        <v>4196</v>
      </c>
      <c r="C1035" s="3563" t="s">
        <v>4197</v>
      </c>
      <c r="D1035" s="3563" t="s">
        <v>4796</v>
      </c>
      <c r="E1035" s="3563" t="s">
        <v>4297</v>
      </c>
      <c r="F1035" s="3563" t="s">
        <v>4797</v>
      </c>
      <c r="G1035" s="3564">
        <v>108.86</v>
      </c>
      <c r="H1035" s="3564">
        <v>88.44</v>
      </c>
      <c r="I1035" s="3564">
        <v>20.420000000000002</v>
      </c>
      <c r="J1035" s="3565">
        <v>1147385</v>
      </c>
      <c r="K1035" s="3565">
        <v>10540.01</v>
      </c>
      <c r="L1035" s="3565">
        <v>12973.6</v>
      </c>
      <c r="M1035" s="3565">
        <v>0</v>
      </c>
      <c r="N1035" s="3565">
        <v>0</v>
      </c>
      <c r="O1035" s="3563" t="s">
        <v>3453</v>
      </c>
    </row>
    <row r="1036" spans="1:15">
      <c r="A1036" s="3563" t="s">
        <v>5246</v>
      </c>
      <c r="B1036" s="3563" t="s">
        <v>4196</v>
      </c>
      <c r="C1036" s="3563" t="s">
        <v>4197</v>
      </c>
      <c r="D1036" s="3563" t="s">
        <v>4796</v>
      </c>
      <c r="E1036" s="3563" t="s">
        <v>4297</v>
      </c>
      <c r="F1036" s="3563" t="s">
        <v>4797</v>
      </c>
      <c r="G1036" s="3564">
        <v>87.39</v>
      </c>
      <c r="H1036" s="3564">
        <v>71</v>
      </c>
      <c r="I1036" s="3564">
        <v>16.39</v>
      </c>
      <c r="J1036" s="3565">
        <v>882858</v>
      </c>
      <c r="K1036" s="3565">
        <v>10102.51</v>
      </c>
      <c r="L1036" s="3565">
        <v>12434.62</v>
      </c>
      <c r="M1036" s="3565">
        <v>0</v>
      </c>
      <c r="N1036" s="3565">
        <v>0</v>
      </c>
      <c r="O1036" s="3563" t="s">
        <v>3453</v>
      </c>
    </row>
    <row r="1037" spans="1:15">
      <c r="A1037" s="3563" t="s">
        <v>5247</v>
      </c>
      <c r="B1037" s="3563" t="s">
        <v>4196</v>
      </c>
      <c r="C1037" s="3563" t="s">
        <v>4197</v>
      </c>
      <c r="D1037" s="3563" t="s">
        <v>4796</v>
      </c>
      <c r="E1037" s="3563" t="s">
        <v>4297</v>
      </c>
      <c r="F1037" s="3563" t="s">
        <v>4797</v>
      </c>
      <c r="G1037" s="3564">
        <v>87.39</v>
      </c>
      <c r="H1037" s="3564">
        <v>71</v>
      </c>
      <c r="I1037" s="3564">
        <v>16.39</v>
      </c>
      <c r="J1037" s="3565">
        <v>882858</v>
      </c>
      <c r="K1037" s="3565">
        <v>10102.51</v>
      </c>
      <c r="L1037" s="3565">
        <v>12434.62</v>
      </c>
      <c r="M1037" s="3565">
        <v>0</v>
      </c>
      <c r="N1037" s="3565">
        <v>0</v>
      </c>
      <c r="O1037" s="3563" t="s">
        <v>3453</v>
      </c>
    </row>
    <row r="1038" spans="1:15">
      <c r="A1038" s="3563" t="s">
        <v>5248</v>
      </c>
      <c r="B1038" s="3563" t="s">
        <v>4196</v>
      </c>
      <c r="C1038" s="3563" t="s">
        <v>4197</v>
      </c>
      <c r="D1038" s="3563" t="s">
        <v>4796</v>
      </c>
      <c r="E1038" s="3563" t="s">
        <v>4297</v>
      </c>
      <c r="F1038" s="3563" t="s">
        <v>4797</v>
      </c>
      <c r="G1038" s="3564">
        <v>100.94</v>
      </c>
      <c r="H1038" s="3564">
        <v>82.01</v>
      </c>
      <c r="I1038" s="3564">
        <v>18.93</v>
      </c>
      <c r="J1038" s="3565">
        <v>1010229</v>
      </c>
      <c r="K1038" s="3565">
        <v>10008.209999999999</v>
      </c>
      <c r="L1038" s="3565">
        <v>12318.36</v>
      </c>
      <c r="M1038" s="3565">
        <v>0</v>
      </c>
      <c r="N1038" s="3565">
        <v>0</v>
      </c>
      <c r="O1038" s="3563" t="s">
        <v>3453</v>
      </c>
    </row>
    <row r="1039" spans="1:15">
      <c r="A1039" s="3563" t="s">
        <v>5249</v>
      </c>
      <c r="B1039" s="3563" t="s">
        <v>4196</v>
      </c>
      <c r="C1039" s="3563" t="s">
        <v>4197</v>
      </c>
      <c r="D1039" s="3563" t="s">
        <v>4796</v>
      </c>
      <c r="E1039" s="3563" t="s">
        <v>4297</v>
      </c>
      <c r="F1039" s="3563" t="s">
        <v>4797</v>
      </c>
      <c r="G1039" s="3564">
        <v>100.61</v>
      </c>
      <c r="H1039" s="3564">
        <v>81.739999999999995</v>
      </c>
      <c r="I1039" s="3564">
        <v>18.87</v>
      </c>
      <c r="J1039" s="3565">
        <v>1073007</v>
      </c>
      <c r="K1039" s="3565">
        <v>10665.01</v>
      </c>
      <c r="L1039" s="3565">
        <v>13127.07</v>
      </c>
      <c r="M1039" s="3565">
        <v>0</v>
      </c>
      <c r="N1039" s="3565">
        <v>0</v>
      </c>
      <c r="O1039" s="3563" t="s">
        <v>3453</v>
      </c>
    </row>
    <row r="1040" spans="1:15">
      <c r="A1040" s="3563" t="s">
        <v>5250</v>
      </c>
      <c r="B1040" s="3563" t="s">
        <v>4196</v>
      </c>
      <c r="C1040" s="3563" t="s">
        <v>4197</v>
      </c>
      <c r="D1040" s="3563" t="s">
        <v>4796</v>
      </c>
      <c r="E1040" s="3563" t="s">
        <v>4297</v>
      </c>
      <c r="F1040" s="3563" t="s">
        <v>4797</v>
      </c>
      <c r="G1040" s="3564">
        <v>100.61</v>
      </c>
      <c r="H1040" s="3564">
        <v>81.739999999999995</v>
      </c>
      <c r="I1040" s="3564">
        <v>18.87</v>
      </c>
      <c r="J1040" s="3565">
        <v>1073007</v>
      </c>
      <c r="K1040" s="3565">
        <v>10665.01</v>
      </c>
      <c r="L1040" s="3565">
        <v>13127.07</v>
      </c>
      <c r="M1040" s="3565">
        <v>0</v>
      </c>
      <c r="N1040" s="3565">
        <v>0</v>
      </c>
      <c r="O1040" s="3563" t="s">
        <v>3453</v>
      </c>
    </row>
    <row r="1041" spans="1:15">
      <c r="A1041" s="3563" t="s">
        <v>5251</v>
      </c>
      <c r="B1041" s="3563" t="s">
        <v>4196</v>
      </c>
      <c r="C1041" s="3563" t="s">
        <v>4197</v>
      </c>
      <c r="D1041" s="3563" t="s">
        <v>4796</v>
      </c>
      <c r="E1041" s="3563" t="s">
        <v>4297</v>
      </c>
      <c r="F1041" s="3563" t="s">
        <v>4797</v>
      </c>
      <c r="G1041" s="3564">
        <v>108.86</v>
      </c>
      <c r="H1041" s="3564">
        <v>88.44</v>
      </c>
      <c r="I1041" s="3564">
        <v>20.420000000000002</v>
      </c>
      <c r="J1041" s="3565">
        <v>1148745</v>
      </c>
      <c r="K1041" s="3565">
        <v>10552.5</v>
      </c>
      <c r="L1041" s="3565">
        <v>12988.98</v>
      </c>
      <c r="M1041" s="3565">
        <v>0</v>
      </c>
      <c r="N1041" s="3565">
        <v>0</v>
      </c>
      <c r="O1041" s="3563" t="s">
        <v>3453</v>
      </c>
    </row>
    <row r="1042" spans="1:15">
      <c r="A1042" s="3563" t="s">
        <v>5252</v>
      </c>
      <c r="B1042" s="3563" t="s">
        <v>4196</v>
      </c>
      <c r="C1042" s="3563" t="s">
        <v>4197</v>
      </c>
      <c r="D1042" s="3563" t="s">
        <v>4796</v>
      </c>
      <c r="E1042" s="3563" t="s">
        <v>4297</v>
      </c>
      <c r="F1042" s="3563" t="s">
        <v>4797</v>
      </c>
      <c r="G1042" s="3564">
        <v>87.39</v>
      </c>
      <c r="H1042" s="3564">
        <v>71</v>
      </c>
      <c r="I1042" s="3564">
        <v>16.39</v>
      </c>
      <c r="J1042" s="3565">
        <v>905798</v>
      </c>
      <c r="K1042" s="3565">
        <v>10365.01</v>
      </c>
      <c r="L1042" s="3565">
        <v>12757.72</v>
      </c>
      <c r="M1042" s="3565">
        <v>0</v>
      </c>
      <c r="N1042" s="3565">
        <v>0</v>
      </c>
      <c r="O1042" s="3563" t="s">
        <v>3453</v>
      </c>
    </row>
    <row r="1043" spans="1:15">
      <c r="A1043" s="3563" t="s">
        <v>5253</v>
      </c>
      <c r="B1043" s="3563" t="s">
        <v>4196</v>
      </c>
      <c r="C1043" s="3563" t="s">
        <v>4197</v>
      </c>
      <c r="D1043" s="3563" t="s">
        <v>4796</v>
      </c>
      <c r="E1043" s="3563" t="s">
        <v>4297</v>
      </c>
      <c r="F1043" s="3563" t="s">
        <v>4797</v>
      </c>
      <c r="G1043" s="3564">
        <v>87.39</v>
      </c>
      <c r="H1043" s="3564">
        <v>71</v>
      </c>
      <c r="I1043" s="3564">
        <v>16.39</v>
      </c>
      <c r="J1043" s="3565">
        <v>905798</v>
      </c>
      <c r="K1043" s="3565">
        <v>10365.01</v>
      </c>
      <c r="L1043" s="3565">
        <v>12757.72</v>
      </c>
      <c r="M1043" s="3565">
        <v>0</v>
      </c>
      <c r="N1043" s="3565">
        <v>0</v>
      </c>
      <c r="O1043" s="3563" t="s">
        <v>3453</v>
      </c>
    </row>
    <row r="1044" spans="1:15">
      <c r="A1044" s="3563" t="s">
        <v>5254</v>
      </c>
      <c r="B1044" s="3563" t="s">
        <v>4196</v>
      </c>
      <c r="C1044" s="3563" t="s">
        <v>4197</v>
      </c>
      <c r="D1044" s="3563" t="s">
        <v>4796</v>
      </c>
      <c r="E1044" s="3563" t="s">
        <v>4297</v>
      </c>
      <c r="F1044" s="3563" t="s">
        <v>4797</v>
      </c>
      <c r="G1044" s="3564">
        <v>100.94</v>
      </c>
      <c r="H1044" s="3564">
        <v>82.01</v>
      </c>
      <c r="I1044" s="3564">
        <v>18.93</v>
      </c>
      <c r="J1044" s="3565">
        <v>1033625</v>
      </c>
      <c r="K1044" s="3565">
        <v>10239.99</v>
      </c>
      <c r="L1044" s="3565">
        <v>12603.65</v>
      </c>
      <c r="M1044" s="3565">
        <v>0</v>
      </c>
      <c r="N1044" s="3565">
        <v>0</v>
      </c>
      <c r="O1044" s="3563" t="s">
        <v>3453</v>
      </c>
    </row>
    <row r="1045" spans="1:15">
      <c r="A1045" s="3563" t="s">
        <v>5255</v>
      </c>
      <c r="B1045" s="3563" t="s">
        <v>4196</v>
      </c>
      <c r="C1045" s="3563" t="s">
        <v>4197</v>
      </c>
      <c r="D1045" s="3563" t="s">
        <v>4796</v>
      </c>
      <c r="E1045" s="3563" t="s">
        <v>4297</v>
      </c>
      <c r="F1045" s="3563" t="s">
        <v>4797</v>
      </c>
      <c r="G1045" s="3564">
        <v>100.61</v>
      </c>
      <c r="H1045" s="3564">
        <v>81.739999999999995</v>
      </c>
      <c r="I1045" s="3564">
        <v>18.87</v>
      </c>
      <c r="J1045" s="3565">
        <v>1074264</v>
      </c>
      <c r="K1045" s="3565">
        <v>10677.51</v>
      </c>
      <c r="L1045" s="3565">
        <v>13142.45</v>
      </c>
      <c r="M1045" s="3565">
        <v>0</v>
      </c>
      <c r="N1045" s="3565">
        <v>0</v>
      </c>
      <c r="O1045" s="3563" t="s">
        <v>3453</v>
      </c>
    </row>
    <row r="1046" spans="1:15">
      <c r="A1046" s="3563" t="s">
        <v>5256</v>
      </c>
      <c r="B1046" s="3563" t="s">
        <v>4196</v>
      </c>
      <c r="C1046" s="3563" t="s">
        <v>4197</v>
      </c>
      <c r="D1046" s="3563" t="s">
        <v>4796</v>
      </c>
      <c r="E1046" s="3563" t="s">
        <v>4297</v>
      </c>
      <c r="F1046" s="3563" t="s">
        <v>4797</v>
      </c>
      <c r="G1046" s="3564">
        <v>100.61</v>
      </c>
      <c r="H1046" s="3564">
        <v>81.739999999999995</v>
      </c>
      <c r="I1046" s="3564">
        <v>18.87</v>
      </c>
      <c r="J1046" s="3565">
        <v>1074264</v>
      </c>
      <c r="K1046" s="3565">
        <v>10677.51</v>
      </c>
      <c r="L1046" s="3565">
        <v>13142.45</v>
      </c>
      <c r="M1046" s="3565">
        <v>0</v>
      </c>
      <c r="N1046" s="3565">
        <v>0</v>
      </c>
      <c r="O1046" s="3563" t="s">
        <v>3453</v>
      </c>
    </row>
    <row r="1047" spans="1:15">
      <c r="A1047" s="3563" t="s">
        <v>5257</v>
      </c>
      <c r="B1047" s="3563" t="s">
        <v>4196</v>
      </c>
      <c r="C1047" s="3563" t="s">
        <v>4197</v>
      </c>
      <c r="D1047" s="3563" t="s">
        <v>4796</v>
      </c>
      <c r="E1047" s="3563" t="s">
        <v>4297</v>
      </c>
      <c r="F1047" s="3563" t="s">
        <v>4797</v>
      </c>
      <c r="G1047" s="3564">
        <v>108.86</v>
      </c>
      <c r="H1047" s="3564">
        <v>88.44</v>
      </c>
      <c r="I1047" s="3564">
        <v>20.420000000000002</v>
      </c>
      <c r="J1047" s="3565">
        <v>1150107</v>
      </c>
      <c r="K1047" s="3565">
        <v>10565.01</v>
      </c>
      <c r="L1047" s="3565">
        <v>13004.38</v>
      </c>
      <c r="M1047" s="3565">
        <v>0</v>
      </c>
      <c r="N1047" s="3565">
        <v>0</v>
      </c>
      <c r="O1047" s="3563" t="s">
        <v>3453</v>
      </c>
    </row>
    <row r="1048" spans="1:15">
      <c r="A1048" s="3563" t="s">
        <v>5258</v>
      </c>
      <c r="B1048" s="3563" t="s">
        <v>4196</v>
      </c>
      <c r="C1048" s="3563" t="s">
        <v>4197</v>
      </c>
      <c r="D1048" s="3563" t="s">
        <v>4796</v>
      </c>
      <c r="E1048" s="3563" t="s">
        <v>4297</v>
      </c>
      <c r="F1048" s="3563" t="s">
        <v>4797</v>
      </c>
      <c r="G1048" s="3564">
        <v>87.39</v>
      </c>
      <c r="H1048" s="3564">
        <v>71</v>
      </c>
      <c r="I1048" s="3564">
        <v>16.39</v>
      </c>
      <c r="J1048" s="3565">
        <v>906890</v>
      </c>
      <c r="K1048" s="3565">
        <v>10377.5</v>
      </c>
      <c r="L1048" s="3565">
        <v>12773.1</v>
      </c>
      <c r="M1048" s="3565">
        <v>0</v>
      </c>
      <c r="N1048" s="3565">
        <v>0</v>
      </c>
      <c r="O1048" s="3563" t="s">
        <v>3453</v>
      </c>
    </row>
    <row r="1049" spans="1:15">
      <c r="A1049" s="3563" t="s">
        <v>5259</v>
      </c>
      <c r="B1049" s="3563" t="s">
        <v>4196</v>
      </c>
      <c r="C1049" s="3563" t="s">
        <v>4197</v>
      </c>
      <c r="D1049" s="3563" t="s">
        <v>4796</v>
      </c>
      <c r="E1049" s="3563" t="s">
        <v>4297</v>
      </c>
      <c r="F1049" s="3563" t="s">
        <v>4797</v>
      </c>
      <c r="G1049" s="3564">
        <v>87.39</v>
      </c>
      <c r="H1049" s="3564">
        <v>71</v>
      </c>
      <c r="I1049" s="3564">
        <v>16.39</v>
      </c>
      <c r="J1049" s="3565">
        <v>906890</v>
      </c>
      <c r="K1049" s="3565">
        <v>10377.5</v>
      </c>
      <c r="L1049" s="3565">
        <v>12773.1</v>
      </c>
      <c r="M1049" s="3565">
        <v>0</v>
      </c>
      <c r="N1049" s="3565">
        <v>0</v>
      </c>
      <c r="O1049" s="3563" t="s">
        <v>3453</v>
      </c>
    </row>
    <row r="1050" spans="1:15">
      <c r="A1050" s="3563" t="s">
        <v>5260</v>
      </c>
      <c r="B1050" s="3563" t="s">
        <v>4196</v>
      </c>
      <c r="C1050" s="3563" t="s">
        <v>4197</v>
      </c>
      <c r="D1050" s="3563" t="s">
        <v>4796</v>
      </c>
      <c r="E1050" s="3563" t="s">
        <v>4297</v>
      </c>
      <c r="F1050" s="3563" t="s">
        <v>4797</v>
      </c>
      <c r="G1050" s="3564">
        <v>100.94</v>
      </c>
      <c r="H1050" s="3564">
        <v>82.01</v>
      </c>
      <c r="I1050" s="3564">
        <v>18.93</v>
      </c>
      <c r="J1050" s="3565">
        <v>1034888</v>
      </c>
      <c r="K1050" s="3565">
        <v>10252.51</v>
      </c>
      <c r="L1050" s="3565">
        <v>12619.05</v>
      </c>
      <c r="M1050" s="3565">
        <v>0</v>
      </c>
      <c r="N1050" s="3565">
        <v>0</v>
      </c>
      <c r="O1050" s="3563" t="s">
        <v>3453</v>
      </c>
    </row>
    <row r="1051" spans="1:15">
      <c r="A1051" s="3563" t="s">
        <v>5261</v>
      </c>
      <c r="B1051" s="3563" t="s">
        <v>4196</v>
      </c>
      <c r="C1051" s="3563" t="s">
        <v>4197</v>
      </c>
      <c r="D1051" s="3563" t="s">
        <v>4796</v>
      </c>
      <c r="E1051" s="3563" t="s">
        <v>4297</v>
      </c>
      <c r="F1051" s="3563" t="s">
        <v>4797</v>
      </c>
      <c r="G1051" s="3564">
        <v>100.61</v>
      </c>
      <c r="H1051" s="3564">
        <v>81.739999999999995</v>
      </c>
      <c r="I1051" s="3564">
        <v>18.87</v>
      </c>
      <c r="J1051" s="3565">
        <v>1075522</v>
      </c>
      <c r="K1051" s="3565">
        <v>10690.01</v>
      </c>
      <c r="L1051" s="3565">
        <v>13157.84</v>
      </c>
      <c r="M1051" s="3565">
        <v>0</v>
      </c>
      <c r="N1051" s="3565">
        <v>0</v>
      </c>
      <c r="O1051" s="3563" t="s">
        <v>3453</v>
      </c>
    </row>
    <row r="1052" spans="1:15">
      <c r="A1052" s="3563" t="s">
        <v>5262</v>
      </c>
      <c r="B1052" s="3563" t="s">
        <v>4196</v>
      </c>
      <c r="C1052" s="3563" t="s">
        <v>4197</v>
      </c>
      <c r="D1052" s="3563" t="s">
        <v>4796</v>
      </c>
      <c r="E1052" s="3563" t="s">
        <v>4297</v>
      </c>
      <c r="F1052" s="3563" t="s">
        <v>4797</v>
      </c>
      <c r="G1052" s="3564">
        <v>100.61</v>
      </c>
      <c r="H1052" s="3564">
        <v>81.739999999999995</v>
      </c>
      <c r="I1052" s="3564">
        <v>18.87</v>
      </c>
      <c r="J1052" s="3565">
        <v>1075522</v>
      </c>
      <c r="K1052" s="3565">
        <v>10690.01</v>
      </c>
      <c r="L1052" s="3565">
        <v>13157.84</v>
      </c>
      <c r="M1052" s="3565">
        <v>0</v>
      </c>
      <c r="N1052" s="3565">
        <v>0</v>
      </c>
      <c r="O1052" s="3563" t="s">
        <v>3453</v>
      </c>
    </row>
    <row r="1053" spans="1:15">
      <c r="A1053" s="3563" t="s">
        <v>5263</v>
      </c>
      <c r="B1053" s="3563" t="s">
        <v>4196</v>
      </c>
      <c r="C1053" s="3563" t="s">
        <v>4197</v>
      </c>
      <c r="D1053" s="3563" t="s">
        <v>4796</v>
      </c>
      <c r="E1053" s="3563" t="s">
        <v>4297</v>
      </c>
      <c r="F1053" s="3563" t="s">
        <v>4797</v>
      </c>
      <c r="G1053" s="3564">
        <v>108.86</v>
      </c>
      <c r="H1053" s="3564">
        <v>88.44</v>
      </c>
      <c r="I1053" s="3564">
        <v>20.420000000000002</v>
      </c>
      <c r="J1053" s="3565">
        <v>1151467</v>
      </c>
      <c r="K1053" s="3565">
        <v>10577.5</v>
      </c>
      <c r="L1053" s="3565">
        <v>13019.75</v>
      </c>
      <c r="M1053" s="3565">
        <v>0</v>
      </c>
      <c r="N1053" s="3565">
        <v>0</v>
      </c>
      <c r="O1053" s="3563" t="s">
        <v>3453</v>
      </c>
    </row>
    <row r="1054" spans="1:15">
      <c r="A1054" s="3563" t="s">
        <v>5264</v>
      </c>
      <c r="B1054" s="3563" t="s">
        <v>4196</v>
      </c>
      <c r="C1054" s="3563" t="s">
        <v>4197</v>
      </c>
      <c r="D1054" s="3563" t="s">
        <v>4796</v>
      </c>
      <c r="E1054" s="3563" t="s">
        <v>4297</v>
      </c>
      <c r="F1054" s="3563" t="s">
        <v>4797</v>
      </c>
      <c r="G1054" s="3564">
        <v>87.39</v>
      </c>
      <c r="H1054" s="3564">
        <v>71</v>
      </c>
      <c r="I1054" s="3564">
        <v>16.39</v>
      </c>
      <c r="J1054" s="3565">
        <v>907983</v>
      </c>
      <c r="K1054" s="3565">
        <v>10390.01</v>
      </c>
      <c r="L1054" s="3565">
        <v>12788.49</v>
      </c>
      <c r="M1054" s="3565">
        <v>0</v>
      </c>
      <c r="N1054" s="3565">
        <v>0</v>
      </c>
      <c r="O1054" s="3563" t="s">
        <v>3453</v>
      </c>
    </row>
    <row r="1055" spans="1:15">
      <c r="A1055" s="3563" t="s">
        <v>5265</v>
      </c>
      <c r="B1055" s="3563" t="s">
        <v>4196</v>
      </c>
      <c r="C1055" s="3563" t="s">
        <v>4197</v>
      </c>
      <c r="D1055" s="3563" t="s">
        <v>4796</v>
      </c>
      <c r="E1055" s="3563" t="s">
        <v>4297</v>
      </c>
      <c r="F1055" s="3563" t="s">
        <v>4797</v>
      </c>
      <c r="G1055" s="3564">
        <v>87.39</v>
      </c>
      <c r="H1055" s="3564">
        <v>71</v>
      </c>
      <c r="I1055" s="3564">
        <v>16.39</v>
      </c>
      <c r="J1055" s="3565">
        <v>907983</v>
      </c>
      <c r="K1055" s="3565">
        <v>10390.01</v>
      </c>
      <c r="L1055" s="3565">
        <v>12788.49</v>
      </c>
      <c r="M1055" s="3565">
        <v>0</v>
      </c>
      <c r="N1055" s="3565">
        <v>0</v>
      </c>
      <c r="O1055" s="3563" t="s">
        <v>3453</v>
      </c>
    </row>
    <row r="1056" spans="1:15">
      <c r="A1056" s="3563" t="s">
        <v>5266</v>
      </c>
      <c r="B1056" s="3563" t="s">
        <v>4196</v>
      </c>
      <c r="C1056" s="3563" t="s">
        <v>4197</v>
      </c>
      <c r="D1056" s="3563" t="s">
        <v>4796</v>
      </c>
      <c r="E1056" s="3563" t="s">
        <v>4297</v>
      </c>
      <c r="F1056" s="3563" t="s">
        <v>4797</v>
      </c>
      <c r="G1056" s="3564">
        <v>100.94</v>
      </c>
      <c r="H1056" s="3564">
        <v>82.01</v>
      </c>
      <c r="I1056" s="3564">
        <v>18.93</v>
      </c>
      <c r="J1056" s="3565">
        <v>1036149</v>
      </c>
      <c r="K1056" s="3565">
        <v>10265</v>
      </c>
      <c r="L1056" s="3565">
        <v>12634.42</v>
      </c>
      <c r="M1056" s="3565">
        <v>0</v>
      </c>
      <c r="N1056" s="3565">
        <v>0</v>
      </c>
      <c r="O1056" s="3563" t="s">
        <v>3453</v>
      </c>
    </row>
    <row r="1057" spans="1:15">
      <c r="A1057" s="3563" t="s">
        <v>5267</v>
      </c>
      <c r="B1057" s="3563" t="s">
        <v>4196</v>
      </c>
      <c r="C1057" s="3563" t="s">
        <v>4197</v>
      </c>
      <c r="D1057" s="3563" t="s">
        <v>4796</v>
      </c>
      <c r="E1057" s="3563" t="s">
        <v>4297</v>
      </c>
      <c r="F1057" s="3563" t="s">
        <v>4797</v>
      </c>
      <c r="G1057" s="3564">
        <v>100.61</v>
      </c>
      <c r="H1057" s="3564">
        <v>81.739999999999995</v>
      </c>
      <c r="I1057" s="3564">
        <v>18.87</v>
      </c>
      <c r="J1057" s="3565">
        <v>1076779</v>
      </c>
      <c r="K1057" s="3565">
        <v>10702.5</v>
      </c>
      <c r="L1057" s="3565">
        <v>13173.22</v>
      </c>
      <c r="M1057" s="3565">
        <v>0</v>
      </c>
      <c r="N1057" s="3565">
        <v>0</v>
      </c>
      <c r="O1057" s="3563" t="s">
        <v>3453</v>
      </c>
    </row>
    <row r="1058" spans="1:15">
      <c r="A1058" s="3563" t="s">
        <v>5268</v>
      </c>
      <c r="B1058" s="3563" t="s">
        <v>4196</v>
      </c>
      <c r="C1058" s="3563" t="s">
        <v>4197</v>
      </c>
      <c r="D1058" s="3563" t="s">
        <v>4796</v>
      </c>
      <c r="E1058" s="3563" t="s">
        <v>4297</v>
      </c>
      <c r="F1058" s="3563" t="s">
        <v>4797</v>
      </c>
      <c r="G1058" s="3564">
        <v>100.61</v>
      </c>
      <c r="H1058" s="3564">
        <v>81.739999999999995</v>
      </c>
      <c r="I1058" s="3564">
        <v>18.87</v>
      </c>
      <c r="J1058" s="3565">
        <v>1076779</v>
      </c>
      <c r="K1058" s="3565">
        <v>10702.5</v>
      </c>
      <c r="L1058" s="3565">
        <v>13173.22</v>
      </c>
      <c r="M1058" s="3565">
        <v>0</v>
      </c>
      <c r="N1058" s="3565">
        <v>0</v>
      </c>
      <c r="O1058" s="3563" t="s">
        <v>3453</v>
      </c>
    </row>
    <row r="1059" spans="1:15">
      <c r="A1059" s="3563" t="s">
        <v>5269</v>
      </c>
      <c r="B1059" s="3563" t="s">
        <v>4196</v>
      </c>
      <c r="C1059" s="3563" t="s">
        <v>4197</v>
      </c>
      <c r="D1059" s="3563" t="s">
        <v>4796</v>
      </c>
      <c r="E1059" s="3563" t="s">
        <v>4423</v>
      </c>
      <c r="F1059" s="3563" t="s">
        <v>4797</v>
      </c>
      <c r="G1059" s="3564">
        <v>88.98</v>
      </c>
      <c r="H1059" s="3564">
        <v>71</v>
      </c>
      <c r="I1059" s="3564">
        <v>17.98</v>
      </c>
      <c r="J1059" s="3565">
        <v>942299</v>
      </c>
      <c r="K1059" s="3565">
        <v>10590.01</v>
      </c>
      <c r="L1059" s="3565">
        <v>13271.82</v>
      </c>
      <c r="M1059" s="3565">
        <v>0</v>
      </c>
      <c r="N1059" s="3565">
        <v>0</v>
      </c>
      <c r="O1059" s="3563" t="s">
        <v>3453</v>
      </c>
    </row>
    <row r="1060" spans="1:15">
      <c r="A1060" s="3563" t="s">
        <v>5270</v>
      </c>
      <c r="B1060" s="3563" t="s">
        <v>4196</v>
      </c>
      <c r="C1060" s="3563" t="s">
        <v>4197</v>
      </c>
      <c r="D1060" s="3563" t="s">
        <v>4796</v>
      </c>
      <c r="E1060" s="3563" t="s">
        <v>4423</v>
      </c>
      <c r="F1060" s="3563" t="s">
        <v>4797</v>
      </c>
      <c r="G1060" s="3564">
        <v>88.98</v>
      </c>
      <c r="H1060" s="3564">
        <v>71</v>
      </c>
      <c r="I1060" s="3564">
        <v>17.98</v>
      </c>
      <c r="J1060" s="3565">
        <v>942299</v>
      </c>
      <c r="K1060" s="3565">
        <v>10590.01</v>
      </c>
      <c r="L1060" s="3565">
        <v>13271.82</v>
      </c>
      <c r="M1060" s="3565">
        <v>0</v>
      </c>
      <c r="N1060" s="3565">
        <v>0</v>
      </c>
      <c r="O1060" s="3563" t="s">
        <v>3453</v>
      </c>
    </row>
    <row r="1061" spans="1:15">
      <c r="A1061" s="3563" t="s">
        <v>5271</v>
      </c>
      <c r="B1061" s="3563" t="s">
        <v>4196</v>
      </c>
      <c r="C1061" s="3563" t="s">
        <v>4197</v>
      </c>
      <c r="D1061" s="3563" t="s">
        <v>4796</v>
      </c>
      <c r="E1061" s="3563" t="s">
        <v>4423</v>
      </c>
      <c r="F1061" s="3563" t="s">
        <v>4797</v>
      </c>
      <c r="G1061" s="3564">
        <v>91.22</v>
      </c>
      <c r="H1061" s="3564">
        <v>72.790000000000006</v>
      </c>
      <c r="I1061" s="3564">
        <v>18.43</v>
      </c>
      <c r="J1061" s="3565">
        <v>914709</v>
      </c>
      <c r="K1061" s="3565">
        <v>10027.5</v>
      </c>
      <c r="L1061" s="3565">
        <v>12566.41</v>
      </c>
      <c r="M1061" s="3565">
        <v>0</v>
      </c>
      <c r="N1061" s="3565">
        <v>0</v>
      </c>
      <c r="O1061" s="3563" t="s">
        <v>3453</v>
      </c>
    </row>
    <row r="1062" spans="1:15">
      <c r="A1062" s="3563" t="s">
        <v>5272</v>
      </c>
      <c r="B1062" s="3563" t="s">
        <v>4811</v>
      </c>
      <c r="C1062" s="3563" t="s">
        <v>4197</v>
      </c>
      <c r="D1062" s="3563" t="s">
        <v>4796</v>
      </c>
      <c r="E1062" s="3563" t="s">
        <v>4423</v>
      </c>
      <c r="F1062" s="3563" t="s">
        <v>4797</v>
      </c>
      <c r="G1062" s="3564">
        <v>88.98</v>
      </c>
      <c r="H1062" s="3564">
        <v>71</v>
      </c>
      <c r="I1062" s="3564">
        <v>17.98</v>
      </c>
      <c r="J1062" s="3565">
        <v>892248</v>
      </c>
      <c r="K1062" s="3565">
        <v>10027.51</v>
      </c>
      <c r="L1062" s="3565">
        <v>12566.87</v>
      </c>
      <c r="M1062" s="3565">
        <v>847636</v>
      </c>
      <c r="N1062" s="3565">
        <v>9526.14</v>
      </c>
      <c r="O1062" s="3566">
        <v>44190</v>
      </c>
    </row>
    <row r="1063" spans="1:15">
      <c r="A1063" s="3563" t="s">
        <v>5273</v>
      </c>
      <c r="B1063" s="3563" t="s">
        <v>4811</v>
      </c>
      <c r="C1063" s="3563" t="s">
        <v>4197</v>
      </c>
      <c r="D1063" s="3563" t="s">
        <v>4796</v>
      </c>
      <c r="E1063" s="3563" t="s">
        <v>4423</v>
      </c>
      <c r="F1063" s="3563" t="s">
        <v>4797</v>
      </c>
      <c r="G1063" s="3564">
        <v>88.98</v>
      </c>
      <c r="H1063" s="3564">
        <v>71</v>
      </c>
      <c r="I1063" s="3564">
        <v>17.98</v>
      </c>
      <c r="J1063" s="3565">
        <v>892248</v>
      </c>
      <c r="K1063" s="3565">
        <v>10027.51</v>
      </c>
      <c r="L1063" s="3565">
        <v>12566.87</v>
      </c>
      <c r="M1063" s="3565">
        <v>847636</v>
      </c>
      <c r="N1063" s="3565">
        <v>9526.14</v>
      </c>
      <c r="O1063" s="3566">
        <v>44190</v>
      </c>
    </row>
    <row r="1064" spans="1:15">
      <c r="A1064" s="3563" t="s">
        <v>5274</v>
      </c>
      <c r="B1064" s="3563" t="s">
        <v>4196</v>
      </c>
      <c r="C1064" s="3563" t="s">
        <v>4197</v>
      </c>
      <c r="D1064" s="3563" t="s">
        <v>4796</v>
      </c>
      <c r="E1064" s="3563" t="s">
        <v>4423</v>
      </c>
      <c r="F1064" s="3563" t="s">
        <v>4797</v>
      </c>
      <c r="G1064" s="3564">
        <v>102.77</v>
      </c>
      <c r="H1064" s="3564">
        <v>82.01</v>
      </c>
      <c r="I1064" s="3564">
        <v>20.76</v>
      </c>
      <c r="J1064" s="3565">
        <v>1049795</v>
      </c>
      <c r="K1064" s="3565">
        <v>10214.99</v>
      </c>
      <c r="L1064" s="3565">
        <v>12800.82</v>
      </c>
      <c r="M1064" s="3565">
        <v>0</v>
      </c>
      <c r="N1064" s="3565">
        <v>0</v>
      </c>
      <c r="O1064" s="3563" t="s">
        <v>3453</v>
      </c>
    </row>
    <row r="1065" spans="1:15">
      <c r="A1065" s="3563" t="s">
        <v>5275</v>
      </c>
      <c r="B1065" s="3563" t="s">
        <v>4196</v>
      </c>
      <c r="C1065" s="3563" t="s">
        <v>4197</v>
      </c>
      <c r="D1065" s="3563" t="s">
        <v>4796</v>
      </c>
      <c r="E1065" s="3563" t="s">
        <v>4423</v>
      </c>
      <c r="F1065" s="3563" t="s">
        <v>4797</v>
      </c>
      <c r="G1065" s="3564">
        <v>88.98</v>
      </c>
      <c r="H1065" s="3564">
        <v>71</v>
      </c>
      <c r="I1065" s="3564">
        <v>17.98</v>
      </c>
      <c r="J1065" s="3565">
        <v>943410</v>
      </c>
      <c r="K1065" s="3565">
        <v>10602.49</v>
      </c>
      <c r="L1065" s="3565">
        <v>13287.46</v>
      </c>
      <c r="M1065" s="3565">
        <v>0</v>
      </c>
      <c r="N1065" s="3565">
        <v>0</v>
      </c>
      <c r="O1065" s="3563" t="s">
        <v>3453</v>
      </c>
    </row>
    <row r="1066" spans="1:15">
      <c r="A1066" s="3563" t="s">
        <v>5276</v>
      </c>
      <c r="B1066" s="3563" t="s">
        <v>5277</v>
      </c>
      <c r="C1066" s="3563" t="s">
        <v>4197</v>
      </c>
      <c r="D1066" s="3563" t="s">
        <v>4796</v>
      </c>
      <c r="E1066" s="3563" t="s">
        <v>4423</v>
      </c>
      <c r="F1066" s="3563" t="s">
        <v>4797</v>
      </c>
      <c r="G1066" s="3564">
        <v>88.98</v>
      </c>
      <c r="H1066" s="3564">
        <v>71</v>
      </c>
      <c r="I1066" s="3564">
        <v>17.98</v>
      </c>
      <c r="J1066" s="3565">
        <v>943410</v>
      </c>
      <c r="K1066" s="3565">
        <v>10602.49</v>
      </c>
      <c r="L1066" s="3565">
        <v>13287.46</v>
      </c>
      <c r="M1066" s="3565">
        <v>896240</v>
      </c>
      <c r="N1066" s="3565">
        <v>10072.379999999999</v>
      </c>
      <c r="O1066" s="3566">
        <v>44189</v>
      </c>
    </row>
    <row r="1067" spans="1:15">
      <c r="A1067" s="3563" t="s">
        <v>5278</v>
      </c>
      <c r="B1067" s="3563" t="s">
        <v>4811</v>
      </c>
      <c r="C1067" s="3563" t="s">
        <v>4197</v>
      </c>
      <c r="D1067" s="3563" t="s">
        <v>4796</v>
      </c>
      <c r="E1067" s="3563" t="s">
        <v>4423</v>
      </c>
      <c r="F1067" s="3563" t="s">
        <v>4797</v>
      </c>
      <c r="G1067" s="3564">
        <v>91.22</v>
      </c>
      <c r="H1067" s="3564">
        <v>72.790000000000006</v>
      </c>
      <c r="I1067" s="3564">
        <v>18.43</v>
      </c>
      <c r="J1067" s="3565">
        <v>915849</v>
      </c>
      <c r="K1067" s="3565">
        <v>10040</v>
      </c>
      <c r="L1067" s="3565">
        <v>12582.07</v>
      </c>
      <c r="M1067" s="3565">
        <v>915849</v>
      </c>
      <c r="N1067" s="3565">
        <v>10040</v>
      </c>
      <c r="O1067" s="3566">
        <v>44187</v>
      </c>
    </row>
    <row r="1068" spans="1:15">
      <c r="A1068" s="3563" t="s">
        <v>5279</v>
      </c>
      <c r="B1068" s="3563" t="s">
        <v>4811</v>
      </c>
      <c r="C1068" s="3563" t="s">
        <v>4197</v>
      </c>
      <c r="D1068" s="3563" t="s">
        <v>4796</v>
      </c>
      <c r="E1068" s="3563" t="s">
        <v>4423</v>
      </c>
      <c r="F1068" s="3563" t="s">
        <v>4797</v>
      </c>
      <c r="G1068" s="3564">
        <v>88.98</v>
      </c>
      <c r="H1068" s="3564">
        <v>71</v>
      </c>
      <c r="I1068" s="3564">
        <v>17.98</v>
      </c>
      <c r="J1068" s="3565">
        <v>893359</v>
      </c>
      <c r="K1068" s="3565">
        <v>10040</v>
      </c>
      <c r="L1068" s="3565">
        <v>12582.52</v>
      </c>
      <c r="M1068" s="3565">
        <v>848692</v>
      </c>
      <c r="N1068" s="3565">
        <v>9538.01</v>
      </c>
      <c r="O1068" s="3566">
        <v>44190</v>
      </c>
    </row>
    <row r="1069" spans="1:15">
      <c r="A1069" s="3563" t="s">
        <v>5280</v>
      </c>
      <c r="B1069" s="3563" t="s">
        <v>4811</v>
      </c>
      <c r="C1069" s="3563" t="s">
        <v>4197</v>
      </c>
      <c r="D1069" s="3563" t="s">
        <v>4796</v>
      </c>
      <c r="E1069" s="3563" t="s">
        <v>4423</v>
      </c>
      <c r="F1069" s="3563" t="s">
        <v>4797</v>
      </c>
      <c r="G1069" s="3564">
        <v>88.98</v>
      </c>
      <c r="H1069" s="3564">
        <v>71</v>
      </c>
      <c r="I1069" s="3564">
        <v>17.98</v>
      </c>
      <c r="J1069" s="3565">
        <v>893359</v>
      </c>
      <c r="K1069" s="3565">
        <v>10040</v>
      </c>
      <c r="L1069" s="3565">
        <v>12582.52</v>
      </c>
      <c r="M1069" s="3565">
        <v>848691</v>
      </c>
      <c r="N1069" s="3565">
        <v>9538</v>
      </c>
      <c r="O1069" s="3566">
        <v>44190</v>
      </c>
    </row>
    <row r="1070" spans="1:15">
      <c r="A1070" s="3563" t="s">
        <v>5281</v>
      </c>
      <c r="B1070" s="3563" t="s">
        <v>4196</v>
      </c>
      <c r="C1070" s="3563" t="s">
        <v>4197</v>
      </c>
      <c r="D1070" s="3563" t="s">
        <v>4796</v>
      </c>
      <c r="E1070" s="3563" t="s">
        <v>4423</v>
      </c>
      <c r="F1070" s="3563" t="s">
        <v>4797</v>
      </c>
      <c r="G1070" s="3564">
        <v>102.77</v>
      </c>
      <c r="H1070" s="3564">
        <v>82.01</v>
      </c>
      <c r="I1070" s="3564">
        <v>20.76</v>
      </c>
      <c r="J1070" s="3565">
        <v>1051080</v>
      </c>
      <c r="K1070" s="3565">
        <v>10227.5</v>
      </c>
      <c r="L1070" s="3565">
        <v>12816.49</v>
      </c>
      <c r="M1070" s="3565">
        <v>0</v>
      </c>
      <c r="N1070" s="3565">
        <v>0</v>
      </c>
      <c r="O1070" s="3563" t="s">
        <v>3453</v>
      </c>
    </row>
    <row r="1071" spans="1:15">
      <c r="A1071" s="3563" t="s">
        <v>5282</v>
      </c>
      <c r="B1071" s="3563" t="s">
        <v>4811</v>
      </c>
      <c r="C1071" s="3563" t="s">
        <v>4197</v>
      </c>
      <c r="D1071" s="3563" t="s">
        <v>4796</v>
      </c>
      <c r="E1071" s="3563" t="s">
        <v>4423</v>
      </c>
      <c r="F1071" s="3563" t="s">
        <v>4797</v>
      </c>
      <c r="G1071" s="3564">
        <v>88.98</v>
      </c>
      <c r="H1071" s="3564">
        <v>71</v>
      </c>
      <c r="I1071" s="3564">
        <v>17.98</v>
      </c>
      <c r="J1071" s="3565">
        <v>944523</v>
      </c>
      <c r="K1071" s="3565">
        <v>10615</v>
      </c>
      <c r="L1071" s="3565">
        <v>13303.14</v>
      </c>
      <c r="M1071" s="3565">
        <v>897297</v>
      </c>
      <c r="N1071" s="3565">
        <v>10084.25</v>
      </c>
      <c r="O1071" s="3566">
        <v>44190</v>
      </c>
    </row>
    <row r="1072" spans="1:15">
      <c r="A1072" s="3563" t="s">
        <v>5283</v>
      </c>
      <c r="B1072" s="3563" t="s">
        <v>5277</v>
      </c>
      <c r="C1072" s="3563" t="s">
        <v>4197</v>
      </c>
      <c r="D1072" s="3563" t="s">
        <v>4796</v>
      </c>
      <c r="E1072" s="3563" t="s">
        <v>4423</v>
      </c>
      <c r="F1072" s="3563" t="s">
        <v>4797</v>
      </c>
      <c r="G1072" s="3564">
        <v>88.98</v>
      </c>
      <c r="H1072" s="3564">
        <v>71</v>
      </c>
      <c r="I1072" s="3564">
        <v>17.98</v>
      </c>
      <c r="J1072" s="3565">
        <v>944523</v>
      </c>
      <c r="K1072" s="3565">
        <v>10615</v>
      </c>
      <c r="L1072" s="3565">
        <v>13303.14</v>
      </c>
      <c r="M1072" s="3565">
        <v>897297</v>
      </c>
      <c r="N1072" s="3565">
        <v>10084.25</v>
      </c>
      <c r="O1072" s="3566">
        <v>44189</v>
      </c>
    </row>
    <row r="1073" spans="1:15">
      <c r="A1073" s="3563" t="s">
        <v>5284</v>
      </c>
      <c r="B1073" s="3563" t="s">
        <v>4196</v>
      </c>
      <c r="C1073" s="3563" t="s">
        <v>4197</v>
      </c>
      <c r="D1073" s="3563" t="s">
        <v>4796</v>
      </c>
      <c r="E1073" s="3563" t="s">
        <v>4423</v>
      </c>
      <c r="F1073" s="3563" t="s">
        <v>4797</v>
      </c>
      <c r="G1073" s="3564">
        <v>91.22</v>
      </c>
      <c r="H1073" s="3564">
        <v>72.790000000000006</v>
      </c>
      <c r="I1073" s="3564">
        <v>18.43</v>
      </c>
      <c r="J1073" s="3565">
        <v>916989</v>
      </c>
      <c r="K1073" s="3565">
        <v>10052.5</v>
      </c>
      <c r="L1073" s="3565">
        <v>12597.73</v>
      </c>
      <c r="M1073" s="3565">
        <v>0</v>
      </c>
      <c r="N1073" s="3565">
        <v>0</v>
      </c>
      <c r="O1073" s="3563" t="s">
        <v>3453</v>
      </c>
    </row>
    <row r="1074" spans="1:15">
      <c r="A1074" s="3563" t="s">
        <v>5285</v>
      </c>
      <c r="B1074" s="3563" t="s">
        <v>4811</v>
      </c>
      <c r="C1074" s="3563" t="s">
        <v>4197</v>
      </c>
      <c r="D1074" s="3563" t="s">
        <v>4796</v>
      </c>
      <c r="E1074" s="3563" t="s">
        <v>4423</v>
      </c>
      <c r="F1074" s="3563" t="s">
        <v>4797</v>
      </c>
      <c r="G1074" s="3564">
        <v>88.98</v>
      </c>
      <c r="H1074" s="3564">
        <v>71</v>
      </c>
      <c r="I1074" s="3564">
        <v>17.98</v>
      </c>
      <c r="J1074" s="3565">
        <v>894472</v>
      </c>
      <c r="K1074" s="3565">
        <v>10052.51</v>
      </c>
      <c r="L1074" s="3565">
        <v>12598.2</v>
      </c>
      <c r="M1074" s="3565">
        <v>849749</v>
      </c>
      <c r="N1074" s="3565">
        <v>9549.89</v>
      </c>
      <c r="O1074" s="3566">
        <v>44189</v>
      </c>
    </row>
    <row r="1075" spans="1:15">
      <c r="A1075" s="3563" t="s">
        <v>5286</v>
      </c>
      <c r="B1075" s="3563" t="s">
        <v>4811</v>
      </c>
      <c r="C1075" s="3563" t="s">
        <v>4197</v>
      </c>
      <c r="D1075" s="3563" t="s">
        <v>4796</v>
      </c>
      <c r="E1075" s="3563" t="s">
        <v>4423</v>
      </c>
      <c r="F1075" s="3563" t="s">
        <v>4797</v>
      </c>
      <c r="G1075" s="3564">
        <v>88.98</v>
      </c>
      <c r="H1075" s="3564">
        <v>71</v>
      </c>
      <c r="I1075" s="3564">
        <v>17.98</v>
      </c>
      <c r="J1075" s="3565">
        <v>894472</v>
      </c>
      <c r="K1075" s="3565">
        <v>10052.51</v>
      </c>
      <c r="L1075" s="3565">
        <v>12598.2</v>
      </c>
      <c r="M1075" s="3565">
        <v>849749</v>
      </c>
      <c r="N1075" s="3565">
        <v>9549.89</v>
      </c>
      <c r="O1075" s="3566">
        <v>44189</v>
      </c>
    </row>
    <row r="1076" spans="1:15">
      <c r="A1076" s="3563" t="s">
        <v>5287</v>
      </c>
      <c r="B1076" s="3563" t="s">
        <v>4811</v>
      </c>
      <c r="C1076" s="3563" t="s">
        <v>4197</v>
      </c>
      <c r="D1076" s="3563" t="s">
        <v>4796</v>
      </c>
      <c r="E1076" s="3563" t="s">
        <v>4423</v>
      </c>
      <c r="F1076" s="3563" t="s">
        <v>4797</v>
      </c>
      <c r="G1076" s="3564">
        <v>102.77</v>
      </c>
      <c r="H1076" s="3564">
        <v>82.01</v>
      </c>
      <c r="I1076" s="3564">
        <v>20.76</v>
      </c>
      <c r="J1076" s="3565">
        <v>1052365</v>
      </c>
      <c r="K1076" s="3565">
        <v>10240</v>
      </c>
      <c r="L1076" s="3565">
        <v>12832.15</v>
      </c>
      <c r="M1076" s="3565">
        <v>1052365</v>
      </c>
      <c r="N1076" s="3565">
        <v>10240</v>
      </c>
      <c r="O1076" s="3566">
        <v>44185</v>
      </c>
    </row>
    <row r="1077" spans="1:15">
      <c r="A1077" s="3563" t="s">
        <v>5288</v>
      </c>
      <c r="B1077" s="3563" t="s">
        <v>4811</v>
      </c>
      <c r="C1077" s="3563" t="s">
        <v>4197</v>
      </c>
      <c r="D1077" s="3563" t="s">
        <v>4796</v>
      </c>
      <c r="E1077" s="3563" t="s">
        <v>4423</v>
      </c>
      <c r="F1077" s="3563" t="s">
        <v>4797</v>
      </c>
      <c r="G1077" s="3564">
        <v>88.98</v>
      </c>
      <c r="H1077" s="3564">
        <v>71</v>
      </c>
      <c r="I1077" s="3564">
        <v>17.98</v>
      </c>
      <c r="J1077" s="3565">
        <v>945635</v>
      </c>
      <c r="K1077" s="3565">
        <v>10627.5</v>
      </c>
      <c r="L1077" s="3565">
        <v>13318.8</v>
      </c>
      <c r="M1077" s="3565">
        <v>898354</v>
      </c>
      <c r="N1077" s="3565">
        <v>10096.129999999999</v>
      </c>
      <c r="O1077" s="3566">
        <v>44190</v>
      </c>
    </row>
    <row r="1078" spans="1:15">
      <c r="A1078" s="3563" t="s">
        <v>5289</v>
      </c>
      <c r="B1078" s="3563" t="s">
        <v>4811</v>
      </c>
      <c r="C1078" s="3563" t="s">
        <v>4197</v>
      </c>
      <c r="D1078" s="3563" t="s">
        <v>4796</v>
      </c>
      <c r="E1078" s="3563" t="s">
        <v>4423</v>
      </c>
      <c r="F1078" s="3563" t="s">
        <v>4797</v>
      </c>
      <c r="G1078" s="3564">
        <v>88.98</v>
      </c>
      <c r="H1078" s="3564">
        <v>71</v>
      </c>
      <c r="I1078" s="3564">
        <v>17.98</v>
      </c>
      <c r="J1078" s="3565">
        <v>945635</v>
      </c>
      <c r="K1078" s="3565">
        <v>10627.5</v>
      </c>
      <c r="L1078" s="3565">
        <v>13318.8</v>
      </c>
      <c r="M1078" s="3565">
        <v>898354</v>
      </c>
      <c r="N1078" s="3565">
        <v>10096.129999999999</v>
      </c>
      <c r="O1078" s="3566">
        <v>44192</v>
      </c>
    </row>
    <row r="1079" spans="1:15">
      <c r="A1079" s="3563" t="s">
        <v>5290</v>
      </c>
      <c r="B1079" s="3563" t="s">
        <v>4811</v>
      </c>
      <c r="C1079" s="3563" t="s">
        <v>4197</v>
      </c>
      <c r="D1079" s="3563" t="s">
        <v>4796</v>
      </c>
      <c r="E1079" s="3563" t="s">
        <v>4423</v>
      </c>
      <c r="F1079" s="3563" t="s">
        <v>4797</v>
      </c>
      <c r="G1079" s="3564">
        <v>91.22</v>
      </c>
      <c r="H1079" s="3564">
        <v>72.790000000000006</v>
      </c>
      <c r="I1079" s="3564">
        <v>18.43</v>
      </c>
      <c r="J1079" s="3565">
        <v>918129</v>
      </c>
      <c r="K1079" s="3565">
        <v>10065</v>
      </c>
      <c r="L1079" s="3565">
        <v>12613.39</v>
      </c>
      <c r="M1079" s="3565">
        <v>918129</v>
      </c>
      <c r="N1079" s="3565">
        <v>10065</v>
      </c>
      <c r="O1079" s="3566">
        <v>44188</v>
      </c>
    </row>
    <row r="1080" spans="1:15">
      <c r="A1080" s="3563" t="s">
        <v>5291</v>
      </c>
      <c r="B1080" s="3563" t="s">
        <v>4811</v>
      </c>
      <c r="C1080" s="3563" t="s">
        <v>4197</v>
      </c>
      <c r="D1080" s="3563" t="s">
        <v>4796</v>
      </c>
      <c r="E1080" s="3563" t="s">
        <v>4423</v>
      </c>
      <c r="F1080" s="3563" t="s">
        <v>4797</v>
      </c>
      <c r="G1080" s="3564">
        <v>88.98</v>
      </c>
      <c r="H1080" s="3564">
        <v>71</v>
      </c>
      <c r="I1080" s="3564">
        <v>17.98</v>
      </c>
      <c r="J1080" s="3565">
        <v>895584</v>
      </c>
      <c r="K1080" s="3565">
        <v>10065</v>
      </c>
      <c r="L1080" s="3565">
        <v>12613.86</v>
      </c>
      <c r="M1080" s="3565">
        <v>850805</v>
      </c>
      <c r="N1080" s="3565">
        <v>9561.76</v>
      </c>
      <c r="O1080" s="3566">
        <v>44189</v>
      </c>
    </row>
    <row r="1081" spans="1:15">
      <c r="A1081" s="3563" t="s">
        <v>5292</v>
      </c>
      <c r="B1081" s="3563" t="s">
        <v>4811</v>
      </c>
      <c r="C1081" s="3563" t="s">
        <v>4197</v>
      </c>
      <c r="D1081" s="3563" t="s">
        <v>4796</v>
      </c>
      <c r="E1081" s="3563" t="s">
        <v>4423</v>
      </c>
      <c r="F1081" s="3563" t="s">
        <v>4797</v>
      </c>
      <c r="G1081" s="3564">
        <v>88.98</v>
      </c>
      <c r="H1081" s="3564">
        <v>71</v>
      </c>
      <c r="I1081" s="3564">
        <v>17.98</v>
      </c>
      <c r="J1081" s="3565">
        <v>895584</v>
      </c>
      <c r="K1081" s="3565">
        <v>10065</v>
      </c>
      <c r="L1081" s="3565">
        <v>12613.86</v>
      </c>
      <c r="M1081" s="3565">
        <v>895584</v>
      </c>
      <c r="N1081" s="3565">
        <v>10065</v>
      </c>
      <c r="O1081" s="3566">
        <v>44187</v>
      </c>
    </row>
    <row r="1082" spans="1:15">
      <c r="A1082" s="3563" t="s">
        <v>5293</v>
      </c>
      <c r="B1082" s="3563" t="s">
        <v>4196</v>
      </c>
      <c r="C1082" s="3563" t="s">
        <v>4197</v>
      </c>
      <c r="D1082" s="3563" t="s">
        <v>4796</v>
      </c>
      <c r="E1082" s="3563" t="s">
        <v>4423</v>
      </c>
      <c r="F1082" s="3563" t="s">
        <v>4797</v>
      </c>
      <c r="G1082" s="3564">
        <v>102.77</v>
      </c>
      <c r="H1082" s="3564">
        <v>82.01</v>
      </c>
      <c r="I1082" s="3564">
        <v>20.76</v>
      </c>
      <c r="J1082" s="3565">
        <v>1053650</v>
      </c>
      <c r="K1082" s="3565">
        <v>10252.51</v>
      </c>
      <c r="L1082" s="3565">
        <v>12847.82</v>
      </c>
      <c r="M1082" s="3565">
        <v>0</v>
      </c>
      <c r="N1082" s="3565">
        <v>0</v>
      </c>
      <c r="O1082" s="3563" t="s">
        <v>3453</v>
      </c>
    </row>
    <row r="1083" spans="1:15">
      <c r="A1083" s="3563" t="s">
        <v>5294</v>
      </c>
      <c r="B1083" s="3563" t="s">
        <v>4811</v>
      </c>
      <c r="C1083" s="3563" t="s">
        <v>4197</v>
      </c>
      <c r="D1083" s="3563" t="s">
        <v>4796</v>
      </c>
      <c r="E1083" s="3563" t="s">
        <v>4423</v>
      </c>
      <c r="F1083" s="3563" t="s">
        <v>4797</v>
      </c>
      <c r="G1083" s="3564">
        <v>88.98</v>
      </c>
      <c r="H1083" s="3564">
        <v>71</v>
      </c>
      <c r="I1083" s="3564">
        <v>17.98</v>
      </c>
      <c r="J1083" s="3565">
        <v>935625</v>
      </c>
      <c r="K1083" s="3565">
        <v>10515</v>
      </c>
      <c r="L1083" s="3565">
        <v>13177.82</v>
      </c>
      <c r="M1083" s="3565">
        <v>888844</v>
      </c>
      <c r="N1083" s="3565">
        <v>9989.26</v>
      </c>
      <c r="O1083" s="3566">
        <v>44189</v>
      </c>
    </row>
    <row r="1084" spans="1:15">
      <c r="A1084" s="3563" t="s">
        <v>5295</v>
      </c>
      <c r="B1084" s="3563" t="s">
        <v>4811</v>
      </c>
      <c r="C1084" s="3563" t="s">
        <v>4197</v>
      </c>
      <c r="D1084" s="3563" t="s">
        <v>4796</v>
      </c>
      <c r="E1084" s="3563" t="s">
        <v>4423</v>
      </c>
      <c r="F1084" s="3563" t="s">
        <v>4797</v>
      </c>
      <c r="G1084" s="3564">
        <v>88.98</v>
      </c>
      <c r="H1084" s="3564">
        <v>71</v>
      </c>
      <c r="I1084" s="3564">
        <v>17.98</v>
      </c>
      <c r="J1084" s="3565">
        <v>935625</v>
      </c>
      <c r="K1084" s="3565">
        <v>10515</v>
      </c>
      <c r="L1084" s="3565">
        <v>13177.82</v>
      </c>
      <c r="M1084" s="3565">
        <v>935625</v>
      </c>
      <c r="N1084" s="3565">
        <v>10515</v>
      </c>
      <c r="O1084" s="3566">
        <v>44188</v>
      </c>
    </row>
    <row r="1085" spans="1:15">
      <c r="A1085" s="3563" t="s">
        <v>5296</v>
      </c>
      <c r="B1085" s="3563" t="s">
        <v>4196</v>
      </c>
      <c r="C1085" s="3563" t="s">
        <v>4197</v>
      </c>
      <c r="D1085" s="3563" t="s">
        <v>4796</v>
      </c>
      <c r="E1085" s="3563" t="s">
        <v>4423</v>
      </c>
      <c r="F1085" s="3563" t="s">
        <v>4797</v>
      </c>
      <c r="G1085" s="3564">
        <v>91.22</v>
      </c>
      <c r="H1085" s="3564">
        <v>72.790000000000006</v>
      </c>
      <c r="I1085" s="3564">
        <v>18.43</v>
      </c>
      <c r="J1085" s="3565">
        <v>912150</v>
      </c>
      <c r="K1085" s="3565">
        <v>9999.4500000000007</v>
      </c>
      <c r="L1085" s="3565">
        <v>12531.25</v>
      </c>
      <c r="M1085" s="3565">
        <v>0</v>
      </c>
      <c r="N1085" s="3565">
        <v>0</v>
      </c>
      <c r="O1085" s="3563" t="s">
        <v>3453</v>
      </c>
    </row>
    <row r="1086" spans="1:15">
      <c r="A1086" s="3563" t="s">
        <v>5297</v>
      </c>
      <c r="B1086" s="3563" t="s">
        <v>4196</v>
      </c>
      <c r="C1086" s="3563" t="s">
        <v>4197</v>
      </c>
      <c r="D1086" s="3563" t="s">
        <v>4796</v>
      </c>
      <c r="E1086" s="3563" t="s">
        <v>4423</v>
      </c>
      <c r="F1086" s="3563" t="s">
        <v>4797</v>
      </c>
      <c r="G1086" s="3564">
        <v>88.98</v>
      </c>
      <c r="H1086" s="3564">
        <v>71</v>
      </c>
      <c r="I1086" s="3564">
        <v>17.98</v>
      </c>
      <c r="J1086" s="3565">
        <v>889752</v>
      </c>
      <c r="K1086" s="3565">
        <v>9999.4599999999991</v>
      </c>
      <c r="L1086" s="3565">
        <v>12531.72</v>
      </c>
      <c r="M1086" s="3565">
        <v>0</v>
      </c>
      <c r="N1086" s="3565">
        <v>0</v>
      </c>
      <c r="O1086" s="3563" t="s">
        <v>3453</v>
      </c>
    </row>
    <row r="1087" spans="1:15">
      <c r="A1087" s="3563" t="s">
        <v>5298</v>
      </c>
      <c r="B1087" s="3563" t="s">
        <v>4811</v>
      </c>
      <c r="C1087" s="3563" t="s">
        <v>4197</v>
      </c>
      <c r="D1087" s="3563" t="s">
        <v>4796</v>
      </c>
      <c r="E1087" s="3563" t="s">
        <v>4423</v>
      </c>
      <c r="F1087" s="3563" t="s">
        <v>4797</v>
      </c>
      <c r="G1087" s="3564">
        <v>88.98</v>
      </c>
      <c r="H1087" s="3564">
        <v>71</v>
      </c>
      <c r="I1087" s="3564">
        <v>17.98</v>
      </c>
      <c r="J1087" s="3565">
        <v>889752</v>
      </c>
      <c r="K1087" s="3565">
        <v>9999.4599999999991</v>
      </c>
      <c r="L1087" s="3565">
        <v>12531.72</v>
      </c>
      <c r="M1087" s="3565">
        <v>845265</v>
      </c>
      <c r="N1087" s="3565">
        <v>9499.49</v>
      </c>
      <c r="O1087" s="3566">
        <v>44190</v>
      </c>
    </row>
    <row r="1088" spans="1:15">
      <c r="A1088" s="3563" t="s">
        <v>5299</v>
      </c>
      <c r="B1088" s="3563" t="s">
        <v>4811</v>
      </c>
      <c r="C1088" s="3563" t="s">
        <v>4197</v>
      </c>
      <c r="D1088" s="3563" t="s">
        <v>4796</v>
      </c>
      <c r="E1088" s="3563" t="s">
        <v>4423</v>
      </c>
      <c r="F1088" s="3563" t="s">
        <v>4797</v>
      </c>
      <c r="G1088" s="3564">
        <v>102.77</v>
      </c>
      <c r="H1088" s="3564">
        <v>82.01</v>
      </c>
      <c r="I1088" s="3564">
        <v>20.76</v>
      </c>
      <c r="J1088" s="3565">
        <v>1042088</v>
      </c>
      <c r="K1088" s="3565">
        <v>10140</v>
      </c>
      <c r="L1088" s="3565">
        <v>12706.84</v>
      </c>
      <c r="M1088" s="3565">
        <v>1042088</v>
      </c>
      <c r="N1088" s="3565">
        <v>10140</v>
      </c>
      <c r="O1088" s="3566">
        <v>44185</v>
      </c>
    </row>
    <row r="1089" spans="1:15">
      <c r="A1089" s="3563" t="s">
        <v>5300</v>
      </c>
      <c r="B1089" s="3563" t="s">
        <v>4811</v>
      </c>
      <c r="C1089" s="3563" t="s">
        <v>4197</v>
      </c>
      <c r="D1089" s="3563" t="s">
        <v>4796</v>
      </c>
      <c r="E1089" s="3563" t="s">
        <v>4423</v>
      </c>
      <c r="F1089" s="3563" t="s">
        <v>4797</v>
      </c>
      <c r="G1089" s="3564">
        <v>88.98</v>
      </c>
      <c r="H1089" s="3564">
        <v>71</v>
      </c>
      <c r="I1089" s="3564">
        <v>17.98</v>
      </c>
      <c r="J1089" s="3565">
        <v>947860</v>
      </c>
      <c r="K1089" s="3565">
        <v>10652.51</v>
      </c>
      <c r="L1089" s="3565">
        <v>13350.14</v>
      </c>
      <c r="M1089" s="3565">
        <v>947860</v>
      </c>
      <c r="N1089" s="3565">
        <v>10652.51</v>
      </c>
      <c r="O1089" s="3566">
        <v>44192</v>
      </c>
    </row>
    <row r="1090" spans="1:15">
      <c r="A1090" s="3563" t="s">
        <v>5301</v>
      </c>
      <c r="B1090" s="3563" t="s">
        <v>4811</v>
      </c>
      <c r="C1090" s="3563" t="s">
        <v>4197</v>
      </c>
      <c r="D1090" s="3563" t="s">
        <v>4796</v>
      </c>
      <c r="E1090" s="3563" t="s">
        <v>4423</v>
      </c>
      <c r="F1090" s="3563" t="s">
        <v>4797</v>
      </c>
      <c r="G1090" s="3564">
        <v>88.98</v>
      </c>
      <c r="H1090" s="3564">
        <v>71</v>
      </c>
      <c r="I1090" s="3564">
        <v>17.98</v>
      </c>
      <c r="J1090" s="3565">
        <v>947860</v>
      </c>
      <c r="K1090" s="3565">
        <v>10652.51</v>
      </c>
      <c r="L1090" s="3565">
        <v>13350.14</v>
      </c>
      <c r="M1090" s="3565">
        <v>947860</v>
      </c>
      <c r="N1090" s="3565">
        <v>10652.51</v>
      </c>
      <c r="O1090" s="3566">
        <v>44188</v>
      </c>
    </row>
    <row r="1091" spans="1:15">
      <c r="A1091" s="3563" t="s">
        <v>5302</v>
      </c>
      <c r="B1091" s="3563" t="s">
        <v>4196</v>
      </c>
      <c r="C1091" s="3563" t="s">
        <v>4197</v>
      </c>
      <c r="D1091" s="3563" t="s">
        <v>4796</v>
      </c>
      <c r="E1091" s="3563" t="s">
        <v>4423</v>
      </c>
      <c r="F1091" s="3563" t="s">
        <v>4797</v>
      </c>
      <c r="G1091" s="3564">
        <v>91.22</v>
      </c>
      <c r="H1091" s="3564">
        <v>72.790000000000006</v>
      </c>
      <c r="I1091" s="3564">
        <v>18.43</v>
      </c>
      <c r="J1091" s="3565">
        <v>920410</v>
      </c>
      <c r="K1091" s="3565">
        <v>10090</v>
      </c>
      <c r="L1091" s="3565">
        <v>12644.73</v>
      </c>
      <c r="M1091" s="3565">
        <v>0</v>
      </c>
      <c r="N1091" s="3565">
        <v>0</v>
      </c>
      <c r="O1091" s="3563" t="s">
        <v>3453</v>
      </c>
    </row>
    <row r="1092" spans="1:15">
      <c r="A1092" s="3563" t="s">
        <v>5303</v>
      </c>
      <c r="B1092" s="3563" t="s">
        <v>4811</v>
      </c>
      <c r="C1092" s="3563" t="s">
        <v>4197</v>
      </c>
      <c r="D1092" s="3563" t="s">
        <v>4796</v>
      </c>
      <c r="E1092" s="3563" t="s">
        <v>4423</v>
      </c>
      <c r="F1092" s="3563" t="s">
        <v>4797</v>
      </c>
      <c r="G1092" s="3564">
        <v>88.98</v>
      </c>
      <c r="H1092" s="3564">
        <v>71</v>
      </c>
      <c r="I1092" s="3564">
        <v>17.98</v>
      </c>
      <c r="J1092" s="3565">
        <v>897809</v>
      </c>
      <c r="K1092" s="3565">
        <v>10090.01</v>
      </c>
      <c r="L1092" s="3565">
        <v>12645.2</v>
      </c>
      <c r="M1092" s="3565">
        <v>852919</v>
      </c>
      <c r="N1092" s="3565">
        <v>9585.51</v>
      </c>
      <c r="O1092" s="3566">
        <v>44189</v>
      </c>
    </row>
    <row r="1093" spans="1:15">
      <c r="A1093" s="3563" t="s">
        <v>5304</v>
      </c>
      <c r="B1093" s="3563" t="s">
        <v>4811</v>
      </c>
      <c r="C1093" s="3563" t="s">
        <v>4197</v>
      </c>
      <c r="D1093" s="3563" t="s">
        <v>4796</v>
      </c>
      <c r="E1093" s="3563" t="s">
        <v>4423</v>
      </c>
      <c r="F1093" s="3563" t="s">
        <v>4797</v>
      </c>
      <c r="G1093" s="3564">
        <v>88.98</v>
      </c>
      <c r="H1093" s="3564">
        <v>71</v>
      </c>
      <c r="I1093" s="3564">
        <v>17.98</v>
      </c>
      <c r="J1093" s="3565">
        <v>897809</v>
      </c>
      <c r="K1093" s="3565">
        <v>10090.01</v>
      </c>
      <c r="L1093" s="3565">
        <v>12645.2</v>
      </c>
      <c r="M1093" s="3565">
        <v>852919</v>
      </c>
      <c r="N1093" s="3565">
        <v>9585.51</v>
      </c>
      <c r="O1093" s="3566">
        <v>44189</v>
      </c>
    </row>
    <row r="1094" spans="1:15">
      <c r="A1094" s="3563" t="s">
        <v>5305</v>
      </c>
      <c r="B1094" s="3563" t="s">
        <v>5277</v>
      </c>
      <c r="C1094" s="3563" t="s">
        <v>4197</v>
      </c>
      <c r="D1094" s="3563" t="s">
        <v>4796</v>
      </c>
      <c r="E1094" s="3563" t="s">
        <v>4423</v>
      </c>
      <c r="F1094" s="3563" t="s">
        <v>4797</v>
      </c>
      <c r="G1094" s="3564">
        <v>102.77</v>
      </c>
      <c r="H1094" s="3564">
        <v>82.01</v>
      </c>
      <c r="I1094" s="3564">
        <v>20.76</v>
      </c>
      <c r="J1094" s="3565">
        <v>1056219</v>
      </c>
      <c r="K1094" s="3565">
        <v>10277.5</v>
      </c>
      <c r="L1094" s="3565">
        <v>12879.15</v>
      </c>
      <c r="M1094" s="3565">
        <v>1056219</v>
      </c>
      <c r="N1094" s="3565">
        <v>10277.5</v>
      </c>
      <c r="O1094" s="3566">
        <v>44186</v>
      </c>
    </row>
    <row r="1095" spans="1:15">
      <c r="A1095" s="3563" t="s">
        <v>5306</v>
      </c>
      <c r="B1095" s="3563" t="s">
        <v>3453</v>
      </c>
      <c r="C1095" s="3563" t="s">
        <v>4197</v>
      </c>
      <c r="D1095" s="3563" t="s">
        <v>4796</v>
      </c>
      <c r="E1095" s="3563" t="s">
        <v>4423</v>
      </c>
      <c r="F1095" s="3563" t="s">
        <v>4797</v>
      </c>
      <c r="G1095" s="3564">
        <v>88.98</v>
      </c>
      <c r="H1095" s="3564">
        <v>71</v>
      </c>
      <c r="I1095" s="3564">
        <v>17.98</v>
      </c>
      <c r="J1095" s="3565">
        <v>946748</v>
      </c>
      <c r="K1095" s="3565">
        <v>10640.01</v>
      </c>
      <c r="L1095" s="3565">
        <v>13334.48</v>
      </c>
      <c r="M1095" s="3565">
        <v>0</v>
      </c>
      <c r="N1095" s="3565">
        <v>0</v>
      </c>
      <c r="O1095" s="3563" t="s">
        <v>3453</v>
      </c>
    </row>
    <row r="1096" spans="1:15">
      <c r="A1096" s="3563" t="s">
        <v>5307</v>
      </c>
      <c r="B1096" s="3563" t="s">
        <v>3453</v>
      </c>
      <c r="C1096" s="3563" t="s">
        <v>4197</v>
      </c>
      <c r="D1096" s="3563" t="s">
        <v>4796</v>
      </c>
      <c r="E1096" s="3563" t="s">
        <v>4423</v>
      </c>
      <c r="F1096" s="3563" t="s">
        <v>4797</v>
      </c>
      <c r="G1096" s="3564">
        <v>88.98</v>
      </c>
      <c r="H1096" s="3564">
        <v>71</v>
      </c>
      <c r="I1096" s="3564">
        <v>17.98</v>
      </c>
      <c r="J1096" s="3565">
        <v>946748</v>
      </c>
      <c r="K1096" s="3565">
        <v>10640.01</v>
      </c>
      <c r="L1096" s="3565">
        <v>13334.48</v>
      </c>
      <c r="M1096" s="3565">
        <v>0</v>
      </c>
      <c r="N1096" s="3565">
        <v>0</v>
      </c>
      <c r="O1096" s="3563" t="s">
        <v>3453</v>
      </c>
    </row>
    <row r="1097" spans="1:15">
      <c r="A1097" s="3563" t="s">
        <v>5308</v>
      </c>
      <c r="B1097" s="3563" t="s">
        <v>4811</v>
      </c>
      <c r="C1097" s="3563" t="s">
        <v>4197</v>
      </c>
      <c r="D1097" s="3563" t="s">
        <v>4796</v>
      </c>
      <c r="E1097" s="3563" t="s">
        <v>4423</v>
      </c>
      <c r="F1097" s="3563" t="s">
        <v>4797</v>
      </c>
      <c r="G1097" s="3564">
        <v>91.22</v>
      </c>
      <c r="H1097" s="3564">
        <v>72.790000000000006</v>
      </c>
      <c r="I1097" s="3564">
        <v>18.43</v>
      </c>
      <c r="J1097" s="3565">
        <v>919270</v>
      </c>
      <c r="K1097" s="3565">
        <v>10077.5</v>
      </c>
      <c r="L1097" s="3565">
        <v>12629.07</v>
      </c>
      <c r="M1097" s="3565">
        <v>873307</v>
      </c>
      <c r="N1097" s="3565">
        <v>9573.64</v>
      </c>
      <c r="O1097" s="3566">
        <v>44190</v>
      </c>
    </row>
    <row r="1098" spans="1:15">
      <c r="A1098" s="3563" t="s">
        <v>5309</v>
      </c>
      <c r="B1098" s="3563" t="s">
        <v>4196</v>
      </c>
      <c r="C1098" s="3563" t="s">
        <v>4197</v>
      </c>
      <c r="D1098" s="3563" t="s">
        <v>4796</v>
      </c>
      <c r="E1098" s="3563" t="s">
        <v>4423</v>
      </c>
      <c r="F1098" s="3563" t="s">
        <v>4797</v>
      </c>
      <c r="G1098" s="3564">
        <v>88.98</v>
      </c>
      <c r="H1098" s="3564">
        <v>71</v>
      </c>
      <c r="I1098" s="3564">
        <v>17.98</v>
      </c>
      <c r="J1098" s="3565">
        <v>896697</v>
      </c>
      <c r="K1098" s="3565">
        <v>10077.51</v>
      </c>
      <c r="L1098" s="3565">
        <v>12629.54</v>
      </c>
      <c r="M1098" s="3565">
        <v>0</v>
      </c>
      <c r="N1098" s="3565">
        <v>0</v>
      </c>
      <c r="O1098" s="3563" t="s">
        <v>3453</v>
      </c>
    </row>
    <row r="1099" spans="1:15">
      <c r="A1099" s="3563" t="s">
        <v>5310</v>
      </c>
      <c r="B1099" s="3563" t="s">
        <v>4811</v>
      </c>
      <c r="C1099" s="3563" t="s">
        <v>4197</v>
      </c>
      <c r="D1099" s="3563" t="s">
        <v>4796</v>
      </c>
      <c r="E1099" s="3563" t="s">
        <v>4423</v>
      </c>
      <c r="F1099" s="3563" t="s">
        <v>4797</v>
      </c>
      <c r="G1099" s="3564">
        <v>88.98</v>
      </c>
      <c r="H1099" s="3564">
        <v>71</v>
      </c>
      <c r="I1099" s="3564">
        <v>17.98</v>
      </c>
      <c r="J1099" s="3565">
        <v>896697</v>
      </c>
      <c r="K1099" s="3565">
        <v>10077.51</v>
      </c>
      <c r="L1099" s="3565">
        <v>12629.54</v>
      </c>
      <c r="M1099" s="3565">
        <v>851863</v>
      </c>
      <c r="N1099" s="3565">
        <v>9573.65</v>
      </c>
      <c r="O1099" s="3566">
        <v>44192</v>
      </c>
    </row>
    <row r="1100" spans="1:15">
      <c r="A1100" s="3563" t="s">
        <v>5311</v>
      </c>
      <c r="B1100" s="3563" t="s">
        <v>4196</v>
      </c>
      <c r="C1100" s="3563" t="s">
        <v>4197</v>
      </c>
      <c r="D1100" s="3563" t="s">
        <v>4796</v>
      </c>
      <c r="E1100" s="3563" t="s">
        <v>4423</v>
      </c>
      <c r="F1100" s="3563" t="s">
        <v>4797</v>
      </c>
      <c r="G1100" s="3564">
        <v>102.77</v>
      </c>
      <c r="H1100" s="3564">
        <v>82.01</v>
      </c>
      <c r="I1100" s="3564">
        <v>20.76</v>
      </c>
      <c r="J1100" s="3565">
        <v>1054934</v>
      </c>
      <c r="K1100" s="3565">
        <v>10265</v>
      </c>
      <c r="L1100" s="3565">
        <v>12863.48</v>
      </c>
      <c r="M1100" s="3565">
        <v>0</v>
      </c>
      <c r="N1100" s="3565">
        <v>0</v>
      </c>
      <c r="O1100" s="3563" t="s">
        <v>3453</v>
      </c>
    </row>
    <row r="1101" spans="1:15">
      <c r="A1101" s="3563" t="s">
        <v>5312</v>
      </c>
      <c r="B1101" s="3563" t="s">
        <v>4811</v>
      </c>
      <c r="C1101" s="3563" t="s">
        <v>4197</v>
      </c>
      <c r="D1101" s="3563" t="s">
        <v>4796</v>
      </c>
      <c r="E1101" s="3563" t="s">
        <v>4423</v>
      </c>
      <c r="F1101" s="3563" t="s">
        <v>4797</v>
      </c>
      <c r="G1101" s="3564">
        <v>88.98</v>
      </c>
      <c r="H1101" s="3564">
        <v>71</v>
      </c>
      <c r="I1101" s="3564">
        <v>17.98</v>
      </c>
      <c r="J1101" s="3565">
        <v>945635</v>
      </c>
      <c r="K1101" s="3565">
        <v>10627.5</v>
      </c>
      <c r="L1101" s="3565">
        <v>13318.8</v>
      </c>
      <c r="M1101" s="3565">
        <v>898354</v>
      </c>
      <c r="N1101" s="3565">
        <v>10096.129999999999</v>
      </c>
      <c r="O1101" s="3566">
        <v>44188</v>
      </c>
    </row>
    <row r="1102" spans="1:15">
      <c r="A1102" s="3563" t="s">
        <v>5313</v>
      </c>
      <c r="B1102" s="3563" t="s">
        <v>4811</v>
      </c>
      <c r="C1102" s="3563" t="s">
        <v>4197</v>
      </c>
      <c r="D1102" s="3563" t="s">
        <v>4796</v>
      </c>
      <c r="E1102" s="3563" t="s">
        <v>4423</v>
      </c>
      <c r="F1102" s="3563" t="s">
        <v>4797</v>
      </c>
      <c r="G1102" s="3564">
        <v>88.98</v>
      </c>
      <c r="H1102" s="3564">
        <v>71</v>
      </c>
      <c r="I1102" s="3564">
        <v>17.98</v>
      </c>
      <c r="J1102" s="3565">
        <v>945635</v>
      </c>
      <c r="K1102" s="3565">
        <v>10627.5</v>
      </c>
      <c r="L1102" s="3565">
        <v>13318.8</v>
      </c>
      <c r="M1102" s="3565">
        <v>898354</v>
      </c>
      <c r="N1102" s="3565">
        <v>10096.129999999999</v>
      </c>
      <c r="O1102" s="3566">
        <v>44189</v>
      </c>
    </row>
    <row r="1103" spans="1:15">
      <c r="A1103" s="3563" t="s">
        <v>5314</v>
      </c>
      <c r="B1103" s="3563" t="s">
        <v>4811</v>
      </c>
      <c r="C1103" s="3563" t="s">
        <v>4197</v>
      </c>
      <c r="D1103" s="3563" t="s">
        <v>4796</v>
      </c>
      <c r="E1103" s="3563" t="s">
        <v>4423</v>
      </c>
      <c r="F1103" s="3563" t="s">
        <v>4797</v>
      </c>
      <c r="G1103" s="3564">
        <v>91.22</v>
      </c>
      <c r="H1103" s="3564">
        <v>72.790000000000006</v>
      </c>
      <c r="I1103" s="3564">
        <v>18.43</v>
      </c>
      <c r="J1103" s="3565">
        <v>918129</v>
      </c>
      <c r="K1103" s="3565">
        <v>10065</v>
      </c>
      <c r="L1103" s="3565">
        <v>12613.39</v>
      </c>
      <c r="M1103" s="3565">
        <v>872223</v>
      </c>
      <c r="N1103" s="3565">
        <v>9561.75</v>
      </c>
      <c r="O1103" s="3566">
        <v>44192</v>
      </c>
    </row>
    <row r="1104" spans="1:15">
      <c r="A1104" s="3563" t="s">
        <v>5315</v>
      </c>
      <c r="B1104" s="3563" t="s">
        <v>4811</v>
      </c>
      <c r="C1104" s="3563" t="s">
        <v>4197</v>
      </c>
      <c r="D1104" s="3563" t="s">
        <v>4796</v>
      </c>
      <c r="E1104" s="3563" t="s">
        <v>4423</v>
      </c>
      <c r="F1104" s="3563" t="s">
        <v>4797</v>
      </c>
      <c r="G1104" s="3564">
        <v>88.98</v>
      </c>
      <c r="H1104" s="3564">
        <v>71</v>
      </c>
      <c r="I1104" s="3564">
        <v>17.98</v>
      </c>
      <c r="J1104" s="3565">
        <v>895584</v>
      </c>
      <c r="K1104" s="3565">
        <v>10065</v>
      </c>
      <c r="L1104" s="3565">
        <v>12613.86</v>
      </c>
      <c r="M1104" s="3565">
        <v>850805</v>
      </c>
      <c r="N1104" s="3565">
        <v>9561.76</v>
      </c>
      <c r="O1104" s="3566">
        <v>44189</v>
      </c>
    </row>
    <row r="1105" spans="1:15">
      <c r="A1105" s="3563" t="s">
        <v>5316</v>
      </c>
      <c r="B1105" s="3563" t="s">
        <v>4811</v>
      </c>
      <c r="C1105" s="3563" t="s">
        <v>4197</v>
      </c>
      <c r="D1105" s="3563" t="s">
        <v>4796</v>
      </c>
      <c r="E1105" s="3563" t="s">
        <v>4423</v>
      </c>
      <c r="F1105" s="3563" t="s">
        <v>4797</v>
      </c>
      <c r="G1105" s="3564">
        <v>88.98</v>
      </c>
      <c r="H1105" s="3564">
        <v>71</v>
      </c>
      <c r="I1105" s="3564">
        <v>17.98</v>
      </c>
      <c r="J1105" s="3565">
        <v>895584</v>
      </c>
      <c r="K1105" s="3565">
        <v>10065</v>
      </c>
      <c r="L1105" s="3565">
        <v>12613.86</v>
      </c>
      <c r="M1105" s="3565">
        <v>850805</v>
      </c>
      <c r="N1105" s="3565">
        <v>9561.76</v>
      </c>
      <c r="O1105" s="3566">
        <v>44189</v>
      </c>
    </row>
    <row r="1106" spans="1:15">
      <c r="A1106" s="3563" t="s">
        <v>5317</v>
      </c>
      <c r="B1106" s="3563" t="s">
        <v>4196</v>
      </c>
      <c r="C1106" s="3563" t="s">
        <v>4197</v>
      </c>
      <c r="D1106" s="3563" t="s">
        <v>4796</v>
      </c>
      <c r="E1106" s="3563" t="s">
        <v>4423</v>
      </c>
      <c r="F1106" s="3563" t="s">
        <v>4797</v>
      </c>
      <c r="G1106" s="3564">
        <v>102.77</v>
      </c>
      <c r="H1106" s="3564">
        <v>82.01</v>
      </c>
      <c r="I1106" s="3564">
        <v>20.76</v>
      </c>
      <c r="J1106" s="3565">
        <v>1053650</v>
      </c>
      <c r="K1106" s="3565">
        <v>10252.51</v>
      </c>
      <c r="L1106" s="3565">
        <v>12847.82</v>
      </c>
      <c r="M1106" s="3565">
        <v>0</v>
      </c>
      <c r="N1106" s="3565">
        <v>0</v>
      </c>
      <c r="O1106" s="3563" t="s">
        <v>3453</v>
      </c>
    </row>
    <row r="1107" spans="1:15">
      <c r="A1107" s="3563" t="s">
        <v>5318</v>
      </c>
      <c r="B1107" s="3563" t="s">
        <v>4811</v>
      </c>
      <c r="C1107" s="3563" t="s">
        <v>4197</v>
      </c>
      <c r="D1107" s="3563" t="s">
        <v>4796</v>
      </c>
      <c r="E1107" s="3563" t="s">
        <v>4423</v>
      </c>
      <c r="F1107" s="3563" t="s">
        <v>4797</v>
      </c>
      <c r="G1107" s="3564">
        <v>88.98</v>
      </c>
      <c r="H1107" s="3564">
        <v>71</v>
      </c>
      <c r="I1107" s="3564">
        <v>17.98</v>
      </c>
      <c r="J1107" s="3565">
        <v>933400</v>
      </c>
      <c r="K1107" s="3565">
        <v>10490</v>
      </c>
      <c r="L1107" s="3565">
        <v>13146.48</v>
      </c>
      <c r="M1107" s="3565">
        <v>933400</v>
      </c>
      <c r="N1107" s="3565">
        <v>10490</v>
      </c>
      <c r="O1107" s="3566">
        <v>44186</v>
      </c>
    </row>
    <row r="1108" spans="1:15">
      <c r="A1108" s="3563" t="s">
        <v>5319</v>
      </c>
      <c r="B1108" s="3563" t="s">
        <v>4196</v>
      </c>
      <c r="C1108" s="3563" t="s">
        <v>4197</v>
      </c>
      <c r="D1108" s="3563" t="s">
        <v>4796</v>
      </c>
      <c r="E1108" s="3563" t="s">
        <v>4423</v>
      </c>
      <c r="F1108" s="3563" t="s">
        <v>4797</v>
      </c>
      <c r="G1108" s="3564">
        <v>88.98</v>
      </c>
      <c r="H1108" s="3564">
        <v>71</v>
      </c>
      <c r="I1108" s="3564">
        <v>17.98</v>
      </c>
      <c r="J1108" s="3565">
        <v>933400</v>
      </c>
      <c r="K1108" s="3565">
        <v>10490</v>
      </c>
      <c r="L1108" s="3565">
        <v>13146.48</v>
      </c>
      <c r="M1108" s="3565">
        <v>0</v>
      </c>
      <c r="N1108" s="3565">
        <v>0</v>
      </c>
      <c r="O1108" s="3563" t="s">
        <v>3453</v>
      </c>
    </row>
    <row r="1109" spans="1:15">
      <c r="A1109" s="3563" t="s">
        <v>5320</v>
      </c>
      <c r="B1109" s="3563" t="s">
        <v>4811</v>
      </c>
      <c r="C1109" s="3563" t="s">
        <v>4197</v>
      </c>
      <c r="D1109" s="3563" t="s">
        <v>4796</v>
      </c>
      <c r="E1109" s="3563" t="s">
        <v>4423</v>
      </c>
      <c r="F1109" s="3563" t="s">
        <v>4797</v>
      </c>
      <c r="G1109" s="3564">
        <v>91.22</v>
      </c>
      <c r="H1109" s="3564">
        <v>72.790000000000006</v>
      </c>
      <c r="I1109" s="3564">
        <v>18.43</v>
      </c>
      <c r="J1109" s="3565">
        <v>912150</v>
      </c>
      <c r="K1109" s="3565">
        <v>9999.4500000000007</v>
      </c>
      <c r="L1109" s="3565">
        <v>12531.25</v>
      </c>
      <c r="M1109" s="3565">
        <v>912150</v>
      </c>
      <c r="N1109" s="3565">
        <v>9999.4500000000007</v>
      </c>
      <c r="O1109" s="3566">
        <v>44188</v>
      </c>
    </row>
    <row r="1110" spans="1:15">
      <c r="A1110" s="3563" t="s">
        <v>5321</v>
      </c>
      <c r="B1110" s="3563" t="s">
        <v>4811</v>
      </c>
      <c r="C1110" s="3563" t="s">
        <v>4197</v>
      </c>
      <c r="D1110" s="3563" t="s">
        <v>4796</v>
      </c>
      <c r="E1110" s="3563" t="s">
        <v>4423</v>
      </c>
      <c r="F1110" s="3563" t="s">
        <v>4797</v>
      </c>
      <c r="G1110" s="3564">
        <v>88.98</v>
      </c>
      <c r="H1110" s="3564">
        <v>71</v>
      </c>
      <c r="I1110" s="3564">
        <v>17.98</v>
      </c>
      <c r="J1110" s="3565">
        <v>889752</v>
      </c>
      <c r="K1110" s="3565">
        <v>9999.4599999999991</v>
      </c>
      <c r="L1110" s="3565">
        <v>12531.72</v>
      </c>
      <c r="M1110" s="3565">
        <v>845265</v>
      </c>
      <c r="N1110" s="3565">
        <v>9499.49</v>
      </c>
      <c r="O1110" s="3566">
        <v>44190</v>
      </c>
    </row>
    <row r="1111" spans="1:15">
      <c r="A1111" s="3563" t="s">
        <v>5322</v>
      </c>
      <c r="B1111" s="3563" t="s">
        <v>4811</v>
      </c>
      <c r="C1111" s="3563" t="s">
        <v>4197</v>
      </c>
      <c r="D1111" s="3563" t="s">
        <v>4796</v>
      </c>
      <c r="E1111" s="3563" t="s">
        <v>4423</v>
      </c>
      <c r="F1111" s="3563" t="s">
        <v>4797</v>
      </c>
      <c r="G1111" s="3564">
        <v>88.98</v>
      </c>
      <c r="H1111" s="3564">
        <v>71</v>
      </c>
      <c r="I1111" s="3564">
        <v>17.98</v>
      </c>
      <c r="J1111" s="3565">
        <v>889752</v>
      </c>
      <c r="K1111" s="3565">
        <v>9999.4599999999991</v>
      </c>
      <c r="L1111" s="3565">
        <v>12531.72</v>
      </c>
      <c r="M1111" s="3565">
        <v>845264</v>
      </c>
      <c r="N1111" s="3565">
        <v>9499.48</v>
      </c>
      <c r="O1111" s="3566">
        <v>44190</v>
      </c>
    </row>
    <row r="1112" spans="1:15">
      <c r="A1112" s="3563" t="s">
        <v>5323</v>
      </c>
      <c r="B1112" s="3563" t="s">
        <v>4811</v>
      </c>
      <c r="C1112" s="3563" t="s">
        <v>4197</v>
      </c>
      <c r="D1112" s="3563" t="s">
        <v>4796</v>
      </c>
      <c r="E1112" s="3563" t="s">
        <v>4423</v>
      </c>
      <c r="F1112" s="3563" t="s">
        <v>4797</v>
      </c>
      <c r="G1112" s="3564">
        <v>102.77</v>
      </c>
      <c r="H1112" s="3564">
        <v>82.01</v>
      </c>
      <c r="I1112" s="3564">
        <v>20.76</v>
      </c>
      <c r="J1112" s="3565">
        <v>1039519</v>
      </c>
      <c r="K1112" s="3565">
        <v>10115</v>
      </c>
      <c r="L1112" s="3565">
        <v>12675.52</v>
      </c>
      <c r="M1112" s="3565">
        <v>1039519</v>
      </c>
      <c r="N1112" s="3565">
        <v>10115</v>
      </c>
      <c r="O1112" s="3566">
        <v>44185</v>
      </c>
    </row>
    <row r="1113" spans="1:15">
      <c r="A1113" s="3563" t="s">
        <v>5324</v>
      </c>
      <c r="B1113" s="3563" t="s">
        <v>4811</v>
      </c>
      <c r="C1113" s="3563" t="s">
        <v>4197</v>
      </c>
      <c r="D1113" s="3563" t="s">
        <v>4796</v>
      </c>
      <c r="E1113" s="3563" t="s">
        <v>4423</v>
      </c>
      <c r="F1113" s="3563" t="s">
        <v>4797</v>
      </c>
      <c r="G1113" s="3564">
        <v>88.98</v>
      </c>
      <c r="H1113" s="3564">
        <v>71</v>
      </c>
      <c r="I1113" s="3564">
        <v>17.98</v>
      </c>
      <c r="J1113" s="3565">
        <v>943410</v>
      </c>
      <c r="K1113" s="3565">
        <v>10602.49</v>
      </c>
      <c r="L1113" s="3565">
        <v>13287.46</v>
      </c>
      <c r="M1113" s="3565">
        <v>943410</v>
      </c>
      <c r="N1113" s="3565">
        <v>10602.49</v>
      </c>
      <c r="O1113" s="3566">
        <v>44186</v>
      </c>
    </row>
    <row r="1114" spans="1:15">
      <c r="A1114" s="3563" t="s">
        <v>5325</v>
      </c>
      <c r="B1114" s="3563" t="s">
        <v>4811</v>
      </c>
      <c r="C1114" s="3563" t="s">
        <v>4197</v>
      </c>
      <c r="D1114" s="3563" t="s">
        <v>4796</v>
      </c>
      <c r="E1114" s="3563" t="s">
        <v>4423</v>
      </c>
      <c r="F1114" s="3563" t="s">
        <v>4797</v>
      </c>
      <c r="G1114" s="3564">
        <v>88.98</v>
      </c>
      <c r="H1114" s="3564">
        <v>71</v>
      </c>
      <c r="I1114" s="3564">
        <v>17.98</v>
      </c>
      <c r="J1114" s="3565">
        <v>943410</v>
      </c>
      <c r="K1114" s="3565">
        <v>10602.49</v>
      </c>
      <c r="L1114" s="3565">
        <v>13287.46</v>
      </c>
      <c r="M1114" s="3565">
        <v>896240</v>
      </c>
      <c r="N1114" s="3565">
        <v>10072.379999999999</v>
      </c>
      <c r="O1114" s="3566">
        <v>44188</v>
      </c>
    </row>
    <row r="1115" spans="1:15">
      <c r="A1115" s="3563" t="s">
        <v>5326</v>
      </c>
      <c r="B1115" s="3563" t="s">
        <v>4811</v>
      </c>
      <c r="C1115" s="3563" t="s">
        <v>4197</v>
      </c>
      <c r="D1115" s="3563" t="s">
        <v>4796</v>
      </c>
      <c r="E1115" s="3563" t="s">
        <v>4423</v>
      </c>
      <c r="F1115" s="3563" t="s">
        <v>4797</v>
      </c>
      <c r="G1115" s="3564">
        <v>91.22</v>
      </c>
      <c r="H1115" s="3564">
        <v>72.790000000000006</v>
      </c>
      <c r="I1115" s="3564">
        <v>18.43</v>
      </c>
      <c r="J1115" s="3565">
        <v>915849</v>
      </c>
      <c r="K1115" s="3565">
        <v>10040</v>
      </c>
      <c r="L1115" s="3565">
        <v>12582.07</v>
      </c>
      <c r="M1115" s="3565">
        <v>870057</v>
      </c>
      <c r="N1115" s="3565">
        <v>9538.01</v>
      </c>
      <c r="O1115" s="3566">
        <v>44189</v>
      </c>
    </row>
    <row r="1116" spans="1:15">
      <c r="A1116" s="3563" t="s">
        <v>5327</v>
      </c>
      <c r="B1116" s="3563" t="s">
        <v>4811</v>
      </c>
      <c r="C1116" s="3563" t="s">
        <v>4197</v>
      </c>
      <c r="D1116" s="3563" t="s">
        <v>4796</v>
      </c>
      <c r="E1116" s="3563" t="s">
        <v>4423</v>
      </c>
      <c r="F1116" s="3563" t="s">
        <v>4797</v>
      </c>
      <c r="G1116" s="3564">
        <v>88.98</v>
      </c>
      <c r="H1116" s="3564">
        <v>71</v>
      </c>
      <c r="I1116" s="3564">
        <v>17.98</v>
      </c>
      <c r="J1116" s="3565">
        <v>893359</v>
      </c>
      <c r="K1116" s="3565">
        <v>10040</v>
      </c>
      <c r="L1116" s="3565">
        <v>12582.52</v>
      </c>
      <c r="M1116" s="3565">
        <v>893359</v>
      </c>
      <c r="N1116" s="3565">
        <v>10040</v>
      </c>
      <c r="O1116" s="3566">
        <v>44187</v>
      </c>
    </row>
    <row r="1117" spans="1:15">
      <c r="A1117" s="3563" t="s">
        <v>5328</v>
      </c>
      <c r="B1117" s="3563" t="s">
        <v>4811</v>
      </c>
      <c r="C1117" s="3563" t="s">
        <v>4197</v>
      </c>
      <c r="D1117" s="3563" t="s">
        <v>4796</v>
      </c>
      <c r="E1117" s="3563" t="s">
        <v>4423</v>
      </c>
      <c r="F1117" s="3563" t="s">
        <v>4797</v>
      </c>
      <c r="G1117" s="3564">
        <v>88.98</v>
      </c>
      <c r="H1117" s="3564">
        <v>71</v>
      </c>
      <c r="I1117" s="3564">
        <v>17.98</v>
      </c>
      <c r="J1117" s="3565">
        <v>893359</v>
      </c>
      <c r="K1117" s="3565">
        <v>10040</v>
      </c>
      <c r="L1117" s="3565">
        <v>12582.52</v>
      </c>
      <c r="M1117" s="3565">
        <v>848692</v>
      </c>
      <c r="N1117" s="3565">
        <v>9538.01</v>
      </c>
      <c r="O1117" s="3566">
        <v>44186</v>
      </c>
    </row>
    <row r="1118" spans="1:15">
      <c r="A1118" s="3563" t="s">
        <v>5329</v>
      </c>
      <c r="B1118" s="3563" t="s">
        <v>4811</v>
      </c>
      <c r="C1118" s="3563" t="s">
        <v>4197</v>
      </c>
      <c r="D1118" s="3563" t="s">
        <v>4796</v>
      </c>
      <c r="E1118" s="3563" t="s">
        <v>4423</v>
      </c>
      <c r="F1118" s="3563" t="s">
        <v>4797</v>
      </c>
      <c r="G1118" s="3564">
        <v>102.77</v>
      </c>
      <c r="H1118" s="3564">
        <v>82.01</v>
      </c>
      <c r="I1118" s="3564">
        <v>20.76</v>
      </c>
      <c r="J1118" s="3565">
        <v>1051080</v>
      </c>
      <c r="K1118" s="3565">
        <v>10227.5</v>
      </c>
      <c r="L1118" s="3565">
        <v>12816.49</v>
      </c>
      <c r="M1118" s="3565">
        <v>1051080</v>
      </c>
      <c r="N1118" s="3565">
        <v>10227.5</v>
      </c>
      <c r="O1118" s="3566">
        <v>44185</v>
      </c>
    </row>
    <row r="1119" spans="1:15">
      <c r="A1119" s="3563" t="s">
        <v>5330</v>
      </c>
      <c r="B1119" s="3563" t="s">
        <v>4811</v>
      </c>
      <c r="C1119" s="3563" t="s">
        <v>4197</v>
      </c>
      <c r="D1119" s="3563" t="s">
        <v>4796</v>
      </c>
      <c r="E1119" s="3563" t="s">
        <v>4423</v>
      </c>
      <c r="F1119" s="3563" t="s">
        <v>4797</v>
      </c>
      <c r="G1119" s="3564">
        <v>92.13</v>
      </c>
      <c r="H1119" s="3564">
        <v>71</v>
      </c>
      <c r="I1119" s="3564">
        <v>21.13</v>
      </c>
      <c r="J1119" s="3565">
        <v>921250</v>
      </c>
      <c r="K1119" s="3565">
        <v>9999.4599999999991</v>
      </c>
      <c r="L1119" s="3565">
        <v>12975.35</v>
      </c>
      <c r="M1119" s="3565">
        <v>875188</v>
      </c>
      <c r="N1119" s="3565">
        <v>9499.49</v>
      </c>
      <c r="O1119" s="3566">
        <v>44189</v>
      </c>
    </row>
    <row r="1120" spans="1:15">
      <c r="A1120" s="3563" t="s">
        <v>5331</v>
      </c>
      <c r="B1120" s="3563" t="s">
        <v>4811</v>
      </c>
      <c r="C1120" s="3563" t="s">
        <v>4197</v>
      </c>
      <c r="D1120" s="3563" t="s">
        <v>4796</v>
      </c>
      <c r="E1120" s="3563" t="s">
        <v>4423</v>
      </c>
      <c r="F1120" s="3563" t="s">
        <v>4797</v>
      </c>
      <c r="G1120" s="3564">
        <v>92.13</v>
      </c>
      <c r="H1120" s="3564">
        <v>71</v>
      </c>
      <c r="I1120" s="3564">
        <v>21.13</v>
      </c>
      <c r="J1120" s="3565">
        <v>921250</v>
      </c>
      <c r="K1120" s="3565">
        <v>9999.4599999999991</v>
      </c>
      <c r="L1120" s="3565">
        <v>12975.35</v>
      </c>
      <c r="M1120" s="3565">
        <v>875188</v>
      </c>
      <c r="N1120" s="3565">
        <v>9499.49</v>
      </c>
      <c r="O1120" s="3566">
        <v>44189</v>
      </c>
    </row>
    <row r="1121" spans="1:15">
      <c r="A1121" s="3563" t="s">
        <v>5332</v>
      </c>
      <c r="B1121" s="3563" t="s">
        <v>4811</v>
      </c>
      <c r="C1121" s="3563" t="s">
        <v>4197</v>
      </c>
      <c r="D1121" s="3563" t="s">
        <v>4796</v>
      </c>
      <c r="E1121" s="3563" t="s">
        <v>4423</v>
      </c>
      <c r="F1121" s="3563" t="s">
        <v>4797</v>
      </c>
      <c r="G1121" s="3564">
        <v>92.13</v>
      </c>
      <c r="H1121" s="3564">
        <v>71</v>
      </c>
      <c r="I1121" s="3564">
        <v>21.13</v>
      </c>
      <c r="J1121" s="3565">
        <v>921250</v>
      </c>
      <c r="K1121" s="3565">
        <v>9999.4599999999991</v>
      </c>
      <c r="L1121" s="3565">
        <v>12975.35</v>
      </c>
      <c r="M1121" s="3565">
        <v>875188</v>
      </c>
      <c r="N1121" s="3565">
        <v>9499.49</v>
      </c>
      <c r="O1121" s="3566">
        <v>44190</v>
      </c>
    </row>
    <row r="1122" spans="1:15">
      <c r="A1122" s="3563" t="s">
        <v>5333</v>
      </c>
      <c r="B1122" s="3563" t="s">
        <v>4811</v>
      </c>
      <c r="C1122" s="3563" t="s">
        <v>4197</v>
      </c>
      <c r="D1122" s="3563" t="s">
        <v>4796</v>
      </c>
      <c r="E1122" s="3563" t="s">
        <v>4423</v>
      </c>
      <c r="F1122" s="3563" t="s">
        <v>4797</v>
      </c>
      <c r="G1122" s="3564">
        <v>92.13</v>
      </c>
      <c r="H1122" s="3564">
        <v>71</v>
      </c>
      <c r="I1122" s="3564">
        <v>21.13</v>
      </c>
      <c r="J1122" s="3565">
        <v>921250</v>
      </c>
      <c r="K1122" s="3565">
        <v>9999.4599999999991</v>
      </c>
      <c r="L1122" s="3565">
        <v>12975.35</v>
      </c>
      <c r="M1122" s="3565">
        <v>875188</v>
      </c>
      <c r="N1122" s="3565">
        <v>9499.49</v>
      </c>
      <c r="O1122" s="3566">
        <v>44190</v>
      </c>
    </row>
    <row r="1123" spans="1:15">
      <c r="A1123" s="3563" t="s">
        <v>5334</v>
      </c>
      <c r="B1123" s="3563" t="s">
        <v>4811</v>
      </c>
      <c r="C1123" s="3563" t="s">
        <v>4197</v>
      </c>
      <c r="D1123" s="3563" t="s">
        <v>4796</v>
      </c>
      <c r="E1123" s="3563" t="s">
        <v>4423</v>
      </c>
      <c r="F1123" s="3563" t="s">
        <v>4797</v>
      </c>
      <c r="G1123" s="3564">
        <v>88.98</v>
      </c>
      <c r="H1123" s="3564">
        <v>71</v>
      </c>
      <c r="I1123" s="3564">
        <v>17.98</v>
      </c>
      <c r="J1123" s="3565">
        <v>942299</v>
      </c>
      <c r="K1123" s="3565">
        <v>10590.01</v>
      </c>
      <c r="L1123" s="3565">
        <v>13271.82</v>
      </c>
      <c r="M1123" s="3565">
        <v>895185</v>
      </c>
      <c r="N1123" s="3565">
        <v>10060.52</v>
      </c>
      <c r="O1123" s="3566">
        <v>44189</v>
      </c>
    </row>
    <row r="1124" spans="1:15">
      <c r="A1124" s="3563" t="s">
        <v>5335</v>
      </c>
      <c r="B1124" s="3563" t="s">
        <v>3453</v>
      </c>
      <c r="C1124" s="3563" t="s">
        <v>4197</v>
      </c>
      <c r="D1124" s="3563" t="s">
        <v>4796</v>
      </c>
      <c r="E1124" s="3563" t="s">
        <v>4423</v>
      </c>
      <c r="F1124" s="3563" t="s">
        <v>4797</v>
      </c>
      <c r="G1124" s="3564">
        <v>88.98</v>
      </c>
      <c r="H1124" s="3564">
        <v>71</v>
      </c>
      <c r="I1124" s="3564">
        <v>17.98</v>
      </c>
      <c r="J1124" s="3565">
        <v>942299</v>
      </c>
      <c r="K1124" s="3565">
        <v>10590.01</v>
      </c>
      <c r="L1124" s="3565">
        <v>13271.82</v>
      </c>
      <c r="M1124" s="3565">
        <v>0</v>
      </c>
      <c r="N1124" s="3565">
        <v>0</v>
      </c>
      <c r="O1124" s="3563" t="s">
        <v>3453</v>
      </c>
    </row>
    <row r="1125" spans="1:15">
      <c r="A1125" s="3563" t="s">
        <v>5336</v>
      </c>
      <c r="B1125" s="3563" t="s">
        <v>4811</v>
      </c>
      <c r="C1125" s="3563" t="s">
        <v>4197</v>
      </c>
      <c r="D1125" s="3563" t="s">
        <v>4796</v>
      </c>
      <c r="E1125" s="3563" t="s">
        <v>4423</v>
      </c>
      <c r="F1125" s="3563" t="s">
        <v>4797</v>
      </c>
      <c r="G1125" s="3564">
        <v>91.22</v>
      </c>
      <c r="H1125" s="3564">
        <v>72.790000000000006</v>
      </c>
      <c r="I1125" s="3564">
        <v>18.43</v>
      </c>
      <c r="J1125" s="3565">
        <v>914709</v>
      </c>
      <c r="K1125" s="3565">
        <v>10027.5</v>
      </c>
      <c r="L1125" s="3565">
        <v>12566.41</v>
      </c>
      <c r="M1125" s="3565">
        <v>914709</v>
      </c>
      <c r="N1125" s="3565">
        <v>10027.5</v>
      </c>
      <c r="O1125" s="3566">
        <v>44186</v>
      </c>
    </row>
    <row r="1126" spans="1:15">
      <c r="A1126" s="3563" t="s">
        <v>5337</v>
      </c>
      <c r="B1126" s="3563" t="s">
        <v>4811</v>
      </c>
      <c r="C1126" s="3563" t="s">
        <v>4197</v>
      </c>
      <c r="D1126" s="3563" t="s">
        <v>4796</v>
      </c>
      <c r="E1126" s="3563" t="s">
        <v>4423</v>
      </c>
      <c r="F1126" s="3563" t="s">
        <v>4797</v>
      </c>
      <c r="G1126" s="3564">
        <v>88.98</v>
      </c>
      <c r="H1126" s="3564">
        <v>71</v>
      </c>
      <c r="I1126" s="3564">
        <v>17.98</v>
      </c>
      <c r="J1126" s="3565">
        <v>892248</v>
      </c>
      <c r="K1126" s="3565">
        <v>10027.51</v>
      </c>
      <c r="L1126" s="3565">
        <v>12566.87</v>
      </c>
      <c r="M1126" s="3565">
        <v>847636</v>
      </c>
      <c r="N1126" s="3565">
        <v>9526.14</v>
      </c>
      <c r="O1126" s="3566">
        <v>44189</v>
      </c>
    </row>
    <row r="1127" spans="1:15">
      <c r="A1127" s="3563" t="s">
        <v>5338</v>
      </c>
      <c r="B1127" s="3563" t="s">
        <v>4811</v>
      </c>
      <c r="C1127" s="3563" t="s">
        <v>4197</v>
      </c>
      <c r="D1127" s="3563" t="s">
        <v>4796</v>
      </c>
      <c r="E1127" s="3563" t="s">
        <v>4423</v>
      </c>
      <c r="F1127" s="3563" t="s">
        <v>4797</v>
      </c>
      <c r="G1127" s="3564">
        <v>88.98</v>
      </c>
      <c r="H1127" s="3564">
        <v>71</v>
      </c>
      <c r="I1127" s="3564">
        <v>17.98</v>
      </c>
      <c r="J1127" s="3565">
        <v>892248</v>
      </c>
      <c r="K1127" s="3565">
        <v>10027.51</v>
      </c>
      <c r="L1127" s="3565">
        <v>12566.87</v>
      </c>
      <c r="M1127" s="3565">
        <v>847636</v>
      </c>
      <c r="N1127" s="3565">
        <v>9526.14</v>
      </c>
      <c r="O1127" s="3566">
        <v>44189</v>
      </c>
    </row>
    <row r="1128" spans="1:15">
      <c r="A1128" s="3563" t="s">
        <v>5339</v>
      </c>
      <c r="B1128" s="3563" t="s">
        <v>4811</v>
      </c>
      <c r="C1128" s="3563" t="s">
        <v>4197</v>
      </c>
      <c r="D1128" s="3563" t="s">
        <v>4796</v>
      </c>
      <c r="E1128" s="3563" t="s">
        <v>4423</v>
      </c>
      <c r="F1128" s="3563" t="s">
        <v>4797</v>
      </c>
      <c r="G1128" s="3564">
        <v>102.77</v>
      </c>
      <c r="H1128" s="3564">
        <v>82.01</v>
      </c>
      <c r="I1128" s="3564">
        <v>20.76</v>
      </c>
      <c r="J1128" s="3565">
        <v>1049795</v>
      </c>
      <c r="K1128" s="3565">
        <v>10214.99</v>
      </c>
      <c r="L1128" s="3565">
        <v>12800.82</v>
      </c>
      <c r="M1128" s="3565">
        <v>1049795</v>
      </c>
      <c r="N1128" s="3565">
        <v>10214.99</v>
      </c>
      <c r="O1128" s="3566">
        <v>44189</v>
      </c>
    </row>
    <row r="1129" spans="1:15">
      <c r="A1129" s="3563" t="s">
        <v>5340</v>
      </c>
      <c r="B1129" s="3563" t="s">
        <v>4196</v>
      </c>
      <c r="C1129" s="3563" t="s">
        <v>4197</v>
      </c>
      <c r="D1129" s="3563" t="s">
        <v>4796</v>
      </c>
      <c r="E1129" s="3563" t="s">
        <v>4423</v>
      </c>
      <c r="F1129" s="3563" t="s">
        <v>4797</v>
      </c>
      <c r="G1129" s="3564">
        <v>88.98</v>
      </c>
      <c r="H1129" s="3564">
        <v>71</v>
      </c>
      <c r="I1129" s="3564">
        <v>17.98</v>
      </c>
      <c r="J1129" s="3565">
        <v>941187</v>
      </c>
      <c r="K1129" s="3565">
        <v>10577.51</v>
      </c>
      <c r="L1129" s="3565">
        <v>13256.15</v>
      </c>
      <c r="M1129" s="3565">
        <v>0</v>
      </c>
      <c r="N1129" s="3565">
        <v>0</v>
      </c>
      <c r="O1129" s="3563" t="s">
        <v>3453</v>
      </c>
    </row>
    <row r="1130" spans="1:15">
      <c r="A1130" s="3563" t="s">
        <v>5341</v>
      </c>
      <c r="B1130" s="3563" t="s">
        <v>3453</v>
      </c>
      <c r="C1130" s="3563" t="s">
        <v>4197</v>
      </c>
      <c r="D1130" s="3563" t="s">
        <v>4796</v>
      </c>
      <c r="E1130" s="3563" t="s">
        <v>4423</v>
      </c>
      <c r="F1130" s="3563" t="s">
        <v>4797</v>
      </c>
      <c r="G1130" s="3564">
        <v>88.98</v>
      </c>
      <c r="H1130" s="3564">
        <v>71</v>
      </c>
      <c r="I1130" s="3564">
        <v>17.98</v>
      </c>
      <c r="J1130" s="3565">
        <v>941187</v>
      </c>
      <c r="K1130" s="3565">
        <v>10577.51</v>
      </c>
      <c r="L1130" s="3565">
        <v>13256.15</v>
      </c>
      <c r="M1130" s="3565">
        <v>0</v>
      </c>
      <c r="N1130" s="3565">
        <v>0</v>
      </c>
      <c r="O1130" s="3563" t="s">
        <v>3453</v>
      </c>
    </row>
    <row r="1131" spans="1:15">
      <c r="A1131" s="3563" t="s">
        <v>5342</v>
      </c>
      <c r="B1131" s="3563" t="s">
        <v>5277</v>
      </c>
      <c r="C1131" s="3563" t="s">
        <v>4197</v>
      </c>
      <c r="D1131" s="3563" t="s">
        <v>4796</v>
      </c>
      <c r="E1131" s="3563" t="s">
        <v>4423</v>
      </c>
      <c r="F1131" s="3563" t="s">
        <v>4797</v>
      </c>
      <c r="G1131" s="3564">
        <v>91.22</v>
      </c>
      <c r="H1131" s="3564">
        <v>72.790000000000006</v>
      </c>
      <c r="I1131" s="3564">
        <v>18.43</v>
      </c>
      <c r="J1131" s="3565">
        <v>913569</v>
      </c>
      <c r="K1131" s="3565">
        <v>10015.01</v>
      </c>
      <c r="L1131" s="3565">
        <v>12550.75</v>
      </c>
      <c r="M1131" s="3565">
        <v>913569</v>
      </c>
      <c r="N1131" s="3565">
        <v>10015.01</v>
      </c>
      <c r="O1131" s="3566">
        <v>44187</v>
      </c>
    </row>
    <row r="1132" spans="1:15">
      <c r="A1132" s="3563" t="s">
        <v>5343</v>
      </c>
      <c r="B1132" s="3563" t="s">
        <v>4811</v>
      </c>
      <c r="C1132" s="3563" t="s">
        <v>4197</v>
      </c>
      <c r="D1132" s="3563" t="s">
        <v>4796</v>
      </c>
      <c r="E1132" s="3563" t="s">
        <v>4423</v>
      </c>
      <c r="F1132" s="3563" t="s">
        <v>4797</v>
      </c>
      <c r="G1132" s="3564">
        <v>88.98</v>
      </c>
      <c r="H1132" s="3564">
        <v>71</v>
      </c>
      <c r="I1132" s="3564">
        <v>17.98</v>
      </c>
      <c r="J1132" s="3565">
        <v>891135</v>
      </c>
      <c r="K1132" s="3565">
        <v>10015</v>
      </c>
      <c r="L1132" s="3565">
        <v>12551.2</v>
      </c>
      <c r="M1132" s="3565">
        <v>846579</v>
      </c>
      <c r="N1132" s="3565">
        <v>9514.26</v>
      </c>
      <c r="O1132" s="3566">
        <v>44190</v>
      </c>
    </row>
    <row r="1133" spans="1:15">
      <c r="A1133" s="3563" t="s">
        <v>5344</v>
      </c>
      <c r="B1133" s="3563" t="s">
        <v>4811</v>
      </c>
      <c r="C1133" s="3563" t="s">
        <v>4197</v>
      </c>
      <c r="D1133" s="3563" t="s">
        <v>4796</v>
      </c>
      <c r="E1133" s="3563" t="s">
        <v>4423</v>
      </c>
      <c r="F1133" s="3563" t="s">
        <v>4797</v>
      </c>
      <c r="G1133" s="3564">
        <v>88.98</v>
      </c>
      <c r="H1133" s="3564">
        <v>71</v>
      </c>
      <c r="I1133" s="3564">
        <v>17.98</v>
      </c>
      <c r="J1133" s="3565">
        <v>891135</v>
      </c>
      <c r="K1133" s="3565">
        <v>10015</v>
      </c>
      <c r="L1133" s="3565">
        <v>12551.2</v>
      </c>
      <c r="M1133" s="3565">
        <v>846579</v>
      </c>
      <c r="N1133" s="3565">
        <v>9514.26</v>
      </c>
      <c r="O1133" s="3566">
        <v>44189</v>
      </c>
    </row>
    <row r="1134" spans="1:15">
      <c r="A1134" s="3563" t="s">
        <v>5345</v>
      </c>
      <c r="B1134" s="3563" t="s">
        <v>4196</v>
      </c>
      <c r="C1134" s="3563" t="s">
        <v>4197</v>
      </c>
      <c r="D1134" s="3563" t="s">
        <v>4796</v>
      </c>
      <c r="E1134" s="3563" t="s">
        <v>4423</v>
      </c>
      <c r="F1134" s="3563" t="s">
        <v>4797</v>
      </c>
      <c r="G1134" s="3564">
        <v>102.77</v>
      </c>
      <c r="H1134" s="3564">
        <v>82.01</v>
      </c>
      <c r="I1134" s="3564">
        <v>20.76</v>
      </c>
      <c r="J1134" s="3565">
        <v>1048512</v>
      </c>
      <c r="K1134" s="3565">
        <v>10202.51</v>
      </c>
      <c r="L1134" s="3565">
        <v>12785.17</v>
      </c>
      <c r="M1134" s="3565">
        <v>0</v>
      </c>
      <c r="N1134" s="3565">
        <v>0</v>
      </c>
      <c r="O1134" s="3563" t="s">
        <v>3453</v>
      </c>
    </row>
    <row r="1135" spans="1:15">
      <c r="A1135" s="3563" t="s">
        <v>5346</v>
      </c>
      <c r="B1135" s="3563" t="s">
        <v>3453</v>
      </c>
      <c r="C1135" s="3563" t="s">
        <v>4197</v>
      </c>
      <c r="D1135" s="3563" t="s">
        <v>4796</v>
      </c>
      <c r="E1135" s="3563" t="s">
        <v>4423</v>
      </c>
      <c r="F1135" s="3563" t="s">
        <v>4797</v>
      </c>
      <c r="G1135" s="3564">
        <v>88.98</v>
      </c>
      <c r="H1135" s="3564">
        <v>71</v>
      </c>
      <c r="I1135" s="3564">
        <v>17.98</v>
      </c>
      <c r="J1135" s="3565">
        <v>940074</v>
      </c>
      <c r="K1135" s="3565">
        <v>10565</v>
      </c>
      <c r="L1135" s="3565">
        <v>13240.48</v>
      </c>
      <c r="M1135" s="3565">
        <v>0</v>
      </c>
      <c r="N1135" s="3565">
        <v>0</v>
      </c>
      <c r="O1135" s="3563" t="s">
        <v>3453</v>
      </c>
    </row>
    <row r="1136" spans="1:15">
      <c r="A1136" s="3563" t="s">
        <v>5347</v>
      </c>
      <c r="B1136" s="3563" t="s">
        <v>4196</v>
      </c>
      <c r="C1136" s="3563" t="s">
        <v>4197</v>
      </c>
      <c r="D1136" s="3563" t="s">
        <v>4796</v>
      </c>
      <c r="E1136" s="3563" t="s">
        <v>4423</v>
      </c>
      <c r="F1136" s="3563" t="s">
        <v>4797</v>
      </c>
      <c r="G1136" s="3564">
        <v>88.98</v>
      </c>
      <c r="H1136" s="3564">
        <v>71</v>
      </c>
      <c r="I1136" s="3564">
        <v>17.98</v>
      </c>
      <c r="J1136" s="3565">
        <v>940074</v>
      </c>
      <c r="K1136" s="3565">
        <v>10565</v>
      </c>
      <c r="L1136" s="3565">
        <v>13240.48</v>
      </c>
      <c r="M1136" s="3565">
        <v>0</v>
      </c>
      <c r="N1136" s="3565">
        <v>0</v>
      </c>
      <c r="O1136" s="3563" t="s">
        <v>3453</v>
      </c>
    </row>
    <row r="1137" spans="1:15">
      <c r="A1137" s="3563" t="s">
        <v>5348</v>
      </c>
      <c r="B1137" s="3563" t="s">
        <v>5277</v>
      </c>
      <c r="C1137" s="3563" t="s">
        <v>4197</v>
      </c>
      <c r="D1137" s="3563" t="s">
        <v>4796</v>
      </c>
      <c r="E1137" s="3563" t="s">
        <v>4423</v>
      </c>
      <c r="F1137" s="3563" t="s">
        <v>4797</v>
      </c>
      <c r="G1137" s="3564">
        <v>91.22</v>
      </c>
      <c r="H1137" s="3564">
        <v>72.790000000000006</v>
      </c>
      <c r="I1137" s="3564">
        <v>18.43</v>
      </c>
      <c r="J1137" s="3565">
        <v>915229</v>
      </c>
      <c r="K1137" s="3565">
        <v>10033.209999999999</v>
      </c>
      <c r="L1137" s="3565">
        <v>12573.55</v>
      </c>
      <c r="M1137" s="3565">
        <v>915229</v>
      </c>
      <c r="N1137" s="3565">
        <v>10033.209999999999</v>
      </c>
      <c r="O1137" s="3566">
        <v>44186</v>
      </c>
    </row>
    <row r="1138" spans="1:15">
      <c r="A1138" s="3563" t="s">
        <v>5349</v>
      </c>
      <c r="B1138" s="3563" t="s">
        <v>4196</v>
      </c>
      <c r="C1138" s="3563" t="s">
        <v>4197</v>
      </c>
      <c r="D1138" s="3563" t="s">
        <v>4796</v>
      </c>
      <c r="E1138" s="3563" t="s">
        <v>4423</v>
      </c>
      <c r="F1138" s="3563" t="s">
        <v>4797</v>
      </c>
      <c r="G1138" s="3564">
        <v>88.98</v>
      </c>
      <c r="H1138" s="3564">
        <v>71</v>
      </c>
      <c r="I1138" s="3564">
        <v>17.98</v>
      </c>
      <c r="J1138" s="3565">
        <v>892755</v>
      </c>
      <c r="K1138" s="3565">
        <v>10033.209999999999</v>
      </c>
      <c r="L1138" s="3565">
        <v>12574.01</v>
      </c>
      <c r="M1138" s="3565">
        <v>0</v>
      </c>
      <c r="N1138" s="3565">
        <v>0</v>
      </c>
      <c r="O1138" s="3563" t="s">
        <v>3453</v>
      </c>
    </row>
    <row r="1139" spans="1:15">
      <c r="A1139" s="3563" t="s">
        <v>5350</v>
      </c>
      <c r="B1139" s="3563" t="s">
        <v>5277</v>
      </c>
      <c r="C1139" s="3563" t="s">
        <v>4197</v>
      </c>
      <c r="D1139" s="3563" t="s">
        <v>4796</v>
      </c>
      <c r="E1139" s="3563" t="s">
        <v>4423</v>
      </c>
      <c r="F1139" s="3563" t="s">
        <v>4797</v>
      </c>
      <c r="G1139" s="3564">
        <v>88.98</v>
      </c>
      <c r="H1139" s="3564">
        <v>71</v>
      </c>
      <c r="I1139" s="3564">
        <v>17.98</v>
      </c>
      <c r="J1139" s="3565">
        <v>892755</v>
      </c>
      <c r="K1139" s="3565">
        <v>10033.209999999999</v>
      </c>
      <c r="L1139" s="3565">
        <v>12574.01</v>
      </c>
      <c r="M1139" s="3565">
        <v>892755</v>
      </c>
      <c r="N1139" s="3565">
        <v>10033.209999999999</v>
      </c>
      <c r="O1139" s="3566">
        <v>44185</v>
      </c>
    </row>
    <row r="1140" spans="1:15">
      <c r="A1140" s="3563" t="s">
        <v>5351</v>
      </c>
      <c r="B1140" s="3563" t="s">
        <v>4196</v>
      </c>
      <c r="C1140" s="3563" t="s">
        <v>4197</v>
      </c>
      <c r="D1140" s="3563" t="s">
        <v>4796</v>
      </c>
      <c r="E1140" s="3563" t="s">
        <v>4423</v>
      </c>
      <c r="F1140" s="3563" t="s">
        <v>4797</v>
      </c>
      <c r="G1140" s="3564">
        <v>102.77</v>
      </c>
      <c r="H1140" s="3564">
        <v>82.01</v>
      </c>
      <c r="I1140" s="3564">
        <v>20.76</v>
      </c>
      <c r="J1140" s="3565">
        <v>1047227</v>
      </c>
      <c r="K1140" s="3565">
        <v>10190.01</v>
      </c>
      <c r="L1140" s="3565">
        <v>12769.5</v>
      </c>
      <c r="M1140" s="3565">
        <v>0</v>
      </c>
      <c r="N1140" s="3565">
        <v>0</v>
      </c>
      <c r="O1140" s="3563" t="s">
        <v>3453</v>
      </c>
    </row>
    <row r="1141" spans="1:15">
      <c r="A1141" s="3563" t="s">
        <v>5352</v>
      </c>
      <c r="B1141" s="3563" t="s">
        <v>4811</v>
      </c>
      <c r="C1141" s="3563" t="s">
        <v>4197</v>
      </c>
      <c r="D1141" s="3563" t="s">
        <v>4796</v>
      </c>
      <c r="E1141" s="3563" t="s">
        <v>4423</v>
      </c>
      <c r="F1141" s="3563" t="s">
        <v>4797</v>
      </c>
      <c r="G1141" s="3564">
        <v>88.98</v>
      </c>
      <c r="H1141" s="3564">
        <v>71</v>
      </c>
      <c r="I1141" s="3564">
        <v>17.98</v>
      </c>
      <c r="J1141" s="3565">
        <v>938962</v>
      </c>
      <c r="K1141" s="3565">
        <v>10552.51</v>
      </c>
      <c r="L1141" s="3565">
        <v>13224.82</v>
      </c>
      <c r="M1141" s="3565">
        <v>938962</v>
      </c>
      <c r="N1141" s="3565">
        <v>10552.51</v>
      </c>
      <c r="O1141" s="3566">
        <v>44187</v>
      </c>
    </row>
    <row r="1142" spans="1:15">
      <c r="A1142" s="3563" t="s">
        <v>5353</v>
      </c>
      <c r="B1142" s="3563" t="s">
        <v>4811</v>
      </c>
      <c r="C1142" s="3563" t="s">
        <v>4197</v>
      </c>
      <c r="D1142" s="3563" t="s">
        <v>4796</v>
      </c>
      <c r="E1142" s="3563" t="s">
        <v>4423</v>
      </c>
      <c r="F1142" s="3563" t="s">
        <v>4797</v>
      </c>
      <c r="G1142" s="3564">
        <v>88.98</v>
      </c>
      <c r="H1142" s="3564">
        <v>71</v>
      </c>
      <c r="I1142" s="3564">
        <v>17.98</v>
      </c>
      <c r="J1142" s="3565">
        <v>938962</v>
      </c>
      <c r="K1142" s="3565">
        <v>10552.51</v>
      </c>
      <c r="L1142" s="3565">
        <v>13224.82</v>
      </c>
      <c r="M1142" s="3565">
        <v>938962</v>
      </c>
      <c r="N1142" s="3565">
        <v>10552.51</v>
      </c>
      <c r="O1142" s="3566">
        <v>44187</v>
      </c>
    </row>
    <row r="1143" spans="1:15">
      <c r="A1143" s="3563" t="s">
        <v>5354</v>
      </c>
      <c r="B1143" s="3563" t="s">
        <v>5277</v>
      </c>
      <c r="C1143" s="3563" t="s">
        <v>4197</v>
      </c>
      <c r="D1143" s="3563" t="s">
        <v>4796</v>
      </c>
      <c r="E1143" s="3563" t="s">
        <v>4423</v>
      </c>
      <c r="F1143" s="3563" t="s">
        <v>4797</v>
      </c>
      <c r="G1143" s="3564">
        <v>91.22</v>
      </c>
      <c r="H1143" s="3564">
        <v>72.790000000000006</v>
      </c>
      <c r="I1143" s="3564">
        <v>18.43</v>
      </c>
      <c r="J1143" s="3565">
        <v>914089</v>
      </c>
      <c r="K1143" s="3565">
        <v>10020.709999999999</v>
      </c>
      <c r="L1143" s="3565">
        <v>12557.89</v>
      </c>
      <c r="M1143" s="3565">
        <v>914089</v>
      </c>
      <c r="N1143" s="3565">
        <v>10020.709999999999</v>
      </c>
      <c r="O1143" s="3566">
        <v>44186</v>
      </c>
    </row>
    <row r="1144" spans="1:15">
      <c r="A1144" s="3563" t="s">
        <v>5355</v>
      </c>
      <c r="B1144" s="3563" t="s">
        <v>4196</v>
      </c>
      <c r="C1144" s="3563" t="s">
        <v>4197</v>
      </c>
      <c r="D1144" s="3563" t="s">
        <v>4796</v>
      </c>
      <c r="E1144" s="3563" t="s">
        <v>4423</v>
      </c>
      <c r="F1144" s="3563" t="s">
        <v>4797</v>
      </c>
      <c r="G1144" s="3564">
        <v>88.98</v>
      </c>
      <c r="H1144" s="3564">
        <v>71</v>
      </c>
      <c r="I1144" s="3564">
        <v>17.98</v>
      </c>
      <c r="J1144" s="3565">
        <v>891643</v>
      </c>
      <c r="K1144" s="3565">
        <v>10020.709999999999</v>
      </c>
      <c r="L1144" s="3565">
        <v>12558.35</v>
      </c>
      <c r="M1144" s="3565">
        <v>0</v>
      </c>
      <c r="N1144" s="3565">
        <v>0</v>
      </c>
      <c r="O1144" s="3563" t="s">
        <v>3453</v>
      </c>
    </row>
    <row r="1145" spans="1:15">
      <c r="A1145" s="3563" t="s">
        <v>5356</v>
      </c>
      <c r="B1145" s="3563" t="s">
        <v>5277</v>
      </c>
      <c r="C1145" s="3563" t="s">
        <v>4197</v>
      </c>
      <c r="D1145" s="3563" t="s">
        <v>4796</v>
      </c>
      <c r="E1145" s="3563" t="s">
        <v>4423</v>
      </c>
      <c r="F1145" s="3563" t="s">
        <v>4797</v>
      </c>
      <c r="G1145" s="3564">
        <v>88.98</v>
      </c>
      <c r="H1145" s="3564">
        <v>71</v>
      </c>
      <c r="I1145" s="3564">
        <v>17.98</v>
      </c>
      <c r="J1145" s="3565">
        <v>891643</v>
      </c>
      <c r="K1145" s="3565">
        <v>10020.709999999999</v>
      </c>
      <c r="L1145" s="3565">
        <v>12558.35</v>
      </c>
      <c r="M1145" s="3565">
        <v>847061</v>
      </c>
      <c r="N1145" s="3565">
        <v>9519.68</v>
      </c>
      <c r="O1145" s="3566">
        <v>44189</v>
      </c>
    </row>
    <row r="1146" spans="1:15">
      <c r="A1146" s="3563" t="s">
        <v>5357</v>
      </c>
      <c r="B1146" s="3563" t="s">
        <v>4811</v>
      </c>
      <c r="C1146" s="3563" t="s">
        <v>4197</v>
      </c>
      <c r="D1146" s="3563" t="s">
        <v>4796</v>
      </c>
      <c r="E1146" s="3563" t="s">
        <v>4423</v>
      </c>
      <c r="F1146" s="3563" t="s">
        <v>4797</v>
      </c>
      <c r="G1146" s="3564">
        <v>102.77</v>
      </c>
      <c r="H1146" s="3564">
        <v>82.01</v>
      </c>
      <c r="I1146" s="3564">
        <v>20.76</v>
      </c>
      <c r="J1146" s="3565">
        <v>1045942</v>
      </c>
      <c r="K1146" s="3565">
        <v>10177.5</v>
      </c>
      <c r="L1146" s="3565">
        <v>12753.83</v>
      </c>
      <c r="M1146" s="3565">
        <v>1045942</v>
      </c>
      <c r="N1146" s="3565">
        <v>10177.5</v>
      </c>
      <c r="O1146" s="3566">
        <v>44186</v>
      </c>
    </row>
    <row r="1147" spans="1:15">
      <c r="A1147" s="3563" t="s">
        <v>5358</v>
      </c>
      <c r="B1147" s="3563" t="s">
        <v>4196</v>
      </c>
      <c r="C1147" s="3563" t="s">
        <v>4197</v>
      </c>
      <c r="D1147" s="3563" t="s">
        <v>4796</v>
      </c>
      <c r="E1147" s="3563" t="s">
        <v>4423</v>
      </c>
      <c r="F1147" s="3563" t="s">
        <v>4797</v>
      </c>
      <c r="G1147" s="3564">
        <v>88.98</v>
      </c>
      <c r="H1147" s="3564">
        <v>71</v>
      </c>
      <c r="I1147" s="3564">
        <v>17.98</v>
      </c>
      <c r="J1147" s="3565">
        <v>937849</v>
      </c>
      <c r="K1147" s="3565">
        <v>10540</v>
      </c>
      <c r="L1147" s="3565">
        <v>13209.14</v>
      </c>
      <c r="M1147" s="3565">
        <v>0</v>
      </c>
      <c r="N1147" s="3565">
        <v>0</v>
      </c>
      <c r="O1147" s="3563" t="s">
        <v>3453</v>
      </c>
    </row>
    <row r="1148" spans="1:15">
      <c r="A1148" s="3563" t="s">
        <v>5359</v>
      </c>
      <c r="B1148" s="3563" t="s">
        <v>4811</v>
      </c>
      <c r="C1148" s="3563" t="s">
        <v>4197</v>
      </c>
      <c r="D1148" s="3563" t="s">
        <v>4796</v>
      </c>
      <c r="E1148" s="3563" t="s">
        <v>4423</v>
      </c>
      <c r="F1148" s="3563" t="s">
        <v>4797</v>
      </c>
      <c r="G1148" s="3564">
        <v>88.98</v>
      </c>
      <c r="H1148" s="3564">
        <v>71</v>
      </c>
      <c r="I1148" s="3564">
        <v>17.98</v>
      </c>
      <c r="J1148" s="3565">
        <v>937849</v>
      </c>
      <c r="K1148" s="3565">
        <v>10540</v>
      </c>
      <c r="L1148" s="3565">
        <v>13209.14</v>
      </c>
      <c r="M1148" s="3565">
        <v>937849</v>
      </c>
      <c r="N1148" s="3565">
        <v>10540</v>
      </c>
      <c r="O1148" s="3566">
        <v>44188</v>
      </c>
    </row>
    <row r="1149" spans="1:15">
      <c r="A1149" s="3563" t="s">
        <v>5360</v>
      </c>
      <c r="B1149" s="3563" t="s">
        <v>4811</v>
      </c>
      <c r="C1149" s="3563" t="s">
        <v>4197</v>
      </c>
      <c r="D1149" s="3563" t="s">
        <v>4796</v>
      </c>
      <c r="E1149" s="3563" t="s">
        <v>4423</v>
      </c>
      <c r="F1149" s="3563" t="s">
        <v>4797</v>
      </c>
      <c r="G1149" s="3564">
        <v>91.22</v>
      </c>
      <c r="H1149" s="3564">
        <v>72.790000000000006</v>
      </c>
      <c r="I1149" s="3564">
        <v>18.43</v>
      </c>
      <c r="J1149" s="3565">
        <v>912949</v>
      </c>
      <c r="K1149" s="3565">
        <v>10008.209999999999</v>
      </c>
      <c r="L1149" s="3565">
        <v>12542.23</v>
      </c>
      <c r="M1149" s="3565">
        <v>867302</v>
      </c>
      <c r="N1149" s="3565">
        <v>9507.81</v>
      </c>
      <c r="O1149" s="3566">
        <v>44188</v>
      </c>
    </row>
    <row r="1150" spans="1:15">
      <c r="A1150" s="3563" t="s">
        <v>5361</v>
      </c>
      <c r="B1150" s="3563" t="s">
        <v>4811</v>
      </c>
      <c r="C1150" s="3563" t="s">
        <v>4197</v>
      </c>
      <c r="D1150" s="3563" t="s">
        <v>4796</v>
      </c>
      <c r="E1150" s="3563" t="s">
        <v>4423</v>
      </c>
      <c r="F1150" s="3563" t="s">
        <v>4797</v>
      </c>
      <c r="G1150" s="3564">
        <v>88.98</v>
      </c>
      <c r="H1150" s="3564">
        <v>71</v>
      </c>
      <c r="I1150" s="3564">
        <v>17.98</v>
      </c>
      <c r="J1150" s="3565">
        <v>890530</v>
      </c>
      <c r="K1150" s="3565">
        <v>10008.200000000001</v>
      </c>
      <c r="L1150" s="3565">
        <v>12542.68</v>
      </c>
      <c r="M1150" s="3565">
        <v>890530</v>
      </c>
      <c r="N1150" s="3565">
        <v>10008.200000000001</v>
      </c>
      <c r="O1150" s="3566">
        <v>44188</v>
      </c>
    </row>
    <row r="1151" spans="1:15">
      <c r="A1151" s="3563" t="s">
        <v>5362</v>
      </c>
      <c r="B1151" s="3563" t="s">
        <v>4811</v>
      </c>
      <c r="C1151" s="3563" t="s">
        <v>4197</v>
      </c>
      <c r="D1151" s="3563" t="s">
        <v>4796</v>
      </c>
      <c r="E1151" s="3563" t="s">
        <v>4423</v>
      </c>
      <c r="F1151" s="3563" t="s">
        <v>4797</v>
      </c>
      <c r="G1151" s="3564">
        <v>88.98</v>
      </c>
      <c r="H1151" s="3564">
        <v>71</v>
      </c>
      <c r="I1151" s="3564">
        <v>17.98</v>
      </c>
      <c r="J1151" s="3565">
        <v>890530</v>
      </c>
      <c r="K1151" s="3565">
        <v>10008.200000000001</v>
      </c>
      <c r="L1151" s="3565">
        <v>12542.68</v>
      </c>
      <c r="M1151" s="3565">
        <v>890530</v>
      </c>
      <c r="N1151" s="3565">
        <v>10008.200000000001</v>
      </c>
      <c r="O1151" s="3566">
        <v>44188</v>
      </c>
    </row>
    <row r="1152" spans="1:15">
      <c r="A1152" s="3563" t="s">
        <v>5363</v>
      </c>
      <c r="B1152" s="3563" t="s">
        <v>4196</v>
      </c>
      <c r="C1152" s="3563" t="s">
        <v>4197</v>
      </c>
      <c r="D1152" s="3563" t="s">
        <v>4796</v>
      </c>
      <c r="E1152" s="3563" t="s">
        <v>4423</v>
      </c>
      <c r="F1152" s="3563" t="s">
        <v>4797</v>
      </c>
      <c r="G1152" s="3564">
        <v>102.77</v>
      </c>
      <c r="H1152" s="3564">
        <v>82.01</v>
      </c>
      <c r="I1152" s="3564">
        <v>20.76</v>
      </c>
      <c r="J1152" s="3565">
        <v>1044658</v>
      </c>
      <c r="K1152" s="3565">
        <v>10165.01</v>
      </c>
      <c r="L1152" s="3565">
        <v>12738.18</v>
      </c>
      <c r="M1152" s="3565">
        <v>0</v>
      </c>
      <c r="N1152" s="3565">
        <v>0</v>
      </c>
      <c r="O1152" s="3563" t="s">
        <v>3453</v>
      </c>
    </row>
    <row r="1153" spans="1:15">
      <c r="A1153" s="3563" t="s">
        <v>5364</v>
      </c>
      <c r="B1153" s="3563" t="s">
        <v>4811</v>
      </c>
      <c r="C1153" s="3563" t="s">
        <v>4197</v>
      </c>
      <c r="D1153" s="3563" t="s">
        <v>4796</v>
      </c>
      <c r="E1153" s="3563" t="s">
        <v>4423</v>
      </c>
      <c r="F1153" s="3563" t="s">
        <v>4797</v>
      </c>
      <c r="G1153" s="3564">
        <v>88.98</v>
      </c>
      <c r="H1153" s="3564">
        <v>71</v>
      </c>
      <c r="I1153" s="3564">
        <v>17.98</v>
      </c>
      <c r="J1153" s="3565">
        <v>903370</v>
      </c>
      <c r="K1153" s="3565">
        <v>10152.51</v>
      </c>
      <c r="L1153" s="3565">
        <v>12723.52</v>
      </c>
      <c r="M1153" s="3565">
        <v>903370</v>
      </c>
      <c r="N1153" s="3565">
        <v>10152.51</v>
      </c>
      <c r="O1153" s="3566">
        <v>44186</v>
      </c>
    </row>
    <row r="1154" spans="1:15">
      <c r="A1154" s="3563" t="s">
        <v>5365</v>
      </c>
      <c r="B1154" s="3563" t="s">
        <v>4811</v>
      </c>
      <c r="C1154" s="3563" t="s">
        <v>4197</v>
      </c>
      <c r="D1154" s="3563" t="s">
        <v>4796</v>
      </c>
      <c r="E1154" s="3563" t="s">
        <v>4423</v>
      </c>
      <c r="F1154" s="3563" t="s">
        <v>4797</v>
      </c>
      <c r="G1154" s="3564">
        <v>88.98</v>
      </c>
      <c r="H1154" s="3564">
        <v>71</v>
      </c>
      <c r="I1154" s="3564">
        <v>17.98</v>
      </c>
      <c r="J1154" s="3565">
        <v>903370</v>
      </c>
      <c r="K1154" s="3565">
        <v>10152.51</v>
      </c>
      <c r="L1154" s="3565">
        <v>12723.52</v>
      </c>
      <c r="M1154" s="3565">
        <v>858202</v>
      </c>
      <c r="N1154" s="3565">
        <v>9644.89</v>
      </c>
      <c r="O1154" s="3566">
        <v>44191</v>
      </c>
    </row>
    <row r="1155" spans="1:15">
      <c r="A1155" s="3563" t="s">
        <v>5366</v>
      </c>
      <c r="B1155" s="3563" t="s">
        <v>4196</v>
      </c>
      <c r="C1155" s="3563" t="s">
        <v>4197</v>
      </c>
      <c r="D1155" s="3563" t="s">
        <v>4796</v>
      </c>
      <c r="E1155" s="3563" t="s">
        <v>4423</v>
      </c>
      <c r="F1155" s="3563" t="s">
        <v>4797</v>
      </c>
      <c r="G1155" s="3564">
        <v>91.22</v>
      </c>
      <c r="H1155" s="3564">
        <v>72.790000000000006</v>
      </c>
      <c r="I1155" s="3564">
        <v>18.43</v>
      </c>
      <c r="J1155" s="3565">
        <v>912150</v>
      </c>
      <c r="K1155" s="3565">
        <v>9999.4500000000007</v>
      </c>
      <c r="L1155" s="3565">
        <v>12531.25</v>
      </c>
      <c r="M1155" s="3565">
        <v>0</v>
      </c>
      <c r="N1155" s="3565">
        <v>0</v>
      </c>
      <c r="O1155" s="3563" t="s">
        <v>3453</v>
      </c>
    </row>
    <row r="1156" spans="1:15">
      <c r="A1156" s="3563" t="s">
        <v>5367</v>
      </c>
      <c r="B1156" s="3563" t="s">
        <v>4196</v>
      </c>
      <c r="C1156" s="3563" t="s">
        <v>4197</v>
      </c>
      <c r="D1156" s="3563" t="s">
        <v>4796</v>
      </c>
      <c r="E1156" s="3563" t="s">
        <v>4423</v>
      </c>
      <c r="F1156" s="3563" t="s">
        <v>4797</v>
      </c>
      <c r="G1156" s="3564">
        <v>88.98</v>
      </c>
      <c r="H1156" s="3564">
        <v>71</v>
      </c>
      <c r="I1156" s="3564">
        <v>17.98</v>
      </c>
      <c r="J1156" s="3565">
        <v>889752</v>
      </c>
      <c r="K1156" s="3565">
        <v>9999.4599999999991</v>
      </c>
      <c r="L1156" s="3565">
        <v>12531.72</v>
      </c>
      <c r="M1156" s="3565">
        <v>0</v>
      </c>
      <c r="N1156" s="3565">
        <v>0</v>
      </c>
      <c r="O1156" s="3563" t="s">
        <v>3453</v>
      </c>
    </row>
    <row r="1157" spans="1:15">
      <c r="A1157" s="3563" t="s">
        <v>5368</v>
      </c>
      <c r="B1157" s="3563" t="s">
        <v>4811</v>
      </c>
      <c r="C1157" s="3563" t="s">
        <v>4197</v>
      </c>
      <c r="D1157" s="3563" t="s">
        <v>4796</v>
      </c>
      <c r="E1157" s="3563" t="s">
        <v>4423</v>
      </c>
      <c r="F1157" s="3563" t="s">
        <v>4797</v>
      </c>
      <c r="G1157" s="3564">
        <v>88.98</v>
      </c>
      <c r="H1157" s="3564">
        <v>71</v>
      </c>
      <c r="I1157" s="3564">
        <v>17.98</v>
      </c>
      <c r="J1157" s="3565">
        <v>889752</v>
      </c>
      <c r="K1157" s="3565">
        <v>9999.4599999999991</v>
      </c>
      <c r="L1157" s="3565">
        <v>12531.72</v>
      </c>
      <c r="M1157" s="3565">
        <v>845265</v>
      </c>
      <c r="N1157" s="3565">
        <v>9499.49</v>
      </c>
      <c r="O1157" s="3566">
        <v>44190</v>
      </c>
    </row>
    <row r="1158" spans="1:15">
      <c r="A1158" s="3563" t="s">
        <v>5369</v>
      </c>
      <c r="B1158" s="3563" t="s">
        <v>4811</v>
      </c>
      <c r="C1158" s="3563" t="s">
        <v>4197</v>
      </c>
      <c r="D1158" s="3563" t="s">
        <v>4796</v>
      </c>
      <c r="E1158" s="3563" t="s">
        <v>4423</v>
      </c>
      <c r="F1158" s="3563" t="s">
        <v>4797</v>
      </c>
      <c r="G1158" s="3564">
        <v>102.77</v>
      </c>
      <c r="H1158" s="3564">
        <v>82.01</v>
      </c>
      <c r="I1158" s="3564">
        <v>20.76</v>
      </c>
      <c r="J1158" s="3565">
        <v>1027644</v>
      </c>
      <c r="K1158" s="3565">
        <v>9999.4599999999991</v>
      </c>
      <c r="L1158" s="3565">
        <v>12530.72</v>
      </c>
      <c r="M1158" s="3565">
        <v>1027644</v>
      </c>
      <c r="N1158" s="3565">
        <v>9999.4599999999991</v>
      </c>
      <c r="O1158" s="3566">
        <v>44188</v>
      </c>
    </row>
    <row r="1159" spans="1:15">
      <c r="A1159" s="3563" t="s">
        <v>5370</v>
      </c>
      <c r="B1159" s="3563" t="s">
        <v>4811</v>
      </c>
      <c r="C1159" s="3563" t="s">
        <v>4197</v>
      </c>
      <c r="D1159" s="3563" t="s">
        <v>4796</v>
      </c>
      <c r="E1159" s="3563" t="s">
        <v>4423</v>
      </c>
      <c r="F1159" s="3563" t="s">
        <v>4797</v>
      </c>
      <c r="G1159" s="3564">
        <v>88.98</v>
      </c>
      <c r="H1159" s="3564">
        <v>71</v>
      </c>
      <c r="I1159" s="3564">
        <v>17.98</v>
      </c>
      <c r="J1159" s="3565">
        <v>890530</v>
      </c>
      <c r="K1159" s="3565">
        <v>10008.200000000001</v>
      </c>
      <c r="L1159" s="3565">
        <v>12542.68</v>
      </c>
      <c r="M1159" s="3565">
        <v>846004</v>
      </c>
      <c r="N1159" s="3565">
        <v>9507.7999999999993</v>
      </c>
      <c r="O1159" s="3566">
        <v>44186</v>
      </c>
    </row>
    <row r="1160" spans="1:15">
      <c r="A1160" s="3563" t="s">
        <v>5371</v>
      </c>
      <c r="B1160" s="3563" t="s">
        <v>4811</v>
      </c>
      <c r="C1160" s="3563" t="s">
        <v>4197</v>
      </c>
      <c r="D1160" s="3563" t="s">
        <v>4796</v>
      </c>
      <c r="E1160" s="3563" t="s">
        <v>4423</v>
      </c>
      <c r="F1160" s="3563" t="s">
        <v>4797</v>
      </c>
      <c r="G1160" s="3564">
        <v>88.98</v>
      </c>
      <c r="H1160" s="3564">
        <v>71</v>
      </c>
      <c r="I1160" s="3564">
        <v>17.98</v>
      </c>
      <c r="J1160" s="3565">
        <v>890530</v>
      </c>
      <c r="K1160" s="3565">
        <v>10008.200000000001</v>
      </c>
      <c r="L1160" s="3565">
        <v>12542.68</v>
      </c>
      <c r="M1160" s="3565">
        <v>846004</v>
      </c>
      <c r="N1160" s="3565">
        <v>9507.7999999999993</v>
      </c>
      <c r="O1160" s="3566">
        <v>44189</v>
      </c>
    </row>
    <row r="1161" spans="1:15">
      <c r="A1161" s="3563" t="s">
        <v>5372</v>
      </c>
      <c r="B1161" s="3563" t="s">
        <v>4811</v>
      </c>
      <c r="C1161" s="3563" t="s">
        <v>4197</v>
      </c>
      <c r="D1161" s="3563" t="s">
        <v>4796</v>
      </c>
      <c r="E1161" s="3563" t="s">
        <v>4423</v>
      </c>
      <c r="F1161" s="3563" t="s">
        <v>4797</v>
      </c>
      <c r="G1161" s="3564">
        <v>91.22</v>
      </c>
      <c r="H1161" s="3564">
        <v>72.790000000000006</v>
      </c>
      <c r="I1161" s="3564">
        <v>18.43</v>
      </c>
      <c r="J1161" s="3565">
        <v>912150</v>
      </c>
      <c r="K1161" s="3565">
        <v>9999.4500000000007</v>
      </c>
      <c r="L1161" s="3565">
        <v>12531.25</v>
      </c>
      <c r="M1161" s="3565">
        <v>866543</v>
      </c>
      <c r="N1161" s="3565">
        <v>9499.48</v>
      </c>
      <c r="O1161" s="3566">
        <v>44190</v>
      </c>
    </row>
    <row r="1162" spans="1:15">
      <c r="A1162" s="3563" t="s">
        <v>5373</v>
      </c>
      <c r="B1162" s="3563" t="s">
        <v>4811</v>
      </c>
      <c r="C1162" s="3563" t="s">
        <v>4197</v>
      </c>
      <c r="D1162" s="3563" t="s">
        <v>4796</v>
      </c>
      <c r="E1162" s="3563" t="s">
        <v>4423</v>
      </c>
      <c r="F1162" s="3563" t="s">
        <v>4797</v>
      </c>
      <c r="G1162" s="3564">
        <v>88.98</v>
      </c>
      <c r="H1162" s="3564">
        <v>71</v>
      </c>
      <c r="I1162" s="3564">
        <v>17.98</v>
      </c>
      <c r="J1162" s="3565">
        <v>889752</v>
      </c>
      <c r="K1162" s="3565">
        <v>9999.4599999999991</v>
      </c>
      <c r="L1162" s="3565">
        <v>12531.72</v>
      </c>
      <c r="M1162" s="3565">
        <v>845265</v>
      </c>
      <c r="N1162" s="3565">
        <v>9499.49</v>
      </c>
      <c r="O1162" s="3566">
        <v>44190</v>
      </c>
    </row>
    <row r="1163" spans="1:15">
      <c r="A1163" s="3563" t="s">
        <v>5374</v>
      </c>
      <c r="B1163" s="3563" t="s">
        <v>4811</v>
      </c>
      <c r="C1163" s="3563" t="s">
        <v>4197</v>
      </c>
      <c r="D1163" s="3563" t="s">
        <v>4796</v>
      </c>
      <c r="E1163" s="3563" t="s">
        <v>4423</v>
      </c>
      <c r="F1163" s="3563" t="s">
        <v>4797</v>
      </c>
      <c r="G1163" s="3564">
        <v>88.98</v>
      </c>
      <c r="H1163" s="3564">
        <v>71</v>
      </c>
      <c r="I1163" s="3564">
        <v>17.98</v>
      </c>
      <c r="J1163" s="3565">
        <v>889752</v>
      </c>
      <c r="K1163" s="3565">
        <v>9999.4599999999991</v>
      </c>
      <c r="L1163" s="3565">
        <v>12531.72</v>
      </c>
      <c r="M1163" s="3565">
        <v>845265</v>
      </c>
      <c r="N1163" s="3565">
        <v>9499.49</v>
      </c>
      <c r="O1163" s="3566">
        <v>44190</v>
      </c>
    </row>
    <row r="1164" spans="1:15">
      <c r="A1164" s="3563" t="s">
        <v>5375</v>
      </c>
      <c r="B1164" s="3563" t="s">
        <v>4811</v>
      </c>
      <c r="C1164" s="3563" t="s">
        <v>4197</v>
      </c>
      <c r="D1164" s="3563" t="s">
        <v>4796</v>
      </c>
      <c r="E1164" s="3563" t="s">
        <v>4423</v>
      </c>
      <c r="F1164" s="3563" t="s">
        <v>4797</v>
      </c>
      <c r="G1164" s="3564">
        <v>102.77</v>
      </c>
      <c r="H1164" s="3564">
        <v>82.01</v>
      </c>
      <c r="I1164" s="3564">
        <v>20.76</v>
      </c>
      <c r="J1164" s="3565">
        <v>1027644</v>
      </c>
      <c r="K1164" s="3565">
        <v>9999.4599999999991</v>
      </c>
      <c r="L1164" s="3565">
        <v>12530.72</v>
      </c>
      <c r="M1164" s="3565">
        <v>1027644</v>
      </c>
      <c r="N1164" s="3565">
        <v>9999.4599999999991</v>
      </c>
      <c r="O1164" s="3566">
        <v>44185</v>
      </c>
    </row>
    <row r="1165" spans="1:15">
      <c r="A1165" s="3563" t="s">
        <v>5376</v>
      </c>
      <c r="B1165" s="3563" t="s">
        <v>4811</v>
      </c>
      <c r="C1165" s="3563" t="s">
        <v>4197</v>
      </c>
      <c r="D1165" s="3563" t="s">
        <v>4796</v>
      </c>
      <c r="E1165" s="3563" t="s">
        <v>4423</v>
      </c>
      <c r="F1165" s="3563" t="s">
        <v>4797</v>
      </c>
      <c r="G1165" s="3564">
        <v>88.98</v>
      </c>
      <c r="H1165" s="3564">
        <v>71</v>
      </c>
      <c r="I1165" s="3564">
        <v>17.98</v>
      </c>
      <c r="J1165" s="3565">
        <v>901145</v>
      </c>
      <c r="K1165" s="3565">
        <v>10127.5</v>
      </c>
      <c r="L1165" s="3565">
        <v>12692.18</v>
      </c>
      <c r="M1165" s="3565">
        <v>856088</v>
      </c>
      <c r="N1165" s="3565">
        <v>9621.1299999999992</v>
      </c>
      <c r="O1165" s="3566">
        <v>44189</v>
      </c>
    </row>
    <row r="1166" spans="1:15">
      <c r="A1166" s="3563" t="s">
        <v>5377</v>
      </c>
      <c r="B1166" s="3563" t="s">
        <v>4811</v>
      </c>
      <c r="C1166" s="3563" t="s">
        <v>4197</v>
      </c>
      <c r="D1166" s="3563" t="s">
        <v>4796</v>
      </c>
      <c r="E1166" s="3563" t="s">
        <v>4423</v>
      </c>
      <c r="F1166" s="3563" t="s">
        <v>4797</v>
      </c>
      <c r="G1166" s="3564">
        <v>88.98</v>
      </c>
      <c r="H1166" s="3564">
        <v>71</v>
      </c>
      <c r="I1166" s="3564">
        <v>17.98</v>
      </c>
      <c r="J1166" s="3565">
        <v>901145</v>
      </c>
      <c r="K1166" s="3565">
        <v>10127.5</v>
      </c>
      <c r="L1166" s="3565">
        <v>12692.18</v>
      </c>
      <c r="M1166" s="3565">
        <v>901145</v>
      </c>
      <c r="N1166" s="3565">
        <v>10127.5</v>
      </c>
      <c r="O1166" s="3566">
        <v>44188</v>
      </c>
    </row>
    <row r="1167" spans="1:15">
      <c r="A1167" s="3563" t="s">
        <v>5378</v>
      </c>
      <c r="B1167" s="3563" t="s">
        <v>4811</v>
      </c>
      <c r="C1167" s="3563" t="s">
        <v>4197</v>
      </c>
      <c r="D1167" s="3563" t="s">
        <v>4796</v>
      </c>
      <c r="E1167" s="3563" t="s">
        <v>4423</v>
      </c>
      <c r="F1167" s="3563" t="s">
        <v>4797</v>
      </c>
      <c r="G1167" s="3564">
        <v>91.22</v>
      </c>
      <c r="H1167" s="3564">
        <v>72.790000000000006</v>
      </c>
      <c r="I1167" s="3564">
        <v>18.43</v>
      </c>
      <c r="J1167" s="3565">
        <v>912150</v>
      </c>
      <c r="K1167" s="3565">
        <v>9999.4500000000007</v>
      </c>
      <c r="L1167" s="3565">
        <v>12531.25</v>
      </c>
      <c r="M1167" s="3565">
        <v>866543</v>
      </c>
      <c r="N1167" s="3565">
        <v>9499.48</v>
      </c>
      <c r="O1167" s="3566">
        <v>44190</v>
      </c>
    </row>
    <row r="1168" spans="1:15">
      <c r="A1168" s="3563" t="s">
        <v>5379</v>
      </c>
      <c r="B1168" s="3563" t="s">
        <v>4811</v>
      </c>
      <c r="C1168" s="3563" t="s">
        <v>4197</v>
      </c>
      <c r="D1168" s="3563" t="s">
        <v>4796</v>
      </c>
      <c r="E1168" s="3563" t="s">
        <v>4423</v>
      </c>
      <c r="F1168" s="3563" t="s">
        <v>4797</v>
      </c>
      <c r="G1168" s="3564">
        <v>88.98</v>
      </c>
      <c r="H1168" s="3564">
        <v>71</v>
      </c>
      <c r="I1168" s="3564">
        <v>17.98</v>
      </c>
      <c r="J1168" s="3565">
        <v>889752</v>
      </c>
      <c r="K1168" s="3565">
        <v>9999.4599999999991</v>
      </c>
      <c r="L1168" s="3565">
        <v>12531.72</v>
      </c>
      <c r="M1168" s="3565">
        <v>845265</v>
      </c>
      <c r="N1168" s="3565">
        <v>9499.49</v>
      </c>
      <c r="O1168" s="3566">
        <v>44190</v>
      </c>
    </row>
    <row r="1169" spans="1:15">
      <c r="A1169" s="3563" t="s">
        <v>5380</v>
      </c>
      <c r="B1169" s="3563" t="s">
        <v>4811</v>
      </c>
      <c r="C1169" s="3563" t="s">
        <v>4197</v>
      </c>
      <c r="D1169" s="3563" t="s">
        <v>4796</v>
      </c>
      <c r="E1169" s="3563" t="s">
        <v>4423</v>
      </c>
      <c r="F1169" s="3563" t="s">
        <v>4797</v>
      </c>
      <c r="G1169" s="3564">
        <v>88.98</v>
      </c>
      <c r="H1169" s="3564">
        <v>71</v>
      </c>
      <c r="I1169" s="3564">
        <v>17.98</v>
      </c>
      <c r="J1169" s="3565">
        <v>889752</v>
      </c>
      <c r="K1169" s="3565">
        <v>9999.4599999999991</v>
      </c>
      <c r="L1169" s="3565">
        <v>12531.72</v>
      </c>
      <c r="M1169" s="3565">
        <v>845265</v>
      </c>
      <c r="N1169" s="3565">
        <v>9499.49</v>
      </c>
      <c r="O1169" s="3566">
        <v>44190</v>
      </c>
    </row>
    <row r="1170" spans="1:15">
      <c r="A1170" s="3563" t="s">
        <v>5381</v>
      </c>
      <c r="B1170" s="3563" t="s">
        <v>4811</v>
      </c>
      <c r="C1170" s="3563" t="s">
        <v>4197</v>
      </c>
      <c r="D1170" s="3563" t="s">
        <v>4796</v>
      </c>
      <c r="E1170" s="3563" t="s">
        <v>4423</v>
      </c>
      <c r="F1170" s="3563" t="s">
        <v>4797</v>
      </c>
      <c r="G1170" s="3564">
        <v>102.77</v>
      </c>
      <c r="H1170" s="3564">
        <v>82.01</v>
      </c>
      <c r="I1170" s="3564">
        <v>20.76</v>
      </c>
      <c r="J1170" s="3565">
        <v>1027644</v>
      </c>
      <c r="K1170" s="3565">
        <v>9999.4599999999991</v>
      </c>
      <c r="L1170" s="3565">
        <v>12530.72</v>
      </c>
      <c r="M1170" s="3565">
        <v>1027644</v>
      </c>
      <c r="N1170" s="3565">
        <v>9999.4599999999991</v>
      </c>
      <c r="O1170" s="3566">
        <v>44185</v>
      </c>
    </row>
    <row r="1171" spans="1:15">
      <c r="A1171" s="3563" t="s">
        <v>5382</v>
      </c>
      <c r="B1171" s="3563" t="s">
        <v>4811</v>
      </c>
      <c r="C1171" s="3563" t="s">
        <v>4197</v>
      </c>
      <c r="D1171" s="3563" t="s">
        <v>4796</v>
      </c>
      <c r="E1171" s="3563" t="s">
        <v>4423</v>
      </c>
      <c r="F1171" s="3563" t="s">
        <v>4797</v>
      </c>
      <c r="G1171" s="3564">
        <v>88.98</v>
      </c>
      <c r="H1171" s="3564">
        <v>71</v>
      </c>
      <c r="I1171" s="3564">
        <v>17.98</v>
      </c>
      <c r="J1171" s="3565">
        <v>914493</v>
      </c>
      <c r="K1171" s="3565">
        <v>10277.51</v>
      </c>
      <c r="L1171" s="3565">
        <v>12880.18</v>
      </c>
      <c r="M1171" s="3565">
        <v>868769</v>
      </c>
      <c r="N1171" s="3565">
        <v>9763.64</v>
      </c>
      <c r="O1171" s="3566">
        <v>44189</v>
      </c>
    </row>
    <row r="1172" spans="1:15">
      <c r="A1172" s="3563" t="s">
        <v>5383</v>
      </c>
      <c r="B1172" s="3563" t="s">
        <v>4811</v>
      </c>
      <c r="C1172" s="3563" t="s">
        <v>4197</v>
      </c>
      <c r="D1172" s="3563" t="s">
        <v>4796</v>
      </c>
      <c r="E1172" s="3563" t="s">
        <v>4423</v>
      </c>
      <c r="F1172" s="3563" t="s">
        <v>4797</v>
      </c>
      <c r="G1172" s="3564">
        <v>88.98</v>
      </c>
      <c r="H1172" s="3564">
        <v>71</v>
      </c>
      <c r="I1172" s="3564">
        <v>17.98</v>
      </c>
      <c r="J1172" s="3565">
        <v>914493</v>
      </c>
      <c r="K1172" s="3565">
        <v>10277.51</v>
      </c>
      <c r="L1172" s="3565">
        <v>12880.18</v>
      </c>
      <c r="M1172" s="3565">
        <v>914493</v>
      </c>
      <c r="N1172" s="3565">
        <v>10277.51</v>
      </c>
      <c r="O1172" s="3566">
        <v>44185</v>
      </c>
    </row>
    <row r="1173" spans="1:15">
      <c r="A1173" s="3563" t="s">
        <v>5384</v>
      </c>
      <c r="B1173" s="3563" t="s">
        <v>4811</v>
      </c>
      <c r="C1173" s="3563" t="s">
        <v>4197</v>
      </c>
      <c r="D1173" s="3563" t="s">
        <v>4796</v>
      </c>
      <c r="E1173" s="3563" t="s">
        <v>4423</v>
      </c>
      <c r="F1173" s="3563" t="s">
        <v>4797</v>
      </c>
      <c r="G1173" s="3564">
        <v>91.22</v>
      </c>
      <c r="H1173" s="3564">
        <v>72.790000000000006</v>
      </c>
      <c r="I1173" s="3564">
        <v>18.43</v>
      </c>
      <c r="J1173" s="3565">
        <v>912150</v>
      </c>
      <c r="K1173" s="3565">
        <v>9999.4500000000007</v>
      </c>
      <c r="L1173" s="3565">
        <v>12531.25</v>
      </c>
      <c r="M1173" s="3565">
        <v>866543</v>
      </c>
      <c r="N1173" s="3565">
        <v>9499.48</v>
      </c>
      <c r="O1173" s="3566">
        <v>44190</v>
      </c>
    </row>
    <row r="1174" spans="1:15">
      <c r="A1174" s="3563" t="s">
        <v>5385</v>
      </c>
      <c r="B1174" s="3563" t="s">
        <v>4811</v>
      </c>
      <c r="C1174" s="3563" t="s">
        <v>4197</v>
      </c>
      <c r="D1174" s="3563" t="s">
        <v>4796</v>
      </c>
      <c r="E1174" s="3563" t="s">
        <v>4423</v>
      </c>
      <c r="F1174" s="3563" t="s">
        <v>4797</v>
      </c>
      <c r="G1174" s="3564">
        <v>88.98</v>
      </c>
      <c r="H1174" s="3564">
        <v>71</v>
      </c>
      <c r="I1174" s="3564">
        <v>17.98</v>
      </c>
      <c r="J1174" s="3565">
        <v>889752</v>
      </c>
      <c r="K1174" s="3565">
        <v>9999.4599999999991</v>
      </c>
      <c r="L1174" s="3565">
        <v>12531.72</v>
      </c>
      <c r="M1174" s="3565">
        <v>845265</v>
      </c>
      <c r="N1174" s="3565">
        <v>9499.49</v>
      </c>
      <c r="O1174" s="3566">
        <v>44190</v>
      </c>
    </row>
    <row r="1175" spans="1:15">
      <c r="A1175" s="3563" t="s">
        <v>5386</v>
      </c>
      <c r="B1175" s="3563" t="s">
        <v>4811</v>
      </c>
      <c r="C1175" s="3563" t="s">
        <v>4197</v>
      </c>
      <c r="D1175" s="3563" t="s">
        <v>4796</v>
      </c>
      <c r="E1175" s="3563" t="s">
        <v>4423</v>
      </c>
      <c r="F1175" s="3563" t="s">
        <v>4797</v>
      </c>
      <c r="G1175" s="3564">
        <v>88.98</v>
      </c>
      <c r="H1175" s="3564">
        <v>71</v>
      </c>
      <c r="I1175" s="3564">
        <v>17.98</v>
      </c>
      <c r="J1175" s="3565">
        <v>889752</v>
      </c>
      <c r="K1175" s="3565">
        <v>9999.4599999999991</v>
      </c>
      <c r="L1175" s="3565">
        <v>12531.72</v>
      </c>
      <c r="M1175" s="3565">
        <v>845265</v>
      </c>
      <c r="N1175" s="3565">
        <v>9499.49</v>
      </c>
      <c r="O1175" s="3566">
        <v>44190</v>
      </c>
    </row>
    <row r="1176" spans="1:15">
      <c r="A1176" s="3563" t="s">
        <v>5387</v>
      </c>
      <c r="B1176" s="3563" t="s">
        <v>4811</v>
      </c>
      <c r="C1176" s="3563" t="s">
        <v>4197</v>
      </c>
      <c r="D1176" s="3563" t="s">
        <v>4796</v>
      </c>
      <c r="E1176" s="3563" t="s">
        <v>4423</v>
      </c>
      <c r="F1176" s="3563" t="s">
        <v>4797</v>
      </c>
      <c r="G1176" s="3564">
        <v>102.77</v>
      </c>
      <c r="H1176" s="3564">
        <v>82.01</v>
      </c>
      <c r="I1176" s="3564">
        <v>20.76</v>
      </c>
      <c r="J1176" s="3565">
        <v>1027644</v>
      </c>
      <c r="K1176" s="3565">
        <v>9999.4599999999991</v>
      </c>
      <c r="L1176" s="3565">
        <v>12530.72</v>
      </c>
      <c r="M1176" s="3565">
        <v>1027644</v>
      </c>
      <c r="N1176" s="3565">
        <v>9999.4599999999991</v>
      </c>
      <c r="O1176" s="3566">
        <v>44192</v>
      </c>
    </row>
    <row r="1177" spans="1:15">
      <c r="A1177" s="3563" t="s">
        <v>5388</v>
      </c>
      <c r="B1177" s="3563" t="s">
        <v>4811</v>
      </c>
      <c r="C1177" s="3563" t="s">
        <v>4197</v>
      </c>
      <c r="D1177" s="3563" t="s">
        <v>4796</v>
      </c>
      <c r="E1177" s="3563" t="s">
        <v>4423</v>
      </c>
      <c r="F1177" s="3563" t="s">
        <v>4797</v>
      </c>
      <c r="G1177" s="3564">
        <v>88.98</v>
      </c>
      <c r="H1177" s="3564">
        <v>71</v>
      </c>
      <c r="I1177" s="3564">
        <v>17.98</v>
      </c>
      <c r="J1177" s="3565">
        <v>915604</v>
      </c>
      <c r="K1177" s="3565">
        <v>10290</v>
      </c>
      <c r="L1177" s="3565">
        <v>12895.83</v>
      </c>
      <c r="M1177" s="3565">
        <v>915604</v>
      </c>
      <c r="N1177" s="3565">
        <v>10290</v>
      </c>
      <c r="O1177" s="3566">
        <v>44186</v>
      </c>
    </row>
    <row r="1178" spans="1:15">
      <c r="A1178" s="3563" t="s">
        <v>5389</v>
      </c>
      <c r="B1178" s="3563" t="s">
        <v>4811</v>
      </c>
      <c r="C1178" s="3563" t="s">
        <v>4197</v>
      </c>
      <c r="D1178" s="3563" t="s">
        <v>4796</v>
      </c>
      <c r="E1178" s="3563" t="s">
        <v>4423</v>
      </c>
      <c r="F1178" s="3563" t="s">
        <v>4797</v>
      </c>
      <c r="G1178" s="3564">
        <v>88.98</v>
      </c>
      <c r="H1178" s="3564">
        <v>71</v>
      </c>
      <c r="I1178" s="3564">
        <v>17.98</v>
      </c>
      <c r="J1178" s="3565">
        <v>915604</v>
      </c>
      <c r="K1178" s="3565">
        <v>10290</v>
      </c>
      <c r="L1178" s="3565">
        <v>12895.83</v>
      </c>
      <c r="M1178" s="3565">
        <v>915604</v>
      </c>
      <c r="N1178" s="3565">
        <v>10290</v>
      </c>
      <c r="O1178" s="3566">
        <v>44186</v>
      </c>
    </row>
    <row r="1179" spans="1:15">
      <c r="A1179" s="3563" t="s">
        <v>5390</v>
      </c>
      <c r="B1179" s="3563" t="s">
        <v>4811</v>
      </c>
      <c r="C1179" s="3563" t="s">
        <v>4197</v>
      </c>
      <c r="D1179" s="3563" t="s">
        <v>4796</v>
      </c>
      <c r="E1179" s="3563" t="s">
        <v>4423</v>
      </c>
      <c r="F1179" s="3563" t="s">
        <v>4797</v>
      </c>
      <c r="G1179" s="3564">
        <v>91.22</v>
      </c>
      <c r="H1179" s="3564">
        <v>72.790000000000006</v>
      </c>
      <c r="I1179" s="3564">
        <v>18.43</v>
      </c>
      <c r="J1179" s="3565">
        <v>912150</v>
      </c>
      <c r="K1179" s="3565">
        <v>9999.4500000000007</v>
      </c>
      <c r="L1179" s="3565">
        <v>12531.25</v>
      </c>
      <c r="M1179" s="3565">
        <v>866543</v>
      </c>
      <c r="N1179" s="3565">
        <v>9499.48</v>
      </c>
      <c r="O1179" s="3566">
        <v>44190</v>
      </c>
    </row>
    <row r="1180" spans="1:15">
      <c r="A1180" s="3563" t="s">
        <v>5391</v>
      </c>
      <c r="B1180" s="3563" t="s">
        <v>4811</v>
      </c>
      <c r="C1180" s="3563" t="s">
        <v>4197</v>
      </c>
      <c r="D1180" s="3563" t="s">
        <v>4796</v>
      </c>
      <c r="E1180" s="3563" t="s">
        <v>4423</v>
      </c>
      <c r="F1180" s="3563" t="s">
        <v>4797</v>
      </c>
      <c r="G1180" s="3564">
        <v>88.98</v>
      </c>
      <c r="H1180" s="3564">
        <v>71</v>
      </c>
      <c r="I1180" s="3564">
        <v>17.98</v>
      </c>
      <c r="J1180" s="3565">
        <v>889752</v>
      </c>
      <c r="K1180" s="3565">
        <v>9999.4599999999991</v>
      </c>
      <c r="L1180" s="3565">
        <v>12531.72</v>
      </c>
      <c r="M1180" s="3565">
        <v>845265</v>
      </c>
      <c r="N1180" s="3565">
        <v>9499.49</v>
      </c>
      <c r="O1180" s="3566">
        <v>44190</v>
      </c>
    </row>
    <row r="1181" spans="1:15">
      <c r="A1181" s="3563" t="s">
        <v>5392</v>
      </c>
      <c r="B1181" s="3563" t="s">
        <v>4811</v>
      </c>
      <c r="C1181" s="3563" t="s">
        <v>4197</v>
      </c>
      <c r="D1181" s="3563" t="s">
        <v>4796</v>
      </c>
      <c r="E1181" s="3563" t="s">
        <v>4423</v>
      </c>
      <c r="F1181" s="3563" t="s">
        <v>4797</v>
      </c>
      <c r="G1181" s="3564">
        <v>88.98</v>
      </c>
      <c r="H1181" s="3564">
        <v>71</v>
      </c>
      <c r="I1181" s="3564">
        <v>17.98</v>
      </c>
      <c r="J1181" s="3565">
        <v>889752</v>
      </c>
      <c r="K1181" s="3565">
        <v>9999.4599999999991</v>
      </c>
      <c r="L1181" s="3565">
        <v>12531.72</v>
      </c>
      <c r="M1181" s="3565">
        <v>845264</v>
      </c>
      <c r="N1181" s="3565">
        <v>9499.48</v>
      </c>
      <c r="O1181" s="3566">
        <v>44190</v>
      </c>
    </row>
    <row r="1182" spans="1:15">
      <c r="A1182" s="3563" t="s">
        <v>5393</v>
      </c>
      <c r="B1182" s="3563" t="s">
        <v>4811</v>
      </c>
      <c r="C1182" s="3563" t="s">
        <v>4197</v>
      </c>
      <c r="D1182" s="3563" t="s">
        <v>4796</v>
      </c>
      <c r="E1182" s="3563" t="s">
        <v>4423</v>
      </c>
      <c r="F1182" s="3563" t="s">
        <v>4797</v>
      </c>
      <c r="G1182" s="3564">
        <v>102.77</v>
      </c>
      <c r="H1182" s="3564">
        <v>82.01</v>
      </c>
      <c r="I1182" s="3564">
        <v>20.76</v>
      </c>
      <c r="J1182" s="3565">
        <v>1027644</v>
      </c>
      <c r="K1182" s="3565">
        <v>9999.4599999999991</v>
      </c>
      <c r="L1182" s="3565">
        <v>12530.72</v>
      </c>
      <c r="M1182" s="3565">
        <v>976262</v>
      </c>
      <c r="N1182" s="3565">
        <v>9499.48</v>
      </c>
      <c r="O1182" s="3566">
        <v>44191</v>
      </c>
    </row>
    <row r="1183" spans="1:15">
      <c r="A1183" s="3563" t="s">
        <v>5394</v>
      </c>
      <c r="B1183" s="3563" t="s">
        <v>5277</v>
      </c>
      <c r="C1183" s="3563" t="s">
        <v>4197</v>
      </c>
      <c r="D1183" s="3563" t="s">
        <v>4796</v>
      </c>
      <c r="E1183" s="3563" t="s">
        <v>4423</v>
      </c>
      <c r="F1183" s="3563" t="s">
        <v>4797</v>
      </c>
      <c r="G1183" s="3564">
        <v>88.98</v>
      </c>
      <c r="H1183" s="3564">
        <v>71</v>
      </c>
      <c r="I1183" s="3564">
        <v>17.98</v>
      </c>
      <c r="J1183" s="3565">
        <v>938962</v>
      </c>
      <c r="K1183" s="3565">
        <v>10552.51</v>
      </c>
      <c r="L1183" s="3565">
        <v>13224.82</v>
      </c>
      <c r="M1183" s="3565">
        <v>892014</v>
      </c>
      <c r="N1183" s="3565">
        <v>10024.879999999999</v>
      </c>
      <c r="O1183" s="3566">
        <v>44189</v>
      </c>
    </row>
    <row r="1184" spans="1:15">
      <c r="A1184" s="3563" t="s">
        <v>5395</v>
      </c>
      <c r="B1184" s="3563" t="s">
        <v>4811</v>
      </c>
      <c r="C1184" s="3563" t="s">
        <v>4197</v>
      </c>
      <c r="D1184" s="3563" t="s">
        <v>4796</v>
      </c>
      <c r="E1184" s="3563" t="s">
        <v>4423</v>
      </c>
      <c r="F1184" s="3563" t="s">
        <v>4797</v>
      </c>
      <c r="G1184" s="3564">
        <v>88.98</v>
      </c>
      <c r="H1184" s="3564">
        <v>71</v>
      </c>
      <c r="I1184" s="3564">
        <v>17.98</v>
      </c>
      <c r="J1184" s="3565">
        <v>938962</v>
      </c>
      <c r="K1184" s="3565">
        <v>10552.51</v>
      </c>
      <c r="L1184" s="3565">
        <v>13224.82</v>
      </c>
      <c r="M1184" s="3565">
        <v>938962</v>
      </c>
      <c r="N1184" s="3565">
        <v>10552.51</v>
      </c>
      <c r="O1184" s="3566">
        <v>44186</v>
      </c>
    </row>
    <row r="1185" spans="1:15">
      <c r="A1185" s="3563" t="s">
        <v>5396</v>
      </c>
      <c r="B1185" s="3563" t="s">
        <v>4196</v>
      </c>
      <c r="C1185" s="3563" t="s">
        <v>4197</v>
      </c>
      <c r="D1185" s="3563" t="s">
        <v>4796</v>
      </c>
      <c r="E1185" s="3563" t="s">
        <v>4423</v>
      </c>
      <c r="F1185" s="3563" t="s">
        <v>4797</v>
      </c>
      <c r="G1185" s="3564">
        <v>91.22</v>
      </c>
      <c r="H1185" s="3564">
        <v>72.790000000000006</v>
      </c>
      <c r="I1185" s="3564">
        <v>18.43</v>
      </c>
      <c r="J1185" s="3565">
        <v>914089</v>
      </c>
      <c r="K1185" s="3565">
        <v>10020.709999999999</v>
      </c>
      <c r="L1185" s="3565">
        <v>12557.89</v>
      </c>
      <c r="M1185" s="3565">
        <v>0</v>
      </c>
      <c r="N1185" s="3565">
        <v>0</v>
      </c>
      <c r="O1185" s="3563" t="s">
        <v>3453</v>
      </c>
    </row>
    <row r="1186" spans="1:15">
      <c r="A1186" s="3563" t="s">
        <v>5397</v>
      </c>
      <c r="B1186" s="3563" t="s">
        <v>4811</v>
      </c>
      <c r="C1186" s="3563" t="s">
        <v>4197</v>
      </c>
      <c r="D1186" s="3563" t="s">
        <v>4796</v>
      </c>
      <c r="E1186" s="3563" t="s">
        <v>4423</v>
      </c>
      <c r="F1186" s="3563" t="s">
        <v>4797</v>
      </c>
      <c r="G1186" s="3564">
        <v>88.98</v>
      </c>
      <c r="H1186" s="3564">
        <v>71</v>
      </c>
      <c r="I1186" s="3564">
        <v>17.98</v>
      </c>
      <c r="J1186" s="3565">
        <v>891643</v>
      </c>
      <c r="K1186" s="3565">
        <v>10020.709999999999</v>
      </c>
      <c r="L1186" s="3565">
        <v>12558.35</v>
      </c>
      <c r="M1186" s="3565">
        <v>847061</v>
      </c>
      <c r="N1186" s="3565">
        <v>9519.68</v>
      </c>
      <c r="O1186" s="3566">
        <v>44190</v>
      </c>
    </row>
    <row r="1187" spans="1:15">
      <c r="A1187" s="3563" t="s">
        <v>5398</v>
      </c>
      <c r="B1187" s="3563" t="s">
        <v>4811</v>
      </c>
      <c r="C1187" s="3563" t="s">
        <v>4197</v>
      </c>
      <c r="D1187" s="3563" t="s">
        <v>4796</v>
      </c>
      <c r="E1187" s="3563" t="s">
        <v>4423</v>
      </c>
      <c r="F1187" s="3563" t="s">
        <v>4797</v>
      </c>
      <c r="G1187" s="3564">
        <v>88.98</v>
      </c>
      <c r="H1187" s="3564">
        <v>71</v>
      </c>
      <c r="I1187" s="3564">
        <v>17.98</v>
      </c>
      <c r="J1187" s="3565">
        <v>891643</v>
      </c>
      <c r="K1187" s="3565">
        <v>10020.709999999999</v>
      </c>
      <c r="L1187" s="3565">
        <v>12558.35</v>
      </c>
      <c r="M1187" s="3565">
        <v>847061</v>
      </c>
      <c r="N1187" s="3565">
        <v>9519.68</v>
      </c>
      <c r="O1187" s="3566">
        <v>44190</v>
      </c>
    </row>
    <row r="1188" spans="1:15">
      <c r="A1188" s="3563" t="s">
        <v>5399</v>
      </c>
      <c r="B1188" s="3563" t="s">
        <v>4811</v>
      </c>
      <c r="C1188" s="3563" t="s">
        <v>4197</v>
      </c>
      <c r="D1188" s="3563" t="s">
        <v>4796</v>
      </c>
      <c r="E1188" s="3563" t="s">
        <v>4423</v>
      </c>
      <c r="F1188" s="3563" t="s">
        <v>4797</v>
      </c>
      <c r="G1188" s="3564">
        <v>102.77</v>
      </c>
      <c r="H1188" s="3564">
        <v>82.01</v>
      </c>
      <c r="I1188" s="3564">
        <v>20.76</v>
      </c>
      <c r="J1188" s="3565">
        <v>1045942</v>
      </c>
      <c r="K1188" s="3565">
        <v>10177.5</v>
      </c>
      <c r="L1188" s="3565">
        <v>12753.83</v>
      </c>
      <c r="M1188" s="3565">
        <v>1045942</v>
      </c>
      <c r="N1188" s="3565">
        <v>10177.5</v>
      </c>
      <c r="O1188" s="3566">
        <v>44189</v>
      </c>
    </row>
    <row r="1189" spans="1:15">
      <c r="A1189" s="3563" t="s">
        <v>5400</v>
      </c>
      <c r="B1189" s="3563" t="s">
        <v>5277</v>
      </c>
      <c r="C1189" s="3563" t="s">
        <v>4197</v>
      </c>
      <c r="D1189" s="3563" t="s">
        <v>4796</v>
      </c>
      <c r="E1189" s="3563" t="s">
        <v>4423</v>
      </c>
      <c r="F1189" s="3563" t="s">
        <v>4797</v>
      </c>
      <c r="G1189" s="3564">
        <v>88.98</v>
      </c>
      <c r="H1189" s="3564">
        <v>71</v>
      </c>
      <c r="I1189" s="3564">
        <v>17.98</v>
      </c>
      <c r="J1189" s="3565">
        <v>940074</v>
      </c>
      <c r="K1189" s="3565">
        <v>10565</v>
      </c>
      <c r="L1189" s="3565">
        <v>13240.48</v>
      </c>
      <c r="M1189" s="3565">
        <v>893071</v>
      </c>
      <c r="N1189" s="3565">
        <v>10036.76</v>
      </c>
      <c r="O1189" s="3566">
        <v>44189</v>
      </c>
    </row>
    <row r="1190" spans="1:15">
      <c r="A1190" s="3563" t="s">
        <v>5401</v>
      </c>
      <c r="B1190" s="3563" t="s">
        <v>5277</v>
      </c>
      <c r="C1190" s="3563" t="s">
        <v>4197</v>
      </c>
      <c r="D1190" s="3563" t="s">
        <v>4796</v>
      </c>
      <c r="E1190" s="3563" t="s">
        <v>4423</v>
      </c>
      <c r="F1190" s="3563" t="s">
        <v>4797</v>
      </c>
      <c r="G1190" s="3564">
        <v>88.98</v>
      </c>
      <c r="H1190" s="3564">
        <v>71</v>
      </c>
      <c r="I1190" s="3564">
        <v>17.98</v>
      </c>
      <c r="J1190" s="3565">
        <v>940074</v>
      </c>
      <c r="K1190" s="3565">
        <v>10565</v>
      </c>
      <c r="L1190" s="3565">
        <v>13240.48</v>
      </c>
      <c r="M1190" s="3565">
        <v>893071</v>
      </c>
      <c r="N1190" s="3565">
        <v>10036.76</v>
      </c>
      <c r="O1190" s="3566">
        <v>44189</v>
      </c>
    </row>
    <row r="1191" spans="1:15">
      <c r="A1191" s="3563" t="s">
        <v>5402</v>
      </c>
      <c r="B1191" s="3563" t="s">
        <v>4196</v>
      </c>
      <c r="C1191" s="3563" t="s">
        <v>4197</v>
      </c>
      <c r="D1191" s="3563" t="s">
        <v>4796</v>
      </c>
      <c r="E1191" s="3563" t="s">
        <v>4423</v>
      </c>
      <c r="F1191" s="3563" t="s">
        <v>4797</v>
      </c>
      <c r="G1191" s="3564">
        <v>91.22</v>
      </c>
      <c r="H1191" s="3564">
        <v>72.790000000000006</v>
      </c>
      <c r="I1191" s="3564">
        <v>18.43</v>
      </c>
      <c r="J1191" s="3565">
        <v>915229</v>
      </c>
      <c r="K1191" s="3565">
        <v>10033.209999999999</v>
      </c>
      <c r="L1191" s="3565">
        <v>12573.55</v>
      </c>
      <c r="M1191" s="3565">
        <v>0</v>
      </c>
      <c r="N1191" s="3565">
        <v>0</v>
      </c>
      <c r="O1191" s="3563" t="s">
        <v>3453</v>
      </c>
    </row>
    <row r="1192" spans="1:15">
      <c r="A1192" s="3563" t="s">
        <v>5403</v>
      </c>
      <c r="B1192" s="3563" t="s">
        <v>4811</v>
      </c>
      <c r="C1192" s="3563" t="s">
        <v>4197</v>
      </c>
      <c r="D1192" s="3563" t="s">
        <v>4796</v>
      </c>
      <c r="E1192" s="3563" t="s">
        <v>4423</v>
      </c>
      <c r="F1192" s="3563" t="s">
        <v>4797</v>
      </c>
      <c r="G1192" s="3564">
        <v>88.98</v>
      </c>
      <c r="H1192" s="3564">
        <v>71</v>
      </c>
      <c r="I1192" s="3564">
        <v>17.98</v>
      </c>
      <c r="J1192" s="3565">
        <v>892755</v>
      </c>
      <c r="K1192" s="3565">
        <v>10033.209999999999</v>
      </c>
      <c r="L1192" s="3565">
        <v>12574.01</v>
      </c>
      <c r="M1192" s="3565">
        <v>848118</v>
      </c>
      <c r="N1192" s="3565">
        <v>9531.56</v>
      </c>
      <c r="O1192" s="3566">
        <v>44190</v>
      </c>
    </row>
    <row r="1193" spans="1:15">
      <c r="A1193" s="3563" t="s">
        <v>5404</v>
      </c>
      <c r="B1193" s="3563" t="s">
        <v>4811</v>
      </c>
      <c r="C1193" s="3563" t="s">
        <v>4197</v>
      </c>
      <c r="D1193" s="3563" t="s">
        <v>4796</v>
      </c>
      <c r="E1193" s="3563" t="s">
        <v>4423</v>
      </c>
      <c r="F1193" s="3563" t="s">
        <v>4797</v>
      </c>
      <c r="G1193" s="3564">
        <v>88.98</v>
      </c>
      <c r="H1193" s="3564">
        <v>71</v>
      </c>
      <c r="I1193" s="3564">
        <v>17.98</v>
      </c>
      <c r="J1193" s="3565">
        <v>892755</v>
      </c>
      <c r="K1193" s="3565">
        <v>10033.209999999999</v>
      </c>
      <c r="L1193" s="3565">
        <v>12574.01</v>
      </c>
      <c r="M1193" s="3565">
        <v>848118</v>
      </c>
      <c r="N1193" s="3565">
        <v>9531.56</v>
      </c>
      <c r="O1193" s="3566">
        <v>44190</v>
      </c>
    </row>
    <row r="1194" spans="1:15">
      <c r="A1194" s="3563" t="s">
        <v>5405</v>
      </c>
      <c r="B1194" s="3563" t="s">
        <v>4811</v>
      </c>
      <c r="C1194" s="3563" t="s">
        <v>4197</v>
      </c>
      <c r="D1194" s="3563" t="s">
        <v>4796</v>
      </c>
      <c r="E1194" s="3563" t="s">
        <v>4423</v>
      </c>
      <c r="F1194" s="3563" t="s">
        <v>4797</v>
      </c>
      <c r="G1194" s="3564">
        <v>102.77</v>
      </c>
      <c r="H1194" s="3564">
        <v>82.01</v>
      </c>
      <c r="I1194" s="3564">
        <v>20.76</v>
      </c>
      <c r="J1194" s="3565">
        <v>1047227</v>
      </c>
      <c r="K1194" s="3565">
        <v>10190.01</v>
      </c>
      <c r="L1194" s="3565">
        <v>12769.5</v>
      </c>
      <c r="M1194" s="3565">
        <v>994866</v>
      </c>
      <c r="N1194" s="3565">
        <v>9680.51</v>
      </c>
      <c r="O1194" s="3566">
        <v>44190</v>
      </c>
    </row>
    <row r="1195" spans="1:15">
      <c r="A1195" s="3563" t="s">
        <v>5406</v>
      </c>
      <c r="B1195" s="3563" t="s">
        <v>5277</v>
      </c>
      <c r="C1195" s="3563" t="s">
        <v>4197</v>
      </c>
      <c r="D1195" s="3563" t="s">
        <v>4796</v>
      </c>
      <c r="E1195" s="3563" t="s">
        <v>4423</v>
      </c>
      <c r="F1195" s="3563" t="s">
        <v>4797</v>
      </c>
      <c r="G1195" s="3564">
        <v>88.98</v>
      </c>
      <c r="H1195" s="3564">
        <v>71</v>
      </c>
      <c r="I1195" s="3564">
        <v>17.98</v>
      </c>
      <c r="J1195" s="3565">
        <v>941187</v>
      </c>
      <c r="K1195" s="3565">
        <v>10577.51</v>
      </c>
      <c r="L1195" s="3565">
        <v>13256.15</v>
      </c>
      <c r="M1195" s="3565">
        <v>894128</v>
      </c>
      <c r="N1195" s="3565">
        <v>10048.64</v>
      </c>
      <c r="O1195" s="3566">
        <v>44189</v>
      </c>
    </row>
    <row r="1196" spans="1:15">
      <c r="A1196" s="3563" t="s">
        <v>5407</v>
      </c>
      <c r="B1196" s="3563" t="s">
        <v>4811</v>
      </c>
      <c r="C1196" s="3563" t="s">
        <v>4197</v>
      </c>
      <c r="D1196" s="3563" t="s">
        <v>4796</v>
      </c>
      <c r="E1196" s="3563" t="s">
        <v>4423</v>
      </c>
      <c r="F1196" s="3563" t="s">
        <v>4797</v>
      </c>
      <c r="G1196" s="3564">
        <v>88.98</v>
      </c>
      <c r="H1196" s="3564">
        <v>71</v>
      </c>
      <c r="I1196" s="3564">
        <v>17.98</v>
      </c>
      <c r="J1196" s="3565">
        <v>941187</v>
      </c>
      <c r="K1196" s="3565">
        <v>10577.51</v>
      </c>
      <c r="L1196" s="3565">
        <v>13256.15</v>
      </c>
      <c r="M1196" s="3565">
        <v>941187</v>
      </c>
      <c r="N1196" s="3565">
        <v>10577.51</v>
      </c>
      <c r="O1196" s="3566">
        <v>44188</v>
      </c>
    </row>
    <row r="1197" spans="1:15">
      <c r="A1197" s="3563" t="s">
        <v>5408</v>
      </c>
      <c r="B1197" s="3563" t="s">
        <v>4811</v>
      </c>
      <c r="C1197" s="3563" t="s">
        <v>4197</v>
      </c>
      <c r="D1197" s="3563" t="s">
        <v>4796</v>
      </c>
      <c r="E1197" s="3563" t="s">
        <v>4423</v>
      </c>
      <c r="F1197" s="3563" t="s">
        <v>4797</v>
      </c>
      <c r="G1197" s="3564">
        <v>91.22</v>
      </c>
      <c r="H1197" s="3564">
        <v>72.790000000000006</v>
      </c>
      <c r="I1197" s="3564">
        <v>18.43</v>
      </c>
      <c r="J1197" s="3565">
        <v>913569</v>
      </c>
      <c r="K1197" s="3565">
        <v>10015.01</v>
      </c>
      <c r="L1197" s="3565">
        <v>12550.75</v>
      </c>
      <c r="M1197" s="3565">
        <v>913569</v>
      </c>
      <c r="N1197" s="3565">
        <v>10015.01</v>
      </c>
      <c r="O1197" s="3566">
        <v>44187</v>
      </c>
    </row>
    <row r="1198" spans="1:15">
      <c r="A1198" s="3563" t="s">
        <v>5409</v>
      </c>
      <c r="B1198" s="3563" t="s">
        <v>4811</v>
      </c>
      <c r="C1198" s="3563" t="s">
        <v>4197</v>
      </c>
      <c r="D1198" s="3563" t="s">
        <v>4796</v>
      </c>
      <c r="E1198" s="3563" t="s">
        <v>4423</v>
      </c>
      <c r="F1198" s="3563" t="s">
        <v>4797</v>
      </c>
      <c r="G1198" s="3564">
        <v>88.98</v>
      </c>
      <c r="H1198" s="3564">
        <v>71</v>
      </c>
      <c r="I1198" s="3564">
        <v>17.98</v>
      </c>
      <c r="J1198" s="3565">
        <v>891135</v>
      </c>
      <c r="K1198" s="3565">
        <v>10015</v>
      </c>
      <c r="L1198" s="3565">
        <v>12551.2</v>
      </c>
      <c r="M1198" s="3565">
        <v>846579</v>
      </c>
      <c r="N1198" s="3565">
        <v>9514.26</v>
      </c>
      <c r="O1198" s="3566">
        <v>44190</v>
      </c>
    </row>
    <row r="1199" spans="1:15">
      <c r="A1199" s="3563" t="s">
        <v>5410</v>
      </c>
      <c r="B1199" s="3563" t="s">
        <v>4196</v>
      </c>
      <c r="C1199" s="3563" t="s">
        <v>4197</v>
      </c>
      <c r="D1199" s="3563" t="s">
        <v>4796</v>
      </c>
      <c r="E1199" s="3563" t="s">
        <v>4423</v>
      </c>
      <c r="F1199" s="3563" t="s">
        <v>4797</v>
      </c>
      <c r="G1199" s="3564">
        <v>88.98</v>
      </c>
      <c r="H1199" s="3564">
        <v>71</v>
      </c>
      <c r="I1199" s="3564">
        <v>17.98</v>
      </c>
      <c r="J1199" s="3565">
        <v>891135</v>
      </c>
      <c r="K1199" s="3565">
        <v>10015</v>
      </c>
      <c r="L1199" s="3565">
        <v>12551.2</v>
      </c>
      <c r="M1199" s="3565">
        <v>0</v>
      </c>
      <c r="N1199" s="3565">
        <v>0</v>
      </c>
      <c r="O1199" s="3563" t="s">
        <v>3453</v>
      </c>
    </row>
    <row r="1200" spans="1:15">
      <c r="A1200" s="3563" t="s">
        <v>5411</v>
      </c>
      <c r="B1200" s="3563" t="s">
        <v>4811</v>
      </c>
      <c r="C1200" s="3563" t="s">
        <v>4197</v>
      </c>
      <c r="D1200" s="3563" t="s">
        <v>4796</v>
      </c>
      <c r="E1200" s="3563" t="s">
        <v>4423</v>
      </c>
      <c r="F1200" s="3563" t="s">
        <v>4797</v>
      </c>
      <c r="G1200" s="3564">
        <v>102.77</v>
      </c>
      <c r="H1200" s="3564">
        <v>82.01</v>
      </c>
      <c r="I1200" s="3564">
        <v>20.76</v>
      </c>
      <c r="J1200" s="3565">
        <v>1048512</v>
      </c>
      <c r="K1200" s="3565">
        <v>10202.51</v>
      </c>
      <c r="L1200" s="3565">
        <v>12785.17</v>
      </c>
      <c r="M1200" s="3565">
        <v>996087</v>
      </c>
      <c r="N1200" s="3565">
        <v>9692.39</v>
      </c>
      <c r="O1200" s="3566">
        <v>44190</v>
      </c>
    </row>
    <row r="1201" spans="1:15">
      <c r="A1201" s="3563" t="s">
        <v>5412</v>
      </c>
      <c r="B1201" s="3563" t="s">
        <v>4196</v>
      </c>
      <c r="C1201" s="3563" t="s">
        <v>4197</v>
      </c>
      <c r="D1201" s="3563" t="s">
        <v>4796</v>
      </c>
      <c r="E1201" s="3563" t="s">
        <v>4699</v>
      </c>
      <c r="F1201" s="3563" t="s">
        <v>4797</v>
      </c>
      <c r="G1201" s="3564">
        <v>82.28</v>
      </c>
      <c r="H1201" s="3564">
        <v>71</v>
      </c>
      <c r="I1201" s="3564">
        <v>11.28</v>
      </c>
      <c r="J1201" s="3565">
        <v>822755</v>
      </c>
      <c r="K1201" s="3565">
        <v>9999.4500000000007</v>
      </c>
      <c r="L1201" s="3565">
        <v>11588.1</v>
      </c>
      <c r="M1201" s="3565">
        <v>0</v>
      </c>
      <c r="N1201" s="3565">
        <v>0</v>
      </c>
      <c r="O1201" s="3563" t="s">
        <v>3453</v>
      </c>
    </row>
    <row r="1202" spans="1:15">
      <c r="A1202" s="3563" t="s">
        <v>5413</v>
      </c>
      <c r="B1202" s="3563" t="s">
        <v>4811</v>
      </c>
      <c r="C1202" s="3563" t="s">
        <v>4197</v>
      </c>
      <c r="D1202" s="3563" t="s">
        <v>4796</v>
      </c>
      <c r="E1202" s="3563" t="s">
        <v>4699</v>
      </c>
      <c r="F1202" s="3563" t="s">
        <v>4797</v>
      </c>
      <c r="G1202" s="3564">
        <v>82.28</v>
      </c>
      <c r="H1202" s="3564">
        <v>71</v>
      </c>
      <c r="I1202" s="3564">
        <v>11.28</v>
      </c>
      <c r="J1202" s="3565">
        <v>822755</v>
      </c>
      <c r="K1202" s="3565">
        <v>9999.4500000000007</v>
      </c>
      <c r="L1202" s="3565">
        <v>11588.1</v>
      </c>
      <c r="M1202" s="3565">
        <v>781618</v>
      </c>
      <c r="N1202" s="3565">
        <v>9499.49</v>
      </c>
      <c r="O1202" s="3566">
        <v>44192</v>
      </c>
    </row>
    <row r="1203" spans="1:15">
      <c r="A1203" s="3563" t="s">
        <v>5414</v>
      </c>
      <c r="B1203" s="3563" t="s">
        <v>4196</v>
      </c>
      <c r="C1203" s="3563" t="s">
        <v>4197</v>
      </c>
      <c r="D1203" s="3563" t="s">
        <v>4796</v>
      </c>
      <c r="E1203" s="3563" t="s">
        <v>4699</v>
      </c>
      <c r="F1203" s="3563" t="s">
        <v>4797</v>
      </c>
      <c r="G1203" s="3564">
        <v>94.76</v>
      </c>
      <c r="H1203" s="3564">
        <v>81.77</v>
      </c>
      <c r="I1203" s="3564">
        <v>12.99</v>
      </c>
      <c r="J1203" s="3565">
        <v>964420</v>
      </c>
      <c r="K1203" s="3565">
        <v>10177.5</v>
      </c>
      <c r="L1203" s="3565">
        <v>11794.3</v>
      </c>
      <c r="M1203" s="3565">
        <v>0</v>
      </c>
      <c r="N1203" s="3565">
        <v>0</v>
      </c>
      <c r="O1203" s="3563" t="s">
        <v>3453</v>
      </c>
    </row>
    <row r="1204" spans="1:15">
      <c r="A1204" s="3563" t="s">
        <v>5415</v>
      </c>
      <c r="B1204" s="3563" t="s">
        <v>4196</v>
      </c>
      <c r="C1204" s="3563" t="s">
        <v>4197</v>
      </c>
      <c r="D1204" s="3563" t="s">
        <v>4796</v>
      </c>
      <c r="E1204" s="3563" t="s">
        <v>4699</v>
      </c>
      <c r="F1204" s="3563" t="s">
        <v>4797</v>
      </c>
      <c r="G1204" s="3564">
        <v>109.06</v>
      </c>
      <c r="H1204" s="3564">
        <v>88.44</v>
      </c>
      <c r="I1204" s="3564">
        <v>20.62</v>
      </c>
      <c r="J1204" s="3565">
        <v>1161762</v>
      </c>
      <c r="K1204" s="3565">
        <v>10652.5</v>
      </c>
      <c r="L1204" s="3565">
        <v>13136.16</v>
      </c>
      <c r="M1204" s="3565">
        <v>0</v>
      </c>
      <c r="N1204" s="3565">
        <v>0</v>
      </c>
      <c r="O1204" s="3563" t="s">
        <v>3453</v>
      </c>
    </row>
    <row r="1205" spans="1:15">
      <c r="A1205" s="3563" t="s">
        <v>5416</v>
      </c>
      <c r="B1205" s="3563" t="s">
        <v>4196</v>
      </c>
      <c r="C1205" s="3563" t="s">
        <v>4197</v>
      </c>
      <c r="D1205" s="3563" t="s">
        <v>4796</v>
      </c>
      <c r="E1205" s="3563" t="s">
        <v>4699</v>
      </c>
      <c r="F1205" s="3563" t="s">
        <v>4797</v>
      </c>
      <c r="G1205" s="3564">
        <v>87.56</v>
      </c>
      <c r="H1205" s="3564">
        <v>71</v>
      </c>
      <c r="I1205" s="3564">
        <v>16.559999999999999</v>
      </c>
      <c r="J1205" s="3565">
        <v>878008</v>
      </c>
      <c r="K1205" s="3565">
        <v>10027.5</v>
      </c>
      <c r="L1205" s="3565">
        <v>12366.31</v>
      </c>
      <c r="M1205" s="3565">
        <v>0</v>
      </c>
      <c r="N1205" s="3565">
        <v>0</v>
      </c>
      <c r="O1205" s="3563" t="s">
        <v>3453</v>
      </c>
    </row>
    <row r="1206" spans="1:15">
      <c r="A1206" s="3563" t="s">
        <v>5417</v>
      </c>
      <c r="B1206" s="3563" t="s">
        <v>4811</v>
      </c>
      <c r="C1206" s="3563" t="s">
        <v>4197</v>
      </c>
      <c r="D1206" s="3563" t="s">
        <v>4796</v>
      </c>
      <c r="E1206" s="3563" t="s">
        <v>4699</v>
      </c>
      <c r="F1206" s="3563" t="s">
        <v>4797</v>
      </c>
      <c r="G1206" s="3564">
        <v>87.56</v>
      </c>
      <c r="H1206" s="3564">
        <v>71</v>
      </c>
      <c r="I1206" s="3564">
        <v>16.559999999999999</v>
      </c>
      <c r="J1206" s="3565">
        <v>878008</v>
      </c>
      <c r="K1206" s="3565">
        <v>10027.5</v>
      </c>
      <c r="L1206" s="3565">
        <v>12366.31</v>
      </c>
      <c r="M1206" s="3565">
        <v>834108</v>
      </c>
      <c r="N1206" s="3565">
        <v>9526.1299999999992</v>
      </c>
      <c r="O1206" s="3566">
        <v>44192</v>
      </c>
    </row>
    <row r="1207" spans="1:15">
      <c r="A1207" s="3563" t="s">
        <v>5418</v>
      </c>
      <c r="B1207" s="3563" t="s">
        <v>4196</v>
      </c>
      <c r="C1207" s="3563" t="s">
        <v>4197</v>
      </c>
      <c r="D1207" s="3563" t="s">
        <v>4796</v>
      </c>
      <c r="E1207" s="3563" t="s">
        <v>4699</v>
      </c>
      <c r="F1207" s="3563" t="s">
        <v>4797</v>
      </c>
      <c r="G1207" s="3564">
        <v>101.14</v>
      </c>
      <c r="H1207" s="3564">
        <v>82.01</v>
      </c>
      <c r="I1207" s="3564">
        <v>19.13</v>
      </c>
      <c r="J1207" s="3565">
        <v>1011345</v>
      </c>
      <c r="K1207" s="3565">
        <v>9999.4599999999991</v>
      </c>
      <c r="L1207" s="3565">
        <v>12331.97</v>
      </c>
      <c r="M1207" s="3565">
        <v>0</v>
      </c>
      <c r="N1207" s="3565">
        <v>0</v>
      </c>
      <c r="O1207" s="3563" t="s">
        <v>3453</v>
      </c>
    </row>
    <row r="1208" spans="1:15">
      <c r="A1208" s="3563" t="s">
        <v>5419</v>
      </c>
      <c r="B1208" s="3563" t="s">
        <v>4811</v>
      </c>
      <c r="C1208" s="3563" t="s">
        <v>4197</v>
      </c>
      <c r="D1208" s="3563" t="s">
        <v>4796</v>
      </c>
      <c r="E1208" s="3563" t="s">
        <v>4699</v>
      </c>
      <c r="F1208" s="3563" t="s">
        <v>4797</v>
      </c>
      <c r="G1208" s="3564">
        <v>100.8</v>
      </c>
      <c r="H1208" s="3564">
        <v>81.739999999999995</v>
      </c>
      <c r="I1208" s="3564">
        <v>19.059999999999999</v>
      </c>
      <c r="J1208" s="3565">
        <v>1092673</v>
      </c>
      <c r="K1208" s="3565">
        <v>10840.01</v>
      </c>
      <c r="L1208" s="3565">
        <v>13367.67</v>
      </c>
      <c r="M1208" s="3565">
        <v>1038040</v>
      </c>
      <c r="N1208" s="3565">
        <v>10298.02</v>
      </c>
      <c r="O1208" s="3566">
        <v>44190</v>
      </c>
    </row>
    <row r="1209" spans="1:15">
      <c r="A1209" s="3563" t="s">
        <v>5420</v>
      </c>
      <c r="B1209" s="3563" t="s">
        <v>4811</v>
      </c>
      <c r="C1209" s="3563" t="s">
        <v>4197</v>
      </c>
      <c r="D1209" s="3563" t="s">
        <v>4796</v>
      </c>
      <c r="E1209" s="3563" t="s">
        <v>4699</v>
      </c>
      <c r="F1209" s="3563" t="s">
        <v>4797</v>
      </c>
      <c r="G1209" s="3564">
        <v>100.8</v>
      </c>
      <c r="H1209" s="3564">
        <v>81.739999999999995</v>
      </c>
      <c r="I1209" s="3564">
        <v>19.059999999999999</v>
      </c>
      <c r="J1209" s="3565">
        <v>1092673</v>
      </c>
      <c r="K1209" s="3565">
        <v>10840.01</v>
      </c>
      <c r="L1209" s="3565">
        <v>13367.67</v>
      </c>
      <c r="M1209" s="3565">
        <v>1038040</v>
      </c>
      <c r="N1209" s="3565">
        <v>10298.02</v>
      </c>
      <c r="O1209" s="3566">
        <v>44190</v>
      </c>
    </row>
    <row r="1210" spans="1:15">
      <c r="A1210" s="3563" t="s">
        <v>5421</v>
      </c>
      <c r="B1210" s="3563" t="s">
        <v>4196</v>
      </c>
      <c r="C1210" s="3563" t="s">
        <v>4197</v>
      </c>
      <c r="D1210" s="3563" t="s">
        <v>4796</v>
      </c>
      <c r="E1210" s="3563" t="s">
        <v>4699</v>
      </c>
      <c r="F1210" s="3563" t="s">
        <v>4797</v>
      </c>
      <c r="G1210" s="3564">
        <v>109.06</v>
      </c>
      <c r="H1210" s="3564">
        <v>88.44</v>
      </c>
      <c r="I1210" s="3564">
        <v>20.62</v>
      </c>
      <c r="J1210" s="3565">
        <v>1163125</v>
      </c>
      <c r="K1210" s="3565">
        <v>10665</v>
      </c>
      <c r="L1210" s="3565">
        <v>13151.57</v>
      </c>
      <c r="M1210" s="3565">
        <v>0</v>
      </c>
      <c r="N1210" s="3565">
        <v>0</v>
      </c>
      <c r="O1210" s="3563" t="s">
        <v>3453</v>
      </c>
    </row>
    <row r="1211" spans="1:15">
      <c r="A1211" s="3563" t="s">
        <v>5422</v>
      </c>
      <c r="B1211" s="3563" t="s">
        <v>4196</v>
      </c>
      <c r="C1211" s="3563" t="s">
        <v>4197</v>
      </c>
      <c r="D1211" s="3563" t="s">
        <v>4796</v>
      </c>
      <c r="E1211" s="3563" t="s">
        <v>4699</v>
      </c>
      <c r="F1211" s="3563" t="s">
        <v>4797</v>
      </c>
      <c r="G1211" s="3564">
        <v>87.56</v>
      </c>
      <c r="H1211" s="3564">
        <v>71</v>
      </c>
      <c r="I1211" s="3564">
        <v>16.559999999999999</v>
      </c>
      <c r="J1211" s="3565">
        <v>879103</v>
      </c>
      <c r="K1211" s="3565">
        <v>10040.01</v>
      </c>
      <c r="L1211" s="3565">
        <v>12381.73</v>
      </c>
      <c r="M1211" s="3565">
        <v>0</v>
      </c>
      <c r="N1211" s="3565">
        <v>0</v>
      </c>
      <c r="O1211" s="3563" t="s">
        <v>3453</v>
      </c>
    </row>
    <row r="1212" spans="1:15">
      <c r="A1212" s="3563" t="s">
        <v>5423</v>
      </c>
      <c r="B1212" s="3563" t="s">
        <v>4196</v>
      </c>
      <c r="C1212" s="3563" t="s">
        <v>4197</v>
      </c>
      <c r="D1212" s="3563" t="s">
        <v>4796</v>
      </c>
      <c r="E1212" s="3563" t="s">
        <v>4699</v>
      </c>
      <c r="F1212" s="3563" t="s">
        <v>4797</v>
      </c>
      <c r="G1212" s="3564">
        <v>87.56</v>
      </c>
      <c r="H1212" s="3564">
        <v>71</v>
      </c>
      <c r="I1212" s="3564">
        <v>16.559999999999999</v>
      </c>
      <c r="J1212" s="3565">
        <v>879103</v>
      </c>
      <c r="K1212" s="3565">
        <v>10040.01</v>
      </c>
      <c r="L1212" s="3565">
        <v>12381.73</v>
      </c>
      <c r="M1212" s="3565">
        <v>0</v>
      </c>
      <c r="N1212" s="3565">
        <v>0</v>
      </c>
      <c r="O1212" s="3563" t="s">
        <v>3453</v>
      </c>
    </row>
    <row r="1213" spans="1:15">
      <c r="A1213" s="3563" t="s">
        <v>5424</v>
      </c>
      <c r="B1213" s="3563" t="s">
        <v>4196</v>
      </c>
      <c r="C1213" s="3563" t="s">
        <v>4197</v>
      </c>
      <c r="D1213" s="3563" t="s">
        <v>4796</v>
      </c>
      <c r="E1213" s="3563" t="s">
        <v>4699</v>
      </c>
      <c r="F1213" s="3563" t="s">
        <v>4797</v>
      </c>
      <c r="G1213" s="3564">
        <v>101.14</v>
      </c>
      <c r="H1213" s="3564">
        <v>82.01</v>
      </c>
      <c r="I1213" s="3564">
        <v>19.13</v>
      </c>
      <c r="J1213" s="3565">
        <v>1012230</v>
      </c>
      <c r="K1213" s="3565">
        <v>10008.209999999999</v>
      </c>
      <c r="L1213" s="3565">
        <v>12342.76</v>
      </c>
      <c r="M1213" s="3565">
        <v>0</v>
      </c>
      <c r="N1213" s="3565">
        <v>0</v>
      </c>
      <c r="O1213" s="3563" t="s">
        <v>3453</v>
      </c>
    </row>
    <row r="1214" spans="1:15">
      <c r="A1214" s="3563" t="s">
        <v>5425</v>
      </c>
      <c r="B1214" s="3563" t="s">
        <v>4811</v>
      </c>
      <c r="C1214" s="3563" t="s">
        <v>4197</v>
      </c>
      <c r="D1214" s="3563" t="s">
        <v>4796</v>
      </c>
      <c r="E1214" s="3563" t="s">
        <v>4699</v>
      </c>
      <c r="F1214" s="3563" t="s">
        <v>4797</v>
      </c>
      <c r="G1214" s="3564">
        <v>100.8</v>
      </c>
      <c r="H1214" s="3564">
        <v>81.739999999999995</v>
      </c>
      <c r="I1214" s="3564">
        <v>19.059999999999999</v>
      </c>
      <c r="J1214" s="3565">
        <v>1093933</v>
      </c>
      <c r="K1214" s="3565">
        <v>10852.51</v>
      </c>
      <c r="L1214" s="3565">
        <v>13383.08</v>
      </c>
      <c r="M1214" s="3565">
        <v>1039237</v>
      </c>
      <c r="N1214" s="3565">
        <v>10309.89</v>
      </c>
      <c r="O1214" s="3566">
        <v>44190</v>
      </c>
    </row>
    <row r="1215" spans="1:15">
      <c r="A1215" s="3563" t="s">
        <v>5426</v>
      </c>
      <c r="B1215" s="3563" t="s">
        <v>4196</v>
      </c>
      <c r="C1215" s="3563" t="s">
        <v>4197</v>
      </c>
      <c r="D1215" s="3563" t="s">
        <v>4796</v>
      </c>
      <c r="E1215" s="3563" t="s">
        <v>4699</v>
      </c>
      <c r="F1215" s="3563" t="s">
        <v>4797</v>
      </c>
      <c r="G1215" s="3564">
        <v>100.8</v>
      </c>
      <c r="H1215" s="3564">
        <v>81.739999999999995</v>
      </c>
      <c r="I1215" s="3564">
        <v>19.059999999999999</v>
      </c>
      <c r="J1215" s="3565">
        <v>1093933</v>
      </c>
      <c r="K1215" s="3565">
        <v>10852.51</v>
      </c>
      <c r="L1215" s="3565">
        <v>13383.08</v>
      </c>
      <c r="M1215" s="3565">
        <v>0</v>
      </c>
      <c r="N1215" s="3565">
        <v>0</v>
      </c>
      <c r="O1215" s="3563" t="s">
        <v>3453</v>
      </c>
    </row>
    <row r="1216" spans="1:15">
      <c r="A1216" s="3563" t="s">
        <v>5427</v>
      </c>
      <c r="B1216" s="3563" t="s">
        <v>4196</v>
      </c>
      <c r="C1216" s="3563" t="s">
        <v>4197</v>
      </c>
      <c r="D1216" s="3563" t="s">
        <v>4796</v>
      </c>
      <c r="E1216" s="3563" t="s">
        <v>4699</v>
      </c>
      <c r="F1216" s="3563" t="s">
        <v>4797</v>
      </c>
      <c r="G1216" s="3564">
        <v>109.06</v>
      </c>
      <c r="H1216" s="3564">
        <v>88.44</v>
      </c>
      <c r="I1216" s="3564">
        <v>20.62</v>
      </c>
      <c r="J1216" s="3565">
        <v>1164489</v>
      </c>
      <c r="K1216" s="3565">
        <v>10677.51</v>
      </c>
      <c r="L1216" s="3565">
        <v>13166.99</v>
      </c>
      <c r="M1216" s="3565">
        <v>0</v>
      </c>
      <c r="N1216" s="3565">
        <v>0</v>
      </c>
      <c r="O1216" s="3563" t="s">
        <v>3453</v>
      </c>
    </row>
    <row r="1217" spans="1:15">
      <c r="A1217" s="3563" t="s">
        <v>5428</v>
      </c>
      <c r="B1217" s="3563" t="s">
        <v>4811</v>
      </c>
      <c r="C1217" s="3563" t="s">
        <v>4197</v>
      </c>
      <c r="D1217" s="3563" t="s">
        <v>4796</v>
      </c>
      <c r="E1217" s="3563" t="s">
        <v>4699</v>
      </c>
      <c r="F1217" s="3563" t="s">
        <v>4797</v>
      </c>
      <c r="G1217" s="3564">
        <v>87.56</v>
      </c>
      <c r="H1217" s="3564">
        <v>71</v>
      </c>
      <c r="I1217" s="3564">
        <v>16.559999999999999</v>
      </c>
      <c r="J1217" s="3565">
        <v>880198</v>
      </c>
      <c r="K1217" s="3565">
        <v>10052.51</v>
      </c>
      <c r="L1217" s="3565">
        <v>12397.15</v>
      </c>
      <c r="M1217" s="3565">
        <v>836188</v>
      </c>
      <c r="N1217" s="3565">
        <v>9549.89</v>
      </c>
      <c r="O1217" s="3566">
        <v>44192</v>
      </c>
    </row>
    <row r="1218" spans="1:15">
      <c r="A1218" s="3563" t="s">
        <v>5429</v>
      </c>
      <c r="B1218" s="3563" t="s">
        <v>4196</v>
      </c>
      <c r="C1218" s="3563" t="s">
        <v>4197</v>
      </c>
      <c r="D1218" s="3563" t="s">
        <v>4796</v>
      </c>
      <c r="E1218" s="3563" t="s">
        <v>4699</v>
      </c>
      <c r="F1218" s="3563" t="s">
        <v>4797</v>
      </c>
      <c r="G1218" s="3564">
        <v>87.56</v>
      </c>
      <c r="H1218" s="3564">
        <v>71</v>
      </c>
      <c r="I1218" s="3564">
        <v>16.559999999999999</v>
      </c>
      <c r="J1218" s="3565">
        <v>880198</v>
      </c>
      <c r="K1218" s="3565">
        <v>10052.51</v>
      </c>
      <c r="L1218" s="3565">
        <v>12397.15</v>
      </c>
      <c r="M1218" s="3565">
        <v>0</v>
      </c>
      <c r="N1218" s="3565">
        <v>0</v>
      </c>
      <c r="O1218" s="3563" t="s">
        <v>3453</v>
      </c>
    </row>
    <row r="1219" spans="1:15">
      <c r="A1219" s="3563" t="s">
        <v>5430</v>
      </c>
      <c r="B1219" s="3563" t="s">
        <v>4196</v>
      </c>
      <c r="C1219" s="3563" t="s">
        <v>4197</v>
      </c>
      <c r="D1219" s="3563" t="s">
        <v>4796</v>
      </c>
      <c r="E1219" s="3563" t="s">
        <v>4699</v>
      </c>
      <c r="F1219" s="3563" t="s">
        <v>4797</v>
      </c>
      <c r="G1219" s="3564">
        <v>101.14</v>
      </c>
      <c r="H1219" s="3564">
        <v>82.01</v>
      </c>
      <c r="I1219" s="3564">
        <v>19.13</v>
      </c>
      <c r="J1219" s="3565">
        <v>1013494</v>
      </c>
      <c r="K1219" s="3565">
        <v>10020.700000000001</v>
      </c>
      <c r="L1219" s="3565">
        <v>12358.18</v>
      </c>
      <c r="M1219" s="3565">
        <v>0</v>
      </c>
      <c r="N1219" s="3565">
        <v>0</v>
      </c>
      <c r="O1219" s="3563" t="s">
        <v>3453</v>
      </c>
    </row>
    <row r="1220" spans="1:15">
      <c r="A1220" s="3563" t="s">
        <v>5431</v>
      </c>
      <c r="B1220" s="3563" t="s">
        <v>4811</v>
      </c>
      <c r="C1220" s="3563" t="s">
        <v>4197</v>
      </c>
      <c r="D1220" s="3563" t="s">
        <v>4796</v>
      </c>
      <c r="E1220" s="3563" t="s">
        <v>4699</v>
      </c>
      <c r="F1220" s="3563" t="s">
        <v>4797</v>
      </c>
      <c r="G1220" s="3564">
        <v>100.8</v>
      </c>
      <c r="H1220" s="3564">
        <v>81.739999999999995</v>
      </c>
      <c r="I1220" s="3564">
        <v>19.059999999999999</v>
      </c>
      <c r="J1220" s="3565">
        <v>1095193</v>
      </c>
      <c r="K1220" s="3565">
        <v>10865.01</v>
      </c>
      <c r="L1220" s="3565">
        <v>13398.5</v>
      </c>
      <c r="M1220" s="3565">
        <v>1040434</v>
      </c>
      <c r="N1220" s="3565">
        <v>10321.77</v>
      </c>
      <c r="O1220" s="3566">
        <v>44192</v>
      </c>
    </row>
    <row r="1221" spans="1:15">
      <c r="A1221" s="3563" t="s">
        <v>5432</v>
      </c>
      <c r="B1221" s="3563" t="s">
        <v>4811</v>
      </c>
      <c r="C1221" s="3563" t="s">
        <v>4197</v>
      </c>
      <c r="D1221" s="3563" t="s">
        <v>4796</v>
      </c>
      <c r="E1221" s="3563" t="s">
        <v>4699</v>
      </c>
      <c r="F1221" s="3563" t="s">
        <v>4797</v>
      </c>
      <c r="G1221" s="3564">
        <v>100.8</v>
      </c>
      <c r="H1221" s="3564">
        <v>81.739999999999995</v>
      </c>
      <c r="I1221" s="3564">
        <v>19.059999999999999</v>
      </c>
      <c r="J1221" s="3565">
        <v>1095193</v>
      </c>
      <c r="K1221" s="3565">
        <v>10865.01</v>
      </c>
      <c r="L1221" s="3565">
        <v>13398.5</v>
      </c>
      <c r="M1221" s="3565">
        <v>1040434</v>
      </c>
      <c r="N1221" s="3565">
        <v>10321.77</v>
      </c>
      <c r="O1221" s="3566">
        <v>44190</v>
      </c>
    </row>
    <row r="1222" spans="1:15">
      <c r="A1222" s="3563" t="s">
        <v>5433</v>
      </c>
      <c r="B1222" s="3563" t="s">
        <v>4196</v>
      </c>
      <c r="C1222" s="3563" t="s">
        <v>4197</v>
      </c>
      <c r="D1222" s="3563" t="s">
        <v>4796</v>
      </c>
      <c r="E1222" s="3563" t="s">
        <v>4699</v>
      </c>
      <c r="F1222" s="3563" t="s">
        <v>4797</v>
      </c>
      <c r="G1222" s="3564">
        <v>109.06</v>
      </c>
      <c r="H1222" s="3564">
        <v>88.44</v>
      </c>
      <c r="I1222" s="3564">
        <v>20.62</v>
      </c>
      <c r="J1222" s="3565">
        <v>1165852</v>
      </c>
      <c r="K1222" s="3565">
        <v>10690.01</v>
      </c>
      <c r="L1222" s="3565">
        <v>13182.41</v>
      </c>
      <c r="M1222" s="3565">
        <v>0</v>
      </c>
      <c r="N1222" s="3565">
        <v>0</v>
      </c>
      <c r="O1222" s="3563" t="s">
        <v>3453</v>
      </c>
    </row>
    <row r="1223" spans="1:15">
      <c r="A1223" s="3563" t="s">
        <v>5434</v>
      </c>
      <c r="B1223" s="3563" t="s">
        <v>4196</v>
      </c>
      <c r="C1223" s="3563" t="s">
        <v>4197</v>
      </c>
      <c r="D1223" s="3563" t="s">
        <v>4796</v>
      </c>
      <c r="E1223" s="3563" t="s">
        <v>4699</v>
      </c>
      <c r="F1223" s="3563" t="s">
        <v>4797</v>
      </c>
      <c r="G1223" s="3564">
        <v>87.56</v>
      </c>
      <c r="H1223" s="3564">
        <v>71</v>
      </c>
      <c r="I1223" s="3564">
        <v>16.559999999999999</v>
      </c>
      <c r="J1223" s="3565">
        <v>881292</v>
      </c>
      <c r="K1223" s="3565">
        <v>10065.01</v>
      </c>
      <c r="L1223" s="3565">
        <v>12412.56</v>
      </c>
      <c r="M1223" s="3565">
        <v>0</v>
      </c>
      <c r="N1223" s="3565">
        <v>0</v>
      </c>
      <c r="O1223" s="3563" t="s">
        <v>3453</v>
      </c>
    </row>
    <row r="1224" spans="1:15">
      <c r="A1224" s="3563" t="s">
        <v>5435</v>
      </c>
      <c r="B1224" s="3563" t="s">
        <v>4196</v>
      </c>
      <c r="C1224" s="3563" t="s">
        <v>4197</v>
      </c>
      <c r="D1224" s="3563" t="s">
        <v>4796</v>
      </c>
      <c r="E1224" s="3563" t="s">
        <v>4699</v>
      </c>
      <c r="F1224" s="3563" t="s">
        <v>4797</v>
      </c>
      <c r="G1224" s="3564">
        <v>87.56</v>
      </c>
      <c r="H1224" s="3564">
        <v>71</v>
      </c>
      <c r="I1224" s="3564">
        <v>16.559999999999999</v>
      </c>
      <c r="J1224" s="3565">
        <v>881292</v>
      </c>
      <c r="K1224" s="3565">
        <v>10065.01</v>
      </c>
      <c r="L1224" s="3565">
        <v>12412.56</v>
      </c>
      <c r="M1224" s="3565">
        <v>0</v>
      </c>
      <c r="N1224" s="3565">
        <v>0</v>
      </c>
      <c r="O1224" s="3563" t="s">
        <v>3453</v>
      </c>
    </row>
    <row r="1225" spans="1:15">
      <c r="A1225" s="3563" t="s">
        <v>5436</v>
      </c>
      <c r="B1225" s="3563" t="s">
        <v>4196</v>
      </c>
      <c r="C1225" s="3563" t="s">
        <v>4197</v>
      </c>
      <c r="D1225" s="3563" t="s">
        <v>4796</v>
      </c>
      <c r="E1225" s="3563" t="s">
        <v>4699</v>
      </c>
      <c r="F1225" s="3563" t="s">
        <v>4797</v>
      </c>
      <c r="G1225" s="3564">
        <v>101.14</v>
      </c>
      <c r="H1225" s="3564">
        <v>82.01</v>
      </c>
      <c r="I1225" s="3564">
        <v>19.13</v>
      </c>
      <c r="J1225" s="3565">
        <v>1014759</v>
      </c>
      <c r="K1225" s="3565">
        <v>10033.209999999999</v>
      </c>
      <c r="L1225" s="3565">
        <v>12373.6</v>
      </c>
      <c r="M1225" s="3565">
        <v>0</v>
      </c>
      <c r="N1225" s="3565">
        <v>0</v>
      </c>
      <c r="O1225" s="3563" t="s">
        <v>3453</v>
      </c>
    </row>
    <row r="1226" spans="1:15">
      <c r="A1226" s="3563" t="s">
        <v>5437</v>
      </c>
      <c r="B1226" s="3563" t="s">
        <v>4196</v>
      </c>
      <c r="C1226" s="3563" t="s">
        <v>4197</v>
      </c>
      <c r="D1226" s="3563" t="s">
        <v>4796</v>
      </c>
      <c r="E1226" s="3563" t="s">
        <v>4699</v>
      </c>
      <c r="F1226" s="3563" t="s">
        <v>4797</v>
      </c>
      <c r="G1226" s="3564">
        <v>100.8</v>
      </c>
      <c r="H1226" s="3564">
        <v>81.739999999999995</v>
      </c>
      <c r="I1226" s="3564">
        <v>19.059999999999999</v>
      </c>
      <c r="J1226" s="3565">
        <v>1096453</v>
      </c>
      <c r="K1226" s="3565">
        <v>10877.51</v>
      </c>
      <c r="L1226" s="3565">
        <v>13413.91</v>
      </c>
      <c r="M1226" s="3565">
        <v>0</v>
      </c>
      <c r="N1226" s="3565">
        <v>0</v>
      </c>
      <c r="O1226" s="3563" t="s">
        <v>3453</v>
      </c>
    </row>
    <row r="1227" spans="1:15">
      <c r="A1227" s="3563" t="s">
        <v>5438</v>
      </c>
      <c r="B1227" s="3563" t="s">
        <v>4196</v>
      </c>
      <c r="C1227" s="3563" t="s">
        <v>4197</v>
      </c>
      <c r="D1227" s="3563" t="s">
        <v>4796</v>
      </c>
      <c r="E1227" s="3563" t="s">
        <v>4699</v>
      </c>
      <c r="F1227" s="3563" t="s">
        <v>4797</v>
      </c>
      <c r="G1227" s="3564">
        <v>100.8</v>
      </c>
      <c r="H1227" s="3564">
        <v>81.739999999999995</v>
      </c>
      <c r="I1227" s="3564">
        <v>19.059999999999999</v>
      </c>
      <c r="J1227" s="3565">
        <v>1096453</v>
      </c>
      <c r="K1227" s="3565">
        <v>10877.51</v>
      </c>
      <c r="L1227" s="3565">
        <v>13413.91</v>
      </c>
      <c r="M1227" s="3565">
        <v>0</v>
      </c>
      <c r="N1227" s="3565">
        <v>0</v>
      </c>
      <c r="O1227" s="3563" t="s">
        <v>3453</v>
      </c>
    </row>
    <row r="1228" spans="1:15">
      <c r="A1228" s="3563" t="s">
        <v>5439</v>
      </c>
      <c r="B1228" s="3563" t="s">
        <v>4196</v>
      </c>
      <c r="C1228" s="3563" t="s">
        <v>4197</v>
      </c>
      <c r="D1228" s="3563" t="s">
        <v>4796</v>
      </c>
      <c r="E1228" s="3563" t="s">
        <v>4699</v>
      </c>
      <c r="F1228" s="3563" t="s">
        <v>4797</v>
      </c>
      <c r="G1228" s="3564">
        <v>109.06</v>
      </c>
      <c r="H1228" s="3564">
        <v>88.44</v>
      </c>
      <c r="I1228" s="3564">
        <v>20.62</v>
      </c>
      <c r="J1228" s="3565">
        <v>1153583</v>
      </c>
      <c r="K1228" s="3565">
        <v>10577.51</v>
      </c>
      <c r="L1228" s="3565">
        <v>13043.68</v>
      </c>
      <c r="M1228" s="3565">
        <v>0</v>
      </c>
      <c r="N1228" s="3565">
        <v>0</v>
      </c>
      <c r="O1228" s="3563" t="s">
        <v>3453</v>
      </c>
    </row>
    <row r="1229" spans="1:15">
      <c r="A1229" s="3563" t="s">
        <v>5440</v>
      </c>
      <c r="B1229" s="3563" t="s">
        <v>4196</v>
      </c>
      <c r="C1229" s="3563" t="s">
        <v>4197</v>
      </c>
      <c r="D1229" s="3563" t="s">
        <v>4796</v>
      </c>
      <c r="E1229" s="3563" t="s">
        <v>4699</v>
      </c>
      <c r="F1229" s="3563" t="s">
        <v>4797</v>
      </c>
      <c r="G1229" s="3564">
        <v>87.56</v>
      </c>
      <c r="H1229" s="3564">
        <v>71</v>
      </c>
      <c r="I1229" s="3564">
        <v>16.559999999999999</v>
      </c>
      <c r="J1229" s="3565">
        <v>875553</v>
      </c>
      <c r="K1229" s="3565">
        <v>9999.4599999999991</v>
      </c>
      <c r="L1229" s="3565">
        <v>12331.73</v>
      </c>
      <c r="M1229" s="3565">
        <v>0</v>
      </c>
      <c r="N1229" s="3565">
        <v>0</v>
      </c>
      <c r="O1229" s="3563" t="s">
        <v>3453</v>
      </c>
    </row>
    <row r="1230" spans="1:15">
      <c r="A1230" s="3563" t="s">
        <v>5441</v>
      </c>
      <c r="B1230" s="3563" t="s">
        <v>5277</v>
      </c>
      <c r="C1230" s="3563" t="s">
        <v>4197</v>
      </c>
      <c r="D1230" s="3563" t="s">
        <v>4796</v>
      </c>
      <c r="E1230" s="3563" t="s">
        <v>4699</v>
      </c>
      <c r="F1230" s="3563" t="s">
        <v>4797</v>
      </c>
      <c r="G1230" s="3564">
        <v>87.56</v>
      </c>
      <c r="H1230" s="3564">
        <v>71</v>
      </c>
      <c r="I1230" s="3564">
        <v>16.559999999999999</v>
      </c>
      <c r="J1230" s="3565">
        <v>875553</v>
      </c>
      <c r="K1230" s="3565">
        <v>9999.4599999999991</v>
      </c>
      <c r="L1230" s="3565">
        <v>12331.73</v>
      </c>
      <c r="M1230" s="3565">
        <v>831776</v>
      </c>
      <c r="N1230" s="3565">
        <v>9499.5</v>
      </c>
      <c r="O1230" s="3566">
        <v>44190</v>
      </c>
    </row>
    <row r="1231" spans="1:15">
      <c r="A1231" s="3563" t="s">
        <v>5442</v>
      </c>
      <c r="B1231" s="3563" t="s">
        <v>4196</v>
      </c>
      <c r="C1231" s="3563" t="s">
        <v>4197</v>
      </c>
      <c r="D1231" s="3563" t="s">
        <v>4796</v>
      </c>
      <c r="E1231" s="3563" t="s">
        <v>4699</v>
      </c>
      <c r="F1231" s="3563" t="s">
        <v>4797</v>
      </c>
      <c r="G1231" s="3564">
        <v>101.14</v>
      </c>
      <c r="H1231" s="3564">
        <v>82.01</v>
      </c>
      <c r="I1231" s="3564">
        <v>19.13</v>
      </c>
      <c r="J1231" s="3565">
        <v>1011345</v>
      </c>
      <c r="K1231" s="3565">
        <v>9999.4599999999991</v>
      </c>
      <c r="L1231" s="3565">
        <v>12331.97</v>
      </c>
      <c r="M1231" s="3565">
        <v>0</v>
      </c>
      <c r="N1231" s="3565">
        <v>0</v>
      </c>
      <c r="O1231" s="3563" t="s">
        <v>3453</v>
      </c>
    </row>
    <row r="1232" spans="1:15">
      <c r="A1232" s="3563" t="s">
        <v>5443</v>
      </c>
      <c r="B1232" s="3563" t="s">
        <v>4196</v>
      </c>
      <c r="C1232" s="3563" t="s">
        <v>4197</v>
      </c>
      <c r="D1232" s="3563" t="s">
        <v>4796</v>
      </c>
      <c r="E1232" s="3563" t="s">
        <v>4699</v>
      </c>
      <c r="F1232" s="3563" t="s">
        <v>4797</v>
      </c>
      <c r="G1232" s="3564">
        <v>100.8</v>
      </c>
      <c r="H1232" s="3564">
        <v>81.739999999999995</v>
      </c>
      <c r="I1232" s="3564">
        <v>19.059999999999999</v>
      </c>
      <c r="J1232" s="3565">
        <v>1085113</v>
      </c>
      <c r="K1232" s="3565">
        <v>10765.01</v>
      </c>
      <c r="L1232" s="3565">
        <v>13275.18</v>
      </c>
      <c r="M1232" s="3565">
        <v>0</v>
      </c>
      <c r="N1232" s="3565">
        <v>0</v>
      </c>
      <c r="O1232" s="3563" t="s">
        <v>3453</v>
      </c>
    </row>
    <row r="1233" spans="1:15">
      <c r="A1233" s="3563" t="s">
        <v>5444</v>
      </c>
      <c r="B1233" s="3563" t="s">
        <v>4196</v>
      </c>
      <c r="C1233" s="3563" t="s">
        <v>4197</v>
      </c>
      <c r="D1233" s="3563" t="s">
        <v>4796</v>
      </c>
      <c r="E1233" s="3563" t="s">
        <v>4699</v>
      </c>
      <c r="F1233" s="3563" t="s">
        <v>4797</v>
      </c>
      <c r="G1233" s="3564">
        <v>100.8</v>
      </c>
      <c r="H1233" s="3564">
        <v>81.739999999999995</v>
      </c>
      <c r="I1233" s="3564">
        <v>19.059999999999999</v>
      </c>
      <c r="J1233" s="3565">
        <v>1085113</v>
      </c>
      <c r="K1233" s="3565">
        <v>10765.01</v>
      </c>
      <c r="L1233" s="3565">
        <v>13275.18</v>
      </c>
      <c r="M1233" s="3565">
        <v>0</v>
      </c>
      <c r="N1233" s="3565">
        <v>0</v>
      </c>
      <c r="O1233" s="3563" t="s">
        <v>3453</v>
      </c>
    </row>
    <row r="1234" spans="1:15">
      <c r="A1234" s="3563" t="s">
        <v>5445</v>
      </c>
      <c r="B1234" s="3563" t="s">
        <v>4196</v>
      </c>
      <c r="C1234" s="3563" t="s">
        <v>4197</v>
      </c>
      <c r="D1234" s="3563" t="s">
        <v>4796</v>
      </c>
      <c r="E1234" s="3563" t="s">
        <v>4699</v>
      </c>
      <c r="F1234" s="3563" t="s">
        <v>4797</v>
      </c>
      <c r="G1234" s="3564">
        <v>109.06</v>
      </c>
      <c r="H1234" s="3564">
        <v>88.44</v>
      </c>
      <c r="I1234" s="3564">
        <v>20.62</v>
      </c>
      <c r="J1234" s="3565">
        <v>1168578</v>
      </c>
      <c r="K1234" s="3565">
        <v>10715</v>
      </c>
      <c r="L1234" s="3565">
        <v>13213.23</v>
      </c>
      <c r="M1234" s="3565">
        <v>0</v>
      </c>
      <c r="N1234" s="3565">
        <v>0</v>
      </c>
      <c r="O1234" s="3563" t="s">
        <v>3453</v>
      </c>
    </row>
    <row r="1235" spans="1:15">
      <c r="A1235" s="3563" t="s">
        <v>5446</v>
      </c>
      <c r="B1235" s="3563" t="s">
        <v>4196</v>
      </c>
      <c r="C1235" s="3563" t="s">
        <v>4197</v>
      </c>
      <c r="D1235" s="3563" t="s">
        <v>4796</v>
      </c>
      <c r="E1235" s="3563" t="s">
        <v>4699</v>
      </c>
      <c r="F1235" s="3563" t="s">
        <v>4797</v>
      </c>
      <c r="G1235" s="3564">
        <v>87.56</v>
      </c>
      <c r="H1235" s="3564">
        <v>71</v>
      </c>
      <c r="I1235" s="3564">
        <v>16.559999999999999</v>
      </c>
      <c r="J1235" s="3565">
        <v>883480</v>
      </c>
      <c r="K1235" s="3565">
        <v>10090</v>
      </c>
      <c r="L1235" s="3565">
        <v>12443.38</v>
      </c>
      <c r="M1235" s="3565">
        <v>0</v>
      </c>
      <c r="N1235" s="3565">
        <v>0</v>
      </c>
      <c r="O1235" s="3563" t="s">
        <v>3453</v>
      </c>
    </row>
    <row r="1236" spans="1:15">
      <c r="A1236" s="3563" t="s">
        <v>5447</v>
      </c>
      <c r="B1236" s="3563" t="s">
        <v>4196</v>
      </c>
      <c r="C1236" s="3563" t="s">
        <v>4197</v>
      </c>
      <c r="D1236" s="3563" t="s">
        <v>4796</v>
      </c>
      <c r="E1236" s="3563" t="s">
        <v>4699</v>
      </c>
      <c r="F1236" s="3563" t="s">
        <v>4797</v>
      </c>
      <c r="G1236" s="3564">
        <v>87.56</v>
      </c>
      <c r="H1236" s="3564">
        <v>71</v>
      </c>
      <c r="I1236" s="3564">
        <v>16.559999999999999</v>
      </c>
      <c r="J1236" s="3565">
        <v>883480</v>
      </c>
      <c r="K1236" s="3565">
        <v>10090</v>
      </c>
      <c r="L1236" s="3565">
        <v>12443.38</v>
      </c>
      <c r="M1236" s="3565">
        <v>0</v>
      </c>
      <c r="N1236" s="3565">
        <v>0</v>
      </c>
      <c r="O1236" s="3563" t="s">
        <v>3453</v>
      </c>
    </row>
    <row r="1237" spans="1:15">
      <c r="A1237" s="3563" t="s">
        <v>5448</v>
      </c>
      <c r="B1237" s="3563" t="s">
        <v>4196</v>
      </c>
      <c r="C1237" s="3563" t="s">
        <v>4197</v>
      </c>
      <c r="D1237" s="3563" t="s">
        <v>4796</v>
      </c>
      <c r="E1237" s="3563" t="s">
        <v>4699</v>
      </c>
      <c r="F1237" s="3563" t="s">
        <v>4797</v>
      </c>
      <c r="G1237" s="3564">
        <v>101.14</v>
      </c>
      <c r="H1237" s="3564">
        <v>82.01</v>
      </c>
      <c r="I1237" s="3564">
        <v>19.13</v>
      </c>
      <c r="J1237" s="3565">
        <v>1014182</v>
      </c>
      <c r="K1237" s="3565">
        <v>10027.51</v>
      </c>
      <c r="L1237" s="3565">
        <v>12366.57</v>
      </c>
      <c r="M1237" s="3565">
        <v>0</v>
      </c>
      <c r="N1237" s="3565">
        <v>0</v>
      </c>
      <c r="O1237" s="3563" t="s">
        <v>3453</v>
      </c>
    </row>
    <row r="1238" spans="1:15">
      <c r="A1238" s="3563" t="s">
        <v>5449</v>
      </c>
      <c r="B1238" s="3563" t="s">
        <v>4811</v>
      </c>
      <c r="C1238" s="3563" t="s">
        <v>4197</v>
      </c>
      <c r="D1238" s="3563" t="s">
        <v>4796</v>
      </c>
      <c r="E1238" s="3563" t="s">
        <v>4699</v>
      </c>
      <c r="F1238" s="3563" t="s">
        <v>4797</v>
      </c>
      <c r="G1238" s="3564">
        <v>100.8</v>
      </c>
      <c r="H1238" s="3564">
        <v>81.739999999999995</v>
      </c>
      <c r="I1238" s="3564">
        <v>19.059999999999999</v>
      </c>
      <c r="J1238" s="3565">
        <v>1098973</v>
      </c>
      <c r="K1238" s="3565">
        <v>10902.51</v>
      </c>
      <c r="L1238" s="3565">
        <v>13444.74</v>
      </c>
      <c r="M1238" s="3565">
        <v>1044025</v>
      </c>
      <c r="N1238" s="3565">
        <v>10357.39</v>
      </c>
      <c r="O1238" s="3566">
        <v>44192</v>
      </c>
    </row>
    <row r="1239" spans="1:15">
      <c r="A1239" s="3563" t="s">
        <v>5450</v>
      </c>
      <c r="B1239" s="3563" t="s">
        <v>4196</v>
      </c>
      <c r="C1239" s="3563" t="s">
        <v>4197</v>
      </c>
      <c r="D1239" s="3563" t="s">
        <v>4796</v>
      </c>
      <c r="E1239" s="3563" t="s">
        <v>4699</v>
      </c>
      <c r="F1239" s="3563" t="s">
        <v>4797</v>
      </c>
      <c r="G1239" s="3564">
        <v>100.8</v>
      </c>
      <c r="H1239" s="3564">
        <v>81.739999999999995</v>
      </c>
      <c r="I1239" s="3564">
        <v>19.059999999999999</v>
      </c>
      <c r="J1239" s="3565">
        <v>1098973</v>
      </c>
      <c r="K1239" s="3565">
        <v>10902.51</v>
      </c>
      <c r="L1239" s="3565">
        <v>13444.74</v>
      </c>
      <c r="M1239" s="3565">
        <v>0</v>
      </c>
      <c r="N1239" s="3565">
        <v>0</v>
      </c>
      <c r="O1239" s="3563" t="s">
        <v>3453</v>
      </c>
    </row>
    <row r="1240" spans="1:15">
      <c r="A1240" s="3563" t="s">
        <v>5451</v>
      </c>
      <c r="B1240" s="3563" t="s">
        <v>4196</v>
      </c>
      <c r="C1240" s="3563" t="s">
        <v>4197</v>
      </c>
      <c r="D1240" s="3563" t="s">
        <v>4796</v>
      </c>
      <c r="E1240" s="3563" t="s">
        <v>4699</v>
      </c>
      <c r="F1240" s="3563" t="s">
        <v>4797</v>
      </c>
      <c r="G1240" s="3564">
        <v>109.06</v>
      </c>
      <c r="H1240" s="3564">
        <v>88.44</v>
      </c>
      <c r="I1240" s="3564">
        <v>20.62</v>
      </c>
      <c r="J1240" s="3565">
        <v>1167215</v>
      </c>
      <c r="K1240" s="3565">
        <v>10702.5</v>
      </c>
      <c r="L1240" s="3565">
        <v>13197.82</v>
      </c>
      <c r="M1240" s="3565">
        <v>0</v>
      </c>
      <c r="N1240" s="3565">
        <v>0</v>
      </c>
      <c r="O1240" s="3563" t="s">
        <v>3453</v>
      </c>
    </row>
    <row r="1241" spans="1:15">
      <c r="A1241" s="3563" t="s">
        <v>5452</v>
      </c>
      <c r="B1241" s="3563" t="s">
        <v>4196</v>
      </c>
      <c r="C1241" s="3563" t="s">
        <v>4197</v>
      </c>
      <c r="D1241" s="3563" t="s">
        <v>4796</v>
      </c>
      <c r="E1241" s="3563" t="s">
        <v>4699</v>
      </c>
      <c r="F1241" s="3563" t="s">
        <v>4797</v>
      </c>
      <c r="G1241" s="3564">
        <v>87.56</v>
      </c>
      <c r="H1241" s="3564">
        <v>71</v>
      </c>
      <c r="I1241" s="3564">
        <v>16.559999999999999</v>
      </c>
      <c r="J1241" s="3565">
        <v>882387</v>
      </c>
      <c r="K1241" s="3565">
        <v>10077.51</v>
      </c>
      <c r="L1241" s="3565">
        <v>12427.99</v>
      </c>
      <c r="M1241" s="3565">
        <v>0</v>
      </c>
      <c r="N1241" s="3565">
        <v>0</v>
      </c>
      <c r="O1241" s="3563" t="s">
        <v>3453</v>
      </c>
    </row>
    <row r="1242" spans="1:15">
      <c r="A1242" s="3563" t="s">
        <v>5453</v>
      </c>
      <c r="B1242" s="3563" t="s">
        <v>4196</v>
      </c>
      <c r="C1242" s="3563" t="s">
        <v>4197</v>
      </c>
      <c r="D1242" s="3563" t="s">
        <v>4796</v>
      </c>
      <c r="E1242" s="3563" t="s">
        <v>4699</v>
      </c>
      <c r="F1242" s="3563" t="s">
        <v>4797</v>
      </c>
      <c r="G1242" s="3564">
        <v>87.56</v>
      </c>
      <c r="H1242" s="3564">
        <v>71</v>
      </c>
      <c r="I1242" s="3564">
        <v>16.559999999999999</v>
      </c>
      <c r="J1242" s="3565">
        <v>882387</v>
      </c>
      <c r="K1242" s="3565">
        <v>10077.51</v>
      </c>
      <c r="L1242" s="3565">
        <v>12427.99</v>
      </c>
      <c r="M1242" s="3565">
        <v>0</v>
      </c>
      <c r="N1242" s="3565">
        <v>0</v>
      </c>
      <c r="O1242" s="3563" t="s">
        <v>3453</v>
      </c>
    </row>
    <row r="1243" spans="1:15">
      <c r="A1243" s="3563" t="s">
        <v>5454</v>
      </c>
      <c r="B1243" s="3563" t="s">
        <v>4196</v>
      </c>
      <c r="C1243" s="3563" t="s">
        <v>4197</v>
      </c>
      <c r="D1243" s="3563" t="s">
        <v>4796</v>
      </c>
      <c r="E1243" s="3563" t="s">
        <v>4699</v>
      </c>
      <c r="F1243" s="3563" t="s">
        <v>4797</v>
      </c>
      <c r="G1243" s="3564">
        <v>101.14</v>
      </c>
      <c r="H1243" s="3564">
        <v>82.01</v>
      </c>
      <c r="I1243" s="3564">
        <v>19.13</v>
      </c>
      <c r="J1243" s="3565">
        <v>1012918</v>
      </c>
      <c r="K1243" s="3565">
        <v>10015.01</v>
      </c>
      <c r="L1243" s="3565">
        <v>12351.15</v>
      </c>
      <c r="M1243" s="3565">
        <v>0</v>
      </c>
      <c r="N1243" s="3565">
        <v>0</v>
      </c>
      <c r="O1243" s="3563" t="s">
        <v>3453</v>
      </c>
    </row>
    <row r="1244" spans="1:15">
      <c r="A1244" s="3563" t="s">
        <v>5455</v>
      </c>
      <c r="B1244" s="3563" t="s">
        <v>4196</v>
      </c>
      <c r="C1244" s="3563" t="s">
        <v>4197</v>
      </c>
      <c r="D1244" s="3563" t="s">
        <v>4796</v>
      </c>
      <c r="E1244" s="3563" t="s">
        <v>4699</v>
      </c>
      <c r="F1244" s="3563" t="s">
        <v>4797</v>
      </c>
      <c r="G1244" s="3564">
        <v>100.8</v>
      </c>
      <c r="H1244" s="3564">
        <v>81.739999999999995</v>
      </c>
      <c r="I1244" s="3564">
        <v>19.059999999999999</v>
      </c>
      <c r="J1244" s="3565">
        <v>1097713</v>
      </c>
      <c r="K1244" s="3565">
        <v>10890.01</v>
      </c>
      <c r="L1244" s="3565">
        <v>13429.32</v>
      </c>
      <c r="M1244" s="3565">
        <v>0</v>
      </c>
      <c r="N1244" s="3565">
        <v>0</v>
      </c>
      <c r="O1244" s="3563" t="s">
        <v>3453</v>
      </c>
    </row>
    <row r="1245" spans="1:15">
      <c r="A1245" s="3563" t="s">
        <v>5456</v>
      </c>
      <c r="B1245" s="3563" t="s">
        <v>4196</v>
      </c>
      <c r="C1245" s="3563" t="s">
        <v>4197</v>
      </c>
      <c r="D1245" s="3563" t="s">
        <v>4796</v>
      </c>
      <c r="E1245" s="3563" t="s">
        <v>4699</v>
      </c>
      <c r="F1245" s="3563" t="s">
        <v>4797</v>
      </c>
      <c r="G1245" s="3564">
        <v>100.8</v>
      </c>
      <c r="H1245" s="3564">
        <v>81.739999999999995</v>
      </c>
      <c r="I1245" s="3564">
        <v>19.059999999999999</v>
      </c>
      <c r="J1245" s="3565">
        <v>1097713</v>
      </c>
      <c r="K1245" s="3565">
        <v>10890.01</v>
      </c>
      <c r="L1245" s="3565">
        <v>13429.32</v>
      </c>
      <c r="M1245" s="3565">
        <v>0</v>
      </c>
      <c r="N1245" s="3565">
        <v>0</v>
      </c>
      <c r="O1245" s="3563" t="s">
        <v>3453</v>
      </c>
    </row>
    <row r="1246" spans="1:15">
      <c r="A1246" s="3563" t="s">
        <v>5457</v>
      </c>
      <c r="B1246" s="3563" t="s">
        <v>4196</v>
      </c>
      <c r="C1246" s="3563" t="s">
        <v>4197</v>
      </c>
      <c r="D1246" s="3563" t="s">
        <v>4796</v>
      </c>
      <c r="E1246" s="3563" t="s">
        <v>4699</v>
      </c>
      <c r="F1246" s="3563" t="s">
        <v>4797</v>
      </c>
      <c r="G1246" s="3564">
        <v>109.06</v>
      </c>
      <c r="H1246" s="3564">
        <v>88.44</v>
      </c>
      <c r="I1246" s="3564">
        <v>20.62</v>
      </c>
      <c r="J1246" s="3565">
        <v>1165852</v>
      </c>
      <c r="K1246" s="3565">
        <v>10690.01</v>
      </c>
      <c r="L1246" s="3565">
        <v>13182.41</v>
      </c>
      <c r="M1246" s="3565">
        <v>0</v>
      </c>
      <c r="N1246" s="3565">
        <v>0</v>
      </c>
      <c r="O1246" s="3563" t="s">
        <v>3453</v>
      </c>
    </row>
    <row r="1247" spans="1:15">
      <c r="A1247" s="3563" t="s">
        <v>5458</v>
      </c>
      <c r="B1247" s="3563" t="s">
        <v>4196</v>
      </c>
      <c r="C1247" s="3563" t="s">
        <v>4197</v>
      </c>
      <c r="D1247" s="3563" t="s">
        <v>4796</v>
      </c>
      <c r="E1247" s="3563" t="s">
        <v>4699</v>
      </c>
      <c r="F1247" s="3563" t="s">
        <v>4797</v>
      </c>
      <c r="G1247" s="3564">
        <v>87.56</v>
      </c>
      <c r="H1247" s="3564">
        <v>71</v>
      </c>
      <c r="I1247" s="3564">
        <v>16.559999999999999</v>
      </c>
      <c r="J1247" s="3565">
        <v>881292</v>
      </c>
      <c r="K1247" s="3565">
        <v>10065.01</v>
      </c>
      <c r="L1247" s="3565">
        <v>12412.56</v>
      </c>
      <c r="M1247" s="3565">
        <v>0</v>
      </c>
      <c r="N1247" s="3565">
        <v>0</v>
      </c>
      <c r="O1247" s="3563" t="s">
        <v>3453</v>
      </c>
    </row>
    <row r="1248" spans="1:15">
      <c r="A1248" s="3563" t="s">
        <v>5459</v>
      </c>
      <c r="B1248" s="3563" t="s">
        <v>4196</v>
      </c>
      <c r="C1248" s="3563" t="s">
        <v>4197</v>
      </c>
      <c r="D1248" s="3563" t="s">
        <v>4796</v>
      </c>
      <c r="E1248" s="3563" t="s">
        <v>4699</v>
      </c>
      <c r="F1248" s="3563" t="s">
        <v>4797</v>
      </c>
      <c r="G1248" s="3564">
        <v>87.56</v>
      </c>
      <c r="H1248" s="3564">
        <v>71</v>
      </c>
      <c r="I1248" s="3564">
        <v>16.559999999999999</v>
      </c>
      <c r="J1248" s="3565">
        <v>881292</v>
      </c>
      <c r="K1248" s="3565">
        <v>10065.01</v>
      </c>
      <c r="L1248" s="3565">
        <v>12412.56</v>
      </c>
      <c r="M1248" s="3565">
        <v>0</v>
      </c>
      <c r="N1248" s="3565">
        <v>0</v>
      </c>
      <c r="O1248" s="3563" t="s">
        <v>3453</v>
      </c>
    </row>
    <row r="1249" spans="1:15">
      <c r="A1249" s="3563" t="s">
        <v>5460</v>
      </c>
      <c r="B1249" s="3563" t="s">
        <v>4196</v>
      </c>
      <c r="C1249" s="3563" t="s">
        <v>4197</v>
      </c>
      <c r="D1249" s="3563" t="s">
        <v>4796</v>
      </c>
      <c r="E1249" s="3563" t="s">
        <v>4699</v>
      </c>
      <c r="F1249" s="3563" t="s">
        <v>4797</v>
      </c>
      <c r="G1249" s="3564">
        <v>101.14</v>
      </c>
      <c r="H1249" s="3564">
        <v>82.01</v>
      </c>
      <c r="I1249" s="3564">
        <v>19.13</v>
      </c>
      <c r="J1249" s="3565">
        <v>1014759</v>
      </c>
      <c r="K1249" s="3565">
        <v>10033.209999999999</v>
      </c>
      <c r="L1249" s="3565">
        <v>12373.6</v>
      </c>
      <c r="M1249" s="3565">
        <v>0</v>
      </c>
      <c r="N1249" s="3565">
        <v>0</v>
      </c>
      <c r="O1249" s="3563" t="s">
        <v>3453</v>
      </c>
    </row>
    <row r="1250" spans="1:15">
      <c r="A1250" s="3563" t="s">
        <v>5461</v>
      </c>
      <c r="B1250" s="3563" t="s">
        <v>4196</v>
      </c>
      <c r="C1250" s="3563" t="s">
        <v>4197</v>
      </c>
      <c r="D1250" s="3563" t="s">
        <v>4796</v>
      </c>
      <c r="E1250" s="3563" t="s">
        <v>4699</v>
      </c>
      <c r="F1250" s="3563" t="s">
        <v>4797</v>
      </c>
      <c r="G1250" s="3564">
        <v>100.8</v>
      </c>
      <c r="H1250" s="3564">
        <v>81.739999999999995</v>
      </c>
      <c r="I1250" s="3564">
        <v>19.059999999999999</v>
      </c>
      <c r="J1250" s="3565">
        <v>1096453</v>
      </c>
      <c r="K1250" s="3565">
        <v>10877.51</v>
      </c>
      <c r="L1250" s="3565">
        <v>13413.91</v>
      </c>
      <c r="M1250" s="3565">
        <v>0</v>
      </c>
      <c r="N1250" s="3565">
        <v>0</v>
      </c>
      <c r="O1250" s="3563" t="s">
        <v>3453</v>
      </c>
    </row>
    <row r="1251" spans="1:15">
      <c r="A1251" s="3563" t="s">
        <v>5462</v>
      </c>
      <c r="B1251" s="3563" t="s">
        <v>4811</v>
      </c>
      <c r="C1251" s="3563" t="s">
        <v>4197</v>
      </c>
      <c r="D1251" s="3563" t="s">
        <v>4796</v>
      </c>
      <c r="E1251" s="3563" t="s">
        <v>4699</v>
      </c>
      <c r="F1251" s="3563" t="s">
        <v>4797</v>
      </c>
      <c r="G1251" s="3564">
        <v>100.8</v>
      </c>
      <c r="H1251" s="3564">
        <v>81.739999999999995</v>
      </c>
      <c r="I1251" s="3564">
        <v>19.059999999999999</v>
      </c>
      <c r="J1251" s="3565">
        <v>1096453</v>
      </c>
      <c r="K1251" s="3565">
        <v>10877.51</v>
      </c>
      <c r="L1251" s="3565">
        <v>13413.91</v>
      </c>
      <c r="M1251" s="3565">
        <v>1030666</v>
      </c>
      <c r="N1251" s="3565">
        <v>10224.86</v>
      </c>
      <c r="O1251" s="3566">
        <v>44192</v>
      </c>
    </row>
    <row r="1252" spans="1:15">
      <c r="A1252" s="3563" t="s">
        <v>5463</v>
      </c>
      <c r="B1252" s="3563" t="s">
        <v>4196</v>
      </c>
      <c r="C1252" s="3563" t="s">
        <v>4197</v>
      </c>
      <c r="D1252" s="3563" t="s">
        <v>4796</v>
      </c>
      <c r="E1252" s="3563" t="s">
        <v>4699</v>
      </c>
      <c r="F1252" s="3563" t="s">
        <v>4797</v>
      </c>
      <c r="G1252" s="3564">
        <v>109.06</v>
      </c>
      <c r="H1252" s="3564">
        <v>88.44</v>
      </c>
      <c r="I1252" s="3564">
        <v>20.62</v>
      </c>
      <c r="J1252" s="3565">
        <v>1150857</v>
      </c>
      <c r="K1252" s="3565">
        <v>10552.51</v>
      </c>
      <c r="L1252" s="3565">
        <v>13012.86</v>
      </c>
      <c r="M1252" s="3565">
        <v>0</v>
      </c>
      <c r="N1252" s="3565">
        <v>0</v>
      </c>
      <c r="O1252" s="3563" t="s">
        <v>3453</v>
      </c>
    </row>
    <row r="1253" spans="1:15">
      <c r="A1253" s="3563" t="s">
        <v>5464</v>
      </c>
      <c r="B1253" s="3563" t="s">
        <v>4811</v>
      </c>
      <c r="C1253" s="3563" t="s">
        <v>4197</v>
      </c>
      <c r="D1253" s="3563" t="s">
        <v>4796</v>
      </c>
      <c r="E1253" s="3563" t="s">
        <v>4699</v>
      </c>
      <c r="F1253" s="3563" t="s">
        <v>4797</v>
      </c>
      <c r="G1253" s="3564">
        <v>87.56</v>
      </c>
      <c r="H1253" s="3564">
        <v>71</v>
      </c>
      <c r="I1253" s="3564">
        <v>16.559999999999999</v>
      </c>
      <c r="J1253" s="3565">
        <v>875553</v>
      </c>
      <c r="K1253" s="3565">
        <v>9999.4599999999991</v>
      </c>
      <c r="L1253" s="3565">
        <v>12331.73</v>
      </c>
      <c r="M1253" s="3565">
        <v>831776</v>
      </c>
      <c r="N1253" s="3565">
        <v>9499.5</v>
      </c>
      <c r="O1253" s="3566">
        <v>44191</v>
      </c>
    </row>
    <row r="1254" spans="1:15">
      <c r="A1254" s="3563" t="s">
        <v>5465</v>
      </c>
      <c r="B1254" s="3563" t="s">
        <v>4811</v>
      </c>
      <c r="C1254" s="3563" t="s">
        <v>4197</v>
      </c>
      <c r="D1254" s="3563" t="s">
        <v>4796</v>
      </c>
      <c r="E1254" s="3563" t="s">
        <v>4699</v>
      </c>
      <c r="F1254" s="3563" t="s">
        <v>4797</v>
      </c>
      <c r="G1254" s="3564">
        <v>87.56</v>
      </c>
      <c r="H1254" s="3564">
        <v>71</v>
      </c>
      <c r="I1254" s="3564">
        <v>16.559999999999999</v>
      </c>
      <c r="J1254" s="3565">
        <v>875553</v>
      </c>
      <c r="K1254" s="3565">
        <v>9999.4599999999991</v>
      </c>
      <c r="L1254" s="3565">
        <v>12331.73</v>
      </c>
      <c r="M1254" s="3565">
        <v>831776</v>
      </c>
      <c r="N1254" s="3565">
        <v>9499.5</v>
      </c>
      <c r="O1254" s="3566">
        <v>44191</v>
      </c>
    </row>
    <row r="1255" spans="1:15">
      <c r="A1255" s="3563" t="s">
        <v>5466</v>
      </c>
      <c r="B1255" s="3563" t="s">
        <v>4196</v>
      </c>
      <c r="C1255" s="3563" t="s">
        <v>4197</v>
      </c>
      <c r="D1255" s="3563" t="s">
        <v>4796</v>
      </c>
      <c r="E1255" s="3563" t="s">
        <v>4699</v>
      </c>
      <c r="F1255" s="3563" t="s">
        <v>4797</v>
      </c>
      <c r="G1255" s="3564">
        <v>101.14</v>
      </c>
      <c r="H1255" s="3564">
        <v>82.01</v>
      </c>
      <c r="I1255" s="3564">
        <v>19.13</v>
      </c>
      <c r="J1255" s="3565">
        <v>1011345</v>
      </c>
      <c r="K1255" s="3565">
        <v>9999.4599999999991</v>
      </c>
      <c r="L1255" s="3565">
        <v>12331.97</v>
      </c>
      <c r="M1255" s="3565">
        <v>0</v>
      </c>
      <c r="N1255" s="3565">
        <v>0</v>
      </c>
      <c r="O1255" s="3563" t="s">
        <v>3453</v>
      </c>
    </row>
    <row r="1256" spans="1:15">
      <c r="A1256" s="3563" t="s">
        <v>5467</v>
      </c>
      <c r="B1256" s="3563" t="s">
        <v>4811</v>
      </c>
      <c r="C1256" s="3563" t="s">
        <v>4197</v>
      </c>
      <c r="D1256" s="3563" t="s">
        <v>4796</v>
      </c>
      <c r="E1256" s="3563" t="s">
        <v>4699</v>
      </c>
      <c r="F1256" s="3563" t="s">
        <v>4797</v>
      </c>
      <c r="G1256" s="3564">
        <v>100.8</v>
      </c>
      <c r="H1256" s="3564">
        <v>81.739999999999995</v>
      </c>
      <c r="I1256" s="3564">
        <v>19.059999999999999</v>
      </c>
      <c r="J1256" s="3565">
        <v>1082593</v>
      </c>
      <c r="K1256" s="3565">
        <v>10740.01</v>
      </c>
      <c r="L1256" s="3565">
        <v>13244.35</v>
      </c>
      <c r="M1256" s="3565">
        <v>1028464</v>
      </c>
      <c r="N1256" s="3565">
        <v>10203.02</v>
      </c>
      <c r="O1256" s="3566">
        <v>44190</v>
      </c>
    </row>
    <row r="1257" spans="1:15">
      <c r="A1257" s="3563" t="s">
        <v>5468</v>
      </c>
      <c r="B1257" s="3563" t="s">
        <v>4811</v>
      </c>
      <c r="C1257" s="3563" t="s">
        <v>4197</v>
      </c>
      <c r="D1257" s="3563" t="s">
        <v>4796</v>
      </c>
      <c r="E1257" s="3563" t="s">
        <v>4699</v>
      </c>
      <c r="F1257" s="3563" t="s">
        <v>4797</v>
      </c>
      <c r="G1257" s="3564">
        <v>100.8</v>
      </c>
      <c r="H1257" s="3564">
        <v>81.739999999999995</v>
      </c>
      <c r="I1257" s="3564">
        <v>19.059999999999999</v>
      </c>
      <c r="J1257" s="3565">
        <v>1082593</v>
      </c>
      <c r="K1257" s="3565">
        <v>10740.01</v>
      </c>
      <c r="L1257" s="3565">
        <v>13244.35</v>
      </c>
      <c r="M1257" s="3565">
        <v>1028464</v>
      </c>
      <c r="N1257" s="3565">
        <v>10203.02</v>
      </c>
      <c r="O1257" s="3566">
        <v>44190</v>
      </c>
    </row>
    <row r="1258" spans="1:15">
      <c r="A1258" s="3563" t="s">
        <v>5469</v>
      </c>
      <c r="B1258" s="3563" t="s">
        <v>4196</v>
      </c>
      <c r="C1258" s="3563" t="s">
        <v>4197</v>
      </c>
      <c r="D1258" s="3563" t="s">
        <v>4796</v>
      </c>
      <c r="E1258" s="3563" t="s">
        <v>4699</v>
      </c>
      <c r="F1258" s="3563" t="s">
        <v>4797</v>
      </c>
      <c r="G1258" s="3564">
        <v>109.06</v>
      </c>
      <c r="H1258" s="3564">
        <v>88.44</v>
      </c>
      <c r="I1258" s="3564">
        <v>20.62</v>
      </c>
      <c r="J1258" s="3565">
        <v>1163125</v>
      </c>
      <c r="K1258" s="3565">
        <v>10665</v>
      </c>
      <c r="L1258" s="3565">
        <v>13151.57</v>
      </c>
      <c r="M1258" s="3565">
        <v>0</v>
      </c>
      <c r="N1258" s="3565">
        <v>0</v>
      </c>
      <c r="O1258" s="3563" t="s">
        <v>3453</v>
      </c>
    </row>
    <row r="1259" spans="1:15">
      <c r="A1259" s="3563" t="s">
        <v>5470</v>
      </c>
      <c r="B1259" s="3563" t="s">
        <v>4196</v>
      </c>
      <c r="C1259" s="3563" t="s">
        <v>4197</v>
      </c>
      <c r="D1259" s="3563" t="s">
        <v>4796</v>
      </c>
      <c r="E1259" s="3563" t="s">
        <v>4699</v>
      </c>
      <c r="F1259" s="3563" t="s">
        <v>4797</v>
      </c>
      <c r="G1259" s="3564">
        <v>87.56</v>
      </c>
      <c r="H1259" s="3564">
        <v>71</v>
      </c>
      <c r="I1259" s="3564">
        <v>16.559999999999999</v>
      </c>
      <c r="J1259" s="3565">
        <v>879103</v>
      </c>
      <c r="K1259" s="3565">
        <v>10040.01</v>
      </c>
      <c r="L1259" s="3565">
        <v>12381.73</v>
      </c>
      <c r="M1259" s="3565">
        <v>0</v>
      </c>
      <c r="N1259" s="3565">
        <v>0</v>
      </c>
      <c r="O1259" s="3563" t="s">
        <v>3453</v>
      </c>
    </row>
    <row r="1260" spans="1:15">
      <c r="A1260" s="3563" t="s">
        <v>5471</v>
      </c>
      <c r="B1260" s="3563" t="s">
        <v>4196</v>
      </c>
      <c r="C1260" s="3563" t="s">
        <v>4197</v>
      </c>
      <c r="D1260" s="3563" t="s">
        <v>4796</v>
      </c>
      <c r="E1260" s="3563" t="s">
        <v>4699</v>
      </c>
      <c r="F1260" s="3563" t="s">
        <v>4797</v>
      </c>
      <c r="G1260" s="3564">
        <v>87.56</v>
      </c>
      <c r="H1260" s="3564">
        <v>71</v>
      </c>
      <c r="I1260" s="3564">
        <v>16.559999999999999</v>
      </c>
      <c r="J1260" s="3565">
        <v>879103</v>
      </c>
      <c r="K1260" s="3565">
        <v>10040.01</v>
      </c>
      <c r="L1260" s="3565">
        <v>12381.73</v>
      </c>
      <c r="M1260" s="3565">
        <v>0</v>
      </c>
      <c r="N1260" s="3565">
        <v>0</v>
      </c>
      <c r="O1260" s="3563" t="s">
        <v>3453</v>
      </c>
    </row>
    <row r="1261" spans="1:15">
      <c r="A1261" s="3563" t="s">
        <v>5472</v>
      </c>
      <c r="B1261" s="3563" t="s">
        <v>4196</v>
      </c>
      <c r="C1261" s="3563" t="s">
        <v>4197</v>
      </c>
      <c r="D1261" s="3563" t="s">
        <v>4796</v>
      </c>
      <c r="E1261" s="3563" t="s">
        <v>4699</v>
      </c>
      <c r="F1261" s="3563" t="s">
        <v>4797</v>
      </c>
      <c r="G1261" s="3564">
        <v>101.14</v>
      </c>
      <c r="H1261" s="3564">
        <v>82.01</v>
      </c>
      <c r="I1261" s="3564">
        <v>19.13</v>
      </c>
      <c r="J1261" s="3565">
        <v>1012230</v>
      </c>
      <c r="K1261" s="3565">
        <v>10008.209999999999</v>
      </c>
      <c r="L1261" s="3565">
        <v>12342.76</v>
      </c>
      <c r="M1261" s="3565">
        <v>0</v>
      </c>
      <c r="N1261" s="3565">
        <v>0</v>
      </c>
      <c r="O1261" s="3563" t="s">
        <v>3453</v>
      </c>
    </row>
    <row r="1262" spans="1:15">
      <c r="A1262" s="3563" t="s">
        <v>5473</v>
      </c>
      <c r="B1262" s="3563" t="s">
        <v>4811</v>
      </c>
      <c r="C1262" s="3563" t="s">
        <v>4197</v>
      </c>
      <c r="D1262" s="3563" t="s">
        <v>4796</v>
      </c>
      <c r="E1262" s="3563" t="s">
        <v>4699</v>
      </c>
      <c r="F1262" s="3563" t="s">
        <v>4797</v>
      </c>
      <c r="G1262" s="3564">
        <v>100.8</v>
      </c>
      <c r="H1262" s="3564">
        <v>81.739999999999995</v>
      </c>
      <c r="I1262" s="3564">
        <v>19.059999999999999</v>
      </c>
      <c r="J1262" s="3565">
        <v>1093933</v>
      </c>
      <c r="K1262" s="3565">
        <v>10852.51</v>
      </c>
      <c r="L1262" s="3565">
        <v>13383.08</v>
      </c>
      <c r="M1262" s="3565">
        <v>1039237</v>
      </c>
      <c r="N1262" s="3565">
        <v>10309.89</v>
      </c>
      <c r="O1262" s="3566">
        <v>44192</v>
      </c>
    </row>
    <row r="1263" spans="1:15">
      <c r="A1263" s="3563" t="s">
        <v>5474</v>
      </c>
      <c r="B1263" s="3563" t="s">
        <v>4196</v>
      </c>
      <c r="C1263" s="3563" t="s">
        <v>4197</v>
      </c>
      <c r="D1263" s="3563" t="s">
        <v>4796</v>
      </c>
      <c r="E1263" s="3563" t="s">
        <v>4699</v>
      </c>
      <c r="F1263" s="3563" t="s">
        <v>4797</v>
      </c>
      <c r="G1263" s="3564">
        <v>100.8</v>
      </c>
      <c r="H1263" s="3564">
        <v>81.739999999999995</v>
      </c>
      <c r="I1263" s="3564">
        <v>19.059999999999999</v>
      </c>
      <c r="J1263" s="3565">
        <v>1093933</v>
      </c>
      <c r="K1263" s="3565">
        <v>10852.51</v>
      </c>
      <c r="L1263" s="3565">
        <v>13383.08</v>
      </c>
      <c r="M1263" s="3565">
        <v>0</v>
      </c>
      <c r="N1263" s="3565">
        <v>0</v>
      </c>
      <c r="O1263" s="3563" t="s">
        <v>3453</v>
      </c>
    </row>
    <row r="1264" spans="1:15">
      <c r="A1264" s="3563" t="s">
        <v>5475</v>
      </c>
      <c r="B1264" s="3563" t="s">
        <v>4196</v>
      </c>
      <c r="C1264" s="3563" t="s">
        <v>4197</v>
      </c>
      <c r="D1264" s="3563" t="s">
        <v>4796</v>
      </c>
      <c r="E1264" s="3563" t="s">
        <v>4699</v>
      </c>
      <c r="F1264" s="3563" t="s">
        <v>4797</v>
      </c>
      <c r="G1264" s="3564">
        <v>90.5</v>
      </c>
      <c r="H1264" s="3564">
        <v>71</v>
      </c>
      <c r="I1264" s="3564">
        <v>19.5</v>
      </c>
      <c r="J1264" s="3565">
        <v>904952</v>
      </c>
      <c r="K1264" s="3565">
        <v>9999.4699999999993</v>
      </c>
      <c r="L1264" s="3565">
        <v>12745.8</v>
      </c>
      <c r="M1264" s="3565">
        <v>0</v>
      </c>
      <c r="N1264" s="3565">
        <v>0</v>
      </c>
      <c r="O1264" s="3563" t="s">
        <v>3453</v>
      </c>
    </row>
    <row r="1265" spans="1:15">
      <c r="A1265" s="3563" t="s">
        <v>5476</v>
      </c>
      <c r="B1265" s="3563" t="s">
        <v>4196</v>
      </c>
      <c r="C1265" s="3563" t="s">
        <v>4197</v>
      </c>
      <c r="D1265" s="3563" t="s">
        <v>4796</v>
      </c>
      <c r="E1265" s="3563" t="s">
        <v>4699</v>
      </c>
      <c r="F1265" s="3563" t="s">
        <v>4797</v>
      </c>
      <c r="G1265" s="3564">
        <v>90.5</v>
      </c>
      <c r="H1265" s="3564">
        <v>71</v>
      </c>
      <c r="I1265" s="3564">
        <v>19.5</v>
      </c>
      <c r="J1265" s="3565">
        <v>904952</v>
      </c>
      <c r="K1265" s="3565">
        <v>9999.4699999999993</v>
      </c>
      <c r="L1265" s="3565">
        <v>12745.8</v>
      </c>
      <c r="M1265" s="3565">
        <v>0</v>
      </c>
      <c r="N1265" s="3565">
        <v>0</v>
      </c>
      <c r="O1265" s="3563" t="s">
        <v>3453</v>
      </c>
    </row>
    <row r="1266" spans="1:15">
      <c r="A1266" s="3563" t="s">
        <v>5477</v>
      </c>
      <c r="B1266" s="3563" t="s">
        <v>4196</v>
      </c>
      <c r="C1266" s="3563" t="s">
        <v>4197</v>
      </c>
      <c r="D1266" s="3563" t="s">
        <v>4796</v>
      </c>
      <c r="E1266" s="3563" t="s">
        <v>4699</v>
      </c>
      <c r="F1266" s="3563" t="s">
        <v>4797</v>
      </c>
      <c r="G1266" s="3564">
        <v>104.19</v>
      </c>
      <c r="H1266" s="3564">
        <v>81.739999999999995</v>
      </c>
      <c r="I1266" s="3564">
        <v>22.45</v>
      </c>
      <c r="J1266" s="3565">
        <v>1076023</v>
      </c>
      <c r="K1266" s="3565">
        <v>10327.51</v>
      </c>
      <c r="L1266" s="3565">
        <v>13163.97</v>
      </c>
      <c r="M1266" s="3565">
        <v>0</v>
      </c>
      <c r="N1266" s="3565">
        <v>0</v>
      </c>
      <c r="O1266" s="3563" t="s">
        <v>3453</v>
      </c>
    </row>
    <row r="1267" spans="1:15">
      <c r="A1267" s="3563" t="s">
        <v>5478</v>
      </c>
      <c r="B1267" s="3563" t="s">
        <v>4196</v>
      </c>
      <c r="C1267" s="3563" t="s">
        <v>4197</v>
      </c>
      <c r="D1267" s="3563" t="s">
        <v>4796</v>
      </c>
      <c r="E1267" s="3563" t="s">
        <v>4699</v>
      </c>
      <c r="F1267" s="3563" t="s">
        <v>4797</v>
      </c>
      <c r="G1267" s="3564">
        <v>104.19</v>
      </c>
      <c r="H1267" s="3564">
        <v>81.739999999999995</v>
      </c>
      <c r="I1267" s="3564">
        <v>22.45</v>
      </c>
      <c r="J1267" s="3565">
        <v>1076023</v>
      </c>
      <c r="K1267" s="3565">
        <v>10327.51</v>
      </c>
      <c r="L1267" s="3565">
        <v>13163.97</v>
      </c>
      <c r="M1267" s="3565">
        <v>0</v>
      </c>
      <c r="N1267" s="3565">
        <v>0</v>
      </c>
      <c r="O1267" s="3563" t="s">
        <v>3453</v>
      </c>
    </row>
    <row r="1268" spans="1:15">
      <c r="A1268" s="3563" t="s">
        <v>5479</v>
      </c>
      <c r="B1268" s="3563" t="s">
        <v>4196</v>
      </c>
      <c r="C1268" s="3563" t="s">
        <v>4197</v>
      </c>
      <c r="D1268" s="3563" t="s">
        <v>4796</v>
      </c>
      <c r="E1268" s="3563" t="s">
        <v>4699</v>
      </c>
      <c r="F1268" s="3563" t="s">
        <v>4797</v>
      </c>
      <c r="G1268" s="3564">
        <v>109.06</v>
      </c>
      <c r="H1268" s="3564">
        <v>88.44</v>
      </c>
      <c r="I1268" s="3564">
        <v>20.62</v>
      </c>
      <c r="J1268" s="3565">
        <v>1161762</v>
      </c>
      <c r="K1268" s="3565">
        <v>10652.5</v>
      </c>
      <c r="L1268" s="3565">
        <v>13136.16</v>
      </c>
      <c r="M1268" s="3565">
        <v>0</v>
      </c>
      <c r="N1268" s="3565">
        <v>0</v>
      </c>
      <c r="O1268" s="3563" t="s">
        <v>3453</v>
      </c>
    </row>
    <row r="1269" spans="1:15">
      <c r="A1269" s="3563" t="s">
        <v>5480</v>
      </c>
      <c r="B1269" s="3563" t="s">
        <v>4811</v>
      </c>
      <c r="C1269" s="3563" t="s">
        <v>4197</v>
      </c>
      <c r="D1269" s="3563" t="s">
        <v>4796</v>
      </c>
      <c r="E1269" s="3563" t="s">
        <v>4699</v>
      </c>
      <c r="F1269" s="3563" t="s">
        <v>4797</v>
      </c>
      <c r="G1269" s="3564">
        <v>87.56</v>
      </c>
      <c r="H1269" s="3564">
        <v>71</v>
      </c>
      <c r="I1269" s="3564">
        <v>16.559999999999999</v>
      </c>
      <c r="J1269" s="3565">
        <v>878008</v>
      </c>
      <c r="K1269" s="3565">
        <v>10027.5</v>
      </c>
      <c r="L1269" s="3565">
        <v>12366.31</v>
      </c>
      <c r="M1269" s="3565">
        <v>834108</v>
      </c>
      <c r="N1269" s="3565">
        <v>9526.1299999999992</v>
      </c>
      <c r="O1269" s="3566">
        <v>44192</v>
      </c>
    </row>
    <row r="1270" spans="1:15">
      <c r="A1270" s="3563" t="s">
        <v>5481</v>
      </c>
      <c r="B1270" s="3563" t="s">
        <v>4811</v>
      </c>
      <c r="C1270" s="3563" t="s">
        <v>4197</v>
      </c>
      <c r="D1270" s="3563" t="s">
        <v>4796</v>
      </c>
      <c r="E1270" s="3563" t="s">
        <v>4699</v>
      </c>
      <c r="F1270" s="3563" t="s">
        <v>4797</v>
      </c>
      <c r="G1270" s="3564">
        <v>87.56</v>
      </c>
      <c r="H1270" s="3564">
        <v>71</v>
      </c>
      <c r="I1270" s="3564">
        <v>16.559999999999999</v>
      </c>
      <c r="J1270" s="3565">
        <v>878008</v>
      </c>
      <c r="K1270" s="3565">
        <v>10027.5</v>
      </c>
      <c r="L1270" s="3565">
        <v>12366.31</v>
      </c>
      <c r="M1270" s="3565">
        <v>834108</v>
      </c>
      <c r="N1270" s="3565">
        <v>9526.1299999999992</v>
      </c>
      <c r="O1270" s="3566">
        <v>44192</v>
      </c>
    </row>
    <row r="1271" spans="1:15">
      <c r="A1271" s="3563" t="s">
        <v>5482</v>
      </c>
      <c r="B1271" s="3563" t="s">
        <v>4196</v>
      </c>
      <c r="C1271" s="3563" t="s">
        <v>4197</v>
      </c>
      <c r="D1271" s="3563" t="s">
        <v>4796</v>
      </c>
      <c r="E1271" s="3563" t="s">
        <v>4699</v>
      </c>
      <c r="F1271" s="3563" t="s">
        <v>4797</v>
      </c>
      <c r="G1271" s="3564">
        <v>101.14</v>
      </c>
      <c r="H1271" s="3564">
        <v>82.01</v>
      </c>
      <c r="I1271" s="3564">
        <v>19.13</v>
      </c>
      <c r="J1271" s="3565">
        <v>1011345</v>
      </c>
      <c r="K1271" s="3565">
        <v>9999.4599999999991</v>
      </c>
      <c r="L1271" s="3565">
        <v>12331.97</v>
      </c>
      <c r="M1271" s="3565">
        <v>0</v>
      </c>
      <c r="N1271" s="3565">
        <v>0</v>
      </c>
      <c r="O1271" s="3563" t="s">
        <v>3453</v>
      </c>
    </row>
    <row r="1272" spans="1:15">
      <c r="A1272" s="3563" t="s">
        <v>5483</v>
      </c>
      <c r="B1272" s="3563" t="s">
        <v>4811</v>
      </c>
      <c r="C1272" s="3563" t="s">
        <v>4197</v>
      </c>
      <c r="D1272" s="3563" t="s">
        <v>4796</v>
      </c>
      <c r="E1272" s="3563" t="s">
        <v>4699</v>
      </c>
      <c r="F1272" s="3563" t="s">
        <v>4797</v>
      </c>
      <c r="G1272" s="3564">
        <v>100.8</v>
      </c>
      <c r="H1272" s="3564">
        <v>81.739999999999995</v>
      </c>
      <c r="I1272" s="3564">
        <v>19.059999999999999</v>
      </c>
      <c r="J1272" s="3565">
        <v>1092673</v>
      </c>
      <c r="K1272" s="3565">
        <v>10840.01</v>
      </c>
      <c r="L1272" s="3565">
        <v>13367.67</v>
      </c>
      <c r="M1272" s="3565">
        <v>1038040</v>
      </c>
      <c r="N1272" s="3565">
        <v>10298.02</v>
      </c>
      <c r="O1272" s="3566">
        <v>44190</v>
      </c>
    </row>
    <row r="1273" spans="1:15">
      <c r="A1273" s="3563" t="s">
        <v>5484</v>
      </c>
      <c r="B1273" s="3563" t="s">
        <v>4196</v>
      </c>
      <c r="C1273" s="3563" t="s">
        <v>4197</v>
      </c>
      <c r="D1273" s="3563" t="s">
        <v>4796</v>
      </c>
      <c r="E1273" s="3563" t="s">
        <v>4699</v>
      </c>
      <c r="F1273" s="3563" t="s">
        <v>4797</v>
      </c>
      <c r="G1273" s="3564">
        <v>100.8</v>
      </c>
      <c r="H1273" s="3564">
        <v>81.739999999999995</v>
      </c>
      <c r="I1273" s="3564">
        <v>19.059999999999999</v>
      </c>
      <c r="J1273" s="3565">
        <v>1092673</v>
      </c>
      <c r="K1273" s="3565">
        <v>10840.01</v>
      </c>
      <c r="L1273" s="3565">
        <v>13367.67</v>
      </c>
      <c r="M1273" s="3565">
        <v>0</v>
      </c>
      <c r="N1273" s="3565">
        <v>0</v>
      </c>
      <c r="O1273" s="3563" t="s">
        <v>3453</v>
      </c>
    </row>
    <row r="1274" spans="1:15">
      <c r="A1274" s="3563" t="s">
        <v>5485</v>
      </c>
      <c r="B1274" s="3563" t="s">
        <v>4196</v>
      </c>
      <c r="C1274" s="3563" t="s">
        <v>4197</v>
      </c>
      <c r="D1274" s="3563" t="s">
        <v>4796</v>
      </c>
      <c r="E1274" s="3563" t="s">
        <v>4699</v>
      </c>
      <c r="F1274" s="3563" t="s">
        <v>4797</v>
      </c>
      <c r="G1274" s="3564">
        <v>109.06</v>
      </c>
      <c r="H1274" s="3564">
        <v>88.44</v>
      </c>
      <c r="I1274" s="3564">
        <v>20.62</v>
      </c>
      <c r="J1274" s="3565">
        <v>1160399</v>
      </c>
      <c r="K1274" s="3565">
        <v>10640.01</v>
      </c>
      <c r="L1274" s="3565">
        <v>13120.75</v>
      </c>
      <c r="M1274" s="3565">
        <v>0</v>
      </c>
      <c r="N1274" s="3565">
        <v>0</v>
      </c>
      <c r="O1274" s="3563" t="s">
        <v>3453</v>
      </c>
    </row>
    <row r="1275" spans="1:15">
      <c r="A1275" s="3563" t="s">
        <v>5486</v>
      </c>
      <c r="B1275" s="3563" t="s">
        <v>4811</v>
      </c>
      <c r="C1275" s="3563" t="s">
        <v>4197</v>
      </c>
      <c r="D1275" s="3563" t="s">
        <v>4796</v>
      </c>
      <c r="E1275" s="3563" t="s">
        <v>4699</v>
      </c>
      <c r="F1275" s="3563" t="s">
        <v>4797</v>
      </c>
      <c r="G1275" s="3564">
        <v>87.56</v>
      </c>
      <c r="H1275" s="3564">
        <v>71</v>
      </c>
      <c r="I1275" s="3564">
        <v>16.559999999999999</v>
      </c>
      <c r="J1275" s="3565">
        <v>876914</v>
      </c>
      <c r="K1275" s="3565">
        <v>10015.01</v>
      </c>
      <c r="L1275" s="3565">
        <v>12350.9</v>
      </c>
      <c r="M1275" s="3565">
        <v>833069</v>
      </c>
      <c r="N1275" s="3565">
        <v>9514.26</v>
      </c>
      <c r="O1275" s="3566">
        <v>44191</v>
      </c>
    </row>
    <row r="1276" spans="1:15">
      <c r="A1276" s="3563" t="s">
        <v>5487</v>
      </c>
      <c r="B1276" s="3563" t="s">
        <v>4811</v>
      </c>
      <c r="C1276" s="3563" t="s">
        <v>4197</v>
      </c>
      <c r="D1276" s="3563" t="s">
        <v>4796</v>
      </c>
      <c r="E1276" s="3563" t="s">
        <v>4699</v>
      </c>
      <c r="F1276" s="3563" t="s">
        <v>4797</v>
      </c>
      <c r="G1276" s="3564">
        <v>87.56</v>
      </c>
      <c r="H1276" s="3564">
        <v>71</v>
      </c>
      <c r="I1276" s="3564">
        <v>16.559999999999999</v>
      </c>
      <c r="J1276" s="3565">
        <v>876914</v>
      </c>
      <c r="K1276" s="3565">
        <v>10015.01</v>
      </c>
      <c r="L1276" s="3565">
        <v>12350.9</v>
      </c>
      <c r="M1276" s="3565">
        <v>833069</v>
      </c>
      <c r="N1276" s="3565">
        <v>9514.26</v>
      </c>
      <c r="O1276" s="3566">
        <v>44191</v>
      </c>
    </row>
    <row r="1277" spans="1:15">
      <c r="A1277" s="3563" t="s">
        <v>5488</v>
      </c>
      <c r="B1277" s="3563" t="s">
        <v>4196</v>
      </c>
      <c r="C1277" s="3563" t="s">
        <v>4197</v>
      </c>
      <c r="D1277" s="3563" t="s">
        <v>4796</v>
      </c>
      <c r="E1277" s="3563" t="s">
        <v>4699</v>
      </c>
      <c r="F1277" s="3563" t="s">
        <v>4797</v>
      </c>
      <c r="G1277" s="3564">
        <v>101.14</v>
      </c>
      <c r="H1277" s="3564">
        <v>82.01</v>
      </c>
      <c r="I1277" s="3564">
        <v>19.13</v>
      </c>
      <c r="J1277" s="3565">
        <v>1011345</v>
      </c>
      <c r="K1277" s="3565">
        <v>9999.4599999999991</v>
      </c>
      <c r="L1277" s="3565">
        <v>12331.97</v>
      </c>
      <c r="M1277" s="3565">
        <v>0</v>
      </c>
      <c r="N1277" s="3565">
        <v>0</v>
      </c>
      <c r="O1277" s="3563" t="s">
        <v>3453</v>
      </c>
    </row>
    <row r="1278" spans="1:15">
      <c r="A1278" s="3563" t="s">
        <v>5489</v>
      </c>
      <c r="B1278" s="3563" t="s">
        <v>4196</v>
      </c>
      <c r="C1278" s="3563" t="s">
        <v>4197</v>
      </c>
      <c r="D1278" s="3563" t="s">
        <v>4796</v>
      </c>
      <c r="E1278" s="3563" t="s">
        <v>4699</v>
      </c>
      <c r="F1278" s="3563" t="s">
        <v>4797</v>
      </c>
      <c r="G1278" s="3564">
        <v>100.8</v>
      </c>
      <c r="H1278" s="3564">
        <v>81.739999999999995</v>
      </c>
      <c r="I1278" s="3564">
        <v>19.059999999999999</v>
      </c>
      <c r="J1278" s="3565">
        <v>1091413</v>
      </c>
      <c r="K1278" s="3565">
        <v>10827.51</v>
      </c>
      <c r="L1278" s="3565">
        <v>13352.25</v>
      </c>
      <c r="M1278" s="3565">
        <v>0</v>
      </c>
      <c r="N1278" s="3565">
        <v>0</v>
      </c>
      <c r="O1278" s="3563" t="s">
        <v>3453</v>
      </c>
    </row>
    <row r="1279" spans="1:15">
      <c r="A1279" s="3563" t="s">
        <v>5490</v>
      </c>
      <c r="B1279" s="3563" t="s">
        <v>4196</v>
      </c>
      <c r="C1279" s="3563" t="s">
        <v>4197</v>
      </c>
      <c r="D1279" s="3563" t="s">
        <v>4796</v>
      </c>
      <c r="E1279" s="3563" t="s">
        <v>4699</v>
      </c>
      <c r="F1279" s="3563" t="s">
        <v>4797</v>
      </c>
      <c r="G1279" s="3564">
        <v>100.8</v>
      </c>
      <c r="H1279" s="3564">
        <v>81.739999999999995</v>
      </c>
      <c r="I1279" s="3564">
        <v>19.059999999999999</v>
      </c>
      <c r="J1279" s="3565">
        <v>1091413</v>
      </c>
      <c r="K1279" s="3565">
        <v>10827.51</v>
      </c>
      <c r="L1279" s="3565">
        <v>13352.25</v>
      </c>
      <c r="M1279" s="3565">
        <v>0</v>
      </c>
      <c r="N1279" s="3565">
        <v>0</v>
      </c>
      <c r="O1279" s="3563" t="s">
        <v>3453</v>
      </c>
    </row>
    <row r="1280" spans="1:15">
      <c r="A1280" s="3563" t="s">
        <v>5491</v>
      </c>
      <c r="B1280" s="3563" t="s">
        <v>4811</v>
      </c>
      <c r="C1280" s="3563" t="s">
        <v>4197</v>
      </c>
      <c r="D1280" s="3563" t="s">
        <v>4796</v>
      </c>
      <c r="E1280" s="3563" t="s">
        <v>4699</v>
      </c>
      <c r="F1280" s="3563" t="s">
        <v>4797</v>
      </c>
      <c r="G1280" s="3564">
        <v>109.06</v>
      </c>
      <c r="H1280" s="3564">
        <v>88.44</v>
      </c>
      <c r="I1280" s="3564">
        <v>20.62</v>
      </c>
      <c r="J1280" s="3565">
        <v>1159035</v>
      </c>
      <c r="K1280" s="3565">
        <v>10627.5</v>
      </c>
      <c r="L1280" s="3565">
        <v>13105.33</v>
      </c>
      <c r="M1280" s="3565">
        <v>1101084</v>
      </c>
      <c r="N1280" s="3565">
        <v>10096.129999999999</v>
      </c>
      <c r="O1280" s="3566">
        <v>44192</v>
      </c>
    </row>
    <row r="1281" spans="1:15">
      <c r="A1281" s="3563" t="s">
        <v>5492</v>
      </c>
      <c r="B1281" s="3563" t="s">
        <v>4811</v>
      </c>
      <c r="C1281" s="3563" t="s">
        <v>4197</v>
      </c>
      <c r="D1281" s="3563" t="s">
        <v>4796</v>
      </c>
      <c r="E1281" s="3563" t="s">
        <v>4699</v>
      </c>
      <c r="F1281" s="3563" t="s">
        <v>4797</v>
      </c>
      <c r="G1281" s="3564">
        <v>87.56</v>
      </c>
      <c r="H1281" s="3564">
        <v>71</v>
      </c>
      <c r="I1281" s="3564">
        <v>16.559999999999999</v>
      </c>
      <c r="J1281" s="3565">
        <v>878508</v>
      </c>
      <c r="K1281" s="3565">
        <v>10033.209999999999</v>
      </c>
      <c r="L1281" s="3565">
        <v>12373.35</v>
      </c>
      <c r="M1281" s="3565">
        <v>834583</v>
      </c>
      <c r="N1281" s="3565">
        <v>9531.56</v>
      </c>
      <c r="O1281" s="3566">
        <v>44191</v>
      </c>
    </row>
    <row r="1282" spans="1:15">
      <c r="A1282" s="3563" t="s">
        <v>5493</v>
      </c>
      <c r="B1282" s="3563" t="s">
        <v>4811</v>
      </c>
      <c r="C1282" s="3563" t="s">
        <v>4197</v>
      </c>
      <c r="D1282" s="3563" t="s">
        <v>4796</v>
      </c>
      <c r="E1282" s="3563" t="s">
        <v>4699</v>
      </c>
      <c r="F1282" s="3563" t="s">
        <v>4797</v>
      </c>
      <c r="G1282" s="3564">
        <v>87.56</v>
      </c>
      <c r="H1282" s="3564">
        <v>71</v>
      </c>
      <c r="I1282" s="3564">
        <v>16.559999999999999</v>
      </c>
      <c r="J1282" s="3565">
        <v>878508</v>
      </c>
      <c r="K1282" s="3565">
        <v>10033.209999999999</v>
      </c>
      <c r="L1282" s="3565">
        <v>12373.35</v>
      </c>
      <c r="M1282" s="3565">
        <v>834583</v>
      </c>
      <c r="N1282" s="3565">
        <v>9531.56</v>
      </c>
      <c r="O1282" s="3566">
        <v>44191</v>
      </c>
    </row>
    <row r="1283" spans="1:15">
      <c r="A1283" s="3563" t="s">
        <v>5494</v>
      </c>
      <c r="B1283" s="3563" t="s">
        <v>4196</v>
      </c>
      <c r="C1283" s="3563" t="s">
        <v>4197</v>
      </c>
      <c r="D1283" s="3563" t="s">
        <v>4796</v>
      </c>
      <c r="E1283" s="3563" t="s">
        <v>4699</v>
      </c>
      <c r="F1283" s="3563" t="s">
        <v>4797</v>
      </c>
      <c r="G1283" s="3564">
        <v>101.14</v>
      </c>
      <c r="H1283" s="3564">
        <v>82.01</v>
      </c>
      <c r="I1283" s="3564">
        <v>19.13</v>
      </c>
      <c r="J1283" s="3565">
        <v>1011345</v>
      </c>
      <c r="K1283" s="3565">
        <v>9999.4599999999991</v>
      </c>
      <c r="L1283" s="3565">
        <v>12331.97</v>
      </c>
      <c r="M1283" s="3565">
        <v>0</v>
      </c>
      <c r="N1283" s="3565">
        <v>0</v>
      </c>
      <c r="O1283" s="3563" t="s">
        <v>3453</v>
      </c>
    </row>
    <row r="1284" spans="1:15">
      <c r="A1284" s="3563" t="s">
        <v>5495</v>
      </c>
      <c r="B1284" s="3563" t="s">
        <v>4196</v>
      </c>
      <c r="C1284" s="3563" t="s">
        <v>4197</v>
      </c>
      <c r="D1284" s="3563" t="s">
        <v>4796</v>
      </c>
      <c r="E1284" s="3563" t="s">
        <v>4699</v>
      </c>
      <c r="F1284" s="3563" t="s">
        <v>4797</v>
      </c>
      <c r="G1284" s="3564">
        <v>100.8</v>
      </c>
      <c r="H1284" s="3564">
        <v>81.739999999999995</v>
      </c>
      <c r="I1284" s="3564">
        <v>19.059999999999999</v>
      </c>
      <c r="J1284" s="3565">
        <v>1090153</v>
      </c>
      <c r="K1284" s="3565">
        <v>10815.01</v>
      </c>
      <c r="L1284" s="3565">
        <v>13336.84</v>
      </c>
      <c r="M1284" s="3565">
        <v>0</v>
      </c>
      <c r="N1284" s="3565">
        <v>0</v>
      </c>
      <c r="O1284" s="3563" t="s">
        <v>3453</v>
      </c>
    </row>
    <row r="1285" spans="1:15">
      <c r="A1285" s="3563" t="s">
        <v>5496</v>
      </c>
      <c r="B1285" s="3563" t="s">
        <v>4196</v>
      </c>
      <c r="C1285" s="3563" t="s">
        <v>4197</v>
      </c>
      <c r="D1285" s="3563" t="s">
        <v>4796</v>
      </c>
      <c r="E1285" s="3563" t="s">
        <v>4699</v>
      </c>
      <c r="F1285" s="3563" t="s">
        <v>4797</v>
      </c>
      <c r="G1285" s="3564">
        <v>100.8</v>
      </c>
      <c r="H1285" s="3564">
        <v>81.739999999999995</v>
      </c>
      <c r="I1285" s="3564">
        <v>19.059999999999999</v>
      </c>
      <c r="J1285" s="3565">
        <v>1090153</v>
      </c>
      <c r="K1285" s="3565">
        <v>10815.01</v>
      </c>
      <c r="L1285" s="3565">
        <v>13336.84</v>
      </c>
      <c r="M1285" s="3565">
        <v>0</v>
      </c>
      <c r="N1285" s="3565">
        <v>0</v>
      </c>
      <c r="O1285" s="3563" t="s">
        <v>3453</v>
      </c>
    </row>
    <row r="1286" spans="1:15">
      <c r="A1286" s="3563" t="s">
        <v>5497</v>
      </c>
      <c r="B1286" s="3563" t="s">
        <v>4811</v>
      </c>
      <c r="C1286" s="3563" t="s">
        <v>4197</v>
      </c>
      <c r="D1286" s="3563" t="s">
        <v>4796</v>
      </c>
      <c r="E1286" s="3563" t="s">
        <v>4699</v>
      </c>
      <c r="F1286" s="3563" t="s">
        <v>4797</v>
      </c>
      <c r="G1286" s="3564">
        <v>109.06</v>
      </c>
      <c r="H1286" s="3564">
        <v>88.44</v>
      </c>
      <c r="I1286" s="3564">
        <v>20.62</v>
      </c>
      <c r="J1286" s="3565">
        <v>1157673</v>
      </c>
      <c r="K1286" s="3565">
        <v>10615.01</v>
      </c>
      <c r="L1286" s="3565">
        <v>13089.93</v>
      </c>
      <c r="M1286" s="3565">
        <v>1099790</v>
      </c>
      <c r="N1286" s="3565">
        <v>10084.27</v>
      </c>
      <c r="O1286" s="3566">
        <v>44192</v>
      </c>
    </row>
    <row r="1287" spans="1:15">
      <c r="A1287" s="3563" t="s">
        <v>5498</v>
      </c>
      <c r="B1287" s="3563" t="s">
        <v>4811</v>
      </c>
      <c r="C1287" s="3563" t="s">
        <v>4197</v>
      </c>
      <c r="D1287" s="3563" t="s">
        <v>4796</v>
      </c>
      <c r="E1287" s="3563" t="s">
        <v>4699</v>
      </c>
      <c r="F1287" s="3563" t="s">
        <v>4797</v>
      </c>
      <c r="G1287" s="3564">
        <v>87.56</v>
      </c>
      <c r="H1287" s="3564">
        <v>71</v>
      </c>
      <c r="I1287" s="3564">
        <v>16.559999999999999</v>
      </c>
      <c r="J1287" s="3565">
        <v>877414</v>
      </c>
      <c r="K1287" s="3565">
        <v>10020.719999999999</v>
      </c>
      <c r="L1287" s="3565">
        <v>12357.94</v>
      </c>
      <c r="M1287" s="3565">
        <v>833544</v>
      </c>
      <c r="N1287" s="3565">
        <v>9519.69</v>
      </c>
      <c r="O1287" s="3566">
        <v>44191</v>
      </c>
    </row>
    <row r="1288" spans="1:15">
      <c r="A1288" s="3563" t="s">
        <v>5499</v>
      </c>
      <c r="B1288" s="3563" t="s">
        <v>4811</v>
      </c>
      <c r="C1288" s="3563" t="s">
        <v>4197</v>
      </c>
      <c r="D1288" s="3563" t="s">
        <v>4796</v>
      </c>
      <c r="E1288" s="3563" t="s">
        <v>4699</v>
      </c>
      <c r="F1288" s="3563" t="s">
        <v>4797</v>
      </c>
      <c r="G1288" s="3564">
        <v>87.56</v>
      </c>
      <c r="H1288" s="3564">
        <v>71</v>
      </c>
      <c r="I1288" s="3564">
        <v>16.559999999999999</v>
      </c>
      <c r="J1288" s="3565">
        <v>877414</v>
      </c>
      <c r="K1288" s="3565">
        <v>10020.719999999999</v>
      </c>
      <c r="L1288" s="3565">
        <v>12357.94</v>
      </c>
      <c r="M1288" s="3565">
        <v>833544</v>
      </c>
      <c r="N1288" s="3565">
        <v>9519.69</v>
      </c>
      <c r="O1288" s="3566">
        <v>44191</v>
      </c>
    </row>
    <row r="1289" spans="1:15">
      <c r="A1289" s="3563" t="s">
        <v>5500</v>
      </c>
      <c r="B1289" s="3563" t="s">
        <v>4196</v>
      </c>
      <c r="C1289" s="3563" t="s">
        <v>4197</v>
      </c>
      <c r="D1289" s="3563" t="s">
        <v>4796</v>
      </c>
      <c r="E1289" s="3563" t="s">
        <v>4699</v>
      </c>
      <c r="F1289" s="3563" t="s">
        <v>4797</v>
      </c>
      <c r="G1289" s="3564">
        <v>101.14</v>
      </c>
      <c r="H1289" s="3564">
        <v>82.01</v>
      </c>
      <c r="I1289" s="3564">
        <v>19.13</v>
      </c>
      <c r="J1289" s="3565">
        <v>1011345</v>
      </c>
      <c r="K1289" s="3565">
        <v>9999.4599999999991</v>
      </c>
      <c r="L1289" s="3565">
        <v>12331.97</v>
      </c>
      <c r="M1289" s="3565">
        <v>0</v>
      </c>
      <c r="N1289" s="3565">
        <v>0</v>
      </c>
      <c r="O1289" s="3563" t="s">
        <v>3453</v>
      </c>
    </row>
    <row r="1290" spans="1:15">
      <c r="A1290" s="3563" t="s">
        <v>5501</v>
      </c>
      <c r="B1290" s="3563" t="s">
        <v>4196</v>
      </c>
      <c r="C1290" s="3563" t="s">
        <v>4197</v>
      </c>
      <c r="D1290" s="3563" t="s">
        <v>4796</v>
      </c>
      <c r="E1290" s="3563" t="s">
        <v>4699</v>
      </c>
      <c r="F1290" s="3563" t="s">
        <v>4797</v>
      </c>
      <c r="G1290" s="3564">
        <v>100.8</v>
      </c>
      <c r="H1290" s="3564">
        <v>81.739999999999995</v>
      </c>
      <c r="I1290" s="3564">
        <v>19.059999999999999</v>
      </c>
      <c r="J1290" s="3565">
        <v>1088893</v>
      </c>
      <c r="K1290" s="3565">
        <v>10802.51</v>
      </c>
      <c r="L1290" s="3565">
        <v>13321.42</v>
      </c>
      <c r="M1290" s="3565">
        <v>0</v>
      </c>
      <c r="N1290" s="3565">
        <v>0</v>
      </c>
      <c r="O1290" s="3563" t="s">
        <v>3453</v>
      </c>
    </row>
    <row r="1291" spans="1:15">
      <c r="A1291" s="3563" t="s">
        <v>5502</v>
      </c>
      <c r="B1291" s="3563" t="s">
        <v>4196</v>
      </c>
      <c r="C1291" s="3563" t="s">
        <v>4197</v>
      </c>
      <c r="D1291" s="3563" t="s">
        <v>4796</v>
      </c>
      <c r="E1291" s="3563" t="s">
        <v>4699</v>
      </c>
      <c r="F1291" s="3563" t="s">
        <v>4797</v>
      </c>
      <c r="G1291" s="3564">
        <v>100.8</v>
      </c>
      <c r="H1291" s="3564">
        <v>81.739999999999995</v>
      </c>
      <c r="I1291" s="3564">
        <v>19.059999999999999</v>
      </c>
      <c r="J1291" s="3565">
        <v>1088893</v>
      </c>
      <c r="K1291" s="3565">
        <v>10802.51</v>
      </c>
      <c r="L1291" s="3565">
        <v>13321.42</v>
      </c>
      <c r="M1291" s="3565">
        <v>0</v>
      </c>
      <c r="N1291" s="3565">
        <v>0</v>
      </c>
      <c r="O1291" s="3563" t="s">
        <v>3453</v>
      </c>
    </row>
    <row r="1292" spans="1:15">
      <c r="A1292" s="3563" t="s">
        <v>5503</v>
      </c>
      <c r="B1292" s="3563" t="s">
        <v>4196</v>
      </c>
      <c r="C1292" s="3563" t="s">
        <v>4197</v>
      </c>
      <c r="D1292" s="3563" t="s">
        <v>4796</v>
      </c>
      <c r="E1292" s="3563" t="s">
        <v>4699</v>
      </c>
      <c r="F1292" s="3563" t="s">
        <v>4797</v>
      </c>
      <c r="G1292" s="3564">
        <v>109.06</v>
      </c>
      <c r="H1292" s="3564">
        <v>88.44</v>
      </c>
      <c r="I1292" s="3564">
        <v>20.62</v>
      </c>
      <c r="J1292" s="3565">
        <v>1156309</v>
      </c>
      <c r="K1292" s="3565">
        <v>10602.5</v>
      </c>
      <c r="L1292" s="3565">
        <v>13074.5</v>
      </c>
      <c r="M1292" s="3565">
        <v>0</v>
      </c>
      <c r="N1292" s="3565">
        <v>0</v>
      </c>
      <c r="O1292" s="3563" t="s">
        <v>3453</v>
      </c>
    </row>
    <row r="1293" spans="1:15">
      <c r="A1293" s="3563" t="s">
        <v>5504</v>
      </c>
      <c r="B1293" s="3563" t="s">
        <v>4196</v>
      </c>
      <c r="C1293" s="3563" t="s">
        <v>4197</v>
      </c>
      <c r="D1293" s="3563" t="s">
        <v>4796</v>
      </c>
      <c r="E1293" s="3563" t="s">
        <v>4699</v>
      </c>
      <c r="F1293" s="3563" t="s">
        <v>4797</v>
      </c>
      <c r="G1293" s="3564">
        <v>87.56</v>
      </c>
      <c r="H1293" s="3564">
        <v>71</v>
      </c>
      <c r="I1293" s="3564">
        <v>16.559999999999999</v>
      </c>
      <c r="J1293" s="3565">
        <v>876319</v>
      </c>
      <c r="K1293" s="3565">
        <v>10008.209999999999</v>
      </c>
      <c r="L1293" s="3565">
        <v>12342.52</v>
      </c>
      <c r="M1293" s="3565">
        <v>0</v>
      </c>
      <c r="N1293" s="3565">
        <v>0</v>
      </c>
      <c r="O1293" s="3563" t="s">
        <v>3453</v>
      </c>
    </row>
    <row r="1294" spans="1:15">
      <c r="A1294" s="3563" t="s">
        <v>5505</v>
      </c>
      <c r="B1294" s="3563" t="s">
        <v>4196</v>
      </c>
      <c r="C1294" s="3563" t="s">
        <v>4197</v>
      </c>
      <c r="D1294" s="3563" t="s">
        <v>4796</v>
      </c>
      <c r="E1294" s="3563" t="s">
        <v>4699</v>
      </c>
      <c r="F1294" s="3563" t="s">
        <v>4797</v>
      </c>
      <c r="G1294" s="3564">
        <v>87.56</v>
      </c>
      <c r="H1294" s="3564">
        <v>71</v>
      </c>
      <c r="I1294" s="3564">
        <v>16.559999999999999</v>
      </c>
      <c r="J1294" s="3565">
        <v>876319</v>
      </c>
      <c r="K1294" s="3565">
        <v>10008.209999999999</v>
      </c>
      <c r="L1294" s="3565">
        <v>12342.52</v>
      </c>
      <c r="M1294" s="3565">
        <v>0</v>
      </c>
      <c r="N1294" s="3565">
        <v>0</v>
      </c>
      <c r="O1294" s="3563" t="s">
        <v>3453</v>
      </c>
    </row>
    <row r="1295" spans="1:15">
      <c r="A1295" s="3563" t="s">
        <v>5506</v>
      </c>
      <c r="B1295" s="3563" t="s">
        <v>4196</v>
      </c>
      <c r="C1295" s="3563" t="s">
        <v>4197</v>
      </c>
      <c r="D1295" s="3563" t="s">
        <v>4796</v>
      </c>
      <c r="E1295" s="3563" t="s">
        <v>4699</v>
      </c>
      <c r="F1295" s="3563" t="s">
        <v>4797</v>
      </c>
      <c r="G1295" s="3564">
        <v>101.14</v>
      </c>
      <c r="H1295" s="3564">
        <v>82.01</v>
      </c>
      <c r="I1295" s="3564">
        <v>19.13</v>
      </c>
      <c r="J1295" s="3565">
        <v>1011345</v>
      </c>
      <c r="K1295" s="3565">
        <v>9999.4599999999991</v>
      </c>
      <c r="L1295" s="3565">
        <v>12331.97</v>
      </c>
      <c r="M1295" s="3565">
        <v>0</v>
      </c>
      <c r="N1295" s="3565">
        <v>0</v>
      </c>
      <c r="O1295" s="3563" t="s">
        <v>3453</v>
      </c>
    </row>
    <row r="1296" spans="1:15">
      <c r="A1296" s="3563" t="s">
        <v>5507</v>
      </c>
      <c r="B1296" s="3563" t="s">
        <v>4811</v>
      </c>
      <c r="C1296" s="3563" t="s">
        <v>4197</v>
      </c>
      <c r="D1296" s="3563" t="s">
        <v>4796</v>
      </c>
      <c r="E1296" s="3563" t="s">
        <v>4699</v>
      </c>
      <c r="F1296" s="3563" t="s">
        <v>4797</v>
      </c>
      <c r="G1296" s="3564">
        <v>100.8</v>
      </c>
      <c r="H1296" s="3564">
        <v>81.739999999999995</v>
      </c>
      <c r="I1296" s="3564">
        <v>19.059999999999999</v>
      </c>
      <c r="J1296" s="3565">
        <v>1087633</v>
      </c>
      <c r="K1296" s="3565">
        <v>10790.01</v>
      </c>
      <c r="L1296" s="3565">
        <v>13306.01</v>
      </c>
      <c r="M1296" s="3565">
        <v>1033252</v>
      </c>
      <c r="N1296" s="3565">
        <v>10250.52</v>
      </c>
      <c r="O1296" s="3566">
        <v>44190</v>
      </c>
    </row>
    <row r="1297" spans="1:15">
      <c r="A1297" s="3563" t="s">
        <v>5508</v>
      </c>
      <c r="B1297" s="3563" t="s">
        <v>4811</v>
      </c>
      <c r="C1297" s="3563" t="s">
        <v>4197</v>
      </c>
      <c r="D1297" s="3563" t="s">
        <v>4796</v>
      </c>
      <c r="E1297" s="3563" t="s">
        <v>4699</v>
      </c>
      <c r="F1297" s="3563" t="s">
        <v>4797</v>
      </c>
      <c r="G1297" s="3564">
        <v>100.8</v>
      </c>
      <c r="H1297" s="3564">
        <v>81.739999999999995</v>
      </c>
      <c r="I1297" s="3564">
        <v>19.059999999999999</v>
      </c>
      <c r="J1297" s="3565">
        <v>1087633</v>
      </c>
      <c r="K1297" s="3565">
        <v>10790.01</v>
      </c>
      <c r="L1297" s="3565">
        <v>13306.01</v>
      </c>
      <c r="M1297" s="3565">
        <v>1033252</v>
      </c>
      <c r="N1297" s="3565">
        <v>10250.52</v>
      </c>
      <c r="O1297" s="3566">
        <v>44190</v>
      </c>
    </row>
    <row r="1298" spans="1:15">
      <c r="A1298" s="3563" t="s">
        <v>5509</v>
      </c>
      <c r="B1298" s="3563" t="s">
        <v>4196</v>
      </c>
      <c r="C1298" s="3563" t="s">
        <v>4197</v>
      </c>
      <c r="D1298" s="3563" t="s">
        <v>4796</v>
      </c>
      <c r="E1298" s="3563" t="s">
        <v>4699</v>
      </c>
      <c r="F1298" s="3563" t="s">
        <v>4797</v>
      </c>
      <c r="G1298" s="3564">
        <v>109.06</v>
      </c>
      <c r="H1298" s="3564">
        <v>88.44</v>
      </c>
      <c r="I1298" s="3564">
        <v>20.62</v>
      </c>
      <c r="J1298" s="3565">
        <v>1114048</v>
      </c>
      <c r="K1298" s="3565">
        <v>10215</v>
      </c>
      <c r="L1298" s="3565">
        <v>12596.65</v>
      </c>
      <c r="M1298" s="3565">
        <v>0</v>
      </c>
      <c r="N1298" s="3565">
        <v>0</v>
      </c>
      <c r="O1298" s="3563" t="s">
        <v>3453</v>
      </c>
    </row>
    <row r="1299" spans="1:15">
      <c r="A1299" s="3563" t="s">
        <v>5510</v>
      </c>
      <c r="B1299" s="3563" t="s">
        <v>4196</v>
      </c>
      <c r="C1299" s="3563" t="s">
        <v>4197</v>
      </c>
      <c r="D1299" s="3563" t="s">
        <v>4796</v>
      </c>
      <c r="E1299" s="3563" t="s">
        <v>4699</v>
      </c>
      <c r="F1299" s="3563" t="s">
        <v>4797</v>
      </c>
      <c r="G1299" s="3564">
        <v>87.56</v>
      </c>
      <c r="H1299" s="3564">
        <v>71</v>
      </c>
      <c r="I1299" s="3564">
        <v>16.559999999999999</v>
      </c>
      <c r="J1299" s="3565">
        <v>875553</v>
      </c>
      <c r="K1299" s="3565">
        <v>9999.4599999999991</v>
      </c>
      <c r="L1299" s="3565">
        <v>12331.73</v>
      </c>
      <c r="M1299" s="3565">
        <v>0</v>
      </c>
      <c r="N1299" s="3565">
        <v>0</v>
      </c>
      <c r="O1299" s="3563" t="s">
        <v>3453</v>
      </c>
    </row>
    <row r="1300" spans="1:15">
      <c r="A1300" s="3563" t="s">
        <v>5511</v>
      </c>
      <c r="B1300" s="3563" t="s">
        <v>5277</v>
      </c>
      <c r="C1300" s="3563" t="s">
        <v>4197</v>
      </c>
      <c r="D1300" s="3563" t="s">
        <v>4796</v>
      </c>
      <c r="E1300" s="3563" t="s">
        <v>4699</v>
      </c>
      <c r="F1300" s="3563" t="s">
        <v>4797</v>
      </c>
      <c r="G1300" s="3564">
        <v>87.56</v>
      </c>
      <c r="H1300" s="3564">
        <v>71</v>
      </c>
      <c r="I1300" s="3564">
        <v>16.559999999999999</v>
      </c>
      <c r="J1300" s="3565">
        <v>875553</v>
      </c>
      <c r="K1300" s="3565">
        <v>9999.4599999999991</v>
      </c>
      <c r="L1300" s="3565">
        <v>12331.73</v>
      </c>
      <c r="M1300" s="3565">
        <v>831776</v>
      </c>
      <c r="N1300" s="3565">
        <v>9499.5</v>
      </c>
      <c r="O1300" s="3566">
        <v>44190</v>
      </c>
    </row>
    <row r="1301" spans="1:15">
      <c r="A1301" s="3563" t="s">
        <v>5512</v>
      </c>
      <c r="B1301" s="3563" t="s">
        <v>4196</v>
      </c>
      <c r="C1301" s="3563" t="s">
        <v>4197</v>
      </c>
      <c r="D1301" s="3563" t="s">
        <v>4796</v>
      </c>
      <c r="E1301" s="3563" t="s">
        <v>4699</v>
      </c>
      <c r="F1301" s="3563" t="s">
        <v>4797</v>
      </c>
      <c r="G1301" s="3564">
        <v>101.14</v>
      </c>
      <c r="H1301" s="3564">
        <v>82.01</v>
      </c>
      <c r="I1301" s="3564">
        <v>19.13</v>
      </c>
      <c r="J1301" s="3565">
        <v>1011345</v>
      </c>
      <c r="K1301" s="3565">
        <v>9999.4599999999991</v>
      </c>
      <c r="L1301" s="3565">
        <v>12331.97</v>
      </c>
      <c r="M1301" s="3565">
        <v>0</v>
      </c>
      <c r="N1301" s="3565">
        <v>0</v>
      </c>
      <c r="O1301" s="3563" t="s">
        <v>3453</v>
      </c>
    </row>
    <row r="1302" spans="1:15">
      <c r="A1302" s="3563" t="s">
        <v>5513</v>
      </c>
      <c r="B1302" s="3563" t="s">
        <v>4811</v>
      </c>
      <c r="C1302" s="3563" t="s">
        <v>4197</v>
      </c>
      <c r="D1302" s="3563" t="s">
        <v>4796</v>
      </c>
      <c r="E1302" s="3563" t="s">
        <v>4699</v>
      </c>
      <c r="F1302" s="3563" t="s">
        <v>4797</v>
      </c>
      <c r="G1302" s="3564">
        <v>100.8</v>
      </c>
      <c r="H1302" s="3564">
        <v>81.739999999999995</v>
      </c>
      <c r="I1302" s="3564">
        <v>19.059999999999999</v>
      </c>
      <c r="J1302" s="3565">
        <v>1048573</v>
      </c>
      <c r="K1302" s="3565">
        <v>10402.51</v>
      </c>
      <c r="L1302" s="3565">
        <v>12828.15</v>
      </c>
      <c r="M1302" s="3565">
        <v>996145</v>
      </c>
      <c r="N1302" s="3565">
        <v>9882.39</v>
      </c>
      <c r="O1302" s="3566">
        <v>44190</v>
      </c>
    </row>
    <row r="1303" spans="1:15">
      <c r="A1303" s="3563" t="s">
        <v>5514</v>
      </c>
      <c r="B1303" s="3563" t="s">
        <v>4196</v>
      </c>
      <c r="C1303" s="3563" t="s">
        <v>4197</v>
      </c>
      <c r="D1303" s="3563" t="s">
        <v>4796</v>
      </c>
      <c r="E1303" s="3563" t="s">
        <v>4699</v>
      </c>
      <c r="F1303" s="3563" t="s">
        <v>4797</v>
      </c>
      <c r="G1303" s="3564">
        <v>100.8</v>
      </c>
      <c r="H1303" s="3564">
        <v>81.739999999999995</v>
      </c>
      <c r="I1303" s="3564">
        <v>19.059999999999999</v>
      </c>
      <c r="J1303" s="3565">
        <v>1048573</v>
      </c>
      <c r="K1303" s="3565">
        <v>10402.51</v>
      </c>
      <c r="L1303" s="3565">
        <v>12828.15</v>
      </c>
      <c r="M1303" s="3565">
        <v>0</v>
      </c>
      <c r="N1303" s="3565">
        <v>0</v>
      </c>
      <c r="O1303" s="3563" t="s">
        <v>3453</v>
      </c>
    </row>
    <row r="1304" spans="1:15">
      <c r="A1304" s="3563" t="s">
        <v>5515</v>
      </c>
      <c r="B1304" s="3563" t="s">
        <v>4196</v>
      </c>
      <c r="C1304" s="3563" t="s">
        <v>4197</v>
      </c>
      <c r="D1304" s="3563" t="s">
        <v>4796</v>
      </c>
      <c r="E1304" s="3563" t="s">
        <v>4699</v>
      </c>
      <c r="F1304" s="3563" t="s">
        <v>4797</v>
      </c>
      <c r="G1304" s="3564">
        <v>109.06</v>
      </c>
      <c r="H1304" s="3564">
        <v>88.44</v>
      </c>
      <c r="I1304" s="3564">
        <v>20.62</v>
      </c>
      <c r="J1304" s="3565">
        <v>1094963</v>
      </c>
      <c r="K1304" s="3565">
        <v>10040.01</v>
      </c>
      <c r="L1304" s="3565">
        <v>12380.86</v>
      </c>
      <c r="M1304" s="3565">
        <v>0</v>
      </c>
      <c r="N1304" s="3565">
        <v>0</v>
      </c>
      <c r="O1304" s="3563" t="s">
        <v>3453</v>
      </c>
    </row>
    <row r="1305" spans="1:15">
      <c r="A1305" s="3563" t="s">
        <v>5516</v>
      </c>
      <c r="B1305" s="3563" t="s">
        <v>4196</v>
      </c>
      <c r="C1305" s="3563" t="s">
        <v>4197</v>
      </c>
      <c r="D1305" s="3563" t="s">
        <v>4796</v>
      </c>
      <c r="E1305" s="3563" t="s">
        <v>4699</v>
      </c>
      <c r="F1305" s="3563" t="s">
        <v>4797</v>
      </c>
      <c r="G1305" s="3564">
        <v>87.56</v>
      </c>
      <c r="H1305" s="3564">
        <v>71</v>
      </c>
      <c r="I1305" s="3564">
        <v>16.559999999999999</v>
      </c>
      <c r="J1305" s="3565">
        <v>875553</v>
      </c>
      <c r="K1305" s="3565">
        <v>9999.4599999999991</v>
      </c>
      <c r="L1305" s="3565">
        <v>12331.73</v>
      </c>
      <c r="M1305" s="3565">
        <v>0</v>
      </c>
      <c r="N1305" s="3565">
        <v>0</v>
      </c>
      <c r="O1305" s="3563" t="s">
        <v>3453</v>
      </c>
    </row>
    <row r="1306" spans="1:15">
      <c r="A1306" s="3563" t="s">
        <v>5517</v>
      </c>
      <c r="B1306" s="3563" t="s">
        <v>4196</v>
      </c>
      <c r="C1306" s="3563" t="s">
        <v>4197</v>
      </c>
      <c r="D1306" s="3563" t="s">
        <v>4796</v>
      </c>
      <c r="E1306" s="3563" t="s">
        <v>4699</v>
      </c>
      <c r="F1306" s="3563" t="s">
        <v>4797</v>
      </c>
      <c r="G1306" s="3564">
        <v>87.56</v>
      </c>
      <c r="H1306" s="3564">
        <v>71</v>
      </c>
      <c r="I1306" s="3564">
        <v>16.559999999999999</v>
      </c>
      <c r="J1306" s="3565">
        <v>875553</v>
      </c>
      <c r="K1306" s="3565">
        <v>9999.4599999999991</v>
      </c>
      <c r="L1306" s="3565">
        <v>12331.73</v>
      </c>
      <c r="M1306" s="3565">
        <v>0</v>
      </c>
      <c r="N1306" s="3565">
        <v>0</v>
      </c>
      <c r="O1306" s="3563" t="s">
        <v>3453</v>
      </c>
    </row>
    <row r="1307" spans="1:15">
      <c r="A1307" s="3563" t="s">
        <v>5518</v>
      </c>
      <c r="B1307" s="3563" t="s">
        <v>4196</v>
      </c>
      <c r="C1307" s="3563" t="s">
        <v>4197</v>
      </c>
      <c r="D1307" s="3563" t="s">
        <v>4796</v>
      </c>
      <c r="E1307" s="3563" t="s">
        <v>4699</v>
      </c>
      <c r="F1307" s="3563" t="s">
        <v>4797</v>
      </c>
      <c r="G1307" s="3564">
        <v>101.14</v>
      </c>
      <c r="H1307" s="3564">
        <v>82.01</v>
      </c>
      <c r="I1307" s="3564">
        <v>19.13</v>
      </c>
      <c r="J1307" s="3565">
        <v>1011345</v>
      </c>
      <c r="K1307" s="3565">
        <v>9999.4599999999991</v>
      </c>
      <c r="L1307" s="3565">
        <v>12331.97</v>
      </c>
      <c r="M1307" s="3565">
        <v>0</v>
      </c>
      <c r="N1307" s="3565">
        <v>0</v>
      </c>
      <c r="O1307" s="3563" t="s">
        <v>3453</v>
      </c>
    </row>
    <row r="1308" spans="1:15">
      <c r="A1308" s="3563" t="s">
        <v>5519</v>
      </c>
      <c r="B1308" s="3563" t="s">
        <v>4196</v>
      </c>
      <c r="C1308" s="3563" t="s">
        <v>4197</v>
      </c>
      <c r="D1308" s="3563" t="s">
        <v>4796</v>
      </c>
      <c r="E1308" s="3563" t="s">
        <v>4699</v>
      </c>
      <c r="F1308" s="3563" t="s">
        <v>4797</v>
      </c>
      <c r="G1308" s="3564">
        <v>100.8</v>
      </c>
      <c r="H1308" s="3564">
        <v>81.739999999999995</v>
      </c>
      <c r="I1308" s="3564">
        <v>19.059999999999999</v>
      </c>
      <c r="J1308" s="3565">
        <v>1056133</v>
      </c>
      <c r="K1308" s="3565">
        <v>10477.51</v>
      </c>
      <c r="L1308" s="3565">
        <v>12920.64</v>
      </c>
      <c r="M1308" s="3565">
        <v>0</v>
      </c>
      <c r="N1308" s="3565">
        <v>0</v>
      </c>
      <c r="O1308" s="3563" t="s">
        <v>3453</v>
      </c>
    </row>
    <row r="1309" spans="1:15">
      <c r="A1309" s="3563" t="s">
        <v>5520</v>
      </c>
      <c r="B1309" s="3563" t="s">
        <v>4811</v>
      </c>
      <c r="C1309" s="3563" t="s">
        <v>4197</v>
      </c>
      <c r="D1309" s="3563" t="s">
        <v>4796</v>
      </c>
      <c r="E1309" s="3563" t="s">
        <v>4699</v>
      </c>
      <c r="F1309" s="3563" t="s">
        <v>4797</v>
      </c>
      <c r="G1309" s="3564">
        <v>100.8</v>
      </c>
      <c r="H1309" s="3564">
        <v>81.739999999999995</v>
      </c>
      <c r="I1309" s="3564">
        <v>19.059999999999999</v>
      </c>
      <c r="J1309" s="3565">
        <v>1056133</v>
      </c>
      <c r="K1309" s="3565">
        <v>10477.51</v>
      </c>
      <c r="L1309" s="3565">
        <v>12920.64</v>
      </c>
      <c r="M1309" s="3565">
        <v>1003327</v>
      </c>
      <c r="N1309" s="3565">
        <v>9953.64</v>
      </c>
      <c r="O1309" s="3566">
        <v>44192</v>
      </c>
    </row>
    <row r="1310" spans="1:15">
      <c r="A1310" s="3563" t="s">
        <v>5521</v>
      </c>
      <c r="B1310" s="3563" t="s">
        <v>4196</v>
      </c>
      <c r="C1310" s="3563" t="s">
        <v>4197</v>
      </c>
      <c r="D1310" s="3563" t="s">
        <v>4796</v>
      </c>
      <c r="E1310" s="3563" t="s">
        <v>4699</v>
      </c>
      <c r="F1310" s="3563" t="s">
        <v>4797</v>
      </c>
      <c r="G1310" s="3564">
        <v>109.06</v>
      </c>
      <c r="H1310" s="3564">
        <v>88.44</v>
      </c>
      <c r="I1310" s="3564">
        <v>20.62</v>
      </c>
      <c r="J1310" s="3565">
        <v>1111322</v>
      </c>
      <c r="K1310" s="3565">
        <v>10190.01</v>
      </c>
      <c r="L1310" s="3565">
        <v>12565.83</v>
      </c>
      <c r="M1310" s="3565">
        <v>0</v>
      </c>
      <c r="N1310" s="3565">
        <v>0</v>
      </c>
      <c r="O1310" s="3563" t="s">
        <v>3453</v>
      </c>
    </row>
    <row r="1311" spans="1:15">
      <c r="A1311" s="3563" t="s">
        <v>5522</v>
      </c>
      <c r="B1311" s="3563" t="s">
        <v>4196</v>
      </c>
      <c r="C1311" s="3563" t="s">
        <v>4197</v>
      </c>
      <c r="D1311" s="3563" t="s">
        <v>4796</v>
      </c>
      <c r="E1311" s="3563" t="s">
        <v>4699</v>
      </c>
      <c r="F1311" s="3563" t="s">
        <v>4797</v>
      </c>
      <c r="G1311" s="3564">
        <v>87.56</v>
      </c>
      <c r="H1311" s="3564">
        <v>71</v>
      </c>
      <c r="I1311" s="3564">
        <v>16.559999999999999</v>
      </c>
      <c r="J1311" s="3565">
        <v>875553</v>
      </c>
      <c r="K1311" s="3565">
        <v>9999.4599999999991</v>
      </c>
      <c r="L1311" s="3565">
        <v>12331.73</v>
      </c>
      <c r="M1311" s="3565">
        <v>0</v>
      </c>
      <c r="N1311" s="3565">
        <v>0</v>
      </c>
      <c r="O1311" s="3563" t="s">
        <v>3453</v>
      </c>
    </row>
    <row r="1312" spans="1:15">
      <c r="A1312" s="3563" t="s">
        <v>5523</v>
      </c>
      <c r="B1312" s="3563" t="s">
        <v>4196</v>
      </c>
      <c r="C1312" s="3563" t="s">
        <v>4197</v>
      </c>
      <c r="D1312" s="3563" t="s">
        <v>4796</v>
      </c>
      <c r="E1312" s="3563" t="s">
        <v>4699</v>
      </c>
      <c r="F1312" s="3563" t="s">
        <v>4797</v>
      </c>
      <c r="G1312" s="3564">
        <v>87.56</v>
      </c>
      <c r="H1312" s="3564">
        <v>71</v>
      </c>
      <c r="I1312" s="3564">
        <v>16.559999999999999</v>
      </c>
      <c r="J1312" s="3565">
        <v>875553</v>
      </c>
      <c r="K1312" s="3565">
        <v>9999.4599999999991</v>
      </c>
      <c r="L1312" s="3565">
        <v>12331.73</v>
      </c>
      <c r="M1312" s="3565">
        <v>0</v>
      </c>
      <c r="N1312" s="3565">
        <v>0</v>
      </c>
      <c r="O1312" s="3563" t="s">
        <v>3453</v>
      </c>
    </row>
    <row r="1313" spans="1:15">
      <c r="A1313" s="3563" t="s">
        <v>5524</v>
      </c>
      <c r="B1313" s="3563" t="s">
        <v>4196</v>
      </c>
      <c r="C1313" s="3563" t="s">
        <v>4197</v>
      </c>
      <c r="D1313" s="3563" t="s">
        <v>4796</v>
      </c>
      <c r="E1313" s="3563" t="s">
        <v>4699</v>
      </c>
      <c r="F1313" s="3563" t="s">
        <v>4797</v>
      </c>
      <c r="G1313" s="3564">
        <v>101.14</v>
      </c>
      <c r="H1313" s="3564">
        <v>82.01</v>
      </c>
      <c r="I1313" s="3564">
        <v>19.13</v>
      </c>
      <c r="J1313" s="3565">
        <v>1011345</v>
      </c>
      <c r="K1313" s="3565">
        <v>9999.4599999999991</v>
      </c>
      <c r="L1313" s="3565">
        <v>12331.97</v>
      </c>
      <c r="M1313" s="3565">
        <v>0</v>
      </c>
      <c r="N1313" s="3565">
        <v>0</v>
      </c>
      <c r="O1313" s="3563" t="s">
        <v>3453</v>
      </c>
    </row>
    <row r="1314" spans="1:15">
      <c r="A1314" s="3563" t="s">
        <v>5525</v>
      </c>
      <c r="B1314" s="3563" t="s">
        <v>4196</v>
      </c>
      <c r="C1314" s="3563" t="s">
        <v>4197</v>
      </c>
      <c r="D1314" s="3563" t="s">
        <v>4796</v>
      </c>
      <c r="E1314" s="3563" t="s">
        <v>4699</v>
      </c>
      <c r="F1314" s="3563" t="s">
        <v>4797</v>
      </c>
      <c r="G1314" s="3564">
        <v>100.8</v>
      </c>
      <c r="H1314" s="3564">
        <v>81.739999999999995</v>
      </c>
      <c r="I1314" s="3564">
        <v>19.059999999999999</v>
      </c>
      <c r="J1314" s="3565">
        <v>1071253</v>
      </c>
      <c r="K1314" s="3565">
        <v>10627.51</v>
      </c>
      <c r="L1314" s="3565">
        <v>13105.62</v>
      </c>
      <c r="M1314" s="3565">
        <v>0</v>
      </c>
      <c r="N1314" s="3565">
        <v>0</v>
      </c>
      <c r="O1314" s="3563" t="s">
        <v>3453</v>
      </c>
    </row>
    <row r="1315" spans="1:15">
      <c r="A1315" s="3563" t="s">
        <v>5526</v>
      </c>
      <c r="B1315" s="3563" t="s">
        <v>4811</v>
      </c>
      <c r="C1315" s="3563" t="s">
        <v>4197</v>
      </c>
      <c r="D1315" s="3563" t="s">
        <v>4796</v>
      </c>
      <c r="E1315" s="3563" t="s">
        <v>4699</v>
      </c>
      <c r="F1315" s="3563" t="s">
        <v>4797</v>
      </c>
      <c r="G1315" s="3564">
        <v>100.8</v>
      </c>
      <c r="H1315" s="3564">
        <v>81.739999999999995</v>
      </c>
      <c r="I1315" s="3564">
        <v>19.059999999999999</v>
      </c>
      <c r="J1315" s="3565">
        <v>1071253</v>
      </c>
      <c r="K1315" s="3565">
        <v>10627.51</v>
      </c>
      <c r="L1315" s="3565">
        <v>13105.62</v>
      </c>
      <c r="M1315" s="3565">
        <v>1017691</v>
      </c>
      <c r="N1315" s="3565">
        <v>10096.14</v>
      </c>
      <c r="O1315" s="3566">
        <v>44190</v>
      </c>
    </row>
    <row r="1316" spans="1:15">
      <c r="A1316" s="3563" t="s">
        <v>5527</v>
      </c>
      <c r="B1316" s="3563" t="s">
        <v>4196</v>
      </c>
      <c r="C1316" s="3563" t="s">
        <v>4197</v>
      </c>
      <c r="D1316" s="3563" t="s">
        <v>4796</v>
      </c>
      <c r="E1316" s="3563" t="s">
        <v>4699</v>
      </c>
      <c r="F1316" s="3563" t="s">
        <v>4797</v>
      </c>
      <c r="G1316" s="3564">
        <v>109.06</v>
      </c>
      <c r="H1316" s="3564">
        <v>88.44</v>
      </c>
      <c r="I1316" s="3564">
        <v>20.62</v>
      </c>
      <c r="J1316" s="3565">
        <v>1127680</v>
      </c>
      <c r="K1316" s="3565">
        <v>10340</v>
      </c>
      <c r="L1316" s="3565">
        <v>12750.79</v>
      </c>
      <c r="M1316" s="3565">
        <v>0</v>
      </c>
      <c r="N1316" s="3565">
        <v>0</v>
      </c>
      <c r="O1316" s="3563" t="s">
        <v>3453</v>
      </c>
    </row>
    <row r="1317" spans="1:15">
      <c r="A1317" s="3563" t="s">
        <v>5528</v>
      </c>
      <c r="B1317" s="3563" t="s">
        <v>4196</v>
      </c>
      <c r="C1317" s="3563" t="s">
        <v>4197</v>
      </c>
      <c r="D1317" s="3563" t="s">
        <v>4796</v>
      </c>
      <c r="E1317" s="3563" t="s">
        <v>4699</v>
      </c>
      <c r="F1317" s="3563" t="s">
        <v>4797</v>
      </c>
      <c r="G1317" s="3564">
        <v>87.56</v>
      </c>
      <c r="H1317" s="3564">
        <v>71</v>
      </c>
      <c r="I1317" s="3564">
        <v>16.559999999999999</v>
      </c>
      <c r="J1317" s="3565">
        <v>875553</v>
      </c>
      <c r="K1317" s="3565">
        <v>9999.4599999999991</v>
      </c>
      <c r="L1317" s="3565">
        <v>12331.73</v>
      </c>
      <c r="M1317" s="3565">
        <v>0</v>
      </c>
      <c r="N1317" s="3565">
        <v>0</v>
      </c>
      <c r="O1317" s="3563" t="s">
        <v>3453</v>
      </c>
    </row>
    <row r="1318" spans="1:15">
      <c r="A1318" s="3563" t="s">
        <v>5529</v>
      </c>
      <c r="B1318" s="3563" t="s">
        <v>4196</v>
      </c>
      <c r="C1318" s="3563" t="s">
        <v>4197</v>
      </c>
      <c r="D1318" s="3563" t="s">
        <v>4796</v>
      </c>
      <c r="E1318" s="3563" t="s">
        <v>4699</v>
      </c>
      <c r="F1318" s="3563" t="s">
        <v>4797</v>
      </c>
      <c r="G1318" s="3564">
        <v>87.56</v>
      </c>
      <c r="H1318" s="3564">
        <v>71</v>
      </c>
      <c r="I1318" s="3564">
        <v>16.559999999999999</v>
      </c>
      <c r="J1318" s="3565">
        <v>875553</v>
      </c>
      <c r="K1318" s="3565">
        <v>9999.4599999999991</v>
      </c>
      <c r="L1318" s="3565">
        <v>12331.73</v>
      </c>
      <c r="M1318" s="3565">
        <v>0</v>
      </c>
      <c r="N1318" s="3565">
        <v>0</v>
      </c>
      <c r="O1318" s="3563" t="s">
        <v>3453</v>
      </c>
    </row>
    <row r="1319" spans="1:15">
      <c r="A1319" s="3563" t="s">
        <v>5530</v>
      </c>
      <c r="B1319" s="3563" t="s">
        <v>4196</v>
      </c>
      <c r="C1319" s="3563" t="s">
        <v>4197</v>
      </c>
      <c r="D1319" s="3563" t="s">
        <v>4796</v>
      </c>
      <c r="E1319" s="3563" t="s">
        <v>4699</v>
      </c>
      <c r="F1319" s="3563" t="s">
        <v>4797</v>
      </c>
      <c r="G1319" s="3564">
        <v>101.14</v>
      </c>
      <c r="H1319" s="3564">
        <v>82.01</v>
      </c>
      <c r="I1319" s="3564">
        <v>19.13</v>
      </c>
      <c r="J1319" s="3565">
        <v>1011345</v>
      </c>
      <c r="K1319" s="3565">
        <v>9999.4599999999991</v>
      </c>
      <c r="L1319" s="3565">
        <v>12331.97</v>
      </c>
      <c r="M1319" s="3565">
        <v>0</v>
      </c>
      <c r="N1319" s="3565">
        <v>0</v>
      </c>
      <c r="O1319" s="3563" t="s">
        <v>3453</v>
      </c>
    </row>
    <row r="1320" spans="1:15">
      <c r="A1320" s="3563" t="s">
        <v>5531</v>
      </c>
      <c r="B1320" s="3563" t="s">
        <v>4811</v>
      </c>
      <c r="C1320" s="3563" t="s">
        <v>4197</v>
      </c>
      <c r="D1320" s="3563" t="s">
        <v>4796</v>
      </c>
      <c r="E1320" s="3563" t="s">
        <v>4699</v>
      </c>
      <c r="F1320" s="3563" t="s">
        <v>4797</v>
      </c>
      <c r="G1320" s="3564">
        <v>100.8</v>
      </c>
      <c r="H1320" s="3564">
        <v>81.739999999999995</v>
      </c>
      <c r="I1320" s="3564">
        <v>19.059999999999999</v>
      </c>
      <c r="J1320" s="3565">
        <v>1086373</v>
      </c>
      <c r="K1320" s="3565">
        <v>10777.51</v>
      </c>
      <c r="L1320" s="3565">
        <v>13290.59</v>
      </c>
      <c r="M1320" s="3565">
        <v>1032055</v>
      </c>
      <c r="N1320" s="3565">
        <v>10238.64</v>
      </c>
      <c r="O1320" s="3566">
        <v>44190</v>
      </c>
    </row>
    <row r="1321" spans="1:15">
      <c r="A1321" s="3563" t="s">
        <v>5532</v>
      </c>
      <c r="B1321" s="3563" t="s">
        <v>4196</v>
      </c>
      <c r="C1321" s="3563" t="s">
        <v>4197</v>
      </c>
      <c r="D1321" s="3563" t="s">
        <v>4796</v>
      </c>
      <c r="E1321" s="3563" t="s">
        <v>4699</v>
      </c>
      <c r="F1321" s="3563" t="s">
        <v>4797</v>
      </c>
      <c r="G1321" s="3564">
        <v>100.8</v>
      </c>
      <c r="H1321" s="3564">
        <v>81.739999999999995</v>
      </c>
      <c r="I1321" s="3564">
        <v>19.059999999999999</v>
      </c>
      <c r="J1321" s="3565">
        <v>1086373</v>
      </c>
      <c r="K1321" s="3565">
        <v>10777.51</v>
      </c>
      <c r="L1321" s="3565">
        <v>13290.59</v>
      </c>
      <c r="M1321" s="3565">
        <v>0</v>
      </c>
      <c r="N1321" s="3565">
        <v>0</v>
      </c>
      <c r="O1321" s="3563" t="s">
        <v>3453</v>
      </c>
    </row>
    <row r="1322" spans="1:15">
      <c r="A1322" s="3563" t="s">
        <v>5533</v>
      </c>
      <c r="B1322" s="3563" t="s">
        <v>4196</v>
      </c>
      <c r="C1322" s="3563" t="s">
        <v>4197</v>
      </c>
      <c r="D1322" s="3563" t="s">
        <v>4796</v>
      </c>
      <c r="E1322" s="3563" t="s">
        <v>4699</v>
      </c>
      <c r="F1322" s="3563" t="s">
        <v>4797</v>
      </c>
      <c r="G1322" s="3564">
        <v>109.06</v>
      </c>
      <c r="H1322" s="3564">
        <v>88.44</v>
      </c>
      <c r="I1322" s="3564">
        <v>20.62</v>
      </c>
      <c r="J1322" s="3565">
        <v>1129044</v>
      </c>
      <c r="K1322" s="3565">
        <v>10352.5</v>
      </c>
      <c r="L1322" s="3565">
        <v>12766.21</v>
      </c>
      <c r="M1322" s="3565">
        <v>0</v>
      </c>
      <c r="N1322" s="3565">
        <v>0</v>
      </c>
      <c r="O1322" s="3563" t="s">
        <v>3453</v>
      </c>
    </row>
    <row r="1323" spans="1:15">
      <c r="A1323" s="3563" t="s">
        <v>5534</v>
      </c>
      <c r="B1323" s="3563" t="s">
        <v>4196</v>
      </c>
      <c r="C1323" s="3563" t="s">
        <v>4197</v>
      </c>
      <c r="D1323" s="3563" t="s">
        <v>4796</v>
      </c>
      <c r="E1323" s="3563" t="s">
        <v>4699</v>
      </c>
      <c r="F1323" s="3563" t="s">
        <v>4797</v>
      </c>
      <c r="G1323" s="3564">
        <v>87.56</v>
      </c>
      <c r="H1323" s="3564">
        <v>71</v>
      </c>
      <c r="I1323" s="3564">
        <v>16.559999999999999</v>
      </c>
      <c r="J1323" s="3565">
        <v>875553</v>
      </c>
      <c r="K1323" s="3565">
        <v>9999.4599999999991</v>
      </c>
      <c r="L1323" s="3565">
        <v>12331.73</v>
      </c>
      <c r="M1323" s="3565">
        <v>0</v>
      </c>
      <c r="N1323" s="3565">
        <v>0</v>
      </c>
      <c r="O1323" s="3563" t="s">
        <v>3453</v>
      </c>
    </row>
    <row r="1324" spans="1:15">
      <c r="A1324" s="3563" t="s">
        <v>5535</v>
      </c>
      <c r="B1324" s="3563" t="s">
        <v>4811</v>
      </c>
      <c r="C1324" s="3563" t="s">
        <v>4197</v>
      </c>
      <c r="D1324" s="3563" t="s">
        <v>4796</v>
      </c>
      <c r="E1324" s="3563" t="s">
        <v>4699</v>
      </c>
      <c r="F1324" s="3563" t="s">
        <v>4797</v>
      </c>
      <c r="G1324" s="3564">
        <v>87.56</v>
      </c>
      <c r="H1324" s="3564">
        <v>71</v>
      </c>
      <c r="I1324" s="3564">
        <v>16.559999999999999</v>
      </c>
      <c r="J1324" s="3565">
        <v>875553</v>
      </c>
      <c r="K1324" s="3565">
        <v>9999.4599999999991</v>
      </c>
      <c r="L1324" s="3565">
        <v>12331.73</v>
      </c>
      <c r="M1324" s="3565">
        <v>831776</v>
      </c>
      <c r="N1324" s="3565">
        <v>9499.5</v>
      </c>
      <c r="O1324" s="3566">
        <v>44192</v>
      </c>
    </row>
    <row r="1325" spans="1:15">
      <c r="A1325" s="3563" t="s">
        <v>5536</v>
      </c>
      <c r="B1325" s="3563" t="s">
        <v>4196</v>
      </c>
      <c r="C1325" s="3563" t="s">
        <v>4197</v>
      </c>
      <c r="D1325" s="3563" t="s">
        <v>4796</v>
      </c>
      <c r="E1325" s="3563" t="s">
        <v>4699</v>
      </c>
      <c r="F1325" s="3563" t="s">
        <v>4797</v>
      </c>
      <c r="G1325" s="3564">
        <v>101.14</v>
      </c>
      <c r="H1325" s="3564">
        <v>82.01</v>
      </c>
      <c r="I1325" s="3564">
        <v>19.13</v>
      </c>
      <c r="J1325" s="3565">
        <v>1011345</v>
      </c>
      <c r="K1325" s="3565">
        <v>9999.4599999999991</v>
      </c>
      <c r="L1325" s="3565">
        <v>12331.97</v>
      </c>
      <c r="M1325" s="3565">
        <v>0</v>
      </c>
      <c r="N1325" s="3565">
        <v>0</v>
      </c>
      <c r="O1325" s="3563" t="s">
        <v>3453</v>
      </c>
    </row>
    <row r="1326" spans="1:15">
      <c r="A1326" s="3563" t="s">
        <v>5537</v>
      </c>
      <c r="B1326" s="3563" t="s">
        <v>3453</v>
      </c>
      <c r="C1326" s="3563" t="s">
        <v>4197</v>
      </c>
      <c r="D1326" s="3563" t="s">
        <v>4796</v>
      </c>
      <c r="E1326" s="3563" t="s">
        <v>4699</v>
      </c>
      <c r="F1326" s="3563" t="s">
        <v>4797</v>
      </c>
      <c r="G1326" s="3564">
        <v>100.8</v>
      </c>
      <c r="H1326" s="3564">
        <v>81.739999999999995</v>
      </c>
      <c r="I1326" s="3564">
        <v>19.059999999999999</v>
      </c>
      <c r="J1326" s="3565">
        <v>1087633</v>
      </c>
      <c r="K1326" s="3565">
        <v>10790.01</v>
      </c>
      <c r="L1326" s="3565">
        <v>13306.01</v>
      </c>
      <c r="M1326" s="3565">
        <v>0</v>
      </c>
      <c r="N1326" s="3565">
        <v>0</v>
      </c>
      <c r="O1326" s="3563" t="s">
        <v>3453</v>
      </c>
    </row>
    <row r="1327" spans="1:15">
      <c r="A1327" s="3563" t="s">
        <v>5538</v>
      </c>
      <c r="B1327" s="3563" t="s">
        <v>4196</v>
      </c>
      <c r="C1327" s="3563" t="s">
        <v>4197</v>
      </c>
      <c r="D1327" s="3563" t="s">
        <v>4796</v>
      </c>
      <c r="E1327" s="3563" t="s">
        <v>4699</v>
      </c>
      <c r="F1327" s="3563" t="s">
        <v>4797</v>
      </c>
      <c r="G1327" s="3564">
        <v>100.8</v>
      </c>
      <c r="H1327" s="3564">
        <v>81.739999999999995</v>
      </c>
      <c r="I1327" s="3564">
        <v>19.059999999999999</v>
      </c>
      <c r="J1327" s="3565">
        <v>1087633</v>
      </c>
      <c r="K1327" s="3565">
        <v>10790.01</v>
      </c>
      <c r="L1327" s="3565">
        <v>13306.01</v>
      </c>
      <c r="M1327" s="3565">
        <v>0</v>
      </c>
      <c r="N1327" s="3565">
        <v>0</v>
      </c>
      <c r="O1327" s="3563" t="s">
        <v>3453</v>
      </c>
    </row>
    <row r="1328" spans="1:15">
      <c r="A1328" s="3563" t="s">
        <v>5539</v>
      </c>
      <c r="B1328" s="3563" t="s">
        <v>4196</v>
      </c>
      <c r="C1328" s="3563" t="s">
        <v>4197</v>
      </c>
      <c r="D1328" s="3563" t="s">
        <v>4796</v>
      </c>
      <c r="E1328" s="3563" t="s">
        <v>4699</v>
      </c>
      <c r="F1328" s="3563" t="s">
        <v>4797</v>
      </c>
      <c r="G1328" s="3564">
        <v>109.06</v>
      </c>
      <c r="H1328" s="3564">
        <v>88.44</v>
      </c>
      <c r="I1328" s="3564">
        <v>20.62</v>
      </c>
      <c r="J1328" s="3565">
        <v>1157673</v>
      </c>
      <c r="K1328" s="3565">
        <v>10615.01</v>
      </c>
      <c r="L1328" s="3565">
        <v>13089.93</v>
      </c>
      <c r="M1328" s="3565">
        <v>0</v>
      </c>
      <c r="N1328" s="3565">
        <v>0</v>
      </c>
      <c r="O1328" s="3563" t="s">
        <v>3453</v>
      </c>
    </row>
    <row r="1329" spans="1:15">
      <c r="A1329" s="3563" t="s">
        <v>5540</v>
      </c>
      <c r="B1329" s="3563" t="s">
        <v>4196</v>
      </c>
      <c r="C1329" s="3563" t="s">
        <v>4197</v>
      </c>
      <c r="D1329" s="3563" t="s">
        <v>4796</v>
      </c>
      <c r="E1329" s="3563" t="s">
        <v>4699</v>
      </c>
      <c r="F1329" s="3563" t="s">
        <v>4797</v>
      </c>
      <c r="G1329" s="3564">
        <v>87.56</v>
      </c>
      <c r="H1329" s="3564">
        <v>71</v>
      </c>
      <c r="I1329" s="3564">
        <v>16.559999999999999</v>
      </c>
      <c r="J1329" s="3565">
        <v>877414</v>
      </c>
      <c r="K1329" s="3565">
        <v>10020.719999999999</v>
      </c>
      <c r="L1329" s="3565">
        <v>12357.94</v>
      </c>
      <c r="M1329" s="3565">
        <v>0</v>
      </c>
      <c r="N1329" s="3565">
        <v>0</v>
      </c>
      <c r="O1329" s="3563" t="s">
        <v>3453</v>
      </c>
    </row>
    <row r="1330" spans="1:15">
      <c r="A1330" s="3563" t="s">
        <v>5541</v>
      </c>
      <c r="B1330" s="3563" t="s">
        <v>4196</v>
      </c>
      <c r="C1330" s="3563" t="s">
        <v>4197</v>
      </c>
      <c r="D1330" s="3563" t="s">
        <v>4796</v>
      </c>
      <c r="E1330" s="3563" t="s">
        <v>4699</v>
      </c>
      <c r="F1330" s="3563" t="s">
        <v>4797</v>
      </c>
      <c r="G1330" s="3564">
        <v>87.56</v>
      </c>
      <c r="H1330" s="3564">
        <v>71</v>
      </c>
      <c r="I1330" s="3564">
        <v>16.559999999999999</v>
      </c>
      <c r="J1330" s="3565">
        <v>877414</v>
      </c>
      <c r="K1330" s="3565">
        <v>10020.719999999999</v>
      </c>
      <c r="L1330" s="3565">
        <v>12357.94</v>
      </c>
      <c r="M1330" s="3565">
        <v>0</v>
      </c>
      <c r="N1330" s="3565">
        <v>0</v>
      </c>
      <c r="O1330" s="3563" t="s">
        <v>3453</v>
      </c>
    </row>
    <row r="1331" spans="1:15">
      <c r="A1331" s="3563" t="s">
        <v>5542</v>
      </c>
      <c r="B1331" s="3563" t="s">
        <v>4196</v>
      </c>
      <c r="C1331" s="3563" t="s">
        <v>4197</v>
      </c>
      <c r="D1331" s="3563" t="s">
        <v>4796</v>
      </c>
      <c r="E1331" s="3563" t="s">
        <v>4699</v>
      </c>
      <c r="F1331" s="3563" t="s">
        <v>4797</v>
      </c>
      <c r="G1331" s="3564">
        <v>101.14</v>
      </c>
      <c r="H1331" s="3564">
        <v>82.01</v>
      </c>
      <c r="I1331" s="3564">
        <v>19.13</v>
      </c>
      <c r="J1331" s="3565">
        <v>1011345</v>
      </c>
      <c r="K1331" s="3565">
        <v>9999.4599999999991</v>
      </c>
      <c r="L1331" s="3565">
        <v>12331.97</v>
      </c>
      <c r="M1331" s="3565">
        <v>0</v>
      </c>
      <c r="N1331" s="3565">
        <v>0</v>
      </c>
      <c r="O1331" s="3563" t="s">
        <v>3453</v>
      </c>
    </row>
    <row r="1332" spans="1:15">
      <c r="A1332" s="3563" t="s">
        <v>5543</v>
      </c>
      <c r="B1332" s="3563" t="s">
        <v>4811</v>
      </c>
      <c r="C1332" s="3563" t="s">
        <v>4197</v>
      </c>
      <c r="D1332" s="3563" t="s">
        <v>4796</v>
      </c>
      <c r="E1332" s="3563" t="s">
        <v>4699</v>
      </c>
      <c r="F1332" s="3563" t="s">
        <v>4797</v>
      </c>
      <c r="G1332" s="3564">
        <v>100.8</v>
      </c>
      <c r="H1332" s="3564">
        <v>81.739999999999995</v>
      </c>
      <c r="I1332" s="3564">
        <v>19.059999999999999</v>
      </c>
      <c r="J1332" s="3565">
        <v>1088893</v>
      </c>
      <c r="K1332" s="3565">
        <v>10802.51</v>
      </c>
      <c r="L1332" s="3565">
        <v>13321.42</v>
      </c>
      <c r="M1332" s="3565">
        <v>1034449</v>
      </c>
      <c r="N1332" s="3565">
        <v>10262.39</v>
      </c>
      <c r="O1332" s="3566">
        <v>44190</v>
      </c>
    </row>
    <row r="1333" spans="1:15">
      <c r="A1333" s="3563" t="s">
        <v>5544</v>
      </c>
      <c r="B1333" s="3563" t="s">
        <v>4811</v>
      </c>
      <c r="C1333" s="3563" t="s">
        <v>4197</v>
      </c>
      <c r="D1333" s="3563" t="s">
        <v>4796</v>
      </c>
      <c r="E1333" s="3563" t="s">
        <v>4699</v>
      </c>
      <c r="F1333" s="3563" t="s">
        <v>4797</v>
      </c>
      <c r="G1333" s="3564">
        <v>100.8</v>
      </c>
      <c r="H1333" s="3564">
        <v>81.739999999999995</v>
      </c>
      <c r="I1333" s="3564">
        <v>19.059999999999999</v>
      </c>
      <c r="J1333" s="3565">
        <v>1088893</v>
      </c>
      <c r="K1333" s="3565">
        <v>10802.51</v>
      </c>
      <c r="L1333" s="3565">
        <v>13321.42</v>
      </c>
      <c r="M1333" s="3565">
        <v>1034449</v>
      </c>
      <c r="N1333" s="3565">
        <v>10262.39</v>
      </c>
      <c r="O1333" s="3566">
        <v>44190</v>
      </c>
    </row>
    <row r="1334" spans="1:15">
      <c r="A1334" s="3563" t="s">
        <v>5545</v>
      </c>
      <c r="B1334" s="3563" t="s">
        <v>4196</v>
      </c>
      <c r="C1334" s="3563" t="s">
        <v>4197</v>
      </c>
      <c r="D1334" s="3563" t="s">
        <v>4796</v>
      </c>
      <c r="E1334" s="3563" t="s">
        <v>4699</v>
      </c>
      <c r="F1334" s="3563" t="s">
        <v>4797</v>
      </c>
      <c r="G1334" s="3564">
        <v>109.06</v>
      </c>
      <c r="H1334" s="3564">
        <v>88.44</v>
      </c>
      <c r="I1334" s="3564">
        <v>20.62</v>
      </c>
      <c r="J1334" s="3565">
        <v>1159035</v>
      </c>
      <c r="K1334" s="3565">
        <v>10627.5</v>
      </c>
      <c r="L1334" s="3565">
        <v>13105.33</v>
      </c>
      <c r="M1334" s="3565">
        <v>0</v>
      </c>
      <c r="N1334" s="3565">
        <v>0</v>
      </c>
      <c r="O1334" s="3563" t="s">
        <v>3453</v>
      </c>
    </row>
    <row r="1335" spans="1:15">
      <c r="A1335" s="3563" t="s">
        <v>5546</v>
      </c>
      <c r="B1335" s="3563" t="s">
        <v>4196</v>
      </c>
      <c r="C1335" s="3563" t="s">
        <v>4197</v>
      </c>
      <c r="D1335" s="3563" t="s">
        <v>4796</v>
      </c>
      <c r="E1335" s="3563" t="s">
        <v>4699</v>
      </c>
      <c r="F1335" s="3563" t="s">
        <v>4797</v>
      </c>
      <c r="G1335" s="3564">
        <v>87.56</v>
      </c>
      <c r="H1335" s="3564">
        <v>71</v>
      </c>
      <c r="I1335" s="3564">
        <v>16.559999999999999</v>
      </c>
      <c r="J1335" s="3565">
        <v>878508</v>
      </c>
      <c r="K1335" s="3565">
        <v>10033.209999999999</v>
      </c>
      <c r="L1335" s="3565">
        <v>12373.35</v>
      </c>
      <c r="M1335" s="3565">
        <v>0</v>
      </c>
      <c r="N1335" s="3565">
        <v>0</v>
      </c>
      <c r="O1335" s="3563" t="s">
        <v>3453</v>
      </c>
    </row>
    <row r="1336" spans="1:15">
      <c r="A1336" s="3563" t="s">
        <v>5547</v>
      </c>
      <c r="B1336" s="3563" t="s">
        <v>4811</v>
      </c>
      <c r="C1336" s="3563" t="s">
        <v>4197</v>
      </c>
      <c r="D1336" s="3563" t="s">
        <v>4796</v>
      </c>
      <c r="E1336" s="3563" t="s">
        <v>4699</v>
      </c>
      <c r="F1336" s="3563" t="s">
        <v>4797</v>
      </c>
      <c r="G1336" s="3564">
        <v>87.56</v>
      </c>
      <c r="H1336" s="3564">
        <v>71</v>
      </c>
      <c r="I1336" s="3564">
        <v>16.559999999999999</v>
      </c>
      <c r="J1336" s="3565">
        <v>878508</v>
      </c>
      <c r="K1336" s="3565">
        <v>10033.209999999999</v>
      </c>
      <c r="L1336" s="3565">
        <v>12373.35</v>
      </c>
      <c r="M1336" s="3565">
        <v>834583</v>
      </c>
      <c r="N1336" s="3565">
        <v>9531.56</v>
      </c>
      <c r="O1336" s="3566">
        <v>44190</v>
      </c>
    </row>
    <row r="1337" spans="1:15">
      <c r="A1337" s="3563" t="s">
        <v>5548</v>
      </c>
      <c r="B1337" s="3563" t="s">
        <v>4196</v>
      </c>
      <c r="C1337" s="3563" t="s">
        <v>4197</v>
      </c>
      <c r="D1337" s="3563" t="s">
        <v>4796</v>
      </c>
      <c r="E1337" s="3563" t="s">
        <v>4699</v>
      </c>
      <c r="F1337" s="3563" t="s">
        <v>4797</v>
      </c>
      <c r="G1337" s="3564">
        <v>101.14</v>
      </c>
      <c r="H1337" s="3564">
        <v>82.01</v>
      </c>
      <c r="I1337" s="3564">
        <v>19.13</v>
      </c>
      <c r="J1337" s="3565">
        <v>1011345</v>
      </c>
      <c r="K1337" s="3565">
        <v>9999.4599999999991</v>
      </c>
      <c r="L1337" s="3565">
        <v>12331.97</v>
      </c>
      <c r="M1337" s="3565">
        <v>0</v>
      </c>
      <c r="N1337" s="3565">
        <v>0</v>
      </c>
      <c r="O1337" s="3563" t="s">
        <v>3453</v>
      </c>
    </row>
    <row r="1338" spans="1:15">
      <c r="A1338" s="3563" t="s">
        <v>5549</v>
      </c>
      <c r="B1338" s="3563" t="s">
        <v>4196</v>
      </c>
      <c r="C1338" s="3563" t="s">
        <v>4197</v>
      </c>
      <c r="D1338" s="3563" t="s">
        <v>4796</v>
      </c>
      <c r="E1338" s="3563" t="s">
        <v>4699</v>
      </c>
      <c r="F1338" s="3563" t="s">
        <v>4797</v>
      </c>
      <c r="G1338" s="3564">
        <v>100.8</v>
      </c>
      <c r="H1338" s="3564">
        <v>81.739999999999995</v>
      </c>
      <c r="I1338" s="3564">
        <v>19.059999999999999</v>
      </c>
      <c r="J1338" s="3565">
        <v>1090153</v>
      </c>
      <c r="K1338" s="3565">
        <v>10815.01</v>
      </c>
      <c r="L1338" s="3565">
        <v>13336.84</v>
      </c>
      <c r="M1338" s="3565">
        <v>0</v>
      </c>
      <c r="N1338" s="3565">
        <v>0</v>
      </c>
      <c r="O1338" s="3563" t="s">
        <v>3453</v>
      </c>
    </row>
    <row r="1339" spans="1:15">
      <c r="A1339" s="3563" t="s">
        <v>5550</v>
      </c>
      <c r="B1339" s="3563" t="s">
        <v>4196</v>
      </c>
      <c r="C1339" s="3563" t="s">
        <v>4197</v>
      </c>
      <c r="D1339" s="3563" t="s">
        <v>4796</v>
      </c>
      <c r="E1339" s="3563" t="s">
        <v>4699</v>
      </c>
      <c r="F1339" s="3563" t="s">
        <v>4797</v>
      </c>
      <c r="G1339" s="3564">
        <v>100.8</v>
      </c>
      <c r="H1339" s="3564">
        <v>81.739999999999995</v>
      </c>
      <c r="I1339" s="3564">
        <v>19.059999999999999</v>
      </c>
      <c r="J1339" s="3565">
        <v>1090153</v>
      </c>
      <c r="K1339" s="3565">
        <v>10815.01</v>
      </c>
      <c r="L1339" s="3565">
        <v>13336.84</v>
      </c>
      <c r="M1339" s="3565">
        <v>0</v>
      </c>
      <c r="N1339" s="3565">
        <v>0</v>
      </c>
      <c r="O1339" s="3563" t="s">
        <v>3453</v>
      </c>
    </row>
    <row r="1340" spans="1:15">
      <c r="A1340" s="3563" t="s">
        <v>5551</v>
      </c>
      <c r="B1340" s="3563" t="s">
        <v>4196</v>
      </c>
      <c r="C1340" s="3563" t="s">
        <v>4197</v>
      </c>
      <c r="D1340" s="3563" t="s">
        <v>4796</v>
      </c>
      <c r="E1340" s="3563" t="s">
        <v>4699</v>
      </c>
      <c r="F1340" s="3563" t="s">
        <v>4797</v>
      </c>
      <c r="G1340" s="3564">
        <v>109.06</v>
      </c>
      <c r="H1340" s="3564">
        <v>88.44</v>
      </c>
      <c r="I1340" s="3564">
        <v>20.62</v>
      </c>
      <c r="J1340" s="3565">
        <v>1160399</v>
      </c>
      <c r="K1340" s="3565">
        <v>10640.01</v>
      </c>
      <c r="L1340" s="3565">
        <v>13120.75</v>
      </c>
      <c r="M1340" s="3565">
        <v>0</v>
      </c>
      <c r="N1340" s="3565">
        <v>0</v>
      </c>
      <c r="O1340" s="3563" t="s">
        <v>3453</v>
      </c>
    </row>
    <row r="1341" spans="1:15">
      <c r="A1341" s="3563" t="s">
        <v>5552</v>
      </c>
      <c r="B1341" s="3563" t="s">
        <v>4196</v>
      </c>
      <c r="C1341" s="3563" t="s">
        <v>4197</v>
      </c>
      <c r="D1341" s="3563" t="s">
        <v>4796</v>
      </c>
      <c r="E1341" s="3563" t="s">
        <v>4699</v>
      </c>
      <c r="F1341" s="3563" t="s">
        <v>4797</v>
      </c>
      <c r="G1341" s="3564">
        <v>87.56</v>
      </c>
      <c r="H1341" s="3564">
        <v>71</v>
      </c>
      <c r="I1341" s="3564">
        <v>16.559999999999999</v>
      </c>
      <c r="J1341" s="3565">
        <v>876914</v>
      </c>
      <c r="K1341" s="3565">
        <v>10015.01</v>
      </c>
      <c r="L1341" s="3565">
        <v>12350.9</v>
      </c>
      <c r="M1341" s="3565">
        <v>0</v>
      </c>
      <c r="N1341" s="3565">
        <v>0</v>
      </c>
      <c r="O1341" s="3563" t="s">
        <v>3453</v>
      </c>
    </row>
    <row r="1342" spans="1:15">
      <c r="A1342" s="3563" t="s">
        <v>5553</v>
      </c>
      <c r="B1342" s="3563" t="s">
        <v>4196</v>
      </c>
      <c r="C1342" s="3563" t="s">
        <v>4197</v>
      </c>
      <c r="D1342" s="3563" t="s">
        <v>4796</v>
      </c>
      <c r="E1342" s="3563" t="s">
        <v>4699</v>
      </c>
      <c r="F1342" s="3563" t="s">
        <v>4797</v>
      </c>
      <c r="G1342" s="3564">
        <v>87.56</v>
      </c>
      <c r="H1342" s="3564">
        <v>71</v>
      </c>
      <c r="I1342" s="3564">
        <v>16.559999999999999</v>
      </c>
      <c r="J1342" s="3565">
        <v>876914</v>
      </c>
      <c r="K1342" s="3565">
        <v>10015.01</v>
      </c>
      <c r="L1342" s="3565">
        <v>12350.9</v>
      </c>
      <c r="M1342" s="3565">
        <v>0</v>
      </c>
      <c r="N1342" s="3565">
        <v>0</v>
      </c>
      <c r="O1342" s="3563" t="s">
        <v>3453</v>
      </c>
    </row>
    <row r="1343" spans="1:15">
      <c r="A1343" s="3563" t="s">
        <v>5554</v>
      </c>
      <c r="B1343" s="3563" t="s">
        <v>4196</v>
      </c>
      <c r="C1343" s="3563" t="s">
        <v>4197</v>
      </c>
      <c r="D1343" s="3563" t="s">
        <v>4796</v>
      </c>
      <c r="E1343" s="3563" t="s">
        <v>4699</v>
      </c>
      <c r="F1343" s="3563" t="s">
        <v>4797</v>
      </c>
      <c r="G1343" s="3564">
        <v>101.14</v>
      </c>
      <c r="H1343" s="3564">
        <v>82.01</v>
      </c>
      <c r="I1343" s="3564">
        <v>19.13</v>
      </c>
      <c r="J1343" s="3565">
        <v>1011345</v>
      </c>
      <c r="K1343" s="3565">
        <v>9999.4599999999991</v>
      </c>
      <c r="L1343" s="3565">
        <v>12331.97</v>
      </c>
      <c r="M1343" s="3565">
        <v>0</v>
      </c>
      <c r="N1343" s="3565">
        <v>0</v>
      </c>
      <c r="O1343" s="3563" t="s">
        <v>3453</v>
      </c>
    </row>
    <row r="1344" spans="1:15">
      <c r="A1344" s="3563" t="s">
        <v>5555</v>
      </c>
      <c r="B1344" s="3563" t="s">
        <v>4811</v>
      </c>
      <c r="C1344" s="3563" t="s">
        <v>4197</v>
      </c>
      <c r="D1344" s="3563" t="s">
        <v>4796</v>
      </c>
      <c r="E1344" s="3563" t="s">
        <v>4699</v>
      </c>
      <c r="F1344" s="3563" t="s">
        <v>4797</v>
      </c>
      <c r="G1344" s="3564">
        <v>100.8</v>
      </c>
      <c r="H1344" s="3564">
        <v>81.739999999999995</v>
      </c>
      <c r="I1344" s="3564">
        <v>19.059999999999999</v>
      </c>
      <c r="J1344" s="3565">
        <v>1091413</v>
      </c>
      <c r="K1344" s="3565">
        <v>10827.51</v>
      </c>
      <c r="L1344" s="3565">
        <v>13352.25</v>
      </c>
      <c r="M1344" s="3565">
        <v>1036843</v>
      </c>
      <c r="N1344" s="3565">
        <v>10286.14</v>
      </c>
      <c r="O1344" s="3566">
        <v>44190</v>
      </c>
    </row>
    <row r="1345" spans="1:15">
      <c r="A1345" s="3563" t="s">
        <v>5556</v>
      </c>
      <c r="B1345" s="3563" t="s">
        <v>4811</v>
      </c>
      <c r="C1345" s="3563" t="s">
        <v>4197</v>
      </c>
      <c r="D1345" s="3563" t="s">
        <v>4796</v>
      </c>
      <c r="E1345" s="3563" t="s">
        <v>4699</v>
      </c>
      <c r="F1345" s="3563" t="s">
        <v>4797</v>
      </c>
      <c r="G1345" s="3564">
        <v>100.8</v>
      </c>
      <c r="H1345" s="3564">
        <v>81.739999999999995</v>
      </c>
      <c r="I1345" s="3564">
        <v>19.059999999999999</v>
      </c>
      <c r="J1345" s="3565">
        <v>1091413</v>
      </c>
      <c r="K1345" s="3565">
        <v>10827.51</v>
      </c>
      <c r="L1345" s="3565">
        <v>13352.25</v>
      </c>
      <c r="M1345" s="3565">
        <v>1036843</v>
      </c>
      <c r="N1345" s="3565">
        <v>10286.14</v>
      </c>
      <c r="O1345" s="3566">
        <v>44190</v>
      </c>
    </row>
    <row r="1346" spans="1:15">
      <c r="A1346" s="3563" t="s">
        <v>5557</v>
      </c>
      <c r="B1346" s="3563" t="s">
        <v>4196</v>
      </c>
      <c r="C1346" s="3563" t="s">
        <v>4197</v>
      </c>
      <c r="D1346" s="3563" t="s">
        <v>4796</v>
      </c>
      <c r="E1346" s="3563" t="s">
        <v>4520</v>
      </c>
      <c r="F1346" s="3563" t="s">
        <v>4797</v>
      </c>
      <c r="G1346" s="3564">
        <v>95.21</v>
      </c>
      <c r="H1346" s="3564">
        <v>81.739999999999995</v>
      </c>
      <c r="I1346" s="3564">
        <v>13.47</v>
      </c>
      <c r="J1346" s="3565">
        <v>963049</v>
      </c>
      <c r="K1346" s="3565">
        <v>10115</v>
      </c>
      <c r="L1346" s="3565">
        <v>11781.86</v>
      </c>
      <c r="M1346" s="3565">
        <v>0</v>
      </c>
      <c r="N1346" s="3565">
        <v>0</v>
      </c>
      <c r="O1346" s="3563" t="s">
        <v>3453</v>
      </c>
    </row>
    <row r="1347" spans="1:15">
      <c r="A1347" s="3563" t="s">
        <v>5558</v>
      </c>
      <c r="B1347" s="3563" t="s">
        <v>4196</v>
      </c>
      <c r="C1347" s="3563" t="s">
        <v>4197</v>
      </c>
      <c r="D1347" s="3563" t="s">
        <v>4796</v>
      </c>
      <c r="E1347" s="3563" t="s">
        <v>4520</v>
      </c>
      <c r="F1347" s="3563" t="s">
        <v>4797</v>
      </c>
      <c r="G1347" s="3564">
        <v>95.21</v>
      </c>
      <c r="H1347" s="3564">
        <v>81.739999999999995</v>
      </c>
      <c r="I1347" s="3564">
        <v>13.47</v>
      </c>
      <c r="J1347" s="3565">
        <v>963049</v>
      </c>
      <c r="K1347" s="3565">
        <v>10115</v>
      </c>
      <c r="L1347" s="3565">
        <v>11781.86</v>
      </c>
      <c r="M1347" s="3565">
        <v>0</v>
      </c>
      <c r="N1347" s="3565">
        <v>0</v>
      </c>
      <c r="O1347" s="3563" t="s">
        <v>3453</v>
      </c>
    </row>
    <row r="1348" spans="1:15">
      <c r="A1348" s="3563" t="s">
        <v>5559</v>
      </c>
      <c r="B1348" s="3563" t="s">
        <v>4196</v>
      </c>
      <c r="C1348" s="3563" t="s">
        <v>4197</v>
      </c>
      <c r="D1348" s="3563" t="s">
        <v>4796</v>
      </c>
      <c r="E1348" s="3563" t="s">
        <v>4520</v>
      </c>
      <c r="F1348" s="3563" t="s">
        <v>4797</v>
      </c>
      <c r="G1348" s="3564">
        <v>84.78</v>
      </c>
      <c r="H1348" s="3564">
        <v>72.78</v>
      </c>
      <c r="I1348" s="3564">
        <v>12</v>
      </c>
      <c r="J1348" s="3565">
        <v>847754</v>
      </c>
      <c r="K1348" s="3565">
        <v>9999.4599999999991</v>
      </c>
      <c r="L1348" s="3565">
        <v>11648.17</v>
      </c>
      <c r="M1348" s="3565">
        <v>0</v>
      </c>
      <c r="N1348" s="3565">
        <v>0</v>
      </c>
      <c r="O1348" s="3563" t="s">
        <v>3453</v>
      </c>
    </row>
    <row r="1349" spans="1:15">
      <c r="A1349" s="3563" t="s">
        <v>5560</v>
      </c>
      <c r="B1349" s="3563" t="s">
        <v>4196</v>
      </c>
      <c r="C1349" s="3563" t="s">
        <v>4197</v>
      </c>
      <c r="D1349" s="3563" t="s">
        <v>4796</v>
      </c>
      <c r="E1349" s="3563" t="s">
        <v>4520</v>
      </c>
      <c r="F1349" s="3563" t="s">
        <v>4797</v>
      </c>
      <c r="G1349" s="3564">
        <v>73.42</v>
      </c>
      <c r="H1349" s="3564">
        <v>63.03</v>
      </c>
      <c r="I1349" s="3564">
        <v>10.39</v>
      </c>
      <c r="J1349" s="3565">
        <v>734160</v>
      </c>
      <c r="K1349" s="3565">
        <v>9999.4599999999991</v>
      </c>
      <c r="L1349" s="3565">
        <v>11647.79</v>
      </c>
      <c r="M1349" s="3565">
        <v>0</v>
      </c>
      <c r="N1349" s="3565">
        <v>0</v>
      </c>
      <c r="O1349" s="3563" t="s">
        <v>3453</v>
      </c>
    </row>
    <row r="1350" spans="1:15">
      <c r="A1350" s="3563" t="s">
        <v>5561</v>
      </c>
      <c r="B1350" s="3563" t="s">
        <v>4196</v>
      </c>
      <c r="C1350" s="3563" t="s">
        <v>4197</v>
      </c>
      <c r="D1350" s="3563" t="s">
        <v>4796</v>
      </c>
      <c r="E1350" s="3563" t="s">
        <v>4520</v>
      </c>
      <c r="F1350" s="3563" t="s">
        <v>4797</v>
      </c>
      <c r="G1350" s="3564">
        <v>73.42</v>
      </c>
      <c r="H1350" s="3564">
        <v>63.03</v>
      </c>
      <c r="I1350" s="3564">
        <v>10.39</v>
      </c>
      <c r="J1350" s="3565">
        <v>734160</v>
      </c>
      <c r="K1350" s="3565">
        <v>9999.4599999999991</v>
      </c>
      <c r="L1350" s="3565">
        <v>11647.79</v>
      </c>
      <c r="M1350" s="3565">
        <v>0</v>
      </c>
      <c r="N1350" s="3565">
        <v>0</v>
      </c>
      <c r="O1350" s="3563" t="s">
        <v>3453</v>
      </c>
    </row>
    <row r="1351" spans="1:15">
      <c r="A1351" s="3563" t="s">
        <v>5562</v>
      </c>
      <c r="B1351" s="3563" t="s">
        <v>4811</v>
      </c>
      <c r="C1351" s="3563" t="s">
        <v>4197</v>
      </c>
      <c r="D1351" s="3563" t="s">
        <v>4796</v>
      </c>
      <c r="E1351" s="3563" t="s">
        <v>4520</v>
      </c>
      <c r="F1351" s="3563" t="s">
        <v>4797</v>
      </c>
      <c r="G1351" s="3564">
        <v>101.66</v>
      </c>
      <c r="H1351" s="3564">
        <v>81.739999999999995</v>
      </c>
      <c r="I1351" s="3564">
        <v>19.920000000000002</v>
      </c>
      <c r="J1351" s="3565">
        <v>943276</v>
      </c>
      <c r="K1351" s="3565">
        <v>9278.73</v>
      </c>
      <c r="L1351" s="3565">
        <v>11539.96</v>
      </c>
      <c r="M1351" s="3565">
        <v>896113</v>
      </c>
      <c r="N1351" s="3565">
        <v>8814.7999999999993</v>
      </c>
      <c r="O1351" s="3566">
        <v>44185</v>
      </c>
    </row>
    <row r="1352" spans="1:15">
      <c r="A1352" s="3563" t="s">
        <v>5563</v>
      </c>
      <c r="B1352" s="3563" t="s">
        <v>4196</v>
      </c>
      <c r="C1352" s="3563" t="s">
        <v>4197</v>
      </c>
      <c r="D1352" s="3563" t="s">
        <v>4796</v>
      </c>
      <c r="E1352" s="3563" t="s">
        <v>4520</v>
      </c>
      <c r="F1352" s="3563" t="s">
        <v>4797</v>
      </c>
      <c r="G1352" s="3564">
        <v>101.66</v>
      </c>
      <c r="H1352" s="3564">
        <v>81.739999999999995</v>
      </c>
      <c r="I1352" s="3564">
        <v>19.920000000000002</v>
      </c>
      <c r="J1352" s="3565">
        <v>1108349</v>
      </c>
      <c r="K1352" s="3565">
        <v>10902.51</v>
      </c>
      <c r="L1352" s="3565">
        <v>13559.44</v>
      </c>
      <c r="M1352" s="3565">
        <v>0</v>
      </c>
      <c r="N1352" s="3565">
        <v>0</v>
      </c>
      <c r="O1352" s="3563" t="s">
        <v>3453</v>
      </c>
    </row>
    <row r="1353" spans="1:15">
      <c r="A1353" s="3563" t="s">
        <v>5564</v>
      </c>
      <c r="B1353" s="3563" t="s">
        <v>4811</v>
      </c>
      <c r="C1353" s="3563" t="s">
        <v>4197</v>
      </c>
      <c r="D1353" s="3563" t="s">
        <v>4796</v>
      </c>
      <c r="E1353" s="3563" t="s">
        <v>4520</v>
      </c>
      <c r="F1353" s="3563" t="s">
        <v>4797</v>
      </c>
      <c r="G1353" s="3564">
        <v>90.52</v>
      </c>
      <c r="H1353" s="3564">
        <v>72.78</v>
      </c>
      <c r="I1353" s="3564">
        <v>17.739999999999998</v>
      </c>
      <c r="J1353" s="3565">
        <v>770342</v>
      </c>
      <c r="K1353" s="3565">
        <v>8510.19</v>
      </c>
      <c r="L1353" s="3565">
        <v>10584.53</v>
      </c>
      <c r="M1353" s="3565">
        <v>731825</v>
      </c>
      <c r="N1353" s="3565">
        <v>8084.68</v>
      </c>
      <c r="O1353" s="3566">
        <v>44185</v>
      </c>
    </row>
    <row r="1354" spans="1:15">
      <c r="A1354" s="3563" t="s">
        <v>5565</v>
      </c>
      <c r="B1354" s="3563" t="s">
        <v>4811</v>
      </c>
      <c r="C1354" s="3563" t="s">
        <v>4197</v>
      </c>
      <c r="D1354" s="3563" t="s">
        <v>4796</v>
      </c>
      <c r="E1354" s="3563" t="s">
        <v>4520</v>
      </c>
      <c r="F1354" s="3563" t="s">
        <v>4797</v>
      </c>
      <c r="G1354" s="3564">
        <v>78.39</v>
      </c>
      <c r="H1354" s="3564">
        <v>63.03</v>
      </c>
      <c r="I1354" s="3564">
        <v>15.36</v>
      </c>
      <c r="J1354" s="3565">
        <v>673154</v>
      </c>
      <c r="K1354" s="3565">
        <v>8587.24</v>
      </c>
      <c r="L1354" s="3565">
        <v>10679.9</v>
      </c>
      <c r="M1354" s="3565">
        <v>639497</v>
      </c>
      <c r="N1354" s="3565">
        <v>8157.89</v>
      </c>
      <c r="O1354" s="3566">
        <v>44186</v>
      </c>
    </row>
    <row r="1355" spans="1:15">
      <c r="A1355" s="3563" t="s">
        <v>5566</v>
      </c>
      <c r="B1355" s="3563" t="s">
        <v>3453</v>
      </c>
      <c r="C1355" s="3563" t="s">
        <v>4197</v>
      </c>
      <c r="D1355" s="3563" t="s">
        <v>4796</v>
      </c>
      <c r="E1355" s="3563" t="s">
        <v>4520</v>
      </c>
      <c r="F1355" s="3563" t="s">
        <v>4797</v>
      </c>
      <c r="G1355" s="3564">
        <v>78.39</v>
      </c>
      <c r="H1355" s="3564">
        <v>63.03</v>
      </c>
      <c r="I1355" s="3564">
        <v>15.36</v>
      </c>
      <c r="J1355" s="3565">
        <v>790955</v>
      </c>
      <c r="K1355" s="3565">
        <v>10090</v>
      </c>
      <c r="L1355" s="3565">
        <v>12548.87</v>
      </c>
      <c r="M1355" s="3565">
        <v>0</v>
      </c>
      <c r="N1355" s="3565">
        <v>0</v>
      </c>
      <c r="O1355" s="3563" t="s">
        <v>3453</v>
      </c>
    </row>
    <row r="1356" spans="1:15">
      <c r="A1356" s="3563" t="s">
        <v>5567</v>
      </c>
      <c r="B1356" s="3563" t="s">
        <v>4811</v>
      </c>
      <c r="C1356" s="3563" t="s">
        <v>4197</v>
      </c>
      <c r="D1356" s="3563" t="s">
        <v>4796</v>
      </c>
      <c r="E1356" s="3563" t="s">
        <v>4520</v>
      </c>
      <c r="F1356" s="3563" t="s">
        <v>4797</v>
      </c>
      <c r="G1356" s="3564">
        <v>109.99</v>
      </c>
      <c r="H1356" s="3564">
        <v>88.44</v>
      </c>
      <c r="I1356" s="3564">
        <v>21.55</v>
      </c>
      <c r="J1356" s="3565">
        <v>997165</v>
      </c>
      <c r="K1356" s="3565">
        <v>9065.9599999999991</v>
      </c>
      <c r="L1356" s="3565">
        <v>11275.05</v>
      </c>
      <c r="M1356" s="3565">
        <v>947307</v>
      </c>
      <c r="N1356" s="3565">
        <v>8612.66</v>
      </c>
      <c r="O1356" s="3566">
        <v>44186</v>
      </c>
    </row>
    <row r="1357" spans="1:15">
      <c r="A1357" s="3563" t="s">
        <v>5568</v>
      </c>
      <c r="B1357" s="3563" t="s">
        <v>4811</v>
      </c>
      <c r="C1357" s="3563" t="s">
        <v>4197</v>
      </c>
      <c r="D1357" s="3563" t="s">
        <v>4796</v>
      </c>
      <c r="E1357" s="3563" t="s">
        <v>4520</v>
      </c>
      <c r="F1357" s="3563" t="s">
        <v>4797</v>
      </c>
      <c r="G1357" s="3564">
        <v>101.66</v>
      </c>
      <c r="H1357" s="3564">
        <v>81.739999999999995</v>
      </c>
      <c r="I1357" s="3564">
        <v>19.920000000000002</v>
      </c>
      <c r="J1357" s="3565">
        <v>944357</v>
      </c>
      <c r="K1357" s="3565">
        <v>9289.3700000000008</v>
      </c>
      <c r="L1357" s="3565">
        <v>11553.18</v>
      </c>
      <c r="M1357" s="3565">
        <v>887696</v>
      </c>
      <c r="N1357" s="3565">
        <v>8732.01</v>
      </c>
      <c r="O1357" s="3566">
        <v>44185</v>
      </c>
    </row>
    <row r="1358" spans="1:15">
      <c r="A1358" s="3563" t="s">
        <v>5569</v>
      </c>
      <c r="B1358" s="3563" t="s">
        <v>4196</v>
      </c>
      <c r="C1358" s="3563" t="s">
        <v>4197</v>
      </c>
      <c r="D1358" s="3563" t="s">
        <v>4796</v>
      </c>
      <c r="E1358" s="3563" t="s">
        <v>4520</v>
      </c>
      <c r="F1358" s="3563" t="s">
        <v>4797</v>
      </c>
      <c r="G1358" s="3564">
        <v>101.66</v>
      </c>
      <c r="H1358" s="3564">
        <v>81.739999999999995</v>
      </c>
      <c r="I1358" s="3564">
        <v>19.920000000000002</v>
      </c>
      <c r="J1358" s="3565">
        <v>1109619</v>
      </c>
      <c r="K1358" s="3565">
        <v>10915</v>
      </c>
      <c r="L1358" s="3565">
        <v>13574.98</v>
      </c>
      <c r="M1358" s="3565">
        <v>0</v>
      </c>
      <c r="N1358" s="3565">
        <v>0</v>
      </c>
      <c r="O1358" s="3563" t="s">
        <v>3453</v>
      </c>
    </row>
    <row r="1359" spans="1:15">
      <c r="A1359" s="3563" t="s">
        <v>5570</v>
      </c>
      <c r="B1359" s="3563" t="s">
        <v>4811</v>
      </c>
      <c r="C1359" s="3563" t="s">
        <v>4197</v>
      </c>
      <c r="D1359" s="3563" t="s">
        <v>4796</v>
      </c>
      <c r="E1359" s="3563" t="s">
        <v>4520</v>
      </c>
      <c r="F1359" s="3563" t="s">
        <v>4797</v>
      </c>
      <c r="G1359" s="3564">
        <v>90.52</v>
      </c>
      <c r="H1359" s="3564">
        <v>72.78</v>
      </c>
      <c r="I1359" s="3564">
        <v>17.739999999999998</v>
      </c>
      <c r="J1359" s="3565">
        <v>771015</v>
      </c>
      <c r="K1359" s="3565">
        <v>8517.6200000000008</v>
      </c>
      <c r="L1359" s="3565">
        <v>10593.78</v>
      </c>
      <c r="M1359" s="3565">
        <v>732464</v>
      </c>
      <c r="N1359" s="3565">
        <v>8091.74</v>
      </c>
      <c r="O1359" s="3566">
        <v>44187</v>
      </c>
    </row>
    <row r="1360" spans="1:15">
      <c r="A1360" s="3563" t="s">
        <v>5571</v>
      </c>
      <c r="B1360" s="3563" t="s">
        <v>4811</v>
      </c>
      <c r="C1360" s="3563" t="s">
        <v>4197</v>
      </c>
      <c r="D1360" s="3563" t="s">
        <v>4796</v>
      </c>
      <c r="E1360" s="3563" t="s">
        <v>4520</v>
      </c>
      <c r="F1360" s="3563" t="s">
        <v>4797</v>
      </c>
      <c r="G1360" s="3564">
        <v>78.39</v>
      </c>
      <c r="H1360" s="3564">
        <v>63.03</v>
      </c>
      <c r="I1360" s="3564">
        <v>15.36</v>
      </c>
      <c r="J1360" s="3565">
        <v>673988</v>
      </c>
      <c r="K1360" s="3565">
        <v>8597.8799999999992</v>
      </c>
      <c r="L1360" s="3565">
        <v>10693.13</v>
      </c>
      <c r="M1360" s="3565">
        <v>640289</v>
      </c>
      <c r="N1360" s="3565">
        <v>8167.99</v>
      </c>
      <c r="O1360" s="3566">
        <v>44186</v>
      </c>
    </row>
    <row r="1361" spans="1:15">
      <c r="A1361" s="3563" t="s">
        <v>5572</v>
      </c>
      <c r="B1361" s="3563" t="s">
        <v>4196</v>
      </c>
      <c r="C1361" s="3563" t="s">
        <v>4197</v>
      </c>
      <c r="D1361" s="3563" t="s">
        <v>4796</v>
      </c>
      <c r="E1361" s="3563" t="s">
        <v>4520</v>
      </c>
      <c r="F1361" s="3563" t="s">
        <v>4797</v>
      </c>
      <c r="G1361" s="3564">
        <v>78.39</v>
      </c>
      <c r="H1361" s="3564">
        <v>63.03</v>
      </c>
      <c r="I1361" s="3564">
        <v>15.36</v>
      </c>
      <c r="J1361" s="3565">
        <v>791935</v>
      </c>
      <c r="K1361" s="3565">
        <v>10102.5</v>
      </c>
      <c r="L1361" s="3565">
        <v>12564.41</v>
      </c>
      <c r="M1361" s="3565">
        <v>0</v>
      </c>
      <c r="N1361" s="3565">
        <v>0</v>
      </c>
      <c r="O1361" s="3563" t="s">
        <v>3453</v>
      </c>
    </row>
    <row r="1362" spans="1:15">
      <c r="A1362" s="3563" t="s">
        <v>5573</v>
      </c>
      <c r="B1362" s="3563" t="s">
        <v>5277</v>
      </c>
      <c r="C1362" s="3563" t="s">
        <v>4197</v>
      </c>
      <c r="D1362" s="3563" t="s">
        <v>4796</v>
      </c>
      <c r="E1362" s="3563" t="s">
        <v>4520</v>
      </c>
      <c r="F1362" s="3563" t="s">
        <v>4797</v>
      </c>
      <c r="G1362" s="3564">
        <v>109.99</v>
      </c>
      <c r="H1362" s="3564">
        <v>88.44</v>
      </c>
      <c r="I1362" s="3564">
        <v>21.55</v>
      </c>
      <c r="J1362" s="3565">
        <v>998336</v>
      </c>
      <c r="K1362" s="3565">
        <v>9076.61</v>
      </c>
      <c r="L1362" s="3565">
        <v>11288.29</v>
      </c>
      <c r="M1362" s="3565">
        <v>948420</v>
      </c>
      <c r="N1362" s="3565">
        <v>8622.7800000000007</v>
      </c>
      <c r="O1362" s="3566">
        <v>44188</v>
      </c>
    </row>
    <row r="1363" spans="1:15">
      <c r="A1363" s="3563" t="s">
        <v>5574</v>
      </c>
      <c r="B1363" s="3563" t="s">
        <v>4811</v>
      </c>
      <c r="C1363" s="3563" t="s">
        <v>4197</v>
      </c>
      <c r="D1363" s="3563" t="s">
        <v>4796</v>
      </c>
      <c r="E1363" s="3563" t="s">
        <v>4520</v>
      </c>
      <c r="F1363" s="3563" t="s">
        <v>4797</v>
      </c>
      <c r="G1363" s="3564">
        <v>101.66</v>
      </c>
      <c r="H1363" s="3564">
        <v>81.739999999999995</v>
      </c>
      <c r="I1363" s="3564">
        <v>19.920000000000002</v>
      </c>
      <c r="J1363" s="3565">
        <v>945439</v>
      </c>
      <c r="K1363" s="3565">
        <v>9300.01</v>
      </c>
      <c r="L1363" s="3565">
        <v>11566.42</v>
      </c>
      <c r="M1363" s="3565">
        <v>898168</v>
      </c>
      <c r="N1363" s="3565">
        <v>8835.02</v>
      </c>
      <c r="O1363" s="3566">
        <v>44186</v>
      </c>
    </row>
    <row r="1364" spans="1:15">
      <c r="A1364" s="3563" t="s">
        <v>5575</v>
      </c>
      <c r="B1364" s="3563" t="s">
        <v>4196</v>
      </c>
      <c r="C1364" s="3563" t="s">
        <v>4197</v>
      </c>
      <c r="D1364" s="3563" t="s">
        <v>4796</v>
      </c>
      <c r="E1364" s="3563" t="s">
        <v>4520</v>
      </c>
      <c r="F1364" s="3563" t="s">
        <v>4797</v>
      </c>
      <c r="G1364" s="3564">
        <v>101.66</v>
      </c>
      <c r="H1364" s="3564">
        <v>81.739999999999995</v>
      </c>
      <c r="I1364" s="3564">
        <v>19.920000000000002</v>
      </c>
      <c r="J1364" s="3565">
        <v>1110890</v>
      </c>
      <c r="K1364" s="3565">
        <v>10927.5</v>
      </c>
      <c r="L1364" s="3565">
        <v>13590.53</v>
      </c>
      <c r="M1364" s="3565">
        <v>0</v>
      </c>
      <c r="N1364" s="3565">
        <v>0</v>
      </c>
      <c r="O1364" s="3563" t="s">
        <v>3453</v>
      </c>
    </row>
    <row r="1365" spans="1:15">
      <c r="A1365" s="3563" t="s">
        <v>5576</v>
      </c>
      <c r="B1365" s="3563" t="s">
        <v>4196</v>
      </c>
      <c r="C1365" s="3563" t="s">
        <v>4197</v>
      </c>
      <c r="D1365" s="3563" t="s">
        <v>4796</v>
      </c>
      <c r="E1365" s="3563" t="s">
        <v>4520</v>
      </c>
      <c r="F1365" s="3563" t="s">
        <v>4797</v>
      </c>
      <c r="G1365" s="3564">
        <v>90.52</v>
      </c>
      <c r="H1365" s="3564">
        <v>72.78</v>
      </c>
      <c r="I1365" s="3564">
        <v>17.739999999999998</v>
      </c>
      <c r="J1365" s="3565">
        <v>907075</v>
      </c>
      <c r="K1365" s="3565">
        <v>10020.709999999999</v>
      </c>
      <c r="L1365" s="3565">
        <v>12463.25</v>
      </c>
      <c r="M1365" s="3565">
        <v>0</v>
      </c>
      <c r="N1365" s="3565">
        <v>0</v>
      </c>
      <c r="O1365" s="3563" t="s">
        <v>3453</v>
      </c>
    </row>
    <row r="1366" spans="1:15">
      <c r="A1366" s="3563" t="s">
        <v>5577</v>
      </c>
      <c r="B1366" s="3563" t="s">
        <v>5277</v>
      </c>
      <c r="C1366" s="3563" t="s">
        <v>4197</v>
      </c>
      <c r="D1366" s="3563" t="s">
        <v>4796</v>
      </c>
      <c r="E1366" s="3563" t="s">
        <v>4520</v>
      </c>
      <c r="F1366" s="3563" t="s">
        <v>4797</v>
      </c>
      <c r="G1366" s="3564">
        <v>78.39</v>
      </c>
      <c r="H1366" s="3564">
        <v>63.03</v>
      </c>
      <c r="I1366" s="3564">
        <v>15.36</v>
      </c>
      <c r="J1366" s="3565">
        <v>674822</v>
      </c>
      <c r="K1366" s="3565">
        <v>8608.52</v>
      </c>
      <c r="L1366" s="3565">
        <v>10706.36</v>
      </c>
      <c r="M1366" s="3565">
        <v>641081</v>
      </c>
      <c r="N1366" s="3565">
        <v>8178.1</v>
      </c>
      <c r="O1366" s="3566">
        <v>44186</v>
      </c>
    </row>
    <row r="1367" spans="1:15">
      <c r="A1367" s="3563" t="s">
        <v>5578</v>
      </c>
      <c r="B1367" s="3563" t="s">
        <v>5277</v>
      </c>
      <c r="C1367" s="3563" t="s">
        <v>4197</v>
      </c>
      <c r="D1367" s="3563" t="s">
        <v>4796</v>
      </c>
      <c r="E1367" s="3563" t="s">
        <v>4520</v>
      </c>
      <c r="F1367" s="3563" t="s">
        <v>4797</v>
      </c>
      <c r="G1367" s="3564">
        <v>78.39</v>
      </c>
      <c r="H1367" s="3564">
        <v>63.03</v>
      </c>
      <c r="I1367" s="3564">
        <v>15.36</v>
      </c>
      <c r="J1367" s="3565">
        <v>674822</v>
      </c>
      <c r="K1367" s="3565">
        <v>8608.52</v>
      </c>
      <c r="L1367" s="3565">
        <v>10706.36</v>
      </c>
      <c r="M1367" s="3565">
        <v>634333</v>
      </c>
      <c r="N1367" s="3565">
        <v>8092.01</v>
      </c>
      <c r="O1367" s="3566">
        <v>44187</v>
      </c>
    </row>
    <row r="1368" spans="1:15">
      <c r="A1368" s="3563" t="s">
        <v>5579</v>
      </c>
      <c r="B1368" s="3563" t="s">
        <v>5277</v>
      </c>
      <c r="C1368" s="3563" t="s">
        <v>4197</v>
      </c>
      <c r="D1368" s="3563" t="s">
        <v>4796</v>
      </c>
      <c r="E1368" s="3563" t="s">
        <v>4520</v>
      </c>
      <c r="F1368" s="3563" t="s">
        <v>4797</v>
      </c>
      <c r="G1368" s="3564">
        <v>109.99</v>
      </c>
      <c r="H1368" s="3564">
        <v>88.44</v>
      </c>
      <c r="I1368" s="3564">
        <v>21.55</v>
      </c>
      <c r="J1368" s="3565">
        <v>999506</v>
      </c>
      <c r="K1368" s="3565">
        <v>9087.24</v>
      </c>
      <c r="L1368" s="3565">
        <v>11301.52</v>
      </c>
      <c r="M1368" s="3565">
        <v>949531</v>
      </c>
      <c r="N1368" s="3565">
        <v>8632.8799999999992</v>
      </c>
      <c r="O1368" s="3566">
        <v>44188</v>
      </c>
    </row>
    <row r="1369" spans="1:15">
      <c r="A1369" s="3563" t="s">
        <v>5580</v>
      </c>
      <c r="B1369" s="3563" t="s">
        <v>4196</v>
      </c>
      <c r="C1369" s="3563" t="s">
        <v>4197</v>
      </c>
      <c r="D1369" s="3563" t="s">
        <v>4796</v>
      </c>
      <c r="E1369" s="3563" t="s">
        <v>4520</v>
      </c>
      <c r="F1369" s="3563" t="s">
        <v>4797</v>
      </c>
      <c r="G1369" s="3564">
        <v>101.66</v>
      </c>
      <c r="H1369" s="3564">
        <v>81.739999999999995</v>
      </c>
      <c r="I1369" s="3564">
        <v>19.920000000000002</v>
      </c>
      <c r="J1369" s="3565">
        <v>1112160</v>
      </c>
      <c r="K1369" s="3565">
        <v>10940</v>
      </c>
      <c r="L1369" s="3565">
        <v>13606.07</v>
      </c>
      <c r="M1369" s="3565">
        <v>0</v>
      </c>
      <c r="N1369" s="3565">
        <v>0</v>
      </c>
      <c r="O1369" s="3563" t="s">
        <v>3453</v>
      </c>
    </row>
    <row r="1370" spans="1:15">
      <c r="A1370" s="3563" t="s">
        <v>5581</v>
      </c>
      <c r="B1370" s="3563" t="s">
        <v>4196</v>
      </c>
      <c r="C1370" s="3563" t="s">
        <v>4197</v>
      </c>
      <c r="D1370" s="3563" t="s">
        <v>4796</v>
      </c>
      <c r="E1370" s="3563" t="s">
        <v>4520</v>
      </c>
      <c r="F1370" s="3563" t="s">
        <v>4797</v>
      </c>
      <c r="G1370" s="3564">
        <v>101.66</v>
      </c>
      <c r="H1370" s="3564">
        <v>81.739999999999995</v>
      </c>
      <c r="I1370" s="3564">
        <v>19.920000000000002</v>
      </c>
      <c r="J1370" s="3565">
        <v>1112160</v>
      </c>
      <c r="K1370" s="3565">
        <v>10940</v>
      </c>
      <c r="L1370" s="3565">
        <v>13606.07</v>
      </c>
      <c r="M1370" s="3565">
        <v>0</v>
      </c>
      <c r="N1370" s="3565">
        <v>0</v>
      </c>
      <c r="O1370" s="3563" t="s">
        <v>3453</v>
      </c>
    </row>
    <row r="1371" spans="1:15">
      <c r="A1371" s="3563" t="s">
        <v>5582</v>
      </c>
      <c r="B1371" s="3563" t="s">
        <v>4811</v>
      </c>
      <c r="C1371" s="3563" t="s">
        <v>4197</v>
      </c>
      <c r="D1371" s="3563" t="s">
        <v>4796</v>
      </c>
      <c r="E1371" s="3563" t="s">
        <v>4520</v>
      </c>
      <c r="F1371" s="3563" t="s">
        <v>4797</v>
      </c>
      <c r="G1371" s="3564">
        <v>90.52</v>
      </c>
      <c r="H1371" s="3564">
        <v>72.78</v>
      </c>
      <c r="I1371" s="3564">
        <v>17.739999999999998</v>
      </c>
      <c r="J1371" s="3565">
        <v>908207</v>
      </c>
      <c r="K1371" s="3565">
        <v>10033.219999999999</v>
      </c>
      <c r="L1371" s="3565">
        <v>12478.8</v>
      </c>
      <c r="M1371" s="3565">
        <v>734296</v>
      </c>
      <c r="N1371" s="3565">
        <v>8111.98</v>
      </c>
      <c r="O1371" s="3566">
        <v>44191</v>
      </c>
    </row>
    <row r="1372" spans="1:15">
      <c r="A1372" s="3563" t="s">
        <v>5583</v>
      </c>
      <c r="B1372" s="3563" t="s">
        <v>4196</v>
      </c>
      <c r="C1372" s="3563" t="s">
        <v>4197</v>
      </c>
      <c r="D1372" s="3563" t="s">
        <v>4796</v>
      </c>
      <c r="E1372" s="3563" t="s">
        <v>4520</v>
      </c>
      <c r="F1372" s="3563" t="s">
        <v>4797</v>
      </c>
      <c r="G1372" s="3564">
        <v>78.39</v>
      </c>
      <c r="H1372" s="3564">
        <v>63.03</v>
      </c>
      <c r="I1372" s="3564">
        <v>15.36</v>
      </c>
      <c r="J1372" s="3565">
        <v>793895</v>
      </c>
      <c r="K1372" s="3565">
        <v>10127.5</v>
      </c>
      <c r="L1372" s="3565">
        <v>12595.51</v>
      </c>
      <c r="M1372" s="3565">
        <v>0</v>
      </c>
      <c r="N1372" s="3565">
        <v>0</v>
      </c>
      <c r="O1372" s="3563" t="s">
        <v>3453</v>
      </c>
    </row>
    <row r="1373" spans="1:15">
      <c r="A1373" s="3563" t="s">
        <v>5584</v>
      </c>
      <c r="B1373" s="3563" t="s">
        <v>4196</v>
      </c>
      <c r="C1373" s="3563" t="s">
        <v>4197</v>
      </c>
      <c r="D1373" s="3563" t="s">
        <v>4796</v>
      </c>
      <c r="E1373" s="3563" t="s">
        <v>4520</v>
      </c>
      <c r="F1373" s="3563" t="s">
        <v>4797</v>
      </c>
      <c r="G1373" s="3564">
        <v>78.39</v>
      </c>
      <c r="H1373" s="3564">
        <v>63.03</v>
      </c>
      <c r="I1373" s="3564">
        <v>15.36</v>
      </c>
      <c r="J1373" s="3565">
        <v>793895</v>
      </c>
      <c r="K1373" s="3565">
        <v>10127.5</v>
      </c>
      <c r="L1373" s="3565">
        <v>12595.51</v>
      </c>
      <c r="M1373" s="3565">
        <v>0</v>
      </c>
      <c r="N1373" s="3565">
        <v>0</v>
      </c>
      <c r="O1373" s="3563" t="s">
        <v>3453</v>
      </c>
    </row>
    <row r="1374" spans="1:15">
      <c r="A1374" s="3563" t="s">
        <v>5585</v>
      </c>
      <c r="B1374" s="3563" t="s">
        <v>4196</v>
      </c>
      <c r="C1374" s="3563" t="s">
        <v>4197</v>
      </c>
      <c r="D1374" s="3563" t="s">
        <v>4796</v>
      </c>
      <c r="E1374" s="3563" t="s">
        <v>4520</v>
      </c>
      <c r="F1374" s="3563" t="s">
        <v>4797</v>
      </c>
      <c r="G1374" s="3564">
        <v>109.99</v>
      </c>
      <c r="H1374" s="3564">
        <v>88.44</v>
      </c>
      <c r="I1374" s="3564">
        <v>21.55</v>
      </c>
      <c r="J1374" s="3565">
        <v>1175793</v>
      </c>
      <c r="K1374" s="3565">
        <v>10690</v>
      </c>
      <c r="L1374" s="3565">
        <v>13294.81</v>
      </c>
      <c r="M1374" s="3565">
        <v>0</v>
      </c>
      <c r="N1374" s="3565">
        <v>0</v>
      </c>
      <c r="O1374" s="3563" t="s">
        <v>3453</v>
      </c>
    </row>
    <row r="1375" spans="1:15">
      <c r="A1375" s="3563" t="s">
        <v>5586</v>
      </c>
      <c r="B1375" s="3563" t="s">
        <v>4811</v>
      </c>
      <c r="C1375" s="3563" t="s">
        <v>4197</v>
      </c>
      <c r="D1375" s="3563" t="s">
        <v>4796</v>
      </c>
      <c r="E1375" s="3563" t="s">
        <v>4520</v>
      </c>
      <c r="F1375" s="3563" t="s">
        <v>4797</v>
      </c>
      <c r="G1375" s="3564">
        <v>101.66</v>
      </c>
      <c r="H1375" s="3564">
        <v>81.739999999999995</v>
      </c>
      <c r="I1375" s="3564">
        <v>19.920000000000002</v>
      </c>
      <c r="J1375" s="3565">
        <v>936787</v>
      </c>
      <c r="K1375" s="3565">
        <v>9214.9</v>
      </c>
      <c r="L1375" s="3565">
        <v>11460.57</v>
      </c>
      <c r="M1375" s="3565">
        <v>889948</v>
      </c>
      <c r="N1375" s="3565">
        <v>8754.16</v>
      </c>
      <c r="O1375" s="3566">
        <v>44187</v>
      </c>
    </row>
    <row r="1376" spans="1:15">
      <c r="A1376" s="3563" t="s">
        <v>5587</v>
      </c>
      <c r="B1376" s="3563" t="s">
        <v>4196</v>
      </c>
      <c r="C1376" s="3563" t="s">
        <v>4197</v>
      </c>
      <c r="D1376" s="3563" t="s">
        <v>4796</v>
      </c>
      <c r="E1376" s="3563" t="s">
        <v>4520</v>
      </c>
      <c r="F1376" s="3563" t="s">
        <v>4797</v>
      </c>
      <c r="G1376" s="3564">
        <v>101.66</v>
      </c>
      <c r="H1376" s="3564">
        <v>81.739999999999995</v>
      </c>
      <c r="I1376" s="3564">
        <v>19.920000000000002</v>
      </c>
      <c r="J1376" s="3565">
        <v>1100724</v>
      </c>
      <c r="K1376" s="3565">
        <v>10827.5</v>
      </c>
      <c r="L1376" s="3565">
        <v>13466.16</v>
      </c>
      <c r="M1376" s="3565">
        <v>0</v>
      </c>
      <c r="N1376" s="3565">
        <v>0</v>
      </c>
      <c r="O1376" s="3563" t="s">
        <v>3453</v>
      </c>
    </row>
    <row r="1377" spans="1:15">
      <c r="A1377" s="3563" t="s">
        <v>5588</v>
      </c>
      <c r="B1377" s="3563" t="s">
        <v>5277</v>
      </c>
      <c r="C1377" s="3563" t="s">
        <v>4197</v>
      </c>
      <c r="D1377" s="3563" t="s">
        <v>4796</v>
      </c>
      <c r="E1377" s="3563" t="s">
        <v>4520</v>
      </c>
      <c r="F1377" s="3563" t="s">
        <v>4797</v>
      </c>
      <c r="G1377" s="3564">
        <v>90.52</v>
      </c>
      <c r="H1377" s="3564">
        <v>72.78</v>
      </c>
      <c r="I1377" s="3564">
        <v>17.739999999999998</v>
      </c>
      <c r="J1377" s="3565">
        <v>770342</v>
      </c>
      <c r="K1377" s="3565">
        <v>8510.19</v>
      </c>
      <c r="L1377" s="3565">
        <v>10584.53</v>
      </c>
      <c r="M1377" s="3565">
        <v>724122</v>
      </c>
      <c r="N1377" s="3565">
        <v>7999.58</v>
      </c>
      <c r="O1377" s="3566">
        <v>44187</v>
      </c>
    </row>
    <row r="1378" spans="1:15">
      <c r="A1378" s="3563" t="s">
        <v>5589</v>
      </c>
      <c r="B1378" s="3563" t="s">
        <v>4196</v>
      </c>
      <c r="C1378" s="3563" t="s">
        <v>4197</v>
      </c>
      <c r="D1378" s="3563" t="s">
        <v>4796</v>
      </c>
      <c r="E1378" s="3563" t="s">
        <v>4520</v>
      </c>
      <c r="F1378" s="3563" t="s">
        <v>4797</v>
      </c>
      <c r="G1378" s="3564">
        <v>78.39</v>
      </c>
      <c r="H1378" s="3564">
        <v>63.03</v>
      </c>
      <c r="I1378" s="3564">
        <v>15.36</v>
      </c>
      <c r="J1378" s="3565">
        <v>785077</v>
      </c>
      <c r="K1378" s="3565">
        <v>10015.01</v>
      </c>
      <c r="L1378" s="3565">
        <v>12455.61</v>
      </c>
      <c r="M1378" s="3565">
        <v>0</v>
      </c>
      <c r="N1378" s="3565">
        <v>0</v>
      </c>
      <c r="O1378" s="3563" t="s">
        <v>3453</v>
      </c>
    </row>
    <row r="1379" spans="1:15">
      <c r="A1379" s="3563" t="s">
        <v>5590</v>
      </c>
      <c r="B1379" s="3563" t="s">
        <v>4811</v>
      </c>
      <c r="C1379" s="3563" t="s">
        <v>4197</v>
      </c>
      <c r="D1379" s="3563" t="s">
        <v>4796</v>
      </c>
      <c r="E1379" s="3563" t="s">
        <v>4520</v>
      </c>
      <c r="F1379" s="3563" t="s">
        <v>4797</v>
      </c>
      <c r="G1379" s="3564">
        <v>78.39</v>
      </c>
      <c r="H1379" s="3564">
        <v>63.03</v>
      </c>
      <c r="I1379" s="3564">
        <v>15.36</v>
      </c>
      <c r="J1379" s="3565">
        <v>668150</v>
      </c>
      <c r="K1379" s="3565">
        <v>8523.41</v>
      </c>
      <c r="L1379" s="3565">
        <v>10600.51</v>
      </c>
      <c r="M1379" s="3565">
        <v>634743</v>
      </c>
      <c r="N1379" s="3565">
        <v>8097.24</v>
      </c>
      <c r="O1379" s="3566">
        <v>44189</v>
      </c>
    </row>
    <row r="1380" spans="1:15">
      <c r="A1380" s="3563" t="s">
        <v>5591</v>
      </c>
      <c r="B1380" s="3563" t="s">
        <v>5277</v>
      </c>
      <c r="C1380" s="3563" t="s">
        <v>4197</v>
      </c>
      <c r="D1380" s="3563" t="s">
        <v>4796</v>
      </c>
      <c r="E1380" s="3563" t="s">
        <v>4520</v>
      </c>
      <c r="F1380" s="3563" t="s">
        <v>4797</v>
      </c>
      <c r="G1380" s="3564">
        <v>109.99</v>
      </c>
      <c r="H1380" s="3564">
        <v>88.44</v>
      </c>
      <c r="I1380" s="3564">
        <v>21.55</v>
      </c>
      <c r="J1380" s="3565">
        <v>990144</v>
      </c>
      <c r="K1380" s="3565">
        <v>9002.1299999999992</v>
      </c>
      <c r="L1380" s="3565">
        <v>11195.66</v>
      </c>
      <c r="M1380" s="3565">
        <v>940637</v>
      </c>
      <c r="N1380" s="3565">
        <v>8552.02</v>
      </c>
      <c r="O1380" s="3566">
        <v>44185</v>
      </c>
    </row>
    <row r="1381" spans="1:15">
      <c r="A1381" s="3563" t="s">
        <v>5592</v>
      </c>
      <c r="B1381" s="3563" t="s">
        <v>3453</v>
      </c>
      <c r="C1381" s="3563" t="s">
        <v>4197</v>
      </c>
      <c r="D1381" s="3563" t="s">
        <v>4796</v>
      </c>
      <c r="E1381" s="3563" t="s">
        <v>4520</v>
      </c>
      <c r="F1381" s="3563" t="s">
        <v>4797</v>
      </c>
      <c r="G1381" s="3564">
        <v>101.66</v>
      </c>
      <c r="H1381" s="3564">
        <v>81.739999999999995</v>
      </c>
      <c r="I1381" s="3564">
        <v>19.920000000000002</v>
      </c>
      <c r="J1381" s="3565">
        <v>1114703</v>
      </c>
      <c r="K1381" s="3565">
        <v>10965.01</v>
      </c>
      <c r="L1381" s="3565">
        <v>13637.18</v>
      </c>
      <c r="M1381" s="3565">
        <v>0</v>
      </c>
      <c r="N1381" s="3565">
        <v>0</v>
      </c>
      <c r="O1381" s="3563" t="s">
        <v>3453</v>
      </c>
    </row>
    <row r="1382" spans="1:15">
      <c r="A1382" s="3563" t="s">
        <v>5593</v>
      </c>
      <c r="B1382" s="3563" t="s">
        <v>5277</v>
      </c>
      <c r="C1382" s="3563" t="s">
        <v>4197</v>
      </c>
      <c r="D1382" s="3563" t="s">
        <v>4796</v>
      </c>
      <c r="E1382" s="3563" t="s">
        <v>4520</v>
      </c>
      <c r="F1382" s="3563" t="s">
        <v>4797</v>
      </c>
      <c r="G1382" s="3564">
        <v>101.66</v>
      </c>
      <c r="H1382" s="3564">
        <v>81.739999999999995</v>
      </c>
      <c r="I1382" s="3564">
        <v>19.920000000000002</v>
      </c>
      <c r="J1382" s="3565">
        <v>948683</v>
      </c>
      <c r="K1382" s="3565">
        <v>9331.92</v>
      </c>
      <c r="L1382" s="3565">
        <v>11606.1</v>
      </c>
      <c r="M1382" s="3565">
        <v>901249</v>
      </c>
      <c r="N1382" s="3565">
        <v>8865.33</v>
      </c>
      <c r="O1382" s="3566">
        <v>44185</v>
      </c>
    </row>
    <row r="1383" spans="1:15">
      <c r="A1383" s="3563" t="s">
        <v>5594</v>
      </c>
      <c r="B1383" s="3563" t="s">
        <v>5277</v>
      </c>
      <c r="C1383" s="3563" t="s">
        <v>4197</v>
      </c>
      <c r="D1383" s="3563" t="s">
        <v>4796</v>
      </c>
      <c r="E1383" s="3563" t="s">
        <v>4520</v>
      </c>
      <c r="F1383" s="3563" t="s">
        <v>4797</v>
      </c>
      <c r="G1383" s="3564">
        <v>90.52</v>
      </c>
      <c r="H1383" s="3564">
        <v>72.78</v>
      </c>
      <c r="I1383" s="3564">
        <v>17.739999999999998</v>
      </c>
      <c r="J1383" s="3565">
        <v>772502</v>
      </c>
      <c r="K1383" s="3565">
        <v>8534.0499999999993</v>
      </c>
      <c r="L1383" s="3565">
        <v>10614.21</v>
      </c>
      <c r="M1383" s="3565">
        <v>726152</v>
      </c>
      <c r="N1383" s="3565">
        <v>8022.01</v>
      </c>
      <c r="O1383" s="3566">
        <v>44186</v>
      </c>
    </row>
    <row r="1384" spans="1:15">
      <c r="A1384" s="3563" t="s">
        <v>5595</v>
      </c>
      <c r="B1384" s="3563" t="s">
        <v>5277</v>
      </c>
      <c r="C1384" s="3563" t="s">
        <v>4197</v>
      </c>
      <c r="D1384" s="3563" t="s">
        <v>4796</v>
      </c>
      <c r="E1384" s="3563" t="s">
        <v>4520</v>
      </c>
      <c r="F1384" s="3563" t="s">
        <v>4797</v>
      </c>
      <c r="G1384" s="3564">
        <v>78.39</v>
      </c>
      <c r="H1384" s="3564">
        <v>63.03</v>
      </c>
      <c r="I1384" s="3564">
        <v>15.36</v>
      </c>
      <c r="J1384" s="3565">
        <v>677324</v>
      </c>
      <c r="K1384" s="3565">
        <v>8640.44</v>
      </c>
      <c r="L1384" s="3565">
        <v>10746.06</v>
      </c>
      <c r="M1384" s="3565">
        <v>643458</v>
      </c>
      <c r="N1384" s="3565">
        <v>8208.42</v>
      </c>
      <c r="O1384" s="3566">
        <v>44186</v>
      </c>
    </row>
    <row r="1385" spans="1:15">
      <c r="A1385" s="3563" t="s">
        <v>5596</v>
      </c>
      <c r="B1385" s="3563" t="s">
        <v>3453</v>
      </c>
      <c r="C1385" s="3563" t="s">
        <v>4197</v>
      </c>
      <c r="D1385" s="3563" t="s">
        <v>4796</v>
      </c>
      <c r="E1385" s="3563" t="s">
        <v>4520</v>
      </c>
      <c r="F1385" s="3563" t="s">
        <v>4797</v>
      </c>
      <c r="G1385" s="3564">
        <v>78.39</v>
      </c>
      <c r="H1385" s="3564">
        <v>63.03</v>
      </c>
      <c r="I1385" s="3564">
        <v>15.36</v>
      </c>
      <c r="J1385" s="3565">
        <v>795855</v>
      </c>
      <c r="K1385" s="3565">
        <v>10152.51</v>
      </c>
      <c r="L1385" s="3565">
        <v>12626.61</v>
      </c>
      <c r="M1385" s="3565">
        <v>0</v>
      </c>
      <c r="N1385" s="3565">
        <v>0</v>
      </c>
      <c r="O1385" s="3563" t="s">
        <v>3453</v>
      </c>
    </row>
    <row r="1386" spans="1:15">
      <c r="A1386" s="3563" t="s">
        <v>5597</v>
      </c>
      <c r="B1386" s="3563" t="s">
        <v>4811</v>
      </c>
      <c r="C1386" s="3563" t="s">
        <v>4197</v>
      </c>
      <c r="D1386" s="3563" t="s">
        <v>4796</v>
      </c>
      <c r="E1386" s="3563" t="s">
        <v>4520</v>
      </c>
      <c r="F1386" s="3563" t="s">
        <v>4797</v>
      </c>
      <c r="G1386" s="3564">
        <v>109.99</v>
      </c>
      <c r="H1386" s="3564">
        <v>88.44</v>
      </c>
      <c r="I1386" s="3564">
        <v>21.55</v>
      </c>
      <c r="J1386" s="3565">
        <v>1003015</v>
      </c>
      <c r="K1386" s="3565">
        <v>9119.15</v>
      </c>
      <c r="L1386" s="3565">
        <v>11341.19</v>
      </c>
      <c r="M1386" s="3565">
        <v>952865</v>
      </c>
      <c r="N1386" s="3565">
        <v>8663.2000000000007</v>
      </c>
      <c r="O1386" s="3566">
        <v>44185</v>
      </c>
    </row>
    <row r="1387" spans="1:15">
      <c r="A1387" s="3563" t="s">
        <v>5598</v>
      </c>
      <c r="B1387" s="3563" t="s">
        <v>3453</v>
      </c>
      <c r="C1387" s="3563" t="s">
        <v>4197</v>
      </c>
      <c r="D1387" s="3563" t="s">
        <v>4796</v>
      </c>
      <c r="E1387" s="3563" t="s">
        <v>4520</v>
      </c>
      <c r="F1387" s="3563" t="s">
        <v>4797</v>
      </c>
      <c r="G1387" s="3564">
        <v>101.66</v>
      </c>
      <c r="H1387" s="3564">
        <v>81.739999999999995</v>
      </c>
      <c r="I1387" s="3564">
        <v>19.920000000000002</v>
      </c>
      <c r="J1387" s="3565">
        <v>1113432</v>
      </c>
      <c r="K1387" s="3565">
        <v>10952.51</v>
      </c>
      <c r="L1387" s="3565">
        <v>13621.63</v>
      </c>
      <c r="M1387" s="3565">
        <v>0</v>
      </c>
      <c r="N1387" s="3565">
        <v>0</v>
      </c>
      <c r="O1387" s="3563" t="s">
        <v>3453</v>
      </c>
    </row>
    <row r="1388" spans="1:15">
      <c r="A1388" s="3563" t="s">
        <v>5599</v>
      </c>
      <c r="B1388" s="3563" t="s">
        <v>5277</v>
      </c>
      <c r="C1388" s="3563" t="s">
        <v>4197</v>
      </c>
      <c r="D1388" s="3563" t="s">
        <v>4796</v>
      </c>
      <c r="E1388" s="3563" t="s">
        <v>4520</v>
      </c>
      <c r="F1388" s="3563" t="s">
        <v>4797</v>
      </c>
      <c r="G1388" s="3564">
        <v>101.66</v>
      </c>
      <c r="H1388" s="3564">
        <v>81.739999999999995</v>
      </c>
      <c r="I1388" s="3564">
        <v>19.920000000000002</v>
      </c>
      <c r="J1388" s="3565">
        <v>947602</v>
      </c>
      <c r="K1388" s="3565">
        <v>9321.2900000000009</v>
      </c>
      <c r="L1388" s="3565">
        <v>11592.88</v>
      </c>
      <c r="M1388" s="3565">
        <v>900222</v>
      </c>
      <c r="N1388" s="3565">
        <v>8855.2199999999993</v>
      </c>
      <c r="O1388" s="3566">
        <v>44190</v>
      </c>
    </row>
    <row r="1389" spans="1:15">
      <c r="A1389" s="3563" t="s">
        <v>5600</v>
      </c>
      <c r="B1389" s="3563" t="s">
        <v>5277</v>
      </c>
      <c r="C1389" s="3563" t="s">
        <v>4197</v>
      </c>
      <c r="D1389" s="3563" t="s">
        <v>4796</v>
      </c>
      <c r="E1389" s="3563" t="s">
        <v>4520</v>
      </c>
      <c r="F1389" s="3563" t="s">
        <v>4797</v>
      </c>
      <c r="G1389" s="3564">
        <v>90.52</v>
      </c>
      <c r="H1389" s="3564">
        <v>72.78</v>
      </c>
      <c r="I1389" s="3564">
        <v>17.739999999999998</v>
      </c>
      <c r="J1389" s="3565">
        <v>771539</v>
      </c>
      <c r="K1389" s="3565">
        <v>8523.41</v>
      </c>
      <c r="L1389" s="3565">
        <v>10600.98</v>
      </c>
      <c r="M1389" s="3565">
        <v>732963</v>
      </c>
      <c r="N1389" s="3565">
        <v>8097.25</v>
      </c>
      <c r="O1389" s="3566">
        <v>44185</v>
      </c>
    </row>
    <row r="1390" spans="1:15">
      <c r="A1390" s="3563" t="s">
        <v>5601</v>
      </c>
      <c r="B1390" s="3563" t="s">
        <v>4811</v>
      </c>
      <c r="C1390" s="3563" t="s">
        <v>4197</v>
      </c>
      <c r="D1390" s="3563" t="s">
        <v>4796</v>
      </c>
      <c r="E1390" s="3563" t="s">
        <v>4520</v>
      </c>
      <c r="F1390" s="3563" t="s">
        <v>4797</v>
      </c>
      <c r="G1390" s="3564">
        <v>78.39</v>
      </c>
      <c r="H1390" s="3564">
        <v>63.03</v>
      </c>
      <c r="I1390" s="3564">
        <v>15.36</v>
      </c>
      <c r="J1390" s="3565">
        <v>676490</v>
      </c>
      <c r="K1390" s="3565">
        <v>8629.7999999999993</v>
      </c>
      <c r="L1390" s="3565">
        <v>10732.83</v>
      </c>
      <c r="M1390" s="3565">
        <v>676490</v>
      </c>
      <c r="N1390" s="3565">
        <v>8629.7999999999993</v>
      </c>
      <c r="O1390" s="3566">
        <v>44186</v>
      </c>
    </row>
    <row r="1391" spans="1:15">
      <c r="A1391" s="3563" t="s">
        <v>5602</v>
      </c>
      <c r="B1391" s="3563" t="s">
        <v>4196</v>
      </c>
      <c r="C1391" s="3563" t="s">
        <v>4197</v>
      </c>
      <c r="D1391" s="3563" t="s">
        <v>4796</v>
      </c>
      <c r="E1391" s="3563" t="s">
        <v>4520</v>
      </c>
      <c r="F1391" s="3563" t="s">
        <v>4797</v>
      </c>
      <c r="G1391" s="3564">
        <v>78.39</v>
      </c>
      <c r="H1391" s="3564">
        <v>63.03</v>
      </c>
      <c r="I1391" s="3564">
        <v>15.36</v>
      </c>
      <c r="J1391" s="3565">
        <v>794875</v>
      </c>
      <c r="K1391" s="3565">
        <v>10140.01</v>
      </c>
      <c r="L1391" s="3565">
        <v>12611.06</v>
      </c>
      <c r="M1391" s="3565">
        <v>0</v>
      </c>
      <c r="N1391" s="3565">
        <v>0</v>
      </c>
      <c r="O1391" s="3563" t="s">
        <v>3453</v>
      </c>
    </row>
    <row r="1392" spans="1:15">
      <c r="A1392" s="3563" t="s">
        <v>5603</v>
      </c>
      <c r="B1392" s="3563" t="s">
        <v>3453</v>
      </c>
      <c r="C1392" s="3563" t="s">
        <v>4197</v>
      </c>
      <c r="D1392" s="3563" t="s">
        <v>4796</v>
      </c>
      <c r="E1392" s="3563" t="s">
        <v>4520</v>
      </c>
      <c r="F1392" s="3563" t="s">
        <v>4797</v>
      </c>
      <c r="G1392" s="3564">
        <v>109.99</v>
      </c>
      <c r="H1392" s="3564">
        <v>88.44</v>
      </c>
      <c r="I1392" s="3564">
        <v>21.55</v>
      </c>
      <c r="J1392" s="3565">
        <v>1177168</v>
      </c>
      <c r="K1392" s="3565">
        <v>10702.5</v>
      </c>
      <c r="L1392" s="3565">
        <v>13310.36</v>
      </c>
      <c r="M1392" s="3565">
        <v>0</v>
      </c>
      <c r="N1392" s="3565">
        <v>0</v>
      </c>
      <c r="O1392" s="3563" t="s">
        <v>3453</v>
      </c>
    </row>
    <row r="1393" spans="1:15">
      <c r="A1393" s="3563" t="s">
        <v>5604</v>
      </c>
      <c r="B1393" s="3563" t="s">
        <v>4811</v>
      </c>
      <c r="C1393" s="3563" t="s">
        <v>4197</v>
      </c>
      <c r="D1393" s="3563" t="s">
        <v>4796</v>
      </c>
      <c r="E1393" s="3563" t="s">
        <v>4520</v>
      </c>
      <c r="F1393" s="3563" t="s">
        <v>4797</v>
      </c>
      <c r="G1393" s="3564">
        <v>101.66</v>
      </c>
      <c r="H1393" s="3564">
        <v>81.739999999999995</v>
      </c>
      <c r="I1393" s="3564">
        <v>19.920000000000002</v>
      </c>
      <c r="J1393" s="3565">
        <v>946520</v>
      </c>
      <c r="K1393" s="3565">
        <v>9310.64</v>
      </c>
      <c r="L1393" s="3565">
        <v>11579.64</v>
      </c>
      <c r="M1393" s="3565">
        <v>899194</v>
      </c>
      <c r="N1393" s="3565">
        <v>8845.11</v>
      </c>
      <c r="O1393" s="3566">
        <v>44185</v>
      </c>
    </row>
    <row r="1394" spans="1:15">
      <c r="A1394" s="3563" t="s">
        <v>5605</v>
      </c>
      <c r="B1394" s="3563" t="s">
        <v>3453</v>
      </c>
      <c r="C1394" s="3563" t="s">
        <v>4197</v>
      </c>
      <c r="D1394" s="3563" t="s">
        <v>4796</v>
      </c>
      <c r="E1394" s="3563" t="s">
        <v>4520</v>
      </c>
      <c r="F1394" s="3563" t="s">
        <v>4797</v>
      </c>
      <c r="G1394" s="3564">
        <v>101.66</v>
      </c>
      <c r="H1394" s="3564">
        <v>81.739999999999995</v>
      </c>
      <c r="I1394" s="3564">
        <v>19.920000000000002</v>
      </c>
      <c r="J1394" s="3565">
        <v>1112160</v>
      </c>
      <c r="K1394" s="3565">
        <v>10940</v>
      </c>
      <c r="L1394" s="3565">
        <v>13606.07</v>
      </c>
      <c r="M1394" s="3565">
        <v>0</v>
      </c>
      <c r="N1394" s="3565">
        <v>0</v>
      </c>
      <c r="O1394" s="3563" t="s">
        <v>3453</v>
      </c>
    </row>
    <row r="1395" spans="1:15">
      <c r="A1395" s="3563" t="s">
        <v>5606</v>
      </c>
      <c r="B1395" s="3563" t="s">
        <v>4196</v>
      </c>
      <c r="C1395" s="3563" t="s">
        <v>4197</v>
      </c>
      <c r="D1395" s="3563" t="s">
        <v>4796</v>
      </c>
      <c r="E1395" s="3563" t="s">
        <v>4520</v>
      </c>
      <c r="F1395" s="3563" t="s">
        <v>4797</v>
      </c>
      <c r="G1395" s="3564">
        <v>90.52</v>
      </c>
      <c r="H1395" s="3564">
        <v>72.78</v>
      </c>
      <c r="I1395" s="3564">
        <v>17.739999999999998</v>
      </c>
      <c r="J1395" s="3565">
        <v>908207</v>
      </c>
      <c r="K1395" s="3565">
        <v>10033.219999999999</v>
      </c>
      <c r="L1395" s="3565">
        <v>12478.8</v>
      </c>
      <c r="M1395" s="3565">
        <v>0</v>
      </c>
      <c r="N1395" s="3565">
        <v>0</v>
      </c>
      <c r="O1395" s="3563" t="s">
        <v>3453</v>
      </c>
    </row>
    <row r="1396" spans="1:15">
      <c r="A1396" s="3563" t="s">
        <v>5607</v>
      </c>
      <c r="B1396" s="3563" t="s">
        <v>5277</v>
      </c>
      <c r="C1396" s="3563" t="s">
        <v>4197</v>
      </c>
      <c r="D1396" s="3563" t="s">
        <v>4796</v>
      </c>
      <c r="E1396" s="3563" t="s">
        <v>4520</v>
      </c>
      <c r="F1396" s="3563" t="s">
        <v>4797</v>
      </c>
      <c r="G1396" s="3564">
        <v>78.39</v>
      </c>
      <c r="H1396" s="3564">
        <v>63.03</v>
      </c>
      <c r="I1396" s="3564">
        <v>15.36</v>
      </c>
      <c r="J1396" s="3565">
        <v>675656</v>
      </c>
      <c r="K1396" s="3565">
        <v>8619.16</v>
      </c>
      <c r="L1396" s="3565">
        <v>10719.59</v>
      </c>
      <c r="M1396" s="3565">
        <v>641874</v>
      </c>
      <c r="N1396" s="3565">
        <v>8188.21</v>
      </c>
      <c r="O1396" s="3566">
        <v>44186</v>
      </c>
    </row>
    <row r="1397" spans="1:15">
      <c r="A1397" s="3563" t="s">
        <v>5608</v>
      </c>
      <c r="B1397" s="3563" t="s">
        <v>5277</v>
      </c>
      <c r="C1397" s="3563" t="s">
        <v>4197</v>
      </c>
      <c r="D1397" s="3563" t="s">
        <v>4796</v>
      </c>
      <c r="E1397" s="3563" t="s">
        <v>4520</v>
      </c>
      <c r="F1397" s="3563" t="s">
        <v>4797</v>
      </c>
      <c r="G1397" s="3564">
        <v>78.39</v>
      </c>
      <c r="H1397" s="3564">
        <v>63.03</v>
      </c>
      <c r="I1397" s="3564">
        <v>15.36</v>
      </c>
      <c r="J1397" s="3565">
        <v>675656</v>
      </c>
      <c r="K1397" s="3565">
        <v>8619.16</v>
      </c>
      <c r="L1397" s="3565">
        <v>10719.59</v>
      </c>
      <c r="M1397" s="3565">
        <v>641874</v>
      </c>
      <c r="N1397" s="3565">
        <v>8188.21</v>
      </c>
      <c r="O1397" s="3566">
        <v>44188</v>
      </c>
    </row>
    <row r="1398" spans="1:15">
      <c r="A1398" s="3563" t="s">
        <v>5609</v>
      </c>
      <c r="B1398" s="3563" t="s">
        <v>4811</v>
      </c>
      <c r="C1398" s="3563" t="s">
        <v>4197</v>
      </c>
      <c r="D1398" s="3563" t="s">
        <v>4796</v>
      </c>
      <c r="E1398" s="3563" t="s">
        <v>4520</v>
      </c>
      <c r="F1398" s="3563" t="s">
        <v>4797</v>
      </c>
      <c r="G1398" s="3564">
        <v>109.99</v>
      </c>
      <c r="H1398" s="3564">
        <v>88.44</v>
      </c>
      <c r="I1398" s="3564">
        <v>21.55</v>
      </c>
      <c r="J1398" s="3565">
        <v>1000675</v>
      </c>
      <c r="K1398" s="3565">
        <v>9097.8700000000008</v>
      </c>
      <c r="L1398" s="3565">
        <v>11314.73</v>
      </c>
      <c r="M1398" s="3565">
        <v>950642</v>
      </c>
      <c r="N1398" s="3565">
        <v>8642.99</v>
      </c>
      <c r="O1398" s="3563" t="s">
        <v>3453</v>
      </c>
    </row>
    <row r="1399" spans="1:15">
      <c r="A1399" s="3563" t="s">
        <v>5610</v>
      </c>
      <c r="B1399" s="3563" t="s">
        <v>4811</v>
      </c>
      <c r="C1399" s="3563" t="s">
        <v>4197</v>
      </c>
      <c r="D1399" s="3563" t="s">
        <v>4796</v>
      </c>
      <c r="E1399" s="3563" t="s">
        <v>4520</v>
      </c>
      <c r="F1399" s="3563" t="s">
        <v>4797</v>
      </c>
      <c r="G1399" s="3564">
        <v>101.66</v>
      </c>
      <c r="H1399" s="3564">
        <v>81.739999999999995</v>
      </c>
      <c r="I1399" s="3564">
        <v>19.920000000000002</v>
      </c>
      <c r="J1399" s="3565">
        <v>934624</v>
      </c>
      <c r="K1399" s="3565">
        <v>9193.6299999999992</v>
      </c>
      <c r="L1399" s="3565">
        <v>11434.11</v>
      </c>
      <c r="M1399" s="3565">
        <v>887893</v>
      </c>
      <c r="N1399" s="3565">
        <v>8733.9500000000007</v>
      </c>
      <c r="O1399" s="3566">
        <v>44186</v>
      </c>
    </row>
    <row r="1400" spans="1:15">
      <c r="A1400" s="3563" t="s">
        <v>5611</v>
      </c>
      <c r="B1400" s="3563" t="s">
        <v>3453</v>
      </c>
      <c r="C1400" s="3563" t="s">
        <v>4197</v>
      </c>
      <c r="D1400" s="3563" t="s">
        <v>4796</v>
      </c>
      <c r="E1400" s="3563" t="s">
        <v>4520</v>
      </c>
      <c r="F1400" s="3563" t="s">
        <v>4797</v>
      </c>
      <c r="G1400" s="3564">
        <v>101.66</v>
      </c>
      <c r="H1400" s="3564">
        <v>81.739999999999995</v>
      </c>
      <c r="I1400" s="3564">
        <v>19.920000000000002</v>
      </c>
      <c r="J1400" s="3565">
        <v>1098183</v>
      </c>
      <c r="K1400" s="3565">
        <v>10802.51</v>
      </c>
      <c r="L1400" s="3565">
        <v>13435.07</v>
      </c>
      <c r="M1400" s="3565">
        <v>0</v>
      </c>
      <c r="N1400" s="3565">
        <v>0</v>
      </c>
      <c r="O1400" s="3563" t="s">
        <v>3453</v>
      </c>
    </row>
    <row r="1401" spans="1:15">
      <c r="A1401" s="3563" t="s">
        <v>5612</v>
      </c>
      <c r="B1401" s="3563" t="s">
        <v>5277</v>
      </c>
      <c r="C1401" s="3563" t="s">
        <v>4197</v>
      </c>
      <c r="D1401" s="3563" t="s">
        <v>4796</v>
      </c>
      <c r="E1401" s="3563" t="s">
        <v>4520</v>
      </c>
      <c r="F1401" s="3563" t="s">
        <v>4797</v>
      </c>
      <c r="G1401" s="3564">
        <v>90.52</v>
      </c>
      <c r="H1401" s="3564">
        <v>72.78</v>
      </c>
      <c r="I1401" s="3564">
        <v>17.739999999999998</v>
      </c>
      <c r="J1401" s="3565">
        <v>770342</v>
      </c>
      <c r="K1401" s="3565">
        <v>8510.19</v>
      </c>
      <c r="L1401" s="3565">
        <v>10584.53</v>
      </c>
      <c r="M1401" s="3565">
        <v>731825</v>
      </c>
      <c r="N1401" s="3565">
        <v>8084.68</v>
      </c>
      <c r="O1401" s="3566">
        <v>44189</v>
      </c>
    </row>
    <row r="1402" spans="1:15">
      <c r="A1402" s="3563" t="s">
        <v>5613</v>
      </c>
      <c r="B1402" s="3563" t="s">
        <v>4811</v>
      </c>
      <c r="C1402" s="3563" t="s">
        <v>4197</v>
      </c>
      <c r="D1402" s="3563" t="s">
        <v>4796</v>
      </c>
      <c r="E1402" s="3563" t="s">
        <v>4520</v>
      </c>
      <c r="F1402" s="3563" t="s">
        <v>4797</v>
      </c>
      <c r="G1402" s="3564">
        <v>78.39</v>
      </c>
      <c r="H1402" s="3564">
        <v>63.03</v>
      </c>
      <c r="I1402" s="3564">
        <v>15.36</v>
      </c>
      <c r="J1402" s="3565">
        <v>668531</v>
      </c>
      <c r="K1402" s="3565">
        <v>8528.27</v>
      </c>
      <c r="L1402" s="3565">
        <v>10606.55</v>
      </c>
      <c r="M1402" s="3565">
        <v>635105</v>
      </c>
      <c r="N1402" s="3565">
        <v>8101.86</v>
      </c>
      <c r="O1402" s="3566">
        <v>44186</v>
      </c>
    </row>
    <row r="1403" spans="1:15">
      <c r="A1403" s="3563" t="s">
        <v>5614</v>
      </c>
      <c r="B1403" s="3563" t="s">
        <v>3453</v>
      </c>
      <c r="C1403" s="3563" t="s">
        <v>4197</v>
      </c>
      <c r="D1403" s="3563" t="s">
        <v>4796</v>
      </c>
      <c r="E1403" s="3563" t="s">
        <v>4520</v>
      </c>
      <c r="F1403" s="3563" t="s">
        <v>4797</v>
      </c>
      <c r="G1403" s="3564">
        <v>78.39</v>
      </c>
      <c r="H1403" s="3564">
        <v>63.03</v>
      </c>
      <c r="I1403" s="3564">
        <v>15.36</v>
      </c>
      <c r="J1403" s="3565">
        <v>785524</v>
      </c>
      <c r="K1403" s="3565">
        <v>10020.719999999999</v>
      </c>
      <c r="L1403" s="3565">
        <v>12462.7</v>
      </c>
      <c r="M1403" s="3565">
        <v>0</v>
      </c>
      <c r="N1403" s="3565">
        <v>0</v>
      </c>
      <c r="O1403" s="3563" t="s">
        <v>3453</v>
      </c>
    </row>
    <row r="1404" spans="1:15">
      <c r="A1404" s="3563" t="s">
        <v>5615</v>
      </c>
      <c r="B1404" s="3563" t="s">
        <v>5277</v>
      </c>
      <c r="C1404" s="3563" t="s">
        <v>4197</v>
      </c>
      <c r="D1404" s="3563" t="s">
        <v>4796</v>
      </c>
      <c r="E1404" s="3563" t="s">
        <v>4520</v>
      </c>
      <c r="F1404" s="3563" t="s">
        <v>4797</v>
      </c>
      <c r="G1404" s="3564">
        <v>109.99</v>
      </c>
      <c r="H1404" s="3564">
        <v>88.44</v>
      </c>
      <c r="I1404" s="3564">
        <v>21.55</v>
      </c>
      <c r="J1404" s="3565">
        <v>987805</v>
      </c>
      <c r="K1404" s="3565">
        <v>8980.86</v>
      </c>
      <c r="L1404" s="3565">
        <v>11169.21</v>
      </c>
      <c r="M1404" s="3565">
        <v>938415</v>
      </c>
      <c r="N1404" s="3565">
        <v>8531.82</v>
      </c>
      <c r="O1404" s="3566">
        <v>44187</v>
      </c>
    </row>
    <row r="1405" spans="1:15">
      <c r="A1405" s="3563" t="s">
        <v>5616</v>
      </c>
      <c r="B1405" s="3563" t="s">
        <v>5277</v>
      </c>
      <c r="C1405" s="3563" t="s">
        <v>4197</v>
      </c>
      <c r="D1405" s="3563" t="s">
        <v>4796</v>
      </c>
      <c r="E1405" s="3563" t="s">
        <v>4520</v>
      </c>
      <c r="F1405" s="3563" t="s">
        <v>4797</v>
      </c>
      <c r="G1405" s="3564">
        <v>101.66</v>
      </c>
      <c r="H1405" s="3564">
        <v>81.739999999999995</v>
      </c>
      <c r="I1405" s="3564">
        <v>19.920000000000002</v>
      </c>
      <c r="J1405" s="3565">
        <v>944357</v>
      </c>
      <c r="K1405" s="3565">
        <v>9289.3700000000008</v>
      </c>
      <c r="L1405" s="3565">
        <v>11553.18</v>
      </c>
      <c r="M1405" s="3565">
        <v>897140</v>
      </c>
      <c r="N1405" s="3565">
        <v>8824.91</v>
      </c>
      <c r="O1405" s="3566">
        <v>44188</v>
      </c>
    </row>
    <row r="1406" spans="1:15">
      <c r="A1406" s="3563" t="s">
        <v>5617</v>
      </c>
      <c r="B1406" s="3563" t="s">
        <v>5277</v>
      </c>
      <c r="C1406" s="3563" t="s">
        <v>4197</v>
      </c>
      <c r="D1406" s="3563" t="s">
        <v>4796</v>
      </c>
      <c r="E1406" s="3563" t="s">
        <v>4520</v>
      </c>
      <c r="F1406" s="3563" t="s">
        <v>4797</v>
      </c>
      <c r="G1406" s="3564">
        <v>101.66</v>
      </c>
      <c r="H1406" s="3564">
        <v>81.739999999999995</v>
      </c>
      <c r="I1406" s="3564">
        <v>19.920000000000002</v>
      </c>
      <c r="J1406" s="3565">
        <v>944357</v>
      </c>
      <c r="K1406" s="3565">
        <v>9289.3700000000008</v>
      </c>
      <c r="L1406" s="3565">
        <v>11553.18</v>
      </c>
      <c r="M1406" s="3565">
        <v>897140</v>
      </c>
      <c r="N1406" s="3565">
        <v>8824.91</v>
      </c>
      <c r="O1406" s="3566">
        <v>44188</v>
      </c>
    </row>
    <row r="1407" spans="1:15">
      <c r="A1407" s="3563" t="s">
        <v>5618</v>
      </c>
      <c r="B1407" s="3563" t="s">
        <v>4811</v>
      </c>
      <c r="C1407" s="3563" t="s">
        <v>4197</v>
      </c>
      <c r="D1407" s="3563" t="s">
        <v>4796</v>
      </c>
      <c r="E1407" s="3563" t="s">
        <v>4520</v>
      </c>
      <c r="F1407" s="3563" t="s">
        <v>4797</v>
      </c>
      <c r="G1407" s="3564">
        <v>90.52</v>
      </c>
      <c r="H1407" s="3564">
        <v>72.78</v>
      </c>
      <c r="I1407" s="3564">
        <v>17.739999999999998</v>
      </c>
      <c r="J1407" s="3565">
        <v>771015</v>
      </c>
      <c r="K1407" s="3565">
        <v>8517.6200000000008</v>
      </c>
      <c r="L1407" s="3565">
        <v>10593.78</v>
      </c>
      <c r="M1407" s="3565">
        <v>724755</v>
      </c>
      <c r="N1407" s="3565">
        <v>8006.57</v>
      </c>
      <c r="O1407" s="3566">
        <v>44189</v>
      </c>
    </row>
    <row r="1408" spans="1:15">
      <c r="A1408" s="3563" t="s">
        <v>5619</v>
      </c>
      <c r="B1408" s="3563" t="s">
        <v>4196</v>
      </c>
      <c r="C1408" s="3563" t="s">
        <v>4197</v>
      </c>
      <c r="D1408" s="3563" t="s">
        <v>4796</v>
      </c>
      <c r="E1408" s="3563" t="s">
        <v>4520</v>
      </c>
      <c r="F1408" s="3563" t="s">
        <v>4797</v>
      </c>
      <c r="G1408" s="3564">
        <v>78.39</v>
      </c>
      <c r="H1408" s="3564">
        <v>63.03</v>
      </c>
      <c r="I1408" s="3564">
        <v>15.36</v>
      </c>
      <c r="J1408" s="3565">
        <v>791935</v>
      </c>
      <c r="K1408" s="3565">
        <v>10102.5</v>
      </c>
      <c r="L1408" s="3565">
        <v>12564.41</v>
      </c>
      <c r="M1408" s="3565">
        <v>0</v>
      </c>
      <c r="N1408" s="3565">
        <v>0</v>
      </c>
      <c r="O1408" s="3563" t="s">
        <v>3453</v>
      </c>
    </row>
    <row r="1409" spans="1:15">
      <c r="A1409" s="3563" t="s">
        <v>5620</v>
      </c>
      <c r="B1409" s="3563" t="s">
        <v>4811</v>
      </c>
      <c r="C1409" s="3563" t="s">
        <v>4197</v>
      </c>
      <c r="D1409" s="3563" t="s">
        <v>4796</v>
      </c>
      <c r="E1409" s="3563" t="s">
        <v>4520</v>
      </c>
      <c r="F1409" s="3563" t="s">
        <v>4797</v>
      </c>
      <c r="G1409" s="3564">
        <v>78.39</v>
      </c>
      <c r="H1409" s="3564">
        <v>63.03</v>
      </c>
      <c r="I1409" s="3564">
        <v>15.36</v>
      </c>
      <c r="J1409" s="3565">
        <v>673988</v>
      </c>
      <c r="K1409" s="3565">
        <v>8597.8799999999992</v>
      </c>
      <c r="L1409" s="3565">
        <v>10693.13</v>
      </c>
      <c r="M1409" s="3565">
        <v>640289</v>
      </c>
      <c r="N1409" s="3565">
        <v>8167.99</v>
      </c>
      <c r="O1409" s="3566">
        <v>44187</v>
      </c>
    </row>
    <row r="1410" spans="1:15">
      <c r="A1410" s="3563" t="s">
        <v>5621</v>
      </c>
      <c r="B1410" s="3563" t="s">
        <v>5277</v>
      </c>
      <c r="C1410" s="3563" t="s">
        <v>4197</v>
      </c>
      <c r="D1410" s="3563" t="s">
        <v>4796</v>
      </c>
      <c r="E1410" s="3563" t="s">
        <v>4520</v>
      </c>
      <c r="F1410" s="3563" t="s">
        <v>4797</v>
      </c>
      <c r="G1410" s="3564">
        <v>109.99</v>
      </c>
      <c r="H1410" s="3564">
        <v>88.44</v>
      </c>
      <c r="I1410" s="3564">
        <v>21.55</v>
      </c>
      <c r="J1410" s="3565">
        <v>998336</v>
      </c>
      <c r="K1410" s="3565">
        <v>9076.61</v>
      </c>
      <c r="L1410" s="3565">
        <v>11288.29</v>
      </c>
      <c r="M1410" s="3565">
        <v>948420</v>
      </c>
      <c r="N1410" s="3565">
        <v>8622.7800000000007</v>
      </c>
      <c r="O1410" s="3566">
        <v>44188</v>
      </c>
    </row>
    <row r="1411" spans="1:15">
      <c r="A1411" s="3563" t="s">
        <v>5622</v>
      </c>
      <c r="B1411" s="3563" t="s">
        <v>5277</v>
      </c>
      <c r="C1411" s="3563" t="s">
        <v>4197</v>
      </c>
      <c r="D1411" s="3563" t="s">
        <v>4796</v>
      </c>
      <c r="E1411" s="3563" t="s">
        <v>4520</v>
      </c>
      <c r="F1411" s="3563" t="s">
        <v>4797</v>
      </c>
      <c r="G1411" s="3564">
        <v>103.25</v>
      </c>
      <c r="H1411" s="3564">
        <v>81.739999999999995</v>
      </c>
      <c r="I1411" s="3564">
        <v>21.51</v>
      </c>
      <c r="J1411" s="3565">
        <v>902010</v>
      </c>
      <c r="K1411" s="3565">
        <v>8736.17</v>
      </c>
      <c r="L1411" s="3565">
        <v>11035.11</v>
      </c>
      <c r="M1411" s="3565">
        <v>847890</v>
      </c>
      <c r="N1411" s="3565">
        <v>8212.01</v>
      </c>
      <c r="O1411" s="3566">
        <v>44186</v>
      </c>
    </row>
    <row r="1412" spans="1:15">
      <c r="A1412" s="3563" t="s">
        <v>5623</v>
      </c>
      <c r="B1412" s="3563" t="s">
        <v>5277</v>
      </c>
      <c r="C1412" s="3563" t="s">
        <v>4197</v>
      </c>
      <c r="D1412" s="3563" t="s">
        <v>4796</v>
      </c>
      <c r="E1412" s="3563" t="s">
        <v>4520</v>
      </c>
      <c r="F1412" s="3563" t="s">
        <v>4797</v>
      </c>
      <c r="G1412" s="3564">
        <v>103.25</v>
      </c>
      <c r="H1412" s="3564">
        <v>81.739999999999995</v>
      </c>
      <c r="I1412" s="3564">
        <v>21.51</v>
      </c>
      <c r="J1412" s="3565">
        <v>902010</v>
      </c>
      <c r="K1412" s="3565">
        <v>8736.17</v>
      </c>
      <c r="L1412" s="3565">
        <v>11035.11</v>
      </c>
      <c r="M1412" s="3565">
        <v>856910</v>
      </c>
      <c r="N1412" s="3565">
        <v>8299.3700000000008</v>
      </c>
      <c r="O1412" s="3566">
        <v>44187</v>
      </c>
    </row>
    <row r="1413" spans="1:15">
      <c r="A1413" s="3563" t="s">
        <v>5624</v>
      </c>
      <c r="B1413" s="3563" t="s">
        <v>4196</v>
      </c>
      <c r="C1413" s="3563" t="s">
        <v>4197</v>
      </c>
      <c r="D1413" s="3563" t="s">
        <v>4796</v>
      </c>
      <c r="E1413" s="3563" t="s">
        <v>4520</v>
      </c>
      <c r="F1413" s="3563" t="s">
        <v>4797</v>
      </c>
      <c r="G1413" s="3564">
        <v>91.93</v>
      </c>
      <c r="H1413" s="3564">
        <v>72.78</v>
      </c>
      <c r="I1413" s="3564">
        <v>19.149999999999999</v>
      </c>
      <c r="J1413" s="3565">
        <v>919250</v>
      </c>
      <c r="K1413" s="3565">
        <v>9999.4599999999991</v>
      </c>
      <c r="L1413" s="3565">
        <v>12630.53</v>
      </c>
      <c r="M1413" s="3565">
        <v>0</v>
      </c>
      <c r="N1413" s="3565">
        <v>0</v>
      </c>
      <c r="O1413" s="3563" t="s">
        <v>3453</v>
      </c>
    </row>
    <row r="1414" spans="1:15">
      <c r="A1414" s="3563" t="s">
        <v>5625</v>
      </c>
      <c r="B1414" s="3563" t="s">
        <v>4811</v>
      </c>
      <c r="C1414" s="3563" t="s">
        <v>4197</v>
      </c>
      <c r="D1414" s="3563" t="s">
        <v>4796</v>
      </c>
      <c r="E1414" s="3563" t="s">
        <v>4520</v>
      </c>
      <c r="F1414" s="3563" t="s">
        <v>4797</v>
      </c>
      <c r="G1414" s="3564">
        <v>79.62</v>
      </c>
      <c r="H1414" s="3564">
        <v>63.03</v>
      </c>
      <c r="I1414" s="3564">
        <v>16.59</v>
      </c>
      <c r="J1414" s="3565">
        <v>796157</v>
      </c>
      <c r="K1414" s="3565">
        <v>9999.4599999999991</v>
      </c>
      <c r="L1414" s="3565">
        <v>12631.4</v>
      </c>
      <c r="M1414" s="3565">
        <v>796157</v>
      </c>
      <c r="N1414" s="3565">
        <v>9999.4599999999991</v>
      </c>
      <c r="O1414" s="3566">
        <v>44192</v>
      </c>
    </row>
    <row r="1415" spans="1:15">
      <c r="A1415" s="3563" t="s">
        <v>5626</v>
      </c>
      <c r="B1415" s="3563" t="s">
        <v>5277</v>
      </c>
      <c r="C1415" s="3563" t="s">
        <v>4197</v>
      </c>
      <c r="D1415" s="3563" t="s">
        <v>4796</v>
      </c>
      <c r="E1415" s="3563" t="s">
        <v>4520</v>
      </c>
      <c r="F1415" s="3563" t="s">
        <v>4797</v>
      </c>
      <c r="G1415" s="3564">
        <v>79.62</v>
      </c>
      <c r="H1415" s="3564">
        <v>63.03</v>
      </c>
      <c r="I1415" s="3564">
        <v>16.59</v>
      </c>
      <c r="J1415" s="3565">
        <v>677580</v>
      </c>
      <c r="K1415" s="3565">
        <v>8510.17</v>
      </c>
      <c r="L1415" s="3565">
        <v>10750.12</v>
      </c>
      <c r="M1415" s="3565">
        <v>643701</v>
      </c>
      <c r="N1415" s="3565">
        <v>8084.66</v>
      </c>
      <c r="O1415" s="3566">
        <v>44186</v>
      </c>
    </row>
    <row r="1416" spans="1:15">
      <c r="A1416" s="3563" t="s">
        <v>5627</v>
      </c>
      <c r="B1416" s="3563" t="s">
        <v>4811</v>
      </c>
      <c r="C1416" s="3563" t="s">
        <v>4197</v>
      </c>
      <c r="D1416" s="3563" t="s">
        <v>4796</v>
      </c>
      <c r="E1416" s="3563" t="s">
        <v>4520</v>
      </c>
      <c r="F1416" s="3563" t="s">
        <v>4797</v>
      </c>
      <c r="G1416" s="3564">
        <v>101.66</v>
      </c>
      <c r="H1416" s="3564">
        <v>81.739999999999995</v>
      </c>
      <c r="I1416" s="3564">
        <v>19.920000000000002</v>
      </c>
      <c r="J1416" s="3565">
        <v>943276</v>
      </c>
      <c r="K1416" s="3565">
        <v>9278.73</v>
      </c>
      <c r="L1416" s="3565">
        <v>11539.96</v>
      </c>
      <c r="M1416" s="3565">
        <v>943276</v>
      </c>
      <c r="N1416" s="3565">
        <v>9278.73</v>
      </c>
      <c r="O1416" s="3566">
        <v>44186</v>
      </c>
    </row>
    <row r="1417" spans="1:15">
      <c r="A1417" s="3563" t="s">
        <v>5628</v>
      </c>
      <c r="B1417" s="3563" t="s">
        <v>4811</v>
      </c>
      <c r="C1417" s="3563" t="s">
        <v>4197</v>
      </c>
      <c r="D1417" s="3563" t="s">
        <v>4796</v>
      </c>
      <c r="E1417" s="3563" t="s">
        <v>4520</v>
      </c>
      <c r="F1417" s="3563" t="s">
        <v>4797</v>
      </c>
      <c r="G1417" s="3564">
        <v>101.66</v>
      </c>
      <c r="H1417" s="3564">
        <v>81.739999999999995</v>
      </c>
      <c r="I1417" s="3564">
        <v>19.920000000000002</v>
      </c>
      <c r="J1417" s="3565">
        <v>943276</v>
      </c>
      <c r="K1417" s="3565">
        <v>9278.73</v>
      </c>
      <c r="L1417" s="3565">
        <v>11539.96</v>
      </c>
      <c r="M1417" s="3565">
        <v>943276</v>
      </c>
      <c r="N1417" s="3565">
        <v>9278.73</v>
      </c>
      <c r="O1417" s="3566">
        <v>44186</v>
      </c>
    </row>
    <row r="1418" spans="1:15">
      <c r="A1418" s="3563" t="s">
        <v>5629</v>
      </c>
      <c r="B1418" s="3563" t="s">
        <v>4196</v>
      </c>
      <c r="C1418" s="3563" t="s">
        <v>4197</v>
      </c>
      <c r="D1418" s="3563" t="s">
        <v>4796</v>
      </c>
      <c r="E1418" s="3563" t="s">
        <v>4520</v>
      </c>
      <c r="F1418" s="3563" t="s">
        <v>4797</v>
      </c>
      <c r="G1418" s="3564">
        <v>90.52</v>
      </c>
      <c r="H1418" s="3564">
        <v>72.78</v>
      </c>
      <c r="I1418" s="3564">
        <v>17.739999999999998</v>
      </c>
      <c r="J1418" s="3565">
        <v>905152</v>
      </c>
      <c r="K1418" s="3565">
        <v>9999.4699999999993</v>
      </c>
      <c r="L1418" s="3565">
        <v>12436.82</v>
      </c>
      <c r="M1418" s="3565">
        <v>0</v>
      </c>
      <c r="N1418" s="3565">
        <v>0</v>
      </c>
      <c r="O1418" s="3563" t="s">
        <v>3453</v>
      </c>
    </row>
    <row r="1419" spans="1:15">
      <c r="A1419" s="3563" t="s">
        <v>5630</v>
      </c>
      <c r="B1419" s="3563" t="s">
        <v>5277</v>
      </c>
      <c r="C1419" s="3563" t="s">
        <v>4197</v>
      </c>
      <c r="D1419" s="3563" t="s">
        <v>4796</v>
      </c>
      <c r="E1419" s="3563" t="s">
        <v>4520</v>
      </c>
      <c r="F1419" s="3563" t="s">
        <v>4797</v>
      </c>
      <c r="G1419" s="3564">
        <v>78.39</v>
      </c>
      <c r="H1419" s="3564">
        <v>63.03</v>
      </c>
      <c r="I1419" s="3564">
        <v>15.36</v>
      </c>
      <c r="J1419" s="3565">
        <v>673154</v>
      </c>
      <c r="K1419" s="3565">
        <v>8587.24</v>
      </c>
      <c r="L1419" s="3565">
        <v>10679.9</v>
      </c>
      <c r="M1419" s="3565">
        <v>639497</v>
      </c>
      <c r="N1419" s="3565">
        <v>8157.89</v>
      </c>
      <c r="O1419" s="3566">
        <v>44186</v>
      </c>
    </row>
    <row r="1420" spans="1:15">
      <c r="A1420" s="3563" t="s">
        <v>5631</v>
      </c>
      <c r="B1420" s="3563" t="s">
        <v>5277</v>
      </c>
      <c r="C1420" s="3563" t="s">
        <v>4197</v>
      </c>
      <c r="D1420" s="3563" t="s">
        <v>4796</v>
      </c>
      <c r="E1420" s="3563" t="s">
        <v>4520</v>
      </c>
      <c r="F1420" s="3563" t="s">
        <v>4797</v>
      </c>
      <c r="G1420" s="3564">
        <v>78.39</v>
      </c>
      <c r="H1420" s="3564">
        <v>63.03</v>
      </c>
      <c r="I1420" s="3564">
        <v>15.36</v>
      </c>
      <c r="J1420" s="3565">
        <v>673154</v>
      </c>
      <c r="K1420" s="3565">
        <v>8587.24</v>
      </c>
      <c r="L1420" s="3565">
        <v>10679.9</v>
      </c>
      <c r="M1420" s="3565">
        <v>639497</v>
      </c>
      <c r="N1420" s="3565">
        <v>8157.89</v>
      </c>
      <c r="O1420" s="3566">
        <v>44186</v>
      </c>
    </row>
    <row r="1421" spans="1:15">
      <c r="A1421" s="3563" t="s">
        <v>5632</v>
      </c>
      <c r="B1421" s="3563" t="s">
        <v>5277</v>
      </c>
      <c r="C1421" s="3563" t="s">
        <v>4197</v>
      </c>
      <c r="D1421" s="3563" t="s">
        <v>4796</v>
      </c>
      <c r="E1421" s="3563" t="s">
        <v>4520</v>
      </c>
      <c r="F1421" s="3563" t="s">
        <v>4797</v>
      </c>
      <c r="G1421" s="3564">
        <v>109.99</v>
      </c>
      <c r="H1421" s="3564">
        <v>88.44</v>
      </c>
      <c r="I1421" s="3564">
        <v>21.55</v>
      </c>
      <c r="J1421" s="3565">
        <v>997165</v>
      </c>
      <c r="K1421" s="3565">
        <v>9065.9599999999991</v>
      </c>
      <c r="L1421" s="3565">
        <v>11275.05</v>
      </c>
      <c r="M1421" s="3565">
        <v>947307</v>
      </c>
      <c r="N1421" s="3565">
        <v>8612.66</v>
      </c>
      <c r="O1421" s="3566">
        <v>44188</v>
      </c>
    </row>
    <row r="1422" spans="1:15">
      <c r="A1422" s="3563" t="s">
        <v>5633</v>
      </c>
      <c r="B1422" s="3563" t="s">
        <v>5277</v>
      </c>
      <c r="C1422" s="3563" t="s">
        <v>4197</v>
      </c>
      <c r="D1422" s="3563" t="s">
        <v>4796</v>
      </c>
      <c r="E1422" s="3563" t="s">
        <v>4520</v>
      </c>
      <c r="F1422" s="3563" t="s">
        <v>4797</v>
      </c>
      <c r="G1422" s="3564">
        <v>101.66</v>
      </c>
      <c r="H1422" s="3564">
        <v>81.739999999999995</v>
      </c>
      <c r="I1422" s="3564">
        <v>19.920000000000002</v>
      </c>
      <c r="J1422" s="3565">
        <v>942194</v>
      </c>
      <c r="K1422" s="3565">
        <v>9268.09</v>
      </c>
      <c r="L1422" s="3565">
        <v>11526.72</v>
      </c>
      <c r="M1422" s="3565">
        <v>895085</v>
      </c>
      <c r="N1422" s="3565">
        <v>8804.69</v>
      </c>
      <c r="O1422" s="3566">
        <v>44187</v>
      </c>
    </row>
    <row r="1423" spans="1:15">
      <c r="A1423" s="3563" t="s">
        <v>5634</v>
      </c>
      <c r="B1423" s="3563" t="s">
        <v>5277</v>
      </c>
      <c r="C1423" s="3563" t="s">
        <v>4197</v>
      </c>
      <c r="D1423" s="3563" t="s">
        <v>4796</v>
      </c>
      <c r="E1423" s="3563" t="s">
        <v>4520</v>
      </c>
      <c r="F1423" s="3563" t="s">
        <v>4797</v>
      </c>
      <c r="G1423" s="3564">
        <v>101.66</v>
      </c>
      <c r="H1423" s="3564">
        <v>81.739999999999995</v>
      </c>
      <c r="I1423" s="3564">
        <v>19.920000000000002</v>
      </c>
      <c r="J1423" s="3565">
        <v>942194</v>
      </c>
      <c r="K1423" s="3565">
        <v>9268.09</v>
      </c>
      <c r="L1423" s="3565">
        <v>11526.72</v>
      </c>
      <c r="M1423" s="3565">
        <v>895085</v>
      </c>
      <c r="N1423" s="3565">
        <v>8804.69</v>
      </c>
      <c r="O1423" s="3566">
        <v>44187</v>
      </c>
    </row>
    <row r="1424" spans="1:15">
      <c r="A1424" s="3563" t="s">
        <v>5635</v>
      </c>
      <c r="B1424" s="3563" t="s">
        <v>4196</v>
      </c>
      <c r="C1424" s="3563" t="s">
        <v>4197</v>
      </c>
      <c r="D1424" s="3563" t="s">
        <v>4796</v>
      </c>
      <c r="E1424" s="3563" t="s">
        <v>4520</v>
      </c>
      <c r="F1424" s="3563" t="s">
        <v>4797</v>
      </c>
      <c r="G1424" s="3564">
        <v>90.52</v>
      </c>
      <c r="H1424" s="3564">
        <v>72.78</v>
      </c>
      <c r="I1424" s="3564">
        <v>17.739999999999998</v>
      </c>
      <c r="J1424" s="3565">
        <v>905152</v>
      </c>
      <c r="K1424" s="3565">
        <v>9999.4699999999993</v>
      </c>
      <c r="L1424" s="3565">
        <v>12436.82</v>
      </c>
      <c r="M1424" s="3565">
        <v>0</v>
      </c>
      <c r="N1424" s="3565">
        <v>0</v>
      </c>
      <c r="O1424" s="3563" t="s">
        <v>3453</v>
      </c>
    </row>
    <row r="1425" spans="1:15">
      <c r="A1425" s="3563" t="s">
        <v>5636</v>
      </c>
      <c r="B1425" s="3563" t="s">
        <v>4811</v>
      </c>
      <c r="C1425" s="3563" t="s">
        <v>4197</v>
      </c>
      <c r="D1425" s="3563" t="s">
        <v>4796</v>
      </c>
      <c r="E1425" s="3563" t="s">
        <v>4520</v>
      </c>
      <c r="F1425" s="3563" t="s">
        <v>4797</v>
      </c>
      <c r="G1425" s="3564">
        <v>78.39</v>
      </c>
      <c r="H1425" s="3564">
        <v>63.03</v>
      </c>
      <c r="I1425" s="3564">
        <v>15.36</v>
      </c>
      <c r="J1425" s="3565">
        <v>672320</v>
      </c>
      <c r="K1425" s="3565">
        <v>8576.6</v>
      </c>
      <c r="L1425" s="3565">
        <v>10666.67</v>
      </c>
      <c r="M1425" s="3565">
        <v>638704</v>
      </c>
      <c r="N1425" s="3565">
        <v>8147.77</v>
      </c>
      <c r="O1425" s="3566">
        <v>44186</v>
      </c>
    </row>
    <row r="1426" spans="1:15">
      <c r="A1426" s="3563" t="s">
        <v>5637</v>
      </c>
      <c r="B1426" s="3563" t="s">
        <v>4196</v>
      </c>
      <c r="C1426" s="3563" t="s">
        <v>4197</v>
      </c>
      <c r="D1426" s="3563" t="s">
        <v>4796</v>
      </c>
      <c r="E1426" s="3563" t="s">
        <v>4520</v>
      </c>
      <c r="F1426" s="3563" t="s">
        <v>4797</v>
      </c>
      <c r="G1426" s="3564">
        <v>78.39</v>
      </c>
      <c r="H1426" s="3564">
        <v>63.03</v>
      </c>
      <c r="I1426" s="3564">
        <v>15.36</v>
      </c>
      <c r="J1426" s="3565">
        <v>789975</v>
      </c>
      <c r="K1426" s="3565">
        <v>10077.5</v>
      </c>
      <c r="L1426" s="3565">
        <v>12533.32</v>
      </c>
      <c r="M1426" s="3565">
        <v>0</v>
      </c>
      <c r="N1426" s="3565">
        <v>0</v>
      </c>
      <c r="O1426" s="3563" t="s">
        <v>3453</v>
      </c>
    </row>
    <row r="1427" spans="1:15">
      <c r="A1427" s="3563" t="s">
        <v>5638</v>
      </c>
      <c r="B1427" s="3563" t="s">
        <v>4811</v>
      </c>
      <c r="C1427" s="3563" t="s">
        <v>4197</v>
      </c>
      <c r="D1427" s="3563" t="s">
        <v>4796</v>
      </c>
      <c r="E1427" s="3563" t="s">
        <v>4520</v>
      </c>
      <c r="F1427" s="3563" t="s">
        <v>4797</v>
      </c>
      <c r="G1427" s="3564">
        <v>109.99</v>
      </c>
      <c r="H1427" s="3564">
        <v>88.44</v>
      </c>
      <c r="I1427" s="3564">
        <v>21.55</v>
      </c>
      <c r="J1427" s="3565">
        <v>995995</v>
      </c>
      <c r="K1427" s="3565">
        <v>9055.32</v>
      </c>
      <c r="L1427" s="3565">
        <v>11261.82</v>
      </c>
      <c r="M1427" s="3565">
        <v>946196</v>
      </c>
      <c r="N1427" s="3565">
        <v>8602.56</v>
      </c>
      <c r="O1427" s="3566">
        <v>44189</v>
      </c>
    </row>
    <row r="1428" spans="1:15">
      <c r="A1428" s="3563" t="s">
        <v>5639</v>
      </c>
      <c r="B1428" s="3563" t="s">
        <v>5277</v>
      </c>
      <c r="C1428" s="3563" t="s">
        <v>4197</v>
      </c>
      <c r="D1428" s="3563" t="s">
        <v>4796</v>
      </c>
      <c r="E1428" s="3563" t="s">
        <v>4520</v>
      </c>
      <c r="F1428" s="3563" t="s">
        <v>4797</v>
      </c>
      <c r="G1428" s="3564">
        <v>101.66</v>
      </c>
      <c r="H1428" s="3564">
        <v>81.739999999999995</v>
      </c>
      <c r="I1428" s="3564">
        <v>19.920000000000002</v>
      </c>
      <c r="J1428" s="3565">
        <v>908668</v>
      </c>
      <c r="K1428" s="3565">
        <v>8938.2999999999993</v>
      </c>
      <c r="L1428" s="3565">
        <v>11116.56</v>
      </c>
      <c r="M1428" s="3565">
        <v>863235</v>
      </c>
      <c r="N1428" s="3565">
        <v>8491.39</v>
      </c>
      <c r="O1428" s="3566">
        <v>44189</v>
      </c>
    </row>
    <row r="1429" spans="1:15">
      <c r="A1429" s="3563" t="s">
        <v>5640</v>
      </c>
      <c r="B1429" s="3563" t="s">
        <v>4811</v>
      </c>
      <c r="C1429" s="3563" t="s">
        <v>4197</v>
      </c>
      <c r="D1429" s="3563" t="s">
        <v>4796</v>
      </c>
      <c r="E1429" s="3563" t="s">
        <v>4520</v>
      </c>
      <c r="F1429" s="3563" t="s">
        <v>4797</v>
      </c>
      <c r="G1429" s="3564">
        <v>101.66</v>
      </c>
      <c r="H1429" s="3564">
        <v>81.739999999999995</v>
      </c>
      <c r="I1429" s="3564">
        <v>19.920000000000002</v>
      </c>
      <c r="J1429" s="3565">
        <v>908668</v>
      </c>
      <c r="K1429" s="3565">
        <v>8938.2999999999993</v>
      </c>
      <c r="L1429" s="3565">
        <v>11116.56</v>
      </c>
      <c r="M1429" s="3565">
        <v>863235</v>
      </c>
      <c r="N1429" s="3565">
        <v>8491.39</v>
      </c>
      <c r="O1429" s="3566">
        <v>44186</v>
      </c>
    </row>
    <row r="1430" spans="1:15">
      <c r="A1430" s="3563" t="s">
        <v>5641</v>
      </c>
      <c r="B1430" s="3563" t="s">
        <v>4196</v>
      </c>
      <c r="C1430" s="3563" t="s">
        <v>4197</v>
      </c>
      <c r="D1430" s="3563" t="s">
        <v>4796</v>
      </c>
      <c r="E1430" s="3563" t="s">
        <v>4520</v>
      </c>
      <c r="F1430" s="3563" t="s">
        <v>4797</v>
      </c>
      <c r="G1430" s="3564">
        <v>90.52</v>
      </c>
      <c r="H1430" s="3564">
        <v>72.78</v>
      </c>
      <c r="I1430" s="3564">
        <v>17.739999999999998</v>
      </c>
      <c r="J1430" s="3565">
        <v>905152</v>
      </c>
      <c r="K1430" s="3565">
        <v>9999.4699999999993</v>
      </c>
      <c r="L1430" s="3565">
        <v>12436.82</v>
      </c>
      <c r="M1430" s="3565">
        <v>0</v>
      </c>
      <c r="N1430" s="3565">
        <v>0</v>
      </c>
      <c r="O1430" s="3563" t="s">
        <v>3453</v>
      </c>
    </row>
    <row r="1431" spans="1:15">
      <c r="A1431" s="3563" t="s">
        <v>5642</v>
      </c>
      <c r="B1431" s="3563" t="s">
        <v>5277</v>
      </c>
      <c r="C1431" s="3563" t="s">
        <v>4197</v>
      </c>
      <c r="D1431" s="3563" t="s">
        <v>4796</v>
      </c>
      <c r="E1431" s="3563" t="s">
        <v>4520</v>
      </c>
      <c r="F1431" s="3563" t="s">
        <v>4797</v>
      </c>
      <c r="G1431" s="3564">
        <v>78.39</v>
      </c>
      <c r="H1431" s="3564">
        <v>63.03</v>
      </c>
      <c r="I1431" s="3564">
        <v>15.36</v>
      </c>
      <c r="J1431" s="3565">
        <v>667113</v>
      </c>
      <c r="K1431" s="3565">
        <v>8510.18</v>
      </c>
      <c r="L1431" s="3565">
        <v>10584.06</v>
      </c>
      <c r="M1431" s="3565">
        <v>633758</v>
      </c>
      <c r="N1431" s="3565">
        <v>8084.68</v>
      </c>
      <c r="O1431" s="3566">
        <v>44186</v>
      </c>
    </row>
    <row r="1432" spans="1:15">
      <c r="A1432" s="3563" t="s">
        <v>5643</v>
      </c>
      <c r="B1432" s="3563" t="s">
        <v>5277</v>
      </c>
      <c r="C1432" s="3563" t="s">
        <v>4197</v>
      </c>
      <c r="D1432" s="3563" t="s">
        <v>4796</v>
      </c>
      <c r="E1432" s="3563" t="s">
        <v>4520</v>
      </c>
      <c r="F1432" s="3563" t="s">
        <v>4797</v>
      </c>
      <c r="G1432" s="3564">
        <v>78.39</v>
      </c>
      <c r="H1432" s="3564">
        <v>63.03</v>
      </c>
      <c r="I1432" s="3564">
        <v>15.36</v>
      </c>
      <c r="J1432" s="3565">
        <v>667113</v>
      </c>
      <c r="K1432" s="3565">
        <v>8510.18</v>
      </c>
      <c r="L1432" s="3565">
        <v>10584.06</v>
      </c>
      <c r="M1432" s="3565">
        <v>633758</v>
      </c>
      <c r="N1432" s="3565">
        <v>8084.68</v>
      </c>
      <c r="O1432" s="3566">
        <v>44186</v>
      </c>
    </row>
    <row r="1433" spans="1:15">
      <c r="A1433" s="3563" t="s">
        <v>5644</v>
      </c>
      <c r="B1433" s="3563" t="s">
        <v>5277</v>
      </c>
      <c r="C1433" s="3563" t="s">
        <v>4197</v>
      </c>
      <c r="D1433" s="3563" t="s">
        <v>4796</v>
      </c>
      <c r="E1433" s="3563" t="s">
        <v>4520</v>
      </c>
      <c r="F1433" s="3563" t="s">
        <v>4797</v>
      </c>
      <c r="G1433" s="3564">
        <v>109.99</v>
      </c>
      <c r="H1433" s="3564">
        <v>88.44</v>
      </c>
      <c r="I1433" s="3564">
        <v>21.55</v>
      </c>
      <c r="J1433" s="3565">
        <v>959722</v>
      </c>
      <c r="K1433" s="3565">
        <v>8725.5400000000009</v>
      </c>
      <c r="L1433" s="3565">
        <v>10851.67</v>
      </c>
      <c r="M1433" s="3565">
        <v>911736</v>
      </c>
      <c r="N1433" s="3565">
        <v>8289.26</v>
      </c>
      <c r="O1433" s="3566">
        <v>44186</v>
      </c>
    </row>
    <row r="1434" spans="1:15">
      <c r="A1434" s="3563" t="s">
        <v>5645</v>
      </c>
      <c r="B1434" s="3563" t="s">
        <v>5277</v>
      </c>
      <c r="C1434" s="3563" t="s">
        <v>4197</v>
      </c>
      <c r="D1434" s="3563" t="s">
        <v>4796</v>
      </c>
      <c r="E1434" s="3563" t="s">
        <v>4520</v>
      </c>
      <c r="F1434" s="3563" t="s">
        <v>4797</v>
      </c>
      <c r="G1434" s="3564">
        <v>101.66</v>
      </c>
      <c r="H1434" s="3564">
        <v>81.739999999999995</v>
      </c>
      <c r="I1434" s="3564">
        <v>19.920000000000002</v>
      </c>
      <c r="J1434" s="3565">
        <v>901097</v>
      </c>
      <c r="K1434" s="3565">
        <v>8863.83</v>
      </c>
      <c r="L1434" s="3565">
        <v>11023.94</v>
      </c>
      <c r="M1434" s="3565">
        <v>847032</v>
      </c>
      <c r="N1434" s="3565">
        <v>8332.01</v>
      </c>
      <c r="O1434" s="3566">
        <v>44187</v>
      </c>
    </row>
    <row r="1435" spans="1:15">
      <c r="A1435" s="3563" t="s">
        <v>5646</v>
      </c>
      <c r="B1435" s="3563" t="s">
        <v>4196</v>
      </c>
      <c r="C1435" s="3563" t="s">
        <v>4197</v>
      </c>
      <c r="D1435" s="3563" t="s">
        <v>4796</v>
      </c>
      <c r="E1435" s="3563" t="s">
        <v>4520</v>
      </c>
      <c r="F1435" s="3563" t="s">
        <v>4797</v>
      </c>
      <c r="G1435" s="3564">
        <v>101.66</v>
      </c>
      <c r="H1435" s="3564">
        <v>81.739999999999995</v>
      </c>
      <c r="I1435" s="3564">
        <v>19.920000000000002</v>
      </c>
      <c r="J1435" s="3565">
        <v>1058789</v>
      </c>
      <c r="K1435" s="3565">
        <v>10415</v>
      </c>
      <c r="L1435" s="3565">
        <v>12953.13</v>
      </c>
      <c r="M1435" s="3565">
        <v>0</v>
      </c>
      <c r="N1435" s="3565">
        <v>0</v>
      </c>
      <c r="O1435" s="3563" t="s">
        <v>3453</v>
      </c>
    </row>
    <row r="1436" spans="1:15">
      <c r="A1436" s="3563" t="s">
        <v>5647</v>
      </c>
      <c r="B1436" s="3563" t="s">
        <v>5277</v>
      </c>
      <c r="C1436" s="3563" t="s">
        <v>4197</v>
      </c>
      <c r="D1436" s="3563" t="s">
        <v>4796</v>
      </c>
      <c r="E1436" s="3563" t="s">
        <v>4520</v>
      </c>
      <c r="F1436" s="3563" t="s">
        <v>4797</v>
      </c>
      <c r="G1436" s="3564">
        <v>90.52</v>
      </c>
      <c r="H1436" s="3564">
        <v>72.78</v>
      </c>
      <c r="I1436" s="3564">
        <v>17.739999999999998</v>
      </c>
      <c r="J1436" s="3565">
        <v>770342</v>
      </c>
      <c r="K1436" s="3565">
        <v>8510.19</v>
      </c>
      <c r="L1436" s="3565">
        <v>10584.53</v>
      </c>
      <c r="M1436" s="3565">
        <v>731825</v>
      </c>
      <c r="N1436" s="3565">
        <v>8084.68</v>
      </c>
      <c r="O1436" s="3566">
        <v>44186</v>
      </c>
    </row>
    <row r="1437" spans="1:15">
      <c r="A1437" s="3563" t="s">
        <v>5648</v>
      </c>
      <c r="B1437" s="3563" t="s">
        <v>4196</v>
      </c>
      <c r="C1437" s="3563" t="s">
        <v>4197</v>
      </c>
      <c r="D1437" s="3563" t="s">
        <v>4796</v>
      </c>
      <c r="E1437" s="3563" t="s">
        <v>4520</v>
      </c>
      <c r="F1437" s="3563" t="s">
        <v>4797</v>
      </c>
      <c r="G1437" s="3564">
        <v>78.39</v>
      </c>
      <c r="H1437" s="3564">
        <v>63.03</v>
      </c>
      <c r="I1437" s="3564">
        <v>15.36</v>
      </c>
      <c r="J1437" s="3565">
        <v>783858</v>
      </c>
      <c r="K1437" s="3565">
        <v>9999.4599999999991</v>
      </c>
      <c r="L1437" s="3565">
        <v>12436.27</v>
      </c>
      <c r="M1437" s="3565">
        <v>0</v>
      </c>
      <c r="N1437" s="3565">
        <v>0</v>
      </c>
      <c r="O1437" s="3563" t="s">
        <v>3453</v>
      </c>
    </row>
    <row r="1438" spans="1:15">
      <c r="A1438" s="3563" t="s">
        <v>5649</v>
      </c>
      <c r="B1438" s="3563" t="s">
        <v>5277</v>
      </c>
      <c r="C1438" s="3563" t="s">
        <v>4197</v>
      </c>
      <c r="D1438" s="3563" t="s">
        <v>4796</v>
      </c>
      <c r="E1438" s="3563" t="s">
        <v>4520</v>
      </c>
      <c r="F1438" s="3563" t="s">
        <v>4797</v>
      </c>
      <c r="G1438" s="3564">
        <v>78.39</v>
      </c>
      <c r="H1438" s="3564">
        <v>63.03</v>
      </c>
      <c r="I1438" s="3564">
        <v>15.36</v>
      </c>
      <c r="J1438" s="3565">
        <v>667113</v>
      </c>
      <c r="K1438" s="3565">
        <v>8510.18</v>
      </c>
      <c r="L1438" s="3565">
        <v>10584.06</v>
      </c>
      <c r="M1438" s="3565">
        <v>633758</v>
      </c>
      <c r="N1438" s="3565">
        <v>8084.68</v>
      </c>
      <c r="O1438" s="3566">
        <v>44186</v>
      </c>
    </row>
    <row r="1439" spans="1:15">
      <c r="A1439" s="3563" t="s">
        <v>5650</v>
      </c>
      <c r="B1439" s="3563" t="s">
        <v>5277</v>
      </c>
      <c r="C1439" s="3563" t="s">
        <v>4197</v>
      </c>
      <c r="D1439" s="3563" t="s">
        <v>4796</v>
      </c>
      <c r="E1439" s="3563" t="s">
        <v>4520</v>
      </c>
      <c r="F1439" s="3563" t="s">
        <v>4797</v>
      </c>
      <c r="G1439" s="3564">
        <v>109.99</v>
      </c>
      <c r="H1439" s="3564">
        <v>88.44</v>
      </c>
      <c r="I1439" s="3564">
        <v>21.55</v>
      </c>
      <c r="J1439" s="3565">
        <v>951531</v>
      </c>
      <c r="K1439" s="3565">
        <v>8651.07</v>
      </c>
      <c r="L1439" s="3565">
        <v>10759.06</v>
      </c>
      <c r="M1439" s="3565">
        <v>903955</v>
      </c>
      <c r="N1439" s="3565">
        <v>8218.52</v>
      </c>
      <c r="O1439" s="3566">
        <v>44186</v>
      </c>
    </row>
    <row r="1440" spans="1:15">
      <c r="A1440" s="3563" t="s">
        <v>5651</v>
      </c>
      <c r="B1440" s="3563" t="s">
        <v>4196</v>
      </c>
      <c r="C1440" s="3563" t="s">
        <v>4197</v>
      </c>
      <c r="D1440" s="3563" t="s">
        <v>4796</v>
      </c>
      <c r="E1440" s="3563" t="s">
        <v>4520</v>
      </c>
      <c r="F1440" s="3563" t="s">
        <v>4797</v>
      </c>
      <c r="G1440" s="3564">
        <v>101.66</v>
      </c>
      <c r="H1440" s="3564">
        <v>81.739999999999995</v>
      </c>
      <c r="I1440" s="3564">
        <v>19.920000000000002</v>
      </c>
      <c r="J1440" s="3565">
        <v>1074038</v>
      </c>
      <c r="K1440" s="3565">
        <v>10565</v>
      </c>
      <c r="L1440" s="3565">
        <v>13139.69</v>
      </c>
      <c r="M1440" s="3565">
        <v>0</v>
      </c>
      <c r="N1440" s="3565">
        <v>0</v>
      </c>
      <c r="O1440" s="3563" t="s">
        <v>3453</v>
      </c>
    </row>
    <row r="1441" spans="1:15">
      <c r="A1441" s="3563" t="s">
        <v>5652</v>
      </c>
      <c r="B1441" s="3563" t="s">
        <v>4196</v>
      </c>
      <c r="C1441" s="3563" t="s">
        <v>4197</v>
      </c>
      <c r="D1441" s="3563" t="s">
        <v>4796</v>
      </c>
      <c r="E1441" s="3563" t="s">
        <v>4520</v>
      </c>
      <c r="F1441" s="3563" t="s">
        <v>4797</v>
      </c>
      <c r="G1441" s="3564">
        <v>101.66</v>
      </c>
      <c r="H1441" s="3564">
        <v>81.739999999999995</v>
      </c>
      <c r="I1441" s="3564">
        <v>19.920000000000002</v>
      </c>
      <c r="J1441" s="3565">
        <v>1074038</v>
      </c>
      <c r="K1441" s="3565">
        <v>10565</v>
      </c>
      <c r="L1441" s="3565">
        <v>13139.69</v>
      </c>
      <c r="M1441" s="3565">
        <v>0</v>
      </c>
      <c r="N1441" s="3565">
        <v>0</v>
      </c>
      <c r="O1441" s="3563" t="s">
        <v>3453</v>
      </c>
    </row>
    <row r="1442" spans="1:15">
      <c r="A1442" s="3563" t="s">
        <v>5653</v>
      </c>
      <c r="B1442" s="3563" t="s">
        <v>3453</v>
      </c>
      <c r="C1442" s="3563" t="s">
        <v>4197</v>
      </c>
      <c r="D1442" s="3563" t="s">
        <v>4796</v>
      </c>
      <c r="E1442" s="3563" t="s">
        <v>4520</v>
      </c>
      <c r="F1442" s="3563" t="s">
        <v>4797</v>
      </c>
      <c r="G1442" s="3564">
        <v>90.52</v>
      </c>
      <c r="H1442" s="3564">
        <v>72.78</v>
      </c>
      <c r="I1442" s="3564">
        <v>17.739999999999998</v>
      </c>
      <c r="J1442" s="3565">
        <v>905152</v>
      </c>
      <c r="K1442" s="3565">
        <v>9999.4699999999993</v>
      </c>
      <c r="L1442" s="3565">
        <v>12436.82</v>
      </c>
      <c r="M1442" s="3565">
        <v>0</v>
      </c>
      <c r="N1442" s="3565">
        <v>0</v>
      </c>
      <c r="O1442" s="3563" t="s">
        <v>3453</v>
      </c>
    </row>
    <row r="1443" spans="1:15">
      <c r="A1443" s="3563" t="s">
        <v>5654</v>
      </c>
      <c r="B1443" s="3563" t="s">
        <v>4196</v>
      </c>
      <c r="C1443" s="3563" t="s">
        <v>4197</v>
      </c>
      <c r="D1443" s="3563" t="s">
        <v>4796</v>
      </c>
      <c r="E1443" s="3563" t="s">
        <v>4520</v>
      </c>
      <c r="F1443" s="3563" t="s">
        <v>4797</v>
      </c>
      <c r="G1443" s="3564">
        <v>78.39</v>
      </c>
      <c r="H1443" s="3564">
        <v>63.03</v>
      </c>
      <c r="I1443" s="3564">
        <v>15.36</v>
      </c>
      <c r="J1443" s="3565">
        <v>783858</v>
      </c>
      <c r="K1443" s="3565">
        <v>9999.4599999999991</v>
      </c>
      <c r="L1443" s="3565">
        <v>12436.27</v>
      </c>
      <c r="M1443" s="3565">
        <v>0</v>
      </c>
      <c r="N1443" s="3565">
        <v>0</v>
      </c>
      <c r="O1443" s="3563" t="s">
        <v>3453</v>
      </c>
    </row>
    <row r="1444" spans="1:15">
      <c r="A1444" s="3563" t="s">
        <v>5655</v>
      </c>
      <c r="B1444" s="3563" t="s">
        <v>5277</v>
      </c>
      <c r="C1444" s="3563" t="s">
        <v>4197</v>
      </c>
      <c r="D1444" s="3563" t="s">
        <v>4796</v>
      </c>
      <c r="E1444" s="3563" t="s">
        <v>4520</v>
      </c>
      <c r="F1444" s="3563" t="s">
        <v>4797</v>
      </c>
      <c r="G1444" s="3564">
        <v>78.39</v>
      </c>
      <c r="H1444" s="3564">
        <v>63.03</v>
      </c>
      <c r="I1444" s="3564">
        <v>15.36</v>
      </c>
      <c r="J1444" s="3565">
        <v>667113</v>
      </c>
      <c r="K1444" s="3565">
        <v>8510.18</v>
      </c>
      <c r="L1444" s="3565">
        <v>10584.06</v>
      </c>
      <c r="M1444" s="3565">
        <v>633758</v>
      </c>
      <c r="N1444" s="3565">
        <v>8084.68</v>
      </c>
      <c r="O1444" s="3566">
        <v>44186</v>
      </c>
    </row>
    <row r="1445" spans="1:15">
      <c r="A1445" s="3563" t="s">
        <v>5656</v>
      </c>
      <c r="B1445" s="3563" t="s">
        <v>4811</v>
      </c>
      <c r="C1445" s="3563" t="s">
        <v>4197</v>
      </c>
      <c r="D1445" s="3563" t="s">
        <v>4796</v>
      </c>
      <c r="E1445" s="3563" t="s">
        <v>4520</v>
      </c>
      <c r="F1445" s="3563" t="s">
        <v>4797</v>
      </c>
      <c r="G1445" s="3564">
        <v>109.99</v>
      </c>
      <c r="H1445" s="3564">
        <v>88.44</v>
      </c>
      <c r="I1445" s="3564">
        <v>21.55</v>
      </c>
      <c r="J1445" s="3565">
        <v>965572</v>
      </c>
      <c r="K1445" s="3565">
        <v>8778.73</v>
      </c>
      <c r="L1445" s="3565">
        <v>10917.82</v>
      </c>
      <c r="M1445" s="3565">
        <v>917294</v>
      </c>
      <c r="N1445" s="3565">
        <v>8339.7900000000009</v>
      </c>
      <c r="O1445" s="3566">
        <v>44187</v>
      </c>
    </row>
    <row r="1446" spans="1:15">
      <c r="A1446" s="3563" t="s">
        <v>5657</v>
      </c>
      <c r="B1446" s="3563" t="s">
        <v>4196</v>
      </c>
      <c r="C1446" s="3563" t="s">
        <v>4197</v>
      </c>
      <c r="D1446" s="3563" t="s">
        <v>4796</v>
      </c>
      <c r="E1446" s="3563" t="s">
        <v>4520</v>
      </c>
      <c r="F1446" s="3563" t="s">
        <v>4797</v>
      </c>
      <c r="G1446" s="3564">
        <v>101.66</v>
      </c>
      <c r="H1446" s="3564">
        <v>81.739999999999995</v>
      </c>
      <c r="I1446" s="3564">
        <v>19.920000000000002</v>
      </c>
      <c r="J1446" s="3565">
        <v>1089288</v>
      </c>
      <c r="K1446" s="3565">
        <v>10715.01</v>
      </c>
      <c r="L1446" s="3565">
        <v>13326.25</v>
      </c>
      <c r="M1446" s="3565">
        <v>0</v>
      </c>
      <c r="N1446" s="3565">
        <v>0</v>
      </c>
      <c r="O1446" s="3563" t="s">
        <v>3453</v>
      </c>
    </row>
    <row r="1447" spans="1:15">
      <c r="A1447" s="3563" t="s">
        <v>5658</v>
      </c>
      <c r="B1447" s="3563" t="s">
        <v>4196</v>
      </c>
      <c r="C1447" s="3563" t="s">
        <v>4197</v>
      </c>
      <c r="D1447" s="3563" t="s">
        <v>4796</v>
      </c>
      <c r="E1447" s="3563" t="s">
        <v>4520</v>
      </c>
      <c r="F1447" s="3563" t="s">
        <v>4797</v>
      </c>
      <c r="G1447" s="3564">
        <v>101.66</v>
      </c>
      <c r="H1447" s="3564">
        <v>81.739999999999995</v>
      </c>
      <c r="I1447" s="3564">
        <v>19.920000000000002</v>
      </c>
      <c r="J1447" s="3565">
        <v>1089288</v>
      </c>
      <c r="K1447" s="3565">
        <v>10715.01</v>
      </c>
      <c r="L1447" s="3565">
        <v>13326.25</v>
      </c>
      <c r="M1447" s="3565">
        <v>0</v>
      </c>
      <c r="N1447" s="3565">
        <v>0</v>
      </c>
      <c r="O1447" s="3563" t="s">
        <v>3453</v>
      </c>
    </row>
    <row r="1448" spans="1:15">
      <c r="A1448" s="3563" t="s">
        <v>5659</v>
      </c>
      <c r="B1448" s="3563" t="s">
        <v>4196</v>
      </c>
      <c r="C1448" s="3563" t="s">
        <v>4197</v>
      </c>
      <c r="D1448" s="3563" t="s">
        <v>4796</v>
      </c>
      <c r="E1448" s="3563" t="s">
        <v>4520</v>
      </c>
      <c r="F1448" s="3563" t="s">
        <v>4797</v>
      </c>
      <c r="G1448" s="3564">
        <v>90.52</v>
      </c>
      <c r="H1448" s="3564">
        <v>72.78</v>
      </c>
      <c r="I1448" s="3564">
        <v>17.739999999999998</v>
      </c>
      <c r="J1448" s="3565">
        <v>905152</v>
      </c>
      <c r="K1448" s="3565">
        <v>9999.4699999999993</v>
      </c>
      <c r="L1448" s="3565">
        <v>12436.82</v>
      </c>
      <c r="M1448" s="3565">
        <v>0</v>
      </c>
      <c r="N1448" s="3565">
        <v>0</v>
      </c>
      <c r="O1448" s="3563" t="s">
        <v>3453</v>
      </c>
    </row>
    <row r="1449" spans="1:15">
      <c r="A1449" s="3563" t="s">
        <v>5660</v>
      </c>
      <c r="B1449" s="3563" t="s">
        <v>4196</v>
      </c>
      <c r="C1449" s="3563" t="s">
        <v>4197</v>
      </c>
      <c r="D1449" s="3563" t="s">
        <v>4796</v>
      </c>
      <c r="E1449" s="3563" t="s">
        <v>4520</v>
      </c>
      <c r="F1449" s="3563" t="s">
        <v>4797</v>
      </c>
      <c r="G1449" s="3564">
        <v>78.39</v>
      </c>
      <c r="H1449" s="3564">
        <v>63.03</v>
      </c>
      <c r="I1449" s="3564">
        <v>15.36</v>
      </c>
      <c r="J1449" s="3565">
        <v>783858</v>
      </c>
      <c r="K1449" s="3565">
        <v>9999.4599999999991</v>
      </c>
      <c r="L1449" s="3565">
        <v>12436.27</v>
      </c>
      <c r="M1449" s="3565">
        <v>0</v>
      </c>
      <c r="N1449" s="3565">
        <v>0</v>
      </c>
      <c r="O1449" s="3563" t="s">
        <v>3453</v>
      </c>
    </row>
    <row r="1450" spans="1:15">
      <c r="A1450" s="3563" t="s">
        <v>5661</v>
      </c>
      <c r="B1450" s="3563" t="s">
        <v>4196</v>
      </c>
      <c r="C1450" s="3563" t="s">
        <v>4197</v>
      </c>
      <c r="D1450" s="3563" t="s">
        <v>4796</v>
      </c>
      <c r="E1450" s="3563" t="s">
        <v>4520</v>
      </c>
      <c r="F1450" s="3563" t="s">
        <v>4797</v>
      </c>
      <c r="G1450" s="3564">
        <v>78.39</v>
      </c>
      <c r="H1450" s="3564">
        <v>63.03</v>
      </c>
      <c r="I1450" s="3564">
        <v>15.36</v>
      </c>
      <c r="J1450" s="3565">
        <v>783858</v>
      </c>
      <c r="K1450" s="3565">
        <v>9999.4599999999991</v>
      </c>
      <c r="L1450" s="3565">
        <v>12436.27</v>
      </c>
      <c r="M1450" s="3565">
        <v>0</v>
      </c>
      <c r="N1450" s="3565">
        <v>0</v>
      </c>
      <c r="O1450" s="3563" t="s">
        <v>3453</v>
      </c>
    </row>
    <row r="1451" spans="1:15">
      <c r="A1451" s="3563" t="s">
        <v>5662</v>
      </c>
      <c r="B1451" s="3563" t="s">
        <v>4196</v>
      </c>
      <c r="C1451" s="3563" t="s">
        <v>4197</v>
      </c>
      <c r="D1451" s="3563" t="s">
        <v>4796</v>
      </c>
      <c r="E1451" s="3563" t="s">
        <v>4520</v>
      </c>
      <c r="F1451" s="3563" t="s">
        <v>4797</v>
      </c>
      <c r="G1451" s="3564">
        <v>109.99</v>
      </c>
      <c r="H1451" s="3564">
        <v>88.44</v>
      </c>
      <c r="I1451" s="3564">
        <v>21.55</v>
      </c>
      <c r="J1451" s="3565">
        <v>1151045</v>
      </c>
      <c r="K1451" s="3565">
        <v>10465</v>
      </c>
      <c r="L1451" s="3565">
        <v>13014.98</v>
      </c>
      <c r="M1451" s="3565">
        <v>0</v>
      </c>
      <c r="N1451" s="3565">
        <v>0</v>
      </c>
      <c r="O1451" s="3563" t="s">
        <v>3453</v>
      </c>
    </row>
    <row r="1452" spans="1:15">
      <c r="A1452" s="3563" t="s">
        <v>5663</v>
      </c>
      <c r="B1452" s="3563" t="s">
        <v>4196</v>
      </c>
      <c r="C1452" s="3563" t="s">
        <v>4197</v>
      </c>
      <c r="D1452" s="3563" t="s">
        <v>4796</v>
      </c>
      <c r="E1452" s="3563" t="s">
        <v>4520</v>
      </c>
      <c r="F1452" s="3563" t="s">
        <v>4797</v>
      </c>
      <c r="G1452" s="3564">
        <v>101.66</v>
      </c>
      <c r="H1452" s="3564">
        <v>81.739999999999995</v>
      </c>
      <c r="I1452" s="3564">
        <v>19.920000000000002</v>
      </c>
      <c r="J1452" s="3565">
        <v>1090558</v>
      </c>
      <c r="K1452" s="3565">
        <v>10727.5</v>
      </c>
      <c r="L1452" s="3565">
        <v>13341.79</v>
      </c>
      <c r="M1452" s="3565">
        <v>0</v>
      </c>
      <c r="N1452" s="3565">
        <v>0</v>
      </c>
      <c r="O1452" s="3563" t="s">
        <v>3453</v>
      </c>
    </row>
    <row r="1453" spans="1:15">
      <c r="A1453" s="3563" t="s">
        <v>5664</v>
      </c>
      <c r="B1453" s="3563" t="s">
        <v>4196</v>
      </c>
      <c r="C1453" s="3563" t="s">
        <v>4197</v>
      </c>
      <c r="D1453" s="3563" t="s">
        <v>4796</v>
      </c>
      <c r="E1453" s="3563" t="s">
        <v>4520</v>
      </c>
      <c r="F1453" s="3563" t="s">
        <v>4797</v>
      </c>
      <c r="G1453" s="3564">
        <v>101.66</v>
      </c>
      <c r="H1453" s="3564">
        <v>81.739999999999995</v>
      </c>
      <c r="I1453" s="3564">
        <v>19.920000000000002</v>
      </c>
      <c r="J1453" s="3565">
        <v>1090558</v>
      </c>
      <c r="K1453" s="3565">
        <v>10727.5</v>
      </c>
      <c r="L1453" s="3565">
        <v>13341.79</v>
      </c>
      <c r="M1453" s="3565">
        <v>0</v>
      </c>
      <c r="N1453" s="3565">
        <v>0</v>
      </c>
      <c r="O1453" s="3563" t="s">
        <v>3453</v>
      </c>
    </row>
    <row r="1454" spans="1:15">
      <c r="A1454" s="3563" t="s">
        <v>5665</v>
      </c>
      <c r="B1454" s="3563" t="s">
        <v>4811</v>
      </c>
      <c r="C1454" s="3563" t="s">
        <v>4197</v>
      </c>
      <c r="D1454" s="3563" t="s">
        <v>4796</v>
      </c>
      <c r="E1454" s="3563" t="s">
        <v>4520</v>
      </c>
      <c r="F1454" s="3563" t="s">
        <v>4797</v>
      </c>
      <c r="G1454" s="3564">
        <v>90.52</v>
      </c>
      <c r="H1454" s="3564">
        <v>72.78</v>
      </c>
      <c r="I1454" s="3564">
        <v>17.739999999999998</v>
      </c>
      <c r="J1454" s="3565">
        <v>770342</v>
      </c>
      <c r="K1454" s="3565">
        <v>8510.19</v>
      </c>
      <c r="L1454" s="3565">
        <v>10584.53</v>
      </c>
      <c r="M1454" s="3565">
        <v>731825</v>
      </c>
      <c r="N1454" s="3565">
        <v>8084.68</v>
      </c>
      <c r="O1454" s="3566">
        <v>44185</v>
      </c>
    </row>
    <row r="1455" spans="1:15">
      <c r="A1455" s="3563" t="s">
        <v>5666</v>
      </c>
      <c r="B1455" s="3563" t="s">
        <v>5277</v>
      </c>
      <c r="C1455" s="3563" t="s">
        <v>4197</v>
      </c>
      <c r="D1455" s="3563" t="s">
        <v>4796</v>
      </c>
      <c r="E1455" s="3563" t="s">
        <v>4520</v>
      </c>
      <c r="F1455" s="3563" t="s">
        <v>4797</v>
      </c>
      <c r="G1455" s="3564">
        <v>78.39</v>
      </c>
      <c r="H1455" s="3564">
        <v>63.03</v>
      </c>
      <c r="I1455" s="3564">
        <v>15.36</v>
      </c>
      <c r="J1455" s="3565">
        <v>667113</v>
      </c>
      <c r="K1455" s="3565">
        <v>8510.18</v>
      </c>
      <c r="L1455" s="3565">
        <v>10584.06</v>
      </c>
      <c r="M1455" s="3565">
        <v>633758</v>
      </c>
      <c r="N1455" s="3565">
        <v>8084.68</v>
      </c>
      <c r="O1455" s="3566">
        <v>44187</v>
      </c>
    </row>
    <row r="1456" spans="1:15">
      <c r="A1456" s="3563" t="s">
        <v>5667</v>
      </c>
      <c r="B1456" s="3563" t="s">
        <v>5277</v>
      </c>
      <c r="C1456" s="3563" t="s">
        <v>4197</v>
      </c>
      <c r="D1456" s="3563" t="s">
        <v>4796</v>
      </c>
      <c r="E1456" s="3563" t="s">
        <v>4520</v>
      </c>
      <c r="F1456" s="3563" t="s">
        <v>4797</v>
      </c>
      <c r="G1456" s="3564">
        <v>78.39</v>
      </c>
      <c r="H1456" s="3564">
        <v>63.03</v>
      </c>
      <c r="I1456" s="3564">
        <v>15.36</v>
      </c>
      <c r="J1456" s="3565">
        <v>667113</v>
      </c>
      <c r="K1456" s="3565">
        <v>8510.18</v>
      </c>
      <c r="L1456" s="3565">
        <v>10584.06</v>
      </c>
      <c r="M1456" s="3565">
        <v>633758</v>
      </c>
      <c r="N1456" s="3565">
        <v>8084.68</v>
      </c>
      <c r="O1456" s="3566">
        <v>44186</v>
      </c>
    </row>
    <row r="1457" spans="1:15">
      <c r="A1457" s="3563" t="s">
        <v>5668</v>
      </c>
      <c r="B1457" s="3563" t="s">
        <v>5277</v>
      </c>
      <c r="C1457" s="3563" t="s">
        <v>4197</v>
      </c>
      <c r="D1457" s="3563" t="s">
        <v>4796</v>
      </c>
      <c r="E1457" s="3563" t="s">
        <v>4520</v>
      </c>
      <c r="F1457" s="3563" t="s">
        <v>4797</v>
      </c>
      <c r="G1457" s="3564">
        <v>109.99</v>
      </c>
      <c r="H1457" s="3564">
        <v>88.44</v>
      </c>
      <c r="I1457" s="3564">
        <v>21.55</v>
      </c>
      <c r="J1457" s="3565">
        <v>980783</v>
      </c>
      <c r="K1457" s="3565">
        <v>8917.02</v>
      </c>
      <c r="L1457" s="3565">
        <v>11089.81</v>
      </c>
      <c r="M1457" s="3565">
        <v>931744</v>
      </c>
      <c r="N1457" s="3565">
        <v>8471.17</v>
      </c>
      <c r="O1457" s="3566">
        <v>44188</v>
      </c>
    </row>
    <row r="1458" spans="1:15">
      <c r="A1458" s="3563" t="s">
        <v>5669</v>
      </c>
      <c r="B1458" s="3563" t="s">
        <v>5277</v>
      </c>
      <c r="C1458" s="3563" t="s">
        <v>4197</v>
      </c>
      <c r="D1458" s="3563" t="s">
        <v>4796</v>
      </c>
      <c r="E1458" s="3563" t="s">
        <v>4520</v>
      </c>
      <c r="F1458" s="3563" t="s">
        <v>4797</v>
      </c>
      <c r="G1458" s="3564">
        <v>101.66</v>
      </c>
      <c r="H1458" s="3564">
        <v>81.739999999999995</v>
      </c>
      <c r="I1458" s="3564">
        <v>19.920000000000002</v>
      </c>
      <c r="J1458" s="3565">
        <v>940031</v>
      </c>
      <c r="K1458" s="3565">
        <v>9246.81</v>
      </c>
      <c r="L1458" s="3565">
        <v>11500.26</v>
      </c>
      <c r="M1458" s="3565">
        <v>893030</v>
      </c>
      <c r="N1458" s="3565">
        <v>8784.48</v>
      </c>
      <c r="O1458" s="3566">
        <v>44188</v>
      </c>
    </row>
    <row r="1459" spans="1:15">
      <c r="A1459" s="3563" t="s">
        <v>5670</v>
      </c>
      <c r="B1459" s="3563" t="s">
        <v>5277</v>
      </c>
      <c r="C1459" s="3563" t="s">
        <v>4197</v>
      </c>
      <c r="D1459" s="3563" t="s">
        <v>4796</v>
      </c>
      <c r="E1459" s="3563" t="s">
        <v>4520</v>
      </c>
      <c r="F1459" s="3563" t="s">
        <v>4797</v>
      </c>
      <c r="G1459" s="3564">
        <v>101.66</v>
      </c>
      <c r="H1459" s="3564">
        <v>81.739999999999995</v>
      </c>
      <c r="I1459" s="3564">
        <v>19.920000000000002</v>
      </c>
      <c r="J1459" s="3565">
        <v>940031</v>
      </c>
      <c r="K1459" s="3565">
        <v>9246.81</v>
      </c>
      <c r="L1459" s="3565">
        <v>11500.26</v>
      </c>
      <c r="M1459" s="3565">
        <v>893030</v>
      </c>
      <c r="N1459" s="3565">
        <v>8784.48</v>
      </c>
      <c r="O1459" s="3566">
        <v>44188</v>
      </c>
    </row>
    <row r="1460" spans="1:15">
      <c r="A1460" s="3563" t="s">
        <v>5671</v>
      </c>
      <c r="B1460" s="3563" t="s">
        <v>5277</v>
      </c>
      <c r="C1460" s="3563" t="s">
        <v>4197</v>
      </c>
      <c r="D1460" s="3563" t="s">
        <v>4796</v>
      </c>
      <c r="E1460" s="3563" t="s">
        <v>4520</v>
      </c>
      <c r="F1460" s="3563" t="s">
        <v>4797</v>
      </c>
      <c r="G1460" s="3564">
        <v>90.52</v>
      </c>
      <c r="H1460" s="3564">
        <v>72.78</v>
      </c>
      <c r="I1460" s="3564">
        <v>17.739999999999998</v>
      </c>
      <c r="J1460" s="3565">
        <v>770342</v>
      </c>
      <c r="K1460" s="3565">
        <v>8510.19</v>
      </c>
      <c r="L1460" s="3565">
        <v>10584.53</v>
      </c>
      <c r="M1460" s="3565">
        <v>731825</v>
      </c>
      <c r="N1460" s="3565">
        <v>8084.68</v>
      </c>
      <c r="O1460" s="3566">
        <v>44186</v>
      </c>
    </row>
    <row r="1461" spans="1:15">
      <c r="A1461" s="3563" t="s">
        <v>5672</v>
      </c>
      <c r="B1461" s="3563" t="s">
        <v>4196</v>
      </c>
      <c r="C1461" s="3563" t="s">
        <v>4197</v>
      </c>
      <c r="D1461" s="3563" t="s">
        <v>4796</v>
      </c>
      <c r="E1461" s="3563" t="s">
        <v>4520</v>
      </c>
      <c r="F1461" s="3563" t="s">
        <v>4797</v>
      </c>
      <c r="G1461" s="3564">
        <v>78.39</v>
      </c>
      <c r="H1461" s="3564">
        <v>63.03</v>
      </c>
      <c r="I1461" s="3564">
        <v>15.36</v>
      </c>
      <c r="J1461" s="3565">
        <v>788015</v>
      </c>
      <c r="K1461" s="3565">
        <v>10052.49</v>
      </c>
      <c r="L1461" s="3565">
        <v>12502.22</v>
      </c>
      <c r="M1461" s="3565">
        <v>0</v>
      </c>
      <c r="N1461" s="3565">
        <v>0</v>
      </c>
      <c r="O1461" s="3563" t="s">
        <v>3453</v>
      </c>
    </row>
    <row r="1462" spans="1:15">
      <c r="A1462" s="3563" t="s">
        <v>5673</v>
      </c>
      <c r="B1462" s="3563" t="s">
        <v>4811</v>
      </c>
      <c r="C1462" s="3563" t="s">
        <v>4197</v>
      </c>
      <c r="D1462" s="3563" t="s">
        <v>4796</v>
      </c>
      <c r="E1462" s="3563" t="s">
        <v>4520</v>
      </c>
      <c r="F1462" s="3563" t="s">
        <v>4797</v>
      </c>
      <c r="G1462" s="3564">
        <v>78.39</v>
      </c>
      <c r="H1462" s="3564">
        <v>63.03</v>
      </c>
      <c r="I1462" s="3564">
        <v>15.36</v>
      </c>
      <c r="J1462" s="3565">
        <v>670652</v>
      </c>
      <c r="K1462" s="3565">
        <v>8555.33</v>
      </c>
      <c r="L1462" s="3565">
        <v>10640.2</v>
      </c>
      <c r="M1462" s="3565">
        <v>637120</v>
      </c>
      <c r="N1462" s="3565">
        <v>8127.57</v>
      </c>
      <c r="O1462" s="3566">
        <v>44186</v>
      </c>
    </row>
    <row r="1463" spans="1:15">
      <c r="A1463" s="3563" t="s">
        <v>5674</v>
      </c>
      <c r="B1463" s="3563" t="s">
        <v>5277</v>
      </c>
      <c r="C1463" s="3563" t="s">
        <v>4197</v>
      </c>
      <c r="D1463" s="3563" t="s">
        <v>4796</v>
      </c>
      <c r="E1463" s="3563" t="s">
        <v>4520</v>
      </c>
      <c r="F1463" s="3563" t="s">
        <v>4797</v>
      </c>
      <c r="G1463" s="3564">
        <v>109.99</v>
      </c>
      <c r="H1463" s="3564">
        <v>88.44</v>
      </c>
      <c r="I1463" s="3564">
        <v>21.55</v>
      </c>
      <c r="J1463" s="3565">
        <v>993655</v>
      </c>
      <c r="K1463" s="3565">
        <v>9034.0499999999993</v>
      </c>
      <c r="L1463" s="3565">
        <v>11235.36</v>
      </c>
      <c r="M1463" s="3565">
        <v>943973</v>
      </c>
      <c r="N1463" s="3565">
        <v>8582.35</v>
      </c>
      <c r="O1463" s="3566">
        <v>44188</v>
      </c>
    </row>
    <row r="1464" spans="1:15">
      <c r="A1464" s="3563" t="s">
        <v>5675</v>
      </c>
      <c r="B1464" s="3563" t="s">
        <v>4811</v>
      </c>
      <c r="C1464" s="3563" t="s">
        <v>4197</v>
      </c>
      <c r="D1464" s="3563" t="s">
        <v>4796</v>
      </c>
      <c r="E1464" s="3563" t="s">
        <v>4520</v>
      </c>
      <c r="F1464" s="3563" t="s">
        <v>4797</v>
      </c>
      <c r="G1464" s="3564">
        <v>101.66</v>
      </c>
      <c r="H1464" s="3564">
        <v>81.739999999999995</v>
      </c>
      <c r="I1464" s="3564">
        <v>19.920000000000002</v>
      </c>
      <c r="J1464" s="3565">
        <v>941112</v>
      </c>
      <c r="K1464" s="3565">
        <v>9257.4500000000007</v>
      </c>
      <c r="L1464" s="3565">
        <v>11513.48</v>
      </c>
      <c r="M1464" s="3565">
        <v>884646</v>
      </c>
      <c r="N1464" s="3565">
        <v>8702.01</v>
      </c>
      <c r="O1464" s="3566">
        <v>44186</v>
      </c>
    </row>
    <row r="1465" spans="1:15">
      <c r="A1465" s="3563" t="s">
        <v>5676</v>
      </c>
      <c r="B1465" s="3563" t="s">
        <v>4811</v>
      </c>
      <c r="C1465" s="3563" t="s">
        <v>4197</v>
      </c>
      <c r="D1465" s="3563" t="s">
        <v>4796</v>
      </c>
      <c r="E1465" s="3563" t="s">
        <v>4520</v>
      </c>
      <c r="F1465" s="3563" t="s">
        <v>4797</v>
      </c>
      <c r="G1465" s="3564">
        <v>101.66</v>
      </c>
      <c r="H1465" s="3564">
        <v>81.739999999999995</v>
      </c>
      <c r="I1465" s="3564">
        <v>19.920000000000002</v>
      </c>
      <c r="J1465" s="3565">
        <v>941112</v>
      </c>
      <c r="K1465" s="3565">
        <v>9257.4500000000007</v>
      </c>
      <c r="L1465" s="3565">
        <v>11513.48</v>
      </c>
      <c r="M1465" s="3565">
        <v>884646</v>
      </c>
      <c r="N1465" s="3565">
        <v>8702.01</v>
      </c>
      <c r="O1465" s="3566">
        <v>44186</v>
      </c>
    </row>
    <row r="1466" spans="1:15">
      <c r="A1466" s="3563" t="s">
        <v>5677</v>
      </c>
      <c r="B1466" s="3563" t="s">
        <v>4811</v>
      </c>
      <c r="C1466" s="3563" t="s">
        <v>4197</v>
      </c>
      <c r="D1466" s="3563" t="s">
        <v>4796</v>
      </c>
      <c r="E1466" s="3563" t="s">
        <v>4520</v>
      </c>
      <c r="F1466" s="3563" t="s">
        <v>4797</v>
      </c>
      <c r="G1466" s="3564">
        <v>90.52</v>
      </c>
      <c r="H1466" s="3564">
        <v>72.78</v>
      </c>
      <c r="I1466" s="3564">
        <v>17.739999999999998</v>
      </c>
      <c r="J1466" s="3565">
        <v>770342</v>
      </c>
      <c r="K1466" s="3565">
        <v>8510.19</v>
      </c>
      <c r="L1466" s="3565">
        <v>10584.53</v>
      </c>
      <c r="M1466" s="3565">
        <v>724160</v>
      </c>
      <c r="N1466" s="3565">
        <v>8000</v>
      </c>
      <c r="O1466" s="3566">
        <v>44186</v>
      </c>
    </row>
    <row r="1467" spans="1:15">
      <c r="A1467" s="3563" t="s">
        <v>5678</v>
      </c>
      <c r="B1467" s="3563" t="s">
        <v>5277</v>
      </c>
      <c r="C1467" s="3563" t="s">
        <v>4197</v>
      </c>
      <c r="D1467" s="3563" t="s">
        <v>4796</v>
      </c>
      <c r="E1467" s="3563" t="s">
        <v>4520</v>
      </c>
      <c r="F1467" s="3563" t="s">
        <v>4797</v>
      </c>
      <c r="G1467" s="3564">
        <v>78.39</v>
      </c>
      <c r="H1467" s="3564">
        <v>63.03</v>
      </c>
      <c r="I1467" s="3564">
        <v>15.36</v>
      </c>
      <c r="J1467" s="3565">
        <v>671486</v>
      </c>
      <c r="K1467" s="3565">
        <v>8565.9699999999993</v>
      </c>
      <c r="L1467" s="3565">
        <v>10653.43</v>
      </c>
      <c r="M1467" s="3565">
        <v>637912</v>
      </c>
      <c r="N1467" s="3565">
        <v>8137.67</v>
      </c>
      <c r="O1467" s="3566">
        <v>44186</v>
      </c>
    </row>
    <row r="1468" spans="1:15">
      <c r="A1468" s="3563" t="s">
        <v>5679</v>
      </c>
      <c r="B1468" s="3563" t="s">
        <v>4196</v>
      </c>
      <c r="C1468" s="3563" t="s">
        <v>4197</v>
      </c>
      <c r="D1468" s="3563" t="s">
        <v>4796</v>
      </c>
      <c r="E1468" s="3563" t="s">
        <v>4520</v>
      </c>
      <c r="F1468" s="3563" t="s">
        <v>4797</v>
      </c>
      <c r="G1468" s="3564">
        <v>78.39</v>
      </c>
      <c r="H1468" s="3564">
        <v>63.03</v>
      </c>
      <c r="I1468" s="3564">
        <v>15.36</v>
      </c>
      <c r="J1468" s="3565">
        <v>788995</v>
      </c>
      <c r="K1468" s="3565">
        <v>10065</v>
      </c>
      <c r="L1468" s="3565">
        <v>12517.77</v>
      </c>
      <c r="M1468" s="3565">
        <v>0</v>
      </c>
      <c r="N1468" s="3565">
        <v>0</v>
      </c>
      <c r="O1468" s="3563" t="s">
        <v>3453</v>
      </c>
    </row>
    <row r="1469" spans="1:15">
      <c r="A1469" s="3563" t="s">
        <v>5680</v>
      </c>
      <c r="B1469" s="3563" t="s">
        <v>4811</v>
      </c>
      <c r="C1469" s="3563" t="s">
        <v>4197</v>
      </c>
      <c r="D1469" s="3563" t="s">
        <v>4796</v>
      </c>
      <c r="E1469" s="3563" t="s">
        <v>4520</v>
      </c>
      <c r="F1469" s="3563" t="s">
        <v>4797</v>
      </c>
      <c r="G1469" s="3564">
        <v>109.99</v>
      </c>
      <c r="H1469" s="3564">
        <v>88.44</v>
      </c>
      <c r="I1469" s="3564">
        <v>21.55</v>
      </c>
      <c r="J1469" s="3565">
        <v>994825</v>
      </c>
      <c r="K1469" s="3565">
        <v>9044.69</v>
      </c>
      <c r="L1469" s="3565">
        <v>11248.59</v>
      </c>
      <c r="M1469" s="3565">
        <v>935136</v>
      </c>
      <c r="N1469" s="3565">
        <v>8502.01</v>
      </c>
      <c r="O1469" s="3566">
        <v>44186</v>
      </c>
    </row>
    <row r="1470" spans="1:15">
      <c r="A1470" s="3563" t="s">
        <v>5681</v>
      </c>
      <c r="B1470" s="3563" t="s">
        <v>5277</v>
      </c>
      <c r="C1470" s="3563" t="s">
        <v>4197</v>
      </c>
      <c r="D1470" s="3563" t="s">
        <v>4796</v>
      </c>
      <c r="E1470" s="3563" t="s">
        <v>4520</v>
      </c>
      <c r="F1470" s="3563" t="s">
        <v>4797</v>
      </c>
      <c r="G1470" s="3564">
        <v>101.66</v>
      </c>
      <c r="H1470" s="3564">
        <v>81.739999999999995</v>
      </c>
      <c r="I1470" s="3564">
        <v>19.920000000000002</v>
      </c>
      <c r="J1470" s="3565">
        <v>942194</v>
      </c>
      <c r="K1470" s="3565">
        <v>9268.09</v>
      </c>
      <c r="L1470" s="3565">
        <v>11526.72</v>
      </c>
      <c r="M1470" s="3565">
        <v>895085</v>
      </c>
      <c r="N1470" s="3565">
        <v>8804.69</v>
      </c>
      <c r="O1470" s="3566">
        <v>44186</v>
      </c>
    </row>
    <row r="1471" spans="1:15">
      <c r="A1471" s="3563" t="s">
        <v>5682</v>
      </c>
      <c r="B1471" s="3563" t="s">
        <v>4811</v>
      </c>
      <c r="C1471" s="3563" t="s">
        <v>4197</v>
      </c>
      <c r="D1471" s="3563" t="s">
        <v>4796</v>
      </c>
      <c r="E1471" s="3563" t="s">
        <v>4520</v>
      </c>
      <c r="F1471" s="3563" t="s">
        <v>4797</v>
      </c>
      <c r="G1471" s="3564">
        <v>101.66</v>
      </c>
      <c r="H1471" s="3564">
        <v>81.739999999999995</v>
      </c>
      <c r="I1471" s="3564">
        <v>19.920000000000002</v>
      </c>
      <c r="J1471" s="3565">
        <v>942194</v>
      </c>
      <c r="K1471" s="3565">
        <v>9268.09</v>
      </c>
      <c r="L1471" s="3565">
        <v>11526.72</v>
      </c>
      <c r="M1471" s="3565">
        <v>942194</v>
      </c>
      <c r="N1471" s="3565">
        <v>9268.09</v>
      </c>
      <c r="O1471" s="3566">
        <v>44186</v>
      </c>
    </row>
    <row r="1472" spans="1:15">
      <c r="A1472" s="3563" t="s">
        <v>5683</v>
      </c>
      <c r="B1472" s="3563" t="s">
        <v>4196</v>
      </c>
      <c r="C1472" s="3563" t="s">
        <v>4197</v>
      </c>
      <c r="D1472" s="3563" t="s">
        <v>4796</v>
      </c>
      <c r="E1472" s="3563" t="s">
        <v>4520</v>
      </c>
      <c r="F1472" s="3563" t="s">
        <v>4797</v>
      </c>
      <c r="G1472" s="3564">
        <v>90.52</v>
      </c>
      <c r="H1472" s="3564">
        <v>72.78</v>
      </c>
      <c r="I1472" s="3564">
        <v>17.739999999999998</v>
      </c>
      <c r="J1472" s="3565">
        <v>905152</v>
      </c>
      <c r="K1472" s="3565">
        <v>9999.4699999999993</v>
      </c>
      <c r="L1472" s="3565">
        <v>12436.82</v>
      </c>
      <c r="M1472" s="3565">
        <v>0</v>
      </c>
      <c r="N1472" s="3565">
        <v>0</v>
      </c>
      <c r="O1472" s="3563" t="s">
        <v>3453</v>
      </c>
    </row>
    <row r="1473" spans="1:15">
      <c r="A1473" s="3563" t="s">
        <v>5684</v>
      </c>
      <c r="B1473" s="3563" t="s">
        <v>4811</v>
      </c>
      <c r="C1473" s="3563" t="s">
        <v>4197</v>
      </c>
      <c r="D1473" s="3563" t="s">
        <v>4796</v>
      </c>
      <c r="E1473" s="3563" t="s">
        <v>4520</v>
      </c>
      <c r="F1473" s="3563" t="s">
        <v>4797</v>
      </c>
      <c r="G1473" s="3564">
        <v>78.39</v>
      </c>
      <c r="H1473" s="3564">
        <v>63.03</v>
      </c>
      <c r="I1473" s="3564">
        <v>15.36</v>
      </c>
      <c r="J1473" s="3565">
        <v>672320</v>
      </c>
      <c r="K1473" s="3565">
        <v>8576.6</v>
      </c>
      <c r="L1473" s="3565">
        <v>10666.67</v>
      </c>
      <c r="M1473" s="3565">
        <v>638704</v>
      </c>
      <c r="N1473" s="3565">
        <v>8147.77</v>
      </c>
      <c r="O1473" s="3566">
        <v>44188</v>
      </c>
    </row>
    <row r="1474" spans="1:15">
      <c r="A1474" s="3563" t="s">
        <v>5685</v>
      </c>
      <c r="B1474" s="3563" t="s">
        <v>5277</v>
      </c>
      <c r="C1474" s="3563" t="s">
        <v>4197</v>
      </c>
      <c r="D1474" s="3563" t="s">
        <v>4796</v>
      </c>
      <c r="E1474" s="3563" t="s">
        <v>4520</v>
      </c>
      <c r="F1474" s="3563" t="s">
        <v>4797</v>
      </c>
      <c r="G1474" s="3564">
        <v>78.39</v>
      </c>
      <c r="H1474" s="3564">
        <v>63.03</v>
      </c>
      <c r="I1474" s="3564">
        <v>15.36</v>
      </c>
      <c r="J1474" s="3565">
        <v>672320</v>
      </c>
      <c r="K1474" s="3565">
        <v>8576.6</v>
      </c>
      <c r="L1474" s="3565">
        <v>10666.67</v>
      </c>
      <c r="M1474" s="3565">
        <v>638704</v>
      </c>
      <c r="N1474" s="3565">
        <v>8147.77</v>
      </c>
      <c r="O1474" s="3566">
        <v>44188</v>
      </c>
    </row>
    <row r="1475" spans="1:15">
      <c r="A1475" s="3563" t="s">
        <v>5686</v>
      </c>
      <c r="B1475" s="3563" t="s">
        <v>4196</v>
      </c>
      <c r="C1475" s="3563" t="s">
        <v>4197</v>
      </c>
      <c r="D1475" s="3563" t="s">
        <v>4796</v>
      </c>
      <c r="E1475" s="3563" t="s">
        <v>4520</v>
      </c>
      <c r="F1475" s="3563" t="s">
        <v>4797</v>
      </c>
      <c r="G1475" s="3564">
        <v>109.99</v>
      </c>
      <c r="H1475" s="3564">
        <v>88.44</v>
      </c>
      <c r="I1475" s="3564">
        <v>21.55</v>
      </c>
      <c r="J1475" s="3565">
        <v>1170294</v>
      </c>
      <c r="K1475" s="3565">
        <v>10640</v>
      </c>
      <c r="L1475" s="3565">
        <v>13232.63</v>
      </c>
      <c r="M1475" s="3565">
        <v>0</v>
      </c>
      <c r="N1475" s="3565">
        <v>0</v>
      </c>
      <c r="O1475" s="3563" t="s">
        <v>3453</v>
      </c>
    </row>
    <row r="1476" spans="1:15">
      <c r="A1476" s="3563" t="s">
        <v>5687</v>
      </c>
      <c r="B1476" s="3563" t="s">
        <v>4196</v>
      </c>
      <c r="C1476" s="3563" t="s">
        <v>4197</v>
      </c>
      <c r="D1476" s="3563" t="s">
        <v>4796</v>
      </c>
      <c r="E1476" s="3563" t="s">
        <v>4609</v>
      </c>
      <c r="F1476" s="3563" t="s">
        <v>4797</v>
      </c>
      <c r="G1476" s="3564">
        <v>95.21</v>
      </c>
      <c r="H1476" s="3564">
        <v>81.739999999999995</v>
      </c>
      <c r="I1476" s="3564">
        <v>13.47</v>
      </c>
      <c r="J1476" s="3565">
        <v>974950</v>
      </c>
      <c r="K1476" s="3565">
        <v>10240</v>
      </c>
      <c r="L1476" s="3565">
        <v>11927.45</v>
      </c>
      <c r="M1476" s="3565">
        <v>0</v>
      </c>
      <c r="N1476" s="3565">
        <v>0</v>
      </c>
      <c r="O1476" s="3563" t="s">
        <v>3453</v>
      </c>
    </row>
    <row r="1477" spans="1:15">
      <c r="A1477" s="3563" t="s">
        <v>5688</v>
      </c>
      <c r="B1477" s="3563" t="s">
        <v>4196</v>
      </c>
      <c r="C1477" s="3563" t="s">
        <v>4197</v>
      </c>
      <c r="D1477" s="3563" t="s">
        <v>4796</v>
      </c>
      <c r="E1477" s="3563" t="s">
        <v>4609</v>
      </c>
      <c r="F1477" s="3563" t="s">
        <v>4797</v>
      </c>
      <c r="G1477" s="3564">
        <v>95.21</v>
      </c>
      <c r="H1477" s="3564">
        <v>81.739999999999995</v>
      </c>
      <c r="I1477" s="3564">
        <v>13.47</v>
      </c>
      <c r="J1477" s="3565">
        <v>963049</v>
      </c>
      <c r="K1477" s="3565">
        <v>10115</v>
      </c>
      <c r="L1477" s="3565">
        <v>11781.86</v>
      </c>
      <c r="M1477" s="3565">
        <v>0</v>
      </c>
      <c r="N1477" s="3565">
        <v>0</v>
      </c>
      <c r="O1477" s="3563" t="s">
        <v>3453</v>
      </c>
    </row>
    <row r="1478" spans="1:15">
      <c r="A1478" s="3563" t="s">
        <v>5689</v>
      </c>
      <c r="B1478" s="3563" t="s">
        <v>4196</v>
      </c>
      <c r="C1478" s="3563" t="s">
        <v>4197</v>
      </c>
      <c r="D1478" s="3563" t="s">
        <v>4796</v>
      </c>
      <c r="E1478" s="3563" t="s">
        <v>4609</v>
      </c>
      <c r="F1478" s="3563" t="s">
        <v>4797</v>
      </c>
      <c r="G1478" s="3564">
        <v>84.78</v>
      </c>
      <c r="H1478" s="3564">
        <v>72.78</v>
      </c>
      <c r="I1478" s="3564">
        <v>12</v>
      </c>
      <c r="J1478" s="3565">
        <v>847754</v>
      </c>
      <c r="K1478" s="3565">
        <v>9999.4599999999991</v>
      </c>
      <c r="L1478" s="3565">
        <v>11648.17</v>
      </c>
      <c r="M1478" s="3565">
        <v>0</v>
      </c>
      <c r="N1478" s="3565">
        <v>0</v>
      </c>
      <c r="O1478" s="3563" t="s">
        <v>3453</v>
      </c>
    </row>
    <row r="1479" spans="1:15">
      <c r="A1479" s="3563" t="s">
        <v>5690</v>
      </c>
      <c r="B1479" s="3563" t="s">
        <v>4196</v>
      </c>
      <c r="C1479" s="3563" t="s">
        <v>4197</v>
      </c>
      <c r="D1479" s="3563" t="s">
        <v>4796</v>
      </c>
      <c r="E1479" s="3563" t="s">
        <v>4609</v>
      </c>
      <c r="F1479" s="3563" t="s">
        <v>4797</v>
      </c>
      <c r="G1479" s="3564">
        <v>73.42</v>
      </c>
      <c r="H1479" s="3564">
        <v>63.03</v>
      </c>
      <c r="I1479" s="3564">
        <v>10.39</v>
      </c>
      <c r="J1479" s="3565">
        <v>734160</v>
      </c>
      <c r="K1479" s="3565">
        <v>9999.4599999999991</v>
      </c>
      <c r="L1479" s="3565">
        <v>11647.79</v>
      </c>
      <c r="M1479" s="3565">
        <v>0</v>
      </c>
      <c r="N1479" s="3565">
        <v>0</v>
      </c>
      <c r="O1479" s="3563" t="s">
        <v>3453</v>
      </c>
    </row>
    <row r="1480" spans="1:15">
      <c r="A1480" s="3563" t="s">
        <v>5691</v>
      </c>
      <c r="B1480" s="3563" t="s">
        <v>4196</v>
      </c>
      <c r="C1480" s="3563" t="s">
        <v>4197</v>
      </c>
      <c r="D1480" s="3563" t="s">
        <v>4796</v>
      </c>
      <c r="E1480" s="3563" t="s">
        <v>4609</v>
      </c>
      <c r="F1480" s="3563" t="s">
        <v>4797</v>
      </c>
      <c r="G1480" s="3564">
        <v>73.42</v>
      </c>
      <c r="H1480" s="3564">
        <v>63.03</v>
      </c>
      <c r="I1480" s="3564">
        <v>10.39</v>
      </c>
      <c r="J1480" s="3565">
        <v>734160</v>
      </c>
      <c r="K1480" s="3565">
        <v>9999.4599999999991</v>
      </c>
      <c r="L1480" s="3565">
        <v>11647.79</v>
      </c>
      <c r="M1480" s="3565">
        <v>0</v>
      </c>
      <c r="N1480" s="3565">
        <v>0</v>
      </c>
      <c r="O1480" s="3563" t="s">
        <v>3453</v>
      </c>
    </row>
    <row r="1481" spans="1:15">
      <c r="A1481" s="3563" t="s">
        <v>5692</v>
      </c>
      <c r="B1481" s="3563" t="s">
        <v>3453</v>
      </c>
      <c r="C1481" s="3563" t="s">
        <v>4197</v>
      </c>
      <c r="D1481" s="3563" t="s">
        <v>4796</v>
      </c>
      <c r="E1481" s="3563" t="s">
        <v>4609</v>
      </c>
      <c r="F1481" s="3563" t="s">
        <v>4797</v>
      </c>
      <c r="G1481" s="3564">
        <v>101.66</v>
      </c>
      <c r="H1481" s="3564">
        <v>81.739999999999995</v>
      </c>
      <c r="I1481" s="3564">
        <v>19.920000000000002</v>
      </c>
      <c r="J1481" s="3565">
        <v>1108349</v>
      </c>
      <c r="K1481" s="3565">
        <v>10902.51</v>
      </c>
      <c r="L1481" s="3565">
        <v>13559.44</v>
      </c>
      <c r="M1481" s="3565">
        <v>0</v>
      </c>
      <c r="N1481" s="3565">
        <v>0</v>
      </c>
      <c r="O1481" s="3563" t="s">
        <v>3453</v>
      </c>
    </row>
    <row r="1482" spans="1:15">
      <c r="A1482" s="3563" t="s">
        <v>5693</v>
      </c>
      <c r="B1482" s="3563" t="s">
        <v>4196</v>
      </c>
      <c r="C1482" s="3563" t="s">
        <v>4197</v>
      </c>
      <c r="D1482" s="3563" t="s">
        <v>4796</v>
      </c>
      <c r="E1482" s="3563" t="s">
        <v>4609</v>
      </c>
      <c r="F1482" s="3563" t="s">
        <v>4797</v>
      </c>
      <c r="G1482" s="3564">
        <v>101.66</v>
      </c>
      <c r="H1482" s="3564">
        <v>81.739999999999995</v>
      </c>
      <c r="I1482" s="3564">
        <v>19.920000000000002</v>
      </c>
      <c r="J1482" s="3565">
        <v>1108349</v>
      </c>
      <c r="K1482" s="3565">
        <v>10902.51</v>
      </c>
      <c r="L1482" s="3565">
        <v>13559.44</v>
      </c>
      <c r="M1482" s="3565">
        <v>0</v>
      </c>
      <c r="N1482" s="3565">
        <v>0</v>
      </c>
      <c r="O1482" s="3563" t="s">
        <v>3453</v>
      </c>
    </row>
    <row r="1483" spans="1:15">
      <c r="A1483" s="3563" t="s">
        <v>5694</v>
      </c>
      <c r="B1483" s="3563" t="s">
        <v>4811</v>
      </c>
      <c r="C1483" s="3563" t="s">
        <v>4197</v>
      </c>
      <c r="D1483" s="3563" t="s">
        <v>4796</v>
      </c>
      <c r="E1483" s="3563" t="s">
        <v>4609</v>
      </c>
      <c r="F1483" s="3563" t="s">
        <v>4797</v>
      </c>
      <c r="G1483" s="3564">
        <v>90.52</v>
      </c>
      <c r="H1483" s="3564">
        <v>72.78</v>
      </c>
      <c r="I1483" s="3564">
        <v>17.739999999999998</v>
      </c>
      <c r="J1483" s="3565">
        <v>770342</v>
      </c>
      <c r="K1483" s="3565">
        <v>8510.19</v>
      </c>
      <c r="L1483" s="3565">
        <v>10584.53</v>
      </c>
      <c r="M1483" s="3565">
        <v>731825</v>
      </c>
      <c r="N1483" s="3565">
        <v>8084.68</v>
      </c>
      <c r="O1483" s="3566">
        <v>44189</v>
      </c>
    </row>
    <row r="1484" spans="1:15">
      <c r="A1484" s="3563" t="s">
        <v>5695</v>
      </c>
      <c r="B1484" s="3563" t="s">
        <v>4196</v>
      </c>
      <c r="C1484" s="3563" t="s">
        <v>4197</v>
      </c>
      <c r="D1484" s="3563" t="s">
        <v>4796</v>
      </c>
      <c r="E1484" s="3563" t="s">
        <v>4609</v>
      </c>
      <c r="F1484" s="3563" t="s">
        <v>4797</v>
      </c>
      <c r="G1484" s="3564">
        <v>78.39</v>
      </c>
      <c r="H1484" s="3564">
        <v>63.03</v>
      </c>
      <c r="I1484" s="3564">
        <v>15.36</v>
      </c>
      <c r="J1484" s="3565">
        <v>790955</v>
      </c>
      <c r="K1484" s="3565">
        <v>10090</v>
      </c>
      <c r="L1484" s="3565">
        <v>12548.87</v>
      </c>
      <c r="M1484" s="3565">
        <v>0</v>
      </c>
      <c r="N1484" s="3565">
        <v>0</v>
      </c>
      <c r="O1484" s="3563" t="s">
        <v>3453</v>
      </c>
    </row>
    <row r="1485" spans="1:15">
      <c r="A1485" s="3563" t="s">
        <v>5696</v>
      </c>
      <c r="B1485" s="3563" t="s">
        <v>4811</v>
      </c>
      <c r="C1485" s="3563" t="s">
        <v>4197</v>
      </c>
      <c r="D1485" s="3563" t="s">
        <v>4796</v>
      </c>
      <c r="E1485" s="3563" t="s">
        <v>4609</v>
      </c>
      <c r="F1485" s="3563" t="s">
        <v>4797</v>
      </c>
      <c r="G1485" s="3564">
        <v>78.39</v>
      </c>
      <c r="H1485" s="3564">
        <v>63.03</v>
      </c>
      <c r="I1485" s="3564">
        <v>15.36</v>
      </c>
      <c r="J1485" s="3565">
        <v>673154</v>
      </c>
      <c r="K1485" s="3565">
        <v>8587.24</v>
      </c>
      <c r="L1485" s="3565">
        <v>10679.9</v>
      </c>
      <c r="M1485" s="3565">
        <v>639497</v>
      </c>
      <c r="N1485" s="3565">
        <v>8157.89</v>
      </c>
      <c r="O1485" s="3566">
        <v>44189</v>
      </c>
    </row>
    <row r="1486" spans="1:15">
      <c r="A1486" s="3563" t="s">
        <v>5697</v>
      </c>
      <c r="B1486" s="3563" t="s">
        <v>3453</v>
      </c>
      <c r="C1486" s="3563" t="s">
        <v>4197</v>
      </c>
      <c r="D1486" s="3563" t="s">
        <v>4796</v>
      </c>
      <c r="E1486" s="3563" t="s">
        <v>4609</v>
      </c>
      <c r="F1486" s="3563" t="s">
        <v>4797</v>
      </c>
      <c r="G1486" s="3564">
        <v>109.99</v>
      </c>
      <c r="H1486" s="3564">
        <v>88.44</v>
      </c>
      <c r="I1486" s="3564">
        <v>21.55</v>
      </c>
      <c r="J1486" s="3565">
        <v>1185418</v>
      </c>
      <c r="K1486" s="3565">
        <v>10777.51</v>
      </c>
      <c r="L1486" s="3565">
        <v>13403.64</v>
      </c>
      <c r="M1486" s="3565">
        <v>0</v>
      </c>
      <c r="N1486" s="3565">
        <v>0</v>
      </c>
      <c r="O1486" s="3563" t="s">
        <v>3453</v>
      </c>
    </row>
    <row r="1487" spans="1:15">
      <c r="A1487" s="3563" t="s">
        <v>5698</v>
      </c>
      <c r="B1487" s="3563" t="s">
        <v>4196</v>
      </c>
      <c r="C1487" s="3563" t="s">
        <v>4197</v>
      </c>
      <c r="D1487" s="3563" t="s">
        <v>4796</v>
      </c>
      <c r="E1487" s="3563" t="s">
        <v>4609</v>
      </c>
      <c r="F1487" s="3563" t="s">
        <v>4797</v>
      </c>
      <c r="G1487" s="3564">
        <v>101.66</v>
      </c>
      <c r="H1487" s="3564">
        <v>81.739999999999995</v>
      </c>
      <c r="I1487" s="3564">
        <v>19.920000000000002</v>
      </c>
      <c r="J1487" s="3565">
        <v>1109619</v>
      </c>
      <c r="K1487" s="3565">
        <v>10915</v>
      </c>
      <c r="L1487" s="3565">
        <v>13574.98</v>
      </c>
      <c r="M1487" s="3565">
        <v>0</v>
      </c>
      <c r="N1487" s="3565">
        <v>0</v>
      </c>
      <c r="O1487" s="3563" t="s">
        <v>3453</v>
      </c>
    </row>
    <row r="1488" spans="1:15">
      <c r="A1488" s="3563" t="s">
        <v>5699</v>
      </c>
      <c r="B1488" s="3563" t="s">
        <v>4196</v>
      </c>
      <c r="C1488" s="3563" t="s">
        <v>4197</v>
      </c>
      <c r="D1488" s="3563" t="s">
        <v>4796</v>
      </c>
      <c r="E1488" s="3563" t="s">
        <v>4609</v>
      </c>
      <c r="F1488" s="3563" t="s">
        <v>4797</v>
      </c>
      <c r="G1488" s="3564">
        <v>101.66</v>
      </c>
      <c r="H1488" s="3564">
        <v>81.739999999999995</v>
      </c>
      <c r="I1488" s="3564">
        <v>19.920000000000002</v>
      </c>
      <c r="J1488" s="3565">
        <v>1109619</v>
      </c>
      <c r="K1488" s="3565">
        <v>10915</v>
      </c>
      <c r="L1488" s="3565">
        <v>13574.98</v>
      </c>
      <c r="M1488" s="3565">
        <v>0</v>
      </c>
      <c r="N1488" s="3565">
        <v>0</v>
      </c>
      <c r="O1488" s="3563" t="s">
        <v>3453</v>
      </c>
    </row>
    <row r="1489" spans="1:15">
      <c r="A1489" s="3563" t="s">
        <v>5700</v>
      </c>
      <c r="B1489" s="3563" t="s">
        <v>4811</v>
      </c>
      <c r="C1489" s="3563" t="s">
        <v>4197</v>
      </c>
      <c r="D1489" s="3563" t="s">
        <v>4796</v>
      </c>
      <c r="E1489" s="3563" t="s">
        <v>4609</v>
      </c>
      <c r="F1489" s="3563" t="s">
        <v>4797</v>
      </c>
      <c r="G1489" s="3564">
        <v>90.52</v>
      </c>
      <c r="H1489" s="3564">
        <v>72.78</v>
      </c>
      <c r="I1489" s="3564">
        <v>17.739999999999998</v>
      </c>
      <c r="J1489" s="3565">
        <v>771015</v>
      </c>
      <c r="K1489" s="3565">
        <v>8517.6200000000008</v>
      </c>
      <c r="L1489" s="3565">
        <v>10593.78</v>
      </c>
      <c r="M1489" s="3565">
        <v>732465</v>
      </c>
      <c r="N1489" s="3565">
        <v>8091.75</v>
      </c>
      <c r="O1489" s="3566">
        <v>44189</v>
      </c>
    </row>
    <row r="1490" spans="1:15">
      <c r="A1490" s="3563" t="s">
        <v>5701</v>
      </c>
      <c r="B1490" s="3563" t="s">
        <v>4196</v>
      </c>
      <c r="C1490" s="3563" t="s">
        <v>4197</v>
      </c>
      <c r="D1490" s="3563" t="s">
        <v>4796</v>
      </c>
      <c r="E1490" s="3563" t="s">
        <v>4609</v>
      </c>
      <c r="F1490" s="3563" t="s">
        <v>4797</v>
      </c>
      <c r="G1490" s="3564">
        <v>78.39</v>
      </c>
      <c r="H1490" s="3564">
        <v>63.03</v>
      </c>
      <c r="I1490" s="3564">
        <v>15.36</v>
      </c>
      <c r="J1490" s="3565">
        <v>791935</v>
      </c>
      <c r="K1490" s="3565">
        <v>10102.5</v>
      </c>
      <c r="L1490" s="3565">
        <v>12564.41</v>
      </c>
      <c r="M1490" s="3565">
        <v>0</v>
      </c>
      <c r="N1490" s="3565">
        <v>0</v>
      </c>
      <c r="O1490" s="3563" t="s">
        <v>3453</v>
      </c>
    </row>
    <row r="1491" spans="1:15">
      <c r="A1491" s="3563" t="s">
        <v>5702</v>
      </c>
      <c r="B1491" s="3563" t="s">
        <v>5277</v>
      </c>
      <c r="C1491" s="3563" t="s">
        <v>4197</v>
      </c>
      <c r="D1491" s="3563" t="s">
        <v>4796</v>
      </c>
      <c r="E1491" s="3563" t="s">
        <v>4609</v>
      </c>
      <c r="F1491" s="3563" t="s">
        <v>4797</v>
      </c>
      <c r="G1491" s="3564">
        <v>78.39</v>
      </c>
      <c r="H1491" s="3564">
        <v>63.03</v>
      </c>
      <c r="I1491" s="3564">
        <v>15.36</v>
      </c>
      <c r="J1491" s="3565">
        <v>673988</v>
      </c>
      <c r="K1491" s="3565">
        <v>8597.8799999999992</v>
      </c>
      <c r="L1491" s="3565">
        <v>10693.13</v>
      </c>
      <c r="M1491" s="3565">
        <v>640289</v>
      </c>
      <c r="N1491" s="3565">
        <v>8167.99</v>
      </c>
      <c r="O1491" s="3566">
        <v>44189</v>
      </c>
    </row>
    <row r="1492" spans="1:15">
      <c r="A1492" s="3563" t="s">
        <v>5703</v>
      </c>
      <c r="B1492" s="3563" t="s">
        <v>4196</v>
      </c>
      <c r="C1492" s="3563" t="s">
        <v>4197</v>
      </c>
      <c r="D1492" s="3563" t="s">
        <v>4796</v>
      </c>
      <c r="E1492" s="3563" t="s">
        <v>4609</v>
      </c>
      <c r="F1492" s="3563" t="s">
        <v>4797</v>
      </c>
      <c r="G1492" s="3564">
        <v>109.99</v>
      </c>
      <c r="H1492" s="3564">
        <v>88.44</v>
      </c>
      <c r="I1492" s="3564">
        <v>21.55</v>
      </c>
      <c r="J1492" s="3565">
        <v>1186793</v>
      </c>
      <c r="K1492" s="3565">
        <v>10790.01</v>
      </c>
      <c r="L1492" s="3565">
        <v>13419.19</v>
      </c>
      <c r="M1492" s="3565">
        <v>0</v>
      </c>
      <c r="N1492" s="3565">
        <v>0</v>
      </c>
      <c r="O1492" s="3563" t="s">
        <v>3453</v>
      </c>
    </row>
    <row r="1493" spans="1:15">
      <c r="A1493" s="3563" t="s">
        <v>5704</v>
      </c>
      <c r="B1493" s="3563" t="s">
        <v>4196</v>
      </c>
      <c r="C1493" s="3563" t="s">
        <v>4197</v>
      </c>
      <c r="D1493" s="3563" t="s">
        <v>4796</v>
      </c>
      <c r="E1493" s="3563" t="s">
        <v>4609</v>
      </c>
      <c r="F1493" s="3563" t="s">
        <v>4797</v>
      </c>
      <c r="G1493" s="3564">
        <v>101.66</v>
      </c>
      <c r="H1493" s="3564">
        <v>81.739999999999995</v>
      </c>
      <c r="I1493" s="3564">
        <v>19.920000000000002</v>
      </c>
      <c r="J1493" s="3565">
        <v>1110890</v>
      </c>
      <c r="K1493" s="3565">
        <v>10927.5</v>
      </c>
      <c r="L1493" s="3565">
        <v>13590.53</v>
      </c>
      <c r="M1493" s="3565">
        <v>0</v>
      </c>
      <c r="N1493" s="3565">
        <v>0</v>
      </c>
      <c r="O1493" s="3563" t="s">
        <v>3453</v>
      </c>
    </row>
    <row r="1494" spans="1:15">
      <c r="A1494" s="3563" t="s">
        <v>5705</v>
      </c>
      <c r="B1494" s="3563" t="s">
        <v>4196</v>
      </c>
      <c r="C1494" s="3563" t="s">
        <v>4197</v>
      </c>
      <c r="D1494" s="3563" t="s">
        <v>4796</v>
      </c>
      <c r="E1494" s="3563" t="s">
        <v>4609</v>
      </c>
      <c r="F1494" s="3563" t="s">
        <v>4797</v>
      </c>
      <c r="G1494" s="3564">
        <v>101.66</v>
      </c>
      <c r="H1494" s="3564">
        <v>81.739999999999995</v>
      </c>
      <c r="I1494" s="3564">
        <v>19.920000000000002</v>
      </c>
      <c r="J1494" s="3565">
        <v>1110890</v>
      </c>
      <c r="K1494" s="3565">
        <v>10927.5</v>
      </c>
      <c r="L1494" s="3565">
        <v>13590.53</v>
      </c>
      <c r="M1494" s="3565">
        <v>0</v>
      </c>
      <c r="N1494" s="3565">
        <v>0</v>
      </c>
      <c r="O1494" s="3563" t="s">
        <v>3453</v>
      </c>
    </row>
    <row r="1495" spans="1:15">
      <c r="A1495" s="3563" t="s">
        <v>5706</v>
      </c>
      <c r="B1495" s="3563" t="s">
        <v>4811</v>
      </c>
      <c r="C1495" s="3563" t="s">
        <v>4197</v>
      </c>
      <c r="D1495" s="3563" t="s">
        <v>4796</v>
      </c>
      <c r="E1495" s="3563" t="s">
        <v>4609</v>
      </c>
      <c r="F1495" s="3563" t="s">
        <v>4797</v>
      </c>
      <c r="G1495" s="3564">
        <v>90.52</v>
      </c>
      <c r="H1495" s="3564">
        <v>72.78</v>
      </c>
      <c r="I1495" s="3564">
        <v>17.739999999999998</v>
      </c>
      <c r="J1495" s="3565">
        <v>771979</v>
      </c>
      <c r="K1495" s="3565">
        <v>8528.27</v>
      </c>
      <c r="L1495" s="3565">
        <v>10607.02</v>
      </c>
      <c r="M1495" s="3565">
        <v>733381</v>
      </c>
      <c r="N1495" s="3565">
        <v>8101.87</v>
      </c>
      <c r="O1495" s="3566">
        <v>44189</v>
      </c>
    </row>
    <row r="1496" spans="1:15">
      <c r="A1496" s="3563" t="s">
        <v>5707</v>
      </c>
      <c r="B1496" s="3563" t="s">
        <v>4196</v>
      </c>
      <c r="C1496" s="3563" t="s">
        <v>4197</v>
      </c>
      <c r="D1496" s="3563" t="s">
        <v>4796</v>
      </c>
      <c r="E1496" s="3563" t="s">
        <v>4609</v>
      </c>
      <c r="F1496" s="3563" t="s">
        <v>4797</v>
      </c>
      <c r="G1496" s="3564">
        <v>78.39</v>
      </c>
      <c r="H1496" s="3564">
        <v>63.03</v>
      </c>
      <c r="I1496" s="3564">
        <v>15.36</v>
      </c>
      <c r="J1496" s="3565">
        <v>792915</v>
      </c>
      <c r="K1496" s="3565">
        <v>10115</v>
      </c>
      <c r="L1496" s="3565">
        <v>12579.96</v>
      </c>
      <c r="M1496" s="3565">
        <v>0</v>
      </c>
      <c r="N1496" s="3565">
        <v>0</v>
      </c>
      <c r="O1496" s="3563" t="s">
        <v>3453</v>
      </c>
    </row>
    <row r="1497" spans="1:15">
      <c r="A1497" s="3563" t="s">
        <v>5708</v>
      </c>
      <c r="B1497" s="3563" t="s">
        <v>4196</v>
      </c>
      <c r="C1497" s="3563" t="s">
        <v>4197</v>
      </c>
      <c r="D1497" s="3563" t="s">
        <v>4796</v>
      </c>
      <c r="E1497" s="3563" t="s">
        <v>4609</v>
      </c>
      <c r="F1497" s="3563" t="s">
        <v>4797</v>
      </c>
      <c r="G1497" s="3564">
        <v>78.39</v>
      </c>
      <c r="H1497" s="3564">
        <v>63.03</v>
      </c>
      <c r="I1497" s="3564">
        <v>15.36</v>
      </c>
      <c r="J1497" s="3565">
        <v>792915</v>
      </c>
      <c r="K1497" s="3565">
        <v>10115</v>
      </c>
      <c r="L1497" s="3565">
        <v>12579.96</v>
      </c>
      <c r="M1497" s="3565">
        <v>0</v>
      </c>
      <c r="N1497" s="3565">
        <v>0</v>
      </c>
      <c r="O1497" s="3563" t="s">
        <v>3453</v>
      </c>
    </row>
    <row r="1498" spans="1:15">
      <c r="A1498" s="3563" t="s">
        <v>5709</v>
      </c>
      <c r="B1498" s="3563" t="s">
        <v>5277</v>
      </c>
      <c r="C1498" s="3563" t="s">
        <v>4197</v>
      </c>
      <c r="D1498" s="3563" t="s">
        <v>4796</v>
      </c>
      <c r="E1498" s="3563" t="s">
        <v>4609</v>
      </c>
      <c r="F1498" s="3563" t="s">
        <v>4797</v>
      </c>
      <c r="G1498" s="3564">
        <v>109.99</v>
      </c>
      <c r="H1498" s="3564">
        <v>88.44</v>
      </c>
      <c r="I1498" s="3564">
        <v>21.55</v>
      </c>
      <c r="J1498" s="3565">
        <v>1011207</v>
      </c>
      <c r="K1498" s="3565">
        <v>9193.6299999999992</v>
      </c>
      <c r="L1498" s="3565">
        <v>11433.82</v>
      </c>
      <c r="M1498" s="3565">
        <v>960647</v>
      </c>
      <c r="N1498" s="3565">
        <v>8733.9500000000007</v>
      </c>
      <c r="O1498" s="3566">
        <v>44189</v>
      </c>
    </row>
    <row r="1499" spans="1:15">
      <c r="A1499" s="3563" t="s">
        <v>5710</v>
      </c>
      <c r="B1499" s="3563" t="s">
        <v>4196</v>
      </c>
      <c r="C1499" s="3563" t="s">
        <v>4197</v>
      </c>
      <c r="D1499" s="3563" t="s">
        <v>4796</v>
      </c>
      <c r="E1499" s="3563" t="s">
        <v>4609</v>
      </c>
      <c r="F1499" s="3563" t="s">
        <v>4797</v>
      </c>
      <c r="G1499" s="3564">
        <v>101.66</v>
      </c>
      <c r="H1499" s="3564">
        <v>81.739999999999995</v>
      </c>
      <c r="I1499" s="3564">
        <v>19.920000000000002</v>
      </c>
      <c r="J1499" s="3565">
        <v>1112160</v>
      </c>
      <c r="K1499" s="3565">
        <v>10940</v>
      </c>
      <c r="L1499" s="3565">
        <v>13606.07</v>
      </c>
      <c r="M1499" s="3565">
        <v>0</v>
      </c>
      <c r="N1499" s="3565">
        <v>0</v>
      </c>
      <c r="O1499" s="3563" t="s">
        <v>3453</v>
      </c>
    </row>
    <row r="1500" spans="1:15">
      <c r="A1500" s="3563" t="s">
        <v>5711</v>
      </c>
      <c r="B1500" s="3563" t="s">
        <v>4196</v>
      </c>
      <c r="C1500" s="3563" t="s">
        <v>4197</v>
      </c>
      <c r="D1500" s="3563" t="s">
        <v>4796</v>
      </c>
      <c r="E1500" s="3563" t="s">
        <v>4609</v>
      </c>
      <c r="F1500" s="3563" t="s">
        <v>4797</v>
      </c>
      <c r="G1500" s="3564">
        <v>101.66</v>
      </c>
      <c r="H1500" s="3564">
        <v>81.739999999999995</v>
      </c>
      <c r="I1500" s="3564">
        <v>19.920000000000002</v>
      </c>
      <c r="J1500" s="3565">
        <v>1112160</v>
      </c>
      <c r="K1500" s="3565">
        <v>10940</v>
      </c>
      <c r="L1500" s="3565">
        <v>13606.07</v>
      </c>
      <c r="M1500" s="3565">
        <v>0</v>
      </c>
      <c r="N1500" s="3565">
        <v>0</v>
      </c>
      <c r="O1500" s="3563" t="s">
        <v>3453</v>
      </c>
    </row>
    <row r="1501" spans="1:15">
      <c r="A1501" s="3563" t="s">
        <v>5712</v>
      </c>
      <c r="B1501" s="3563" t="s">
        <v>4811</v>
      </c>
      <c r="C1501" s="3563" t="s">
        <v>4197</v>
      </c>
      <c r="D1501" s="3563" t="s">
        <v>4796</v>
      </c>
      <c r="E1501" s="3563" t="s">
        <v>4609</v>
      </c>
      <c r="F1501" s="3563" t="s">
        <v>4797</v>
      </c>
      <c r="G1501" s="3564">
        <v>90.52</v>
      </c>
      <c r="H1501" s="3564">
        <v>72.78</v>
      </c>
      <c r="I1501" s="3564">
        <v>17.739999999999998</v>
      </c>
      <c r="J1501" s="3565">
        <v>772942</v>
      </c>
      <c r="K1501" s="3565">
        <v>8538.91</v>
      </c>
      <c r="L1501" s="3565">
        <v>10620.25</v>
      </c>
      <c r="M1501" s="3565">
        <v>734295</v>
      </c>
      <c r="N1501" s="3565">
        <v>8111.96</v>
      </c>
      <c r="O1501" s="3566">
        <v>44189</v>
      </c>
    </row>
    <row r="1502" spans="1:15">
      <c r="A1502" s="3563" t="s">
        <v>5713</v>
      </c>
      <c r="B1502" s="3563" t="s">
        <v>4196</v>
      </c>
      <c r="C1502" s="3563" t="s">
        <v>4197</v>
      </c>
      <c r="D1502" s="3563" t="s">
        <v>4796</v>
      </c>
      <c r="E1502" s="3563" t="s">
        <v>4609</v>
      </c>
      <c r="F1502" s="3563" t="s">
        <v>4797</v>
      </c>
      <c r="G1502" s="3564">
        <v>78.39</v>
      </c>
      <c r="H1502" s="3564">
        <v>63.03</v>
      </c>
      <c r="I1502" s="3564">
        <v>15.36</v>
      </c>
      <c r="J1502" s="3565">
        <v>793895</v>
      </c>
      <c r="K1502" s="3565">
        <v>10127.5</v>
      </c>
      <c r="L1502" s="3565">
        <v>12595.51</v>
      </c>
      <c r="M1502" s="3565">
        <v>0</v>
      </c>
      <c r="N1502" s="3565">
        <v>0</v>
      </c>
      <c r="O1502" s="3563" t="s">
        <v>3453</v>
      </c>
    </row>
    <row r="1503" spans="1:15">
      <c r="A1503" s="3563" t="s">
        <v>5714</v>
      </c>
      <c r="B1503" s="3563" t="s">
        <v>5277</v>
      </c>
      <c r="C1503" s="3563" t="s">
        <v>4197</v>
      </c>
      <c r="D1503" s="3563" t="s">
        <v>4796</v>
      </c>
      <c r="E1503" s="3563" t="s">
        <v>4609</v>
      </c>
      <c r="F1503" s="3563" t="s">
        <v>4797</v>
      </c>
      <c r="G1503" s="3564">
        <v>78.39</v>
      </c>
      <c r="H1503" s="3564">
        <v>63.03</v>
      </c>
      <c r="I1503" s="3564">
        <v>15.36</v>
      </c>
      <c r="J1503" s="3565">
        <v>675656</v>
      </c>
      <c r="K1503" s="3565">
        <v>8619.16</v>
      </c>
      <c r="L1503" s="3565">
        <v>10719.59</v>
      </c>
      <c r="M1503" s="3565">
        <v>641874</v>
      </c>
      <c r="N1503" s="3565">
        <v>8188.21</v>
      </c>
      <c r="O1503" s="3566">
        <v>44188</v>
      </c>
    </row>
    <row r="1504" spans="1:15">
      <c r="A1504" s="3563" t="s">
        <v>5715</v>
      </c>
      <c r="B1504" s="3563" t="s">
        <v>5277</v>
      </c>
      <c r="C1504" s="3563" t="s">
        <v>4197</v>
      </c>
      <c r="D1504" s="3563" t="s">
        <v>4796</v>
      </c>
      <c r="E1504" s="3563" t="s">
        <v>4609</v>
      </c>
      <c r="F1504" s="3563" t="s">
        <v>4797</v>
      </c>
      <c r="G1504" s="3564">
        <v>109.99</v>
      </c>
      <c r="H1504" s="3564">
        <v>88.44</v>
      </c>
      <c r="I1504" s="3564">
        <v>21.55</v>
      </c>
      <c r="J1504" s="3565">
        <v>1012376</v>
      </c>
      <c r="K1504" s="3565">
        <v>9204.25</v>
      </c>
      <c r="L1504" s="3565">
        <v>11447.04</v>
      </c>
      <c r="M1504" s="3565">
        <v>961758</v>
      </c>
      <c r="N1504" s="3565">
        <v>8744.0499999999993</v>
      </c>
      <c r="O1504" s="3566">
        <v>44189</v>
      </c>
    </row>
    <row r="1505" spans="1:15">
      <c r="A1505" s="3563" t="s">
        <v>5716</v>
      </c>
      <c r="B1505" s="3563" t="s">
        <v>4811</v>
      </c>
      <c r="C1505" s="3563" t="s">
        <v>4197</v>
      </c>
      <c r="D1505" s="3563" t="s">
        <v>4796</v>
      </c>
      <c r="E1505" s="3563" t="s">
        <v>4609</v>
      </c>
      <c r="F1505" s="3563" t="s">
        <v>4797</v>
      </c>
      <c r="G1505" s="3564">
        <v>101.66</v>
      </c>
      <c r="H1505" s="3564">
        <v>81.739999999999995</v>
      </c>
      <c r="I1505" s="3564">
        <v>19.920000000000002</v>
      </c>
      <c r="J1505" s="3565">
        <v>936787</v>
      </c>
      <c r="K1505" s="3565">
        <v>9214.9</v>
      </c>
      <c r="L1505" s="3565">
        <v>11460.57</v>
      </c>
      <c r="M1505" s="3565">
        <v>889948</v>
      </c>
      <c r="N1505" s="3565">
        <v>8754.16</v>
      </c>
      <c r="O1505" s="3566">
        <v>44188</v>
      </c>
    </row>
    <row r="1506" spans="1:15">
      <c r="A1506" s="3563" t="s">
        <v>5717</v>
      </c>
      <c r="B1506" s="3563" t="s">
        <v>4811</v>
      </c>
      <c r="C1506" s="3563" t="s">
        <v>4197</v>
      </c>
      <c r="D1506" s="3563" t="s">
        <v>4796</v>
      </c>
      <c r="E1506" s="3563" t="s">
        <v>4609</v>
      </c>
      <c r="F1506" s="3563" t="s">
        <v>4797</v>
      </c>
      <c r="G1506" s="3564">
        <v>101.66</v>
      </c>
      <c r="H1506" s="3564">
        <v>81.739999999999995</v>
      </c>
      <c r="I1506" s="3564">
        <v>19.920000000000002</v>
      </c>
      <c r="J1506" s="3565">
        <v>936787</v>
      </c>
      <c r="K1506" s="3565">
        <v>9214.9</v>
      </c>
      <c r="L1506" s="3565">
        <v>11460.57</v>
      </c>
      <c r="M1506" s="3565">
        <v>889948</v>
      </c>
      <c r="N1506" s="3565">
        <v>8754.16</v>
      </c>
      <c r="O1506" s="3566">
        <v>44188</v>
      </c>
    </row>
    <row r="1507" spans="1:15">
      <c r="A1507" s="3563" t="s">
        <v>5718</v>
      </c>
      <c r="B1507" s="3563" t="s">
        <v>5277</v>
      </c>
      <c r="C1507" s="3563" t="s">
        <v>4197</v>
      </c>
      <c r="D1507" s="3563" t="s">
        <v>4796</v>
      </c>
      <c r="E1507" s="3563" t="s">
        <v>4609</v>
      </c>
      <c r="F1507" s="3563" t="s">
        <v>4797</v>
      </c>
      <c r="G1507" s="3564">
        <v>90.52</v>
      </c>
      <c r="H1507" s="3564">
        <v>72.78</v>
      </c>
      <c r="I1507" s="3564">
        <v>17.739999999999998</v>
      </c>
      <c r="J1507" s="3565">
        <v>770342</v>
      </c>
      <c r="K1507" s="3565">
        <v>8510.19</v>
      </c>
      <c r="L1507" s="3565">
        <v>10584.53</v>
      </c>
      <c r="M1507" s="3565">
        <v>731825</v>
      </c>
      <c r="N1507" s="3565">
        <v>8084.68</v>
      </c>
      <c r="O1507" s="3566">
        <v>44190</v>
      </c>
    </row>
    <row r="1508" spans="1:15">
      <c r="A1508" s="3563" t="s">
        <v>5719</v>
      </c>
      <c r="B1508" s="3563" t="s">
        <v>4196</v>
      </c>
      <c r="C1508" s="3563" t="s">
        <v>4197</v>
      </c>
      <c r="D1508" s="3563" t="s">
        <v>4796</v>
      </c>
      <c r="E1508" s="3563" t="s">
        <v>4609</v>
      </c>
      <c r="F1508" s="3563" t="s">
        <v>4797</v>
      </c>
      <c r="G1508" s="3564">
        <v>78.39</v>
      </c>
      <c r="H1508" s="3564">
        <v>63.03</v>
      </c>
      <c r="I1508" s="3564">
        <v>15.36</v>
      </c>
      <c r="J1508" s="3565">
        <v>785077</v>
      </c>
      <c r="K1508" s="3565">
        <v>10015.01</v>
      </c>
      <c r="L1508" s="3565">
        <v>12455.61</v>
      </c>
      <c r="M1508" s="3565">
        <v>0</v>
      </c>
      <c r="N1508" s="3565">
        <v>0</v>
      </c>
      <c r="O1508" s="3563" t="s">
        <v>3453</v>
      </c>
    </row>
    <row r="1509" spans="1:15">
      <c r="A1509" s="3563" t="s">
        <v>5720</v>
      </c>
      <c r="B1509" s="3563" t="s">
        <v>5277</v>
      </c>
      <c r="C1509" s="3563" t="s">
        <v>4197</v>
      </c>
      <c r="D1509" s="3563" t="s">
        <v>4796</v>
      </c>
      <c r="E1509" s="3563" t="s">
        <v>4609</v>
      </c>
      <c r="F1509" s="3563" t="s">
        <v>4797</v>
      </c>
      <c r="G1509" s="3564">
        <v>78.39</v>
      </c>
      <c r="H1509" s="3564">
        <v>63.03</v>
      </c>
      <c r="I1509" s="3564">
        <v>15.36</v>
      </c>
      <c r="J1509" s="3565">
        <v>668150</v>
      </c>
      <c r="K1509" s="3565">
        <v>8523.41</v>
      </c>
      <c r="L1509" s="3565">
        <v>10600.51</v>
      </c>
      <c r="M1509" s="3565">
        <v>634743</v>
      </c>
      <c r="N1509" s="3565">
        <v>8097.24</v>
      </c>
      <c r="O1509" s="3566">
        <v>44190</v>
      </c>
    </row>
    <row r="1510" spans="1:15">
      <c r="A1510" s="3563" t="s">
        <v>5721</v>
      </c>
      <c r="B1510" s="3563" t="s">
        <v>4196</v>
      </c>
      <c r="C1510" s="3563" t="s">
        <v>4197</v>
      </c>
      <c r="D1510" s="3563" t="s">
        <v>4796</v>
      </c>
      <c r="E1510" s="3563" t="s">
        <v>4609</v>
      </c>
      <c r="F1510" s="3563" t="s">
        <v>4797</v>
      </c>
      <c r="G1510" s="3564">
        <v>109.99</v>
      </c>
      <c r="H1510" s="3564">
        <v>88.44</v>
      </c>
      <c r="I1510" s="3564">
        <v>21.55</v>
      </c>
      <c r="J1510" s="3565">
        <v>1177168</v>
      </c>
      <c r="K1510" s="3565">
        <v>10702.5</v>
      </c>
      <c r="L1510" s="3565">
        <v>13310.36</v>
      </c>
      <c r="M1510" s="3565">
        <v>0</v>
      </c>
      <c r="N1510" s="3565">
        <v>0</v>
      </c>
      <c r="O1510" s="3563" t="s">
        <v>3453</v>
      </c>
    </row>
    <row r="1511" spans="1:15">
      <c r="A1511" s="3563" t="s">
        <v>5722</v>
      </c>
      <c r="B1511" s="3563" t="s">
        <v>5277</v>
      </c>
      <c r="C1511" s="3563" t="s">
        <v>4197</v>
      </c>
      <c r="D1511" s="3563" t="s">
        <v>4796</v>
      </c>
      <c r="E1511" s="3563" t="s">
        <v>4609</v>
      </c>
      <c r="F1511" s="3563" t="s">
        <v>4797</v>
      </c>
      <c r="G1511" s="3564">
        <v>101.66</v>
      </c>
      <c r="H1511" s="3564">
        <v>81.739999999999995</v>
      </c>
      <c r="I1511" s="3564">
        <v>19.920000000000002</v>
      </c>
      <c r="J1511" s="3565">
        <v>1114703</v>
      </c>
      <c r="K1511" s="3565">
        <v>10965.01</v>
      </c>
      <c r="L1511" s="3565">
        <v>13637.18</v>
      </c>
      <c r="M1511" s="3565">
        <v>901249</v>
      </c>
      <c r="N1511" s="3565">
        <v>8865.33</v>
      </c>
      <c r="O1511" s="3566">
        <v>44191</v>
      </c>
    </row>
    <row r="1512" spans="1:15">
      <c r="A1512" s="3563" t="s">
        <v>5723</v>
      </c>
      <c r="B1512" s="3563" t="s">
        <v>4196</v>
      </c>
      <c r="C1512" s="3563" t="s">
        <v>4197</v>
      </c>
      <c r="D1512" s="3563" t="s">
        <v>4796</v>
      </c>
      <c r="E1512" s="3563" t="s">
        <v>4609</v>
      </c>
      <c r="F1512" s="3563" t="s">
        <v>4797</v>
      </c>
      <c r="G1512" s="3564">
        <v>101.66</v>
      </c>
      <c r="H1512" s="3564">
        <v>81.739999999999995</v>
      </c>
      <c r="I1512" s="3564">
        <v>19.920000000000002</v>
      </c>
      <c r="J1512" s="3565">
        <v>1114703</v>
      </c>
      <c r="K1512" s="3565">
        <v>10965.01</v>
      </c>
      <c r="L1512" s="3565">
        <v>13637.18</v>
      </c>
      <c r="M1512" s="3565">
        <v>0</v>
      </c>
      <c r="N1512" s="3565">
        <v>0</v>
      </c>
      <c r="O1512" s="3563" t="s">
        <v>3453</v>
      </c>
    </row>
    <row r="1513" spans="1:15">
      <c r="A1513" s="3563" t="s">
        <v>5724</v>
      </c>
      <c r="B1513" s="3563" t="s">
        <v>5277</v>
      </c>
      <c r="C1513" s="3563" t="s">
        <v>4197</v>
      </c>
      <c r="D1513" s="3563" t="s">
        <v>4796</v>
      </c>
      <c r="E1513" s="3563" t="s">
        <v>4609</v>
      </c>
      <c r="F1513" s="3563" t="s">
        <v>4797</v>
      </c>
      <c r="G1513" s="3564">
        <v>90.52</v>
      </c>
      <c r="H1513" s="3564">
        <v>72.78</v>
      </c>
      <c r="I1513" s="3564">
        <v>17.739999999999998</v>
      </c>
      <c r="J1513" s="3565">
        <v>772502</v>
      </c>
      <c r="K1513" s="3565">
        <v>8534.0499999999993</v>
      </c>
      <c r="L1513" s="3565">
        <v>10614.21</v>
      </c>
      <c r="M1513" s="3565">
        <v>733877</v>
      </c>
      <c r="N1513" s="3565">
        <v>8107.35</v>
      </c>
      <c r="O1513" s="3566">
        <v>44189</v>
      </c>
    </row>
    <row r="1514" spans="1:15">
      <c r="A1514" s="3563" t="s">
        <v>5725</v>
      </c>
      <c r="B1514" s="3563" t="s">
        <v>5277</v>
      </c>
      <c r="C1514" s="3563" t="s">
        <v>4197</v>
      </c>
      <c r="D1514" s="3563" t="s">
        <v>4796</v>
      </c>
      <c r="E1514" s="3563" t="s">
        <v>4609</v>
      </c>
      <c r="F1514" s="3563" t="s">
        <v>4797</v>
      </c>
      <c r="G1514" s="3564">
        <v>78.39</v>
      </c>
      <c r="H1514" s="3564">
        <v>63.03</v>
      </c>
      <c r="I1514" s="3564">
        <v>15.36</v>
      </c>
      <c r="J1514" s="3565">
        <v>677324</v>
      </c>
      <c r="K1514" s="3565">
        <v>8640.44</v>
      </c>
      <c r="L1514" s="3565">
        <v>10746.06</v>
      </c>
      <c r="M1514" s="3565">
        <v>643458</v>
      </c>
      <c r="N1514" s="3565">
        <v>8208.42</v>
      </c>
      <c r="O1514" s="3566">
        <v>44189</v>
      </c>
    </row>
    <row r="1515" spans="1:15">
      <c r="A1515" s="3563" t="s">
        <v>5726</v>
      </c>
      <c r="B1515" s="3563" t="s">
        <v>5277</v>
      </c>
      <c r="C1515" s="3563" t="s">
        <v>4197</v>
      </c>
      <c r="D1515" s="3563" t="s">
        <v>4796</v>
      </c>
      <c r="E1515" s="3563" t="s">
        <v>4609</v>
      </c>
      <c r="F1515" s="3563" t="s">
        <v>4797</v>
      </c>
      <c r="G1515" s="3564">
        <v>78.39</v>
      </c>
      <c r="H1515" s="3564">
        <v>63.03</v>
      </c>
      <c r="I1515" s="3564">
        <v>15.36</v>
      </c>
      <c r="J1515" s="3565">
        <v>677324</v>
      </c>
      <c r="K1515" s="3565">
        <v>8640.44</v>
      </c>
      <c r="L1515" s="3565">
        <v>10746.06</v>
      </c>
      <c r="M1515" s="3565">
        <v>643458</v>
      </c>
      <c r="N1515" s="3565">
        <v>8208.42</v>
      </c>
      <c r="O1515" s="3566">
        <v>44188</v>
      </c>
    </row>
    <row r="1516" spans="1:15">
      <c r="A1516" s="3563" t="s">
        <v>5727</v>
      </c>
      <c r="B1516" s="3563" t="s">
        <v>5277</v>
      </c>
      <c r="C1516" s="3563" t="s">
        <v>4197</v>
      </c>
      <c r="D1516" s="3563" t="s">
        <v>4796</v>
      </c>
      <c r="E1516" s="3563" t="s">
        <v>4609</v>
      </c>
      <c r="F1516" s="3563" t="s">
        <v>4797</v>
      </c>
      <c r="G1516" s="3564">
        <v>109.99</v>
      </c>
      <c r="H1516" s="3564">
        <v>88.44</v>
      </c>
      <c r="I1516" s="3564">
        <v>21.55</v>
      </c>
      <c r="J1516" s="3565">
        <v>1014716</v>
      </c>
      <c r="K1516" s="3565">
        <v>9225.5300000000007</v>
      </c>
      <c r="L1516" s="3565">
        <v>11473.5</v>
      </c>
      <c r="M1516" s="3565">
        <v>963981</v>
      </c>
      <c r="N1516" s="3565">
        <v>8764.26</v>
      </c>
      <c r="O1516" s="3566">
        <v>44189</v>
      </c>
    </row>
    <row r="1517" spans="1:15">
      <c r="A1517" s="3563" t="s">
        <v>5728</v>
      </c>
      <c r="B1517" s="3563" t="s">
        <v>4196</v>
      </c>
      <c r="C1517" s="3563" t="s">
        <v>4197</v>
      </c>
      <c r="D1517" s="3563" t="s">
        <v>4796</v>
      </c>
      <c r="E1517" s="3563" t="s">
        <v>4609</v>
      </c>
      <c r="F1517" s="3563" t="s">
        <v>4797</v>
      </c>
      <c r="G1517" s="3564">
        <v>101.66</v>
      </c>
      <c r="H1517" s="3564">
        <v>81.739999999999995</v>
      </c>
      <c r="I1517" s="3564">
        <v>19.920000000000002</v>
      </c>
      <c r="J1517" s="3565">
        <v>1113432</v>
      </c>
      <c r="K1517" s="3565">
        <v>10952.51</v>
      </c>
      <c r="L1517" s="3565">
        <v>13621.63</v>
      </c>
      <c r="M1517" s="3565">
        <v>0</v>
      </c>
      <c r="N1517" s="3565">
        <v>0</v>
      </c>
      <c r="O1517" s="3563" t="s">
        <v>3453</v>
      </c>
    </row>
    <row r="1518" spans="1:15">
      <c r="A1518" s="3563" t="s">
        <v>5729</v>
      </c>
      <c r="B1518" s="3563" t="s">
        <v>4811</v>
      </c>
      <c r="C1518" s="3563" t="s">
        <v>4197</v>
      </c>
      <c r="D1518" s="3563" t="s">
        <v>4796</v>
      </c>
      <c r="E1518" s="3563" t="s">
        <v>4609</v>
      </c>
      <c r="F1518" s="3563" t="s">
        <v>4797</v>
      </c>
      <c r="G1518" s="3564">
        <v>101.66</v>
      </c>
      <c r="H1518" s="3564">
        <v>81.739999999999995</v>
      </c>
      <c r="I1518" s="3564">
        <v>19.920000000000002</v>
      </c>
      <c r="J1518" s="3565">
        <v>947602</v>
      </c>
      <c r="K1518" s="3565">
        <v>9321.2900000000009</v>
      </c>
      <c r="L1518" s="3565">
        <v>11592.88</v>
      </c>
      <c r="M1518" s="3565">
        <v>900222</v>
      </c>
      <c r="N1518" s="3565">
        <v>8855.2199999999993</v>
      </c>
      <c r="O1518" s="3566">
        <v>44190</v>
      </c>
    </row>
    <row r="1519" spans="1:15">
      <c r="A1519" s="3563" t="s">
        <v>5730</v>
      </c>
      <c r="B1519" s="3563" t="s">
        <v>5277</v>
      </c>
      <c r="C1519" s="3563" t="s">
        <v>4197</v>
      </c>
      <c r="D1519" s="3563" t="s">
        <v>4796</v>
      </c>
      <c r="E1519" s="3563" t="s">
        <v>4609</v>
      </c>
      <c r="F1519" s="3563" t="s">
        <v>4797</v>
      </c>
      <c r="G1519" s="3564">
        <v>90.52</v>
      </c>
      <c r="H1519" s="3564">
        <v>72.78</v>
      </c>
      <c r="I1519" s="3564">
        <v>17.739999999999998</v>
      </c>
      <c r="J1519" s="3565">
        <v>771539</v>
      </c>
      <c r="K1519" s="3565">
        <v>8523.41</v>
      </c>
      <c r="L1519" s="3565">
        <v>10600.98</v>
      </c>
      <c r="M1519" s="3565">
        <v>732963</v>
      </c>
      <c r="N1519" s="3565">
        <v>8097.25</v>
      </c>
      <c r="O1519" s="3566">
        <v>44188</v>
      </c>
    </row>
    <row r="1520" spans="1:15">
      <c r="A1520" s="3563" t="s">
        <v>5731</v>
      </c>
      <c r="B1520" s="3563" t="s">
        <v>4196</v>
      </c>
      <c r="C1520" s="3563" t="s">
        <v>4197</v>
      </c>
      <c r="D1520" s="3563" t="s">
        <v>4796</v>
      </c>
      <c r="E1520" s="3563" t="s">
        <v>4609</v>
      </c>
      <c r="F1520" s="3563" t="s">
        <v>4797</v>
      </c>
      <c r="G1520" s="3564">
        <v>78.39</v>
      </c>
      <c r="H1520" s="3564">
        <v>63.03</v>
      </c>
      <c r="I1520" s="3564">
        <v>15.36</v>
      </c>
      <c r="J1520" s="3565">
        <v>794875</v>
      </c>
      <c r="K1520" s="3565">
        <v>10140.01</v>
      </c>
      <c r="L1520" s="3565">
        <v>12611.06</v>
      </c>
      <c r="M1520" s="3565">
        <v>0</v>
      </c>
      <c r="N1520" s="3565">
        <v>0</v>
      </c>
      <c r="O1520" s="3563" t="s">
        <v>3453</v>
      </c>
    </row>
    <row r="1521" spans="1:15">
      <c r="A1521" s="3563" t="s">
        <v>5732</v>
      </c>
      <c r="B1521" s="3563" t="s">
        <v>5277</v>
      </c>
      <c r="C1521" s="3563" t="s">
        <v>4197</v>
      </c>
      <c r="D1521" s="3563" t="s">
        <v>4796</v>
      </c>
      <c r="E1521" s="3563" t="s">
        <v>4609</v>
      </c>
      <c r="F1521" s="3563" t="s">
        <v>4797</v>
      </c>
      <c r="G1521" s="3564">
        <v>78.39</v>
      </c>
      <c r="H1521" s="3564">
        <v>63.03</v>
      </c>
      <c r="I1521" s="3564">
        <v>15.36</v>
      </c>
      <c r="J1521" s="3565">
        <v>676490</v>
      </c>
      <c r="K1521" s="3565">
        <v>8629.7999999999993</v>
      </c>
      <c r="L1521" s="3565">
        <v>10732.83</v>
      </c>
      <c r="M1521" s="3565">
        <v>642666</v>
      </c>
      <c r="N1521" s="3565">
        <v>8198.32</v>
      </c>
      <c r="O1521" s="3566">
        <v>44188</v>
      </c>
    </row>
    <row r="1522" spans="1:15">
      <c r="A1522" s="3563" t="s">
        <v>5733</v>
      </c>
      <c r="B1522" s="3563" t="s">
        <v>4196</v>
      </c>
      <c r="C1522" s="3563" t="s">
        <v>4197</v>
      </c>
      <c r="D1522" s="3563" t="s">
        <v>4796</v>
      </c>
      <c r="E1522" s="3563" t="s">
        <v>4609</v>
      </c>
      <c r="F1522" s="3563" t="s">
        <v>4797</v>
      </c>
      <c r="G1522" s="3564">
        <v>109.99</v>
      </c>
      <c r="H1522" s="3564">
        <v>88.44</v>
      </c>
      <c r="I1522" s="3564">
        <v>21.55</v>
      </c>
      <c r="J1522" s="3565">
        <v>1190917</v>
      </c>
      <c r="K1522" s="3565">
        <v>10827.5</v>
      </c>
      <c r="L1522" s="3565">
        <v>13465.82</v>
      </c>
      <c r="M1522" s="3565">
        <v>0</v>
      </c>
      <c r="N1522" s="3565">
        <v>0</v>
      </c>
      <c r="O1522" s="3563" t="s">
        <v>3453</v>
      </c>
    </row>
    <row r="1523" spans="1:15">
      <c r="A1523" s="3563" t="s">
        <v>5734</v>
      </c>
      <c r="B1523" s="3563" t="s">
        <v>4811</v>
      </c>
      <c r="C1523" s="3563" t="s">
        <v>4197</v>
      </c>
      <c r="D1523" s="3563" t="s">
        <v>4796</v>
      </c>
      <c r="E1523" s="3563" t="s">
        <v>4609</v>
      </c>
      <c r="F1523" s="3563" t="s">
        <v>4797</v>
      </c>
      <c r="G1523" s="3564">
        <v>101.66</v>
      </c>
      <c r="H1523" s="3564">
        <v>81.739999999999995</v>
      </c>
      <c r="I1523" s="3564">
        <v>19.920000000000002</v>
      </c>
      <c r="J1523" s="3565">
        <v>1112160</v>
      </c>
      <c r="K1523" s="3565">
        <v>10940</v>
      </c>
      <c r="L1523" s="3565">
        <v>13606.07</v>
      </c>
      <c r="M1523" s="3565">
        <v>1112160</v>
      </c>
      <c r="N1523" s="3565">
        <v>10940</v>
      </c>
      <c r="O1523" s="3566">
        <v>44192</v>
      </c>
    </row>
    <row r="1524" spans="1:15">
      <c r="A1524" s="3563" t="s">
        <v>5735</v>
      </c>
      <c r="B1524" s="3563" t="s">
        <v>5277</v>
      </c>
      <c r="C1524" s="3563" t="s">
        <v>4197</v>
      </c>
      <c r="D1524" s="3563" t="s">
        <v>4796</v>
      </c>
      <c r="E1524" s="3563" t="s">
        <v>4609</v>
      </c>
      <c r="F1524" s="3563" t="s">
        <v>4797</v>
      </c>
      <c r="G1524" s="3564">
        <v>101.66</v>
      </c>
      <c r="H1524" s="3564">
        <v>81.739999999999995</v>
      </c>
      <c r="I1524" s="3564">
        <v>19.920000000000002</v>
      </c>
      <c r="J1524" s="3565">
        <v>946520</v>
      </c>
      <c r="K1524" s="3565">
        <v>9310.64</v>
      </c>
      <c r="L1524" s="3565">
        <v>11579.64</v>
      </c>
      <c r="M1524" s="3565">
        <v>899194</v>
      </c>
      <c r="N1524" s="3565">
        <v>8845.11</v>
      </c>
      <c r="O1524" s="3566">
        <v>44189</v>
      </c>
    </row>
    <row r="1525" spans="1:15">
      <c r="A1525" s="3563" t="s">
        <v>5736</v>
      </c>
      <c r="B1525" s="3563" t="s">
        <v>4196</v>
      </c>
      <c r="C1525" s="3563" t="s">
        <v>4197</v>
      </c>
      <c r="D1525" s="3563" t="s">
        <v>4796</v>
      </c>
      <c r="E1525" s="3563" t="s">
        <v>4609</v>
      </c>
      <c r="F1525" s="3563" t="s">
        <v>4797</v>
      </c>
      <c r="G1525" s="3564">
        <v>90.52</v>
      </c>
      <c r="H1525" s="3564">
        <v>72.78</v>
      </c>
      <c r="I1525" s="3564">
        <v>17.739999999999998</v>
      </c>
      <c r="J1525" s="3565">
        <v>908207</v>
      </c>
      <c r="K1525" s="3565">
        <v>10033.219999999999</v>
      </c>
      <c r="L1525" s="3565">
        <v>12478.8</v>
      </c>
      <c r="M1525" s="3565">
        <v>0</v>
      </c>
      <c r="N1525" s="3565">
        <v>0</v>
      </c>
      <c r="O1525" s="3563" t="s">
        <v>3453</v>
      </c>
    </row>
    <row r="1526" spans="1:15">
      <c r="A1526" s="3563" t="s">
        <v>5737</v>
      </c>
      <c r="B1526" s="3563" t="s">
        <v>5277</v>
      </c>
      <c r="C1526" s="3563" t="s">
        <v>4197</v>
      </c>
      <c r="D1526" s="3563" t="s">
        <v>4796</v>
      </c>
      <c r="E1526" s="3563" t="s">
        <v>4609</v>
      </c>
      <c r="F1526" s="3563" t="s">
        <v>4797</v>
      </c>
      <c r="G1526" s="3564">
        <v>78.39</v>
      </c>
      <c r="H1526" s="3564">
        <v>63.03</v>
      </c>
      <c r="I1526" s="3564">
        <v>15.36</v>
      </c>
      <c r="J1526" s="3565">
        <v>793895</v>
      </c>
      <c r="K1526" s="3565">
        <v>10127.5</v>
      </c>
      <c r="L1526" s="3565">
        <v>12595.51</v>
      </c>
      <c r="M1526" s="3565">
        <v>793895</v>
      </c>
      <c r="N1526" s="3565">
        <v>10127.5</v>
      </c>
      <c r="O1526" s="3566">
        <v>44192</v>
      </c>
    </row>
    <row r="1527" spans="1:15">
      <c r="A1527" s="3563" t="s">
        <v>5738</v>
      </c>
      <c r="B1527" s="3563" t="s">
        <v>5277</v>
      </c>
      <c r="C1527" s="3563" t="s">
        <v>4197</v>
      </c>
      <c r="D1527" s="3563" t="s">
        <v>4796</v>
      </c>
      <c r="E1527" s="3563" t="s">
        <v>4609</v>
      </c>
      <c r="F1527" s="3563" t="s">
        <v>4797</v>
      </c>
      <c r="G1527" s="3564">
        <v>78.39</v>
      </c>
      <c r="H1527" s="3564">
        <v>63.03</v>
      </c>
      <c r="I1527" s="3564">
        <v>15.36</v>
      </c>
      <c r="J1527" s="3565">
        <v>675656</v>
      </c>
      <c r="K1527" s="3565">
        <v>8619.16</v>
      </c>
      <c r="L1527" s="3565">
        <v>10719.59</v>
      </c>
      <c r="M1527" s="3565">
        <v>641874</v>
      </c>
      <c r="N1527" s="3565">
        <v>8188.21</v>
      </c>
      <c r="O1527" s="3566">
        <v>44188</v>
      </c>
    </row>
    <row r="1528" spans="1:15">
      <c r="A1528" s="3563" t="s">
        <v>5739</v>
      </c>
      <c r="B1528" s="3563" t="s">
        <v>5277</v>
      </c>
      <c r="C1528" s="3563" t="s">
        <v>4197</v>
      </c>
      <c r="D1528" s="3563" t="s">
        <v>4796</v>
      </c>
      <c r="E1528" s="3563" t="s">
        <v>4609</v>
      </c>
      <c r="F1528" s="3563" t="s">
        <v>4797</v>
      </c>
      <c r="G1528" s="3564">
        <v>109.99</v>
      </c>
      <c r="H1528" s="3564">
        <v>88.44</v>
      </c>
      <c r="I1528" s="3564">
        <v>21.55</v>
      </c>
      <c r="J1528" s="3565">
        <v>1012376</v>
      </c>
      <c r="K1528" s="3565">
        <v>9204.25</v>
      </c>
      <c r="L1528" s="3565">
        <v>11447.04</v>
      </c>
      <c r="M1528" s="3565">
        <v>961758</v>
      </c>
      <c r="N1528" s="3565">
        <v>8744.0499999999993</v>
      </c>
      <c r="O1528" s="3566">
        <v>44189</v>
      </c>
    </row>
    <row r="1529" spans="1:15">
      <c r="A1529" s="3563" t="s">
        <v>5740</v>
      </c>
      <c r="B1529" s="3563" t="s">
        <v>4196</v>
      </c>
      <c r="C1529" s="3563" t="s">
        <v>4197</v>
      </c>
      <c r="D1529" s="3563" t="s">
        <v>4796</v>
      </c>
      <c r="E1529" s="3563" t="s">
        <v>4609</v>
      </c>
      <c r="F1529" s="3563" t="s">
        <v>4797</v>
      </c>
      <c r="G1529" s="3564">
        <v>101.66</v>
      </c>
      <c r="H1529" s="3564">
        <v>81.739999999999995</v>
      </c>
      <c r="I1529" s="3564">
        <v>19.920000000000002</v>
      </c>
      <c r="J1529" s="3565">
        <v>1098183</v>
      </c>
      <c r="K1529" s="3565">
        <v>10802.51</v>
      </c>
      <c r="L1529" s="3565">
        <v>13435.07</v>
      </c>
      <c r="M1529" s="3565">
        <v>0</v>
      </c>
      <c r="N1529" s="3565">
        <v>0</v>
      </c>
      <c r="O1529" s="3563" t="s">
        <v>3453</v>
      </c>
    </row>
    <row r="1530" spans="1:15">
      <c r="A1530" s="3563" t="s">
        <v>5741</v>
      </c>
      <c r="B1530" s="3563" t="s">
        <v>4196</v>
      </c>
      <c r="C1530" s="3563" t="s">
        <v>4197</v>
      </c>
      <c r="D1530" s="3563" t="s">
        <v>4796</v>
      </c>
      <c r="E1530" s="3563" t="s">
        <v>4609</v>
      </c>
      <c r="F1530" s="3563" t="s">
        <v>4797</v>
      </c>
      <c r="G1530" s="3564">
        <v>101.66</v>
      </c>
      <c r="H1530" s="3564">
        <v>81.739999999999995</v>
      </c>
      <c r="I1530" s="3564">
        <v>19.920000000000002</v>
      </c>
      <c r="J1530" s="3565">
        <v>1098183</v>
      </c>
      <c r="K1530" s="3565">
        <v>10802.51</v>
      </c>
      <c r="L1530" s="3565">
        <v>13435.07</v>
      </c>
      <c r="M1530" s="3565">
        <v>0</v>
      </c>
      <c r="N1530" s="3565">
        <v>0</v>
      </c>
      <c r="O1530" s="3563" t="s">
        <v>3453</v>
      </c>
    </row>
    <row r="1531" spans="1:15">
      <c r="A1531" s="3563" t="s">
        <v>5742</v>
      </c>
      <c r="B1531" s="3563" t="s">
        <v>4196</v>
      </c>
      <c r="C1531" s="3563" t="s">
        <v>4197</v>
      </c>
      <c r="D1531" s="3563" t="s">
        <v>4796</v>
      </c>
      <c r="E1531" s="3563" t="s">
        <v>4609</v>
      </c>
      <c r="F1531" s="3563" t="s">
        <v>4797</v>
      </c>
      <c r="G1531" s="3564">
        <v>90.52</v>
      </c>
      <c r="H1531" s="3564">
        <v>72.78</v>
      </c>
      <c r="I1531" s="3564">
        <v>17.739999999999998</v>
      </c>
      <c r="J1531" s="3565">
        <v>905152</v>
      </c>
      <c r="K1531" s="3565">
        <v>9999.4699999999993</v>
      </c>
      <c r="L1531" s="3565">
        <v>12436.82</v>
      </c>
      <c r="M1531" s="3565">
        <v>0</v>
      </c>
      <c r="N1531" s="3565">
        <v>0</v>
      </c>
      <c r="O1531" s="3563" t="s">
        <v>3453</v>
      </c>
    </row>
    <row r="1532" spans="1:15">
      <c r="A1532" s="3563" t="s">
        <v>5743</v>
      </c>
      <c r="B1532" s="3563" t="s">
        <v>4196</v>
      </c>
      <c r="C1532" s="3563" t="s">
        <v>4197</v>
      </c>
      <c r="D1532" s="3563" t="s">
        <v>4796</v>
      </c>
      <c r="E1532" s="3563" t="s">
        <v>4609</v>
      </c>
      <c r="F1532" s="3563" t="s">
        <v>4797</v>
      </c>
      <c r="G1532" s="3564">
        <v>78.39</v>
      </c>
      <c r="H1532" s="3564">
        <v>63.03</v>
      </c>
      <c r="I1532" s="3564">
        <v>15.36</v>
      </c>
      <c r="J1532" s="3565">
        <v>785524</v>
      </c>
      <c r="K1532" s="3565">
        <v>10020.719999999999</v>
      </c>
      <c r="L1532" s="3565">
        <v>12462.7</v>
      </c>
      <c r="M1532" s="3565">
        <v>0</v>
      </c>
      <c r="N1532" s="3565">
        <v>0</v>
      </c>
      <c r="O1532" s="3563" t="s">
        <v>3453</v>
      </c>
    </row>
    <row r="1533" spans="1:15">
      <c r="A1533" s="3563" t="s">
        <v>5744</v>
      </c>
      <c r="B1533" s="3563" t="s">
        <v>5277</v>
      </c>
      <c r="C1533" s="3563" t="s">
        <v>4197</v>
      </c>
      <c r="D1533" s="3563" t="s">
        <v>4796</v>
      </c>
      <c r="E1533" s="3563" t="s">
        <v>4609</v>
      </c>
      <c r="F1533" s="3563" t="s">
        <v>4797</v>
      </c>
      <c r="G1533" s="3564">
        <v>78.39</v>
      </c>
      <c r="H1533" s="3564">
        <v>63.03</v>
      </c>
      <c r="I1533" s="3564">
        <v>15.36</v>
      </c>
      <c r="J1533" s="3565">
        <v>668531</v>
      </c>
      <c r="K1533" s="3565">
        <v>8528.27</v>
      </c>
      <c r="L1533" s="3565">
        <v>10606.55</v>
      </c>
      <c r="M1533" s="3565">
        <v>635105</v>
      </c>
      <c r="N1533" s="3565">
        <v>8101.86</v>
      </c>
      <c r="O1533" s="3566">
        <v>44189</v>
      </c>
    </row>
    <row r="1534" spans="1:15">
      <c r="A1534" s="3563" t="s">
        <v>5745</v>
      </c>
      <c r="B1534" s="3563" t="s">
        <v>3453</v>
      </c>
      <c r="C1534" s="3563" t="s">
        <v>4197</v>
      </c>
      <c r="D1534" s="3563" t="s">
        <v>4796</v>
      </c>
      <c r="E1534" s="3563" t="s">
        <v>4609</v>
      </c>
      <c r="F1534" s="3563" t="s">
        <v>4797</v>
      </c>
      <c r="G1534" s="3564">
        <v>109.99</v>
      </c>
      <c r="H1534" s="3564">
        <v>88.44</v>
      </c>
      <c r="I1534" s="3564">
        <v>21.55</v>
      </c>
      <c r="J1534" s="3565">
        <v>1174419</v>
      </c>
      <c r="K1534" s="3565">
        <v>10677.51</v>
      </c>
      <c r="L1534" s="3565">
        <v>13279.27</v>
      </c>
      <c r="M1534" s="3565">
        <v>0</v>
      </c>
      <c r="N1534" s="3565">
        <v>0</v>
      </c>
      <c r="O1534" s="3563" t="s">
        <v>3453</v>
      </c>
    </row>
    <row r="1535" spans="1:15">
      <c r="A1535" s="3563" t="s">
        <v>5746</v>
      </c>
      <c r="B1535" s="3563" t="s">
        <v>4196</v>
      </c>
      <c r="C1535" s="3563" t="s">
        <v>4197</v>
      </c>
      <c r="D1535" s="3563" t="s">
        <v>4796</v>
      </c>
      <c r="E1535" s="3563" t="s">
        <v>4609</v>
      </c>
      <c r="F1535" s="3563" t="s">
        <v>4797</v>
      </c>
      <c r="G1535" s="3564">
        <v>101.66</v>
      </c>
      <c r="H1535" s="3564">
        <v>81.739999999999995</v>
      </c>
      <c r="I1535" s="3564">
        <v>19.920000000000002</v>
      </c>
      <c r="J1535" s="3565">
        <v>1109619</v>
      </c>
      <c r="K1535" s="3565">
        <v>10915</v>
      </c>
      <c r="L1535" s="3565">
        <v>13574.98</v>
      </c>
      <c r="M1535" s="3565">
        <v>0</v>
      </c>
      <c r="N1535" s="3565">
        <v>0</v>
      </c>
      <c r="O1535" s="3563" t="s">
        <v>3453</v>
      </c>
    </row>
    <row r="1536" spans="1:15">
      <c r="A1536" s="3563" t="s">
        <v>5747</v>
      </c>
      <c r="B1536" s="3563" t="s">
        <v>4196</v>
      </c>
      <c r="C1536" s="3563" t="s">
        <v>4197</v>
      </c>
      <c r="D1536" s="3563" t="s">
        <v>4796</v>
      </c>
      <c r="E1536" s="3563" t="s">
        <v>4609</v>
      </c>
      <c r="F1536" s="3563" t="s">
        <v>4797</v>
      </c>
      <c r="G1536" s="3564">
        <v>101.66</v>
      </c>
      <c r="H1536" s="3564">
        <v>81.739999999999995</v>
      </c>
      <c r="I1536" s="3564">
        <v>19.920000000000002</v>
      </c>
      <c r="J1536" s="3565">
        <v>1109619</v>
      </c>
      <c r="K1536" s="3565">
        <v>10915</v>
      </c>
      <c r="L1536" s="3565">
        <v>13574.98</v>
      </c>
      <c r="M1536" s="3565">
        <v>0</v>
      </c>
      <c r="N1536" s="3565">
        <v>0</v>
      </c>
      <c r="O1536" s="3563" t="s">
        <v>3453</v>
      </c>
    </row>
    <row r="1537" spans="1:15">
      <c r="A1537" s="3563" t="s">
        <v>5748</v>
      </c>
      <c r="B1537" s="3563" t="s">
        <v>4196</v>
      </c>
      <c r="C1537" s="3563" t="s">
        <v>4197</v>
      </c>
      <c r="D1537" s="3563" t="s">
        <v>4796</v>
      </c>
      <c r="E1537" s="3563" t="s">
        <v>4609</v>
      </c>
      <c r="F1537" s="3563" t="s">
        <v>4797</v>
      </c>
      <c r="G1537" s="3564">
        <v>90.52</v>
      </c>
      <c r="H1537" s="3564">
        <v>72.78</v>
      </c>
      <c r="I1537" s="3564">
        <v>17.739999999999998</v>
      </c>
      <c r="J1537" s="3565">
        <v>905943</v>
      </c>
      <c r="K1537" s="3565">
        <v>10008.209999999999</v>
      </c>
      <c r="L1537" s="3565">
        <v>12447.69</v>
      </c>
      <c r="M1537" s="3565">
        <v>0</v>
      </c>
      <c r="N1537" s="3565">
        <v>0</v>
      </c>
      <c r="O1537" s="3563" t="s">
        <v>3453</v>
      </c>
    </row>
    <row r="1538" spans="1:15">
      <c r="A1538" s="3563" t="s">
        <v>5749</v>
      </c>
      <c r="B1538" s="3563" t="s">
        <v>4196</v>
      </c>
      <c r="C1538" s="3563" t="s">
        <v>4197</v>
      </c>
      <c r="D1538" s="3563" t="s">
        <v>4796</v>
      </c>
      <c r="E1538" s="3563" t="s">
        <v>4609</v>
      </c>
      <c r="F1538" s="3563" t="s">
        <v>4797</v>
      </c>
      <c r="G1538" s="3564">
        <v>78.39</v>
      </c>
      <c r="H1538" s="3564">
        <v>63.03</v>
      </c>
      <c r="I1538" s="3564">
        <v>15.36</v>
      </c>
      <c r="J1538" s="3565">
        <v>791935</v>
      </c>
      <c r="K1538" s="3565">
        <v>10102.5</v>
      </c>
      <c r="L1538" s="3565">
        <v>12564.41</v>
      </c>
      <c r="M1538" s="3565">
        <v>0</v>
      </c>
      <c r="N1538" s="3565">
        <v>0</v>
      </c>
      <c r="O1538" s="3563" t="s">
        <v>3453</v>
      </c>
    </row>
    <row r="1539" spans="1:15">
      <c r="A1539" s="3563" t="s">
        <v>5750</v>
      </c>
      <c r="B1539" s="3563" t="s">
        <v>4196</v>
      </c>
      <c r="C1539" s="3563" t="s">
        <v>4197</v>
      </c>
      <c r="D1539" s="3563" t="s">
        <v>4796</v>
      </c>
      <c r="E1539" s="3563" t="s">
        <v>4609</v>
      </c>
      <c r="F1539" s="3563" t="s">
        <v>4797</v>
      </c>
      <c r="G1539" s="3564">
        <v>78.39</v>
      </c>
      <c r="H1539" s="3564">
        <v>63.03</v>
      </c>
      <c r="I1539" s="3564">
        <v>15.36</v>
      </c>
      <c r="J1539" s="3565">
        <v>791935</v>
      </c>
      <c r="K1539" s="3565">
        <v>10102.5</v>
      </c>
      <c r="L1539" s="3565">
        <v>12564.41</v>
      </c>
      <c r="M1539" s="3565">
        <v>0</v>
      </c>
      <c r="N1539" s="3565">
        <v>0</v>
      </c>
      <c r="O1539" s="3563" t="s">
        <v>3453</v>
      </c>
    </row>
    <row r="1540" spans="1:15">
      <c r="A1540" s="3563" t="s">
        <v>5751</v>
      </c>
      <c r="B1540" s="3563" t="s">
        <v>3453</v>
      </c>
      <c r="C1540" s="3563" t="s">
        <v>4197</v>
      </c>
      <c r="D1540" s="3563" t="s">
        <v>4796</v>
      </c>
      <c r="E1540" s="3563" t="s">
        <v>4609</v>
      </c>
      <c r="F1540" s="3563" t="s">
        <v>4797</v>
      </c>
      <c r="G1540" s="3564">
        <v>109.99</v>
      </c>
      <c r="H1540" s="3564">
        <v>88.44</v>
      </c>
      <c r="I1540" s="3564">
        <v>21.55</v>
      </c>
      <c r="J1540" s="3565">
        <v>1186793</v>
      </c>
      <c r="K1540" s="3565">
        <v>10790.01</v>
      </c>
      <c r="L1540" s="3565">
        <v>13419.19</v>
      </c>
      <c r="M1540" s="3565">
        <v>0</v>
      </c>
      <c r="N1540" s="3565">
        <v>0</v>
      </c>
      <c r="O1540" s="3563" t="s">
        <v>3453</v>
      </c>
    </row>
    <row r="1541" spans="1:15">
      <c r="A1541" s="3563" t="s">
        <v>5752</v>
      </c>
      <c r="B1541" s="3563" t="s">
        <v>4196</v>
      </c>
      <c r="C1541" s="3563" t="s">
        <v>4197</v>
      </c>
      <c r="D1541" s="3563" t="s">
        <v>4796</v>
      </c>
      <c r="E1541" s="3563" t="s">
        <v>4609</v>
      </c>
      <c r="F1541" s="3563" t="s">
        <v>4797</v>
      </c>
      <c r="G1541" s="3564">
        <v>103.23</v>
      </c>
      <c r="H1541" s="3564">
        <v>81.739999999999995</v>
      </c>
      <c r="I1541" s="3564">
        <v>21.49</v>
      </c>
      <c r="J1541" s="3565">
        <v>1072560</v>
      </c>
      <c r="K1541" s="3565">
        <v>10390</v>
      </c>
      <c r="L1541" s="3565">
        <v>13121.61</v>
      </c>
      <c r="M1541" s="3565">
        <v>0</v>
      </c>
      <c r="N1541" s="3565">
        <v>0</v>
      </c>
      <c r="O1541" s="3563" t="s">
        <v>3453</v>
      </c>
    </row>
    <row r="1542" spans="1:15">
      <c r="A1542" s="3563" t="s">
        <v>5753</v>
      </c>
      <c r="B1542" s="3563" t="s">
        <v>4196</v>
      </c>
      <c r="C1542" s="3563" t="s">
        <v>4197</v>
      </c>
      <c r="D1542" s="3563" t="s">
        <v>4796</v>
      </c>
      <c r="E1542" s="3563" t="s">
        <v>4609</v>
      </c>
      <c r="F1542" s="3563" t="s">
        <v>4797</v>
      </c>
      <c r="G1542" s="3564">
        <v>103.23</v>
      </c>
      <c r="H1542" s="3564">
        <v>81.739999999999995</v>
      </c>
      <c r="I1542" s="3564">
        <v>21.49</v>
      </c>
      <c r="J1542" s="3565">
        <v>1059657</v>
      </c>
      <c r="K1542" s="3565">
        <v>10265.01</v>
      </c>
      <c r="L1542" s="3565">
        <v>12963.75</v>
      </c>
      <c r="M1542" s="3565">
        <v>0</v>
      </c>
      <c r="N1542" s="3565">
        <v>0</v>
      </c>
      <c r="O1542" s="3563" t="s">
        <v>3453</v>
      </c>
    </row>
    <row r="1543" spans="1:15">
      <c r="A1543" s="3563" t="s">
        <v>5754</v>
      </c>
      <c r="B1543" s="3563" t="s">
        <v>4196</v>
      </c>
      <c r="C1543" s="3563" t="s">
        <v>4197</v>
      </c>
      <c r="D1543" s="3563" t="s">
        <v>4796</v>
      </c>
      <c r="E1543" s="3563" t="s">
        <v>4609</v>
      </c>
      <c r="F1543" s="3563" t="s">
        <v>4797</v>
      </c>
      <c r="G1543" s="3564">
        <v>91.92</v>
      </c>
      <c r="H1543" s="3564">
        <v>72.78</v>
      </c>
      <c r="I1543" s="3564">
        <v>19.14</v>
      </c>
      <c r="J1543" s="3565">
        <v>919150</v>
      </c>
      <c r="K1543" s="3565">
        <v>9999.4599999999991</v>
      </c>
      <c r="L1543" s="3565">
        <v>12629.16</v>
      </c>
      <c r="M1543" s="3565">
        <v>0</v>
      </c>
      <c r="N1543" s="3565">
        <v>0</v>
      </c>
      <c r="O1543" s="3563" t="s">
        <v>3453</v>
      </c>
    </row>
    <row r="1544" spans="1:15">
      <c r="A1544" s="3563" t="s">
        <v>5755</v>
      </c>
      <c r="B1544" s="3563" t="s">
        <v>4196</v>
      </c>
      <c r="C1544" s="3563" t="s">
        <v>4197</v>
      </c>
      <c r="D1544" s="3563" t="s">
        <v>4796</v>
      </c>
      <c r="E1544" s="3563" t="s">
        <v>4609</v>
      </c>
      <c r="F1544" s="3563" t="s">
        <v>4797</v>
      </c>
      <c r="G1544" s="3564">
        <v>79.599999999999994</v>
      </c>
      <c r="H1544" s="3564">
        <v>63.03</v>
      </c>
      <c r="I1544" s="3564">
        <v>16.57</v>
      </c>
      <c r="J1544" s="3565">
        <v>795957</v>
      </c>
      <c r="K1544" s="3565">
        <v>9999.4599999999991</v>
      </c>
      <c r="L1544" s="3565">
        <v>12628.22</v>
      </c>
      <c r="M1544" s="3565">
        <v>0</v>
      </c>
      <c r="N1544" s="3565">
        <v>0</v>
      </c>
      <c r="O1544" s="3563" t="s">
        <v>3453</v>
      </c>
    </row>
    <row r="1545" spans="1:15">
      <c r="A1545" s="3563" t="s">
        <v>5756</v>
      </c>
      <c r="B1545" s="3563" t="s">
        <v>4196</v>
      </c>
      <c r="C1545" s="3563" t="s">
        <v>4197</v>
      </c>
      <c r="D1545" s="3563" t="s">
        <v>4796</v>
      </c>
      <c r="E1545" s="3563" t="s">
        <v>4609</v>
      </c>
      <c r="F1545" s="3563" t="s">
        <v>4797</v>
      </c>
      <c r="G1545" s="3564">
        <v>79.599999999999994</v>
      </c>
      <c r="H1545" s="3564">
        <v>63.03</v>
      </c>
      <c r="I1545" s="3564">
        <v>16.57</v>
      </c>
      <c r="J1545" s="3565">
        <v>795957</v>
      </c>
      <c r="K1545" s="3565">
        <v>9999.4599999999991</v>
      </c>
      <c r="L1545" s="3565">
        <v>12628.22</v>
      </c>
      <c r="M1545" s="3565">
        <v>0</v>
      </c>
      <c r="N1545" s="3565">
        <v>0</v>
      </c>
      <c r="O1545" s="3563" t="s">
        <v>3453</v>
      </c>
    </row>
    <row r="1546" spans="1:15">
      <c r="A1546" s="3563" t="s">
        <v>5757</v>
      </c>
      <c r="B1546" s="3563" t="s">
        <v>4196</v>
      </c>
      <c r="C1546" s="3563" t="s">
        <v>4197</v>
      </c>
      <c r="D1546" s="3563" t="s">
        <v>4796</v>
      </c>
      <c r="E1546" s="3563" t="s">
        <v>4609</v>
      </c>
      <c r="F1546" s="3563" t="s">
        <v>4797</v>
      </c>
      <c r="G1546" s="3564">
        <v>101.66</v>
      </c>
      <c r="H1546" s="3564">
        <v>81.739999999999995</v>
      </c>
      <c r="I1546" s="3564">
        <v>19.920000000000002</v>
      </c>
      <c r="J1546" s="3565">
        <v>1108349</v>
      </c>
      <c r="K1546" s="3565">
        <v>10902.51</v>
      </c>
      <c r="L1546" s="3565">
        <v>13559.44</v>
      </c>
      <c r="M1546" s="3565">
        <v>0</v>
      </c>
      <c r="N1546" s="3565">
        <v>0</v>
      </c>
      <c r="O1546" s="3563" t="s">
        <v>3453</v>
      </c>
    </row>
    <row r="1547" spans="1:15">
      <c r="A1547" s="3563" t="s">
        <v>5758</v>
      </c>
      <c r="B1547" s="3563" t="s">
        <v>4196</v>
      </c>
      <c r="C1547" s="3563" t="s">
        <v>4197</v>
      </c>
      <c r="D1547" s="3563" t="s">
        <v>4796</v>
      </c>
      <c r="E1547" s="3563" t="s">
        <v>4609</v>
      </c>
      <c r="F1547" s="3563" t="s">
        <v>4797</v>
      </c>
      <c r="G1547" s="3564">
        <v>101.66</v>
      </c>
      <c r="H1547" s="3564">
        <v>81.739999999999995</v>
      </c>
      <c r="I1547" s="3564">
        <v>19.920000000000002</v>
      </c>
      <c r="J1547" s="3565">
        <v>1108349</v>
      </c>
      <c r="K1547" s="3565">
        <v>10902.51</v>
      </c>
      <c r="L1547" s="3565">
        <v>13559.44</v>
      </c>
      <c r="M1547" s="3565">
        <v>0</v>
      </c>
      <c r="N1547" s="3565">
        <v>0</v>
      </c>
      <c r="O1547" s="3563" t="s">
        <v>3453</v>
      </c>
    </row>
    <row r="1548" spans="1:15">
      <c r="A1548" s="3563" t="s">
        <v>5759</v>
      </c>
      <c r="B1548" s="3563" t="s">
        <v>5277</v>
      </c>
      <c r="C1548" s="3563" t="s">
        <v>4197</v>
      </c>
      <c r="D1548" s="3563" t="s">
        <v>4796</v>
      </c>
      <c r="E1548" s="3563" t="s">
        <v>4609</v>
      </c>
      <c r="F1548" s="3563" t="s">
        <v>4797</v>
      </c>
      <c r="G1548" s="3564">
        <v>90.52</v>
      </c>
      <c r="H1548" s="3564">
        <v>72.78</v>
      </c>
      <c r="I1548" s="3564">
        <v>17.739999999999998</v>
      </c>
      <c r="J1548" s="3565">
        <v>770342</v>
      </c>
      <c r="K1548" s="3565">
        <v>8510.19</v>
      </c>
      <c r="L1548" s="3565">
        <v>10584.53</v>
      </c>
      <c r="M1548" s="3565">
        <v>731825</v>
      </c>
      <c r="N1548" s="3565">
        <v>8084.68</v>
      </c>
      <c r="O1548" s="3566">
        <v>44188</v>
      </c>
    </row>
    <row r="1549" spans="1:15">
      <c r="A1549" s="3563" t="s">
        <v>5760</v>
      </c>
      <c r="B1549" s="3563" t="s">
        <v>4196</v>
      </c>
      <c r="C1549" s="3563" t="s">
        <v>4197</v>
      </c>
      <c r="D1549" s="3563" t="s">
        <v>4796</v>
      </c>
      <c r="E1549" s="3563" t="s">
        <v>4609</v>
      </c>
      <c r="F1549" s="3563" t="s">
        <v>4797</v>
      </c>
      <c r="G1549" s="3564">
        <v>78.39</v>
      </c>
      <c r="H1549" s="3564">
        <v>63.03</v>
      </c>
      <c r="I1549" s="3564">
        <v>15.36</v>
      </c>
      <c r="J1549" s="3565">
        <v>790955</v>
      </c>
      <c r="K1549" s="3565">
        <v>10090</v>
      </c>
      <c r="L1549" s="3565">
        <v>12548.87</v>
      </c>
      <c r="M1549" s="3565">
        <v>0</v>
      </c>
      <c r="N1549" s="3565">
        <v>0</v>
      </c>
      <c r="O1549" s="3563" t="s">
        <v>3453</v>
      </c>
    </row>
    <row r="1550" spans="1:15">
      <c r="A1550" s="3563" t="s">
        <v>5761</v>
      </c>
      <c r="B1550" s="3563" t="s">
        <v>5277</v>
      </c>
      <c r="C1550" s="3563" t="s">
        <v>4197</v>
      </c>
      <c r="D1550" s="3563" t="s">
        <v>4796</v>
      </c>
      <c r="E1550" s="3563" t="s">
        <v>4609</v>
      </c>
      <c r="F1550" s="3563" t="s">
        <v>4797</v>
      </c>
      <c r="G1550" s="3564">
        <v>78.39</v>
      </c>
      <c r="H1550" s="3564">
        <v>63.03</v>
      </c>
      <c r="I1550" s="3564">
        <v>15.36</v>
      </c>
      <c r="J1550" s="3565">
        <v>673154</v>
      </c>
      <c r="K1550" s="3565">
        <v>8587.24</v>
      </c>
      <c r="L1550" s="3565">
        <v>10679.9</v>
      </c>
      <c r="M1550" s="3565">
        <v>639497</v>
      </c>
      <c r="N1550" s="3565">
        <v>8157.89</v>
      </c>
      <c r="O1550" s="3566">
        <v>44188</v>
      </c>
    </row>
    <row r="1551" spans="1:15">
      <c r="A1551" s="3563" t="s">
        <v>5762</v>
      </c>
      <c r="B1551" s="3563" t="s">
        <v>3453</v>
      </c>
      <c r="C1551" s="3563" t="s">
        <v>4197</v>
      </c>
      <c r="D1551" s="3563" t="s">
        <v>4796</v>
      </c>
      <c r="E1551" s="3563" t="s">
        <v>4609</v>
      </c>
      <c r="F1551" s="3563" t="s">
        <v>4797</v>
      </c>
      <c r="G1551" s="3564">
        <v>109.99</v>
      </c>
      <c r="H1551" s="3564">
        <v>88.44</v>
      </c>
      <c r="I1551" s="3564">
        <v>21.55</v>
      </c>
      <c r="J1551" s="3565">
        <v>1185418</v>
      </c>
      <c r="K1551" s="3565">
        <v>10777.51</v>
      </c>
      <c r="L1551" s="3565">
        <v>13403.64</v>
      </c>
      <c r="M1551" s="3565">
        <v>0</v>
      </c>
      <c r="N1551" s="3565">
        <v>0</v>
      </c>
      <c r="O1551" s="3563" t="s">
        <v>3453</v>
      </c>
    </row>
    <row r="1552" spans="1:15">
      <c r="A1552" s="3563" t="s">
        <v>5763</v>
      </c>
      <c r="B1552" s="3563" t="s">
        <v>4196</v>
      </c>
      <c r="C1552" s="3563" t="s">
        <v>4197</v>
      </c>
      <c r="D1552" s="3563" t="s">
        <v>4796</v>
      </c>
      <c r="E1552" s="3563" t="s">
        <v>4609</v>
      </c>
      <c r="F1552" s="3563" t="s">
        <v>4797</v>
      </c>
      <c r="G1552" s="3564">
        <v>101.66</v>
      </c>
      <c r="H1552" s="3564">
        <v>81.739999999999995</v>
      </c>
      <c r="I1552" s="3564">
        <v>19.920000000000002</v>
      </c>
      <c r="J1552" s="3565">
        <v>1107078</v>
      </c>
      <c r="K1552" s="3565">
        <v>10890.01</v>
      </c>
      <c r="L1552" s="3565">
        <v>13543.9</v>
      </c>
      <c r="M1552" s="3565">
        <v>0</v>
      </c>
      <c r="N1552" s="3565">
        <v>0</v>
      </c>
      <c r="O1552" s="3563" t="s">
        <v>3453</v>
      </c>
    </row>
    <row r="1553" spans="1:15">
      <c r="A1553" s="3563" t="s">
        <v>5764</v>
      </c>
      <c r="B1553" s="3563" t="s">
        <v>4196</v>
      </c>
      <c r="C1553" s="3563" t="s">
        <v>4197</v>
      </c>
      <c r="D1553" s="3563" t="s">
        <v>4796</v>
      </c>
      <c r="E1553" s="3563" t="s">
        <v>4609</v>
      </c>
      <c r="F1553" s="3563" t="s">
        <v>4797</v>
      </c>
      <c r="G1553" s="3564">
        <v>101.66</v>
      </c>
      <c r="H1553" s="3564">
        <v>81.739999999999995</v>
      </c>
      <c r="I1553" s="3564">
        <v>19.920000000000002</v>
      </c>
      <c r="J1553" s="3565">
        <v>1107078</v>
      </c>
      <c r="K1553" s="3565">
        <v>10890.01</v>
      </c>
      <c r="L1553" s="3565">
        <v>13543.9</v>
      </c>
      <c r="M1553" s="3565">
        <v>0</v>
      </c>
      <c r="N1553" s="3565">
        <v>0</v>
      </c>
      <c r="O1553" s="3563" t="s">
        <v>3453</v>
      </c>
    </row>
    <row r="1554" spans="1:15">
      <c r="A1554" s="3563" t="s">
        <v>5765</v>
      </c>
      <c r="B1554" s="3563" t="s">
        <v>5277</v>
      </c>
      <c r="C1554" s="3563" t="s">
        <v>4197</v>
      </c>
      <c r="D1554" s="3563" t="s">
        <v>4796</v>
      </c>
      <c r="E1554" s="3563" t="s">
        <v>4609</v>
      </c>
      <c r="F1554" s="3563" t="s">
        <v>4797</v>
      </c>
      <c r="G1554" s="3564">
        <v>90.52</v>
      </c>
      <c r="H1554" s="3564">
        <v>72.78</v>
      </c>
      <c r="I1554" s="3564">
        <v>17.739999999999998</v>
      </c>
      <c r="J1554" s="3565">
        <v>770342</v>
      </c>
      <c r="K1554" s="3565">
        <v>8510.19</v>
      </c>
      <c r="L1554" s="3565">
        <v>10584.53</v>
      </c>
      <c r="M1554" s="3565">
        <v>731825</v>
      </c>
      <c r="N1554" s="3565">
        <v>8084.68</v>
      </c>
      <c r="O1554" s="3566">
        <v>44188</v>
      </c>
    </row>
    <row r="1555" spans="1:15">
      <c r="A1555" s="3563" t="s">
        <v>5766</v>
      </c>
      <c r="B1555" s="3563" t="s">
        <v>4811</v>
      </c>
      <c r="C1555" s="3563" t="s">
        <v>4197</v>
      </c>
      <c r="D1555" s="3563" t="s">
        <v>4796</v>
      </c>
      <c r="E1555" s="3563" t="s">
        <v>4609</v>
      </c>
      <c r="F1555" s="3563" t="s">
        <v>4797</v>
      </c>
      <c r="G1555" s="3564">
        <v>78.39</v>
      </c>
      <c r="H1555" s="3564">
        <v>63.03</v>
      </c>
      <c r="I1555" s="3564">
        <v>15.36</v>
      </c>
      <c r="J1555" s="3565">
        <v>672320</v>
      </c>
      <c r="K1555" s="3565">
        <v>8576.6</v>
      </c>
      <c r="L1555" s="3565">
        <v>10666.67</v>
      </c>
      <c r="M1555" s="3565">
        <v>638704</v>
      </c>
      <c r="N1555" s="3565">
        <v>8147.77</v>
      </c>
      <c r="O1555" s="3566">
        <v>44188</v>
      </c>
    </row>
    <row r="1556" spans="1:15">
      <c r="A1556" s="3563" t="s">
        <v>5767</v>
      </c>
      <c r="B1556" s="3563" t="s">
        <v>4811</v>
      </c>
      <c r="C1556" s="3563" t="s">
        <v>4197</v>
      </c>
      <c r="D1556" s="3563" t="s">
        <v>4796</v>
      </c>
      <c r="E1556" s="3563" t="s">
        <v>4609</v>
      </c>
      <c r="F1556" s="3563" t="s">
        <v>4797</v>
      </c>
      <c r="G1556" s="3564">
        <v>78.39</v>
      </c>
      <c r="H1556" s="3564">
        <v>63.03</v>
      </c>
      <c r="I1556" s="3564">
        <v>15.36</v>
      </c>
      <c r="J1556" s="3565">
        <v>789975</v>
      </c>
      <c r="K1556" s="3565">
        <v>10077.5</v>
      </c>
      <c r="L1556" s="3565">
        <v>12533.32</v>
      </c>
      <c r="M1556" s="3565">
        <v>789975</v>
      </c>
      <c r="N1556" s="3565">
        <v>10077.5</v>
      </c>
      <c r="O1556" s="3566">
        <v>44192</v>
      </c>
    </row>
    <row r="1557" spans="1:15">
      <c r="A1557" s="3563" t="s">
        <v>5768</v>
      </c>
      <c r="B1557" s="3563" t="s">
        <v>5277</v>
      </c>
      <c r="C1557" s="3563" t="s">
        <v>4197</v>
      </c>
      <c r="D1557" s="3563" t="s">
        <v>4796</v>
      </c>
      <c r="E1557" s="3563" t="s">
        <v>4609</v>
      </c>
      <c r="F1557" s="3563" t="s">
        <v>4797</v>
      </c>
      <c r="G1557" s="3564">
        <v>109.99</v>
      </c>
      <c r="H1557" s="3564">
        <v>88.44</v>
      </c>
      <c r="I1557" s="3564">
        <v>21.55</v>
      </c>
      <c r="J1557" s="3565">
        <v>1007696</v>
      </c>
      <c r="K1557" s="3565">
        <v>9161.7099999999991</v>
      </c>
      <c r="L1557" s="3565">
        <v>11394.12</v>
      </c>
      <c r="M1557" s="3565">
        <v>957312</v>
      </c>
      <c r="N1557" s="3565">
        <v>8703.6299999999992</v>
      </c>
      <c r="O1557" s="3566">
        <v>44190</v>
      </c>
    </row>
    <row r="1558" spans="1:15">
      <c r="A1558" s="3563" t="s">
        <v>5769</v>
      </c>
      <c r="B1558" s="3563" t="s">
        <v>4196</v>
      </c>
      <c r="C1558" s="3563" t="s">
        <v>4197</v>
      </c>
      <c r="D1558" s="3563" t="s">
        <v>4796</v>
      </c>
      <c r="E1558" s="3563" t="s">
        <v>4609</v>
      </c>
      <c r="F1558" s="3563" t="s">
        <v>4797</v>
      </c>
      <c r="G1558" s="3564">
        <v>101.66</v>
      </c>
      <c r="H1558" s="3564">
        <v>81.739999999999995</v>
      </c>
      <c r="I1558" s="3564">
        <v>19.920000000000002</v>
      </c>
      <c r="J1558" s="3565">
        <v>1067684</v>
      </c>
      <c r="K1558" s="3565">
        <v>10502.5</v>
      </c>
      <c r="L1558" s="3565">
        <v>13061.95</v>
      </c>
      <c r="M1558" s="3565">
        <v>0</v>
      </c>
      <c r="N1558" s="3565">
        <v>0</v>
      </c>
      <c r="O1558" s="3563" t="s">
        <v>3453</v>
      </c>
    </row>
    <row r="1559" spans="1:15">
      <c r="A1559" s="3563" t="s">
        <v>5770</v>
      </c>
      <c r="B1559" s="3563" t="s">
        <v>4196</v>
      </c>
      <c r="C1559" s="3563" t="s">
        <v>4197</v>
      </c>
      <c r="D1559" s="3563" t="s">
        <v>4796</v>
      </c>
      <c r="E1559" s="3563" t="s">
        <v>4609</v>
      </c>
      <c r="F1559" s="3563" t="s">
        <v>4797</v>
      </c>
      <c r="G1559" s="3564">
        <v>101.66</v>
      </c>
      <c r="H1559" s="3564">
        <v>81.739999999999995</v>
      </c>
      <c r="I1559" s="3564">
        <v>19.920000000000002</v>
      </c>
      <c r="J1559" s="3565">
        <v>1067684</v>
      </c>
      <c r="K1559" s="3565">
        <v>10502.5</v>
      </c>
      <c r="L1559" s="3565">
        <v>13061.95</v>
      </c>
      <c r="M1559" s="3565">
        <v>0</v>
      </c>
      <c r="N1559" s="3565">
        <v>0</v>
      </c>
      <c r="O1559" s="3563" t="s">
        <v>3453</v>
      </c>
    </row>
    <row r="1560" spans="1:15">
      <c r="A1560" s="3563" t="s">
        <v>5771</v>
      </c>
      <c r="B1560" s="3563" t="s">
        <v>4196</v>
      </c>
      <c r="C1560" s="3563" t="s">
        <v>4197</v>
      </c>
      <c r="D1560" s="3563" t="s">
        <v>4796</v>
      </c>
      <c r="E1560" s="3563" t="s">
        <v>4609</v>
      </c>
      <c r="F1560" s="3563" t="s">
        <v>4797</v>
      </c>
      <c r="G1560" s="3564">
        <v>90.52</v>
      </c>
      <c r="H1560" s="3564">
        <v>72.78</v>
      </c>
      <c r="I1560" s="3564">
        <v>17.739999999999998</v>
      </c>
      <c r="J1560" s="3565">
        <v>905152</v>
      </c>
      <c r="K1560" s="3565">
        <v>9999.4699999999993</v>
      </c>
      <c r="L1560" s="3565">
        <v>12436.82</v>
      </c>
      <c r="M1560" s="3565">
        <v>0</v>
      </c>
      <c r="N1560" s="3565">
        <v>0</v>
      </c>
      <c r="O1560" s="3563" t="s">
        <v>3453</v>
      </c>
    </row>
    <row r="1561" spans="1:15">
      <c r="A1561" s="3563" t="s">
        <v>5772</v>
      </c>
      <c r="B1561" s="3563" t="s">
        <v>4196</v>
      </c>
      <c r="C1561" s="3563" t="s">
        <v>4197</v>
      </c>
      <c r="D1561" s="3563" t="s">
        <v>4796</v>
      </c>
      <c r="E1561" s="3563" t="s">
        <v>4609</v>
      </c>
      <c r="F1561" s="3563" t="s">
        <v>4797</v>
      </c>
      <c r="G1561" s="3564">
        <v>78.39</v>
      </c>
      <c r="H1561" s="3564">
        <v>63.03</v>
      </c>
      <c r="I1561" s="3564">
        <v>15.36</v>
      </c>
      <c r="J1561" s="3565">
        <v>783858</v>
      </c>
      <c r="K1561" s="3565">
        <v>9999.4599999999991</v>
      </c>
      <c r="L1561" s="3565">
        <v>12436.27</v>
      </c>
      <c r="M1561" s="3565">
        <v>0</v>
      </c>
      <c r="N1561" s="3565">
        <v>0</v>
      </c>
      <c r="O1561" s="3563" t="s">
        <v>3453</v>
      </c>
    </row>
    <row r="1562" spans="1:15">
      <c r="A1562" s="3563" t="s">
        <v>5773</v>
      </c>
      <c r="B1562" s="3563" t="s">
        <v>4196</v>
      </c>
      <c r="C1562" s="3563" t="s">
        <v>4197</v>
      </c>
      <c r="D1562" s="3563" t="s">
        <v>4796</v>
      </c>
      <c r="E1562" s="3563" t="s">
        <v>4609</v>
      </c>
      <c r="F1562" s="3563" t="s">
        <v>4797</v>
      </c>
      <c r="G1562" s="3564">
        <v>78.39</v>
      </c>
      <c r="H1562" s="3564">
        <v>63.03</v>
      </c>
      <c r="I1562" s="3564">
        <v>15.36</v>
      </c>
      <c r="J1562" s="3565">
        <v>783858</v>
      </c>
      <c r="K1562" s="3565">
        <v>9999.4599999999991</v>
      </c>
      <c r="L1562" s="3565">
        <v>12436.27</v>
      </c>
      <c r="M1562" s="3565">
        <v>0</v>
      </c>
      <c r="N1562" s="3565">
        <v>0</v>
      </c>
      <c r="O1562" s="3563" t="s">
        <v>3453</v>
      </c>
    </row>
    <row r="1563" spans="1:15">
      <c r="A1563" s="3563" t="s">
        <v>5774</v>
      </c>
      <c r="B1563" s="3563" t="s">
        <v>4196</v>
      </c>
      <c r="C1563" s="3563" t="s">
        <v>4197</v>
      </c>
      <c r="D1563" s="3563" t="s">
        <v>4796</v>
      </c>
      <c r="E1563" s="3563" t="s">
        <v>4609</v>
      </c>
      <c r="F1563" s="3563" t="s">
        <v>4797</v>
      </c>
      <c r="G1563" s="3564">
        <v>109.99</v>
      </c>
      <c r="H1563" s="3564">
        <v>88.44</v>
      </c>
      <c r="I1563" s="3564">
        <v>21.55</v>
      </c>
      <c r="J1563" s="3565">
        <v>1141422</v>
      </c>
      <c r="K1563" s="3565">
        <v>10377.51</v>
      </c>
      <c r="L1563" s="3565">
        <v>12906.17</v>
      </c>
      <c r="M1563" s="3565">
        <v>0</v>
      </c>
      <c r="N1563" s="3565">
        <v>0</v>
      </c>
      <c r="O1563" s="3563" t="s">
        <v>3453</v>
      </c>
    </row>
    <row r="1564" spans="1:15">
      <c r="A1564" s="3563" t="s">
        <v>5775</v>
      </c>
      <c r="B1564" s="3563" t="s">
        <v>4196</v>
      </c>
      <c r="C1564" s="3563" t="s">
        <v>4197</v>
      </c>
      <c r="D1564" s="3563" t="s">
        <v>4796</v>
      </c>
      <c r="E1564" s="3563" t="s">
        <v>4609</v>
      </c>
      <c r="F1564" s="3563" t="s">
        <v>4797</v>
      </c>
      <c r="G1564" s="3564">
        <v>101.66</v>
      </c>
      <c r="H1564" s="3564">
        <v>81.739999999999995</v>
      </c>
      <c r="I1564" s="3564">
        <v>19.920000000000002</v>
      </c>
      <c r="J1564" s="3565">
        <v>1071497</v>
      </c>
      <c r="K1564" s="3565">
        <v>10540.01</v>
      </c>
      <c r="L1564" s="3565">
        <v>13108.6</v>
      </c>
      <c r="M1564" s="3565">
        <v>0</v>
      </c>
      <c r="N1564" s="3565">
        <v>0</v>
      </c>
      <c r="O1564" s="3563" t="s">
        <v>3453</v>
      </c>
    </row>
    <row r="1565" spans="1:15">
      <c r="A1565" s="3563" t="s">
        <v>5776</v>
      </c>
      <c r="B1565" s="3563" t="s">
        <v>4196</v>
      </c>
      <c r="C1565" s="3563" t="s">
        <v>4197</v>
      </c>
      <c r="D1565" s="3563" t="s">
        <v>4796</v>
      </c>
      <c r="E1565" s="3563" t="s">
        <v>4609</v>
      </c>
      <c r="F1565" s="3563" t="s">
        <v>4797</v>
      </c>
      <c r="G1565" s="3564">
        <v>101.66</v>
      </c>
      <c r="H1565" s="3564">
        <v>81.739999999999995</v>
      </c>
      <c r="I1565" s="3564">
        <v>19.920000000000002</v>
      </c>
      <c r="J1565" s="3565">
        <v>1058789</v>
      </c>
      <c r="K1565" s="3565">
        <v>10415</v>
      </c>
      <c r="L1565" s="3565">
        <v>12953.13</v>
      </c>
      <c r="M1565" s="3565">
        <v>0</v>
      </c>
      <c r="N1565" s="3565">
        <v>0</v>
      </c>
      <c r="O1565" s="3563" t="s">
        <v>3453</v>
      </c>
    </row>
    <row r="1566" spans="1:15">
      <c r="A1566" s="3563" t="s">
        <v>5777</v>
      </c>
      <c r="B1566" s="3563" t="s">
        <v>4196</v>
      </c>
      <c r="C1566" s="3563" t="s">
        <v>4197</v>
      </c>
      <c r="D1566" s="3563" t="s">
        <v>4796</v>
      </c>
      <c r="E1566" s="3563" t="s">
        <v>4609</v>
      </c>
      <c r="F1566" s="3563" t="s">
        <v>4797</v>
      </c>
      <c r="G1566" s="3564">
        <v>90.52</v>
      </c>
      <c r="H1566" s="3564">
        <v>72.78</v>
      </c>
      <c r="I1566" s="3564">
        <v>17.739999999999998</v>
      </c>
      <c r="J1566" s="3565">
        <v>905152</v>
      </c>
      <c r="K1566" s="3565">
        <v>9999.4699999999993</v>
      </c>
      <c r="L1566" s="3565">
        <v>12436.82</v>
      </c>
      <c r="M1566" s="3565">
        <v>0</v>
      </c>
      <c r="N1566" s="3565">
        <v>0</v>
      </c>
      <c r="O1566" s="3563" t="s">
        <v>3453</v>
      </c>
    </row>
    <row r="1567" spans="1:15">
      <c r="A1567" s="3563" t="s">
        <v>5778</v>
      </c>
      <c r="B1567" s="3563" t="s">
        <v>4196</v>
      </c>
      <c r="C1567" s="3563" t="s">
        <v>4197</v>
      </c>
      <c r="D1567" s="3563" t="s">
        <v>4796</v>
      </c>
      <c r="E1567" s="3563" t="s">
        <v>4609</v>
      </c>
      <c r="F1567" s="3563" t="s">
        <v>4797</v>
      </c>
      <c r="G1567" s="3564">
        <v>78.39</v>
      </c>
      <c r="H1567" s="3564">
        <v>63.03</v>
      </c>
      <c r="I1567" s="3564">
        <v>15.36</v>
      </c>
      <c r="J1567" s="3565">
        <v>783858</v>
      </c>
      <c r="K1567" s="3565">
        <v>9999.4599999999991</v>
      </c>
      <c r="L1567" s="3565">
        <v>12436.27</v>
      </c>
      <c r="M1567" s="3565">
        <v>0</v>
      </c>
      <c r="N1567" s="3565">
        <v>0</v>
      </c>
      <c r="O1567" s="3563" t="s">
        <v>3453</v>
      </c>
    </row>
    <row r="1568" spans="1:15">
      <c r="A1568" s="3563" t="s">
        <v>5779</v>
      </c>
      <c r="B1568" s="3563" t="s">
        <v>4196</v>
      </c>
      <c r="C1568" s="3563" t="s">
        <v>4197</v>
      </c>
      <c r="D1568" s="3563" t="s">
        <v>4796</v>
      </c>
      <c r="E1568" s="3563" t="s">
        <v>4609</v>
      </c>
      <c r="F1568" s="3563" t="s">
        <v>4797</v>
      </c>
      <c r="G1568" s="3564">
        <v>78.39</v>
      </c>
      <c r="H1568" s="3564">
        <v>63.03</v>
      </c>
      <c r="I1568" s="3564">
        <v>15.36</v>
      </c>
      <c r="J1568" s="3565">
        <v>783858</v>
      </c>
      <c r="K1568" s="3565">
        <v>9999.4599999999991</v>
      </c>
      <c r="L1568" s="3565">
        <v>12436.27</v>
      </c>
      <c r="M1568" s="3565">
        <v>0</v>
      </c>
      <c r="N1568" s="3565">
        <v>0</v>
      </c>
      <c r="O1568" s="3563" t="s">
        <v>3453</v>
      </c>
    </row>
    <row r="1569" spans="1:15">
      <c r="A1569" s="3563" t="s">
        <v>5780</v>
      </c>
      <c r="B1569" s="3563" t="s">
        <v>4196</v>
      </c>
      <c r="C1569" s="3563" t="s">
        <v>4197</v>
      </c>
      <c r="D1569" s="3563" t="s">
        <v>4796</v>
      </c>
      <c r="E1569" s="3563" t="s">
        <v>4609</v>
      </c>
      <c r="F1569" s="3563" t="s">
        <v>4797</v>
      </c>
      <c r="G1569" s="3564">
        <v>109.99</v>
      </c>
      <c r="H1569" s="3564">
        <v>88.44</v>
      </c>
      <c r="I1569" s="3564">
        <v>21.55</v>
      </c>
      <c r="J1569" s="3565">
        <v>1145547</v>
      </c>
      <c r="K1569" s="3565">
        <v>10415.01</v>
      </c>
      <c r="L1569" s="3565">
        <v>12952.82</v>
      </c>
      <c r="M1569" s="3565">
        <v>0</v>
      </c>
      <c r="N1569" s="3565">
        <v>0</v>
      </c>
      <c r="O1569" s="3563" t="s">
        <v>3453</v>
      </c>
    </row>
    <row r="1570" spans="1:15">
      <c r="A1570" s="3563" t="s">
        <v>5781</v>
      </c>
      <c r="B1570" s="3563" t="s">
        <v>4196</v>
      </c>
      <c r="C1570" s="3563" t="s">
        <v>4197</v>
      </c>
      <c r="D1570" s="3563" t="s">
        <v>4796</v>
      </c>
      <c r="E1570" s="3563" t="s">
        <v>4609</v>
      </c>
      <c r="F1570" s="3563" t="s">
        <v>4797</v>
      </c>
      <c r="G1570" s="3564">
        <v>101.66</v>
      </c>
      <c r="H1570" s="3564">
        <v>81.739999999999995</v>
      </c>
      <c r="I1570" s="3564">
        <v>19.920000000000002</v>
      </c>
      <c r="J1570" s="3565">
        <v>1086745</v>
      </c>
      <c r="K1570" s="3565">
        <v>10690</v>
      </c>
      <c r="L1570" s="3565">
        <v>13295.14</v>
      </c>
      <c r="M1570" s="3565">
        <v>0</v>
      </c>
      <c r="N1570" s="3565">
        <v>0</v>
      </c>
      <c r="O1570" s="3563" t="s">
        <v>3453</v>
      </c>
    </row>
    <row r="1571" spans="1:15">
      <c r="A1571" s="3563" t="s">
        <v>5782</v>
      </c>
      <c r="B1571" s="3563" t="s">
        <v>4196</v>
      </c>
      <c r="C1571" s="3563" t="s">
        <v>4197</v>
      </c>
      <c r="D1571" s="3563" t="s">
        <v>4796</v>
      </c>
      <c r="E1571" s="3563" t="s">
        <v>4609</v>
      </c>
      <c r="F1571" s="3563" t="s">
        <v>4797</v>
      </c>
      <c r="G1571" s="3564">
        <v>101.66</v>
      </c>
      <c r="H1571" s="3564">
        <v>81.739999999999995</v>
      </c>
      <c r="I1571" s="3564">
        <v>19.920000000000002</v>
      </c>
      <c r="J1571" s="3565">
        <v>1074038</v>
      </c>
      <c r="K1571" s="3565">
        <v>10565</v>
      </c>
      <c r="L1571" s="3565">
        <v>13139.69</v>
      </c>
      <c r="M1571" s="3565">
        <v>0</v>
      </c>
      <c r="N1571" s="3565">
        <v>0</v>
      </c>
      <c r="O1571" s="3563" t="s">
        <v>3453</v>
      </c>
    </row>
    <row r="1572" spans="1:15">
      <c r="A1572" s="3563" t="s">
        <v>5783</v>
      </c>
      <c r="B1572" s="3563" t="s">
        <v>4196</v>
      </c>
      <c r="C1572" s="3563" t="s">
        <v>4197</v>
      </c>
      <c r="D1572" s="3563" t="s">
        <v>4796</v>
      </c>
      <c r="E1572" s="3563" t="s">
        <v>4609</v>
      </c>
      <c r="F1572" s="3563" t="s">
        <v>4797</v>
      </c>
      <c r="G1572" s="3564">
        <v>90.52</v>
      </c>
      <c r="H1572" s="3564">
        <v>72.78</v>
      </c>
      <c r="I1572" s="3564">
        <v>17.739999999999998</v>
      </c>
      <c r="J1572" s="3565">
        <v>905152</v>
      </c>
      <c r="K1572" s="3565">
        <v>9999.4699999999993</v>
      </c>
      <c r="L1572" s="3565">
        <v>12436.82</v>
      </c>
      <c r="M1572" s="3565">
        <v>0</v>
      </c>
      <c r="N1572" s="3565">
        <v>0</v>
      </c>
      <c r="O1572" s="3563" t="s">
        <v>3453</v>
      </c>
    </row>
    <row r="1573" spans="1:15">
      <c r="A1573" s="3563" t="s">
        <v>5784</v>
      </c>
      <c r="B1573" s="3563" t="s">
        <v>4196</v>
      </c>
      <c r="C1573" s="3563" t="s">
        <v>4197</v>
      </c>
      <c r="D1573" s="3563" t="s">
        <v>4796</v>
      </c>
      <c r="E1573" s="3563" t="s">
        <v>4609</v>
      </c>
      <c r="F1573" s="3563" t="s">
        <v>4797</v>
      </c>
      <c r="G1573" s="3564">
        <v>78.39</v>
      </c>
      <c r="H1573" s="3564">
        <v>63.03</v>
      </c>
      <c r="I1573" s="3564">
        <v>15.36</v>
      </c>
      <c r="J1573" s="3565">
        <v>783858</v>
      </c>
      <c r="K1573" s="3565">
        <v>9999.4599999999991</v>
      </c>
      <c r="L1573" s="3565">
        <v>12436.27</v>
      </c>
      <c r="M1573" s="3565">
        <v>0</v>
      </c>
      <c r="N1573" s="3565">
        <v>0</v>
      </c>
      <c r="O1573" s="3563" t="s">
        <v>3453</v>
      </c>
    </row>
    <row r="1574" spans="1:15">
      <c r="A1574" s="3563" t="s">
        <v>5785</v>
      </c>
      <c r="B1574" s="3563" t="s">
        <v>4196</v>
      </c>
      <c r="C1574" s="3563" t="s">
        <v>4197</v>
      </c>
      <c r="D1574" s="3563" t="s">
        <v>4796</v>
      </c>
      <c r="E1574" s="3563" t="s">
        <v>4609</v>
      </c>
      <c r="F1574" s="3563" t="s">
        <v>4797</v>
      </c>
      <c r="G1574" s="3564">
        <v>78.39</v>
      </c>
      <c r="H1574" s="3564">
        <v>63.03</v>
      </c>
      <c r="I1574" s="3564">
        <v>15.36</v>
      </c>
      <c r="J1574" s="3565">
        <v>783858</v>
      </c>
      <c r="K1574" s="3565">
        <v>9999.4599999999991</v>
      </c>
      <c r="L1574" s="3565">
        <v>12436.27</v>
      </c>
      <c r="M1574" s="3565">
        <v>0</v>
      </c>
      <c r="N1574" s="3565">
        <v>0</v>
      </c>
      <c r="O1574" s="3563" t="s">
        <v>3453</v>
      </c>
    </row>
    <row r="1575" spans="1:15">
      <c r="A1575" s="3563" t="s">
        <v>5786</v>
      </c>
      <c r="B1575" s="3563" t="s">
        <v>4196</v>
      </c>
      <c r="C1575" s="3563" t="s">
        <v>4197</v>
      </c>
      <c r="D1575" s="3563" t="s">
        <v>4796</v>
      </c>
      <c r="E1575" s="3563" t="s">
        <v>4609</v>
      </c>
      <c r="F1575" s="3563" t="s">
        <v>4797</v>
      </c>
      <c r="G1575" s="3564">
        <v>109.99</v>
      </c>
      <c r="H1575" s="3564">
        <v>88.44</v>
      </c>
      <c r="I1575" s="3564">
        <v>21.55</v>
      </c>
      <c r="J1575" s="3565">
        <v>1162044</v>
      </c>
      <c r="K1575" s="3565">
        <v>10565</v>
      </c>
      <c r="L1575" s="3565">
        <v>13139.35</v>
      </c>
      <c r="M1575" s="3565">
        <v>0</v>
      </c>
      <c r="N1575" s="3565">
        <v>0</v>
      </c>
      <c r="O1575" s="3563" t="s">
        <v>3453</v>
      </c>
    </row>
    <row r="1576" spans="1:15">
      <c r="A1576" s="3563" t="s">
        <v>5787</v>
      </c>
      <c r="B1576" s="3563" t="s">
        <v>4196</v>
      </c>
      <c r="C1576" s="3563" t="s">
        <v>4197</v>
      </c>
      <c r="D1576" s="3563" t="s">
        <v>4796</v>
      </c>
      <c r="E1576" s="3563" t="s">
        <v>4609</v>
      </c>
      <c r="F1576" s="3563" t="s">
        <v>4797</v>
      </c>
      <c r="G1576" s="3564">
        <v>101.66</v>
      </c>
      <c r="H1576" s="3564">
        <v>81.739999999999995</v>
      </c>
      <c r="I1576" s="3564">
        <v>19.920000000000002</v>
      </c>
      <c r="J1576" s="3565">
        <v>1101995</v>
      </c>
      <c r="K1576" s="3565">
        <v>10840.01</v>
      </c>
      <c r="L1576" s="3565">
        <v>13481.71</v>
      </c>
      <c r="M1576" s="3565">
        <v>0</v>
      </c>
      <c r="N1576" s="3565">
        <v>0</v>
      </c>
      <c r="O1576" s="3563" t="s">
        <v>3453</v>
      </c>
    </row>
    <row r="1577" spans="1:15">
      <c r="A1577" s="3563" t="s">
        <v>5788</v>
      </c>
      <c r="B1577" s="3563" t="s">
        <v>4196</v>
      </c>
      <c r="C1577" s="3563" t="s">
        <v>4197</v>
      </c>
      <c r="D1577" s="3563" t="s">
        <v>4796</v>
      </c>
      <c r="E1577" s="3563" t="s">
        <v>4609</v>
      </c>
      <c r="F1577" s="3563" t="s">
        <v>4797</v>
      </c>
      <c r="G1577" s="3564">
        <v>101.66</v>
      </c>
      <c r="H1577" s="3564">
        <v>81.739999999999995</v>
      </c>
      <c r="I1577" s="3564">
        <v>19.920000000000002</v>
      </c>
      <c r="J1577" s="3565">
        <v>1089288</v>
      </c>
      <c r="K1577" s="3565">
        <v>10715.01</v>
      </c>
      <c r="L1577" s="3565">
        <v>13326.25</v>
      </c>
      <c r="M1577" s="3565">
        <v>0</v>
      </c>
      <c r="N1577" s="3565">
        <v>0</v>
      </c>
      <c r="O1577" s="3563" t="s">
        <v>3453</v>
      </c>
    </row>
    <row r="1578" spans="1:15">
      <c r="A1578" s="3563" t="s">
        <v>5789</v>
      </c>
      <c r="B1578" s="3563" t="s">
        <v>4196</v>
      </c>
      <c r="C1578" s="3563" t="s">
        <v>4197</v>
      </c>
      <c r="D1578" s="3563" t="s">
        <v>4796</v>
      </c>
      <c r="E1578" s="3563" t="s">
        <v>4609</v>
      </c>
      <c r="F1578" s="3563" t="s">
        <v>4797</v>
      </c>
      <c r="G1578" s="3564">
        <v>90.52</v>
      </c>
      <c r="H1578" s="3564">
        <v>72.78</v>
      </c>
      <c r="I1578" s="3564">
        <v>17.739999999999998</v>
      </c>
      <c r="J1578" s="3565">
        <v>905152</v>
      </c>
      <c r="K1578" s="3565">
        <v>9999.4699999999993</v>
      </c>
      <c r="L1578" s="3565">
        <v>12436.82</v>
      </c>
      <c r="M1578" s="3565">
        <v>0</v>
      </c>
      <c r="N1578" s="3565">
        <v>0</v>
      </c>
      <c r="O1578" s="3563" t="s">
        <v>3453</v>
      </c>
    </row>
    <row r="1579" spans="1:15">
      <c r="A1579" s="3563" t="s">
        <v>5790</v>
      </c>
      <c r="B1579" s="3563" t="s">
        <v>4196</v>
      </c>
      <c r="C1579" s="3563" t="s">
        <v>4197</v>
      </c>
      <c r="D1579" s="3563" t="s">
        <v>4796</v>
      </c>
      <c r="E1579" s="3563" t="s">
        <v>4609</v>
      </c>
      <c r="F1579" s="3563" t="s">
        <v>4797</v>
      </c>
      <c r="G1579" s="3564">
        <v>78.39</v>
      </c>
      <c r="H1579" s="3564">
        <v>63.03</v>
      </c>
      <c r="I1579" s="3564">
        <v>15.36</v>
      </c>
      <c r="J1579" s="3565">
        <v>783858</v>
      </c>
      <c r="K1579" s="3565">
        <v>9999.4599999999991</v>
      </c>
      <c r="L1579" s="3565">
        <v>12436.27</v>
      </c>
      <c r="M1579" s="3565">
        <v>0</v>
      </c>
      <c r="N1579" s="3565">
        <v>0</v>
      </c>
      <c r="O1579" s="3563" t="s">
        <v>3453</v>
      </c>
    </row>
    <row r="1580" spans="1:15">
      <c r="A1580" s="3563" t="s">
        <v>5791</v>
      </c>
      <c r="B1580" s="3563" t="s">
        <v>5277</v>
      </c>
      <c r="C1580" s="3563" t="s">
        <v>4197</v>
      </c>
      <c r="D1580" s="3563" t="s">
        <v>4796</v>
      </c>
      <c r="E1580" s="3563" t="s">
        <v>4609</v>
      </c>
      <c r="F1580" s="3563" t="s">
        <v>4797</v>
      </c>
      <c r="G1580" s="3564">
        <v>78.39</v>
      </c>
      <c r="H1580" s="3564">
        <v>63.03</v>
      </c>
      <c r="I1580" s="3564">
        <v>15.36</v>
      </c>
      <c r="J1580" s="3565">
        <v>667113</v>
      </c>
      <c r="K1580" s="3565">
        <v>8510.18</v>
      </c>
      <c r="L1580" s="3565">
        <v>10584.06</v>
      </c>
      <c r="M1580" s="3565">
        <v>633758</v>
      </c>
      <c r="N1580" s="3565">
        <v>8084.68</v>
      </c>
      <c r="O1580" s="3566">
        <v>44189</v>
      </c>
    </row>
    <row r="1581" spans="1:15">
      <c r="A1581" s="3563" t="s">
        <v>5792</v>
      </c>
      <c r="B1581" s="3563" t="s">
        <v>5277</v>
      </c>
      <c r="C1581" s="3563" t="s">
        <v>4197</v>
      </c>
      <c r="D1581" s="3563" t="s">
        <v>4796</v>
      </c>
      <c r="E1581" s="3563" t="s">
        <v>4609</v>
      </c>
      <c r="F1581" s="3563" t="s">
        <v>4797</v>
      </c>
      <c r="G1581" s="3564">
        <v>109.99</v>
      </c>
      <c r="H1581" s="3564">
        <v>88.44</v>
      </c>
      <c r="I1581" s="3564">
        <v>21.55</v>
      </c>
      <c r="J1581" s="3565">
        <v>1003015</v>
      </c>
      <c r="K1581" s="3565">
        <v>9119.15</v>
      </c>
      <c r="L1581" s="3565">
        <v>11341.19</v>
      </c>
      <c r="M1581" s="3565">
        <v>952865</v>
      </c>
      <c r="N1581" s="3565">
        <v>8663.2000000000007</v>
      </c>
      <c r="O1581" s="3566">
        <v>44188</v>
      </c>
    </row>
    <row r="1582" spans="1:15">
      <c r="A1582" s="3563" t="s">
        <v>5793</v>
      </c>
      <c r="B1582" s="3563" t="s">
        <v>4196</v>
      </c>
      <c r="C1582" s="3563" t="s">
        <v>4197</v>
      </c>
      <c r="D1582" s="3563" t="s">
        <v>4796</v>
      </c>
      <c r="E1582" s="3563" t="s">
        <v>4609</v>
      </c>
      <c r="F1582" s="3563" t="s">
        <v>4797</v>
      </c>
      <c r="G1582" s="3564">
        <v>101.66</v>
      </c>
      <c r="H1582" s="3564">
        <v>81.739999999999995</v>
      </c>
      <c r="I1582" s="3564">
        <v>19.920000000000002</v>
      </c>
      <c r="J1582" s="3565">
        <v>1103265</v>
      </c>
      <c r="K1582" s="3565">
        <v>10852.5</v>
      </c>
      <c r="L1582" s="3565">
        <v>13497.25</v>
      </c>
      <c r="M1582" s="3565">
        <v>0</v>
      </c>
      <c r="N1582" s="3565">
        <v>0</v>
      </c>
      <c r="O1582" s="3563" t="s">
        <v>3453</v>
      </c>
    </row>
    <row r="1583" spans="1:15">
      <c r="A1583" s="3563" t="s">
        <v>5794</v>
      </c>
      <c r="B1583" s="3563" t="s">
        <v>4196</v>
      </c>
      <c r="C1583" s="3563" t="s">
        <v>4197</v>
      </c>
      <c r="D1583" s="3563" t="s">
        <v>4796</v>
      </c>
      <c r="E1583" s="3563" t="s">
        <v>4609</v>
      </c>
      <c r="F1583" s="3563" t="s">
        <v>4797</v>
      </c>
      <c r="G1583" s="3564">
        <v>101.66</v>
      </c>
      <c r="H1583" s="3564">
        <v>81.739999999999995</v>
      </c>
      <c r="I1583" s="3564">
        <v>19.920000000000002</v>
      </c>
      <c r="J1583" s="3565">
        <v>1090558</v>
      </c>
      <c r="K1583" s="3565">
        <v>10727.5</v>
      </c>
      <c r="L1583" s="3565">
        <v>13341.79</v>
      </c>
      <c r="M1583" s="3565">
        <v>0</v>
      </c>
      <c r="N1583" s="3565">
        <v>0</v>
      </c>
      <c r="O1583" s="3563" t="s">
        <v>3453</v>
      </c>
    </row>
    <row r="1584" spans="1:15">
      <c r="A1584" s="3563" t="s">
        <v>5795</v>
      </c>
      <c r="B1584" s="3563" t="s">
        <v>4811</v>
      </c>
      <c r="C1584" s="3563" t="s">
        <v>4197</v>
      </c>
      <c r="D1584" s="3563" t="s">
        <v>4796</v>
      </c>
      <c r="E1584" s="3563" t="s">
        <v>4609</v>
      </c>
      <c r="F1584" s="3563" t="s">
        <v>4797</v>
      </c>
      <c r="G1584" s="3564">
        <v>90.52</v>
      </c>
      <c r="H1584" s="3564">
        <v>72.78</v>
      </c>
      <c r="I1584" s="3564">
        <v>17.739999999999998</v>
      </c>
      <c r="J1584" s="3565">
        <v>905152</v>
      </c>
      <c r="K1584" s="3565">
        <v>9999.4699999999993</v>
      </c>
      <c r="L1584" s="3565">
        <v>12436.82</v>
      </c>
      <c r="M1584" s="3565">
        <v>731825</v>
      </c>
      <c r="N1584" s="3565">
        <v>8084.68</v>
      </c>
      <c r="O1584" s="3566">
        <v>44191</v>
      </c>
    </row>
    <row r="1585" spans="1:15">
      <c r="A1585" s="3563" t="s">
        <v>5796</v>
      </c>
      <c r="B1585" s="3563" t="s">
        <v>4196</v>
      </c>
      <c r="C1585" s="3563" t="s">
        <v>4197</v>
      </c>
      <c r="D1585" s="3563" t="s">
        <v>4796</v>
      </c>
      <c r="E1585" s="3563" t="s">
        <v>4609</v>
      </c>
      <c r="F1585" s="3563" t="s">
        <v>4797</v>
      </c>
      <c r="G1585" s="3564">
        <v>78.39</v>
      </c>
      <c r="H1585" s="3564">
        <v>63.03</v>
      </c>
      <c r="I1585" s="3564">
        <v>15.36</v>
      </c>
      <c r="J1585" s="3565">
        <v>783858</v>
      </c>
      <c r="K1585" s="3565">
        <v>9999.4599999999991</v>
      </c>
      <c r="L1585" s="3565">
        <v>12436.27</v>
      </c>
      <c r="M1585" s="3565">
        <v>0</v>
      </c>
      <c r="N1585" s="3565">
        <v>0</v>
      </c>
      <c r="O1585" s="3563" t="s">
        <v>3453</v>
      </c>
    </row>
    <row r="1586" spans="1:15">
      <c r="A1586" s="3563" t="s">
        <v>5797</v>
      </c>
      <c r="B1586" s="3563" t="s">
        <v>4811</v>
      </c>
      <c r="C1586" s="3563" t="s">
        <v>4197</v>
      </c>
      <c r="D1586" s="3563" t="s">
        <v>4796</v>
      </c>
      <c r="E1586" s="3563" t="s">
        <v>4609</v>
      </c>
      <c r="F1586" s="3563" t="s">
        <v>4797</v>
      </c>
      <c r="G1586" s="3564">
        <v>78.39</v>
      </c>
      <c r="H1586" s="3564">
        <v>63.03</v>
      </c>
      <c r="I1586" s="3564">
        <v>15.36</v>
      </c>
      <c r="J1586" s="3565">
        <v>667113</v>
      </c>
      <c r="K1586" s="3565">
        <v>8510.18</v>
      </c>
      <c r="L1586" s="3565">
        <v>10584.06</v>
      </c>
      <c r="M1586" s="3565">
        <v>667113</v>
      </c>
      <c r="N1586" s="3565">
        <v>8510.18</v>
      </c>
      <c r="O1586" s="3566">
        <v>44190</v>
      </c>
    </row>
    <row r="1587" spans="1:15">
      <c r="A1587" s="3563" t="s">
        <v>5798</v>
      </c>
      <c r="B1587" s="3563" t="s">
        <v>4196</v>
      </c>
      <c r="C1587" s="3563" t="s">
        <v>4197</v>
      </c>
      <c r="D1587" s="3563" t="s">
        <v>4796</v>
      </c>
      <c r="E1587" s="3563" t="s">
        <v>4609</v>
      </c>
      <c r="F1587" s="3563" t="s">
        <v>4797</v>
      </c>
      <c r="G1587" s="3564">
        <v>109.99</v>
      </c>
      <c r="H1587" s="3564">
        <v>88.44</v>
      </c>
      <c r="I1587" s="3564">
        <v>21.55</v>
      </c>
      <c r="J1587" s="3565">
        <v>1179918</v>
      </c>
      <c r="K1587" s="3565">
        <v>10727.5</v>
      </c>
      <c r="L1587" s="3565">
        <v>13341.45</v>
      </c>
      <c r="M1587" s="3565">
        <v>0</v>
      </c>
      <c r="N1587" s="3565">
        <v>0</v>
      </c>
      <c r="O1587" s="3563" t="s">
        <v>3453</v>
      </c>
    </row>
    <row r="1588" spans="1:15">
      <c r="A1588" s="3563" t="s">
        <v>5799</v>
      </c>
      <c r="B1588" s="3563" t="s">
        <v>4811</v>
      </c>
      <c r="C1588" s="3563" t="s">
        <v>4197</v>
      </c>
      <c r="D1588" s="3563" t="s">
        <v>4796</v>
      </c>
      <c r="E1588" s="3563" t="s">
        <v>4609</v>
      </c>
      <c r="F1588" s="3563" t="s">
        <v>4797</v>
      </c>
      <c r="G1588" s="3564">
        <v>101.66</v>
      </c>
      <c r="H1588" s="3564">
        <v>81.739999999999995</v>
      </c>
      <c r="I1588" s="3564">
        <v>19.920000000000002</v>
      </c>
      <c r="J1588" s="3565">
        <v>940031</v>
      </c>
      <c r="K1588" s="3565">
        <v>9246.81</v>
      </c>
      <c r="L1588" s="3565">
        <v>11500.26</v>
      </c>
      <c r="M1588" s="3565">
        <v>893030</v>
      </c>
      <c r="N1588" s="3565">
        <v>8784.48</v>
      </c>
      <c r="O1588" s="3566">
        <v>44188</v>
      </c>
    </row>
    <row r="1589" spans="1:15">
      <c r="A1589" s="3563" t="s">
        <v>5800</v>
      </c>
      <c r="B1589" s="3563" t="s">
        <v>4196</v>
      </c>
      <c r="C1589" s="3563" t="s">
        <v>4197</v>
      </c>
      <c r="D1589" s="3563" t="s">
        <v>4796</v>
      </c>
      <c r="E1589" s="3563" t="s">
        <v>4609</v>
      </c>
      <c r="F1589" s="3563" t="s">
        <v>4797</v>
      </c>
      <c r="G1589" s="3564">
        <v>101.66</v>
      </c>
      <c r="H1589" s="3564">
        <v>81.739999999999995</v>
      </c>
      <c r="I1589" s="3564">
        <v>19.920000000000002</v>
      </c>
      <c r="J1589" s="3565">
        <v>1104537</v>
      </c>
      <c r="K1589" s="3565">
        <v>10865.01</v>
      </c>
      <c r="L1589" s="3565">
        <v>13512.81</v>
      </c>
      <c r="M1589" s="3565">
        <v>0</v>
      </c>
      <c r="N1589" s="3565">
        <v>0</v>
      </c>
      <c r="O1589" s="3563" t="s">
        <v>3453</v>
      </c>
    </row>
    <row r="1590" spans="1:15">
      <c r="A1590" s="3563" t="s">
        <v>5801</v>
      </c>
      <c r="B1590" s="3563" t="s">
        <v>5277</v>
      </c>
      <c r="C1590" s="3563" t="s">
        <v>4197</v>
      </c>
      <c r="D1590" s="3563" t="s">
        <v>4796</v>
      </c>
      <c r="E1590" s="3563" t="s">
        <v>4609</v>
      </c>
      <c r="F1590" s="3563" t="s">
        <v>4797</v>
      </c>
      <c r="G1590" s="3564">
        <v>90.52</v>
      </c>
      <c r="H1590" s="3564">
        <v>72.78</v>
      </c>
      <c r="I1590" s="3564">
        <v>17.739999999999998</v>
      </c>
      <c r="J1590" s="3565">
        <v>770342</v>
      </c>
      <c r="K1590" s="3565">
        <v>8510.19</v>
      </c>
      <c r="L1590" s="3565">
        <v>10584.53</v>
      </c>
      <c r="M1590" s="3565">
        <v>731825</v>
      </c>
      <c r="N1590" s="3565">
        <v>8084.68</v>
      </c>
      <c r="O1590" s="3566">
        <v>44188</v>
      </c>
    </row>
    <row r="1591" spans="1:15">
      <c r="A1591" s="3563" t="s">
        <v>5802</v>
      </c>
      <c r="B1591" s="3563" t="s">
        <v>4196</v>
      </c>
      <c r="C1591" s="3563" t="s">
        <v>4197</v>
      </c>
      <c r="D1591" s="3563" t="s">
        <v>4796</v>
      </c>
      <c r="E1591" s="3563" t="s">
        <v>4609</v>
      </c>
      <c r="F1591" s="3563" t="s">
        <v>4797</v>
      </c>
      <c r="G1591" s="3564">
        <v>78.39</v>
      </c>
      <c r="H1591" s="3564">
        <v>63.03</v>
      </c>
      <c r="I1591" s="3564">
        <v>15.36</v>
      </c>
      <c r="J1591" s="3565">
        <v>788015</v>
      </c>
      <c r="K1591" s="3565">
        <v>10052.49</v>
      </c>
      <c r="L1591" s="3565">
        <v>12502.22</v>
      </c>
      <c r="M1591" s="3565">
        <v>0</v>
      </c>
      <c r="N1591" s="3565">
        <v>0</v>
      </c>
      <c r="O1591" s="3563" t="s">
        <v>3453</v>
      </c>
    </row>
    <row r="1592" spans="1:15">
      <c r="A1592" s="3563" t="s">
        <v>5803</v>
      </c>
      <c r="B1592" s="3563" t="s">
        <v>5277</v>
      </c>
      <c r="C1592" s="3563" t="s">
        <v>4197</v>
      </c>
      <c r="D1592" s="3563" t="s">
        <v>4796</v>
      </c>
      <c r="E1592" s="3563" t="s">
        <v>4609</v>
      </c>
      <c r="F1592" s="3563" t="s">
        <v>4797</v>
      </c>
      <c r="G1592" s="3564">
        <v>78.39</v>
      </c>
      <c r="H1592" s="3564">
        <v>63.03</v>
      </c>
      <c r="I1592" s="3564">
        <v>15.36</v>
      </c>
      <c r="J1592" s="3565">
        <v>670652</v>
      </c>
      <c r="K1592" s="3565">
        <v>8555.33</v>
      </c>
      <c r="L1592" s="3565">
        <v>10640.2</v>
      </c>
      <c r="M1592" s="3565">
        <v>637120</v>
      </c>
      <c r="N1592" s="3565">
        <v>8127.57</v>
      </c>
      <c r="O1592" s="3566">
        <v>44189</v>
      </c>
    </row>
    <row r="1593" spans="1:15">
      <c r="A1593" s="3563" t="s">
        <v>5804</v>
      </c>
      <c r="B1593" s="3563" t="s">
        <v>4196</v>
      </c>
      <c r="C1593" s="3563" t="s">
        <v>4197</v>
      </c>
      <c r="D1593" s="3563" t="s">
        <v>4796</v>
      </c>
      <c r="E1593" s="3563" t="s">
        <v>4609</v>
      </c>
      <c r="F1593" s="3563" t="s">
        <v>4797</v>
      </c>
      <c r="G1593" s="3564">
        <v>109.99</v>
      </c>
      <c r="H1593" s="3564">
        <v>88.44</v>
      </c>
      <c r="I1593" s="3564">
        <v>21.55</v>
      </c>
      <c r="J1593" s="3565">
        <v>1181293</v>
      </c>
      <c r="K1593" s="3565">
        <v>10740</v>
      </c>
      <c r="L1593" s="3565">
        <v>13357</v>
      </c>
      <c r="M1593" s="3565">
        <v>0</v>
      </c>
      <c r="N1593" s="3565">
        <v>0</v>
      </c>
      <c r="O1593" s="3563" t="s">
        <v>3453</v>
      </c>
    </row>
    <row r="1594" spans="1:15">
      <c r="A1594" s="3563" t="s">
        <v>5805</v>
      </c>
      <c r="B1594" s="3563" t="s">
        <v>4196</v>
      </c>
      <c r="C1594" s="3563" t="s">
        <v>4197</v>
      </c>
      <c r="D1594" s="3563" t="s">
        <v>4796</v>
      </c>
      <c r="E1594" s="3563" t="s">
        <v>4609</v>
      </c>
      <c r="F1594" s="3563" t="s">
        <v>4797</v>
      </c>
      <c r="G1594" s="3564">
        <v>101.66</v>
      </c>
      <c r="H1594" s="3564">
        <v>81.739999999999995</v>
      </c>
      <c r="I1594" s="3564">
        <v>19.920000000000002</v>
      </c>
      <c r="J1594" s="3565">
        <v>1105807</v>
      </c>
      <c r="K1594" s="3565">
        <v>10877.5</v>
      </c>
      <c r="L1594" s="3565">
        <v>13528.35</v>
      </c>
      <c r="M1594" s="3565">
        <v>0</v>
      </c>
      <c r="N1594" s="3565">
        <v>0</v>
      </c>
      <c r="O1594" s="3563" t="s">
        <v>3453</v>
      </c>
    </row>
    <row r="1595" spans="1:15">
      <c r="A1595" s="3563" t="s">
        <v>5806</v>
      </c>
      <c r="B1595" s="3563" t="s">
        <v>4196</v>
      </c>
      <c r="C1595" s="3563" t="s">
        <v>4197</v>
      </c>
      <c r="D1595" s="3563" t="s">
        <v>4796</v>
      </c>
      <c r="E1595" s="3563" t="s">
        <v>4609</v>
      </c>
      <c r="F1595" s="3563" t="s">
        <v>4797</v>
      </c>
      <c r="G1595" s="3564">
        <v>101.66</v>
      </c>
      <c r="H1595" s="3564">
        <v>81.739999999999995</v>
      </c>
      <c r="I1595" s="3564">
        <v>19.920000000000002</v>
      </c>
      <c r="J1595" s="3565">
        <v>1105807</v>
      </c>
      <c r="K1595" s="3565">
        <v>10877.5</v>
      </c>
      <c r="L1595" s="3565">
        <v>13528.35</v>
      </c>
      <c r="M1595" s="3565">
        <v>0</v>
      </c>
      <c r="N1595" s="3565">
        <v>0</v>
      </c>
      <c r="O1595" s="3563" t="s">
        <v>3453</v>
      </c>
    </row>
    <row r="1596" spans="1:15">
      <c r="A1596" s="3563" t="s">
        <v>5807</v>
      </c>
      <c r="B1596" s="3563" t="s">
        <v>4811</v>
      </c>
      <c r="C1596" s="3563" t="s">
        <v>4197</v>
      </c>
      <c r="D1596" s="3563" t="s">
        <v>4796</v>
      </c>
      <c r="E1596" s="3563" t="s">
        <v>4609</v>
      </c>
      <c r="F1596" s="3563" t="s">
        <v>4797</v>
      </c>
      <c r="G1596" s="3564">
        <v>90.52</v>
      </c>
      <c r="H1596" s="3564">
        <v>72.78</v>
      </c>
      <c r="I1596" s="3564">
        <v>17.739999999999998</v>
      </c>
      <c r="J1596" s="3565">
        <v>905152</v>
      </c>
      <c r="K1596" s="3565">
        <v>9999.4699999999993</v>
      </c>
      <c r="L1596" s="3565">
        <v>12436.82</v>
      </c>
      <c r="M1596" s="3565">
        <v>731825</v>
      </c>
      <c r="N1596" s="3565">
        <v>8084.68</v>
      </c>
      <c r="O1596" s="3566">
        <v>44191</v>
      </c>
    </row>
    <row r="1597" spans="1:15">
      <c r="A1597" s="3563" t="s">
        <v>5808</v>
      </c>
      <c r="B1597" s="3563" t="s">
        <v>4196</v>
      </c>
      <c r="C1597" s="3563" t="s">
        <v>4197</v>
      </c>
      <c r="D1597" s="3563" t="s">
        <v>4796</v>
      </c>
      <c r="E1597" s="3563" t="s">
        <v>4609</v>
      </c>
      <c r="F1597" s="3563" t="s">
        <v>4797</v>
      </c>
      <c r="G1597" s="3564">
        <v>78.39</v>
      </c>
      <c r="H1597" s="3564">
        <v>63.03</v>
      </c>
      <c r="I1597" s="3564">
        <v>15.36</v>
      </c>
      <c r="J1597" s="3565">
        <v>788995</v>
      </c>
      <c r="K1597" s="3565">
        <v>10065</v>
      </c>
      <c r="L1597" s="3565">
        <v>12517.77</v>
      </c>
      <c r="M1597" s="3565">
        <v>0</v>
      </c>
      <c r="N1597" s="3565">
        <v>0</v>
      </c>
      <c r="O1597" s="3563" t="s">
        <v>3453</v>
      </c>
    </row>
    <row r="1598" spans="1:15">
      <c r="A1598" s="3563" t="s">
        <v>5809</v>
      </c>
      <c r="B1598" s="3563" t="s">
        <v>5277</v>
      </c>
      <c r="C1598" s="3563" t="s">
        <v>4197</v>
      </c>
      <c r="D1598" s="3563" t="s">
        <v>4796</v>
      </c>
      <c r="E1598" s="3563" t="s">
        <v>4609</v>
      </c>
      <c r="F1598" s="3563" t="s">
        <v>4797</v>
      </c>
      <c r="G1598" s="3564">
        <v>78.39</v>
      </c>
      <c r="H1598" s="3564">
        <v>63.03</v>
      </c>
      <c r="I1598" s="3564">
        <v>15.36</v>
      </c>
      <c r="J1598" s="3565">
        <v>671486</v>
      </c>
      <c r="K1598" s="3565">
        <v>8565.9699999999993</v>
      </c>
      <c r="L1598" s="3565">
        <v>10653.43</v>
      </c>
      <c r="M1598" s="3565">
        <v>637912</v>
      </c>
      <c r="N1598" s="3565">
        <v>8137.67</v>
      </c>
      <c r="O1598" s="3566">
        <v>44189</v>
      </c>
    </row>
    <row r="1599" spans="1:15">
      <c r="A1599" s="3563" t="s">
        <v>5810</v>
      </c>
      <c r="B1599" s="3563" t="s">
        <v>4196</v>
      </c>
      <c r="C1599" s="3563" t="s">
        <v>4197</v>
      </c>
      <c r="D1599" s="3563" t="s">
        <v>4796</v>
      </c>
      <c r="E1599" s="3563" t="s">
        <v>4609</v>
      </c>
      <c r="F1599" s="3563" t="s">
        <v>4797</v>
      </c>
      <c r="G1599" s="3564">
        <v>109.99</v>
      </c>
      <c r="H1599" s="3564">
        <v>88.44</v>
      </c>
      <c r="I1599" s="3564">
        <v>21.55</v>
      </c>
      <c r="J1599" s="3565">
        <v>1182668</v>
      </c>
      <c r="K1599" s="3565">
        <v>10752.5</v>
      </c>
      <c r="L1599" s="3565">
        <v>13372.55</v>
      </c>
      <c r="M1599" s="3565">
        <v>0</v>
      </c>
      <c r="N1599" s="3565">
        <v>0</v>
      </c>
      <c r="O1599" s="3563" t="s">
        <v>3453</v>
      </c>
    </row>
    <row r="1600" spans="1:15">
      <c r="A1600" s="3563" t="s">
        <v>5811</v>
      </c>
      <c r="B1600" s="3563" t="s">
        <v>5277</v>
      </c>
      <c r="C1600" s="3563" t="s">
        <v>4197</v>
      </c>
      <c r="D1600" s="3563" t="s">
        <v>4796</v>
      </c>
      <c r="E1600" s="3563" t="s">
        <v>4609</v>
      </c>
      <c r="F1600" s="3563" t="s">
        <v>4797</v>
      </c>
      <c r="G1600" s="3564">
        <v>101.66</v>
      </c>
      <c r="H1600" s="3564">
        <v>81.739999999999995</v>
      </c>
      <c r="I1600" s="3564">
        <v>19.920000000000002</v>
      </c>
      <c r="J1600" s="3565">
        <v>942194</v>
      </c>
      <c r="K1600" s="3565">
        <v>9268.09</v>
      </c>
      <c r="L1600" s="3565">
        <v>11526.72</v>
      </c>
      <c r="M1600" s="3565">
        <v>885663</v>
      </c>
      <c r="N1600" s="3565">
        <v>8712.01</v>
      </c>
      <c r="O1600" s="3566">
        <v>44187</v>
      </c>
    </row>
    <row r="1601" spans="1:15">
      <c r="A1601" s="3563" t="s">
        <v>5812</v>
      </c>
      <c r="B1601" s="3563" t="s">
        <v>4196</v>
      </c>
      <c r="C1601" s="3563" t="s">
        <v>4197</v>
      </c>
      <c r="D1601" s="3563" t="s">
        <v>4796</v>
      </c>
      <c r="E1601" s="3563" t="s">
        <v>4609</v>
      </c>
      <c r="F1601" s="3563" t="s">
        <v>4797</v>
      </c>
      <c r="G1601" s="3564">
        <v>101.66</v>
      </c>
      <c r="H1601" s="3564">
        <v>81.739999999999995</v>
      </c>
      <c r="I1601" s="3564">
        <v>19.920000000000002</v>
      </c>
      <c r="J1601" s="3565">
        <v>1107078</v>
      </c>
      <c r="K1601" s="3565">
        <v>10890.01</v>
      </c>
      <c r="L1601" s="3565">
        <v>13543.9</v>
      </c>
      <c r="M1601" s="3565">
        <v>0</v>
      </c>
      <c r="N1601" s="3565">
        <v>0</v>
      </c>
      <c r="O1601" s="3563" t="s">
        <v>3453</v>
      </c>
    </row>
    <row r="1602" spans="1:15">
      <c r="A1602" s="3563" t="s">
        <v>5813</v>
      </c>
      <c r="B1602" s="3563" t="s">
        <v>4811</v>
      </c>
      <c r="C1602" s="3563" t="s">
        <v>4197</v>
      </c>
      <c r="D1602" s="3563" t="s">
        <v>4796</v>
      </c>
      <c r="E1602" s="3563" t="s">
        <v>4609</v>
      </c>
      <c r="F1602" s="3563" t="s">
        <v>4797</v>
      </c>
      <c r="G1602" s="3564">
        <v>90.52</v>
      </c>
      <c r="H1602" s="3564">
        <v>72.78</v>
      </c>
      <c r="I1602" s="3564">
        <v>17.739999999999998</v>
      </c>
      <c r="J1602" s="3565">
        <v>770342</v>
      </c>
      <c r="K1602" s="3565">
        <v>8510.19</v>
      </c>
      <c r="L1602" s="3565">
        <v>10584.53</v>
      </c>
      <c r="M1602" s="3565">
        <v>731825</v>
      </c>
      <c r="N1602" s="3565">
        <v>8084.68</v>
      </c>
      <c r="O1602" s="3566">
        <v>44189</v>
      </c>
    </row>
    <row r="1603" spans="1:15">
      <c r="A1603" s="3563" t="s">
        <v>5814</v>
      </c>
      <c r="B1603" s="3563" t="s">
        <v>4196</v>
      </c>
      <c r="C1603" s="3563" t="s">
        <v>4197</v>
      </c>
      <c r="D1603" s="3563" t="s">
        <v>4796</v>
      </c>
      <c r="E1603" s="3563" t="s">
        <v>4609</v>
      </c>
      <c r="F1603" s="3563" t="s">
        <v>4797</v>
      </c>
      <c r="G1603" s="3564">
        <v>78.39</v>
      </c>
      <c r="H1603" s="3564">
        <v>63.03</v>
      </c>
      <c r="I1603" s="3564">
        <v>15.36</v>
      </c>
      <c r="J1603" s="3565">
        <v>789975</v>
      </c>
      <c r="K1603" s="3565">
        <v>10077.5</v>
      </c>
      <c r="L1603" s="3565">
        <v>12533.32</v>
      </c>
      <c r="M1603" s="3565">
        <v>0</v>
      </c>
      <c r="N1603" s="3565">
        <v>0</v>
      </c>
      <c r="O1603" s="3563" t="s">
        <v>3453</v>
      </c>
    </row>
    <row r="1604" spans="1:15">
      <c r="A1604" s="3563" t="s">
        <v>5815</v>
      </c>
      <c r="B1604" s="3563" t="s">
        <v>4811</v>
      </c>
      <c r="C1604" s="3563" t="s">
        <v>4197</v>
      </c>
      <c r="D1604" s="3563" t="s">
        <v>4796</v>
      </c>
      <c r="E1604" s="3563" t="s">
        <v>4609</v>
      </c>
      <c r="F1604" s="3563" t="s">
        <v>4797</v>
      </c>
      <c r="G1604" s="3564">
        <v>78.39</v>
      </c>
      <c r="H1604" s="3564">
        <v>63.03</v>
      </c>
      <c r="I1604" s="3564">
        <v>15.36</v>
      </c>
      <c r="J1604" s="3565">
        <v>672320</v>
      </c>
      <c r="K1604" s="3565">
        <v>8576.6</v>
      </c>
      <c r="L1604" s="3565">
        <v>10666.67</v>
      </c>
      <c r="M1604" s="3565">
        <v>638704</v>
      </c>
      <c r="N1604" s="3565">
        <v>8147.77</v>
      </c>
      <c r="O1604" s="3566">
        <v>44190</v>
      </c>
    </row>
    <row r="1605" spans="1:15">
      <c r="A1605" s="3563" t="s">
        <v>5816</v>
      </c>
      <c r="B1605" s="3563" t="s">
        <v>4196</v>
      </c>
      <c r="C1605" s="3563" t="s">
        <v>4197</v>
      </c>
      <c r="D1605" s="3563" t="s">
        <v>4796</v>
      </c>
      <c r="E1605" s="3563" t="s">
        <v>4609</v>
      </c>
      <c r="F1605" s="3563" t="s">
        <v>4797</v>
      </c>
      <c r="G1605" s="3564">
        <v>109.99</v>
      </c>
      <c r="H1605" s="3564">
        <v>88.44</v>
      </c>
      <c r="I1605" s="3564">
        <v>21.55</v>
      </c>
      <c r="J1605" s="3565">
        <v>1184043</v>
      </c>
      <c r="K1605" s="3565">
        <v>10765.01</v>
      </c>
      <c r="L1605" s="3565">
        <v>13388.09</v>
      </c>
      <c r="M1605" s="3565">
        <v>0</v>
      </c>
      <c r="N1605" s="3565">
        <v>0</v>
      </c>
      <c r="O1605" s="3563" t="s">
        <v>3453</v>
      </c>
    </row>
    <row r="1606" spans="1:15">
      <c r="A1606" s="3563" t="s">
        <v>5817</v>
      </c>
      <c r="B1606" s="3563" t="s">
        <v>4196</v>
      </c>
      <c r="C1606" s="3563" t="s">
        <v>4197</v>
      </c>
      <c r="D1606" s="3563" t="s">
        <v>4796</v>
      </c>
      <c r="E1606" s="3563" t="s">
        <v>4747</v>
      </c>
      <c r="F1606" s="3563" t="s">
        <v>4797</v>
      </c>
      <c r="G1606" s="3564">
        <v>73.290000000000006</v>
      </c>
      <c r="H1606" s="3564">
        <v>63.03</v>
      </c>
      <c r="I1606" s="3564">
        <v>10.26</v>
      </c>
      <c r="J1606" s="3565">
        <v>732860</v>
      </c>
      <c r="K1606" s="3565">
        <v>9999.4500000000007</v>
      </c>
      <c r="L1606" s="3565">
        <v>11627.16</v>
      </c>
      <c r="M1606" s="3565">
        <v>0</v>
      </c>
      <c r="N1606" s="3565">
        <v>0</v>
      </c>
      <c r="O1606" s="3563" t="s">
        <v>3453</v>
      </c>
    </row>
    <row r="1607" spans="1:15">
      <c r="A1607" s="3563" t="s">
        <v>5818</v>
      </c>
      <c r="B1607" s="3563" t="s">
        <v>4196</v>
      </c>
      <c r="C1607" s="3563" t="s">
        <v>4197</v>
      </c>
      <c r="D1607" s="3563" t="s">
        <v>4796</v>
      </c>
      <c r="E1607" s="3563" t="s">
        <v>4747</v>
      </c>
      <c r="F1607" s="3563" t="s">
        <v>4797</v>
      </c>
      <c r="G1607" s="3564">
        <v>73.290000000000006</v>
      </c>
      <c r="H1607" s="3564">
        <v>63.03</v>
      </c>
      <c r="I1607" s="3564">
        <v>10.26</v>
      </c>
      <c r="J1607" s="3565">
        <v>732860</v>
      </c>
      <c r="K1607" s="3565">
        <v>9999.4500000000007</v>
      </c>
      <c r="L1607" s="3565">
        <v>11627.16</v>
      </c>
      <c r="M1607" s="3565">
        <v>0</v>
      </c>
      <c r="N1607" s="3565">
        <v>0</v>
      </c>
      <c r="O1607" s="3563" t="s">
        <v>3453</v>
      </c>
    </row>
    <row r="1608" spans="1:15">
      <c r="A1608" s="3563" t="s">
        <v>5819</v>
      </c>
      <c r="B1608" s="3563" t="s">
        <v>4196</v>
      </c>
      <c r="C1608" s="3563" t="s">
        <v>4197</v>
      </c>
      <c r="D1608" s="3563" t="s">
        <v>4796</v>
      </c>
      <c r="E1608" s="3563" t="s">
        <v>4747</v>
      </c>
      <c r="F1608" s="3563" t="s">
        <v>4797</v>
      </c>
      <c r="G1608" s="3564">
        <v>84.63</v>
      </c>
      <c r="H1608" s="3564">
        <v>72.78</v>
      </c>
      <c r="I1608" s="3564">
        <v>11.85</v>
      </c>
      <c r="J1608" s="3565">
        <v>846254</v>
      </c>
      <c r="K1608" s="3565">
        <v>9999.4599999999991</v>
      </c>
      <c r="L1608" s="3565">
        <v>11627.56</v>
      </c>
      <c r="M1608" s="3565">
        <v>0</v>
      </c>
      <c r="N1608" s="3565">
        <v>0</v>
      </c>
      <c r="O1608" s="3563" t="s">
        <v>3453</v>
      </c>
    </row>
    <row r="1609" spans="1:15">
      <c r="A1609" s="3563" t="s">
        <v>5820</v>
      </c>
      <c r="B1609" s="3563" t="s">
        <v>4196</v>
      </c>
      <c r="C1609" s="3563" t="s">
        <v>4197</v>
      </c>
      <c r="D1609" s="3563" t="s">
        <v>4796</v>
      </c>
      <c r="E1609" s="3563" t="s">
        <v>4747</v>
      </c>
      <c r="F1609" s="3563" t="s">
        <v>4797</v>
      </c>
      <c r="G1609" s="3564">
        <v>95.05</v>
      </c>
      <c r="H1609" s="3564">
        <v>81.739999999999995</v>
      </c>
      <c r="I1609" s="3564">
        <v>13.31</v>
      </c>
      <c r="J1609" s="3565">
        <v>973313</v>
      </c>
      <c r="K1609" s="3565">
        <v>10240.01</v>
      </c>
      <c r="L1609" s="3565">
        <v>11907.43</v>
      </c>
      <c r="M1609" s="3565">
        <v>0</v>
      </c>
      <c r="N1609" s="3565">
        <v>0</v>
      </c>
      <c r="O1609" s="3563" t="s">
        <v>3453</v>
      </c>
    </row>
    <row r="1610" spans="1:15">
      <c r="A1610" s="3563" t="s">
        <v>5821</v>
      </c>
      <c r="B1610" s="3563" t="s">
        <v>4196</v>
      </c>
      <c r="C1610" s="3563" t="s">
        <v>4197</v>
      </c>
      <c r="D1610" s="3563" t="s">
        <v>4796</v>
      </c>
      <c r="E1610" s="3563" t="s">
        <v>4747</v>
      </c>
      <c r="F1610" s="3563" t="s">
        <v>4797</v>
      </c>
      <c r="G1610" s="3564">
        <v>95.05</v>
      </c>
      <c r="H1610" s="3564">
        <v>81.739999999999995</v>
      </c>
      <c r="I1610" s="3564">
        <v>13.31</v>
      </c>
      <c r="J1610" s="3565">
        <v>973313</v>
      </c>
      <c r="K1610" s="3565">
        <v>10240.01</v>
      </c>
      <c r="L1610" s="3565">
        <v>11907.43</v>
      </c>
      <c r="M1610" s="3565">
        <v>0</v>
      </c>
      <c r="N1610" s="3565">
        <v>0</v>
      </c>
      <c r="O1610" s="3563" t="s">
        <v>3453</v>
      </c>
    </row>
    <row r="1611" spans="1:15">
      <c r="A1611" s="3563" t="s">
        <v>5822</v>
      </c>
      <c r="B1611" s="3563" t="s">
        <v>4196</v>
      </c>
      <c r="C1611" s="3563" t="s">
        <v>4197</v>
      </c>
      <c r="D1611" s="3563" t="s">
        <v>4796</v>
      </c>
      <c r="E1611" s="3563" t="s">
        <v>4747</v>
      </c>
      <c r="F1611" s="3563" t="s">
        <v>4797</v>
      </c>
      <c r="G1611" s="3564">
        <v>109.8</v>
      </c>
      <c r="H1611" s="3564">
        <v>88.44</v>
      </c>
      <c r="I1611" s="3564">
        <v>21.36</v>
      </c>
      <c r="J1611" s="3565">
        <v>1183370</v>
      </c>
      <c r="K1611" s="3565">
        <v>10777.5</v>
      </c>
      <c r="L1611" s="3565">
        <v>13380.48</v>
      </c>
      <c r="M1611" s="3565">
        <v>0</v>
      </c>
      <c r="N1611" s="3565">
        <v>0</v>
      </c>
      <c r="O1611" s="3563" t="s">
        <v>3453</v>
      </c>
    </row>
    <row r="1612" spans="1:15">
      <c r="A1612" s="3563" t="s">
        <v>5823</v>
      </c>
      <c r="B1612" s="3563" t="s">
        <v>4196</v>
      </c>
      <c r="C1612" s="3563" t="s">
        <v>4197</v>
      </c>
      <c r="D1612" s="3563" t="s">
        <v>4796</v>
      </c>
      <c r="E1612" s="3563" t="s">
        <v>4747</v>
      </c>
      <c r="F1612" s="3563" t="s">
        <v>4797</v>
      </c>
      <c r="G1612" s="3564">
        <v>78.25</v>
      </c>
      <c r="H1612" s="3564">
        <v>63.03</v>
      </c>
      <c r="I1612" s="3564">
        <v>15.22</v>
      </c>
      <c r="J1612" s="3565">
        <v>789543</v>
      </c>
      <c r="K1612" s="3565">
        <v>10090.01</v>
      </c>
      <c r="L1612" s="3565">
        <v>12526.46</v>
      </c>
      <c r="M1612" s="3565">
        <v>0</v>
      </c>
      <c r="N1612" s="3565">
        <v>0</v>
      </c>
      <c r="O1612" s="3563" t="s">
        <v>3453</v>
      </c>
    </row>
    <row r="1613" spans="1:15">
      <c r="A1613" s="3563" t="s">
        <v>5824</v>
      </c>
      <c r="B1613" s="3563" t="s">
        <v>4196</v>
      </c>
      <c r="C1613" s="3563" t="s">
        <v>4197</v>
      </c>
      <c r="D1613" s="3563" t="s">
        <v>4796</v>
      </c>
      <c r="E1613" s="3563" t="s">
        <v>4747</v>
      </c>
      <c r="F1613" s="3563" t="s">
        <v>4797</v>
      </c>
      <c r="G1613" s="3564">
        <v>78.25</v>
      </c>
      <c r="H1613" s="3564">
        <v>63.03</v>
      </c>
      <c r="I1613" s="3564">
        <v>15.22</v>
      </c>
      <c r="J1613" s="3565">
        <v>789543</v>
      </c>
      <c r="K1613" s="3565">
        <v>10090.01</v>
      </c>
      <c r="L1613" s="3565">
        <v>12526.46</v>
      </c>
      <c r="M1613" s="3565">
        <v>0</v>
      </c>
      <c r="N1613" s="3565">
        <v>0</v>
      </c>
      <c r="O1613" s="3563" t="s">
        <v>3453</v>
      </c>
    </row>
    <row r="1614" spans="1:15">
      <c r="A1614" s="3563" t="s">
        <v>5825</v>
      </c>
      <c r="B1614" s="3563" t="s">
        <v>3453</v>
      </c>
      <c r="C1614" s="3563" t="s">
        <v>4197</v>
      </c>
      <c r="D1614" s="3563" t="s">
        <v>4796</v>
      </c>
      <c r="E1614" s="3563" t="s">
        <v>4747</v>
      </c>
      <c r="F1614" s="3563" t="s">
        <v>4797</v>
      </c>
      <c r="G1614" s="3564">
        <v>90.36</v>
      </c>
      <c r="H1614" s="3564">
        <v>72.78</v>
      </c>
      <c r="I1614" s="3564">
        <v>17.579999999999998</v>
      </c>
      <c r="J1614" s="3565">
        <v>903552</v>
      </c>
      <c r="K1614" s="3565">
        <v>9999.4699999999993</v>
      </c>
      <c r="L1614" s="3565">
        <v>12414.84</v>
      </c>
      <c r="M1614" s="3565">
        <v>0</v>
      </c>
      <c r="N1614" s="3565">
        <v>0</v>
      </c>
      <c r="O1614" s="3563" t="s">
        <v>3453</v>
      </c>
    </row>
    <row r="1615" spans="1:15">
      <c r="A1615" s="3563" t="s">
        <v>5826</v>
      </c>
      <c r="B1615" s="3563" t="s">
        <v>4196</v>
      </c>
      <c r="C1615" s="3563" t="s">
        <v>4197</v>
      </c>
      <c r="D1615" s="3563" t="s">
        <v>4796</v>
      </c>
      <c r="E1615" s="3563" t="s">
        <v>4747</v>
      </c>
      <c r="F1615" s="3563" t="s">
        <v>4797</v>
      </c>
      <c r="G1615" s="3564">
        <v>101.48</v>
      </c>
      <c r="H1615" s="3564">
        <v>81.739999999999995</v>
      </c>
      <c r="I1615" s="3564">
        <v>19.739999999999998</v>
      </c>
      <c r="J1615" s="3565">
        <v>1106387</v>
      </c>
      <c r="K1615" s="3565">
        <v>10902.51</v>
      </c>
      <c r="L1615" s="3565">
        <v>13535.44</v>
      </c>
      <c r="M1615" s="3565">
        <v>0</v>
      </c>
      <c r="N1615" s="3565">
        <v>0</v>
      </c>
      <c r="O1615" s="3563" t="s">
        <v>3453</v>
      </c>
    </row>
    <row r="1616" spans="1:15">
      <c r="A1616" s="3563" t="s">
        <v>5827</v>
      </c>
      <c r="B1616" s="3563" t="s">
        <v>4196</v>
      </c>
      <c r="C1616" s="3563" t="s">
        <v>4197</v>
      </c>
      <c r="D1616" s="3563" t="s">
        <v>4796</v>
      </c>
      <c r="E1616" s="3563" t="s">
        <v>4747</v>
      </c>
      <c r="F1616" s="3563" t="s">
        <v>4797</v>
      </c>
      <c r="G1616" s="3564">
        <v>101.48</v>
      </c>
      <c r="H1616" s="3564">
        <v>81.739999999999995</v>
      </c>
      <c r="I1616" s="3564">
        <v>19.739999999999998</v>
      </c>
      <c r="J1616" s="3565">
        <v>1106387</v>
      </c>
      <c r="K1616" s="3565">
        <v>10902.51</v>
      </c>
      <c r="L1616" s="3565">
        <v>13535.44</v>
      </c>
      <c r="M1616" s="3565">
        <v>0</v>
      </c>
      <c r="N1616" s="3565">
        <v>0</v>
      </c>
      <c r="O1616" s="3563" t="s">
        <v>3453</v>
      </c>
    </row>
    <row r="1617" spans="1:15">
      <c r="A1617" s="3563" t="s">
        <v>5828</v>
      </c>
      <c r="B1617" s="3563" t="s">
        <v>4196</v>
      </c>
      <c r="C1617" s="3563" t="s">
        <v>4197</v>
      </c>
      <c r="D1617" s="3563" t="s">
        <v>4796</v>
      </c>
      <c r="E1617" s="3563" t="s">
        <v>4747</v>
      </c>
      <c r="F1617" s="3563" t="s">
        <v>4797</v>
      </c>
      <c r="G1617" s="3564">
        <v>109.8</v>
      </c>
      <c r="H1617" s="3564">
        <v>88.44</v>
      </c>
      <c r="I1617" s="3564">
        <v>21.36</v>
      </c>
      <c r="J1617" s="3565">
        <v>1184743</v>
      </c>
      <c r="K1617" s="3565">
        <v>10790.01</v>
      </c>
      <c r="L1617" s="3565">
        <v>13396.01</v>
      </c>
      <c r="M1617" s="3565">
        <v>0</v>
      </c>
      <c r="N1617" s="3565">
        <v>0</v>
      </c>
      <c r="O1617" s="3563" t="s">
        <v>3453</v>
      </c>
    </row>
    <row r="1618" spans="1:15">
      <c r="A1618" s="3563" t="s">
        <v>5829</v>
      </c>
      <c r="B1618" s="3563" t="s">
        <v>4196</v>
      </c>
      <c r="C1618" s="3563" t="s">
        <v>4197</v>
      </c>
      <c r="D1618" s="3563" t="s">
        <v>4796</v>
      </c>
      <c r="E1618" s="3563" t="s">
        <v>4747</v>
      </c>
      <c r="F1618" s="3563" t="s">
        <v>4797</v>
      </c>
      <c r="G1618" s="3564">
        <v>78.25</v>
      </c>
      <c r="H1618" s="3564">
        <v>63.03</v>
      </c>
      <c r="I1618" s="3564">
        <v>15.22</v>
      </c>
      <c r="J1618" s="3565">
        <v>790522</v>
      </c>
      <c r="K1618" s="3565">
        <v>10102.52</v>
      </c>
      <c r="L1618" s="3565">
        <v>12542</v>
      </c>
      <c r="M1618" s="3565">
        <v>0</v>
      </c>
      <c r="N1618" s="3565">
        <v>0</v>
      </c>
      <c r="O1618" s="3563" t="s">
        <v>3453</v>
      </c>
    </row>
    <row r="1619" spans="1:15">
      <c r="A1619" s="3563" t="s">
        <v>5830</v>
      </c>
      <c r="B1619" s="3563" t="s">
        <v>4811</v>
      </c>
      <c r="C1619" s="3563" t="s">
        <v>4197</v>
      </c>
      <c r="D1619" s="3563" t="s">
        <v>4796</v>
      </c>
      <c r="E1619" s="3563" t="s">
        <v>4747</v>
      </c>
      <c r="F1619" s="3563" t="s">
        <v>4797</v>
      </c>
      <c r="G1619" s="3564">
        <v>78.25</v>
      </c>
      <c r="H1619" s="3564">
        <v>63.03</v>
      </c>
      <c r="I1619" s="3564">
        <v>15.22</v>
      </c>
      <c r="J1619" s="3565">
        <v>790522</v>
      </c>
      <c r="K1619" s="3565">
        <v>10102.52</v>
      </c>
      <c r="L1619" s="3565">
        <v>12542</v>
      </c>
      <c r="M1619" s="3565">
        <v>790522</v>
      </c>
      <c r="N1619" s="3565">
        <v>10102.52</v>
      </c>
      <c r="O1619" s="3566">
        <v>44192</v>
      </c>
    </row>
    <row r="1620" spans="1:15">
      <c r="A1620" s="3563" t="s">
        <v>5831</v>
      </c>
      <c r="B1620" s="3563" t="s">
        <v>4196</v>
      </c>
      <c r="C1620" s="3563" t="s">
        <v>4197</v>
      </c>
      <c r="D1620" s="3563" t="s">
        <v>4796</v>
      </c>
      <c r="E1620" s="3563" t="s">
        <v>4747</v>
      </c>
      <c r="F1620" s="3563" t="s">
        <v>4797</v>
      </c>
      <c r="G1620" s="3564">
        <v>90.36</v>
      </c>
      <c r="H1620" s="3564">
        <v>72.78</v>
      </c>
      <c r="I1620" s="3564">
        <v>17.579999999999998</v>
      </c>
      <c r="J1620" s="3565">
        <v>904342</v>
      </c>
      <c r="K1620" s="3565">
        <v>10008.209999999999</v>
      </c>
      <c r="L1620" s="3565">
        <v>12425.69</v>
      </c>
      <c r="M1620" s="3565">
        <v>0</v>
      </c>
      <c r="N1620" s="3565">
        <v>0</v>
      </c>
      <c r="O1620" s="3563" t="s">
        <v>3453</v>
      </c>
    </row>
    <row r="1621" spans="1:15">
      <c r="A1621" s="3563" t="s">
        <v>5832</v>
      </c>
      <c r="B1621" s="3563" t="s">
        <v>4811</v>
      </c>
      <c r="C1621" s="3563" t="s">
        <v>4197</v>
      </c>
      <c r="D1621" s="3563" t="s">
        <v>4796</v>
      </c>
      <c r="E1621" s="3563" t="s">
        <v>4747</v>
      </c>
      <c r="F1621" s="3563" t="s">
        <v>4797</v>
      </c>
      <c r="G1621" s="3564">
        <v>101.48</v>
      </c>
      <c r="H1621" s="3564">
        <v>81.739999999999995</v>
      </c>
      <c r="I1621" s="3564">
        <v>19.739999999999998</v>
      </c>
      <c r="J1621" s="3565">
        <v>1107654</v>
      </c>
      <c r="K1621" s="3565">
        <v>10915</v>
      </c>
      <c r="L1621" s="3565">
        <v>13550.94</v>
      </c>
      <c r="M1621" s="3565">
        <v>1107654</v>
      </c>
      <c r="N1621" s="3565">
        <v>10915</v>
      </c>
      <c r="O1621" s="3566">
        <v>44192</v>
      </c>
    </row>
    <row r="1622" spans="1:15">
      <c r="A1622" s="3563" t="s">
        <v>5833</v>
      </c>
      <c r="B1622" s="3563" t="s">
        <v>4811</v>
      </c>
      <c r="C1622" s="3563" t="s">
        <v>4197</v>
      </c>
      <c r="D1622" s="3563" t="s">
        <v>4796</v>
      </c>
      <c r="E1622" s="3563" t="s">
        <v>4747</v>
      </c>
      <c r="F1622" s="3563" t="s">
        <v>4797</v>
      </c>
      <c r="G1622" s="3564">
        <v>101.48</v>
      </c>
      <c r="H1622" s="3564">
        <v>81.739999999999995</v>
      </c>
      <c r="I1622" s="3564">
        <v>19.739999999999998</v>
      </c>
      <c r="J1622" s="3565">
        <v>1107654</v>
      </c>
      <c r="K1622" s="3565">
        <v>10915</v>
      </c>
      <c r="L1622" s="3565">
        <v>13550.94</v>
      </c>
      <c r="M1622" s="3565">
        <v>1107654</v>
      </c>
      <c r="N1622" s="3565">
        <v>10915</v>
      </c>
      <c r="O1622" s="3566">
        <v>44192</v>
      </c>
    </row>
    <row r="1623" spans="1:15">
      <c r="A1623" s="3563" t="s">
        <v>5834</v>
      </c>
      <c r="B1623" s="3563" t="s">
        <v>4196</v>
      </c>
      <c r="C1623" s="3563" t="s">
        <v>4197</v>
      </c>
      <c r="D1623" s="3563" t="s">
        <v>4796</v>
      </c>
      <c r="E1623" s="3563" t="s">
        <v>4747</v>
      </c>
      <c r="F1623" s="3563" t="s">
        <v>4797</v>
      </c>
      <c r="G1623" s="3564">
        <v>109.8</v>
      </c>
      <c r="H1623" s="3564">
        <v>88.44</v>
      </c>
      <c r="I1623" s="3564">
        <v>21.36</v>
      </c>
      <c r="J1623" s="3565">
        <v>1186115</v>
      </c>
      <c r="K1623" s="3565">
        <v>10802.5</v>
      </c>
      <c r="L1623" s="3565">
        <v>13411.52</v>
      </c>
      <c r="M1623" s="3565">
        <v>0</v>
      </c>
      <c r="N1623" s="3565">
        <v>0</v>
      </c>
      <c r="O1623" s="3563" t="s">
        <v>3453</v>
      </c>
    </row>
    <row r="1624" spans="1:15">
      <c r="A1624" s="3563" t="s">
        <v>5835</v>
      </c>
      <c r="B1624" s="3563" t="s">
        <v>4196</v>
      </c>
      <c r="C1624" s="3563" t="s">
        <v>4197</v>
      </c>
      <c r="D1624" s="3563" t="s">
        <v>4796</v>
      </c>
      <c r="E1624" s="3563" t="s">
        <v>4747</v>
      </c>
      <c r="F1624" s="3563" t="s">
        <v>4797</v>
      </c>
      <c r="G1624" s="3564">
        <v>78.25</v>
      </c>
      <c r="H1624" s="3564">
        <v>63.03</v>
      </c>
      <c r="I1624" s="3564">
        <v>15.22</v>
      </c>
      <c r="J1624" s="3565">
        <v>791499</v>
      </c>
      <c r="K1624" s="3565">
        <v>10115</v>
      </c>
      <c r="L1624" s="3565">
        <v>12557.5</v>
      </c>
      <c r="M1624" s="3565">
        <v>0</v>
      </c>
      <c r="N1624" s="3565">
        <v>0</v>
      </c>
      <c r="O1624" s="3563" t="s">
        <v>3453</v>
      </c>
    </row>
    <row r="1625" spans="1:15">
      <c r="A1625" s="3563" t="s">
        <v>5836</v>
      </c>
      <c r="B1625" s="3563" t="s">
        <v>4196</v>
      </c>
      <c r="C1625" s="3563" t="s">
        <v>4197</v>
      </c>
      <c r="D1625" s="3563" t="s">
        <v>4796</v>
      </c>
      <c r="E1625" s="3563" t="s">
        <v>4747</v>
      </c>
      <c r="F1625" s="3563" t="s">
        <v>4797</v>
      </c>
      <c r="G1625" s="3564">
        <v>78.25</v>
      </c>
      <c r="H1625" s="3564">
        <v>63.03</v>
      </c>
      <c r="I1625" s="3564">
        <v>15.22</v>
      </c>
      <c r="J1625" s="3565">
        <v>791499</v>
      </c>
      <c r="K1625" s="3565">
        <v>10115</v>
      </c>
      <c r="L1625" s="3565">
        <v>12557.5</v>
      </c>
      <c r="M1625" s="3565">
        <v>0</v>
      </c>
      <c r="N1625" s="3565">
        <v>0</v>
      </c>
      <c r="O1625" s="3563" t="s">
        <v>3453</v>
      </c>
    </row>
    <row r="1626" spans="1:15">
      <c r="A1626" s="3563" t="s">
        <v>5837</v>
      </c>
      <c r="B1626" s="3563" t="s">
        <v>4196</v>
      </c>
      <c r="C1626" s="3563" t="s">
        <v>4197</v>
      </c>
      <c r="D1626" s="3563" t="s">
        <v>4796</v>
      </c>
      <c r="E1626" s="3563" t="s">
        <v>4747</v>
      </c>
      <c r="F1626" s="3563" t="s">
        <v>4797</v>
      </c>
      <c r="G1626" s="3564">
        <v>90.36</v>
      </c>
      <c r="H1626" s="3564">
        <v>72.78</v>
      </c>
      <c r="I1626" s="3564">
        <v>17.579999999999998</v>
      </c>
      <c r="J1626" s="3565">
        <v>905472</v>
      </c>
      <c r="K1626" s="3565">
        <v>10020.719999999999</v>
      </c>
      <c r="L1626" s="3565">
        <v>12441.22</v>
      </c>
      <c r="M1626" s="3565">
        <v>0</v>
      </c>
      <c r="N1626" s="3565">
        <v>0</v>
      </c>
      <c r="O1626" s="3563" t="s">
        <v>3453</v>
      </c>
    </row>
    <row r="1627" spans="1:15">
      <c r="A1627" s="3563" t="s">
        <v>5838</v>
      </c>
      <c r="B1627" s="3563" t="s">
        <v>4811</v>
      </c>
      <c r="C1627" s="3563" t="s">
        <v>4197</v>
      </c>
      <c r="D1627" s="3563" t="s">
        <v>4796</v>
      </c>
      <c r="E1627" s="3563" t="s">
        <v>4747</v>
      </c>
      <c r="F1627" s="3563" t="s">
        <v>4797</v>
      </c>
      <c r="G1627" s="3564">
        <v>101.48</v>
      </c>
      <c r="H1627" s="3564">
        <v>81.739999999999995</v>
      </c>
      <c r="I1627" s="3564">
        <v>19.739999999999998</v>
      </c>
      <c r="J1627" s="3565">
        <v>1108923</v>
      </c>
      <c r="K1627" s="3565">
        <v>10927.5</v>
      </c>
      <c r="L1627" s="3565">
        <v>13566.47</v>
      </c>
      <c r="M1627" s="3565">
        <v>1108923</v>
      </c>
      <c r="N1627" s="3565">
        <v>10927.5</v>
      </c>
      <c r="O1627" s="3563" t="s">
        <v>3453</v>
      </c>
    </row>
    <row r="1628" spans="1:15">
      <c r="A1628" s="3563" t="s">
        <v>5839</v>
      </c>
      <c r="B1628" s="3563" t="s">
        <v>4811</v>
      </c>
      <c r="C1628" s="3563" t="s">
        <v>4197</v>
      </c>
      <c r="D1628" s="3563" t="s">
        <v>4796</v>
      </c>
      <c r="E1628" s="3563" t="s">
        <v>4747</v>
      </c>
      <c r="F1628" s="3563" t="s">
        <v>4797</v>
      </c>
      <c r="G1628" s="3564">
        <v>101.48</v>
      </c>
      <c r="H1628" s="3564">
        <v>81.739999999999995</v>
      </c>
      <c r="I1628" s="3564">
        <v>19.739999999999998</v>
      </c>
      <c r="J1628" s="3565">
        <v>1108923</v>
      </c>
      <c r="K1628" s="3565">
        <v>10927.5</v>
      </c>
      <c r="L1628" s="3565">
        <v>13566.47</v>
      </c>
      <c r="M1628" s="3565">
        <v>1108923</v>
      </c>
      <c r="N1628" s="3565">
        <v>10927.5</v>
      </c>
      <c r="O1628" s="3563" t="s">
        <v>3453</v>
      </c>
    </row>
    <row r="1629" spans="1:15">
      <c r="A1629" s="3563" t="s">
        <v>5840</v>
      </c>
      <c r="B1629" s="3563" t="s">
        <v>4196</v>
      </c>
      <c r="C1629" s="3563" t="s">
        <v>4197</v>
      </c>
      <c r="D1629" s="3563" t="s">
        <v>4796</v>
      </c>
      <c r="E1629" s="3563" t="s">
        <v>4747</v>
      </c>
      <c r="F1629" s="3563" t="s">
        <v>4797</v>
      </c>
      <c r="G1629" s="3564">
        <v>109.8</v>
      </c>
      <c r="H1629" s="3564">
        <v>88.44</v>
      </c>
      <c r="I1629" s="3564">
        <v>21.36</v>
      </c>
      <c r="J1629" s="3565">
        <v>1187488</v>
      </c>
      <c r="K1629" s="3565">
        <v>10815.01</v>
      </c>
      <c r="L1629" s="3565">
        <v>13427.05</v>
      </c>
      <c r="M1629" s="3565">
        <v>0</v>
      </c>
      <c r="N1629" s="3565">
        <v>0</v>
      </c>
      <c r="O1629" s="3563" t="s">
        <v>3453</v>
      </c>
    </row>
    <row r="1630" spans="1:15">
      <c r="A1630" s="3563" t="s">
        <v>5841</v>
      </c>
      <c r="B1630" s="3563" t="s">
        <v>4196</v>
      </c>
      <c r="C1630" s="3563" t="s">
        <v>4197</v>
      </c>
      <c r="D1630" s="3563" t="s">
        <v>4796</v>
      </c>
      <c r="E1630" s="3563" t="s">
        <v>4747</v>
      </c>
      <c r="F1630" s="3563" t="s">
        <v>4797</v>
      </c>
      <c r="G1630" s="3564">
        <v>78.25</v>
      </c>
      <c r="H1630" s="3564">
        <v>63.03</v>
      </c>
      <c r="I1630" s="3564">
        <v>15.22</v>
      </c>
      <c r="J1630" s="3565">
        <v>792478</v>
      </c>
      <c r="K1630" s="3565">
        <v>10127.51</v>
      </c>
      <c r="L1630" s="3565">
        <v>12573.03</v>
      </c>
      <c r="M1630" s="3565">
        <v>0</v>
      </c>
      <c r="N1630" s="3565">
        <v>0</v>
      </c>
      <c r="O1630" s="3563" t="s">
        <v>3453</v>
      </c>
    </row>
    <row r="1631" spans="1:15">
      <c r="A1631" s="3563" t="s">
        <v>5842</v>
      </c>
      <c r="B1631" s="3563" t="s">
        <v>4196</v>
      </c>
      <c r="C1631" s="3563" t="s">
        <v>4197</v>
      </c>
      <c r="D1631" s="3563" t="s">
        <v>4796</v>
      </c>
      <c r="E1631" s="3563" t="s">
        <v>4747</v>
      </c>
      <c r="F1631" s="3563" t="s">
        <v>4797</v>
      </c>
      <c r="G1631" s="3564">
        <v>78.25</v>
      </c>
      <c r="H1631" s="3564">
        <v>63.03</v>
      </c>
      <c r="I1631" s="3564">
        <v>15.22</v>
      </c>
      <c r="J1631" s="3565">
        <v>792478</v>
      </c>
      <c r="K1631" s="3565">
        <v>10127.51</v>
      </c>
      <c r="L1631" s="3565">
        <v>12573.03</v>
      </c>
      <c r="M1631" s="3565">
        <v>0</v>
      </c>
      <c r="N1631" s="3565">
        <v>0</v>
      </c>
      <c r="O1631" s="3563" t="s">
        <v>3453</v>
      </c>
    </row>
    <row r="1632" spans="1:15">
      <c r="A1632" s="3563" t="s">
        <v>5843</v>
      </c>
      <c r="B1632" s="3563" t="s">
        <v>4196</v>
      </c>
      <c r="C1632" s="3563" t="s">
        <v>4197</v>
      </c>
      <c r="D1632" s="3563" t="s">
        <v>4796</v>
      </c>
      <c r="E1632" s="3563" t="s">
        <v>4747</v>
      </c>
      <c r="F1632" s="3563" t="s">
        <v>4797</v>
      </c>
      <c r="G1632" s="3564">
        <v>90.36</v>
      </c>
      <c r="H1632" s="3564">
        <v>72.78</v>
      </c>
      <c r="I1632" s="3564">
        <v>17.579999999999998</v>
      </c>
      <c r="J1632" s="3565">
        <v>906602</v>
      </c>
      <c r="K1632" s="3565">
        <v>10033.219999999999</v>
      </c>
      <c r="L1632" s="3565">
        <v>12456.75</v>
      </c>
      <c r="M1632" s="3565">
        <v>0</v>
      </c>
      <c r="N1632" s="3565">
        <v>0</v>
      </c>
      <c r="O1632" s="3563" t="s">
        <v>3453</v>
      </c>
    </row>
    <row r="1633" spans="1:15">
      <c r="A1633" s="3563" t="s">
        <v>5844</v>
      </c>
      <c r="B1633" s="3563" t="s">
        <v>4196</v>
      </c>
      <c r="C1633" s="3563" t="s">
        <v>4197</v>
      </c>
      <c r="D1633" s="3563" t="s">
        <v>4796</v>
      </c>
      <c r="E1633" s="3563" t="s">
        <v>4747</v>
      </c>
      <c r="F1633" s="3563" t="s">
        <v>4797</v>
      </c>
      <c r="G1633" s="3564">
        <v>101.48</v>
      </c>
      <c r="H1633" s="3564">
        <v>81.739999999999995</v>
      </c>
      <c r="I1633" s="3564">
        <v>19.739999999999998</v>
      </c>
      <c r="J1633" s="3565">
        <v>1110192</v>
      </c>
      <c r="K1633" s="3565">
        <v>10940.01</v>
      </c>
      <c r="L1633" s="3565">
        <v>13581.99</v>
      </c>
      <c r="M1633" s="3565">
        <v>0</v>
      </c>
      <c r="N1633" s="3565">
        <v>0</v>
      </c>
      <c r="O1633" s="3563" t="s">
        <v>3453</v>
      </c>
    </row>
    <row r="1634" spans="1:15">
      <c r="A1634" s="3563" t="s">
        <v>5845</v>
      </c>
      <c r="B1634" s="3563" t="s">
        <v>4196</v>
      </c>
      <c r="C1634" s="3563" t="s">
        <v>4197</v>
      </c>
      <c r="D1634" s="3563" t="s">
        <v>4796</v>
      </c>
      <c r="E1634" s="3563" t="s">
        <v>4747</v>
      </c>
      <c r="F1634" s="3563" t="s">
        <v>4797</v>
      </c>
      <c r="G1634" s="3564">
        <v>101.48</v>
      </c>
      <c r="H1634" s="3564">
        <v>81.739999999999995</v>
      </c>
      <c r="I1634" s="3564">
        <v>19.739999999999998</v>
      </c>
      <c r="J1634" s="3565">
        <v>1110192</v>
      </c>
      <c r="K1634" s="3565">
        <v>10940.01</v>
      </c>
      <c r="L1634" s="3565">
        <v>13581.99</v>
      </c>
      <c r="M1634" s="3565">
        <v>0</v>
      </c>
      <c r="N1634" s="3565">
        <v>0</v>
      </c>
      <c r="O1634" s="3563" t="s">
        <v>3453</v>
      </c>
    </row>
    <row r="1635" spans="1:15">
      <c r="A1635" s="3563" t="s">
        <v>5846</v>
      </c>
      <c r="B1635" s="3563" t="s">
        <v>4196</v>
      </c>
      <c r="C1635" s="3563" t="s">
        <v>4197</v>
      </c>
      <c r="D1635" s="3563" t="s">
        <v>4796</v>
      </c>
      <c r="E1635" s="3563" t="s">
        <v>4747</v>
      </c>
      <c r="F1635" s="3563" t="s">
        <v>4797</v>
      </c>
      <c r="G1635" s="3564">
        <v>109.8</v>
      </c>
      <c r="H1635" s="3564">
        <v>88.44</v>
      </c>
      <c r="I1635" s="3564">
        <v>21.36</v>
      </c>
      <c r="J1635" s="3565">
        <v>1175135</v>
      </c>
      <c r="K1635" s="3565">
        <v>10702.5</v>
      </c>
      <c r="L1635" s="3565">
        <v>13287.37</v>
      </c>
      <c r="M1635" s="3565">
        <v>0</v>
      </c>
      <c r="N1635" s="3565">
        <v>0</v>
      </c>
      <c r="O1635" s="3563" t="s">
        <v>3453</v>
      </c>
    </row>
    <row r="1636" spans="1:15">
      <c r="A1636" s="3563" t="s">
        <v>5847</v>
      </c>
      <c r="B1636" s="3563" t="s">
        <v>4196</v>
      </c>
      <c r="C1636" s="3563" t="s">
        <v>4197</v>
      </c>
      <c r="D1636" s="3563" t="s">
        <v>4796</v>
      </c>
      <c r="E1636" s="3563" t="s">
        <v>4747</v>
      </c>
      <c r="F1636" s="3563" t="s">
        <v>4797</v>
      </c>
      <c r="G1636" s="3564">
        <v>78.25</v>
      </c>
      <c r="H1636" s="3564">
        <v>63.03</v>
      </c>
      <c r="I1636" s="3564">
        <v>15.22</v>
      </c>
      <c r="J1636" s="3565">
        <v>783674</v>
      </c>
      <c r="K1636" s="3565">
        <v>10015</v>
      </c>
      <c r="L1636" s="3565">
        <v>12433.35</v>
      </c>
      <c r="M1636" s="3565">
        <v>0</v>
      </c>
      <c r="N1636" s="3565">
        <v>0</v>
      </c>
      <c r="O1636" s="3563" t="s">
        <v>3453</v>
      </c>
    </row>
    <row r="1637" spans="1:15">
      <c r="A1637" s="3563" t="s">
        <v>5848</v>
      </c>
      <c r="B1637" s="3563" t="s">
        <v>4196</v>
      </c>
      <c r="C1637" s="3563" t="s">
        <v>4197</v>
      </c>
      <c r="D1637" s="3563" t="s">
        <v>4796</v>
      </c>
      <c r="E1637" s="3563" t="s">
        <v>4747</v>
      </c>
      <c r="F1637" s="3563" t="s">
        <v>4797</v>
      </c>
      <c r="G1637" s="3564">
        <v>78.25</v>
      </c>
      <c r="H1637" s="3564">
        <v>63.03</v>
      </c>
      <c r="I1637" s="3564">
        <v>15.22</v>
      </c>
      <c r="J1637" s="3565">
        <v>783674</v>
      </c>
      <c r="K1637" s="3565">
        <v>10015</v>
      </c>
      <c r="L1637" s="3565">
        <v>12433.35</v>
      </c>
      <c r="M1637" s="3565">
        <v>0</v>
      </c>
      <c r="N1637" s="3565">
        <v>0</v>
      </c>
      <c r="O1637" s="3563" t="s">
        <v>3453</v>
      </c>
    </row>
    <row r="1638" spans="1:15">
      <c r="A1638" s="3563" t="s">
        <v>5849</v>
      </c>
      <c r="B1638" s="3563" t="s">
        <v>4196</v>
      </c>
      <c r="C1638" s="3563" t="s">
        <v>4197</v>
      </c>
      <c r="D1638" s="3563" t="s">
        <v>4796</v>
      </c>
      <c r="E1638" s="3563" t="s">
        <v>4747</v>
      </c>
      <c r="F1638" s="3563" t="s">
        <v>4797</v>
      </c>
      <c r="G1638" s="3564">
        <v>90.36</v>
      </c>
      <c r="H1638" s="3564">
        <v>72.78</v>
      </c>
      <c r="I1638" s="3564">
        <v>17.579999999999998</v>
      </c>
      <c r="J1638" s="3565">
        <v>903552</v>
      </c>
      <c r="K1638" s="3565">
        <v>9999.4699999999993</v>
      </c>
      <c r="L1638" s="3565">
        <v>12414.84</v>
      </c>
      <c r="M1638" s="3565">
        <v>0</v>
      </c>
      <c r="N1638" s="3565">
        <v>0</v>
      </c>
      <c r="O1638" s="3563" t="s">
        <v>3453</v>
      </c>
    </row>
    <row r="1639" spans="1:15">
      <c r="A1639" s="3563" t="s">
        <v>5850</v>
      </c>
      <c r="B1639" s="3563" t="s">
        <v>4196</v>
      </c>
      <c r="C1639" s="3563" t="s">
        <v>4197</v>
      </c>
      <c r="D1639" s="3563" t="s">
        <v>4796</v>
      </c>
      <c r="E1639" s="3563" t="s">
        <v>4747</v>
      </c>
      <c r="F1639" s="3563" t="s">
        <v>4797</v>
      </c>
      <c r="G1639" s="3564">
        <v>101.48</v>
      </c>
      <c r="H1639" s="3564">
        <v>81.739999999999995</v>
      </c>
      <c r="I1639" s="3564">
        <v>19.739999999999998</v>
      </c>
      <c r="J1639" s="3565">
        <v>1098775</v>
      </c>
      <c r="K1639" s="3565">
        <v>10827.5</v>
      </c>
      <c r="L1639" s="3565">
        <v>13442.32</v>
      </c>
      <c r="M1639" s="3565">
        <v>0</v>
      </c>
      <c r="N1639" s="3565">
        <v>0</v>
      </c>
      <c r="O1639" s="3563" t="s">
        <v>3453</v>
      </c>
    </row>
    <row r="1640" spans="1:15">
      <c r="A1640" s="3563" t="s">
        <v>5851</v>
      </c>
      <c r="B1640" s="3563" t="s">
        <v>4196</v>
      </c>
      <c r="C1640" s="3563" t="s">
        <v>4197</v>
      </c>
      <c r="D1640" s="3563" t="s">
        <v>4796</v>
      </c>
      <c r="E1640" s="3563" t="s">
        <v>4747</v>
      </c>
      <c r="F1640" s="3563" t="s">
        <v>4797</v>
      </c>
      <c r="G1640" s="3564">
        <v>101.48</v>
      </c>
      <c r="H1640" s="3564">
        <v>81.739999999999995</v>
      </c>
      <c r="I1640" s="3564">
        <v>19.739999999999998</v>
      </c>
      <c r="J1640" s="3565">
        <v>1098775</v>
      </c>
      <c r="K1640" s="3565">
        <v>10827.5</v>
      </c>
      <c r="L1640" s="3565">
        <v>13442.32</v>
      </c>
      <c r="M1640" s="3565">
        <v>0</v>
      </c>
      <c r="N1640" s="3565">
        <v>0</v>
      </c>
      <c r="O1640" s="3563" t="s">
        <v>3453</v>
      </c>
    </row>
    <row r="1641" spans="1:15">
      <c r="A1641" s="3563" t="s">
        <v>5852</v>
      </c>
      <c r="B1641" s="3563" t="s">
        <v>4196</v>
      </c>
      <c r="C1641" s="3563" t="s">
        <v>4197</v>
      </c>
      <c r="D1641" s="3563" t="s">
        <v>4796</v>
      </c>
      <c r="E1641" s="3563" t="s">
        <v>4747</v>
      </c>
      <c r="F1641" s="3563" t="s">
        <v>4797</v>
      </c>
      <c r="G1641" s="3564">
        <v>109.8</v>
      </c>
      <c r="H1641" s="3564">
        <v>88.44</v>
      </c>
      <c r="I1641" s="3564">
        <v>21.36</v>
      </c>
      <c r="J1641" s="3565">
        <v>1190233</v>
      </c>
      <c r="K1641" s="3565">
        <v>10840.01</v>
      </c>
      <c r="L1641" s="3565">
        <v>13458.08</v>
      </c>
      <c r="M1641" s="3565">
        <v>0</v>
      </c>
      <c r="N1641" s="3565">
        <v>0</v>
      </c>
      <c r="O1641" s="3563" t="s">
        <v>3453</v>
      </c>
    </row>
    <row r="1642" spans="1:15">
      <c r="A1642" s="3563" t="s">
        <v>5853</v>
      </c>
      <c r="B1642" s="3563" t="s">
        <v>4196</v>
      </c>
      <c r="C1642" s="3563" t="s">
        <v>4197</v>
      </c>
      <c r="D1642" s="3563" t="s">
        <v>4796</v>
      </c>
      <c r="E1642" s="3563" t="s">
        <v>4747</v>
      </c>
      <c r="F1642" s="3563" t="s">
        <v>4797</v>
      </c>
      <c r="G1642" s="3564">
        <v>78.25</v>
      </c>
      <c r="H1642" s="3564">
        <v>63.03</v>
      </c>
      <c r="I1642" s="3564">
        <v>15.22</v>
      </c>
      <c r="J1642" s="3565">
        <v>794434</v>
      </c>
      <c r="K1642" s="3565">
        <v>10152.51</v>
      </c>
      <c r="L1642" s="3565">
        <v>12604.06</v>
      </c>
      <c r="M1642" s="3565">
        <v>0</v>
      </c>
      <c r="N1642" s="3565">
        <v>0</v>
      </c>
      <c r="O1642" s="3563" t="s">
        <v>3453</v>
      </c>
    </row>
    <row r="1643" spans="1:15">
      <c r="A1643" s="3563" t="s">
        <v>5854</v>
      </c>
      <c r="B1643" s="3563" t="s">
        <v>4196</v>
      </c>
      <c r="C1643" s="3563" t="s">
        <v>4197</v>
      </c>
      <c r="D1643" s="3563" t="s">
        <v>4796</v>
      </c>
      <c r="E1643" s="3563" t="s">
        <v>4747</v>
      </c>
      <c r="F1643" s="3563" t="s">
        <v>4797</v>
      </c>
      <c r="G1643" s="3564">
        <v>78.25</v>
      </c>
      <c r="H1643" s="3564">
        <v>63.03</v>
      </c>
      <c r="I1643" s="3564">
        <v>15.22</v>
      </c>
      <c r="J1643" s="3565">
        <v>794434</v>
      </c>
      <c r="K1643" s="3565">
        <v>10152.51</v>
      </c>
      <c r="L1643" s="3565">
        <v>12604.06</v>
      </c>
      <c r="M1643" s="3565">
        <v>0</v>
      </c>
      <c r="N1643" s="3565">
        <v>0</v>
      </c>
      <c r="O1643" s="3563" t="s">
        <v>3453</v>
      </c>
    </row>
    <row r="1644" spans="1:15">
      <c r="A1644" s="3563" t="s">
        <v>5855</v>
      </c>
      <c r="B1644" s="3563" t="s">
        <v>4196</v>
      </c>
      <c r="C1644" s="3563" t="s">
        <v>4197</v>
      </c>
      <c r="D1644" s="3563" t="s">
        <v>4796</v>
      </c>
      <c r="E1644" s="3563" t="s">
        <v>4747</v>
      </c>
      <c r="F1644" s="3563" t="s">
        <v>4797</v>
      </c>
      <c r="G1644" s="3564">
        <v>90.36</v>
      </c>
      <c r="H1644" s="3564">
        <v>72.78</v>
      </c>
      <c r="I1644" s="3564">
        <v>17.579999999999998</v>
      </c>
      <c r="J1644" s="3565">
        <v>906085</v>
      </c>
      <c r="K1644" s="3565">
        <v>10027.5</v>
      </c>
      <c r="L1644" s="3565">
        <v>12449.64</v>
      </c>
      <c r="M1644" s="3565">
        <v>0</v>
      </c>
      <c r="N1644" s="3565">
        <v>0</v>
      </c>
      <c r="O1644" s="3563" t="s">
        <v>3453</v>
      </c>
    </row>
    <row r="1645" spans="1:15">
      <c r="A1645" s="3563" t="s">
        <v>5856</v>
      </c>
      <c r="B1645" s="3563" t="s">
        <v>4196</v>
      </c>
      <c r="C1645" s="3563" t="s">
        <v>4197</v>
      </c>
      <c r="D1645" s="3563" t="s">
        <v>4796</v>
      </c>
      <c r="E1645" s="3563" t="s">
        <v>4747</v>
      </c>
      <c r="F1645" s="3563" t="s">
        <v>4797</v>
      </c>
      <c r="G1645" s="3564">
        <v>101.48</v>
      </c>
      <c r="H1645" s="3564">
        <v>81.739999999999995</v>
      </c>
      <c r="I1645" s="3564">
        <v>19.739999999999998</v>
      </c>
      <c r="J1645" s="3565">
        <v>1112729</v>
      </c>
      <c r="K1645" s="3565">
        <v>10965.01</v>
      </c>
      <c r="L1645" s="3565">
        <v>13613.03</v>
      </c>
      <c r="M1645" s="3565">
        <v>0</v>
      </c>
      <c r="N1645" s="3565">
        <v>0</v>
      </c>
      <c r="O1645" s="3563" t="s">
        <v>3453</v>
      </c>
    </row>
    <row r="1646" spans="1:15">
      <c r="A1646" s="3563" t="s">
        <v>5857</v>
      </c>
      <c r="B1646" s="3563" t="s">
        <v>4196</v>
      </c>
      <c r="C1646" s="3563" t="s">
        <v>4197</v>
      </c>
      <c r="D1646" s="3563" t="s">
        <v>4796</v>
      </c>
      <c r="E1646" s="3563" t="s">
        <v>4747</v>
      </c>
      <c r="F1646" s="3563" t="s">
        <v>4797</v>
      </c>
      <c r="G1646" s="3564">
        <v>101.48</v>
      </c>
      <c r="H1646" s="3564">
        <v>81.739999999999995</v>
      </c>
      <c r="I1646" s="3564">
        <v>19.739999999999998</v>
      </c>
      <c r="J1646" s="3565">
        <v>1112729</v>
      </c>
      <c r="K1646" s="3565">
        <v>10965.01</v>
      </c>
      <c r="L1646" s="3565">
        <v>13613.03</v>
      </c>
      <c r="M1646" s="3565">
        <v>0</v>
      </c>
      <c r="N1646" s="3565">
        <v>0</v>
      </c>
      <c r="O1646" s="3563" t="s">
        <v>3453</v>
      </c>
    </row>
    <row r="1647" spans="1:15">
      <c r="A1647" s="3563" t="s">
        <v>5858</v>
      </c>
      <c r="B1647" s="3563" t="s">
        <v>3453</v>
      </c>
      <c r="C1647" s="3563" t="s">
        <v>4197</v>
      </c>
      <c r="D1647" s="3563" t="s">
        <v>4796</v>
      </c>
      <c r="E1647" s="3563" t="s">
        <v>4747</v>
      </c>
      <c r="F1647" s="3563" t="s">
        <v>4797</v>
      </c>
      <c r="G1647" s="3564">
        <v>109.8</v>
      </c>
      <c r="H1647" s="3564">
        <v>88.44</v>
      </c>
      <c r="I1647" s="3564">
        <v>21.36</v>
      </c>
      <c r="J1647" s="3565">
        <v>1188860</v>
      </c>
      <c r="K1647" s="3565">
        <v>10827.5</v>
      </c>
      <c r="L1647" s="3565">
        <v>13442.56</v>
      </c>
      <c r="M1647" s="3565">
        <v>0</v>
      </c>
      <c r="N1647" s="3565">
        <v>0</v>
      </c>
      <c r="O1647" s="3563" t="s">
        <v>3453</v>
      </c>
    </row>
    <row r="1648" spans="1:15">
      <c r="A1648" s="3563" t="s">
        <v>5859</v>
      </c>
      <c r="B1648" s="3563" t="s">
        <v>5277</v>
      </c>
      <c r="C1648" s="3563" t="s">
        <v>4197</v>
      </c>
      <c r="D1648" s="3563" t="s">
        <v>4796</v>
      </c>
      <c r="E1648" s="3563" t="s">
        <v>4747</v>
      </c>
      <c r="F1648" s="3563" t="s">
        <v>4797</v>
      </c>
      <c r="G1648" s="3564">
        <v>78.25</v>
      </c>
      <c r="H1648" s="3564">
        <v>63.03</v>
      </c>
      <c r="I1648" s="3564">
        <v>15.22</v>
      </c>
      <c r="J1648" s="3565">
        <v>793455</v>
      </c>
      <c r="K1648" s="3565">
        <v>10140</v>
      </c>
      <c r="L1648" s="3565">
        <v>12588.53</v>
      </c>
      <c r="M1648" s="3565">
        <v>793455</v>
      </c>
      <c r="N1648" s="3565">
        <v>10140</v>
      </c>
      <c r="O1648" s="3566">
        <v>44192</v>
      </c>
    </row>
    <row r="1649" spans="1:15">
      <c r="A1649" s="3563" t="s">
        <v>5860</v>
      </c>
      <c r="B1649" s="3563" t="s">
        <v>3453</v>
      </c>
      <c r="C1649" s="3563" t="s">
        <v>4197</v>
      </c>
      <c r="D1649" s="3563" t="s">
        <v>4796</v>
      </c>
      <c r="E1649" s="3563" t="s">
        <v>4747</v>
      </c>
      <c r="F1649" s="3563" t="s">
        <v>4797</v>
      </c>
      <c r="G1649" s="3564">
        <v>78.25</v>
      </c>
      <c r="H1649" s="3564">
        <v>63.03</v>
      </c>
      <c r="I1649" s="3564">
        <v>15.22</v>
      </c>
      <c r="J1649" s="3565">
        <v>793455</v>
      </c>
      <c r="K1649" s="3565">
        <v>10140</v>
      </c>
      <c r="L1649" s="3565">
        <v>12588.53</v>
      </c>
      <c r="M1649" s="3565">
        <v>0</v>
      </c>
      <c r="N1649" s="3565">
        <v>0</v>
      </c>
      <c r="O1649" s="3563" t="s">
        <v>3453</v>
      </c>
    </row>
    <row r="1650" spans="1:15">
      <c r="A1650" s="3563" t="s">
        <v>5861</v>
      </c>
      <c r="B1650" s="3563" t="s">
        <v>4196</v>
      </c>
      <c r="C1650" s="3563" t="s">
        <v>4197</v>
      </c>
      <c r="D1650" s="3563" t="s">
        <v>4796</v>
      </c>
      <c r="E1650" s="3563" t="s">
        <v>4747</v>
      </c>
      <c r="F1650" s="3563" t="s">
        <v>4797</v>
      </c>
      <c r="G1650" s="3564">
        <v>90.36</v>
      </c>
      <c r="H1650" s="3564">
        <v>72.78</v>
      </c>
      <c r="I1650" s="3564">
        <v>17.579999999999998</v>
      </c>
      <c r="J1650" s="3565">
        <v>904955</v>
      </c>
      <c r="K1650" s="3565">
        <v>10015</v>
      </c>
      <c r="L1650" s="3565">
        <v>12434.12</v>
      </c>
      <c r="M1650" s="3565">
        <v>0</v>
      </c>
      <c r="N1650" s="3565">
        <v>0</v>
      </c>
      <c r="O1650" s="3563" t="s">
        <v>3453</v>
      </c>
    </row>
    <row r="1651" spans="1:15">
      <c r="A1651" s="3563" t="s">
        <v>5862</v>
      </c>
      <c r="B1651" s="3563" t="s">
        <v>4196</v>
      </c>
      <c r="C1651" s="3563" t="s">
        <v>4197</v>
      </c>
      <c r="D1651" s="3563" t="s">
        <v>4796</v>
      </c>
      <c r="E1651" s="3563" t="s">
        <v>4747</v>
      </c>
      <c r="F1651" s="3563" t="s">
        <v>4797</v>
      </c>
      <c r="G1651" s="3564">
        <v>101.48</v>
      </c>
      <c r="H1651" s="3564">
        <v>81.739999999999995</v>
      </c>
      <c r="I1651" s="3564">
        <v>19.739999999999998</v>
      </c>
      <c r="J1651" s="3565">
        <v>1111460</v>
      </c>
      <c r="K1651" s="3565">
        <v>10952.5</v>
      </c>
      <c r="L1651" s="3565">
        <v>13597.5</v>
      </c>
      <c r="M1651" s="3565">
        <v>0</v>
      </c>
      <c r="N1651" s="3565">
        <v>0</v>
      </c>
      <c r="O1651" s="3563" t="s">
        <v>3453</v>
      </c>
    </row>
    <row r="1652" spans="1:15">
      <c r="A1652" s="3563" t="s">
        <v>5863</v>
      </c>
      <c r="B1652" s="3563" t="s">
        <v>4196</v>
      </c>
      <c r="C1652" s="3563" t="s">
        <v>4197</v>
      </c>
      <c r="D1652" s="3563" t="s">
        <v>4796</v>
      </c>
      <c r="E1652" s="3563" t="s">
        <v>4747</v>
      </c>
      <c r="F1652" s="3563" t="s">
        <v>4797</v>
      </c>
      <c r="G1652" s="3564">
        <v>101.48</v>
      </c>
      <c r="H1652" s="3564">
        <v>81.739999999999995</v>
      </c>
      <c r="I1652" s="3564">
        <v>19.739999999999998</v>
      </c>
      <c r="J1652" s="3565">
        <v>1111460</v>
      </c>
      <c r="K1652" s="3565">
        <v>10952.5</v>
      </c>
      <c r="L1652" s="3565">
        <v>13597.5</v>
      </c>
      <c r="M1652" s="3565">
        <v>0</v>
      </c>
      <c r="N1652" s="3565">
        <v>0</v>
      </c>
      <c r="O1652" s="3563" t="s">
        <v>3453</v>
      </c>
    </row>
    <row r="1653" spans="1:15">
      <c r="A1653" s="3563" t="s">
        <v>5864</v>
      </c>
      <c r="B1653" s="3563" t="s">
        <v>4196</v>
      </c>
      <c r="C1653" s="3563" t="s">
        <v>4197</v>
      </c>
      <c r="D1653" s="3563" t="s">
        <v>4796</v>
      </c>
      <c r="E1653" s="3563" t="s">
        <v>4747</v>
      </c>
      <c r="F1653" s="3563" t="s">
        <v>4797</v>
      </c>
      <c r="G1653" s="3564">
        <v>109.8</v>
      </c>
      <c r="H1653" s="3564">
        <v>88.44</v>
      </c>
      <c r="I1653" s="3564">
        <v>21.36</v>
      </c>
      <c r="J1653" s="3565">
        <v>1187488</v>
      </c>
      <c r="K1653" s="3565">
        <v>10815.01</v>
      </c>
      <c r="L1653" s="3565">
        <v>13427.05</v>
      </c>
      <c r="M1653" s="3565">
        <v>0</v>
      </c>
      <c r="N1653" s="3565">
        <v>0</v>
      </c>
      <c r="O1653" s="3563" t="s">
        <v>3453</v>
      </c>
    </row>
    <row r="1654" spans="1:15">
      <c r="A1654" s="3563" t="s">
        <v>5865</v>
      </c>
      <c r="B1654" s="3563" t="s">
        <v>4811</v>
      </c>
      <c r="C1654" s="3563" t="s">
        <v>4197</v>
      </c>
      <c r="D1654" s="3563" t="s">
        <v>4796</v>
      </c>
      <c r="E1654" s="3563" t="s">
        <v>4747</v>
      </c>
      <c r="F1654" s="3563" t="s">
        <v>4797</v>
      </c>
      <c r="G1654" s="3564">
        <v>78.25</v>
      </c>
      <c r="H1654" s="3564">
        <v>63.03</v>
      </c>
      <c r="I1654" s="3564">
        <v>15.22</v>
      </c>
      <c r="J1654" s="3565">
        <v>792478</v>
      </c>
      <c r="K1654" s="3565">
        <v>10127.51</v>
      </c>
      <c r="L1654" s="3565">
        <v>12573.03</v>
      </c>
      <c r="M1654" s="3565">
        <v>792478</v>
      </c>
      <c r="N1654" s="3565">
        <v>10127.51</v>
      </c>
      <c r="O1654" s="3566">
        <v>44192</v>
      </c>
    </row>
    <row r="1655" spans="1:15">
      <c r="A1655" s="3563" t="s">
        <v>5866</v>
      </c>
      <c r="B1655" s="3563" t="s">
        <v>4196</v>
      </c>
      <c r="C1655" s="3563" t="s">
        <v>4197</v>
      </c>
      <c r="D1655" s="3563" t="s">
        <v>4796</v>
      </c>
      <c r="E1655" s="3563" t="s">
        <v>4747</v>
      </c>
      <c r="F1655" s="3563" t="s">
        <v>4797</v>
      </c>
      <c r="G1655" s="3564">
        <v>78.25</v>
      </c>
      <c r="H1655" s="3564">
        <v>63.03</v>
      </c>
      <c r="I1655" s="3564">
        <v>15.22</v>
      </c>
      <c r="J1655" s="3565">
        <v>792478</v>
      </c>
      <c r="K1655" s="3565">
        <v>10127.51</v>
      </c>
      <c r="L1655" s="3565">
        <v>12573.03</v>
      </c>
      <c r="M1655" s="3565">
        <v>0</v>
      </c>
      <c r="N1655" s="3565">
        <v>0</v>
      </c>
      <c r="O1655" s="3563" t="s">
        <v>3453</v>
      </c>
    </row>
    <row r="1656" spans="1:15">
      <c r="A1656" s="3563" t="s">
        <v>5867</v>
      </c>
      <c r="B1656" s="3563" t="s">
        <v>5277</v>
      </c>
      <c r="C1656" s="3563" t="s">
        <v>4197</v>
      </c>
      <c r="D1656" s="3563" t="s">
        <v>4796</v>
      </c>
      <c r="E1656" s="3563" t="s">
        <v>4747</v>
      </c>
      <c r="F1656" s="3563" t="s">
        <v>4797</v>
      </c>
      <c r="G1656" s="3564">
        <v>90.36</v>
      </c>
      <c r="H1656" s="3564">
        <v>72.78</v>
      </c>
      <c r="I1656" s="3564">
        <v>17.579999999999998</v>
      </c>
      <c r="J1656" s="3565">
        <v>906602</v>
      </c>
      <c r="K1656" s="3565">
        <v>10033.219999999999</v>
      </c>
      <c r="L1656" s="3565">
        <v>12456.75</v>
      </c>
      <c r="M1656" s="3565">
        <v>906602</v>
      </c>
      <c r="N1656" s="3565">
        <v>10033.219999999999</v>
      </c>
      <c r="O1656" s="3566">
        <v>44192</v>
      </c>
    </row>
    <row r="1657" spans="1:15">
      <c r="A1657" s="3563" t="s">
        <v>5868</v>
      </c>
      <c r="B1657" s="3563" t="s">
        <v>4196</v>
      </c>
      <c r="C1657" s="3563" t="s">
        <v>4197</v>
      </c>
      <c r="D1657" s="3563" t="s">
        <v>4796</v>
      </c>
      <c r="E1657" s="3563" t="s">
        <v>4747</v>
      </c>
      <c r="F1657" s="3563" t="s">
        <v>4797</v>
      </c>
      <c r="G1657" s="3564">
        <v>101.48</v>
      </c>
      <c r="H1657" s="3564">
        <v>81.739999999999995</v>
      </c>
      <c r="I1657" s="3564">
        <v>19.739999999999998</v>
      </c>
      <c r="J1657" s="3565">
        <v>1110192</v>
      </c>
      <c r="K1657" s="3565">
        <v>10940.01</v>
      </c>
      <c r="L1657" s="3565">
        <v>13581.99</v>
      </c>
      <c r="M1657" s="3565">
        <v>0</v>
      </c>
      <c r="N1657" s="3565">
        <v>0</v>
      </c>
      <c r="O1657" s="3563" t="s">
        <v>3453</v>
      </c>
    </row>
    <row r="1658" spans="1:15">
      <c r="A1658" s="3563" t="s">
        <v>5869</v>
      </c>
      <c r="B1658" s="3563" t="s">
        <v>4196</v>
      </c>
      <c r="C1658" s="3563" t="s">
        <v>4197</v>
      </c>
      <c r="D1658" s="3563" t="s">
        <v>4796</v>
      </c>
      <c r="E1658" s="3563" t="s">
        <v>4747</v>
      </c>
      <c r="F1658" s="3563" t="s">
        <v>4797</v>
      </c>
      <c r="G1658" s="3564">
        <v>101.48</v>
      </c>
      <c r="H1658" s="3564">
        <v>81.739999999999995</v>
      </c>
      <c r="I1658" s="3564">
        <v>19.739999999999998</v>
      </c>
      <c r="J1658" s="3565">
        <v>1110192</v>
      </c>
      <c r="K1658" s="3565">
        <v>10940.01</v>
      </c>
      <c r="L1658" s="3565">
        <v>13581.99</v>
      </c>
      <c r="M1658" s="3565">
        <v>0</v>
      </c>
      <c r="N1658" s="3565">
        <v>0</v>
      </c>
      <c r="O1658" s="3563" t="s">
        <v>3453</v>
      </c>
    </row>
    <row r="1659" spans="1:15">
      <c r="A1659" s="3563" t="s">
        <v>5870</v>
      </c>
      <c r="B1659" s="3563" t="s">
        <v>4196</v>
      </c>
      <c r="C1659" s="3563" t="s">
        <v>4197</v>
      </c>
      <c r="D1659" s="3563" t="s">
        <v>4796</v>
      </c>
      <c r="E1659" s="3563" t="s">
        <v>4747</v>
      </c>
      <c r="F1659" s="3563" t="s">
        <v>4797</v>
      </c>
      <c r="G1659" s="3564">
        <v>109.8</v>
      </c>
      <c r="H1659" s="3564">
        <v>88.44</v>
      </c>
      <c r="I1659" s="3564">
        <v>21.36</v>
      </c>
      <c r="J1659" s="3565">
        <v>1172390</v>
      </c>
      <c r="K1659" s="3565">
        <v>10677.5</v>
      </c>
      <c r="L1659" s="3565">
        <v>13256.33</v>
      </c>
      <c r="M1659" s="3565">
        <v>0</v>
      </c>
      <c r="N1659" s="3565">
        <v>0</v>
      </c>
      <c r="O1659" s="3563" t="s">
        <v>3453</v>
      </c>
    </row>
    <row r="1660" spans="1:15">
      <c r="A1660" s="3563" t="s">
        <v>5871</v>
      </c>
      <c r="B1660" s="3563" t="s">
        <v>4196</v>
      </c>
      <c r="C1660" s="3563" t="s">
        <v>4197</v>
      </c>
      <c r="D1660" s="3563" t="s">
        <v>4796</v>
      </c>
      <c r="E1660" s="3563" t="s">
        <v>4747</v>
      </c>
      <c r="F1660" s="3563" t="s">
        <v>4797</v>
      </c>
      <c r="G1660" s="3564">
        <v>78.25</v>
      </c>
      <c r="H1660" s="3564">
        <v>63.03</v>
      </c>
      <c r="I1660" s="3564">
        <v>15.22</v>
      </c>
      <c r="J1660" s="3565">
        <v>784120</v>
      </c>
      <c r="K1660" s="3565">
        <v>10020.700000000001</v>
      </c>
      <c r="L1660" s="3565">
        <v>12440.43</v>
      </c>
      <c r="M1660" s="3565">
        <v>0</v>
      </c>
      <c r="N1660" s="3565">
        <v>0</v>
      </c>
      <c r="O1660" s="3563" t="s">
        <v>3453</v>
      </c>
    </row>
    <row r="1661" spans="1:15">
      <c r="A1661" s="3563" t="s">
        <v>5872</v>
      </c>
      <c r="B1661" s="3563" t="s">
        <v>4196</v>
      </c>
      <c r="C1661" s="3563" t="s">
        <v>4197</v>
      </c>
      <c r="D1661" s="3563" t="s">
        <v>4796</v>
      </c>
      <c r="E1661" s="3563" t="s">
        <v>4747</v>
      </c>
      <c r="F1661" s="3563" t="s">
        <v>4797</v>
      </c>
      <c r="G1661" s="3564">
        <v>78.25</v>
      </c>
      <c r="H1661" s="3564">
        <v>63.03</v>
      </c>
      <c r="I1661" s="3564">
        <v>15.22</v>
      </c>
      <c r="J1661" s="3565">
        <v>784120</v>
      </c>
      <c r="K1661" s="3565">
        <v>10020.700000000001</v>
      </c>
      <c r="L1661" s="3565">
        <v>12440.43</v>
      </c>
      <c r="M1661" s="3565">
        <v>0</v>
      </c>
      <c r="N1661" s="3565">
        <v>0</v>
      </c>
      <c r="O1661" s="3563" t="s">
        <v>3453</v>
      </c>
    </row>
    <row r="1662" spans="1:15">
      <c r="A1662" s="3563" t="s">
        <v>5873</v>
      </c>
      <c r="B1662" s="3563" t="s">
        <v>3453</v>
      </c>
      <c r="C1662" s="3563" t="s">
        <v>4197</v>
      </c>
      <c r="D1662" s="3563" t="s">
        <v>4796</v>
      </c>
      <c r="E1662" s="3563" t="s">
        <v>4747</v>
      </c>
      <c r="F1662" s="3563" t="s">
        <v>4797</v>
      </c>
      <c r="G1662" s="3564">
        <v>90.36</v>
      </c>
      <c r="H1662" s="3564">
        <v>72.78</v>
      </c>
      <c r="I1662" s="3564">
        <v>17.579999999999998</v>
      </c>
      <c r="J1662" s="3565">
        <v>903552</v>
      </c>
      <c r="K1662" s="3565">
        <v>9999.4699999999993</v>
      </c>
      <c r="L1662" s="3565">
        <v>12414.84</v>
      </c>
      <c r="M1662" s="3565">
        <v>0</v>
      </c>
      <c r="N1662" s="3565">
        <v>0</v>
      </c>
      <c r="O1662" s="3563" t="s">
        <v>3453</v>
      </c>
    </row>
    <row r="1663" spans="1:15">
      <c r="A1663" s="3563" t="s">
        <v>5874</v>
      </c>
      <c r="B1663" s="3563" t="s">
        <v>4196</v>
      </c>
      <c r="C1663" s="3563" t="s">
        <v>4197</v>
      </c>
      <c r="D1663" s="3563" t="s">
        <v>4796</v>
      </c>
      <c r="E1663" s="3563" t="s">
        <v>4747</v>
      </c>
      <c r="F1663" s="3563" t="s">
        <v>4797</v>
      </c>
      <c r="G1663" s="3564">
        <v>101.48</v>
      </c>
      <c r="H1663" s="3564">
        <v>81.739999999999995</v>
      </c>
      <c r="I1663" s="3564">
        <v>19.739999999999998</v>
      </c>
      <c r="J1663" s="3565">
        <v>1096238</v>
      </c>
      <c r="K1663" s="3565">
        <v>10802.5</v>
      </c>
      <c r="L1663" s="3565">
        <v>13411.28</v>
      </c>
      <c r="M1663" s="3565">
        <v>0</v>
      </c>
      <c r="N1663" s="3565">
        <v>0</v>
      </c>
      <c r="O1663" s="3563" t="s">
        <v>3453</v>
      </c>
    </row>
    <row r="1664" spans="1:15">
      <c r="A1664" s="3563" t="s">
        <v>5875</v>
      </c>
      <c r="B1664" s="3563" t="s">
        <v>4196</v>
      </c>
      <c r="C1664" s="3563" t="s">
        <v>4197</v>
      </c>
      <c r="D1664" s="3563" t="s">
        <v>4796</v>
      </c>
      <c r="E1664" s="3563" t="s">
        <v>4747</v>
      </c>
      <c r="F1664" s="3563" t="s">
        <v>4797</v>
      </c>
      <c r="G1664" s="3564">
        <v>101.48</v>
      </c>
      <c r="H1664" s="3564">
        <v>81.739999999999995</v>
      </c>
      <c r="I1664" s="3564">
        <v>19.739999999999998</v>
      </c>
      <c r="J1664" s="3565">
        <v>1096238</v>
      </c>
      <c r="K1664" s="3565">
        <v>10802.5</v>
      </c>
      <c r="L1664" s="3565">
        <v>13411.28</v>
      </c>
      <c r="M1664" s="3565">
        <v>0</v>
      </c>
      <c r="N1664" s="3565">
        <v>0</v>
      </c>
      <c r="O1664" s="3563" t="s">
        <v>3453</v>
      </c>
    </row>
    <row r="1665" spans="1:15">
      <c r="A1665" s="3563" t="s">
        <v>5876</v>
      </c>
      <c r="B1665" s="3563" t="s">
        <v>4196</v>
      </c>
      <c r="C1665" s="3563" t="s">
        <v>4197</v>
      </c>
      <c r="D1665" s="3563" t="s">
        <v>4796</v>
      </c>
      <c r="E1665" s="3563" t="s">
        <v>4747</v>
      </c>
      <c r="F1665" s="3563" t="s">
        <v>4797</v>
      </c>
      <c r="G1665" s="3564">
        <v>109.8</v>
      </c>
      <c r="H1665" s="3564">
        <v>88.44</v>
      </c>
      <c r="I1665" s="3564">
        <v>21.36</v>
      </c>
      <c r="J1665" s="3565">
        <v>1184743</v>
      </c>
      <c r="K1665" s="3565">
        <v>10790.01</v>
      </c>
      <c r="L1665" s="3565">
        <v>13396.01</v>
      </c>
      <c r="M1665" s="3565">
        <v>0</v>
      </c>
      <c r="N1665" s="3565">
        <v>0</v>
      </c>
      <c r="O1665" s="3563" t="s">
        <v>3453</v>
      </c>
    </row>
    <row r="1666" spans="1:15">
      <c r="A1666" s="3563" t="s">
        <v>5877</v>
      </c>
      <c r="B1666" s="3563" t="s">
        <v>4196</v>
      </c>
      <c r="C1666" s="3563" t="s">
        <v>4197</v>
      </c>
      <c r="D1666" s="3563" t="s">
        <v>4796</v>
      </c>
      <c r="E1666" s="3563" t="s">
        <v>4747</v>
      </c>
      <c r="F1666" s="3563" t="s">
        <v>4797</v>
      </c>
      <c r="G1666" s="3564">
        <v>78.25</v>
      </c>
      <c r="H1666" s="3564">
        <v>63.03</v>
      </c>
      <c r="I1666" s="3564">
        <v>15.22</v>
      </c>
      <c r="J1666" s="3565">
        <v>790522</v>
      </c>
      <c r="K1666" s="3565">
        <v>10102.52</v>
      </c>
      <c r="L1666" s="3565">
        <v>12542</v>
      </c>
      <c r="M1666" s="3565">
        <v>0</v>
      </c>
      <c r="N1666" s="3565">
        <v>0</v>
      </c>
      <c r="O1666" s="3563" t="s">
        <v>3453</v>
      </c>
    </row>
    <row r="1667" spans="1:15">
      <c r="A1667" s="3563" t="s">
        <v>5878</v>
      </c>
      <c r="B1667" s="3563" t="s">
        <v>4196</v>
      </c>
      <c r="C1667" s="3563" t="s">
        <v>4197</v>
      </c>
      <c r="D1667" s="3563" t="s">
        <v>4796</v>
      </c>
      <c r="E1667" s="3563" t="s">
        <v>4747</v>
      </c>
      <c r="F1667" s="3563" t="s">
        <v>4797</v>
      </c>
      <c r="G1667" s="3564">
        <v>78.25</v>
      </c>
      <c r="H1667" s="3564">
        <v>63.03</v>
      </c>
      <c r="I1667" s="3564">
        <v>15.22</v>
      </c>
      <c r="J1667" s="3565">
        <v>790522</v>
      </c>
      <c r="K1667" s="3565">
        <v>10102.52</v>
      </c>
      <c r="L1667" s="3565">
        <v>12542</v>
      </c>
      <c r="M1667" s="3565">
        <v>0</v>
      </c>
      <c r="N1667" s="3565">
        <v>0</v>
      </c>
      <c r="O1667" s="3563" t="s">
        <v>3453</v>
      </c>
    </row>
    <row r="1668" spans="1:15">
      <c r="A1668" s="3563" t="s">
        <v>5879</v>
      </c>
      <c r="B1668" s="3563" t="s">
        <v>4196</v>
      </c>
      <c r="C1668" s="3563" t="s">
        <v>4197</v>
      </c>
      <c r="D1668" s="3563" t="s">
        <v>4796</v>
      </c>
      <c r="E1668" s="3563" t="s">
        <v>4747</v>
      </c>
      <c r="F1668" s="3563" t="s">
        <v>4797</v>
      </c>
      <c r="G1668" s="3564">
        <v>90.36</v>
      </c>
      <c r="H1668" s="3564">
        <v>72.78</v>
      </c>
      <c r="I1668" s="3564">
        <v>17.579999999999998</v>
      </c>
      <c r="J1668" s="3565">
        <v>904342</v>
      </c>
      <c r="K1668" s="3565">
        <v>10008.209999999999</v>
      </c>
      <c r="L1668" s="3565">
        <v>12425.69</v>
      </c>
      <c r="M1668" s="3565">
        <v>0</v>
      </c>
      <c r="N1668" s="3565">
        <v>0</v>
      </c>
      <c r="O1668" s="3563" t="s">
        <v>3453</v>
      </c>
    </row>
    <row r="1669" spans="1:15">
      <c r="A1669" s="3563" t="s">
        <v>5880</v>
      </c>
      <c r="B1669" s="3563" t="s">
        <v>4196</v>
      </c>
      <c r="C1669" s="3563" t="s">
        <v>4197</v>
      </c>
      <c r="D1669" s="3563" t="s">
        <v>4796</v>
      </c>
      <c r="E1669" s="3563" t="s">
        <v>4747</v>
      </c>
      <c r="F1669" s="3563" t="s">
        <v>4797</v>
      </c>
      <c r="G1669" s="3564">
        <v>101.48</v>
      </c>
      <c r="H1669" s="3564">
        <v>81.739999999999995</v>
      </c>
      <c r="I1669" s="3564">
        <v>19.739999999999998</v>
      </c>
      <c r="J1669" s="3565">
        <v>1107654</v>
      </c>
      <c r="K1669" s="3565">
        <v>10915</v>
      </c>
      <c r="L1669" s="3565">
        <v>13550.94</v>
      </c>
      <c r="M1669" s="3565">
        <v>0</v>
      </c>
      <c r="N1669" s="3565">
        <v>0</v>
      </c>
      <c r="O1669" s="3563" t="s">
        <v>3453</v>
      </c>
    </row>
    <row r="1670" spans="1:15">
      <c r="A1670" s="3563" t="s">
        <v>5881</v>
      </c>
      <c r="B1670" s="3563" t="s">
        <v>4196</v>
      </c>
      <c r="C1670" s="3563" t="s">
        <v>4197</v>
      </c>
      <c r="D1670" s="3563" t="s">
        <v>4796</v>
      </c>
      <c r="E1670" s="3563" t="s">
        <v>4747</v>
      </c>
      <c r="F1670" s="3563" t="s">
        <v>4797</v>
      </c>
      <c r="G1670" s="3564">
        <v>101.48</v>
      </c>
      <c r="H1670" s="3564">
        <v>81.739999999999995</v>
      </c>
      <c r="I1670" s="3564">
        <v>19.739999999999998</v>
      </c>
      <c r="J1670" s="3565">
        <v>1107654</v>
      </c>
      <c r="K1670" s="3565">
        <v>10915</v>
      </c>
      <c r="L1670" s="3565">
        <v>13550.94</v>
      </c>
      <c r="M1670" s="3565">
        <v>0</v>
      </c>
      <c r="N1670" s="3565">
        <v>0</v>
      </c>
      <c r="O1670" s="3563" t="s">
        <v>3453</v>
      </c>
    </row>
    <row r="1671" spans="1:15">
      <c r="A1671" s="3563" t="s">
        <v>5882</v>
      </c>
      <c r="B1671" s="3563" t="s">
        <v>4196</v>
      </c>
      <c r="C1671" s="3563" t="s">
        <v>4197</v>
      </c>
      <c r="D1671" s="3563" t="s">
        <v>4796</v>
      </c>
      <c r="E1671" s="3563" t="s">
        <v>4747</v>
      </c>
      <c r="F1671" s="3563" t="s">
        <v>4797</v>
      </c>
      <c r="G1671" s="3564">
        <v>79.47</v>
      </c>
      <c r="H1671" s="3564">
        <v>63.03</v>
      </c>
      <c r="I1671" s="3564">
        <v>16.440000000000001</v>
      </c>
      <c r="J1671" s="3565">
        <v>794658</v>
      </c>
      <c r="K1671" s="3565">
        <v>9999.4699999999993</v>
      </c>
      <c r="L1671" s="3565">
        <v>12607.62</v>
      </c>
      <c r="M1671" s="3565">
        <v>0</v>
      </c>
      <c r="N1671" s="3565">
        <v>0</v>
      </c>
      <c r="O1671" s="3563" t="s">
        <v>3453</v>
      </c>
    </row>
    <row r="1672" spans="1:15">
      <c r="A1672" s="3563" t="s">
        <v>5883</v>
      </c>
      <c r="B1672" s="3563" t="s">
        <v>4196</v>
      </c>
      <c r="C1672" s="3563" t="s">
        <v>4197</v>
      </c>
      <c r="D1672" s="3563" t="s">
        <v>4796</v>
      </c>
      <c r="E1672" s="3563" t="s">
        <v>4747</v>
      </c>
      <c r="F1672" s="3563" t="s">
        <v>4797</v>
      </c>
      <c r="G1672" s="3564">
        <v>79.47</v>
      </c>
      <c r="H1672" s="3564">
        <v>63.03</v>
      </c>
      <c r="I1672" s="3564">
        <v>16.440000000000001</v>
      </c>
      <c r="J1672" s="3565">
        <v>794658</v>
      </c>
      <c r="K1672" s="3565">
        <v>9999.4699999999993</v>
      </c>
      <c r="L1672" s="3565">
        <v>12607.62</v>
      </c>
      <c r="M1672" s="3565">
        <v>0</v>
      </c>
      <c r="N1672" s="3565">
        <v>0</v>
      </c>
      <c r="O1672" s="3563" t="s">
        <v>3453</v>
      </c>
    </row>
    <row r="1673" spans="1:15">
      <c r="A1673" s="3563" t="s">
        <v>5884</v>
      </c>
      <c r="B1673" s="3563" t="s">
        <v>4196</v>
      </c>
      <c r="C1673" s="3563" t="s">
        <v>4197</v>
      </c>
      <c r="D1673" s="3563" t="s">
        <v>4796</v>
      </c>
      <c r="E1673" s="3563" t="s">
        <v>4747</v>
      </c>
      <c r="F1673" s="3563" t="s">
        <v>4797</v>
      </c>
      <c r="G1673" s="3564">
        <v>91.76</v>
      </c>
      <c r="H1673" s="3564">
        <v>72.78</v>
      </c>
      <c r="I1673" s="3564">
        <v>18.98</v>
      </c>
      <c r="J1673" s="3565">
        <v>917550</v>
      </c>
      <c r="K1673" s="3565">
        <v>9999.4599999999991</v>
      </c>
      <c r="L1673" s="3565">
        <v>12607.17</v>
      </c>
      <c r="M1673" s="3565">
        <v>0</v>
      </c>
      <c r="N1673" s="3565">
        <v>0</v>
      </c>
      <c r="O1673" s="3563" t="s">
        <v>3453</v>
      </c>
    </row>
    <row r="1674" spans="1:15">
      <c r="A1674" s="3563" t="s">
        <v>5885</v>
      </c>
      <c r="B1674" s="3563" t="s">
        <v>4196</v>
      </c>
      <c r="C1674" s="3563" t="s">
        <v>4197</v>
      </c>
      <c r="D1674" s="3563" t="s">
        <v>4796</v>
      </c>
      <c r="E1674" s="3563" t="s">
        <v>4747</v>
      </c>
      <c r="F1674" s="3563" t="s">
        <v>4797</v>
      </c>
      <c r="G1674" s="3564">
        <v>103.06</v>
      </c>
      <c r="H1674" s="3564">
        <v>81.739999999999995</v>
      </c>
      <c r="I1674" s="3564">
        <v>21.32</v>
      </c>
      <c r="J1674" s="3565">
        <v>1070794</v>
      </c>
      <c r="K1674" s="3565">
        <v>10390.01</v>
      </c>
      <c r="L1674" s="3565">
        <v>13100</v>
      </c>
      <c r="M1674" s="3565">
        <v>0</v>
      </c>
      <c r="N1674" s="3565">
        <v>0</v>
      </c>
      <c r="O1674" s="3563" t="s">
        <v>3453</v>
      </c>
    </row>
    <row r="1675" spans="1:15">
      <c r="A1675" s="3563" t="s">
        <v>5886</v>
      </c>
      <c r="B1675" s="3563" t="s">
        <v>4196</v>
      </c>
      <c r="C1675" s="3563" t="s">
        <v>4197</v>
      </c>
      <c r="D1675" s="3563" t="s">
        <v>4796</v>
      </c>
      <c r="E1675" s="3563" t="s">
        <v>4747</v>
      </c>
      <c r="F1675" s="3563" t="s">
        <v>4797</v>
      </c>
      <c r="G1675" s="3564">
        <v>103.06</v>
      </c>
      <c r="H1675" s="3564">
        <v>81.739999999999995</v>
      </c>
      <c r="I1675" s="3564">
        <v>21.32</v>
      </c>
      <c r="J1675" s="3565">
        <v>1070794</v>
      </c>
      <c r="K1675" s="3565">
        <v>10390.01</v>
      </c>
      <c r="L1675" s="3565">
        <v>13100</v>
      </c>
      <c r="M1675" s="3565">
        <v>0</v>
      </c>
      <c r="N1675" s="3565">
        <v>0</v>
      </c>
      <c r="O1675" s="3563" t="s">
        <v>3453</v>
      </c>
    </row>
    <row r="1676" spans="1:15">
      <c r="A1676" s="3563" t="s">
        <v>5887</v>
      </c>
      <c r="B1676" s="3563" t="s">
        <v>4196</v>
      </c>
      <c r="C1676" s="3563" t="s">
        <v>4197</v>
      </c>
      <c r="D1676" s="3563" t="s">
        <v>4796</v>
      </c>
      <c r="E1676" s="3563" t="s">
        <v>4747</v>
      </c>
      <c r="F1676" s="3563" t="s">
        <v>4797</v>
      </c>
      <c r="G1676" s="3564">
        <v>109.8</v>
      </c>
      <c r="H1676" s="3564">
        <v>88.44</v>
      </c>
      <c r="I1676" s="3564">
        <v>21.36</v>
      </c>
      <c r="J1676" s="3565">
        <v>1183370</v>
      </c>
      <c r="K1676" s="3565">
        <v>10777.5</v>
      </c>
      <c r="L1676" s="3565">
        <v>13380.48</v>
      </c>
      <c r="M1676" s="3565">
        <v>0</v>
      </c>
      <c r="N1676" s="3565">
        <v>0</v>
      </c>
      <c r="O1676" s="3563" t="s">
        <v>3453</v>
      </c>
    </row>
    <row r="1677" spans="1:15">
      <c r="A1677" s="3563" t="s">
        <v>5888</v>
      </c>
      <c r="B1677" s="3563" t="s">
        <v>3453</v>
      </c>
      <c r="C1677" s="3563" t="s">
        <v>4197</v>
      </c>
      <c r="D1677" s="3563" t="s">
        <v>4796</v>
      </c>
      <c r="E1677" s="3563" t="s">
        <v>4747</v>
      </c>
      <c r="F1677" s="3563" t="s">
        <v>4797</v>
      </c>
      <c r="G1677" s="3564">
        <v>78.25</v>
      </c>
      <c r="H1677" s="3564">
        <v>63.03</v>
      </c>
      <c r="I1677" s="3564">
        <v>15.22</v>
      </c>
      <c r="J1677" s="3565">
        <v>789543</v>
      </c>
      <c r="K1677" s="3565">
        <v>10090.01</v>
      </c>
      <c r="L1677" s="3565">
        <v>12526.46</v>
      </c>
      <c r="M1677" s="3565">
        <v>0</v>
      </c>
      <c r="N1677" s="3565">
        <v>0</v>
      </c>
      <c r="O1677" s="3563" t="s">
        <v>3453</v>
      </c>
    </row>
    <row r="1678" spans="1:15">
      <c r="A1678" s="3563" t="s">
        <v>5889</v>
      </c>
      <c r="B1678" s="3563" t="s">
        <v>3453</v>
      </c>
      <c r="C1678" s="3563" t="s">
        <v>4197</v>
      </c>
      <c r="D1678" s="3563" t="s">
        <v>4796</v>
      </c>
      <c r="E1678" s="3563" t="s">
        <v>4747</v>
      </c>
      <c r="F1678" s="3563" t="s">
        <v>4797</v>
      </c>
      <c r="G1678" s="3564">
        <v>78.25</v>
      </c>
      <c r="H1678" s="3564">
        <v>63.03</v>
      </c>
      <c r="I1678" s="3564">
        <v>15.22</v>
      </c>
      <c r="J1678" s="3565">
        <v>789543</v>
      </c>
      <c r="K1678" s="3565">
        <v>10090.01</v>
      </c>
      <c r="L1678" s="3565">
        <v>12526.46</v>
      </c>
      <c r="M1678" s="3565">
        <v>0</v>
      </c>
      <c r="N1678" s="3565">
        <v>0</v>
      </c>
      <c r="O1678" s="3563" t="s">
        <v>3453</v>
      </c>
    </row>
    <row r="1679" spans="1:15">
      <c r="A1679" s="3563" t="s">
        <v>5890</v>
      </c>
      <c r="B1679" s="3563" t="s">
        <v>3453</v>
      </c>
      <c r="C1679" s="3563" t="s">
        <v>4197</v>
      </c>
      <c r="D1679" s="3563" t="s">
        <v>4796</v>
      </c>
      <c r="E1679" s="3563" t="s">
        <v>4747</v>
      </c>
      <c r="F1679" s="3563" t="s">
        <v>4797</v>
      </c>
      <c r="G1679" s="3564">
        <v>90.36</v>
      </c>
      <c r="H1679" s="3564">
        <v>72.78</v>
      </c>
      <c r="I1679" s="3564">
        <v>17.579999999999998</v>
      </c>
      <c r="J1679" s="3565">
        <v>903552</v>
      </c>
      <c r="K1679" s="3565">
        <v>9999.4699999999993</v>
      </c>
      <c r="L1679" s="3565">
        <v>12414.84</v>
      </c>
      <c r="M1679" s="3565">
        <v>0</v>
      </c>
      <c r="N1679" s="3565">
        <v>0</v>
      </c>
      <c r="O1679" s="3563" t="s">
        <v>3453</v>
      </c>
    </row>
    <row r="1680" spans="1:15">
      <c r="A1680" s="3563" t="s">
        <v>5891</v>
      </c>
      <c r="B1680" s="3563" t="s">
        <v>4196</v>
      </c>
      <c r="C1680" s="3563" t="s">
        <v>4197</v>
      </c>
      <c r="D1680" s="3563" t="s">
        <v>4796</v>
      </c>
      <c r="E1680" s="3563" t="s">
        <v>4747</v>
      </c>
      <c r="F1680" s="3563" t="s">
        <v>4797</v>
      </c>
      <c r="G1680" s="3564">
        <v>101.48</v>
      </c>
      <c r="H1680" s="3564">
        <v>81.739999999999995</v>
      </c>
      <c r="I1680" s="3564">
        <v>19.739999999999998</v>
      </c>
      <c r="J1680" s="3565">
        <v>1106387</v>
      </c>
      <c r="K1680" s="3565">
        <v>10902.51</v>
      </c>
      <c r="L1680" s="3565">
        <v>13535.44</v>
      </c>
      <c r="M1680" s="3565">
        <v>0</v>
      </c>
      <c r="N1680" s="3565">
        <v>0</v>
      </c>
      <c r="O1680" s="3563" t="s">
        <v>3453</v>
      </c>
    </row>
    <row r="1681" spans="1:15">
      <c r="A1681" s="3563" t="s">
        <v>5892</v>
      </c>
      <c r="B1681" s="3563" t="s">
        <v>4196</v>
      </c>
      <c r="C1681" s="3563" t="s">
        <v>4197</v>
      </c>
      <c r="D1681" s="3563" t="s">
        <v>4796</v>
      </c>
      <c r="E1681" s="3563" t="s">
        <v>4747</v>
      </c>
      <c r="F1681" s="3563" t="s">
        <v>4797</v>
      </c>
      <c r="G1681" s="3564">
        <v>101.48</v>
      </c>
      <c r="H1681" s="3564">
        <v>81.739999999999995</v>
      </c>
      <c r="I1681" s="3564">
        <v>19.739999999999998</v>
      </c>
      <c r="J1681" s="3565">
        <v>1106387</v>
      </c>
      <c r="K1681" s="3565">
        <v>10902.51</v>
      </c>
      <c r="L1681" s="3565">
        <v>13535.44</v>
      </c>
      <c r="M1681" s="3565">
        <v>0</v>
      </c>
      <c r="N1681" s="3565">
        <v>0</v>
      </c>
      <c r="O1681" s="3563" t="s">
        <v>3453</v>
      </c>
    </row>
    <row r="1682" spans="1:15">
      <c r="A1682" s="3563" t="s">
        <v>5893</v>
      </c>
      <c r="B1682" s="3563" t="s">
        <v>3453</v>
      </c>
      <c r="C1682" s="3563" t="s">
        <v>4197</v>
      </c>
      <c r="D1682" s="3563" t="s">
        <v>4796</v>
      </c>
      <c r="E1682" s="3563" t="s">
        <v>4747</v>
      </c>
      <c r="F1682" s="3563" t="s">
        <v>4797</v>
      </c>
      <c r="G1682" s="3564">
        <v>109.8</v>
      </c>
      <c r="H1682" s="3564">
        <v>88.44</v>
      </c>
      <c r="I1682" s="3564">
        <v>21.36</v>
      </c>
      <c r="J1682" s="3565">
        <v>1181998</v>
      </c>
      <c r="K1682" s="3565">
        <v>10765.01</v>
      </c>
      <c r="L1682" s="3565">
        <v>13364.97</v>
      </c>
      <c r="M1682" s="3565">
        <v>0</v>
      </c>
      <c r="N1682" s="3565">
        <v>0</v>
      </c>
      <c r="O1682" s="3563" t="s">
        <v>3453</v>
      </c>
    </row>
    <row r="1683" spans="1:15">
      <c r="A1683" s="3563" t="s">
        <v>5894</v>
      </c>
      <c r="B1683" s="3563" t="s">
        <v>4196</v>
      </c>
      <c r="C1683" s="3563" t="s">
        <v>4197</v>
      </c>
      <c r="D1683" s="3563" t="s">
        <v>4796</v>
      </c>
      <c r="E1683" s="3563" t="s">
        <v>4747</v>
      </c>
      <c r="F1683" s="3563" t="s">
        <v>4797</v>
      </c>
      <c r="G1683" s="3564">
        <v>78.25</v>
      </c>
      <c r="H1683" s="3564">
        <v>63.03</v>
      </c>
      <c r="I1683" s="3564">
        <v>15.22</v>
      </c>
      <c r="J1683" s="3565">
        <v>788565</v>
      </c>
      <c r="K1683" s="3565">
        <v>10077.51</v>
      </c>
      <c r="L1683" s="3565">
        <v>12510.95</v>
      </c>
      <c r="M1683" s="3565">
        <v>0</v>
      </c>
      <c r="N1683" s="3565">
        <v>0</v>
      </c>
      <c r="O1683" s="3563" t="s">
        <v>3453</v>
      </c>
    </row>
    <row r="1684" spans="1:15">
      <c r="A1684" s="3563" t="s">
        <v>5895</v>
      </c>
      <c r="B1684" s="3563" t="s">
        <v>4811</v>
      </c>
      <c r="C1684" s="3563" t="s">
        <v>4197</v>
      </c>
      <c r="D1684" s="3563" t="s">
        <v>4796</v>
      </c>
      <c r="E1684" s="3563" t="s">
        <v>4747</v>
      </c>
      <c r="F1684" s="3563" t="s">
        <v>4797</v>
      </c>
      <c r="G1684" s="3564">
        <v>78.25</v>
      </c>
      <c r="H1684" s="3564">
        <v>63.03</v>
      </c>
      <c r="I1684" s="3564">
        <v>15.22</v>
      </c>
      <c r="J1684" s="3565">
        <v>788565</v>
      </c>
      <c r="K1684" s="3565">
        <v>10077.51</v>
      </c>
      <c r="L1684" s="3565">
        <v>12510.95</v>
      </c>
      <c r="M1684" s="3565">
        <v>788565</v>
      </c>
      <c r="N1684" s="3565">
        <v>10077.51</v>
      </c>
      <c r="O1684" s="3566">
        <v>44192</v>
      </c>
    </row>
    <row r="1685" spans="1:15">
      <c r="A1685" s="3563" t="s">
        <v>5896</v>
      </c>
      <c r="B1685" s="3563" t="s">
        <v>4196</v>
      </c>
      <c r="C1685" s="3563" t="s">
        <v>4197</v>
      </c>
      <c r="D1685" s="3563" t="s">
        <v>4796</v>
      </c>
      <c r="E1685" s="3563" t="s">
        <v>4747</v>
      </c>
      <c r="F1685" s="3563" t="s">
        <v>4797</v>
      </c>
      <c r="G1685" s="3564">
        <v>90.36</v>
      </c>
      <c r="H1685" s="3564">
        <v>72.78</v>
      </c>
      <c r="I1685" s="3564">
        <v>17.579999999999998</v>
      </c>
      <c r="J1685" s="3565">
        <v>903552</v>
      </c>
      <c r="K1685" s="3565">
        <v>9999.4699999999993</v>
      </c>
      <c r="L1685" s="3565">
        <v>12414.84</v>
      </c>
      <c r="M1685" s="3565">
        <v>0</v>
      </c>
      <c r="N1685" s="3565">
        <v>0</v>
      </c>
      <c r="O1685" s="3563" t="s">
        <v>3453</v>
      </c>
    </row>
    <row r="1686" spans="1:15">
      <c r="A1686" s="3563" t="s">
        <v>5897</v>
      </c>
      <c r="B1686" s="3563" t="s">
        <v>4196</v>
      </c>
      <c r="C1686" s="3563" t="s">
        <v>4197</v>
      </c>
      <c r="D1686" s="3563" t="s">
        <v>4796</v>
      </c>
      <c r="E1686" s="3563" t="s">
        <v>4747</v>
      </c>
      <c r="F1686" s="3563" t="s">
        <v>4797</v>
      </c>
      <c r="G1686" s="3564">
        <v>101.48</v>
      </c>
      <c r="H1686" s="3564">
        <v>81.739999999999995</v>
      </c>
      <c r="I1686" s="3564">
        <v>19.739999999999998</v>
      </c>
      <c r="J1686" s="3565">
        <v>1105118</v>
      </c>
      <c r="K1686" s="3565">
        <v>10890.01</v>
      </c>
      <c r="L1686" s="3565">
        <v>13519.92</v>
      </c>
      <c r="M1686" s="3565">
        <v>0</v>
      </c>
      <c r="N1686" s="3565">
        <v>0</v>
      </c>
      <c r="O1686" s="3563" t="s">
        <v>3453</v>
      </c>
    </row>
    <row r="1687" spans="1:15">
      <c r="A1687" s="3563" t="s">
        <v>5898</v>
      </c>
      <c r="B1687" s="3563" t="s">
        <v>4196</v>
      </c>
      <c r="C1687" s="3563" t="s">
        <v>4197</v>
      </c>
      <c r="D1687" s="3563" t="s">
        <v>4796</v>
      </c>
      <c r="E1687" s="3563" t="s">
        <v>4747</v>
      </c>
      <c r="F1687" s="3563" t="s">
        <v>4797</v>
      </c>
      <c r="G1687" s="3564">
        <v>101.48</v>
      </c>
      <c r="H1687" s="3564">
        <v>81.739999999999995</v>
      </c>
      <c r="I1687" s="3564">
        <v>19.739999999999998</v>
      </c>
      <c r="J1687" s="3565">
        <v>1105118</v>
      </c>
      <c r="K1687" s="3565">
        <v>10890.01</v>
      </c>
      <c r="L1687" s="3565">
        <v>13519.92</v>
      </c>
      <c r="M1687" s="3565">
        <v>0</v>
      </c>
      <c r="N1687" s="3565">
        <v>0</v>
      </c>
      <c r="O1687" s="3563" t="s">
        <v>3453</v>
      </c>
    </row>
    <row r="1688" spans="1:15">
      <c r="A1688" s="3563" t="s">
        <v>5899</v>
      </c>
      <c r="B1688" s="3563" t="s">
        <v>4196</v>
      </c>
      <c r="C1688" s="3563" t="s">
        <v>4197</v>
      </c>
      <c r="D1688" s="3563" t="s">
        <v>4796</v>
      </c>
      <c r="E1688" s="3563" t="s">
        <v>4747</v>
      </c>
      <c r="F1688" s="3563" t="s">
        <v>4797</v>
      </c>
      <c r="G1688" s="3564">
        <v>109.8</v>
      </c>
      <c r="H1688" s="3564">
        <v>88.44</v>
      </c>
      <c r="I1688" s="3564">
        <v>21.36</v>
      </c>
      <c r="J1688" s="3565">
        <v>1180625</v>
      </c>
      <c r="K1688" s="3565">
        <v>10752.5</v>
      </c>
      <c r="L1688" s="3565">
        <v>13349.45</v>
      </c>
      <c r="M1688" s="3565">
        <v>0</v>
      </c>
      <c r="N1688" s="3565">
        <v>0</v>
      </c>
      <c r="O1688" s="3563" t="s">
        <v>3453</v>
      </c>
    </row>
    <row r="1689" spans="1:15">
      <c r="A1689" s="3563" t="s">
        <v>5900</v>
      </c>
      <c r="B1689" s="3563" t="s">
        <v>4811</v>
      </c>
      <c r="C1689" s="3563" t="s">
        <v>4197</v>
      </c>
      <c r="D1689" s="3563" t="s">
        <v>4796</v>
      </c>
      <c r="E1689" s="3563" t="s">
        <v>4747</v>
      </c>
      <c r="F1689" s="3563" t="s">
        <v>4797</v>
      </c>
      <c r="G1689" s="3564">
        <v>78.25</v>
      </c>
      <c r="H1689" s="3564">
        <v>63.03</v>
      </c>
      <c r="I1689" s="3564">
        <v>15.22</v>
      </c>
      <c r="J1689" s="3565">
        <v>787587</v>
      </c>
      <c r="K1689" s="3565">
        <v>10065.01</v>
      </c>
      <c r="L1689" s="3565">
        <v>12495.43</v>
      </c>
      <c r="M1689" s="3565">
        <v>787587</v>
      </c>
      <c r="N1689" s="3565">
        <v>10065.01</v>
      </c>
      <c r="O1689" s="3566">
        <v>44192</v>
      </c>
    </row>
    <row r="1690" spans="1:15">
      <c r="A1690" s="3563" t="s">
        <v>5901</v>
      </c>
      <c r="B1690" s="3563" t="s">
        <v>4196</v>
      </c>
      <c r="C1690" s="3563" t="s">
        <v>4197</v>
      </c>
      <c r="D1690" s="3563" t="s">
        <v>4796</v>
      </c>
      <c r="E1690" s="3563" t="s">
        <v>4747</v>
      </c>
      <c r="F1690" s="3563" t="s">
        <v>4797</v>
      </c>
      <c r="G1690" s="3564">
        <v>78.25</v>
      </c>
      <c r="H1690" s="3564">
        <v>63.03</v>
      </c>
      <c r="I1690" s="3564">
        <v>15.22</v>
      </c>
      <c r="J1690" s="3565">
        <v>787587</v>
      </c>
      <c r="K1690" s="3565">
        <v>10065.01</v>
      </c>
      <c r="L1690" s="3565">
        <v>12495.43</v>
      </c>
      <c r="M1690" s="3565">
        <v>0</v>
      </c>
      <c r="N1690" s="3565">
        <v>0</v>
      </c>
      <c r="O1690" s="3563" t="s">
        <v>3453</v>
      </c>
    </row>
    <row r="1691" spans="1:15">
      <c r="A1691" s="3563" t="s">
        <v>5902</v>
      </c>
      <c r="B1691" s="3563" t="s">
        <v>4196</v>
      </c>
      <c r="C1691" s="3563" t="s">
        <v>4197</v>
      </c>
      <c r="D1691" s="3563" t="s">
        <v>4796</v>
      </c>
      <c r="E1691" s="3563" t="s">
        <v>4747</v>
      </c>
      <c r="F1691" s="3563" t="s">
        <v>4797</v>
      </c>
      <c r="G1691" s="3564">
        <v>90.36</v>
      </c>
      <c r="H1691" s="3564">
        <v>72.78</v>
      </c>
      <c r="I1691" s="3564">
        <v>17.579999999999998</v>
      </c>
      <c r="J1691" s="3565">
        <v>903552</v>
      </c>
      <c r="K1691" s="3565">
        <v>9999.4699999999993</v>
      </c>
      <c r="L1691" s="3565">
        <v>12414.84</v>
      </c>
      <c r="M1691" s="3565">
        <v>0</v>
      </c>
      <c r="N1691" s="3565">
        <v>0</v>
      </c>
      <c r="O1691" s="3563" t="s">
        <v>3453</v>
      </c>
    </row>
    <row r="1692" spans="1:15">
      <c r="A1692" s="3563" t="s">
        <v>5903</v>
      </c>
      <c r="B1692" s="3563" t="s">
        <v>4196</v>
      </c>
      <c r="C1692" s="3563" t="s">
        <v>4197</v>
      </c>
      <c r="D1692" s="3563" t="s">
        <v>4796</v>
      </c>
      <c r="E1692" s="3563" t="s">
        <v>4747</v>
      </c>
      <c r="F1692" s="3563" t="s">
        <v>4797</v>
      </c>
      <c r="G1692" s="3564">
        <v>101.48</v>
      </c>
      <c r="H1692" s="3564">
        <v>81.739999999999995</v>
      </c>
      <c r="I1692" s="3564">
        <v>19.739999999999998</v>
      </c>
      <c r="J1692" s="3565">
        <v>1103849</v>
      </c>
      <c r="K1692" s="3565">
        <v>10877.5</v>
      </c>
      <c r="L1692" s="3565">
        <v>13504.39</v>
      </c>
      <c r="M1692" s="3565">
        <v>0</v>
      </c>
      <c r="N1692" s="3565">
        <v>0</v>
      </c>
      <c r="O1692" s="3563" t="s">
        <v>3453</v>
      </c>
    </row>
    <row r="1693" spans="1:15">
      <c r="A1693" s="3563" t="s">
        <v>5904</v>
      </c>
      <c r="B1693" s="3563" t="s">
        <v>4196</v>
      </c>
      <c r="C1693" s="3563" t="s">
        <v>4197</v>
      </c>
      <c r="D1693" s="3563" t="s">
        <v>4796</v>
      </c>
      <c r="E1693" s="3563" t="s">
        <v>4747</v>
      </c>
      <c r="F1693" s="3563" t="s">
        <v>4797</v>
      </c>
      <c r="G1693" s="3564">
        <v>101.48</v>
      </c>
      <c r="H1693" s="3564">
        <v>81.739999999999995</v>
      </c>
      <c r="I1693" s="3564">
        <v>19.739999999999998</v>
      </c>
      <c r="J1693" s="3565">
        <v>1103849</v>
      </c>
      <c r="K1693" s="3565">
        <v>10877.5</v>
      </c>
      <c r="L1693" s="3565">
        <v>13504.39</v>
      </c>
      <c r="M1693" s="3565">
        <v>0</v>
      </c>
      <c r="N1693" s="3565">
        <v>0</v>
      </c>
      <c r="O1693" s="3563" t="s">
        <v>3453</v>
      </c>
    </row>
    <row r="1694" spans="1:15">
      <c r="A1694" s="3563" t="s">
        <v>5905</v>
      </c>
      <c r="B1694" s="3563" t="s">
        <v>4196</v>
      </c>
      <c r="C1694" s="3563" t="s">
        <v>4197</v>
      </c>
      <c r="D1694" s="3563" t="s">
        <v>4796</v>
      </c>
      <c r="E1694" s="3563" t="s">
        <v>4747</v>
      </c>
      <c r="F1694" s="3563" t="s">
        <v>4797</v>
      </c>
      <c r="G1694" s="3564">
        <v>109.8</v>
      </c>
      <c r="H1694" s="3564">
        <v>88.44</v>
      </c>
      <c r="I1694" s="3564">
        <v>21.36</v>
      </c>
      <c r="J1694" s="3565">
        <v>1179253</v>
      </c>
      <c r="K1694" s="3565">
        <v>10740.01</v>
      </c>
      <c r="L1694" s="3565">
        <v>13333.93</v>
      </c>
      <c r="M1694" s="3565">
        <v>0</v>
      </c>
      <c r="N1694" s="3565">
        <v>0</v>
      </c>
      <c r="O1694" s="3563" t="s">
        <v>3453</v>
      </c>
    </row>
    <row r="1695" spans="1:15">
      <c r="A1695" s="3563" t="s">
        <v>5906</v>
      </c>
      <c r="B1695" s="3563" t="s">
        <v>4196</v>
      </c>
      <c r="C1695" s="3563" t="s">
        <v>4197</v>
      </c>
      <c r="D1695" s="3563" t="s">
        <v>4796</v>
      </c>
      <c r="E1695" s="3563" t="s">
        <v>4747</v>
      </c>
      <c r="F1695" s="3563" t="s">
        <v>4797</v>
      </c>
      <c r="G1695" s="3564">
        <v>78.25</v>
      </c>
      <c r="H1695" s="3564">
        <v>63.03</v>
      </c>
      <c r="I1695" s="3564">
        <v>15.22</v>
      </c>
      <c r="J1695" s="3565">
        <v>786609</v>
      </c>
      <c r="K1695" s="3565">
        <v>10052.51</v>
      </c>
      <c r="L1695" s="3565">
        <v>12479.91</v>
      </c>
      <c r="M1695" s="3565">
        <v>0</v>
      </c>
      <c r="N1695" s="3565">
        <v>0</v>
      </c>
      <c r="O1695" s="3563" t="s">
        <v>3453</v>
      </c>
    </row>
    <row r="1696" spans="1:15">
      <c r="A1696" s="3563" t="s">
        <v>5907</v>
      </c>
      <c r="B1696" s="3563" t="s">
        <v>4196</v>
      </c>
      <c r="C1696" s="3563" t="s">
        <v>4197</v>
      </c>
      <c r="D1696" s="3563" t="s">
        <v>4796</v>
      </c>
      <c r="E1696" s="3563" t="s">
        <v>4747</v>
      </c>
      <c r="F1696" s="3563" t="s">
        <v>4797</v>
      </c>
      <c r="G1696" s="3564">
        <v>78.25</v>
      </c>
      <c r="H1696" s="3564">
        <v>63.03</v>
      </c>
      <c r="I1696" s="3564">
        <v>15.22</v>
      </c>
      <c r="J1696" s="3565">
        <v>786609</v>
      </c>
      <c r="K1696" s="3565">
        <v>10052.51</v>
      </c>
      <c r="L1696" s="3565">
        <v>12479.91</v>
      </c>
      <c r="M1696" s="3565">
        <v>0</v>
      </c>
      <c r="N1696" s="3565">
        <v>0</v>
      </c>
      <c r="O1696" s="3563" t="s">
        <v>3453</v>
      </c>
    </row>
    <row r="1697" spans="1:15">
      <c r="A1697" s="3563" t="s">
        <v>5908</v>
      </c>
      <c r="B1697" s="3563" t="s">
        <v>3453</v>
      </c>
      <c r="C1697" s="3563" t="s">
        <v>4197</v>
      </c>
      <c r="D1697" s="3563" t="s">
        <v>4796</v>
      </c>
      <c r="E1697" s="3563" t="s">
        <v>4747</v>
      </c>
      <c r="F1697" s="3563" t="s">
        <v>4797</v>
      </c>
      <c r="G1697" s="3564">
        <v>90.36</v>
      </c>
      <c r="H1697" s="3564">
        <v>72.78</v>
      </c>
      <c r="I1697" s="3564">
        <v>17.579999999999998</v>
      </c>
      <c r="J1697" s="3565">
        <v>903552</v>
      </c>
      <c r="K1697" s="3565">
        <v>9999.4699999999993</v>
      </c>
      <c r="L1697" s="3565">
        <v>12414.84</v>
      </c>
      <c r="M1697" s="3565">
        <v>0</v>
      </c>
      <c r="N1697" s="3565">
        <v>0</v>
      </c>
      <c r="O1697" s="3563" t="s">
        <v>3453</v>
      </c>
    </row>
    <row r="1698" spans="1:15">
      <c r="A1698" s="3563" t="s">
        <v>5909</v>
      </c>
      <c r="B1698" s="3563" t="s">
        <v>4196</v>
      </c>
      <c r="C1698" s="3563" t="s">
        <v>4197</v>
      </c>
      <c r="D1698" s="3563" t="s">
        <v>4796</v>
      </c>
      <c r="E1698" s="3563" t="s">
        <v>4747</v>
      </c>
      <c r="F1698" s="3563" t="s">
        <v>4797</v>
      </c>
      <c r="G1698" s="3564">
        <v>101.48</v>
      </c>
      <c r="H1698" s="3564">
        <v>81.739999999999995</v>
      </c>
      <c r="I1698" s="3564">
        <v>19.739999999999998</v>
      </c>
      <c r="J1698" s="3565">
        <v>1102580</v>
      </c>
      <c r="K1698" s="3565">
        <v>10865</v>
      </c>
      <c r="L1698" s="3565">
        <v>13488.87</v>
      </c>
      <c r="M1698" s="3565">
        <v>0</v>
      </c>
      <c r="N1698" s="3565">
        <v>0</v>
      </c>
      <c r="O1698" s="3563" t="s">
        <v>3453</v>
      </c>
    </row>
    <row r="1699" spans="1:15">
      <c r="A1699" s="3563" t="s">
        <v>5910</v>
      </c>
      <c r="B1699" s="3563" t="s">
        <v>4196</v>
      </c>
      <c r="C1699" s="3563" t="s">
        <v>4197</v>
      </c>
      <c r="D1699" s="3563" t="s">
        <v>4796</v>
      </c>
      <c r="E1699" s="3563" t="s">
        <v>4747</v>
      </c>
      <c r="F1699" s="3563" t="s">
        <v>4797</v>
      </c>
      <c r="G1699" s="3564">
        <v>101.48</v>
      </c>
      <c r="H1699" s="3564">
        <v>81.739999999999995</v>
      </c>
      <c r="I1699" s="3564">
        <v>19.739999999999998</v>
      </c>
      <c r="J1699" s="3565">
        <v>1102580</v>
      </c>
      <c r="K1699" s="3565">
        <v>10865</v>
      </c>
      <c r="L1699" s="3565">
        <v>13488.87</v>
      </c>
      <c r="M1699" s="3565">
        <v>0</v>
      </c>
      <c r="N1699" s="3565">
        <v>0</v>
      </c>
      <c r="O1699" s="3563" t="s">
        <v>3453</v>
      </c>
    </row>
    <row r="1700" spans="1:15">
      <c r="A1700" s="3563" t="s">
        <v>5911</v>
      </c>
      <c r="B1700" s="3563" t="s">
        <v>4196</v>
      </c>
      <c r="C1700" s="3563" t="s">
        <v>4197</v>
      </c>
      <c r="D1700" s="3563" t="s">
        <v>4796</v>
      </c>
      <c r="E1700" s="3563" t="s">
        <v>4747</v>
      </c>
      <c r="F1700" s="3563" t="s">
        <v>4797</v>
      </c>
      <c r="G1700" s="3564">
        <v>109.8</v>
      </c>
      <c r="H1700" s="3564">
        <v>88.44</v>
      </c>
      <c r="I1700" s="3564">
        <v>21.36</v>
      </c>
      <c r="J1700" s="3565">
        <v>1177880</v>
      </c>
      <c r="K1700" s="3565">
        <v>10727.5</v>
      </c>
      <c r="L1700" s="3565">
        <v>13318.41</v>
      </c>
      <c r="M1700" s="3565">
        <v>0</v>
      </c>
      <c r="N1700" s="3565">
        <v>0</v>
      </c>
      <c r="O1700" s="3563" t="s">
        <v>3453</v>
      </c>
    </row>
    <row r="1701" spans="1:15">
      <c r="A1701" s="3563" t="s">
        <v>5912</v>
      </c>
      <c r="B1701" s="3563" t="s">
        <v>4196</v>
      </c>
      <c r="C1701" s="3563" t="s">
        <v>4197</v>
      </c>
      <c r="D1701" s="3563" t="s">
        <v>4796</v>
      </c>
      <c r="E1701" s="3563" t="s">
        <v>4747</v>
      </c>
      <c r="F1701" s="3563" t="s">
        <v>4797</v>
      </c>
      <c r="G1701" s="3564">
        <v>78.25</v>
      </c>
      <c r="H1701" s="3564">
        <v>63.03</v>
      </c>
      <c r="I1701" s="3564">
        <v>15.22</v>
      </c>
      <c r="J1701" s="3565">
        <v>785630</v>
      </c>
      <c r="K1701" s="3565">
        <v>10040</v>
      </c>
      <c r="L1701" s="3565">
        <v>12464.38</v>
      </c>
      <c r="M1701" s="3565">
        <v>0</v>
      </c>
      <c r="N1701" s="3565">
        <v>0</v>
      </c>
      <c r="O1701" s="3563" t="s">
        <v>3453</v>
      </c>
    </row>
    <row r="1702" spans="1:15">
      <c r="A1702" s="3563" t="s">
        <v>5913</v>
      </c>
      <c r="B1702" s="3563" t="s">
        <v>4196</v>
      </c>
      <c r="C1702" s="3563" t="s">
        <v>4197</v>
      </c>
      <c r="D1702" s="3563" t="s">
        <v>4796</v>
      </c>
      <c r="E1702" s="3563" t="s">
        <v>4747</v>
      </c>
      <c r="F1702" s="3563" t="s">
        <v>4797</v>
      </c>
      <c r="G1702" s="3564">
        <v>78.25</v>
      </c>
      <c r="H1702" s="3564">
        <v>63.03</v>
      </c>
      <c r="I1702" s="3564">
        <v>15.22</v>
      </c>
      <c r="J1702" s="3565">
        <v>785630</v>
      </c>
      <c r="K1702" s="3565">
        <v>10040</v>
      </c>
      <c r="L1702" s="3565">
        <v>12464.38</v>
      </c>
      <c r="M1702" s="3565">
        <v>0</v>
      </c>
      <c r="N1702" s="3565">
        <v>0</v>
      </c>
      <c r="O1702" s="3563" t="s">
        <v>3453</v>
      </c>
    </row>
    <row r="1703" spans="1:15">
      <c r="A1703" s="3563" t="s">
        <v>5914</v>
      </c>
      <c r="B1703" s="3563" t="s">
        <v>3453</v>
      </c>
      <c r="C1703" s="3563" t="s">
        <v>4197</v>
      </c>
      <c r="D1703" s="3563" t="s">
        <v>4796</v>
      </c>
      <c r="E1703" s="3563" t="s">
        <v>4747</v>
      </c>
      <c r="F1703" s="3563" t="s">
        <v>4797</v>
      </c>
      <c r="G1703" s="3564">
        <v>90.36</v>
      </c>
      <c r="H1703" s="3564">
        <v>72.78</v>
      </c>
      <c r="I1703" s="3564">
        <v>17.579999999999998</v>
      </c>
      <c r="J1703" s="3565">
        <v>903552</v>
      </c>
      <c r="K1703" s="3565">
        <v>9999.4699999999993</v>
      </c>
      <c r="L1703" s="3565">
        <v>12414.84</v>
      </c>
      <c r="M1703" s="3565">
        <v>0</v>
      </c>
      <c r="N1703" s="3565">
        <v>0</v>
      </c>
      <c r="O1703" s="3563" t="s">
        <v>3453</v>
      </c>
    </row>
    <row r="1704" spans="1:15">
      <c r="A1704" s="3563" t="s">
        <v>5915</v>
      </c>
      <c r="B1704" s="3563" t="s">
        <v>4196</v>
      </c>
      <c r="C1704" s="3563" t="s">
        <v>4197</v>
      </c>
      <c r="D1704" s="3563" t="s">
        <v>4796</v>
      </c>
      <c r="E1704" s="3563" t="s">
        <v>4747</v>
      </c>
      <c r="F1704" s="3563" t="s">
        <v>4797</v>
      </c>
      <c r="G1704" s="3564">
        <v>101.48</v>
      </c>
      <c r="H1704" s="3564">
        <v>81.739999999999995</v>
      </c>
      <c r="I1704" s="3564">
        <v>19.739999999999998</v>
      </c>
      <c r="J1704" s="3565">
        <v>1101312</v>
      </c>
      <c r="K1704" s="3565">
        <v>10852.5</v>
      </c>
      <c r="L1704" s="3565">
        <v>13473.35</v>
      </c>
      <c r="M1704" s="3565">
        <v>0</v>
      </c>
      <c r="N1704" s="3565">
        <v>0</v>
      </c>
      <c r="O1704" s="3563" t="s">
        <v>3453</v>
      </c>
    </row>
    <row r="1705" spans="1:15">
      <c r="A1705" s="3563" t="s">
        <v>5916</v>
      </c>
      <c r="B1705" s="3563" t="s">
        <v>4196</v>
      </c>
      <c r="C1705" s="3563" t="s">
        <v>4197</v>
      </c>
      <c r="D1705" s="3563" t="s">
        <v>4796</v>
      </c>
      <c r="E1705" s="3563" t="s">
        <v>4747</v>
      </c>
      <c r="F1705" s="3563" t="s">
        <v>4797</v>
      </c>
      <c r="G1705" s="3564">
        <v>101.48</v>
      </c>
      <c r="H1705" s="3564">
        <v>81.739999999999995</v>
      </c>
      <c r="I1705" s="3564">
        <v>19.739999999999998</v>
      </c>
      <c r="J1705" s="3565">
        <v>1101312</v>
      </c>
      <c r="K1705" s="3565">
        <v>10852.5</v>
      </c>
      <c r="L1705" s="3565">
        <v>13473.35</v>
      </c>
      <c r="M1705" s="3565">
        <v>0</v>
      </c>
      <c r="N1705" s="3565">
        <v>0</v>
      </c>
      <c r="O1705" s="3563" t="s">
        <v>3453</v>
      </c>
    </row>
    <row r="1706" spans="1:15">
      <c r="A1706" s="3563" t="s">
        <v>5917</v>
      </c>
      <c r="B1706" s="3563" t="s">
        <v>4196</v>
      </c>
      <c r="C1706" s="3563" t="s">
        <v>4197</v>
      </c>
      <c r="D1706" s="3563" t="s">
        <v>4796</v>
      </c>
      <c r="E1706" s="3563" t="s">
        <v>4747</v>
      </c>
      <c r="F1706" s="3563" t="s">
        <v>4797</v>
      </c>
      <c r="G1706" s="3564">
        <v>109.8</v>
      </c>
      <c r="H1706" s="3564">
        <v>88.44</v>
      </c>
      <c r="I1706" s="3564">
        <v>21.36</v>
      </c>
      <c r="J1706" s="3565">
        <v>1176508</v>
      </c>
      <c r="K1706" s="3565">
        <v>10715.01</v>
      </c>
      <c r="L1706" s="3565">
        <v>13302.89</v>
      </c>
      <c r="M1706" s="3565">
        <v>0</v>
      </c>
      <c r="N1706" s="3565">
        <v>0</v>
      </c>
      <c r="O1706" s="3563" t="s">
        <v>3453</v>
      </c>
    </row>
    <row r="1707" spans="1:15">
      <c r="A1707" s="3563" t="s">
        <v>5918</v>
      </c>
      <c r="B1707" s="3563" t="s">
        <v>4196</v>
      </c>
      <c r="C1707" s="3563" t="s">
        <v>4197</v>
      </c>
      <c r="D1707" s="3563" t="s">
        <v>4796</v>
      </c>
      <c r="E1707" s="3563" t="s">
        <v>4747</v>
      </c>
      <c r="F1707" s="3563" t="s">
        <v>4797</v>
      </c>
      <c r="G1707" s="3564">
        <v>78.25</v>
      </c>
      <c r="H1707" s="3564">
        <v>63.03</v>
      </c>
      <c r="I1707" s="3564">
        <v>15.22</v>
      </c>
      <c r="J1707" s="3565">
        <v>784653</v>
      </c>
      <c r="K1707" s="3565">
        <v>10027.51</v>
      </c>
      <c r="L1707" s="3565">
        <v>12448.88</v>
      </c>
      <c r="M1707" s="3565">
        <v>0</v>
      </c>
      <c r="N1707" s="3565">
        <v>0</v>
      </c>
      <c r="O1707" s="3563" t="s">
        <v>3453</v>
      </c>
    </row>
    <row r="1708" spans="1:15">
      <c r="A1708" s="3563" t="s">
        <v>5919</v>
      </c>
      <c r="B1708" s="3563" t="s">
        <v>4196</v>
      </c>
      <c r="C1708" s="3563" t="s">
        <v>4197</v>
      </c>
      <c r="D1708" s="3563" t="s">
        <v>4796</v>
      </c>
      <c r="E1708" s="3563" t="s">
        <v>4747</v>
      </c>
      <c r="F1708" s="3563" t="s">
        <v>4797</v>
      </c>
      <c r="G1708" s="3564">
        <v>78.25</v>
      </c>
      <c r="H1708" s="3564">
        <v>63.03</v>
      </c>
      <c r="I1708" s="3564">
        <v>15.22</v>
      </c>
      <c r="J1708" s="3565">
        <v>784653</v>
      </c>
      <c r="K1708" s="3565">
        <v>10027.51</v>
      </c>
      <c r="L1708" s="3565">
        <v>12448.88</v>
      </c>
      <c r="M1708" s="3565">
        <v>0</v>
      </c>
      <c r="N1708" s="3565">
        <v>0</v>
      </c>
      <c r="O1708" s="3563" t="s">
        <v>3453</v>
      </c>
    </row>
    <row r="1709" spans="1:15">
      <c r="A1709" s="3563" t="s">
        <v>5920</v>
      </c>
      <c r="B1709" s="3563" t="s">
        <v>3453</v>
      </c>
      <c r="C1709" s="3563" t="s">
        <v>4197</v>
      </c>
      <c r="D1709" s="3563" t="s">
        <v>4796</v>
      </c>
      <c r="E1709" s="3563" t="s">
        <v>4747</v>
      </c>
      <c r="F1709" s="3563" t="s">
        <v>4797</v>
      </c>
      <c r="G1709" s="3564">
        <v>90.36</v>
      </c>
      <c r="H1709" s="3564">
        <v>72.78</v>
      </c>
      <c r="I1709" s="3564">
        <v>17.579999999999998</v>
      </c>
      <c r="J1709" s="3565">
        <v>903552</v>
      </c>
      <c r="K1709" s="3565">
        <v>9999.4699999999993</v>
      </c>
      <c r="L1709" s="3565">
        <v>12414.84</v>
      </c>
      <c r="M1709" s="3565">
        <v>0</v>
      </c>
      <c r="N1709" s="3565">
        <v>0</v>
      </c>
      <c r="O1709" s="3563" t="s">
        <v>3453</v>
      </c>
    </row>
    <row r="1710" spans="1:15">
      <c r="A1710" s="3563" t="s">
        <v>5921</v>
      </c>
      <c r="B1710" s="3563" t="s">
        <v>4196</v>
      </c>
      <c r="C1710" s="3563" t="s">
        <v>4197</v>
      </c>
      <c r="D1710" s="3563" t="s">
        <v>4796</v>
      </c>
      <c r="E1710" s="3563" t="s">
        <v>4747</v>
      </c>
      <c r="F1710" s="3563" t="s">
        <v>4797</v>
      </c>
      <c r="G1710" s="3564">
        <v>101.48</v>
      </c>
      <c r="H1710" s="3564">
        <v>81.739999999999995</v>
      </c>
      <c r="I1710" s="3564">
        <v>19.739999999999998</v>
      </c>
      <c r="J1710" s="3565">
        <v>1100044</v>
      </c>
      <c r="K1710" s="3565">
        <v>10840.01</v>
      </c>
      <c r="L1710" s="3565">
        <v>13457.84</v>
      </c>
      <c r="M1710" s="3565">
        <v>0</v>
      </c>
      <c r="N1710" s="3565">
        <v>0</v>
      </c>
      <c r="O1710" s="3563" t="s">
        <v>3453</v>
      </c>
    </row>
    <row r="1711" spans="1:15">
      <c r="A1711" s="3563" t="s">
        <v>5922</v>
      </c>
      <c r="B1711" s="3563" t="s">
        <v>4196</v>
      </c>
      <c r="C1711" s="3563" t="s">
        <v>4197</v>
      </c>
      <c r="D1711" s="3563" t="s">
        <v>4796</v>
      </c>
      <c r="E1711" s="3563" t="s">
        <v>4747</v>
      </c>
      <c r="F1711" s="3563" t="s">
        <v>4797</v>
      </c>
      <c r="G1711" s="3564">
        <v>101.48</v>
      </c>
      <c r="H1711" s="3564">
        <v>81.739999999999995</v>
      </c>
      <c r="I1711" s="3564">
        <v>19.739999999999998</v>
      </c>
      <c r="J1711" s="3565">
        <v>1100044</v>
      </c>
      <c r="K1711" s="3565">
        <v>10840.01</v>
      </c>
      <c r="L1711" s="3565">
        <v>13457.84</v>
      </c>
      <c r="M1711" s="3565">
        <v>0</v>
      </c>
      <c r="N1711" s="3565">
        <v>0</v>
      </c>
      <c r="O1711" s="3563" t="s">
        <v>3453</v>
      </c>
    </row>
    <row r="1712" spans="1:15">
      <c r="A1712" s="3563" t="s">
        <v>5923</v>
      </c>
      <c r="B1712" s="3563" t="s">
        <v>4811</v>
      </c>
      <c r="C1712" s="3563" t="s">
        <v>4197</v>
      </c>
      <c r="D1712" s="3563" t="s">
        <v>4796</v>
      </c>
      <c r="E1712" s="3563" t="s">
        <v>4747</v>
      </c>
      <c r="F1712" s="3563" t="s">
        <v>4797</v>
      </c>
      <c r="G1712" s="3564">
        <v>109.8</v>
      </c>
      <c r="H1712" s="3564">
        <v>88.44</v>
      </c>
      <c r="I1712" s="3564">
        <v>21.36</v>
      </c>
      <c r="J1712" s="3565">
        <v>1133960</v>
      </c>
      <c r="K1712" s="3565">
        <v>10327.5</v>
      </c>
      <c r="L1712" s="3565">
        <v>12821.8</v>
      </c>
      <c r="M1712" s="3565">
        <v>1133960</v>
      </c>
      <c r="N1712" s="3565">
        <v>10327.5</v>
      </c>
      <c r="O1712" s="3566">
        <v>44192</v>
      </c>
    </row>
    <row r="1713" spans="1:15">
      <c r="A1713" s="3563" t="s">
        <v>5924</v>
      </c>
      <c r="B1713" s="3563" t="s">
        <v>4196</v>
      </c>
      <c r="C1713" s="3563" t="s">
        <v>4197</v>
      </c>
      <c r="D1713" s="3563" t="s">
        <v>4796</v>
      </c>
      <c r="E1713" s="3563" t="s">
        <v>4747</v>
      </c>
      <c r="F1713" s="3563" t="s">
        <v>4797</v>
      </c>
      <c r="G1713" s="3564">
        <v>78.25</v>
      </c>
      <c r="H1713" s="3564">
        <v>63.03</v>
      </c>
      <c r="I1713" s="3564">
        <v>15.22</v>
      </c>
      <c r="J1713" s="3565">
        <v>782458</v>
      </c>
      <c r="K1713" s="3565">
        <v>9999.4599999999991</v>
      </c>
      <c r="L1713" s="3565">
        <v>12414.06</v>
      </c>
      <c r="M1713" s="3565">
        <v>0</v>
      </c>
      <c r="N1713" s="3565">
        <v>0</v>
      </c>
      <c r="O1713" s="3563" t="s">
        <v>3453</v>
      </c>
    </row>
    <row r="1714" spans="1:15">
      <c r="A1714" s="3563" t="s">
        <v>5925</v>
      </c>
      <c r="B1714" s="3563" t="s">
        <v>4196</v>
      </c>
      <c r="C1714" s="3563" t="s">
        <v>4197</v>
      </c>
      <c r="D1714" s="3563" t="s">
        <v>4796</v>
      </c>
      <c r="E1714" s="3563" t="s">
        <v>4747</v>
      </c>
      <c r="F1714" s="3563" t="s">
        <v>4797</v>
      </c>
      <c r="G1714" s="3564">
        <v>78.25</v>
      </c>
      <c r="H1714" s="3564">
        <v>63.03</v>
      </c>
      <c r="I1714" s="3564">
        <v>15.22</v>
      </c>
      <c r="J1714" s="3565">
        <v>782458</v>
      </c>
      <c r="K1714" s="3565">
        <v>9999.4599999999991</v>
      </c>
      <c r="L1714" s="3565">
        <v>12414.06</v>
      </c>
      <c r="M1714" s="3565">
        <v>0</v>
      </c>
      <c r="N1714" s="3565">
        <v>0</v>
      </c>
      <c r="O1714" s="3563" t="s">
        <v>3453</v>
      </c>
    </row>
    <row r="1715" spans="1:15">
      <c r="A1715" s="3563" t="s">
        <v>5926</v>
      </c>
      <c r="B1715" s="3563" t="s">
        <v>4196</v>
      </c>
      <c r="C1715" s="3563" t="s">
        <v>4197</v>
      </c>
      <c r="D1715" s="3563" t="s">
        <v>4796</v>
      </c>
      <c r="E1715" s="3563" t="s">
        <v>4747</v>
      </c>
      <c r="F1715" s="3563" t="s">
        <v>4797</v>
      </c>
      <c r="G1715" s="3564">
        <v>90.36</v>
      </c>
      <c r="H1715" s="3564">
        <v>72.78</v>
      </c>
      <c r="I1715" s="3564">
        <v>17.579999999999998</v>
      </c>
      <c r="J1715" s="3565">
        <v>903552</v>
      </c>
      <c r="K1715" s="3565">
        <v>9999.4699999999993</v>
      </c>
      <c r="L1715" s="3565">
        <v>12414.84</v>
      </c>
      <c r="M1715" s="3565">
        <v>0</v>
      </c>
      <c r="N1715" s="3565">
        <v>0</v>
      </c>
      <c r="O1715" s="3563" t="s">
        <v>3453</v>
      </c>
    </row>
    <row r="1716" spans="1:15">
      <c r="A1716" s="3563" t="s">
        <v>5927</v>
      </c>
      <c r="B1716" s="3563" t="s">
        <v>4196</v>
      </c>
      <c r="C1716" s="3563" t="s">
        <v>4197</v>
      </c>
      <c r="D1716" s="3563" t="s">
        <v>4796</v>
      </c>
      <c r="E1716" s="3563" t="s">
        <v>4747</v>
      </c>
      <c r="F1716" s="3563" t="s">
        <v>4797</v>
      </c>
      <c r="G1716" s="3564">
        <v>101.48</v>
      </c>
      <c r="H1716" s="3564">
        <v>81.739999999999995</v>
      </c>
      <c r="I1716" s="3564">
        <v>19.739999999999998</v>
      </c>
      <c r="J1716" s="3565">
        <v>1060720</v>
      </c>
      <c r="K1716" s="3565">
        <v>10452.5</v>
      </c>
      <c r="L1716" s="3565">
        <v>12976.76</v>
      </c>
      <c r="M1716" s="3565">
        <v>0</v>
      </c>
      <c r="N1716" s="3565">
        <v>0</v>
      </c>
      <c r="O1716" s="3563" t="s">
        <v>3453</v>
      </c>
    </row>
    <row r="1717" spans="1:15">
      <c r="A1717" s="3563" t="s">
        <v>5928</v>
      </c>
      <c r="B1717" s="3563" t="s">
        <v>4196</v>
      </c>
      <c r="C1717" s="3563" t="s">
        <v>4197</v>
      </c>
      <c r="D1717" s="3563" t="s">
        <v>4796</v>
      </c>
      <c r="E1717" s="3563" t="s">
        <v>4747</v>
      </c>
      <c r="F1717" s="3563" t="s">
        <v>4797</v>
      </c>
      <c r="G1717" s="3564">
        <v>101.48</v>
      </c>
      <c r="H1717" s="3564">
        <v>81.739999999999995</v>
      </c>
      <c r="I1717" s="3564">
        <v>19.739999999999998</v>
      </c>
      <c r="J1717" s="3565">
        <v>1060720</v>
      </c>
      <c r="K1717" s="3565">
        <v>10452.5</v>
      </c>
      <c r="L1717" s="3565">
        <v>12976.76</v>
      </c>
      <c r="M1717" s="3565">
        <v>0</v>
      </c>
      <c r="N1717" s="3565">
        <v>0</v>
      </c>
      <c r="O1717" s="3563" t="s">
        <v>3453</v>
      </c>
    </row>
    <row r="1718" spans="1:15">
      <c r="A1718" s="3563" t="s">
        <v>5929</v>
      </c>
      <c r="B1718" s="3563" t="s">
        <v>4196</v>
      </c>
      <c r="C1718" s="3563" t="s">
        <v>4197</v>
      </c>
      <c r="D1718" s="3563" t="s">
        <v>4796</v>
      </c>
      <c r="E1718" s="3563" t="s">
        <v>4747</v>
      </c>
      <c r="F1718" s="3563" t="s">
        <v>4797</v>
      </c>
      <c r="G1718" s="3564">
        <v>109.8</v>
      </c>
      <c r="H1718" s="3564">
        <v>88.44</v>
      </c>
      <c r="I1718" s="3564">
        <v>21.36</v>
      </c>
      <c r="J1718" s="3565">
        <v>1143568</v>
      </c>
      <c r="K1718" s="3565">
        <v>10415.01</v>
      </c>
      <c r="L1718" s="3565">
        <v>12930.44</v>
      </c>
      <c r="M1718" s="3565">
        <v>0</v>
      </c>
      <c r="N1718" s="3565">
        <v>0</v>
      </c>
      <c r="O1718" s="3563" t="s">
        <v>3453</v>
      </c>
    </row>
    <row r="1719" spans="1:15">
      <c r="A1719" s="3563" t="s">
        <v>5930</v>
      </c>
      <c r="B1719" s="3563" t="s">
        <v>4196</v>
      </c>
      <c r="C1719" s="3563" t="s">
        <v>4197</v>
      </c>
      <c r="D1719" s="3563" t="s">
        <v>4796</v>
      </c>
      <c r="E1719" s="3563" t="s">
        <v>4747</v>
      </c>
      <c r="F1719" s="3563" t="s">
        <v>4797</v>
      </c>
      <c r="G1719" s="3564">
        <v>78.25</v>
      </c>
      <c r="H1719" s="3564">
        <v>63.03</v>
      </c>
      <c r="I1719" s="3564">
        <v>15.22</v>
      </c>
      <c r="J1719" s="3565">
        <v>782458</v>
      </c>
      <c r="K1719" s="3565">
        <v>9999.4599999999991</v>
      </c>
      <c r="L1719" s="3565">
        <v>12414.06</v>
      </c>
      <c r="M1719" s="3565">
        <v>0</v>
      </c>
      <c r="N1719" s="3565">
        <v>0</v>
      </c>
      <c r="O1719" s="3563" t="s">
        <v>3453</v>
      </c>
    </row>
    <row r="1720" spans="1:15">
      <c r="A1720" s="3563" t="s">
        <v>5931</v>
      </c>
      <c r="B1720" s="3563" t="s">
        <v>4196</v>
      </c>
      <c r="C1720" s="3563" t="s">
        <v>4197</v>
      </c>
      <c r="D1720" s="3563" t="s">
        <v>4796</v>
      </c>
      <c r="E1720" s="3563" t="s">
        <v>4747</v>
      </c>
      <c r="F1720" s="3563" t="s">
        <v>4797</v>
      </c>
      <c r="G1720" s="3564">
        <v>78.25</v>
      </c>
      <c r="H1720" s="3564">
        <v>63.03</v>
      </c>
      <c r="I1720" s="3564">
        <v>15.22</v>
      </c>
      <c r="J1720" s="3565">
        <v>782458</v>
      </c>
      <c r="K1720" s="3565">
        <v>9999.4599999999991</v>
      </c>
      <c r="L1720" s="3565">
        <v>12414.06</v>
      </c>
      <c r="M1720" s="3565">
        <v>0</v>
      </c>
      <c r="N1720" s="3565">
        <v>0</v>
      </c>
      <c r="O1720" s="3563" t="s">
        <v>3453</v>
      </c>
    </row>
    <row r="1721" spans="1:15">
      <c r="A1721" s="3563" t="s">
        <v>5932</v>
      </c>
      <c r="B1721" s="3563" t="s">
        <v>4196</v>
      </c>
      <c r="C1721" s="3563" t="s">
        <v>4197</v>
      </c>
      <c r="D1721" s="3563" t="s">
        <v>4796</v>
      </c>
      <c r="E1721" s="3563" t="s">
        <v>4747</v>
      </c>
      <c r="F1721" s="3563" t="s">
        <v>4797</v>
      </c>
      <c r="G1721" s="3564">
        <v>90.36</v>
      </c>
      <c r="H1721" s="3564">
        <v>72.78</v>
      </c>
      <c r="I1721" s="3564">
        <v>17.579999999999998</v>
      </c>
      <c r="J1721" s="3565">
        <v>903552</v>
      </c>
      <c r="K1721" s="3565">
        <v>9999.4699999999993</v>
      </c>
      <c r="L1721" s="3565">
        <v>12414.84</v>
      </c>
      <c r="M1721" s="3565">
        <v>0</v>
      </c>
      <c r="N1721" s="3565">
        <v>0</v>
      </c>
      <c r="O1721" s="3563" t="s">
        <v>3453</v>
      </c>
    </row>
    <row r="1722" spans="1:15">
      <c r="A1722" s="3563" t="s">
        <v>5933</v>
      </c>
      <c r="B1722" s="3563" t="s">
        <v>4196</v>
      </c>
      <c r="C1722" s="3563" t="s">
        <v>4197</v>
      </c>
      <c r="D1722" s="3563" t="s">
        <v>4796</v>
      </c>
      <c r="E1722" s="3563" t="s">
        <v>4747</v>
      </c>
      <c r="F1722" s="3563" t="s">
        <v>4797</v>
      </c>
      <c r="G1722" s="3564">
        <v>101.48</v>
      </c>
      <c r="H1722" s="3564">
        <v>81.739999999999995</v>
      </c>
      <c r="I1722" s="3564">
        <v>19.739999999999998</v>
      </c>
      <c r="J1722" s="3565">
        <v>1069599</v>
      </c>
      <c r="K1722" s="3565">
        <v>10540</v>
      </c>
      <c r="L1722" s="3565">
        <v>13085.38</v>
      </c>
      <c r="M1722" s="3565">
        <v>0</v>
      </c>
      <c r="N1722" s="3565">
        <v>0</v>
      </c>
      <c r="O1722" s="3563" t="s">
        <v>3453</v>
      </c>
    </row>
    <row r="1723" spans="1:15">
      <c r="A1723" s="3563" t="s">
        <v>5934</v>
      </c>
      <c r="B1723" s="3563" t="s">
        <v>3453</v>
      </c>
      <c r="C1723" s="3563" t="s">
        <v>4197</v>
      </c>
      <c r="D1723" s="3563" t="s">
        <v>4796</v>
      </c>
      <c r="E1723" s="3563" t="s">
        <v>4747</v>
      </c>
      <c r="F1723" s="3563" t="s">
        <v>4797</v>
      </c>
      <c r="G1723" s="3564">
        <v>101.48</v>
      </c>
      <c r="H1723" s="3564">
        <v>81.739999999999995</v>
      </c>
      <c r="I1723" s="3564">
        <v>19.739999999999998</v>
      </c>
      <c r="J1723" s="3565">
        <v>1069599</v>
      </c>
      <c r="K1723" s="3565">
        <v>10540</v>
      </c>
      <c r="L1723" s="3565">
        <v>13085.38</v>
      </c>
      <c r="M1723" s="3565">
        <v>0</v>
      </c>
      <c r="N1723" s="3565">
        <v>0</v>
      </c>
      <c r="O1723" s="3563" t="s">
        <v>3453</v>
      </c>
    </row>
    <row r="1724" spans="1:15">
      <c r="A1724" s="3563" t="s">
        <v>5935</v>
      </c>
      <c r="B1724" s="3563" t="s">
        <v>4196</v>
      </c>
      <c r="C1724" s="3563" t="s">
        <v>4197</v>
      </c>
      <c r="D1724" s="3563" t="s">
        <v>4796</v>
      </c>
      <c r="E1724" s="3563" t="s">
        <v>4747</v>
      </c>
      <c r="F1724" s="3563" t="s">
        <v>4797</v>
      </c>
      <c r="G1724" s="3564">
        <v>109.8</v>
      </c>
      <c r="H1724" s="3564">
        <v>88.44</v>
      </c>
      <c r="I1724" s="3564">
        <v>21.36</v>
      </c>
      <c r="J1724" s="3565">
        <v>1160038</v>
      </c>
      <c r="K1724" s="3565">
        <v>10565.01</v>
      </c>
      <c r="L1724" s="3565">
        <v>13116.67</v>
      </c>
      <c r="M1724" s="3565">
        <v>0</v>
      </c>
      <c r="N1724" s="3565">
        <v>0</v>
      </c>
      <c r="O1724" s="3563" t="s">
        <v>3453</v>
      </c>
    </row>
    <row r="1725" spans="1:15">
      <c r="A1725" s="3563" t="s">
        <v>5936</v>
      </c>
      <c r="B1725" s="3563" t="s">
        <v>4196</v>
      </c>
      <c r="C1725" s="3563" t="s">
        <v>4197</v>
      </c>
      <c r="D1725" s="3563" t="s">
        <v>4796</v>
      </c>
      <c r="E1725" s="3563" t="s">
        <v>4747</v>
      </c>
      <c r="F1725" s="3563" t="s">
        <v>4797</v>
      </c>
      <c r="G1725" s="3564">
        <v>78.25</v>
      </c>
      <c r="H1725" s="3564">
        <v>63.03</v>
      </c>
      <c r="I1725" s="3564">
        <v>15.22</v>
      </c>
      <c r="J1725" s="3565">
        <v>782458</v>
      </c>
      <c r="K1725" s="3565">
        <v>9999.4599999999991</v>
      </c>
      <c r="L1725" s="3565">
        <v>12414.06</v>
      </c>
      <c r="M1725" s="3565">
        <v>0</v>
      </c>
      <c r="N1725" s="3565">
        <v>0</v>
      </c>
      <c r="O1725" s="3563" t="s">
        <v>3453</v>
      </c>
    </row>
    <row r="1726" spans="1:15">
      <c r="A1726" s="3563" t="s">
        <v>5937</v>
      </c>
      <c r="B1726" s="3563" t="s">
        <v>4196</v>
      </c>
      <c r="C1726" s="3563" t="s">
        <v>4197</v>
      </c>
      <c r="D1726" s="3563" t="s">
        <v>4796</v>
      </c>
      <c r="E1726" s="3563" t="s">
        <v>4747</v>
      </c>
      <c r="F1726" s="3563" t="s">
        <v>4797</v>
      </c>
      <c r="G1726" s="3564">
        <v>78.25</v>
      </c>
      <c r="H1726" s="3564">
        <v>63.03</v>
      </c>
      <c r="I1726" s="3564">
        <v>15.22</v>
      </c>
      <c r="J1726" s="3565">
        <v>782458</v>
      </c>
      <c r="K1726" s="3565">
        <v>9999.4599999999991</v>
      </c>
      <c r="L1726" s="3565">
        <v>12414.06</v>
      </c>
      <c r="M1726" s="3565">
        <v>0</v>
      </c>
      <c r="N1726" s="3565">
        <v>0</v>
      </c>
      <c r="O1726" s="3563" t="s">
        <v>3453</v>
      </c>
    </row>
    <row r="1727" spans="1:15">
      <c r="A1727" s="3563" t="s">
        <v>5938</v>
      </c>
      <c r="B1727" s="3563" t="s">
        <v>4811</v>
      </c>
      <c r="C1727" s="3563" t="s">
        <v>4197</v>
      </c>
      <c r="D1727" s="3563" t="s">
        <v>4796</v>
      </c>
      <c r="E1727" s="3563" t="s">
        <v>4747</v>
      </c>
      <c r="F1727" s="3563" t="s">
        <v>4797</v>
      </c>
      <c r="G1727" s="3564">
        <v>90.36</v>
      </c>
      <c r="H1727" s="3564">
        <v>72.78</v>
      </c>
      <c r="I1727" s="3564">
        <v>17.579999999999998</v>
      </c>
      <c r="J1727" s="3565">
        <v>903552</v>
      </c>
      <c r="K1727" s="3565">
        <v>9999.4699999999993</v>
      </c>
      <c r="L1727" s="3565">
        <v>12414.84</v>
      </c>
      <c r="M1727" s="3565">
        <v>903552</v>
      </c>
      <c r="N1727" s="3565">
        <v>9999.4699999999993</v>
      </c>
      <c r="O1727" s="3566">
        <v>44192</v>
      </c>
    </row>
    <row r="1728" spans="1:15">
      <c r="A1728" s="3563" t="s">
        <v>5939</v>
      </c>
      <c r="B1728" s="3563" t="s">
        <v>4196</v>
      </c>
      <c r="C1728" s="3563" t="s">
        <v>4197</v>
      </c>
      <c r="D1728" s="3563" t="s">
        <v>4796</v>
      </c>
      <c r="E1728" s="3563" t="s">
        <v>4747</v>
      </c>
      <c r="F1728" s="3563" t="s">
        <v>4797</v>
      </c>
      <c r="G1728" s="3564">
        <v>101.48</v>
      </c>
      <c r="H1728" s="3564">
        <v>81.739999999999995</v>
      </c>
      <c r="I1728" s="3564">
        <v>19.739999999999998</v>
      </c>
      <c r="J1728" s="3565">
        <v>1084822</v>
      </c>
      <c r="K1728" s="3565">
        <v>10690.01</v>
      </c>
      <c r="L1728" s="3565">
        <v>13271.62</v>
      </c>
      <c r="M1728" s="3565">
        <v>0</v>
      </c>
      <c r="N1728" s="3565">
        <v>0</v>
      </c>
      <c r="O1728" s="3563" t="s">
        <v>3453</v>
      </c>
    </row>
    <row r="1729" spans="1:15">
      <c r="A1729" s="3563" t="s">
        <v>5940</v>
      </c>
      <c r="B1729" s="3563" t="s">
        <v>4196</v>
      </c>
      <c r="C1729" s="3563" t="s">
        <v>4197</v>
      </c>
      <c r="D1729" s="3563" t="s">
        <v>4796</v>
      </c>
      <c r="E1729" s="3563" t="s">
        <v>4747</v>
      </c>
      <c r="F1729" s="3563" t="s">
        <v>4797</v>
      </c>
      <c r="G1729" s="3564">
        <v>101.48</v>
      </c>
      <c r="H1729" s="3564">
        <v>81.739999999999995</v>
      </c>
      <c r="I1729" s="3564">
        <v>19.739999999999998</v>
      </c>
      <c r="J1729" s="3565">
        <v>1084822</v>
      </c>
      <c r="K1729" s="3565">
        <v>10690.01</v>
      </c>
      <c r="L1729" s="3565">
        <v>13271.62</v>
      </c>
      <c r="M1729" s="3565">
        <v>0</v>
      </c>
      <c r="N1729" s="3565">
        <v>0</v>
      </c>
      <c r="O1729" s="3563" t="s">
        <v>3453</v>
      </c>
    </row>
    <row r="1730" spans="1:15">
      <c r="A1730" s="3563" t="s">
        <v>5941</v>
      </c>
      <c r="B1730" s="3563" t="s">
        <v>4196</v>
      </c>
      <c r="C1730" s="3563" t="s">
        <v>4197</v>
      </c>
      <c r="D1730" s="3563" t="s">
        <v>4796</v>
      </c>
      <c r="E1730" s="3563" t="s">
        <v>4747</v>
      </c>
      <c r="F1730" s="3563" t="s">
        <v>4797</v>
      </c>
      <c r="G1730" s="3564">
        <v>109.8</v>
      </c>
      <c r="H1730" s="3564">
        <v>88.44</v>
      </c>
      <c r="I1730" s="3564">
        <v>21.36</v>
      </c>
      <c r="J1730" s="3565">
        <v>1176508</v>
      </c>
      <c r="K1730" s="3565">
        <v>10715.01</v>
      </c>
      <c r="L1730" s="3565">
        <v>13302.89</v>
      </c>
      <c r="M1730" s="3565">
        <v>0</v>
      </c>
      <c r="N1730" s="3565">
        <v>0</v>
      </c>
      <c r="O1730" s="3563" t="s">
        <v>3453</v>
      </c>
    </row>
    <row r="1731" spans="1:15">
      <c r="A1731" s="3563" t="s">
        <v>5942</v>
      </c>
      <c r="B1731" s="3563" t="s">
        <v>4196</v>
      </c>
      <c r="C1731" s="3563" t="s">
        <v>4197</v>
      </c>
      <c r="D1731" s="3563" t="s">
        <v>4796</v>
      </c>
      <c r="E1731" s="3563" t="s">
        <v>4747</v>
      </c>
      <c r="F1731" s="3563" t="s">
        <v>4797</v>
      </c>
      <c r="G1731" s="3564">
        <v>78.25</v>
      </c>
      <c r="H1731" s="3564">
        <v>63.03</v>
      </c>
      <c r="I1731" s="3564">
        <v>15.22</v>
      </c>
      <c r="J1731" s="3565">
        <v>782458</v>
      </c>
      <c r="K1731" s="3565">
        <v>9999.4599999999991</v>
      </c>
      <c r="L1731" s="3565">
        <v>12414.06</v>
      </c>
      <c r="M1731" s="3565">
        <v>0</v>
      </c>
      <c r="N1731" s="3565">
        <v>0</v>
      </c>
      <c r="O1731" s="3563" t="s">
        <v>3453</v>
      </c>
    </row>
    <row r="1732" spans="1:15">
      <c r="A1732" s="3563" t="s">
        <v>5943</v>
      </c>
      <c r="B1732" s="3563" t="s">
        <v>4196</v>
      </c>
      <c r="C1732" s="3563" t="s">
        <v>4197</v>
      </c>
      <c r="D1732" s="3563" t="s">
        <v>4796</v>
      </c>
      <c r="E1732" s="3563" t="s">
        <v>4747</v>
      </c>
      <c r="F1732" s="3563" t="s">
        <v>4797</v>
      </c>
      <c r="G1732" s="3564">
        <v>78.25</v>
      </c>
      <c r="H1732" s="3564">
        <v>63.03</v>
      </c>
      <c r="I1732" s="3564">
        <v>15.22</v>
      </c>
      <c r="J1732" s="3565">
        <v>782458</v>
      </c>
      <c r="K1732" s="3565">
        <v>9999.4599999999991</v>
      </c>
      <c r="L1732" s="3565">
        <v>12414.06</v>
      </c>
      <c r="M1732" s="3565">
        <v>0</v>
      </c>
      <c r="N1732" s="3565">
        <v>0</v>
      </c>
      <c r="O1732" s="3563" t="s">
        <v>3453</v>
      </c>
    </row>
    <row r="1733" spans="1:15">
      <c r="A1733" s="3563" t="s">
        <v>5944</v>
      </c>
      <c r="B1733" s="3563" t="s">
        <v>4196</v>
      </c>
      <c r="C1733" s="3563" t="s">
        <v>4197</v>
      </c>
      <c r="D1733" s="3563" t="s">
        <v>4796</v>
      </c>
      <c r="E1733" s="3563" t="s">
        <v>4747</v>
      </c>
      <c r="F1733" s="3563" t="s">
        <v>4797</v>
      </c>
      <c r="G1733" s="3564">
        <v>90.36</v>
      </c>
      <c r="H1733" s="3564">
        <v>72.78</v>
      </c>
      <c r="I1733" s="3564">
        <v>17.579999999999998</v>
      </c>
      <c r="J1733" s="3565">
        <v>903552</v>
      </c>
      <c r="K1733" s="3565">
        <v>9999.4699999999993</v>
      </c>
      <c r="L1733" s="3565">
        <v>12414.84</v>
      </c>
      <c r="M1733" s="3565">
        <v>0</v>
      </c>
      <c r="N1733" s="3565">
        <v>0</v>
      </c>
      <c r="O1733" s="3563" t="s">
        <v>3453</v>
      </c>
    </row>
    <row r="1734" spans="1:15">
      <c r="A1734" s="3563" t="s">
        <v>5945</v>
      </c>
      <c r="B1734" s="3563" t="s">
        <v>4196</v>
      </c>
      <c r="C1734" s="3563" t="s">
        <v>4197</v>
      </c>
      <c r="D1734" s="3563" t="s">
        <v>4796</v>
      </c>
      <c r="E1734" s="3563" t="s">
        <v>4747</v>
      </c>
      <c r="F1734" s="3563" t="s">
        <v>4797</v>
      </c>
      <c r="G1734" s="3564">
        <v>101.48</v>
      </c>
      <c r="H1734" s="3564">
        <v>81.739999999999995</v>
      </c>
      <c r="I1734" s="3564">
        <v>19.739999999999998</v>
      </c>
      <c r="J1734" s="3565">
        <v>1100044</v>
      </c>
      <c r="K1734" s="3565">
        <v>10840.01</v>
      </c>
      <c r="L1734" s="3565">
        <v>13457.84</v>
      </c>
      <c r="M1734" s="3565">
        <v>0</v>
      </c>
      <c r="N1734" s="3565">
        <v>0</v>
      </c>
      <c r="O1734" s="3563" t="s">
        <v>3453</v>
      </c>
    </row>
    <row r="1735" spans="1:15">
      <c r="A1735" s="3563" t="s">
        <v>5946</v>
      </c>
      <c r="B1735" s="3563" t="s">
        <v>4196</v>
      </c>
      <c r="C1735" s="3563" t="s">
        <v>4197</v>
      </c>
      <c r="D1735" s="3563" t="s">
        <v>4796</v>
      </c>
      <c r="E1735" s="3563" t="s">
        <v>4747</v>
      </c>
      <c r="F1735" s="3563" t="s">
        <v>4797</v>
      </c>
      <c r="G1735" s="3564">
        <v>101.48</v>
      </c>
      <c r="H1735" s="3564">
        <v>81.739999999999995</v>
      </c>
      <c r="I1735" s="3564">
        <v>19.739999999999998</v>
      </c>
      <c r="J1735" s="3565">
        <v>1100044</v>
      </c>
      <c r="K1735" s="3565">
        <v>10840.01</v>
      </c>
      <c r="L1735" s="3565">
        <v>13457.84</v>
      </c>
      <c r="M1735" s="3565">
        <v>0</v>
      </c>
      <c r="N1735" s="3565">
        <v>0</v>
      </c>
      <c r="O1735" s="3563" t="s">
        <v>3453</v>
      </c>
    </row>
    <row r="1736" spans="1:15">
      <c r="A1736" s="3563" t="s">
        <v>5947</v>
      </c>
      <c r="B1736" s="3563" t="s">
        <v>4196</v>
      </c>
      <c r="C1736" s="3563" t="s">
        <v>4197</v>
      </c>
      <c r="D1736" s="3563" t="s">
        <v>4796</v>
      </c>
      <c r="E1736" s="3563" t="s">
        <v>4747</v>
      </c>
      <c r="F1736" s="3563" t="s">
        <v>4797</v>
      </c>
      <c r="G1736" s="3564">
        <v>109.8</v>
      </c>
      <c r="H1736" s="3564">
        <v>88.44</v>
      </c>
      <c r="I1736" s="3564">
        <v>21.36</v>
      </c>
      <c r="J1736" s="3565">
        <v>1177880</v>
      </c>
      <c r="K1736" s="3565">
        <v>10727.5</v>
      </c>
      <c r="L1736" s="3565">
        <v>13318.41</v>
      </c>
      <c r="M1736" s="3565">
        <v>0</v>
      </c>
      <c r="N1736" s="3565">
        <v>0</v>
      </c>
      <c r="O1736" s="3563" t="s">
        <v>3453</v>
      </c>
    </row>
    <row r="1737" spans="1:15">
      <c r="A1737" s="3563" t="s">
        <v>5948</v>
      </c>
      <c r="B1737" s="3563" t="s">
        <v>4196</v>
      </c>
      <c r="C1737" s="3563" t="s">
        <v>4197</v>
      </c>
      <c r="D1737" s="3563" t="s">
        <v>4796</v>
      </c>
      <c r="E1737" s="3563" t="s">
        <v>4747</v>
      </c>
      <c r="F1737" s="3563" t="s">
        <v>4797</v>
      </c>
      <c r="G1737" s="3564">
        <v>78.25</v>
      </c>
      <c r="H1737" s="3564">
        <v>63.03</v>
      </c>
      <c r="I1737" s="3564">
        <v>15.22</v>
      </c>
      <c r="J1737" s="3565">
        <v>782458</v>
      </c>
      <c r="K1737" s="3565">
        <v>9999.4599999999991</v>
      </c>
      <c r="L1737" s="3565">
        <v>12414.06</v>
      </c>
      <c r="M1737" s="3565">
        <v>0</v>
      </c>
      <c r="N1737" s="3565">
        <v>0</v>
      </c>
      <c r="O1737" s="3563" t="s">
        <v>3453</v>
      </c>
    </row>
    <row r="1738" spans="1:15">
      <c r="A1738" s="3563" t="s">
        <v>5949</v>
      </c>
      <c r="B1738" s="3563" t="s">
        <v>4196</v>
      </c>
      <c r="C1738" s="3563" t="s">
        <v>4197</v>
      </c>
      <c r="D1738" s="3563" t="s">
        <v>4796</v>
      </c>
      <c r="E1738" s="3563" t="s">
        <v>4747</v>
      </c>
      <c r="F1738" s="3563" t="s">
        <v>4797</v>
      </c>
      <c r="G1738" s="3564">
        <v>78.25</v>
      </c>
      <c r="H1738" s="3564">
        <v>63.03</v>
      </c>
      <c r="I1738" s="3564">
        <v>15.22</v>
      </c>
      <c r="J1738" s="3565">
        <v>782458</v>
      </c>
      <c r="K1738" s="3565">
        <v>9999.4599999999991</v>
      </c>
      <c r="L1738" s="3565">
        <v>12414.06</v>
      </c>
      <c r="M1738" s="3565">
        <v>0</v>
      </c>
      <c r="N1738" s="3565">
        <v>0</v>
      </c>
      <c r="O1738" s="3563" t="s">
        <v>3453</v>
      </c>
    </row>
    <row r="1739" spans="1:15">
      <c r="A1739" s="3563" t="s">
        <v>5950</v>
      </c>
      <c r="B1739" s="3563" t="s">
        <v>4196</v>
      </c>
      <c r="C1739" s="3563" t="s">
        <v>4197</v>
      </c>
      <c r="D1739" s="3563" t="s">
        <v>4796</v>
      </c>
      <c r="E1739" s="3563" t="s">
        <v>4747</v>
      </c>
      <c r="F1739" s="3563" t="s">
        <v>4797</v>
      </c>
      <c r="G1739" s="3564">
        <v>90.36</v>
      </c>
      <c r="H1739" s="3564">
        <v>72.78</v>
      </c>
      <c r="I1739" s="3564">
        <v>17.579999999999998</v>
      </c>
      <c r="J1739" s="3565">
        <v>903552</v>
      </c>
      <c r="K1739" s="3565">
        <v>9999.4699999999993</v>
      </c>
      <c r="L1739" s="3565">
        <v>12414.84</v>
      </c>
      <c r="M1739" s="3565">
        <v>0</v>
      </c>
      <c r="N1739" s="3565">
        <v>0</v>
      </c>
      <c r="O1739" s="3563" t="s">
        <v>3453</v>
      </c>
    </row>
    <row r="1740" spans="1:15">
      <c r="A1740" s="3563" t="s">
        <v>5951</v>
      </c>
      <c r="B1740" s="3563" t="s">
        <v>4196</v>
      </c>
      <c r="C1740" s="3563" t="s">
        <v>4197</v>
      </c>
      <c r="D1740" s="3563" t="s">
        <v>4796</v>
      </c>
      <c r="E1740" s="3563" t="s">
        <v>4747</v>
      </c>
      <c r="F1740" s="3563" t="s">
        <v>4797</v>
      </c>
      <c r="G1740" s="3564">
        <v>101.48</v>
      </c>
      <c r="H1740" s="3564">
        <v>81.739999999999995</v>
      </c>
      <c r="I1740" s="3564">
        <v>19.739999999999998</v>
      </c>
      <c r="J1740" s="3565">
        <v>1101312</v>
      </c>
      <c r="K1740" s="3565">
        <v>10852.5</v>
      </c>
      <c r="L1740" s="3565">
        <v>13473.35</v>
      </c>
      <c r="M1740" s="3565">
        <v>0</v>
      </c>
      <c r="N1740" s="3565">
        <v>0</v>
      </c>
      <c r="O1740" s="3563" t="s">
        <v>3453</v>
      </c>
    </row>
    <row r="1741" spans="1:15">
      <c r="A1741" s="3563" t="s">
        <v>5952</v>
      </c>
      <c r="B1741" s="3563" t="s">
        <v>4196</v>
      </c>
      <c r="C1741" s="3563" t="s">
        <v>4197</v>
      </c>
      <c r="D1741" s="3563" t="s">
        <v>4796</v>
      </c>
      <c r="E1741" s="3563" t="s">
        <v>4747</v>
      </c>
      <c r="F1741" s="3563" t="s">
        <v>4797</v>
      </c>
      <c r="G1741" s="3564">
        <v>101.48</v>
      </c>
      <c r="H1741" s="3564">
        <v>81.739999999999995</v>
      </c>
      <c r="I1741" s="3564">
        <v>19.739999999999998</v>
      </c>
      <c r="J1741" s="3565">
        <v>1101312</v>
      </c>
      <c r="K1741" s="3565">
        <v>10852.5</v>
      </c>
      <c r="L1741" s="3565">
        <v>13473.35</v>
      </c>
      <c r="M1741" s="3565">
        <v>0</v>
      </c>
      <c r="N1741" s="3565">
        <v>0</v>
      </c>
      <c r="O1741" s="3563" t="s">
        <v>3453</v>
      </c>
    </row>
    <row r="1742" spans="1:15">
      <c r="A1742" s="3563" t="s">
        <v>5953</v>
      </c>
      <c r="B1742" s="3563" t="s">
        <v>4196</v>
      </c>
      <c r="C1742" s="3563" t="s">
        <v>4197</v>
      </c>
      <c r="D1742" s="3563" t="s">
        <v>4796</v>
      </c>
      <c r="E1742" s="3563" t="s">
        <v>4747</v>
      </c>
      <c r="F1742" s="3563" t="s">
        <v>4797</v>
      </c>
      <c r="G1742" s="3564">
        <v>109.8</v>
      </c>
      <c r="H1742" s="3564">
        <v>88.44</v>
      </c>
      <c r="I1742" s="3564">
        <v>21.36</v>
      </c>
      <c r="J1742" s="3565">
        <v>1179253</v>
      </c>
      <c r="K1742" s="3565">
        <v>10740.01</v>
      </c>
      <c r="L1742" s="3565">
        <v>13333.93</v>
      </c>
      <c r="M1742" s="3565">
        <v>0</v>
      </c>
      <c r="N1742" s="3565">
        <v>0</v>
      </c>
      <c r="O1742" s="3563" t="s">
        <v>3453</v>
      </c>
    </row>
    <row r="1743" spans="1:15">
      <c r="A1743" s="3563" t="s">
        <v>5954</v>
      </c>
      <c r="B1743" s="3563" t="s">
        <v>4196</v>
      </c>
      <c r="C1743" s="3563" t="s">
        <v>4197</v>
      </c>
      <c r="D1743" s="3563" t="s">
        <v>4796</v>
      </c>
      <c r="E1743" s="3563" t="s">
        <v>4747</v>
      </c>
      <c r="F1743" s="3563" t="s">
        <v>4797</v>
      </c>
      <c r="G1743" s="3564">
        <v>78.25</v>
      </c>
      <c r="H1743" s="3564">
        <v>63.03</v>
      </c>
      <c r="I1743" s="3564">
        <v>15.22</v>
      </c>
      <c r="J1743" s="3565">
        <v>786609</v>
      </c>
      <c r="K1743" s="3565">
        <v>10052.51</v>
      </c>
      <c r="L1743" s="3565">
        <v>12479.91</v>
      </c>
      <c r="M1743" s="3565">
        <v>0</v>
      </c>
      <c r="N1743" s="3565">
        <v>0</v>
      </c>
      <c r="O1743" s="3563" t="s">
        <v>3453</v>
      </c>
    </row>
    <row r="1744" spans="1:15">
      <c r="A1744" s="3563" t="s">
        <v>5955</v>
      </c>
      <c r="B1744" s="3563" t="s">
        <v>4196</v>
      </c>
      <c r="C1744" s="3563" t="s">
        <v>4197</v>
      </c>
      <c r="D1744" s="3563" t="s">
        <v>4796</v>
      </c>
      <c r="E1744" s="3563" t="s">
        <v>4747</v>
      </c>
      <c r="F1744" s="3563" t="s">
        <v>4797</v>
      </c>
      <c r="G1744" s="3564">
        <v>78.25</v>
      </c>
      <c r="H1744" s="3564">
        <v>63.03</v>
      </c>
      <c r="I1744" s="3564">
        <v>15.22</v>
      </c>
      <c r="J1744" s="3565">
        <v>786609</v>
      </c>
      <c r="K1744" s="3565">
        <v>10052.51</v>
      </c>
      <c r="L1744" s="3565">
        <v>12479.91</v>
      </c>
      <c r="M1744" s="3565">
        <v>0</v>
      </c>
      <c r="N1744" s="3565">
        <v>0</v>
      </c>
      <c r="O1744" s="3563" t="s">
        <v>3453</v>
      </c>
    </row>
    <row r="1745" spans="1:15">
      <c r="A1745" s="3563" t="s">
        <v>5956</v>
      </c>
      <c r="B1745" s="3563" t="s">
        <v>3453</v>
      </c>
      <c r="C1745" s="3563" t="s">
        <v>4197</v>
      </c>
      <c r="D1745" s="3563" t="s">
        <v>4796</v>
      </c>
      <c r="E1745" s="3563" t="s">
        <v>4747</v>
      </c>
      <c r="F1745" s="3563" t="s">
        <v>4797</v>
      </c>
      <c r="G1745" s="3564">
        <v>90.36</v>
      </c>
      <c r="H1745" s="3564">
        <v>72.78</v>
      </c>
      <c r="I1745" s="3564">
        <v>17.579999999999998</v>
      </c>
      <c r="J1745" s="3565">
        <v>903552</v>
      </c>
      <c r="K1745" s="3565">
        <v>9999.4699999999993</v>
      </c>
      <c r="L1745" s="3565">
        <v>12414.84</v>
      </c>
      <c r="M1745" s="3565">
        <v>0</v>
      </c>
      <c r="N1745" s="3565">
        <v>0</v>
      </c>
      <c r="O1745" s="3563" t="s">
        <v>3453</v>
      </c>
    </row>
    <row r="1746" spans="1:15">
      <c r="A1746" s="3563" t="s">
        <v>5957</v>
      </c>
      <c r="B1746" s="3563" t="s">
        <v>4196</v>
      </c>
      <c r="C1746" s="3563" t="s">
        <v>4197</v>
      </c>
      <c r="D1746" s="3563" t="s">
        <v>4796</v>
      </c>
      <c r="E1746" s="3563" t="s">
        <v>4747</v>
      </c>
      <c r="F1746" s="3563" t="s">
        <v>4797</v>
      </c>
      <c r="G1746" s="3564">
        <v>101.48</v>
      </c>
      <c r="H1746" s="3564">
        <v>81.739999999999995</v>
      </c>
      <c r="I1746" s="3564">
        <v>19.739999999999998</v>
      </c>
      <c r="J1746" s="3565">
        <v>1102580</v>
      </c>
      <c r="K1746" s="3565">
        <v>10865</v>
      </c>
      <c r="L1746" s="3565">
        <v>13488.87</v>
      </c>
      <c r="M1746" s="3565">
        <v>0</v>
      </c>
      <c r="N1746" s="3565">
        <v>0</v>
      </c>
      <c r="O1746" s="3563" t="s">
        <v>3453</v>
      </c>
    </row>
    <row r="1747" spans="1:15">
      <c r="A1747" s="3563" t="s">
        <v>5958</v>
      </c>
      <c r="B1747" s="3563" t="s">
        <v>4196</v>
      </c>
      <c r="C1747" s="3563" t="s">
        <v>4197</v>
      </c>
      <c r="D1747" s="3563" t="s">
        <v>4796</v>
      </c>
      <c r="E1747" s="3563" t="s">
        <v>4747</v>
      </c>
      <c r="F1747" s="3563" t="s">
        <v>4797</v>
      </c>
      <c r="G1747" s="3564">
        <v>101.48</v>
      </c>
      <c r="H1747" s="3564">
        <v>81.739999999999995</v>
      </c>
      <c r="I1747" s="3564">
        <v>19.739999999999998</v>
      </c>
      <c r="J1747" s="3565">
        <v>1102580</v>
      </c>
      <c r="K1747" s="3565">
        <v>10865</v>
      </c>
      <c r="L1747" s="3565">
        <v>13488.87</v>
      </c>
      <c r="M1747" s="3565">
        <v>0</v>
      </c>
      <c r="N1747" s="3565">
        <v>0</v>
      </c>
      <c r="O1747" s="3563" t="s">
        <v>3453</v>
      </c>
    </row>
    <row r="1748" spans="1:15">
      <c r="A1748" s="3563" t="s">
        <v>5959</v>
      </c>
      <c r="B1748" s="3563" t="s">
        <v>4196</v>
      </c>
      <c r="C1748" s="3563" t="s">
        <v>4197</v>
      </c>
      <c r="D1748" s="3563" t="s">
        <v>4796</v>
      </c>
      <c r="E1748" s="3563" t="s">
        <v>4747</v>
      </c>
      <c r="F1748" s="3563" t="s">
        <v>4797</v>
      </c>
      <c r="G1748" s="3564">
        <v>109.8</v>
      </c>
      <c r="H1748" s="3564">
        <v>88.44</v>
      </c>
      <c r="I1748" s="3564">
        <v>21.36</v>
      </c>
      <c r="J1748" s="3565">
        <v>1180625</v>
      </c>
      <c r="K1748" s="3565">
        <v>10752.5</v>
      </c>
      <c r="L1748" s="3565">
        <v>13349.45</v>
      </c>
      <c r="M1748" s="3565">
        <v>0</v>
      </c>
      <c r="N1748" s="3565">
        <v>0</v>
      </c>
      <c r="O1748" s="3563" t="s">
        <v>3453</v>
      </c>
    </row>
    <row r="1749" spans="1:15">
      <c r="A1749" s="3563" t="s">
        <v>5960</v>
      </c>
      <c r="B1749" s="3563" t="s">
        <v>4196</v>
      </c>
      <c r="C1749" s="3563" t="s">
        <v>4197</v>
      </c>
      <c r="D1749" s="3563" t="s">
        <v>4796</v>
      </c>
      <c r="E1749" s="3563" t="s">
        <v>4747</v>
      </c>
      <c r="F1749" s="3563" t="s">
        <v>4797</v>
      </c>
      <c r="G1749" s="3564">
        <v>78.25</v>
      </c>
      <c r="H1749" s="3564">
        <v>63.03</v>
      </c>
      <c r="I1749" s="3564">
        <v>15.22</v>
      </c>
      <c r="J1749" s="3565">
        <v>787587</v>
      </c>
      <c r="K1749" s="3565">
        <v>10065.01</v>
      </c>
      <c r="L1749" s="3565">
        <v>12495.43</v>
      </c>
      <c r="M1749" s="3565">
        <v>0</v>
      </c>
      <c r="N1749" s="3565">
        <v>0</v>
      </c>
      <c r="O1749" s="3563" t="s">
        <v>3453</v>
      </c>
    </row>
    <row r="1750" spans="1:15">
      <c r="A1750" s="3563" t="s">
        <v>5961</v>
      </c>
      <c r="B1750" s="3563" t="s">
        <v>4196</v>
      </c>
      <c r="C1750" s="3563" t="s">
        <v>4197</v>
      </c>
      <c r="D1750" s="3563" t="s">
        <v>4796</v>
      </c>
      <c r="E1750" s="3563" t="s">
        <v>4747</v>
      </c>
      <c r="F1750" s="3563" t="s">
        <v>4797</v>
      </c>
      <c r="G1750" s="3564">
        <v>78.25</v>
      </c>
      <c r="H1750" s="3564">
        <v>63.03</v>
      </c>
      <c r="I1750" s="3564">
        <v>15.22</v>
      </c>
      <c r="J1750" s="3565">
        <v>787587</v>
      </c>
      <c r="K1750" s="3565">
        <v>10065.01</v>
      </c>
      <c r="L1750" s="3565">
        <v>12495.43</v>
      </c>
      <c r="M1750" s="3565">
        <v>0</v>
      </c>
      <c r="N1750" s="3565">
        <v>0</v>
      </c>
      <c r="O1750" s="3563" t="s">
        <v>3453</v>
      </c>
    </row>
    <row r="1751" spans="1:15">
      <c r="A1751" s="3563" t="s">
        <v>5962</v>
      </c>
      <c r="B1751" s="3563" t="s">
        <v>4196</v>
      </c>
      <c r="C1751" s="3563" t="s">
        <v>4197</v>
      </c>
      <c r="D1751" s="3563" t="s">
        <v>4796</v>
      </c>
      <c r="E1751" s="3563" t="s">
        <v>4747</v>
      </c>
      <c r="F1751" s="3563" t="s">
        <v>4797</v>
      </c>
      <c r="G1751" s="3564">
        <v>90.36</v>
      </c>
      <c r="H1751" s="3564">
        <v>72.78</v>
      </c>
      <c r="I1751" s="3564">
        <v>17.579999999999998</v>
      </c>
      <c r="J1751" s="3565">
        <v>903552</v>
      </c>
      <c r="K1751" s="3565">
        <v>9999.4699999999993</v>
      </c>
      <c r="L1751" s="3565">
        <v>12414.84</v>
      </c>
      <c r="M1751" s="3565">
        <v>0</v>
      </c>
      <c r="N1751" s="3565">
        <v>0</v>
      </c>
      <c r="O1751" s="3563" t="s">
        <v>3453</v>
      </c>
    </row>
    <row r="1752" spans="1:15">
      <c r="A1752" s="3563" t="s">
        <v>5963</v>
      </c>
      <c r="B1752" s="3563" t="s">
        <v>4196</v>
      </c>
      <c r="C1752" s="3563" t="s">
        <v>4197</v>
      </c>
      <c r="D1752" s="3563" t="s">
        <v>4796</v>
      </c>
      <c r="E1752" s="3563" t="s">
        <v>4747</v>
      </c>
      <c r="F1752" s="3563" t="s">
        <v>4797</v>
      </c>
      <c r="G1752" s="3564">
        <v>101.48</v>
      </c>
      <c r="H1752" s="3564">
        <v>81.739999999999995</v>
      </c>
      <c r="I1752" s="3564">
        <v>19.739999999999998</v>
      </c>
      <c r="J1752" s="3565">
        <v>1103849</v>
      </c>
      <c r="K1752" s="3565">
        <v>10877.5</v>
      </c>
      <c r="L1752" s="3565">
        <v>13504.39</v>
      </c>
      <c r="M1752" s="3565">
        <v>0</v>
      </c>
      <c r="N1752" s="3565">
        <v>0</v>
      </c>
      <c r="O1752" s="3563" t="s">
        <v>3453</v>
      </c>
    </row>
    <row r="1753" spans="1:15">
      <c r="A1753" s="3563" t="s">
        <v>5964</v>
      </c>
      <c r="B1753" s="3563" t="s">
        <v>4196</v>
      </c>
      <c r="C1753" s="3563" t="s">
        <v>4197</v>
      </c>
      <c r="D1753" s="3563" t="s">
        <v>4796</v>
      </c>
      <c r="E1753" s="3563" t="s">
        <v>4747</v>
      </c>
      <c r="F1753" s="3563" t="s">
        <v>4797</v>
      </c>
      <c r="G1753" s="3564">
        <v>101.48</v>
      </c>
      <c r="H1753" s="3564">
        <v>81.739999999999995</v>
      </c>
      <c r="I1753" s="3564">
        <v>19.739999999999998</v>
      </c>
      <c r="J1753" s="3565">
        <v>1103849</v>
      </c>
      <c r="K1753" s="3565">
        <v>10877.5</v>
      </c>
      <c r="L1753" s="3565">
        <v>13504.39</v>
      </c>
      <c r="M1753" s="3565">
        <v>0</v>
      </c>
      <c r="N1753" s="3565">
        <v>0</v>
      </c>
      <c r="O1753" s="3563" t="s">
        <v>3453</v>
      </c>
    </row>
    <row r="1754" spans="1:15">
      <c r="A1754" s="3563" t="s">
        <v>5965</v>
      </c>
      <c r="B1754" s="3563" t="s">
        <v>4811</v>
      </c>
      <c r="C1754" s="3563" t="s">
        <v>4197</v>
      </c>
      <c r="D1754" s="3563" t="s">
        <v>4796</v>
      </c>
      <c r="E1754" s="3563" t="s">
        <v>4747</v>
      </c>
      <c r="F1754" s="3563" t="s">
        <v>4797</v>
      </c>
      <c r="G1754" s="3564">
        <v>109.8</v>
      </c>
      <c r="H1754" s="3564">
        <v>88.44</v>
      </c>
      <c r="I1754" s="3564">
        <v>21.36</v>
      </c>
      <c r="J1754" s="3565">
        <v>1181998</v>
      </c>
      <c r="K1754" s="3565">
        <v>10765.01</v>
      </c>
      <c r="L1754" s="3565">
        <v>13364.97</v>
      </c>
      <c r="M1754" s="3565">
        <v>1181998</v>
      </c>
      <c r="N1754" s="3565">
        <v>10765.01</v>
      </c>
      <c r="O1754" s="3563" t="s">
        <v>3453</v>
      </c>
    </row>
    <row r="1755" spans="1:15">
      <c r="A1755" s="3563" t="s">
        <v>5966</v>
      </c>
      <c r="B1755" s="3563" t="s">
        <v>4196</v>
      </c>
      <c r="C1755" s="3563" t="s">
        <v>4197</v>
      </c>
      <c r="D1755" s="3563" t="s">
        <v>4796</v>
      </c>
      <c r="E1755" s="3563" t="s">
        <v>4747</v>
      </c>
      <c r="F1755" s="3563" t="s">
        <v>4797</v>
      </c>
      <c r="G1755" s="3564">
        <v>78.25</v>
      </c>
      <c r="H1755" s="3564">
        <v>63.03</v>
      </c>
      <c r="I1755" s="3564">
        <v>15.22</v>
      </c>
      <c r="J1755" s="3565">
        <v>788565</v>
      </c>
      <c r="K1755" s="3565">
        <v>10077.51</v>
      </c>
      <c r="L1755" s="3565">
        <v>12510.95</v>
      </c>
      <c r="M1755" s="3565">
        <v>0</v>
      </c>
      <c r="N1755" s="3565">
        <v>0</v>
      </c>
      <c r="O1755" s="3563" t="s">
        <v>3453</v>
      </c>
    </row>
    <row r="1756" spans="1:15">
      <c r="A1756" s="3563" t="s">
        <v>5967</v>
      </c>
      <c r="B1756" s="3563" t="s">
        <v>4196</v>
      </c>
      <c r="C1756" s="3563" t="s">
        <v>4197</v>
      </c>
      <c r="D1756" s="3563" t="s">
        <v>4796</v>
      </c>
      <c r="E1756" s="3563" t="s">
        <v>4747</v>
      </c>
      <c r="F1756" s="3563" t="s">
        <v>4797</v>
      </c>
      <c r="G1756" s="3564">
        <v>78.25</v>
      </c>
      <c r="H1756" s="3564">
        <v>63.03</v>
      </c>
      <c r="I1756" s="3564">
        <v>15.22</v>
      </c>
      <c r="J1756" s="3565">
        <v>788565</v>
      </c>
      <c r="K1756" s="3565">
        <v>10077.51</v>
      </c>
      <c r="L1756" s="3565">
        <v>12510.95</v>
      </c>
      <c r="M1756" s="3565">
        <v>0</v>
      </c>
      <c r="N1756" s="3565">
        <v>0</v>
      </c>
      <c r="O1756" s="3563" t="s">
        <v>3453</v>
      </c>
    </row>
    <row r="1757" spans="1:15">
      <c r="A1757" s="3563" t="s">
        <v>5968</v>
      </c>
      <c r="B1757" s="3563" t="s">
        <v>4196</v>
      </c>
      <c r="C1757" s="3563" t="s">
        <v>4197</v>
      </c>
      <c r="D1757" s="3563" t="s">
        <v>4796</v>
      </c>
      <c r="E1757" s="3563" t="s">
        <v>4747</v>
      </c>
      <c r="F1757" s="3563" t="s">
        <v>4797</v>
      </c>
      <c r="G1757" s="3564">
        <v>90.36</v>
      </c>
      <c r="H1757" s="3564">
        <v>72.78</v>
      </c>
      <c r="I1757" s="3564">
        <v>17.579999999999998</v>
      </c>
      <c r="J1757" s="3565">
        <v>903552</v>
      </c>
      <c r="K1757" s="3565">
        <v>9999.4699999999993</v>
      </c>
      <c r="L1757" s="3565">
        <v>12414.84</v>
      </c>
      <c r="M1757" s="3565">
        <v>0</v>
      </c>
      <c r="N1757" s="3565">
        <v>0</v>
      </c>
      <c r="O1757" s="3563" t="s">
        <v>3453</v>
      </c>
    </row>
    <row r="1758" spans="1:15">
      <c r="A1758" s="3563" t="s">
        <v>5969</v>
      </c>
      <c r="B1758" s="3563" t="s">
        <v>4196</v>
      </c>
      <c r="C1758" s="3563" t="s">
        <v>4197</v>
      </c>
      <c r="D1758" s="3563" t="s">
        <v>4796</v>
      </c>
      <c r="E1758" s="3563" t="s">
        <v>4747</v>
      </c>
      <c r="F1758" s="3563" t="s">
        <v>4797</v>
      </c>
      <c r="G1758" s="3564">
        <v>101.48</v>
      </c>
      <c r="H1758" s="3564">
        <v>81.739999999999995</v>
      </c>
      <c r="I1758" s="3564">
        <v>19.739999999999998</v>
      </c>
      <c r="J1758" s="3565">
        <v>1105118</v>
      </c>
      <c r="K1758" s="3565">
        <v>10890.01</v>
      </c>
      <c r="L1758" s="3565">
        <v>13519.92</v>
      </c>
      <c r="M1758" s="3565">
        <v>0</v>
      </c>
      <c r="N1758" s="3565">
        <v>0</v>
      </c>
      <c r="O1758" s="3563" t="s">
        <v>3453</v>
      </c>
    </row>
    <row r="1759" spans="1:15">
      <c r="A1759" s="3563" t="s">
        <v>5970</v>
      </c>
      <c r="B1759" s="3563" t="s">
        <v>4196</v>
      </c>
      <c r="C1759" s="3563" t="s">
        <v>4197</v>
      </c>
      <c r="D1759" s="3563" t="s">
        <v>4796</v>
      </c>
      <c r="E1759" s="3563" t="s">
        <v>4747</v>
      </c>
      <c r="F1759" s="3563" t="s">
        <v>4797</v>
      </c>
      <c r="G1759" s="3564">
        <v>101.48</v>
      </c>
      <c r="H1759" s="3564">
        <v>81.739999999999995</v>
      </c>
      <c r="I1759" s="3564">
        <v>19.739999999999998</v>
      </c>
      <c r="J1759" s="3565">
        <v>1105118</v>
      </c>
      <c r="K1759" s="3565">
        <v>10890.01</v>
      </c>
      <c r="L1759" s="3565">
        <v>13519.92</v>
      </c>
      <c r="M1759" s="3565">
        <v>0</v>
      </c>
      <c r="N1759" s="3565">
        <v>0</v>
      </c>
      <c r="O1759" s="3563" t="s">
        <v>3453</v>
      </c>
    </row>
    <row r="1760" spans="1:15">
      <c r="A1760" s="3563" t="s">
        <v>5971</v>
      </c>
      <c r="B1760" s="3563" t="s">
        <v>4196</v>
      </c>
      <c r="C1760" s="3563" t="s">
        <v>4197</v>
      </c>
      <c r="D1760" s="3563" t="s">
        <v>4796</v>
      </c>
      <c r="E1760" s="3563" t="s">
        <v>5972</v>
      </c>
      <c r="F1760" s="3563" t="s">
        <v>4797</v>
      </c>
      <c r="G1760" s="3564">
        <v>95.04</v>
      </c>
      <c r="H1760" s="3564">
        <v>81.739999999999995</v>
      </c>
      <c r="I1760" s="3564">
        <v>13.3</v>
      </c>
      <c r="J1760" s="3565">
        <v>973210</v>
      </c>
      <c r="K1760" s="3565">
        <v>10240</v>
      </c>
      <c r="L1760" s="3565">
        <v>11906.17</v>
      </c>
      <c r="M1760" s="3565">
        <v>0</v>
      </c>
      <c r="N1760" s="3565">
        <v>0</v>
      </c>
      <c r="O1760" s="3563" t="s">
        <v>3453</v>
      </c>
    </row>
    <row r="1761" spans="1:15">
      <c r="A1761" s="3563" t="s">
        <v>5973</v>
      </c>
      <c r="B1761" s="3563" t="s">
        <v>4196</v>
      </c>
      <c r="C1761" s="3563" t="s">
        <v>4197</v>
      </c>
      <c r="D1761" s="3563" t="s">
        <v>4796</v>
      </c>
      <c r="E1761" s="3563" t="s">
        <v>5972</v>
      </c>
      <c r="F1761" s="3563" t="s">
        <v>4797</v>
      </c>
      <c r="G1761" s="3564">
        <v>95.04</v>
      </c>
      <c r="H1761" s="3564">
        <v>81.739999999999995</v>
      </c>
      <c r="I1761" s="3564">
        <v>13.3</v>
      </c>
      <c r="J1761" s="3565">
        <v>973210</v>
      </c>
      <c r="K1761" s="3565">
        <v>10240</v>
      </c>
      <c r="L1761" s="3565">
        <v>11906.17</v>
      </c>
      <c r="M1761" s="3565">
        <v>0</v>
      </c>
      <c r="N1761" s="3565">
        <v>0</v>
      </c>
      <c r="O1761" s="3563" t="s">
        <v>3453</v>
      </c>
    </row>
    <row r="1762" spans="1:15">
      <c r="A1762" s="3563" t="s">
        <v>5974</v>
      </c>
      <c r="B1762" s="3563" t="s">
        <v>4196</v>
      </c>
      <c r="C1762" s="3563" t="s">
        <v>4197</v>
      </c>
      <c r="D1762" s="3563" t="s">
        <v>4796</v>
      </c>
      <c r="E1762" s="3563" t="s">
        <v>5972</v>
      </c>
      <c r="F1762" s="3563" t="s">
        <v>4797</v>
      </c>
      <c r="G1762" s="3564">
        <v>84.62</v>
      </c>
      <c r="H1762" s="3564">
        <v>72.78</v>
      </c>
      <c r="I1762" s="3564">
        <v>11.84</v>
      </c>
      <c r="J1762" s="3565">
        <v>846154</v>
      </c>
      <c r="K1762" s="3565">
        <v>9999.4599999999991</v>
      </c>
      <c r="L1762" s="3565">
        <v>11626.19</v>
      </c>
      <c r="M1762" s="3565">
        <v>0</v>
      </c>
      <c r="N1762" s="3565">
        <v>0</v>
      </c>
      <c r="O1762" s="3563" t="s">
        <v>3453</v>
      </c>
    </row>
    <row r="1763" spans="1:15">
      <c r="A1763" s="3563" t="s">
        <v>5975</v>
      </c>
      <c r="B1763" s="3563" t="s">
        <v>4196</v>
      </c>
      <c r="C1763" s="3563" t="s">
        <v>4197</v>
      </c>
      <c r="D1763" s="3563" t="s">
        <v>4796</v>
      </c>
      <c r="E1763" s="3563" t="s">
        <v>5972</v>
      </c>
      <c r="F1763" s="3563" t="s">
        <v>4797</v>
      </c>
      <c r="G1763" s="3564">
        <v>73.290000000000006</v>
      </c>
      <c r="H1763" s="3564">
        <v>63.03</v>
      </c>
      <c r="I1763" s="3564">
        <v>10.26</v>
      </c>
      <c r="J1763" s="3565">
        <v>732860</v>
      </c>
      <c r="K1763" s="3565">
        <v>9999.4500000000007</v>
      </c>
      <c r="L1763" s="3565">
        <v>11627.16</v>
      </c>
      <c r="M1763" s="3565">
        <v>0</v>
      </c>
      <c r="N1763" s="3565">
        <v>0</v>
      </c>
      <c r="O1763" s="3563" t="s">
        <v>3453</v>
      </c>
    </row>
    <row r="1764" spans="1:15">
      <c r="A1764" s="3563" t="s">
        <v>5976</v>
      </c>
      <c r="B1764" s="3563" t="s">
        <v>4196</v>
      </c>
      <c r="C1764" s="3563" t="s">
        <v>4197</v>
      </c>
      <c r="D1764" s="3563" t="s">
        <v>4796</v>
      </c>
      <c r="E1764" s="3563" t="s">
        <v>5972</v>
      </c>
      <c r="F1764" s="3563" t="s">
        <v>4797</v>
      </c>
      <c r="G1764" s="3564">
        <v>73.290000000000006</v>
      </c>
      <c r="H1764" s="3564">
        <v>63.03</v>
      </c>
      <c r="I1764" s="3564">
        <v>10.26</v>
      </c>
      <c r="J1764" s="3565">
        <v>732860</v>
      </c>
      <c r="K1764" s="3565">
        <v>9999.4500000000007</v>
      </c>
      <c r="L1764" s="3565">
        <v>11627.16</v>
      </c>
      <c r="M1764" s="3565">
        <v>0</v>
      </c>
      <c r="N1764" s="3565">
        <v>0</v>
      </c>
      <c r="O1764" s="3563" t="s">
        <v>3453</v>
      </c>
    </row>
    <row r="1765" spans="1:15">
      <c r="A1765" s="3563" t="s">
        <v>5977</v>
      </c>
      <c r="B1765" s="3563" t="s">
        <v>4196</v>
      </c>
      <c r="C1765" s="3563" t="s">
        <v>4197</v>
      </c>
      <c r="D1765" s="3563" t="s">
        <v>4796</v>
      </c>
      <c r="E1765" s="3563" t="s">
        <v>5972</v>
      </c>
      <c r="F1765" s="3563" t="s">
        <v>4797</v>
      </c>
      <c r="G1765" s="3564">
        <v>101.48</v>
      </c>
      <c r="H1765" s="3564">
        <v>81.739999999999995</v>
      </c>
      <c r="I1765" s="3564">
        <v>19.739999999999998</v>
      </c>
      <c r="J1765" s="3565">
        <v>1106387</v>
      </c>
      <c r="K1765" s="3565">
        <v>10902.51</v>
      </c>
      <c r="L1765" s="3565">
        <v>13535.44</v>
      </c>
      <c r="M1765" s="3565">
        <v>0</v>
      </c>
      <c r="N1765" s="3565">
        <v>0</v>
      </c>
      <c r="O1765" s="3563" t="s">
        <v>3453</v>
      </c>
    </row>
    <row r="1766" spans="1:15">
      <c r="A1766" s="3563" t="s">
        <v>5978</v>
      </c>
      <c r="B1766" s="3563" t="s">
        <v>4196</v>
      </c>
      <c r="C1766" s="3563" t="s">
        <v>4197</v>
      </c>
      <c r="D1766" s="3563" t="s">
        <v>4796</v>
      </c>
      <c r="E1766" s="3563" t="s">
        <v>5972</v>
      </c>
      <c r="F1766" s="3563" t="s">
        <v>4797</v>
      </c>
      <c r="G1766" s="3564">
        <v>101.48</v>
      </c>
      <c r="H1766" s="3564">
        <v>81.739999999999995</v>
      </c>
      <c r="I1766" s="3564">
        <v>19.739999999999998</v>
      </c>
      <c r="J1766" s="3565">
        <v>1106387</v>
      </c>
      <c r="K1766" s="3565">
        <v>10902.51</v>
      </c>
      <c r="L1766" s="3565">
        <v>13535.44</v>
      </c>
      <c r="M1766" s="3565">
        <v>0</v>
      </c>
      <c r="N1766" s="3565">
        <v>0</v>
      </c>
      <c r="O1766" s="3563" t="s">
        <v>3453</v>
      </c>
    </row>
    <row r="1767" spans="1:15">
      <c r="A1767" s="3563" t="s">
        <v>5979</v>
      </c>
      <c r="B1767" s="3563" t="s">
        <v>4196</v>
      </c>
      <c r="C1767" s="3563" t="s">
        <v>4197</v>
      </c>
      <c r="D1767" s="3563" t="s">
        <v>4796</v>
      </c>
      <c r="E1767" s="3563" t="s">
        <v>5972</v>
      </c>
      <c r="F1767" s="3563" t="s">
        <v>4797</v>
      </c>
      <c r="G1767" s="3564">
        <v>90.35</v>
      </c>
      <c r="H1767" s="3564">
        <v>72.78</v>
      </c>
      <c r="I1767" s="3564">
        <v>17.57</v>
      </c>
      <c r="J1767" s="3565">
        <v>903452</v>
      </c>
      <c r="K1767" s="3565">
        <v>9999.4699999999993</v>
      </c>
      <c r="L1767" s="3565">
        <v>12413.47</v>
      </c>
      <c r="M1767" s="3565">
        <v>0</v>
      </c>
      <c r="N1767" s="3565">
        <v>0</v>
      </c>
      <c r="O1767" s="3563" t="s">
        <v>3453</v>
      </c>
    </row>
    <row r="1768" spans="1:15">
      <c r="A1768" s="3563" t="s">
        <v>5980</v>
      </c>
      <c r="B1768" s="3563" t="s">
        <v>4196</v>
      </c>
      <c r="C1768" s="3563" t="s">
        <v>4197</v>
      </c>
      <c r="D1768" s="3563" t="s">
        <v>4796</v>
      </c>
      <c r="E1768" s="3563" t="s">
        <v>5972</v>
      </c>
      <c r="F1768" s="3563" t="s">
        <v>4797</v>
      </c>
      <c r="G1768" s="3564">
        <v>78.25</v>
      </c>
      <c r="H1768" s="3564">
        <v>63.03</v>
      </c>
      <c r="I1768" s="3564">
        <v>15.22</v>
      </c>
      <c r="J1768" s="3565">
        <v>789543</v>
      </c>
      <c r="K1768" s="3565">
        <v>10090.01</v>
      </c>
      <c r="L1768" s="3565">
        <v>12526.46</v>
      </c>
      <c r="M1768" s="3565">
        <v>0</v>
      </c>
      <c r="N1768" s="3565">
        <v>0</v>
      </c>
      <c r="O1768" s="3563" t="s">
        <v>3453</v>
      </c>
    </row>
    <row r="1769" spans="1:15">
      <c r="A1769" s="3563" t="s">
        <v>5981</v>
      </c>
      <c r="B1769" s="3563" t="s">
        <v>4196</v>
      </c>
      <c r="C1769" s="3563" t="s">
        <v>4197</v>
      </c>
      <c r="D1769" s="3563" t="s">
        <v>4796</v>
      </c>
      <c r="E1769" s="3563" t="s">
        <v>5972</v>
      </c>
      <c r="F1769" s="3563" t="s">
        <v>4797</v>
      </c>
      <c r="G1769" s="3564">
        <v>78.25</v>
      </c>
      <c r="H1769" s="3564">
        <v>63.03</v>
      </c>
      <c r="I1769" s="3564">
        <v>15.22</v>
      </c>
      <c r="J1769" s="3565">
        <v>789543</v>
      </c>
      <c r="K1769" s="3565">
        <v>10090.01</v>
      </c>
      <c r="L1769" s="3565">
        <v>12526.46</v>
      </c>
      <c r="M1769" s="3565">
        <v>0</v>
      </c>
      <c r="N1769" s="3565">
        <v>0</v>
      </c>
      <c r="O1769" s="3563" t="s">
        <v>3453</v>
      </c>
    </row>
    <row r="1770" spans="1:15">
      <c r="A1770" s="3563" t="s">
        <v>5982</v>
      </c>
      <c r="B1770" s="3563" t="s">
        <v>4196</v>
      </c>
      <c r="C1770" s="3563" t="s">
        <v>4197</v>
      </c>
      <c r="D1770" s="3563" t="s">
        <v>4796</v>
      </c>
      <c r="E1770" s="3563" t="s">
        <v>5972</v>
      </c>
      <c r="F1770" s="3563" t="s">
        <v>4797</v>
      </c>
      <c r="G1770" s="3564">
        <v>109.8</v>
      </c>
      <c r="H1770" s="3564">
        <v>88.44</v>
      </c>
      <c r="I1770" s="3564">
        <v>21.36</v>
      </c>
      <c r="J1770" s="3565">
        <v>1169645</v>
      </c>
      <c r="K1770" s="3565">
        <v>10652.5</v>
      </c>
      <c r="L1770" s="3565">
        <v>13225.29</v>
      </c>
      <c r="M1770" s="3565">
        <v>0</v>
      </c>
      <c r="N1770" s="3565">
        <v>0</v>
      </c>
      <c r="O1770" s="3563" t="s">
        <v>3453</v>
      </c>
    </row>
    <row r="1771" spans="1:15">
      <c r="A1771" s="3563" t="s">
        <v>5983</v>
      </c>
      <c r="B1771" s="3563" t="s">
        <v>4196</v>
      </c>
      <c r="C1771" s="3563" t="s">
        <v>4197</v>
      </c>
      <c r="D1771" s="3563" t="s">
        <v>4796</v>
      </c>
      <c r="E1771" s="3563" t="s">
        <v>5972</v>
      </c>
      <c r="F1771" s="3563" t="s">
        <v>4797</v>
      </c>
      <c r="G1771" s="3564">
        <v>101.48</v>
      </c>
      <c r="H1771" s="3564">
        <v>81.739999999999995</v>
      </c>
      <c r="I1771" s="3564">
        <v>19.739999999999998</v>
      </c>
      <c r="J1771" s="3565">
        <v>1107654</v>
      </c>
      <c r="K1771" s="3565">
        <v>10915</v>
      </c>
      <c r="L1771" s="3565">
        <v>13550.94</v>
      </c>
      <c r="M1771" s="3565">
        <v>0</v>
      </c>
      <c r="N1771" s="3565">
        <v>0</v>
      </c>
      <c r="O1771" s="3563" t="s">
        <v>3453</v>
      </c>
    </row>
    <row r="1772" spans="1:15">
      <c r="A1772" s="3563" t="s">
        <v>5984</v>
      </c>
      <c r="B1772" s="3563" t="s">
        <v>4196</v>
      </c>
      <c r="C1772" s="3563" t="s">
        <v>4197</v>
      </c>
      <c r="D1772" s="3563" t="s">
        <v>4796</v>
      </c>
      <c r="E1772" s="3563" t="s">
        <v>5972</v>
      </c>
      <c r="F1772" s="3563" t="s">
        <v>4797</v>
      </c>
      <c r="G1772" s="3564">
        <v>101.48</v>
      </c>
      <c r="H1772" s="3564">
        <v>81.739999999999995</v>
      </c>
      <c r="I1772" s="3564">
        <v>19.739999999999998</v>
      </c>
      <c r="J1772" s="3565">
        <v>1107654</v>
      </c>
      <c r="K1772" s="3565">
        <v>10915</v>
      </c>
      <c r="L1772" s="3565">
        <v>13550.94</v>
      </c>
      <c r="M1772" s="3565">
        <v>0</v>
      </c>
      <c r="N1772" s="3565">
        <v>0</v>
      </c>
      <c r="O1772" s="3563" t="s">
        <v>3453</v>
      </c>
    </row>
    <row r="1773" spans="1:15">
      <c r="A1773" s="3563" t="s">
        <v>5985</v>
      </c>
      <c r="B1773" s="3563" t="s">
        <v>4196</v>
      </c>
      <c r="C1773" s="3563" t="s">
        <v>4197</v>
      </c>
      <c r="D1773" s="3563" t="s">
        <v>4796</v>
      </c>
      <c r="E1773" s="3563" t="s">
        <v>5972</v>
      </c>
      <c r="F1773" s="3563" t="s">
        <v>4797</v>
      </c>
      <c r="G1773" s="3564">
        <v>90.35</v>
      </c>
      <c r="H1773" s="3564">
        <v>72.78</v>
      </c>
      <c r="I1773" s="3564">
        <v>17.57</v>
      </c>
      <c r="J1773" s="3565">
        <v>904242</v>
      </c>
      <c r="K1773" s="3565">
        <v>10008.209999999999</v>
      </c>
      <c r="L1773" s="3565">
        <v>12424.32</v>
      </c>
      <c r="M1773" s="3565">
        <v>0</v>
      </c>
      <c r="N1773" s="3565">
        <v>0</v>
      </c>
      <c r="O1773" s="3563" t="s">
        <v>3453</v>
      </c>
    </row>
    <row r="1774" spans="1:15">
      <c r="A1774" s="3563" t="s">
        <v>5986</v>
      </c>
      <c r="B1774" s="3563" t="s">
        <v>4196</v>
      </c>
      <c r="C1774" s="3563" t="s">
        <v>4197</v>
      </c>
      <c r="D1774" s="3563" t="s">
        <v>4796</v>
      </c>
      <c r="E1774" s="3563" t="s">
        <v>5972</v>
      </c>
      <c r="F1774" s="3563" t="s">
        <v>4797</v>
      </c>
      <c r="G1774" s="3564">
        <v>78.25</v>
      </c>
      <c r="H1774" s="3564">
        <v>63.03</v>
      </c>
      <c r="I1774" s="3564">
        <v>15.22</v>
      </c>
      <c r="J1774" s="3565">
        <v>790522</v>
      </c>
      <c r="K1774" s="3565">
        <v>10102.52</v>
      </c>
      <c r="L1774" s="3565">
        <v>12542</v>
      </c>
      <c r="M1774" s="3565">
        <v>0</v>
      </c>
      <c r="N1774" s="3565">
        <v>0</v>
      </c>
      <c r="O1774" s="3563" t="s">
        <v>3453</v>
      </c>
    </row>
    <row r="1775" spans="1:15">
      <c r="A1775" s="3563" t="s">
        <v>5987</v>
      </c>
      <c r="B1775" s="3563" t="s">
        <v>4196</v>
      </c>
      <c r="C1775" s="3563" t="s">
        <v>4197</v>
      </c>
      <c r="D1775" s="3563" t="s">
        <v>4796</v>
      </c>
      <c r="E1775" s="3563" t="s">
        <v>5972</v>
      </c>
      <c r="F1775" s="3563" t="s">
        <v>4797</v>
      </c>
      <c r="G1775" s="3564">
        <v>78.25</v>
      </c>
      <c r="H1775" s="3564">
        <v>63.03</v>
      </c>
      <c r="I1775" s="3564">
        <v>15.22</v>
      </c>
      <c r="J1775" s="3565">
        <v>790522</v>
      </c>
      <c r="K1775" s="3565">
        <v>10102.52</v>
      </c>
      <c r="L1775" s="3565">
        <v>12542</v>
      </c>
      <c r="M1775" s="3565">
        <v>0</v>
      </c>
      <c r="N1775" s="3565">
        <v>0</v>
      </c>
      <c r="O1775" s="3563" t="s">
        <v>3453</v>
      </c>
    </row>
    <row r="1776" spans="1:15">
      <c r="A1776" s="3563" t="s">
        <v>5988</v>
      </c>
      <c r="B1776" s="3563" t="s">
        <v>4196</v>
      </c>
      <c r="C1776" s="3563" t="s">
        <v>4197</v>
      </c>
      <c r="D1776" s="3563" t="s">
        <v>4796</v>
      </c>
      <c r="E1776" s="3563" t="s">
        <v>5972</v>
      </c>
      <c r="F1776" s="3563" t="s">
        <v>4797</v>
      </c>
      <c r="G1776" s="3564">
        <v>109.8</v>
      </c>
      <c r="H1776" s="3564">
        <v>88.44</v>
      </c>
      <c r="I1776" s="3564">
        <v>21.36</v>
      </c>
      <c r="J1776" s="3565">
        <v>1171018</v>
      </c>
      <c r="K1776" s="3565">
        <v>10665.01</v>
      </c>
      <c r="L1776" s="3565">
        <v>13240.82</v>
      </c>
      <c r="M1776" s="3565">
        <v>0</v>
      </c>
      <c r="N1776" s="3565">
        <v>0</v>
      </c>
      <c r="O1776" s="3563" t="s">
        <v>3453</v>
      </c>
    </row>
    <row r="1777" spans="1:15">
      <c r="A1777" s="3563" t="s">
        <v>5989</v>
      </c>
      <c r="B1777" s="3563" t="s">
        <v>3453</v>
      </c>
      <c r="C1777" s="3563" t="s">
        <v>4197</v>
      </c>
      <c r="D1777" s="3563" t="s">
        <v>4796</v>
      </c>
      <c r="E1777" s="3563" t="s">
        <v>5972</v>
      </c>
      <c r="F1777" s="3563" t="s">
        <v>4797</v>
      </c>
      <c r="G1777" s="3564">
        <v>101.48</v>
      </c>
      <c r="H1777" s="3564">
        <v>81.739999999999995</v>
      </c>
      <c r="I1777" s="3564">
        <v>19.739999999999998</v>
      </c>
      <c r="J1777" s="3565">
        <v>1108923</v>
      </c>
      <c r="K1777" s="3565">
        <v>10927.5</v>
      </c>
      <c r="L1777" s="3565">
        <v>13566.47</v>
      </c>
      <c r="M1777" s="3565">
        <v>0</v>
      </c>
      <c r="N1777" s="3565">
        <v>0</v>
      </c>
      <c r="O1777" s="3563" t="s">
        <v>3453</v>
      </c>
    </row>
    <row r="1778" spans="1:15">
      <c r="A1778" s="3563" t="s">
        <v>5990</v>
      </c>
      <c r="B1778" s="3563" t="s">
        <v>3453</v>
      </c>
      <c r="C1778" s="3563" t="s">
        <v>4197</v>
      </c>
      <c r="D1778" s="3563" t="s">
        <v>4796</v>
      </c>
      <c r="E1778" s="3563" t="s">
        <v>5972</v>
      </c>
      <c r="F1778" s="3563" t="s">
        <v>4797</v>
      </c>
      <c r="G1778" s="3564">
        <v>101.48</v>
      </c>
      <c r="H1778" s="3564">
        <v>81.739999999999995</v>
      </c>
      <c r="I1778" s="3564">
        <v>19.739999999999998</v>
      </c>
      <c r="J1778" s="3565">
        <v>1108923</v>
      </c>
      <c r="K1778" s="3565">
        <v>10927.5</v>
      </c>
      <c r="L1778" s="3565">
        <v>13566.47</v>
      </c>
      <c r="M1778" s="3565">
        <v>0</v>
      </c>
      <c r="N1778" s="3565">
        <v>0</v>
      </c>
      <c r="O1778" s="3563" t="s">
        <v>3453</v>
      </c>
    </row>
    <row r="1779" spans="1:15">
      <c r="A1779" s="3563" t="s">
        <v>5991</v>
      </c>
      <c r="B1779" s="3563" t="s">
        <v>4196</v>
      </c>
      <c r="C1779" s="3563" t="s">
        <v>4197</v>
      </c>
      <c r="D1779" s="3563" t="s">
        <v>4796</v>
      </c>
      <c r="E1779" s="3563" t="s">
        <v>5972</v>
      </c>
      <c r="F1779" s="3563" t="s">
        <v>4797</v>
      </c>
      <c r="G1779" s="3564">
        <v>90.35</v>
      </c>
      <c r="H1779" s="3564">
        <v>72.78</v>
      </c>
      <c r="I1779" s="3564">
        <v>17.57</v>
      </c>
      <c r="J1779" s="3565">
        <v>905372</v>
      </c>
      <c r="K1779" s="3565">
        <v>10020.719999999999</v>
      </c>
      <c r="L1779" s="3565">
        <v>12439.85</v>
      </c>
      <c r="M1779" s="3565">
        <v>0</v>
      </c>
      <c r="N1779" s="3565">
        <v>0</v>
      </c>
      <c r="O1779" s="3563" t="s">
        <v>3453</v>
      </c>
    </row>
    <row r="1780" spans="1:15">
      <c r="A1780" s="3563" t="s">
        <v>5992</v>
      </c>
      <c r="B1780" s="3563" t="s">
        <v>4196</v>
      </c>
      <c r="C1780" s="3563" t="s">
        <v>4197</v>
      </c>
      <c r="D1780" s="3563" t="s">
        <v>4796</v>
      </c>
      <c r="E1780" s="3563" t="s">
        <v>5972</v>
      </c>
      <c r="F1780" s="3563" t="s">
        <v>4797</v>
      </c>
      <c r="G1780" s="3564">
        <v>78.25</v>
      </c>
      <c r="H1780" s="3564">
        <v>63.03</v>
      </c>
      <c r="I1780" s="3564">
        <v>15.22</v>
      </c>
      <c r="J1780" s="3565">
        <v>791499</v>
      </c>
      <c r="K1780" s="3565">
        <v>10115</v>
      </c>
      <c r="L1780" s="3565">
        <v>12557.5</v>
      </c>
      <c r="M1780" s="3565">
        <v>0</v>
      </c>
      <c r="N1780" s="3565">
        <v>0</v>
      </c>
      <c r="O1780" s="3563" t="s">
        <v>3453</v>
      </c>
    </row>
    <row r="1781" spans="1:15">
      <c r="A1781" s="3563" t="s">
        <v>5993</v>
      </c>
      <c r="B1781" s="3563" t="s">
        <v>4196</v>
      </c>
      <c r="C1781" s="3563" t="s">
        <v>4197</v>
      </c>
      <c r="D1781" s="3563" t="s">
        <v>4796</v>
      </c>
      <c r="E1781" s="3563" t="s">
        <v>5972</v>
      </c>
      <c r="F1781" s="3563" t="s">
        <v>4797</v>
      </c>
      <c r="G1781" s="3564">
        <v>78.25</v>
      </c>
      <c r="H1781" s="3564">
        <v>63.03</v>
      </c>
      <c r="I1781" s="3564">
        <v>15.22</v>
      </c>
      <c r="J1781" s="3565">
        <v>791499</v>
      </c>
      <c r="K1781" s="3565">
        <v>10115</v>
      </c>
      <c r="L1781" s="3565">
        <v>12557.5</v>
      </c>
      <c r="M1781" s="3565">
        <v>0</v>
      </c>
      <c r="N1781" s="3565">
        <v>0</v>
      </c>
      <c r="O1781" s="3563" t="s">
        <v>3453</v>
      </c>
    </row>
    <row r="1782" spans="1:15">
      <c r="A1782" s="3563" t="s">
        <v>5994</v>
      </c>
      <c r="B1782" s="3563" t="s">
        <v>4196</v>
      </c>
      <c r="C1782" s="3563" t="s">
        <v>4197</v>
      </c>
      <c r="D1782" s="3563" t="s">
        <v>4796</v>
      </c>
      <c r="E1782" s="3563" t="s">
        <v>5972</v>
      </c>
      <c r="F1782" s="3563" t="s">
        <v>4797</v>
      </c>
      <c r="G1782" s="3564">
        <v>109.8</v>
      </c>
      <c r="H1782" s="3564">
        <v>88.44</v>
      </c>
      <c r="I1782" s="3564">
        <v>21.36</v>
      </c>
      <c r="J1782" s="3565">
        <v>1172390</v>
      </c>
      <c r="K1782" s="3565">
        <v>10677.5</v>
      </c>
      <c r="L1782" s="3565">
        <v>13256.33</v>
      </c>
      <c r="M1782" s="3565">
        <v>0</v>
      </c>
      <c r="N1782" s="3565">
        <v>0</v>
      </c>
      <c r="O1782" s="3563" t="s">
        <v>3453</v>
      </c>
    </row>
    <row r="1783" spans="1:15">
      <c r="A1783" s="3563" t="s">
        <v>5995</v>
      </c>
      <c r="B1783" s="3563" t="s">
        <v>3453</v>
      </c>
      <c r="C1783" s="3563" t="s">
        <v>4197</v>
      </c>
      <c r="D1783" s="3563" t="s">
        <v>4796</v>
      </c>
      <c r="E1783" s="3563" t="s">
        <v>5972</v>
      </c>
      <c r="F1783" s="3563" t="s">
        <v>4797</v>
      </c>
      <c r="G1783" s="3564">
        <v>101.48</v>
      </c>
      <c r="H1783" s="3564">
        <v>81.739999999999995</v>
      </c>
      <c r="I1783" s="3564">
        <v>19.739999999999998</v>
      </c>
      <c r="J1783" s="3565">
        <v>1110192</v>
      </c>
      <c r="K1783" s="3565">
        <v>10940.01</v>
      </c>
      <c r="L1783" s="3565">
        <v>13581.99</v>
      </c>
      <c r="M1783" s="3565">
        <v>0</v>
      </c>
      <c r="N1783" s="3565">
        <v>0</v>
      </c>
      <c r="O1783" s="3563" t="s">
        <v>3453</v>
      </c>
    </row>
    <row r="1784" spans="1:15">
      <c r="A1784" s="3563" t="s">
        <v>5996</v>
      </c>
      <c r="B1784" s="3563" t="s">
        <v>4811</v>
      </c>
      <c r="C1784" s="3563" t="s">
        <v>4197</v>
      </c>
      <c r="D1784" s="3563" t="s">
        <v>4796</v>
      </c>
      <c r="E1784" s="3563" t="s">
        <v>5972</v>
      </c>
      <c r="F1784" s="3563" t="s">
        <v>4797</v>
      </c>
      <c r="G1784" s="3564">
        <v>101.48</v>
      </c>
      <c r="H1784" s="3564">
        <v>81.739999999999995</v>
      </c>
      <c r="I1784" s="3564">
        <v>19.739999999999998</v>
      </c>
      <c r="J1784" s="3565">
        <v>1110192</v>
      </c>
      <c r="K1784" s="3565">
        <v>10940.01</v>
      </c>
      <c r="L1784" s="3565">
        <v>13581.99</v>
      </c>
      <c r="M1784" s="3565">
        <v>1054683</v>
      </c>
      <c r="N1784" s="3565">
        <v>10393.01</v>
      </c>
      <c r="O1784" s="3566">
        <v>44191</v>
      </c>
    </row>
    <row r="1785" spans="1:15">
      <c r="A1785" s="3563" t="s">
        <v>5997</v>
      </c>
      <c r="B1785" s="3563" t="s">
        <v>4196</v>
      </c>
      <c r="C1785" s="3563" t="s">
        <v>4197</v>
      </c>
      <c r="D1785" s="3563" t="s">
        <v>4796</v>
      </c>
      <c r="E1785" s="3563" t="s">
        <v>5972</v>
      </c>
      <c r="F1785" s="3563" t="s">
        <v>4797</v>
      </c>
      <c r="G1785" s="3564">
        <v>90.35</v>
      </c>
      <c r="H1785" s="3564">
        <v>72.78</v>
      </c>
      <c r="I1785" s="3564">
        <v>17.57</v>
      </c>
      <c r="J1785" s="3565">
        <v>906500</v>
      </c>
      <c r="K1785" s="3565">
        <v>10033.200000000001</v>
      </c>
      <c r="L1785" s="3565">
        <v>12455.34</v>
      </c>
      <c r="M1785" s="3565">
        <v>0</v>
      </c>
      <c r="N1785" s="3565">
        <v>0</v>
      </c>
      <c r="O1785" s="3563" t="s">
        <v>3453</v>
      </c>
    </row>
    <row r="1786" spans="1:15">
      <c r="A1786" s="3563" t="s">
        <v>5998</v>
      </c>
      <c r="B1786" s="3563" t="s">
        <v>4196</v>
      </c>
      <c r="C1786" s="3563" t="s">
        <v>4197</v>
      </c>
      <c r="D1786" s="3563" t="s">
        <v>4796</v>
      </c>
      <c r="E1786" s="3563" t="s">
        <v>5972</v>
      </c>
      <c r="F1786" s="3563" t="s">
        <v>4797</v>
      </c>
      <c r="G1786" s="3564">
        <v>78.25</v>
      </c>
      <c r="H1786" s="3564">
        <v>63.03</v>
      </c>
      <c r="I1786" s="3564">
        <v>15.22</v>
      </c>
      <c r="J1786" s="3565">
        <v>792478</v>
      </c>
      <c r="K1786" s="3565">
        <v>10127.51</v>
      </c>
      <c r="L1786" s="3565">
        <v>12573.03</v>
      </c>
      <c r="M1786" s="3565">
        <v>0</v>
      </c>
      <c r="N1786" s="3565">
        <v>0</v>
      </c>
      <c r="O1786" s="3563" t="s">
        <v>3453</v>
      </c>
    </row>
    <row r="1787" spans="1:15">
      <c r="A1787" s="3563" t="s">
        <v>5999</v>
      </c>
      <c r="B1787" s="3563" t="s">
        <v>4196</v>
      </c>
      <c r="C1787" s="3563" t="s">
        <v>4197</v>
      </c>
      <c r="D1787" s="3563" t="s">
        <v>4796</v>
      </c>
      <c r="E1787" s="3563" t="s">
        <v>5972</v>
      </c>
      <c r="F1787" s="3563" t="s">
        <v>4797</v>
      </c>
      <c r="G1787" s="3564">
        <v>78.25</v>
      </c>
      <c r="H1787" s="3564">
        <v>63.03</v>
      </c>
      <c r="I1787" s="3564">
        <v>15.22</v>
      </c>
      <c r="J1787" s="3565">
        <v>792478</v>
      </c>
      <c r="K1787" s="3565">
        <v>10127.51</v>
      </c>
      <c r="L1787" s="3565">
        <v>12573.03</v>
      </c>
      <c r="M1787" s="3565">
        <v>0</v>
      </c>
      <c r="N1787" s="3565">
        <v>0</v>
      </c>
      <c r="O1787" s="3563" t="s">
        <v>3453</v>
      </c>
    </row>
    <row r="1788" spans="1:15">
      <c r="A1788" s="3563" t="s">
        <v>6000</v>
      </c>
      <c r="B1788" s="3563" t="s">
        <v>4196</v>
      </c>
      <c r="C1788" s="3563" t="s">
        <v>4197</v>
      </c>
      <c r="D1788" s="3563" t="s">
        <v>4796</v>
      </c>
      <c r="E1788" s="3563" t="s">
        <v>5972</v>
      </c>
      <c r="F1788" s="3563" t="s">
        <v>4797</v>
      </c>
      <c r="G1788" s="3564">
        <v>109.8</v>
      </c>
      <c r="H1788" s="3564">
        <v>88.44</v>
      </c>
      <c r="I1788" s="3564">
        <v>21.36</v>
      </c>
      <c r="J1788" s="3565">
        <v>1173763</v>
      </c>
      <c r="K1788" s="3565">
        <v>10690.01</v>
      </c>
      <c r="L1788" s="3565">
        <v>13271.86</v>
      </c>
      <c r="M1788" s="3565">
        <v>0</v>
      </c>
      <c r="N1788" s="3565">
        <v>0</v>
      </c>
      <c r="O1788" s="3563" t="s">
        <v>3453</v>
      </c>
    </row>
    <row r="1789" spans="1:15">
      <c r="A1789" s="3563" t="s">
        <v>6001</v>
      </c>
      <c r="B1789" s="3563" t="s">
        <v>4196</v>
      </c>
      <c r="C1789" s="3563" t="s">
        <v>4197</v>
      </c>
      <c r="D1789" s="3563" t="s">
        <v>4796</v>
      </c>
      <c r="E1789" s="3563" t="s">
        <v>5972</v>
      </c>
      <c r="F1789" s="3563" t="s">
        <v>4797</v>
      </c>
      <c r="G1789" s="3564">
        <v>101.48</v>
      </c>
      <c r="H1789" s="3564">
        <v>81.739999999999995</v>
      </c>
      <c r="I1789" s="3564">
        <v>19.739999999999998</v>
      </c>
      <c r="J1789" s="3565">
        <v>1098775</v>
      </c>
      <c r="K1789" s="3565">
        <v>10827.5</v>
      </c>
      <c r="L1789" s="3565">
        <v>13442.32</v>
      </c>
      <c r="M1789" s="3565">
        <v>0</v>
      </c>
      <c r="N1789" s="3565">
        <v>0</v>
      </c>
      <c r="O1789" s="3563" t="s">
        <v>3453</v>
      </c>
    </row>
    <row r="1790" spans="1:15">
      <c r="A1790" s="3563" t="s">
        <v>6002</v>
      </c>
      <c r="B1790" s="3563" t="s">
        <v>4196</v>
      </c>
      <c r="C1790" s="3563" t="s">
        <v>4197</v>
      </c>
      <c r="D1790" s="3563" t="s">
        <v>4796</v>
      </c>
      <c r="E1790" s="3563" t="s">
        <v>5972</v>
      </c>
      <c r="F1790" s="3563" t="s">
        <v>4797</v>
      </c>
      <c r="G1790" s="3564">
        <v>101.48</v>
      </c>
      <c r="H1790" s="3564">
        <v>81.739999999999995</v>
      </c>
      <c r="I1790" s="3564">
        <v>19.739999999999998</v>
      </c>
      <c r="J1790" s="3565">
        <v>1098775</v>
      </c>
      <c r="K1790" s="3565">
        <v>10827.5</v>
      </c>
      <c r="L1790" s="3565">
        <v>13442.32</v>
      </c>
      <c r="M1790" s="3565">
        <v>0</v>
      </c>
      <c r="N1790" s="3565">
        <v>0</v>
      </c>
      <c r="O1790" s="3563" t="s">
        <v>3453</v>
      </c>
    </row>
    <row r="1791" spans="1:15">
      <c r="A1791" s="3563" t="s">
        <v>6003</v>
      </c>
      <c r="B1791" s="3563" t="s">
        <v>4196</v>
      </c>
      <c r="C1791" s="3563" t="s">
        <v>4197</v>
      </c>
      <c r="D1791" s="3563" t="s">
        <v>4796</v>
      </c>
      <c r="E1791" s="3563" t="s">
        <v>5972</v>
      </c>
      <c r="F1791" s="3563" t="s">
        <v>4797</v>
      </c>
      <c r="G1791" s="3564">
        <v>90.35</v>
      </c>
      <c r="H1791" s="3564">
        <v>72.78</v>
      </c>
      <c r="I1791" s="3564">
        <v>17.57</v>
      </c>
      <c r="J1791" s="3565">
        <v>903452</v>
      </c>
      <c r="K1791" s="3565">
        <v>9999.4699999999993</v>
      </c>
      <c r="L1791" s="3565">
        <v>12413.47</v>
      </c>
      <c r="M1791" s="3565">
        <v>0</v>
      </c>
      <c r="N1791" s="3565">
        <v>0</v>
      </c>
      <c r="O1791" s="3563" t="s">
        <v>3453</v>
      </c>
    </row>
    <row r="1792" spans="1:15">
      <c r="A1792" s="3563" t="s">
        <v>6004</v>
      </c>
      <c r="B1792" s="3563" t="s">
        <v>4196</v>
      </c>
      <c r="C1792" s="3563" t="s">
        <v>4197</v>
      </c>
      <c r="D1792" s="3563" t="s">
        <v>4796</v>
      </c>
      <c r="E1792" s="3563" t="s">
        <v>5972</v>
      </c>
      <c r="F1792" s="3563" t="s">
        <v>4797</v>
      </c>
      <c r="G1792" s="3564">
        <v>78.25</v>
      </c>
      <c r="H1792" s="3564">
        <v>63.03</v>
      </c>
      <c r="I1792" s="3564">
        <v>15.22</v>
      </c>
      <c r="J1792" s="3565">
        <v>783674</v>
      </c>
      <c r="K1792" s="3565">
        <v>10015</v>
      </c>
      <c r="L1792" s="3565">
        <v>12433.35</v>
      </c>
      <c r="M1792" s="3565">
        <v>0</v>
      </c>
      <c r="N1792" s="3565">
        <v>0</v>
      </c>
      <c r="O1792" s="3563" t="s">
        <v>3453</v>
      </c>
    </row>
    <row r="1793" spans="1:15">
      <c r="A1793" s="3563" t="s">
        <v>6005</v>
      </c>
      <c r="B1793" s="3563" t="s">
        <v>4196</v>
      </c>
      <c r="C1793" s="3563" t="s">
        <v>4197</v>
      </c>
      <c r="D1793" s="3563" t="s">
        <v>4796</v>
      </c>
      <c r="E1793" s="3563" t="s">
        <v>5972</v>
      </c>
      <c r="F1793" s="3563" t="s">
        <v>4797</v>
      </c>
      <c r="G1793" s="3564">
        <v>78.25</v>
      </c>
      <c r="H1793" s="3564">
        <v>63.03</v>
      </c>
      <c r="I1793" s="3564">
        <v>15.22</v>
      </c>
      <c r="J1793" s="3565">
        <v>783674</v>
      </c>
      <c r="K1793" s="3565">
        <v>10015</v>
      </c>
      <c r="L1793" s="3565">
        <v>12433.35</v>
      </c>
      <c r="M1793" s="3565">
        <v>0</v>
      </c>
      <c r="N1793" s="3565">
        <v>0</v>
      </c>
      <c r="O1793" s="3563" t="s">
        <v>3453</v>
      </c>
    </row>
    <row r="1794" spans="1:15">
      <c r="A1794" s="3563" t="s">
        <v>6006</v>
      </c>
      <c r="B1794" s="3563" t="s">
        <v>4196</v>
      </c>
      <c r="C1794" s="3563" t="s">
        <v>4197</v>
      </c>
      <c r="D1794" s="3563" t="s">
        <v>4796</v>
      </c>
      <c r="E1794" s="3563" t="s">
        <v>5972</v>
      </c>
      <c r="F1794" s="3563" t="s">
        <v>4797</v>
      </c>
      <c r="G1794" s="3564">
        <v>109.8</v>
      </c>
      <c r="H1794" s="3564">
        <v>88.44</v>
      </c>
      <c r="I1794" s="3564">
        <v>21.36</v>
      </c>
      <c r="J1794" s="3565">
        <v>1161410</v>
      </c>
      <c r="K1794" s="3565">
        <v>10577.5</v>
      </c>
      <c r="L1794" s="3565">
        <v>13132.18</v>
      </c>
      <c r="M1794" s="3565">
        <v>0</v>
      </c>
      <c r="N1794" s="3565">
        <v>0</v>
      </c>
      <c r="O1794" s="3563" t="s">
        <v>3453</v>
      </c>
    </row>
    <row r="1795" spans="1:15">
      <c r="A1795" s="3563" t="s">
        <v>6007</v>
      </c>
      <c r="B1795" s="3563" t="s">
        <v>4196</v>
      </c>
      <c r="C1795" s="3563" t="s">
        <v>4197</v>
      </c>
      <c r="D1795" s="3563" t="s">
        <v>4796</v>
      </c>
      <c r="E1795" s="3563" t="s">
        <v>5972</v>
      </c>
      <c r="F1795" s="3563" t="s">
        <v>4797</v>
      </c>
      <c r="G1795" s="3564">
        <v>101.48</v>
      </c>
      <c r="H1795" s="3564">
        <v>81.739999999999995</v>
      </c>
      <c r="I1795" s="3564">
        <v>19.739999999999998</v>
      </c>
      <c r="J1795" s="3565">
        <v>1112729</v>
      </c>
      <c r="K1795" s="3565">
        <v>10965.01</v>
      </c>
      <c r="L1795" s="3565">
        <v>13613.03</v>
      </c>
      <c r="M1795" s="3565">
        <v>0</v>
      </c>
      <c r="N1795" s="3565">
        <v>0</v>
      </c>
      <c r="O1795" s="3563" t="s">
        <v>3453</v>
      </c>
    </row>
    <row r="1796" spans="1:15">
      <c r="A1796" s="3563" t="s">
        <v>6008</v>
      </c>
      <c r="B1796" s="3563" t="s">
        <v>3453</v>
      </c>
      <c r="C1796" s="3563" t="s">
        <v>4197</v>
      </c>
      <c r="D1796" s="3563" t="s">
        <v>4796</v>
      </c>
      <c r="E1796" s="3563" t="s">
        <v>5972</v>
      </c>
      <c r="F1796" s="3563" t="s">
        <v>4797</v>
      </c>
      <c r="G1796" s="3564">
        <v>101.48</v>
      </c>
      <c r="H1796" s="3564">
        <v>81.739999999999995</v>
      </c>
      <c r="I1796" s="3564">
        <v>19.739999999999998</v>
      </c>
      <c r="J1796" s="3565">
        <v>1112729</v>
      </c>
      <c r="K1796" s="3565">
        <v>10965.01</v>
      </c>
      <c r="L1796" s="3565">
        <v>13613.03</v>
      </c>
      <c r="M1796" s="3565">
        <v>0</v>
      </c>
      <c r="N1796" s="3565">
        <v>0</v>
      </c>
      <c r="O1796" s="3563" t="s">
        <v>3453</v>
      </c>
    </row>
    <row r="1797" spans="1:15">
      <c r="A1797" s="3563" t="s">
        <v>6009</v>
      </c>
      <c r="B1797" s="3563" t="s">
        <v>4196</v>
      </c>
      <c r="C1797" s="3563" t="s">
        <v>4197</v>
      </c>
      <c r="D1797" s="3563" t="s">
        <v>4796</v>
      </c>
      <c r="E1797" s="3563" t="s">
        <v>5972</v>
      </c>
      <c r="F1797" s="3563" t="s">
        <v>4797</v>
      </c>
      <c r="G1797" s="3564">
        <v>90.35</v>
      </c>
      <c r="H1797" s="3564">
        <v>72.78</v>
      </c>
      <c r="I1797" s="3564">
        <v>17.57</v>
      </c>
      <c r="J1797" s="3565">
        <v>905985</v>
      </c>
      <c r="K1797" s="3565">
        <v>10027.5</v>
      </c>
      <c r="L1797" s="3565">
        <v>12448.27</v>
      </c>
      <c r="M1797" s="3565">
        <v>0</v>
      </c>
      <c r="N1797" s="3565">
        <v>0</v>
      </c>
      <c r="O1797" s="3563" t="s">
        <v>3453</v>
      </c>
    </row>
    <row r="1798" spans="1:15">
      <c r="A1798" s="3563" t="s">
        <v>6010</v>
      </c>
      <c r="B1798" s="3563" t="s">
        <v>4196</v>
      </c>
      <c r="C1798" s="3563" t="s">
        <v>4197</v>
      </c>
      <c r="D1798" s="3563" t="s">
        <v>4796</v>
      </c>
      <c r="E1798" s="3563" t="s">
        <v>5972</v>
      </c>
      <c r="F1798" s="3563" t="s">
        <v>4797</v>
      </c>
      <c r="G1798" s="3564">
        <v>78.25</v>
      </c>
      <c r="H1798" s="3564">
        <v>63.03</v>
      </c>
      <c r="I1798" s="3564">
        <v>15.22</v>
      </c>
      <c r="J1798" s="3565">
        <v>794434</v>
      </c>
      <c r="K1798" s="3565">
        <v>10152.51</v>
      </c>
      <c r="L1798" s="3565">
        <v>12604.06</v>
      </c>
      <c r="M1798" s="3565">
        <v>0</v>
      </c>
      <c r="N1798" s="3565">
        <v>0</v>
      </c>
      <c r="O1798" s="3563" t="s">
        <v>3453</v>
      </c>
    </row>
    <row r="1799" spans="1:15">
      <c r="A1799" s="3563" t="s">
        <v>6011</v>
      </c>
      <c r="B1799" s="3563" t="s">
        <v>4196</v>
      </c>
      <c r="C1799" s="3563" t="s">
        <v>4197</v>
      </c>
      <c r="D1799" s="3563" t="s">
        <v>4796</v>
      </c>
      <c r="E1799" s="3563" t="s">
        <v>5972</v>
      </c>
      <c r="F1799" s="3563" t="s">
        <v>4797</v>
      </c>
      <c r="G1799" s="3564">
        <v>78.25</v>
      </c>
      <c r="H1799" s="3564">
        <v>63.03</v>
      </c>
      <c r="I1799" s="3564">
        <v>15.22</v>
      </c>
      <c r="J1799" s="3565">
        <v>794434</v>
      </c>
      <c r="K1799" s="3565">
        <v>10152.51</v>
      </c>
      <c r="L1799" s="3565">
        <v>12604.06</v>
      </c>
      <c r="M1799" s="3565">
        <v>0</v>
      </c>
      <c r="N1799" s="3565">
        <v>0</v>
      </c>
      <c r="O1799" s="3563" t="s">
        <v>3453</v>
      </c>
    </row>
    <row r="1800" spans="1:15">
      <c r="A1800" s="3563" t="s">
        <v>6012</v>
      </c>
      <c r="B1800" s="3563" t="s">
        <v>4196</v>
      </c>
      <c r="C1800" s="3563" t="s">
        <v>4197</v>
      </c>
      <c r="D1800" s="3563" t="s">
        <v>4796</v>
      </c>
      <c r="E1800" s="3563" t="s">
        <v>5972</v>
      </c>
      <c r="F1800" s="3563" t="s">
        <v>4797</v>
      </c>
      <c r="G1800" s="3564">
        <v>109.8</v>
      </c>
      <c r="H1800" s="3564">
        <v>88.44</v>
      </c>
      <c r="I1800" s="3564">
        <v>21.36</v>
      </c>
      <c r="J1800" s="3565">
        <v>1176508</v>
      </c>
      <c r="K1800" s="3565">
        <v>10715.01</v>
      </c>
      <c r="L1800" s="3565">
        <v>13302.89</v>
      </c>
      <c r="M1800" s="3565">
        <v>0</v>
      </c>
      <c r="N1800" s="3565">
        <v>0</v>
      </c>
      <c r="O1800" s="3563" t="s">
        <v>3453</v>
      </c>
    </row>
    <row r="1801" spans="1:15">
      <c r="A1801" s="3563" t="s">
        <v>6013</v>
      </c>
      <c r="B1801" s="3563" t="s">
        <v>4196</v>
      </c>
      <c r="C1801" s="3563" t="s">
        <v>4197</v>
      </c>
      <c r="D1801" s="3563" t="s">
        <v>4796</v>
      </c>
      <c r="E1801" s="3563" t="s">
        <v>5972</v>
      </c>
      <c r="F1801" s="3563" t="s">
        <v>4797</v>
      </c>
      <c r="G1801" s="3564">
        <v>101.48</v>
      </c>
      <c r="H1801" s="3564">
        <v>81.739999999999995</v>
      </c>
      <c r="I1801" s="3564">
        <v>19.739999999999998</v>
      </c>
      <c r="J1801" s="3565">
        <v>1111460</v>
      </c>
      <c r="K1801" s="3565">
        <v>10952.5</v>
      </c>
      <c r="L1801" s="3565">
        <v>13597.5</v>
      </c>
      <c r="M1801" s="3565">
        <v>0</v>
      </c>
      <c r="N1801" s="3565">
        <v>0</v>
      </c>
      <c r="O1801" s="3563" t="s">
        <v>3453</v>
      </c>
    </row>
    <row r="1802" spans="1:15">
      <c r="A1802" s="3563" t="s">
        <v>6014</v>
      </c>
      <c r="B1802" s="3563" t="s">
        <v>4196</v>
      </c>
      <c r="C1802" s="3563" t="s">
        <v>4197</v>
      </c>
      <c r="D1802" s="3563" t="s">
        <v>4796</v>
      </c>
      <c r="E1802" s="3563" t="s">
        <v>5972</v>
      </c>
      <c r="F1802" s="3563" t="s">
        <v>4797</v>
      </c>
      <c r="G1802" s="3564">
        <v>101.48</v>
      </c>
      <c r="H1802" s="3564">
        <v>81.739999999999995</v>
      </c>
      <c r="I1802" s="3564">
        <v>19.739999999999998</v>
      </c>
      <c r="J1802" s="3565">
        <v>1111460</v>
      </c>
      <c r="K1802" s="3565">
        <v>10952.5</v>
      </c>
      <c r="L1802" s="3565">
        <v>13597.5</v>
      </c>
      <c r="M1802" s="3565">
        <v>0</v>
      </c>
      <c r="N1802" s="3565">
        <v>0</v>
      </c>
      <c r="O1802" s="3563" t="s">
        <v>3453</v>
      </c>
    </row>
    <row r="1803" spans="1:15">
      <c r="A1803" s="3563" t="s">
        <v>6015</v>
      </c>
      <c r="B1803" s="3563" t="s">
        <v>4811</v>
      </c>
      <c r="C1803" s="3563" t="s">
        <v>4197</v>
      </c>
      <c r="D1803" s="3563" t="s">
        <v>4796</v>
      </c>
      <c r="E1803" s="3563" t="s">
        <v>5972</v>
      </c>
      <c r="F1803" s="3563" t="s">
        <v>4797</v>
      </c>
      <c r="G1803" s="3564">
        <v>90.35</v>
      </c>
      <c r="H1803" s="3564">
        <v>72.78</v>
      </c>
      <c r="I1803" s="3564">
        <v>17.57</v>
      </c>
      <c r="J1803" s="3565">
        <v>904855</v>
      </c>
      <c r="K1803" s="3565">
        <v>10015</v>
      </c>
      <c r="L1803" s="3565">
        <v>12432.74</v>
      </c>
      <c r="M1803" s="3565">
        <v>859613</v>
      </c>
      <c r="N1803" s="3565">
        <v>9514.26</v>
      </c>
      <c r="O1803" s="3566">
        <v>44192</v>
      </c>
    </row>
    <row r="1804" spans="1:15">
      <c r="A1804" s="3563" t="s">
        <v>6016</v>
      </c>
      <c r="B1804" s="3563" t="s">
        <v>4196</v>
      </c>
      <c r="C1804" s="3563" t="s">
        <v>4197</v>
      </c>
      <c r="D1804" s="3563" t="s">
        <v>4796</v>
      </c>
      <c r="E1804" s="3563" t="s">
        <v>5972</v>
      </c>
      <c r="F1804" s="3563" t="s">
        <v>4797</v>
      </c>
      <c r="G1804" s="3564">
        <v>78.25</v>
      </c>
      <c r="H1804" s="3564">
        <v>63.03</v>
      </c>
      <c r="I1804" s="3564">
        <v>15.22</v>
      </c>
      <c r="J1804" s="3565">
        <v>793455</v>
      </c>
      <c r="K1804" s="3565">
        <v>10140</v>
      </c>
      <c r="L1804" s="3565">
        <v>12588.53</v>
      </c>
      <c r="M1804" s="3565">
        <v>0</v>
      </c>
      <c r="N1804" s="3565">
        <v>0</v>
      </c>
      <c r="O1804" s="3563" t="s">
        <v>3453</v>
      </c>
    </row>
    <row r="1805" spans="1:15">
      <c r="A1805" s="3563" t="s">
        <v>6017</v>
      </c>
      <c r="B1805" s="3563" t="s">
        <v>4196</v>
      </c>
      <c r="C1805" s="3563" t="s">
        <v>4197</v>
      </c>
      <c r="D1805" s="3563" t="s">
        <v>4796</v>
      </c>
      <c r="E1805" s="3563" t="s">
        <v>5972</v>
      </c>
      <c r="F1805" s="3563" t="s">
        <v>4797</v>
      </c>
      <c r="G1805" s="3564">
        <v>78.25</v>
      </c>
      <c r="H1805" s="3564">
        <v>63.03</v>
      </c>
      <c r="I1805" s="3564">
        <v>15.22</v>
      </c>
      <c r="J1805" s="3565">
        <v>793455</v>
      </c>
      <c r="K1805" s="3565">
        <v>10140</v>
      </c>
      <c r="L1805" s="3565">
        <v>12588.53</v>
      </c>
      <c r="M1805" s="3565">
        <v>0</v>
      </c>
      <c r="N1805" s="3565">
        <v>0</v>
      </c>
      <c r="O1805" s="3563" t="s">
        <v>3453</v>
      </c>
    </row>
    <row r="1806" spans="1:15">
      <c r="A1806" s="3563" t="s">
        <v>6018</v>
      </c>
      <c r="B1806" s="3563" t="s">
        <v>4196</v>
      </c>
      <c r="C1806" s="3563" t="s">
        <v>4197</v>
      </c>
      <c r="D1806" s="3563" t="s">
        <v>4796</v>
      </c>
      <c r="E1806" s="3563" t="s">
        <v>5972</v>
      </c>
      <c r="F1806" s="3563" t="s">
        <v>4797</v>
      </c>
      <c r="G1806" s="3564">
        <v>109.8</v>
      </c>
      <c r="H1806" s="3564">
        <v>88.44</v>
      </c>
      <c r="I1806" s="3564">
        <v>21.36</v>
      </c>
      <c r="J1806" s="3565">
        <v>1175135</v>
      </c>
      <c r="K1806" s="3565">
        <v>10702.5</v>
      </c>
      <c r="L1806" s="3565">
        <v>13287.37</v>
      </c>
      <c r="M1806" s="3565">
        <v>0</v>
      </c>
      <c r="N1806" s="3565">
        <v>0</v>
      </c>
      <c r="O1806" s="3563" t="s">
        <v>3453</v>
      </c>
    </row>
    <row r="1807" spans="1:15">
      <c r="A1807" s="3563" t="s">
        <v>6019</v>
      </c>
      <c r="B1807" s="3563" t="s">
        <v>4196</v>
      </c>
      <c r="C1807" s="3563" t="s">
        <v>4197</v>
      </c>
      <c r="D1807" s="3563" t="s">
        <v>4796</v>
      </c>
      <c r="E1807" s="3563" t="s">
        <v>5972</v>
      </c>
      <c r="F1807" s="3563" t="s">
        <v>4797</v>
      </c>
      <c r="G1807" s="3564">
        <v>101.48</v>
      </c>
      <c r="H1807" s="3564">
        <v>81.739999999999995</v>
      </c>
      <c r="I1807" s="3564">
        <v>19.739999999999998</v>
      </c>
      <c r="J1807" s="3565">
        <v>1110192</v>
      </c>
      <c r="K1807" s="3565">
        <v>10940.01</v>
      </c>
      <c r="L1807" s="3565">
        <v>13581.99</v>
      </c>
      <c r="M1807" s="3565">
        <v>0</v>
      </c>
      <c r="N1807" s="3565">
        <v>0</v>
      </c>
      <c r="O1807" s="3563" t="s">
        <v>3453</v>
      </c>
    </row>
    <row r="1808" spans="1:15">
      <c r="A1808" s="3563" t="s">
        <v>6020</v>
      </c>
      <c r="B1808" s="3563" t="s">
        <v>4196</v>
      </c>
      <c r="C1808" s="3563" t="s">
        <v>4197</v>
      </c>
      <c r="D1808" s="3563" t="s">
        <v>4796</v>
      </c>
      <c r="E1808" s="3563" t="s">
        <v>5972</v>
      </c>
      <c r="F1808" s="3563" t="s">
        <v>4797</v>
      </c>
      <c r="G1808" s="3564">
        <v>101.48</v>
      </c>
      <c r="H1808" s="3564">
        <v>81.739999999999995</v>
      </c>
      <c r="I1808" s="3564">
        <v>19.739999999999998</v>
      </c>
      <c r="J1808" s="3565">
        <v>1110192</v>
      </c>
      <c r="K1808" s="3565">
        <v>10940.01</v>
      </c>
      <c r="L1808" s="3565">
        <v>13581.99</v>
      </c>
      <c r="M1808" s="3565">
        <v>0</v>
      </c>
      <c r="N1808" s="3565">
        <v>0</v>
      </c>
      <c r="O1808" s="3563" t="s">
        <v>3453</v>
      </c>
    </row>
    <row r="1809" spans="1:15">
      <c r="A1809" s="3563" t="s">
        <v>6021</v>
      </c>
      <c r="B1809" s="3563" t="s">
        <v>3453</v>
      </c>
      <c r="C1809" s="3563" t="s">
        <v>4197</v>
      </c>
      <c r="D1809" s="3563" t="s">
        <v>4796</v>
      </c>
      <c r="E1809" s="3563" t="s">
        <v>5972</v>
      </c>
      <c r="F1809" s="3563" t="s">
        <v>4797</v>
      </c>
      <c r="G1809" s="3564">
        <v>90.35</v>
      </c>
      <c r="H1809" s="3564">
        <v>72.78</v>
      </c>
      <c r="I1809" s="3564">
        <v>17.57</v>
      </c>
      <c r="J1809" s="3565">
        <v>906500</v>
      </c>
      <c r="K1809" s="3565">
        <v>10033.200000000001</v>
      </c>
      <c r="L1809" s="3565">
        <v>12455.34</v>
      </c>
      <c r="M1809" s="3565">
        <v>0</v>
      </c>
      <c r="N1809" s="3565">
        <v>0</v>
      </c>
      <c r="O1809" s="3563" t="s">
        <v>3453</v>
      </c>
    </row>
    <row r="1810" spans="1:15">
      <c r="A1810" s="3563" t="s">
        <v>6022</v>
      </c>
      <c r="B1810" s="3563" t="s">
        <v>4196</v>
      </c>
      <c r="C1810" s="3563" t="s">
        <v>4197</v>
      </c>
      <c r="D1810" s="3563" t="s">
        <v>4796</v>
      </c>
      <c r="E1810" s="3563" t="s">
        <v>5972</v>
      </c>
      <c r="F1810" s="3563" t="s">
        <v>4797</v>
      </c>
      <c r="G1810" s="3564">
        <v>78.25</v>
      </c>
      <c r="H1810" s="3564">
        <v>63.03</v>
      </c>
      <c r="I1810" s="3564">
        <v>15.22</v>
      </c>
      <c r="J1810" s="3565">
        <v>792478</v>
      </c>
      <c r="K1810" s="3565">
        <v>10127.51</v>
      </c>
      <c r="L1810" s="3565">
        <v>12573.03</v>
      </c>
      <c r="M1810" s="3565">
        <v>0</v>
      </c>
      <c r="N1810" s="3565">
        <v>0</v>
      </c>
      <c r="O1810" s="3563" t="s">
        <v>3453</v>
      </c>
    </row>
    <row r="1811" spans="1:15">
      <c r="A1811" s="3563" t="s">
        <v>6023</v>
      </c>
      <c r="B1811" s="3563" t="s">
        <v>4196</v>
      </c>
      <c r="C1811" s="3563" t="s">
        <v>4197</v>
      </c>
      <c r="D1811" s="3563" t="s">
        <v>4796</v>
      </c>
      <c r="E1811" s="3563" t="s">
        <v>5972</v>
      </c>
      <c r="F1811" s="3563" t="s">
        <v>4797</v>
      </c>
      <c r="G1811" s="3564">
        <v>78.25</v>
      </c>
      <c r="H1811" s="3564">
        <v>63.03</v>
      </c>
      <c r="I1811" s="3564">
        <v>15.22</v>
      </c>
      <c r="J1811" s="3565">
        <v>792478</v>
      </c>
      <c r="K1811" s="3565">
        <v>10127.51</v>
      </c>
      <c r="L1811" s="3565">
        <v>12573.03</v>
      </c>
      <c r="M1811" s="3565">
        <v>0</v>
      </c>
      <c r="N1811" s="3565">
        <v>0</v>
      </c>
      <c r="O1811" s="3563" t="s">
        <v>3453</v>
      </c>
    </row>
    <row r="1812" spans="1:15">
      <c r="A1812" s="3563" t="s">
        <v>6024</v>
      </c>
      <c r="B1812" s="3563" t="s">
        <v>4196</v>
      </c>
      <c r="C1812" s="3563" t="s">
        <v>4197</v>
      </c>
      <c r="D1812" s="3563" t="s">
        <v>4796</v>
      </c>
      <c r="E1812" s="3563" t="s">
        <v>5972</v>
      </c>
      <c r="F1812" s="3563" t="s">
        <v>4797</v>
      </c>
      <c r="G1812" s="3564">
        <v>109.8</v>
      </c>
      <c r="H1812" s="3564">
        <v>88.44</v>
      </c>
      <c r="I1812" s="3564">
        <v>21.36</v>
      </c>
      <c r="J1812" s="3565">
        <v>1173763</v>
      </c>
      <c r="K1812" s="3565">
        <v>10690.01</v>
      </c>
      <c r="L1812" s="3565">
        <v>13271.86</v>
      </c>
      <c r="M1812" s="3565">
        <v>0</v>
      </c>
      <c r="N1812" s="3565">
        <v>0</v>
      </c>
      <c r="O1812" s="3563" t="s">
        <v>3453</v>
      </c>
    </row>
    <row r="1813" spans="1:15">
      <c r="A1813" s="3563" t="s">
        <v>6025</v>
      </c>
      <c r="B1813" s="3563" t="s">
        <v>4196</v>
      </c>
      <c r="C1813" s="3563" t="s">
        <v>4197</v>
      </c>
      <c r="D1813" s="3563" t="s">
        <v>4796</v>
      </c>
      <c r="E1813" s="3563" t="s">
        <v>5972</v>
      </c>
      <c r="F1813" s="3563" t="s">
        <v>4797</v>
      </c>
      <c r="G1813" s="3564">
        <v>101.48</v>
      </c>
      <c r="H1813" s="3564">
        <v>81.739999999999995</v>
      </c>
      <c r="I1813" s="3564">
        <v>19.739999999999998</v>
      </c>
      <c r="J1813" s="3565">
        <v>1096238</v>
      </c>
      <c r="K1813" s="3565">
        <v>10802.5</v>
      </c>
      <c r="L1813" s="3565">
        <v>13411.28</v>
      </c>
      <c r="M1813" s="3565">
        <v>0</v>
      </c>
      <c r="N1813" s="3565">
        <v>0</v>
      </c>
      <c r="O1813" s="3563" t="s">
        <v>3453</v>
      </c>
    </row>
    <row r="1814" spans="1:15">
      <c r="A1814" s="3563" t="s">
        <v>6026</v>
      </c>
      <c r="B1814" s="3563" t="s">
        <v>4196</v>
      </c>
      <c r="C1814" s="3563" t="s">
        <v>4197</v>
      </c>
      <c r="D1814" s="3563" t="s">
        <v>4796</v>
      </c>
      <c r="E1814" s="3563" t="s">
        <v>5972</v>
      </c>
      <c r="F1814" s="3563" t="s">
        <v>4797</v>
      </c>
      <c r="G1814" s="3564">
        <v>101.48</v>
      </c>
      <c r="H1814" s="3564">
        <v>81.739999999999995</v>
      </c>
      <c r="I1814" s="3564">
        <v>19.739999999999998</v>
      </c>
      <c r="J1814" s="3565">
        <v>1096238</v>
      </c>
      <c r="K1814" s="3565">
        <v>10802.5</v>
      </c>
      <c r="L1814" s="3565">
        <v>13411.28</v>
      </c>
      <c r="M1814" s="3565">
        <v>0</v>
      </c>
      <c r="N1814" s="3565">
        <v>0</v>
      </c>
      <c r="O1814" s="3563" t="s">
        <v>3453</v>
      </c>
    </row>
    <row r="1815" spans="1:15">
      <c r="A1815" s="3563" t="s">
        <v>6027</v>
      </c>
      <c r="B1815" s="3563" t="s">
        <v>4196</v>
      </c>
      <c r="C1815" s="3563" t="s">
        <v>4197</v>
      </c>
      <c r="D1815" s="3563" t="s">
        <v>4796</v>
      </c>
      <c r="E1815" s="3563" t="s">
        <v>5972</v>
      </c>
      <c r="F1815" s="3563" t="s">
        <v>4797</v>
      </c>
      <c r="G1815" s="3564">
        <v>90.35</v>
      </c>
      <c r="H1815" s="3564">
        <v>72.78</v>
      </c>
      <c r="I1815" s="3564">
        <v>17.57</v>
      </c>
      <c r="J1815" s="3565">
        <v>903452</v>
      </c>
      <c r="K1815" s="3565">
        <v>9999.4699999999993</v>
      </c>
      <c r="L1815" s="3565">
        <v>12413.47</v>
      </c>
      <c r="M1815" s="3565">
        <v>0</v>
      </c>
      <c r="N1815" s="3565">
        <v>0</v>
      </c>
      <c r="O1815" s="3563" t="s">
        <v>3453</v>
      </c>
    </row>
    <row r="1816" spans="1:15">
      <c r="A1816" s="3563" t="s">
        <v>6028</v>
      </c>
      <c r="B1816" s="3563" t="s">
        <v>4196</v>
      </c>
      <c r="C1816" s="3563" t="s">
        <v>4197</v>
      </c>
      <c r="D1816" s="3563" t="s">
        <v>4796</v>
      </c>
      <c r="E1816" s="3563" t="s">
        <v>5972</v>
      </c>
      <c r="F1816" s="3563" t="s">
        <v>4797</v>
      </c>
      <c r="G1816" s="3564">
        <v>78.25</v>
      </c>
      <c r="H1816" s="3564">
        <v>63.03</v>
      </c>
      <c r="I1816" s="3564">
        <v>15.22</v>
      </c>
      <c r="J1816" s="3565">
        <v>784120</v>
      </c>
      <c r="K1816" s="3565">
        <v>10020.700000000001</v>
      </c>
      <c r="L1816" s="3565">
        <v>12440.43</v>
      </c>
      <c r="M1816" s="3565">
        <v>0</v>
      </c>
      <c r="N1816" s="3565">
        <v>0</v>
      </c>
      <c r="O1816" s="3563" t="s">
        <v>3453</v>
      </c>
    </row>
    <row r="1817" spans="1:15">
      <c r="A1817" s="3563" t="s">
        <v>6029</v>
      </c>
      <c r="B1817" s="3563" t="s">
        <v>4196</v>
      </c>
      <c r="C1817" s="3563" t="s">
        <v>4197</v>
      </c>
      <c r="D1817" s="3563" t="s">
        <v>4796</v>
      </c>
      <c r="E1817" s="3563" t="s">
        <v>5972</v>
      </c>
      <c r="F1817" s="3563" t="s">
        <v>4797</v>
      </c>
      <c r="G1817" s="3564">
        <v>78.25</v>
      </c>
      <c r="H1817" s="3564">
        <v>63.03</v>
      </c>
      <c r="I1817" s="3564">
        <v>15.22</v>
      </c>
      <c r="J1817" s="3565">
        <v>784120</v>
      </c>
      <c r="K1817" s="3565">
        <v>10020.700000000001</v>
      </c>
      <c r="L1817" s="3565">
        <v>12440.43</v>
      </c>
      <c r="M1817" s="3565">
        <v>0</v>
      </c>
      <c r="N1817" s="3565">
        <v>0</v>
      </c>
      <c r="O1817" s="3563" t="s">
        <v>3453</v>
      </c>
    </row>
    <row r="1818" spans="1:15">
      <c r="A1818" s="3563" t="s">
        <v>6030</v>
      </c>
      <c r="B1818" s="3563" t="s">
        <v>4196</v>
      </c>
      <c r="C1818" s="3563" t="s">
        <v>4197</v>
      </c>
      <c r="D1818" s="3563" t="s">
        <v>4796</v>
      </c>
      <c r="E1818" s="3563" t="s">
        <v>5972</v>
      </c>
      <c r="F1818" s="3563" t="s">
        <v>4797</v>
      </c>
      <c r="G1818" s="3564">
        <v>109.8</v>
      </c>
      <c r="H1818" s="3564">
        <v>88.44</v>
      </c>
      <c r="I1818" s="3564">
        <v>21.36</v>
      </c>
      <c r="J1818" s="3565">
        <v>1158665</v>
      </c>
      <c r="K1818" s="3565">
        <v>10552.5</v>
      </c>
      <c r="L1818" s="3565">
        <v>13101.14</v>
      </c>
      <c r="M1818" s="3565">
        <v>0</v>
      </c>
      <c r="N1818" s="3565">
        <v>0</v>
      </c>
      <c r="O1818" s="3563" t="s">
        <v>3453</v>
      </c>
    </row>
    <row r="1819" spans="1:15">
      <c r="A1819" s="3563" t="s">
        <v>6031</v>
      </c>
      <c r="B1819" s="3563" t="s">
        <v>4196</v>
      </c>
      <c r="C1819" s="3563" t="s">
        <v>4197</v>
      </c>
      <c r="D1819" s="3563" t="s">
        <v>4796</v>
      </c>
      <c r="E1819" s="3563" t="s">
        <v>5972</v>
      </c>
      <c r="F1819" s="3563" t="s">
        <v>4797</v>
      </c>
      <c r="G1819" s="3564">
        <v>101.48</v>
      </c>
      <c r="H1819" s="3564">
        <v>81.739999999999995</v>
      </c>
      <c r="I1819" s="3564">
        <v>19.739999999999998</v>
      </c>
      <c r="J1819" s="3565">
        <v>1107654</v>
      </c>
      <c r="K1819" s="3565">
        <v>10915</v>
      </c>
      <c r="L1819" s="3565">
        <v>13550.94</v>
      </c>
      <c r="M1819" s="3565">
        <v>0</v>
      </c>
      <c r="N1819" s="3565">
        <v>0</v>
      </c>
      <c r="O1819" s="3563" t="s">
        <v>3453</v>
      </c>
    </row>
    <row r="1820" spans="1:15">
      <c r="A1820" s="3563" t="s">
        <v>6032</v>
      </c>
      <c r="B1820" s="3563" t="s">
        <v>4196</v>
      </c>
      <c r="C1820" s="3563" t="s">
        <v>4197</v>
      </c>
      <c r="D1820" s="3563" t="s">
        <v>4796</v>
      </c>
      <c r="E1820" s="3563" t="s">
        <v>5972</v>
      </c>
      <c r="F1820" s="3563" t="s">
        <v>4797</v>
      </c>
      <c r="G1820" s="3564">
        <v>101.48</v>
      </c>
      <c r="H1820" s="3564">
        <v>81.739999999999995</v>
      </c>
      <c r="I1820" s="3564">
        <v>19.739999999999998</v>
      </c>
      <c r="J1820" s="3565">
        <v>1107654</v>
      </c>
      <c r="K1820" s="3565">
        <v>10915</v>
      </c>
      <c r="L1820" s="3565">
        <v>13550.94</v>
      </c>
      <c r="M1820" s="3565">
        <v>0</v>
      </c>
      <c r="N1820" s="3565">
        <v>0</v>
      </c>
      <c r="O1820" s="3563" t="s">
        <v>3453</v>
      </c>
    </row>
    <row r="1821" spans="1:15">
      <c r="A1821" s="3563" t="s">
        <v>6033</v>
      </c>
      <c r="B1821" s="3563" t="s">
        <v>4196</v>
      </c>
      <c r="C1821" s="3563" t="s">
        <v>4197</v>
      </c>
      <c r="D1821" s="3563" t="s">
        <v>4796</v>
      </c>
      <c r="E1821" s="3563" t="s">
        <v>5972</v>
      </c>
      <c r="F1821" s="3563" t="s">
        <v>4797</v>
      </c>
      <c r="G1821" s="3564">
        <v>90.35</v>
      </c>
      <c r="H1821" s="3564">
        <v>72.78</v>
      </c>
      <c r="I1821" s="3564">
        <v>17.57</v>
      </c>
      <c r="J1821" s="3565">
        <v>904242</v>
      </c>
      <c r="K1821" s="3565">
        <v>10008.209999999999</v>
      </c>
      <c r="L1821" s="3565">
        <v>12424.32</v>
      </c>
      <c r="M1821" s="3565">
        <v>0</v>
      </c>
      <c r="N1821" s="3565">
        <v>0</v>
      </c>
      <c r="O1821" s="3563" t="s">
        <v>3453</v>
      </c>
    </row>
    <row r="1822" spans="1:15">
      <c r="A1822" s="3563" t="s">
        <v>6034</v>
      </c>
      <c r="B1822" s="3563" t="s">
        <v>4196</v>
      </c>
      <c r="C1822" s="3563" t="s">
        <v>4197</v>
      </c>
      <c r="D1822" s="3563" t="s">
        <v>4796</v>
      </c>
      <c r="E1822" s="3563" t="s">
        <v>5972</v>
      </c>
      <c r="F1822" s="3563" t="s">
        <v>4797</v>
      </c>
      <c r="G1822" s="3564">
        <v>78.25</v>
      </c>
      <c r="H1822" s="3564">
        <v>63.03</v>
      </c>
      <c r="I1822" s="3564">
        <v>15.22</v>
      </c>
      <c r="J1822" s="3565">
        <v>790522</v>
      </c>
      <c r="K1822" s="3565">
        <v>10102.52</v>
      </c>
      <c r="L1822" s="3565">
        <v>12542</v>
      </c>
      <c r="M1822" s="3565">
        <v>0</v>
      </c>
      <c r="N1822" s="3565">
        <v>0</v>
      </c>
      <c r="O1822" s="3563" t="s">
        <v>3453</v>
      </c>
    </row>
    <row r="1823" spans="1:15">
      <c r="A1823" s="3563" t="s">
        <v>6035</v>
      </c>
      <c r="B1823" s="3563" t="s">
        <v>4196</v>
      </c>
      <c r="C1823" s="3563" t="s">
        <v>4197</v>
      </c>
      <c r="D1823" s="3563" t="s">
        <v>4796</v>
      </c>
      <c r="E1823" s="3563" t="s">
        <v>5972</v>
      </c>
      <c r="F1823" s="3563" t="s">
        <v>4797</v>
      </c>
      <c r="G1823" s="3564">
        <v>78.25</v>
      </c>
      <c r="H1823" s="3564">
        <v>63.03</v>
      </c>
      <c r="I1823" s="3564">
        <v>15.22</v>
      </c>
      <c r="J1823" s="3565">
        <v>790522</v>
      </c>
      <c r="K1823" s="3565">
        <v>10102.52</v>
      </c>
      <c r="L1823" s="3565">
        <v>12542</v>
      </c>
      <c r="M1823" s="3565">
        <v>0</v>
      </c>
      <c r="N1823" s="3565">
        <v>0</v>
      </c>
      <c r="O1823" s="3563" t="s">
        <v>3453</v>
      </c>
    </row>
    <row r="1824" spans="1:15">
      <c r="A1824" s="3563" t="s">
        <v>6036</v>
      </c>
      <c r="B1824" s="3563" t="s">
        <v>4196</v>
      </c>
      <c r="C1824" s="3563" t="s">
        <v>4197</v>
      </c>
      <c r="D1824" s="3563" t="s">
        <v>4796</v>
      </c>
      <c r="E1824" s="3563" t="s">
        <v>5972</v>
      </c>
      <c r="F1824" s="3563" t="s">
        <v>4797</v>
      </c>
      <c r="G1824" s="3564">
        <v>109.8</v>
      </c>
      <c r="H1824" s="3564">
        <v>88.44</v>
      </c>
      <c r="I1824" s="3564">
        <v>21.36</v>
      </c>
      <c r="J1824" s="3565">
        <v>1171018</v>
      </c>
      <c r="K1824" s="3565">
        <v>10665.01</v>
      </c>
      <c r="L1824" s="3565">
        <v>13240.82</v>
      </c>
      <c r="M1824" s="3565">
        <v>0</v>
      </c>
      <c r="N1824" s="3565">
        <v>0</v>
      </c>
      <c r="O1824" s="3563" t="s">
        <v>3453</v>
      </c>
    </row>
    <row r="1825" spans="1:15">
      <c r="A1825" s="3563" t="s">
        <v>6037</v>
      </c>
      <c r="B1825" s="3563" t="s">
        <v>4196</v>
      </c>
      <c r="C1825" s="3563" t="s">
        <v>4197</v>
      </c>
      <c r="D1825" s="3563" t="s">
        <v>4796</v>
      </c>
      <c r="E1825" s="3563" t="s">
        <v>5972</v>
      </c>
      <c r="F1825" s="3563" t="s">
        <v>4797</v>
      </c>
      <c r="G1825" s="3564">
        <v>103.05</v>
      </c>
      <c r="H1825" s="3564">
        <v>81.739999999999995</v>
      </c>
      <c r="I1825" s="3564">
        <v>21.31</v>
      </c>
      <c r="J1825" s="3565">
        <v>1070690</v>
      </c>
      <c r="K1825" s="3565">
        <v>10390</v>
      </c>
      <c r="L1825" s="3565">
        <v>13098.73</v>
      </c>
      <c r="M1825" s="3565">
        <v>0</v>
      </c>
      <c r="N1825" s="3565">
        <v>0</v>
      </c>
      <c r="O1825" s="3563" t="s">
        <v>3453</v>
      </c>
    </row>
    <row r="1826" spans="1:15">
      <c r="A1826" s="3563" t="s">
        <v>6038</v>
      </c>
      <c r="B1826" s="3563" t="s">
        <v>4196</v>
      </c>
      <c r="C1826" s="3563" t="s">
        <v>4197</v>
      </c>
      <c r="D1826" s="3563" t="s">
        <v>4796</v>
      </c>
      <c r="E1826" s="3563" t="s">
        <v>5972</v>
      </c>
      <c r="F1826" s="3563" t="s">
        <v>4797</v>
      </c>
      <c r="G1826" s="3564">
        <v>103.05</v>
      </c>
      <c r="H1826" s="3564">
        <v>81.739999999999995</v>
      </c>
      <c r="I1826" s="3564">
        <v>21.31</v>
      </c>
      <c r="J1826" s="3565">
        <v>1070690</v>
      </c>
      <c r="K1826" s="3565">
        <v>10390</v>
      </c>
      <c r="L1826" s="3565">
        <v>13098.73</v>
      </c>
      <c r="M1826" s="3565">
        <v>0</v>
      </c>
      <c r="N1826" s="3565">
        <v>0</v>
      </c>
      <c r="O1826" s="3563" t="s">
        <v>3453</v>
      </c>
    </row>
    <row r="1827" spans="1:15">
      <c r="A1827" s="3563" t="s">
        <v>6039</v>
      </c>
      <c r="B1827" s="3563" t="s">
        <v>4196</v>
      </c>
      <c r="C1827" s="3563" t="s">
        <v>4197</v>
      </c>
      <c r="D1827" s="3563" t="s">
        <v>4796</v>
      </c>
      <c r="E1827" s="3563" t="s">
        <v>5972</v>
      </c>
      <c r="F1827" s="3563" t="s">
        <v>4797</v>
      </c>
      <c r="G1827" s="3564">
        <v>91.75</v>
      </c>
      <c r="H1827" s="3564">
        <v>72.78</v>
      </c>
      <c r="I1827" s="3564">
        <v>18.97</v>
      </c>
      <c r="J1827" s="3565">
        <v>917450</v>
      </c>
      <c r="K1827" s="3565">
        <v>9999.4599999999991</v>
      </c>
      <c r="L1827" s="3565">
        <v>12605.8</v>
      </c>
      <c r="M1827" s="3565">
        <v>0</v>
      </c>
      <c r="N1827" s="3565">
        <v>0</v>
      </c>
      <c r="O1827" s="3563" t="s">
        <v>3453</v>
      </c>
    </row>
    <row r="1828" spans="1:15">
      <c r="A1828" s="3563" t="s">
        <v>6040</v>
      </c>
      <c r="B1828" s="3563" t="s">
        <v>4196</v>
      </c>
      <c r="C1828" s="3563" t="s">
        <v>4197</v>
      </c>
      <c r="D1828" s="3563" t="s">
        <v>4796</v>
      </c>
      <c r="E1828" s="3563" t="s">
        <v>5972</v>
      </c>
      <c r="F1828" s="3563" t="s">
        <v>4797</v>
      </c>
      <c r="G1828" s="3564">
        <v>79.459999999999994</v>
      </c>
      <c r="H1828" s="3564">
        <v>63.03</v>
      </c>
      <c r="I1828" s="3564">
        <v>16.43</v>
      </c>
      <c r="J1828" s="3565">
        <v>794558</v>
      </c>
      <c r="K1828" s="3565">
        <v>9999.4699999999993</v>
      </c>
      <c r="L1828" s="3565">
        <v>12606.03</v>
      </c>
      <c r="M1828" s="3565">
        <v>0</v>
      </c>
      <c r="N1828" s="3565">
        <v>0</v>
      </c>
      <c r="O1828" s="3563" t="s">
        <v>3453</v>
      </c>
    </row>
    <row r="1829" spans="1:15">
      <c r="A1829" s="3563" t="s">
        <v>6041</v>
      </c>
      <c r="B1829" s="3563" t="s">
        <v>4196</v>
      </c>
      <c r="C1829" s="3563" t="s">
        <v>4197</v>
      </c>
      <c r="D1829" s="3563" t="s">
        <v>4796</v>
      </c>
      <c r="E1829" s="3563" t="s">
        <v>5972</v>
      </c>
      <c r="F1829" s="3563" t="s">
        <v>4797</v>
      </c>
      <c r="G1829" s="3564">
        <v>79.459999999999994</v>
      </c>
      <c r="H1829" s="3564">
        <v>63.03</v>
      </c>
      <c r="I1829" s="3564">
        <v>16.43</v>
      </c>
      <c r="J1829" s="3565">
        <v>794558</v>
      </c>
      <c r="K1829" s="3565">
        <v>9999.4699999999993</v>
      </c>
      <c r="L1829" s="3565">
        <v>12606.03</v>
      </c>
      <c r="M1829" s="3565">
        <v>0</v>
      </c>
      <c r="N1829" s="3565">
        <v>0</v>
      </c>
      <c r="O1829" s="3563" t="s">
        <v>3453</v>
      </c>
    </row>
    <row r="1830" spans="1:15">
      <c r="A1830" s="3563" t="s">
        <v>6042</v>
      </c>
      <c r="B1830" s="3563" t="s">
        <v>4196</v>
      </c>
      <c r="C1830" s="3563" t="s">
        <v>4197</v>
      </c>
      <c r="D1830" s="3563" t="s">
        <v>4796</v>
      </c>
      <c r="E1830" s="3563" t="s">
        <v>5972</v>
      </c>
      <c r="F1830" s="3563" t="s">
        <v>4797</v>
      </c>
      <c r="G1830" s="3564">
        <v>101.48</v>
      </c>
      <c r="H1830" s="3564">
        <v>81.739999999999995</v>
      </c>
      <c r="I1830" s="3564">
        <v>19.739999999999998</v>
      </c>
      <c r="J1830" s="3565">
        <v>1106387</v>
      </c>
      <c r="K1830" s="3565">
        <v>10902.51</v>
      </c>
      <c r="L1830" s="3565">
        <v>13535.44</v>
      </c>
      <c r="M1830" s="3565">
        <v>0</v>
      </c>
      <c r="N1830" s="3565">
        <v>0</v>
      </c>
      <c r="O1830" s="3563" t="s">
        <v>3453</v>
      </c>
    </row>
    <row r="1831" spans="1:15">
      <c r="A1831" s="3563" t="s">
        <v>6043</v>
      </c>
      <c r="B1831" s="3563" t="s">
        <v>4196</v>
      </c>
      <c r="C1831" s="3563" t="s">
        <v>4197</v>
      </c>
      <c r="D1831" s="3563" t="s">
        <v>4796</v>
      </c>
      <c r="E1831" s="3563" t="s">
        <v>5972</v>
      </c>
      <c r="F1831" s="3563" t="s">
        <v>4797</v>
      </c>
      <c r="G1831" s="3564">
        <v>101.48</v>
      </c>
      <c r="H1831" s="3564">
        <v>81.739999999999995</v>
      </c>
      <c r="I1831" s="3564">
        <v>19.739999999999998</v>
      </c>
      <c r="J1831" s="3565">
        <v>1106387</v>
      </c>
      <c r="K1831" s="3565">
        <v>10902.51</v>
      </c>
      <c r="L1831" s="3565">
        <v>13535.44</v>
      </c>
      <c r="M1831" s="3565">
        <v>0</v>
      </c>
      <c r="N1831" s="3565">
        <v>0</v>
      </c>
      <c r="O1831" s="3563" t="s">
        <v>3453</v>
      </c>
    </row>
    <row r="1832" spans="1:15">
      <c r="A1832" s="3563" t="s">
        <v>6044</v>
      </c>
      <c r="B1832" s="3563" t="s">
        <v>4196</v>
      </c>
      <c r="C1832" s="3563" t="s">
        <v>4197</v>
      </c>
      <c r="D1832" s="3563" t="s">
        <v>4796</v>
      </c>
      <c r="E1832" s="3563" t="s">
        <v>5972</v>
      </c>
      <c r="F1832" s="3563" t="s">
        <v>4797</v>
      </c>
      <c r="G1832" s="3564">
        <v>90.35</v>
      </c>
      <c r="H1832" s="3564">
        <v>72.78</v>
      </c>
      <c r="I1832" s="3564">
        <v>17.57</v>
      </c>
      <c r="J1832" s="3565">
        <v>903452</v>
      </c>
      <c r="K1832" s="3565">
        <v>9999.4699999999993</v>
      </c>
      <c r="L1832" s="3565">
        <v>12413.47</v>
      </c>
      <c r="M1832" s="3565">
        <v>0</v>
      </c>
      <c r="N1832" s="3565">
        <v>0</v>
      </c>
      <c r="O1832" s="3563" t="s">
        <v>3453</v>
      </c>
    </row>
    <row r="1833" spans="1:15">
      <c r="A1833" s="3563" t="s">
        <v>6045</v>
      </c>
      <c r="B1833" s="3563" t="s">
        <v>4196</v>
      </c>
      <c r="C1833" s="3563" t="s">
        <v>4197</v>
      </c>
      <c r="D1833" s="3563" t="s">
        <v>4796</v>
      </c>
      <c r="E1833" s="3563" t="s">
        <v>5972</v>
      </c>
      <c r="F1833" s="3563" t="s">
        <v>4797</v>
      </c>
      <c r="G1833" s="3564">
        <v>78.25</v>
      </c>
      <c r="H1833" s="3564">
        <v>63.03</v>
      </c>
      <c r="I1833" s="3564">
        <v>15.22</v>
      </c>
      <c r="J1833" s="3565">
        <v>789543</v>
      </c>
      <c r="K1833" s="3565">
        <v>10090.01</v>
      </c>
      <c r="L1833" s="3565">
        <v>12526.46</v>
      </c>
      <c r="M1833" s="3565">
        <v>0</v>
      </c>
      <c r="N1833" s="3565">
        <v>0</v>
      </c>
      <c r="O1833" s="3563" t="s">
        <v>3453</v>
      </c>
    </row>
    <row r="1834" spans="1:15">
      <c r="A1834" s="3563" t="s">
        <v>6046</v>
      </c>
      <c r="B1834" s="3563" t="s">
        <v>4196</v>
      </c>
      <c r="C1834" s="3563" t="s">
        <v>4197</v>
      </c>
      <c r="D1834" s="3563" t="s">
        <v>4796</v>
      </c>
      <c r="E1834" s="3563" t="s">
        <v>5972</v>
      </c>
      <c r="F1834" s="3563" t="s">
        <v>4797</v>
      </c>
      <c r="G1834" s="3564">
        <v>78.25</v>
      </c>
      <c r="H1834" s="3564">
        <v>63.03</v>
      </c>
      <c r="I1834" s="3564">
        <v>15.22</v>
      </c>
      <c r="J1834" s="3565">
        <v>789543</v>
      </c>
      <c r="K1834" s="3565">
        <v>10090.01</v>
      </c>
      <c r="L1834" s="3565">
        <v>12526.46</v>
      </c>
      <c r="M1834" s="3565">
        <v>0</v>
      </c>
      <c r="N1834" s="3565">
        <v>0</v>
      </c>
      <c r="O1834" s="3563" t="s">
        <v>3453</v>
      </c>
    </row>
    <row r="1835" spans="1:15">
      <c r="A1835" s="3563" t="s">
        <v>6047</v>
      </c>
      <c r="B1835" s="3563" t="s">
        <v>4196</v>
      </c>
      <c r="C1835" s="3563" t="s">
        <v>4197</v>
      </c>
      <c r="D1835" s="3563" t="s">
        <v>4796</v>
      </c>
      <c r="E1835" s="3563" t="s">
        <v>5972</v>
      </c>
      <c r="F1835" s="3563" t="s">
        <v>4797</v>
      </c>
      <c r="G1835" s="3564">
        <v>109.8</v>
      </c>
      <c r="H1835" s="3564">
        <v>88.44</v>
      </c>
      <c r="I1835" s="3564">
        <v>21.36</v>
      </c>
      <c r="J1835" s="3565">
        <v>1169645</v>
      </c>
      <c r="K1835" s="3565">
        <v>10652.5</v>
      </c>
      <c r="L1835" s="3565">
        <v>13225.29</v>
      </c>
      <c r="M1835" s="3565">
        <v>0</v>
      </c>
      <c r="N1835" s="3565">
        <v>0</v>
      </c>
      <c r="O1835" s="3563" t="s">
        <v>3453</v>
      </c>
    </row>
    <row r="1836" spans="1:15">
      <c r="A1836" s="3563" t="s">
        <v>6048</v>
      </c>
      <c r="B1836" s="3563" t="s">
        <v>3453</v>
      </c>
      <c r="C1836" s="3563" t="s">
        <v>4197</v>
      </c>
      <c r="D1836" s="3563" t="s">
        <v>4796</v>
      </c>
      <c r="E1836" s="3563" t="s">
        <v>5972</v>
      </c>
      <c r="F1836" s="3563" t="s">
        <v>4797</v>
      </c>
      <c r="G1836" s="3564">
        <v>101.48</v>
      </c>
      <c r="H1836" s="3564">
        <v>81.739999999999995</v>
      </c>
      <c r="I1836" s="3564">
        <v>19.739999999999998</v>
      </c>
      <c r="J1836" s="3565">
        <v>1105118</v>
      </c>
      <c r="K1836" s="3565">
        <v>10890.01</v>
      </c>
      <c r="L1836" s="3565">
        <v>13519.92</v>
      </c>
      <c r="M1836" s="3565">
        <v>0</v>
      </c>
      <c r="N1836" s="3565">
        <v>0</v>
      </c>
      <c r="O1836" s="3563" t="s">
        <v>3453</v>
      </c>
    </row>
    <row r="1837" spans="1:15">
      <c r="A1837" s="3563" t="s">
        <v>6049</v>
      </c>
      <c r="B1837" s="3563" t="s">
        <v>3453</v>
      </c>
      <c r="C1837" s="3563" t="s">
        <v>4197</v>
      </c>
      <c r="D1837" s="3563" t="s">
        <v>4796</v>
      </c>
      <c r="E1837" s="3563" t="s">
        <v>5972</v>
      </c>
      <c r="F1837" s="3563" t="s">
        <v>4797</v>
      </c>
      <c r="G1837" s="3564">
        <v>101.48</v>
      </c>
      <c r="H1837" s="3564">
        <v>81.739999999999995</v>
      </c>
      <c r="I1837" s="3564">
        <v>19.739999999999998</v>
      </c>
      <c r="J1837" s="3565">
        <v>1105118</v>
      </c>
      <c r="K1837" s="3565">
        <v>10890.01</v>
      </c>
      <c r="L1837" s="3565">
        <v>13519.92</v>
      </c>
      <c r="M1837" s="3565">
        <v>0</v>
      </c>
      <c r="N1837" s="3565">
        <v>0</v>
      </c>
      <c r="O1837" s="3563" t="s">
        <v>3453</v>
      </c>
    </row>
    <row r="1838" spans="1:15">
      <c r="A1838" s="3563" t="s">
        <v>6050</v>
      </c>
      <c r="B1838" s="3563" t="s">
        <v>4196</v>
      </c>
      <c r="C1838" s="3563" t="s">
        <v>4197</v>
      </c>
      <c r="D1838" s="3563" t="s">
        <v>4796</v>
      </c>
      <c r="E1838" s="3563" t="s">
        <v>5972</v>
      </c>
      <c r="F1838" s="3563" t="s">
        <v>4797</v>
      </c>
      <c r="G1838" s="3564">
        <v>90.35</v>
      </c>
      <c r="H1838" s="3564">
        <v>72.78</v>
      </c>
      <c r="I1838" s="3564">
        <v>17.57</v>
      </c>
      <c r="J1838" s="3565">
        <v>903452</v>
      </c>
      <c r="K1838" s="3565">
        <v>9999.4699999999993</v>
      </c>
      <c r="L1838" s="3565">
        <v>12413.47</v>
      </c>
      <c r="M1838" s="3565">
        <v>0</v>
      </c>
      <c r="N1838" s="3565">
        <v>0</v>
      </c>
      <c r="O1838" s="3563" t="s">
        <v>3453</v>
      </c>
    </row>
    <row r="1839" spans="1:15">
      <c r="A1839" s="3563" t="s">
        <v>6051</v>
      </c>
      <c r="B1839" s="3563" t="s">
        <v>4196</v>
      </c>
      <c r="C1839" s="3563" t="s">
        <v>4197</v>
      </c>
      <c r="D1839" s="3563" t="s">
        <v>4796</v>
      </c>
      <c r="E1839" s="3563" t="s">
        <v>5972</v>
      </c>
      <c r="F1839" s="3563" t="s">
        <v>4797</v>
      </c>
      <c r="G1839" s="3564">
        <v>78.25</v>
      </c>
      <c r="H1839" s="3564">
        <v>63.03</v>
      </c>
      <c r="I1839" s="3564">
        <v>15.22</v>
      </c>
      <c r="J1839" s="3565">
        <v>788565</v>
      </c>
      <c r="K1839" s="3565">
        <v>10077.51</v>
      </c>
      <c r="L1839" s="3565">
        <v>12510.95</v>
      </c>
      <c r="M1839" s="3565">
        <v>0</v>
      </c>
      <c r="N1839" s="3565">
        <v>0</v>
      </c>
      <c r="O1839" s="3563" t="s">
        <v>3453</v>
      </c>
    </row>
    <row r="1840" spans="1:15">
      <c r="A1840" s="3563" t="s">
        <v>6052</v>
      </c>
      <c r="B1840" s="3563" t="s">
        <v>4196</v>
      </c>
      <c r="C1840" s="3563" t="s">
        <v>4197</v>
      </c>
      <c r="D1840" s="3563" t="s">
        <v>4796</v>
      </c>
      <c r="E1840" s="3563" t="s">
        <v>5972</v>
      </c>
      <c r="F1840" s="3563" t="s">
        <v>4797</v>
      </c>
      <c r="G1840" s="3564">
        <v>78.25</v>
      </c>
      <c r="H1840" s="3564">
        <v>63.03</v>
      </c>
      <c r="I1840" s="3564">
        <v>15.22</v>
      </c>
      <c r="J1840" s="3565">
        <v>788565</v>
      </c>
      <c r="K1840" s="3565">
        <v>10077.51</v>
      </c>
      <c r="L1840" s="3565">
        <v>12510.95</v>
      </c>
      <c r="M1840" s="3565">
        <v>0</v>
      </c>
      <c r="N1840" s="3565">
        <v>0</v>
      </c>
      <c r="O1840" s="3563" t="s">
        <v>3453</v>
      </c>
    </row>
    <row r="1841" spans="1:15">
      <c r="A1841" s="3563" t="s">
        <v>6053</v>
      </c>
      <c r="B1841" s="3563" t="s">
        <v>4196</v>
      </c>
      <c r="C1841" s="3563" t="s">
        <v>4197</v>
      </c>
      <c r="D1841" s="3563" t="s">
        <v>4796</v>
      </c>
      <c r="E1841" s="3563" t="s">
        <v>5972</v>
      </c>
      <c r="F1841" s="3563" t="s">
        <v>4797</v>
      </c>
      <c r="G1841" s="3564">
        <v>109.8</v>
      </c>
      <c r="H1841" s="3564">
        <v>88.44</v>
      </c>
      <c r="I1841" s="3564">
        <v>21.36</v>
      </c>
      <c r="J1841" s="3565">
        <v>1168273</v>
      </c>
      <c r="K1841" s="3565">
        <v>10640.01</v>
      </c>
      <c r="L1841" s="3565">
        <v>13209.78</v>
      </c>
      <c r="M1841" s="3565">
        <v>0</v>
      </c>
      <c r="N1841" s="3565">
        <v>0</v>
      </c>
      <c r="O1841" s="3563" t="s">
        <v>3453</v>
      </c>
    </row>
    <row r="1842" spans="1:15">
      <c r="A1842" s="3563" t="s">
        <v>6054</v>
      </c>
      <c r="B1842" s="3563" t="s">
        <v>3453</v>
      </c>
      <c r="C1842" s="3563" t="s">
        <v>4197</v>
      </c>
      <c r="D1842" s="3563" t="s">
        <v>4796</v>
      </c>
      <c r="E1842" s="3563" t="s">
        <v>5972</v>
      </c>
      <c r="F1842" s="3563" t="s">
        <v>4797</v>
      </c>
      <c r="G1842" s="3564">
        <v>101.48</v>
      </c>
      <c r="H1842" s="3564">
        <v>81.739999999999995</v>
      </c>
      <c r="I1842" s="3564">
        <v>19.739999999999998</v>
      </c>
      <c r="J1842" s="3565">
        <v>1103849</v>
      </c>
      <c r="K1842" s="3565">
        <v>10877.5</v>
      </c>
      <c r="L1842" s="3565">
        <v>13504.39</v>
      </c>
      <c r="M1842" s="3565">
        <v>0</v>
      </c>
      <c r="N1842" s="3565">
        <v>0</v>
      </c>
      <c r="O1842" s="3563" t="s">
        <v>3453</v>
      </c>
    </row>
    <row r="1843" spans="1:15">
      <c r="A1843" s="3563" t="s">
        <v>6055</v>
      </c>
      <c r="B1843" s="3563" t="s">
        <v>3453</v>
      </c>
      <c r="C1843" s="3563" t="s">
        <v>4197</v>
      </c>
      <c r="D1843" s="3563" t="s">
        <v>4796</v>
      </c>
      <c r="E1843" s="3563" t="s">
        <v>5972</v>
      </c>
      <c r="F1843" s="3563" t="s">
        <v>4797</v>
      </c>
      <c r="G1843" s="3564">
        <v>101.48</v>
      </c>
      <c r="H1843" s="3564">
        <v>81.739999999999995</v>
      </c>
      <c r="I1843" s="3564">
        <v>19.739999999999998</v>
      </c>
      <c r="J1843" s="3565">
        <v>1103849</v>
      </c>
      <c r="K1843" s="3565">
        <v>10877.5</v>
      </c>
      <c r="L1843" s="3565">
        <v>13504.39</v>
      </c>
      <c r="M1843" s="3565">
        <v>0</v>
      </c>
      <c r="N1843" s="3565">
        <v>0</v>
      </c>
      <c r="O1843" s="3563" t="s">
        <v>3453</v>
      </c>
    </row>
    <row r="1844" spans="1:15">
      <c r="A1844" s="3563" t="s">
        <v>6056</v>
      </c>
      <c r="B1844" s="3563" t="s">
        <v>4196</v>
      </c>
      <c r="C1844" s="3563" t="s">
        <v>4197</v>
      </c>
      <c r="D1844" s="3563" t="s">
        <v>4796</v>
      </c>
      <c r="E1844" s="3563" t="s">
        <v>5972</v>
      </c>
      <c r="F1844" s="3563" t="s">
        <v>4797</v>
      </c>
      <c r="G1844" s="3564">
        <v>90.35</v>
      </c>
      <c r="H1844" s="3564">
        <v>72.78</v>
      </c>
      <c r="I1844" s="3564">
        <v>17.57</v>
      </c>
      <c r="J1844" s="3565">
        <v>903452</v>
      </c>
      <c r="K1844" s="3565">
        <v>9999.4699999999993</v>
      </c>
      <c r="L1844" s="3565">
        <v>12413.47</v>
      </c>
      <c r="M1844" s="3565">
        <v>0</v>
      </c>
      <c r="N1844" s="3565">
        <v>0</v>
      </c>
      <c r="O1844" s="3563" t="s">
        <v>3453</v>
      </c>
    </row>
    <row r="1845" spans="1:15">
      <c r="A1845" s="3563" t="s">
        <v>6057</v>
      </c>
      <c r="B1845" s="3563" t="s">
        <v>4196</v>
      </c>
      <c r="C1845" s="3563" t="s">
        <v>4197</v>
      </c>
      <c r="D1845" s="3563" t="s">
        <v>4796</v>
      </c>
      <c r="E1845" s="3563" t="s">
        <v>5972</v>
      </c>
      <c r="F1845" s="3563" t="s">
        <v>4797</v>
      </c>
      <c r="G1845" s="3564">
        <v>78.25</v>
      </c>
      <c r="H1845" s="3564">
        <v>63.03</v>
      </c>
      <c r="I1845" s="3564">
        <v>15.22</v>
      </c>
      <c r="J1845" s="3565">
        <v>787587</v>
      </c>
      <c r="K1845" s="3565">
        <v>10065.01</v>
      </c>
      <c r="L1845" s="3565">
        <v>12495.43</v>
      </c>
      <c r="M1845" s="3565">
        <v>0</v>
      </c>
      <c r="N1845" s="3565">
        <v>0</v>
      </c>
      <c r="O1845" s="3563" t="s">
        <v>3453</v>
      </c>
    </row>
    <row r="1846" spans="1:15">
      <c r="A1846" s="3563" t="s">
        <v>6058</v>
      </c>
      <c r="B1846" s="3563" t="s">
        <v>4196</v>
      </c>
      <c r="C1846" s="3563" t="s">
        <v>4197</v>
      </c>
      <c r="D1846" s="3563" t="s">
        <v>4796</v>
      </c>
      <c r="E1846" s="3563" t="s">
        <v>5972</v>
      </c>
      <c r="F1846" s="3563" t="s">
        <v>4797</v>
      </c>
      <c r="G1846" s="3564">
        <v>78.25</v>
      </c>
      <c r="H1846" s="3564">
        <v>63.03</v>
      </c>
      <c r="I1846" s="3564">
        <v>15.22</v>
      </c>
      <c r="J1846" s="3565">
        <v>787587</v>
      </c>
      <c r="K1846" s="3565">
        <v>10065.01</v>
      </c>
      <c r="L1846" s="3565">
        <v>12495.43</v>
      </c>
      <c r="M1846" s="3565">
        <v>0</v>
      </c>
      <c r="N1846" s="3565">
        <v>0</v>
      </c>
      <c r="O1846" s="3563" t="s">
        <v>3453</v>
      </c>
    </row>
    <row r="1847" spans="1:15">
      <c r="A1847" s="3563" t="s">
        <v>6059</v>
      </c>
      <c r="B1847" s="3563" t="s">
        <v>4196</v>
      </c>
      <c r="C1847" s="3563" t="s">
        <v>4197</v>
      </c>
      <c r="D1847" s="3563" t="s">
        <v>4796</v>
      </c>
      <c r="E1847" s="3563" t="s">
        <v>5972</v>
      </c>
      <c r="F1847" s="3563" t="s">
        <v>4797</v>
      </c>
      <c r="G1847" s="3564">
        <v>109.8</v>
      </c>
      <c r="H1847" s="3564">
        <v>88.44</v>
      </c>
      <c r="I1847" s="3564">
        <v>21.36</v>
      </c>
      <c r="J1847" s="3565">
        <v>1166900</v>
      </c>
      <c r="K1847" s="3565">
        <v>10627.5</v>
      </c>
      <c r="L1847" s="3565">
        <v>13194.26</v>
      </c>
      <c r="M1847" s="3565">
        <v>0</v>
      </c>
      <c r="N1847" s="3565">
        <v>0</v>
      </c>
      <c r="O1847" s="3563" t="s">
        <v>3453</v>
      </c>
    </row>
    <row r="1848" spans="1:15">
      <c r="A1848" s="3563" t="s">
        <v>6060</v>
      </c>
      <c r="B1848" s="3563" t="s">
        <v>4811</v>
      </c>
      <c r="C1848" s="3563" t="s">
        <v>4197</v>
      </c>
      <c r="D1848" s="3563" t="s">
        <v>4796</v>
      </c>
      <c r="E1848" s="3563" t="s">
        <v>5972</v>
      </c>
      <c r="F1848" s="3563" t="s">
        <v>4797</v>
      </c>
      <c r="G1848" s="3564">
        <v>101.48</v>
      </c>
      <c r="H1848" s="3564">
        <v>81.739999999999995</v>
      </c>
      <c r="I1848" s="3564">
        <v>19.739999999999998</v>
      </c>
      <c r="J1848" s="3565">
        <v>1102580</v>
      </c>
      <c r="K1848" s="3565">
        <v>10865</v>
      </c>
      <c r="L1848" s="3565">
        <v>13488.87</v>
      </c>
      <c r="M1848" s="3565">
        <v>1102580</v>
      </c>
      <c r="N1848" s="3565">
        <v>10865</v>
      </c>
      <c r="O1848" s="3563" t="s">
        <v>3453</v>
      </c>
    </row>
    <row r="1849" spans="1:15">
      <c r="A1849" s="3563" t="s">
        <v>6061</v>
      </c>
      <c r="B1849" s="3563" t="s">
        <v>4196</v>
      </c>
      <c r="C1849" s="3563" t="s">
        <v>4197</v>
      </c>
      <c r="D1849" s="3563" t="s">
        <v>4796</v>
      </c>
      <c r="E1849" s="3563" t="s">
        <v>5972</v>
      </c>
      <c r="F1849" s="3563" t="s">
        <v>4797</v>
      </c>
      <c r="G1849" s="3564">
        <v>101.48</v>
      </c>
      <c r="H1849" s="3564">
        <v>81.739999999999995</v>
      </c>
      <c r="I1849" s="3564">
        <v>19.739999999999998</v>
      </c>
      <c r="J1849" s="3565">
        <v>1102580</v>
      </c>
      <c r="K1849" s="3565">
        <v>10865</v>
      </c>
      <c r="L1849" s="3565">
        <v>13488.87</v>
      </c>
      <c r="M1849" s="3565">
        <v>0</v>
      </c>
      <c r="N1849" s="3565">
        <v>0</v>
      </c>
      <c r="O1849" s="3563" t="s">
        <v>3453</v>
      </c>
    </row>
    <row r="1850" spans="1:15">
      <c r="A1850" s="3563" t="s">
        <v>6062</v>
      </c>
      <c r="B1850" s="3563" t="s">
        <v>4196</v>
      </c>
      <c r="C1850" s="3563" t="s">
        <v>4197</v>
      </c>
      <c r="D1850" s="3563" t="s">
        <v>4796</v>
      </c>
      <c r="E1850" s="3563" t="s">
        <v>5972</v>
      </c>
      <c r="F1850" s="3563" t="s">
        <v>4797</v>
      </c>
      <c r="G1850" s="3564">
        <v>90.35</v>
      </c>
      <c r="H1850" s="3564">
        <v>72.78</v>
      </c>
      <c r="I1850" s="3564">
        <v>17.57</v>
      </c>
      <c r="J1850" s="3565">
        <v>903452</v>
      </c>
      <c r="K1850" s="3565">
        <v>9999.4699999999993</v>
      </c>
      <c r="L1850" s="3565">
        <v>12413.47</v>
      </c>
      <c r="M1850" s="3565">
        <v>0</v>
      </c>
      <c r="N1850" s="3565">
        <v>0</v>
      </c>
      <c r="O1850" s="3563" t="s">
        <v>3453</v>
      </c>
    </row>
    <row r="1851" spans="1:15">
      <c r="A1851" s="3563" t="s">
        <v>6063</v>
      </c>
      <c r="B1851" s="3563" t="s">
        <v>4196</v>
      </c>
      <c r="C1851" s="3563" t="s">
        <v>4197</v>
      </c>
      <c r="D1851" s="3563" t="s">
        <v>4796</v>
      </c>
      <c r="E1851" s="3563" t="s">
        <v>5972</v>
      </c>
      <c r="F1851" s="3563" t="s">
        <v>4797</v>
      </c>
      <c r="G1851" s="3564">
        <v>78.25</v>
      </c>
      <c r="H1851" s="3564">
        <v>63.03</v>
      </c>
      <c r="I1851" s="3564">
        <v>15.22</v>
      </c>
      <c r="J1851" s="3565">
        <v>786609</v>
      </c>
      <c r="K1851" s="3565">
        <v>10052.51</v>
      </c>
      <c r="L1851" s="3565">
        <v>12479.91</v>
      </c>
      <c r="M1851" s="3565">
        <v>0</v>
      </c>
      <c r="N1851" s="3565">
        <v>0</v>
      </c>
      <c r="O1851" s="3563" t="s">
        <v>3453</v>
      </c>
    </row>
    <row r="1852" spans="1:15">
      <c r="A1852" s="3563" t="s">
        <v>6064</v>
      </c>
      <c r="B1852" s="3563" t="s">
        <v>4196</v>
      </c>
      <c r="C1852" s="3563" t="s">
        <v>4197</v>
      </c>
      <c r="D1852" s="3563" t="s">
        <v>4796</v>
      </c>
      <c r="E1852" s="3563" t="s">
        <v>5972</v>
      </c>
      <c r="F1852" s="3563" t="s">
        <v>4797</v>
      </c>
      <c r="G1852" s="3564">
        <v>78.25</v>
      </c>
      <c r="H1852" s="3564">
        <v>63.03</v>
      </c>
      <c r="I1852" s="3564">
        <v>15.22</v>
      </c>
      <c r="J1852" s="3565">
        <v>786609</v>
      </c>
      <c r="K1852" s="3565">
        <v>10052.51</v>
      </c>
      <c r="L1852" s="3565">
        <v>12479.91</v>
      </c>
      <c r="M1852" s="3565">
        <v>0</v>
      </c>
      <c r="N1852" s="3565">
        <v>0</v>
      </c>
      <c r="O1852" s="3563" t="s">
        <v>3453</v>
      </c>
    </row>
    <row r="1853" spans="1:15">
      <c r="A1853" s="3563" t="s">
        <v>6065</v>
      </c>
      <c r="B1853" s="3563" t="s">
        <v>4196</v>
      </c>
      <c r="C1853" s="3563" t="s">
        <v>4197</v>
      </c>
      <c r="D1853" s="3563" t="s">
        <v>4796</v>
      </c>
      <c r="E1853" s="3563" t="s">
        <v>5972</v>
      </c>
      <c r="F1853" s="3563" t="s">
        <v>4797</v>
      </c>
      <c r="G1853" s="3564">
        <v>109.8</v>
      </c>
      <c r="H1853" s="3564">
        <v>88.44</v>
      </c>
      <c r="I1853" s="3564">
        <v>21.36</v>
      </c>
      <c r="J1853" s="3565">
        <v>1165528</v>
      </c>
      <c r="K1853" s="3565">
        <v>10615.01</v>
      </c>
      <c r="L1853" s="3565">
        <v>13178.74</v>
      </c>
      <c r="M1853" s="3565">
        <v>0</v>
      </c>
      <c r="N1853" s="3565">
        <v>0</v>
      </c>
      <c r="O1853" s="3563" t="s">
        <v>3453</v>
      </c>
    </row>
    <row r="1854" spans="1:15">
      <c r="A1854" s="3563" t="s">
        <v>6066</v>
      </c>
      <c r="B1854" s="3563" t="s">
        <v>4196</v>
      </c>
      <c r="C1854" s="3563" t="s">
        <v>4197</v>
      </c>
      <c r="D1854" s="3563" t="s">
        <v>4796</v>
      </c>
      <c r="E1854" s="3563" t="s">
        <v>5972</v>
      </c>
      <c r="F1854" s="3563" t="s">
        <v>4797</v>
      </c>
      <c r="G1854" s="3564">
        <v>101.48</v>
      </c>
      <c r="H1854" s="3564">
        <v>81.739999999999995</v>
      </c>
      <c r="I1854" s="3564">
        <v>19.739999999999998</v>
      </c>
      <c r="J1854" s="3565">
        <v>1101312</v>
      </c>
      <c r="K1854" s="3565">
        <v>10852.5</v>
      </c>
      <c r="L1854" s="3565">
        <v>13473.35</v>
      </c>
      <c r="M1854" s="3565">
        <v>0</v>
      </c>
      <c r="N1854" s="3565">
        <v>0</v>
      </c>
      <c r="O1854" s="3563" t="s">
        <v>3453</v>
      </c>
    </row>
    <row r="1855" spans="1:15">
      <c r="A1855" s="3563" t="s">
        <v>6067</v>
      </c>
      <c r="B1855" s="3563" t="s">
        <v>4196</v>
      </c>
      <c r="C1855" s="3563" t="s">
        <v>4197</v>
      </c>
      <c r="D1855" s="3563" t="s">
        <v>4796</v>
      </c>
      <c r="E1855" s="3563" t="s">
        <v>5972</v>
      </c>
      <c r="F1855" s="3563" t="s">
        <v>4797</v>
      </c>
      <c r="G1855" s="3564">
        <v>101.48</v>
      </c>
      <c r="H1855" s="3564">
        <v>81.739999999999995</v>
      </c>
      <c r="I1855" s="3564">
        <v>19.739999999999998</v>
      </c>
      <c r="J1855" s="3565">
        <v>1101312</v>
      </c>
      <c r="K1855" s="3565">
        <v>10852.5</v>
      </c>
      <c r="L1855" s="3565">
        <v>13473.35</v>
      </c>
      <c r="M1855" s="3565">
        <v>0</v>
      </c>
      <c r="N1855" s="3565">
        <v>0</v>
      </c>
      <c r="O1855" s="3563" t="s">
        <v>3453</v>
      </c>
    </row>
    <row r="1856" spans="1:15">
      <c r="A1856" s="3563" t="s">
        <v>6068</v>
      </c>
      <c r="B1856" s="3563" t="s">
        <v>4196</v>
      </c>
      <c r="C1856" s="3563" t="s">
        <v>4197</v>
      </c>
      <c r="D1856" s="3563" t="s">
        <v>4796</v>
      </c>
      <c r="E1856" s="3563" t="s">
        <v>5972</v>
      </c>
      <c r="F1856" s="3563" t="s">
        <v>4797</v>
      </c>
      <c r="G1856" s="3564">
        <v>90.35</v>
      </c>
      <c r="H1856" s="3564">
        <v>72.78</v>
      </c>
      <c r="I1856" s="3564">
        <v>17.57</v>
      </c>
      <c r="J1856" s="3565">
        <v>903452</v>
      </c>
      <c r="K1856" s="3565">
        <v>9999.4699999999993</v>
      </c>
      <c r="L1856" s="3565">
        <v>12413.47</v>
      </c>
      <c r="M1856" s="3565">
        <v>0</v>
      </c>
      <c r="N1856" s="3565">
        <v>0</v>
      </c>
      <c r="O1856" s="3563" t="s">
        <v>3453</v>
      </c>
    </row>
    <row r="1857" spans="1:15">
      <c r="A1857" s="3563" t="s">
        <v>6069</v>
      </c>
      <c r="B1857" s="3563" t="s">
        <v>4196</v>
      </c>
      <c r="C1857" s="3563" t="s">
        <v>4197</v>
      </c>
      <c r="D1857" s="3563" t="s">
        <v>4796</v>
      </c>
      <c r="E1857" s="3563" t="s">
        <v>5972</v>
      </c>
      <c r="F1857" s="3563" t="s">
        <v>4797</v>
      </c>
      <c r="G1857" s="3564">
        <v>78.25</v>
      </c>
      <c r="H1857" s="3564">
        <v>63.03</v>
      </c>
      <c r="I1857" s="3564">
        <v>15.22</v>
      </c>
      <c r="J1857" s="3565">
        <v>785630</v>
      </c>
      <c r="K1857" s="3565">
        <v>10040</v>
      </c>
      <c r="L1857" s="3565">
        <v>12464.38</v>
      </c>
      <c r="M1857" s="3565">
        <v>0</v>
      </c>
      <c r="N1857" s="3565">
        <v>0</v>
      </c>
      <c r="O1857" s="3563" t="s">
        <v>3453</v>
      </c>
    </row>
    <row r="1858" spans="1:15">
      <c r="A1858" s="3563" t="s">
        <v>6070</v>
      </c>
      <c r="B1858" s="3563" t="s">
        <v>4196</v>
      </c>
      <c r="C1858" s="3563" t="s">
        <v>4197</v>
      </c>
      <c r="D1858" s="3563" t="s">
        <v>4796</v>
      </c>
      <c r="E1858" s="3563" t="s">
        <v>5972</v>
      </c>
      <c r="F1858" s="3563" t="s">
        <v>4797</v>
      </c>
      <c r="G1858" s="3564">
        <v>78.25</v>
      </c>
      <c r="H1858" s="3564">
        <v>63.03</v>
      </c>
      <c r="I1858" s="3564">
        <v>15.22</v>
      </c>
      <c r="J1858" s="3565">
        <v>785630</v>
      </c>
      <c r="K1858" s="3565">
        <v>10040</v>
      </c>
      <c r="L1858" s="3565">
        <v>12464.38</v>
      </c>
      <c r="M1858" s="3565">
        <v>0</v>
      </c>
      <c r="N1858" s="3565">
        <v>0</v>
      </c>
      <c r="O1858" s="3563" t="s">
        <v>3453</v>
      </c>
    </row>
    <row r="1859" spans="1:15">
      <c r="A1859" s="3563" t="s">
        <v>6071</v>
      </c>
      <c r="B1859" s="3563" t="s">
        <v>4196</v>
      </c>
      <c r="C1859" s="3563" t="s">
        <v>4197</v>
      </c>
      <c r="D1859" s="3563" t="s">
        <v>4796</v>
      </c>
      <c r="E1859" s="3563" t="s">
        <v>5972</v>
      </c>
      <c r="F1859" s="3563" t="s">
        <v>4797</v>
      </c>
      <c r="G1859" s="3564">
        <v>109.8</v>
      </c>
      <c r="H1859" s="3564">
        <v>88.44</v>
      </c>
      <c r="I1859" s="3564">
        <v>21.36</v>
      </c>
      <c r="J1859" s="3565">
        <v>1164155</v>
      </c>
      <c r="K1859" s="3565">
        <v>10602.5</v>
      </c>
      <c r="L1859" s="3565">
        <v>13163.22</v>
      </c>
      <c r="M1859" s="3565">
        <v>0</v>
      </c>
      <c r="N1859" s="3565">
        <v>0</v>
      </c>
      <c r="O1859" s="3563" t="s">
        <v>3453</v>
      </c>
    </row>
    <row r="1860" spans="1:15">
      <c r="A1860" s="3563" t="s">
        <v>6072</v>
      </c>
      <c r="B1860" s="3563" t="s">
        <v>4196</v>
      </c>
      <c r="C1860" s="3563" t="s">
        <v>4197</v>
      </c>
      <c r="D1860" s="3563" t="s">
        <v>4796</v>
      </c>
      <c r="E1860" s="3563" t="s">
        <v>5972</v>
      </c>
      <c r="F1860" s="3563" t="s">
        <v>4797</v>
      </c>
      <c r="G1860" s="3564">
        <v>101.48</v>
      </c>
      <c r="H1860" s="3564">
        <v>81.739999999999995</v>
      </c>
      <c r="I1860" s="3564">
        <v>19.739999999999998</v>
      </c>
      <c r="J1860" s="3565">
        <v>1100044</v>
      </c>
      <c r="K1860" s="3565">
        <v>10840.01</v>
      </c>
      <c r="L1860" s="3565">
        <v>13457.84</v>
      </c>
      <c r="M1860" s="3565">
        <v>0</v>
      </c>
      <c r="N1860" s="3565">
        <v>0</v>
      </c>
      <c r="O1860" s="3563" t="s">
        <v>3453</v>
      </c>
    </row>
    <row r="1861" spans="1:15">
      <c r="A1861" s="3563" t="s">
        <v>6073</v>
      </c>
      <c r="B1861" s="3563" t="s">
        <v>4196</v>
      </c>
      <c r="C1861" s="3563" t="s">
        <v>4197</v>
      </c>
      <c r="D1861" s="3563" t="s">
        <v>4796</v>
      </c>
      <c r="E1861" s="3563" t="s">
        <v>5972</v>
      </c>
      <c r="F1861" s="3563" t="s">
        <v>4797</v>
      </c>
      <c r="G1861" s="3564">
        <v>101.48</v>
      </c>
      <c r="H1861" s="3564">
        <v>81.739999999999995</v>
      </c>
      <c r="I1861" s="3564">
        <v>19.739999999999998</v>
      </c>
      <c r="J1861" s="3565">
        <v>1100044</v>
      </c>
      <c r="K1861" s="3565">
        <v>10840.01</v>
      </c>
      <c r="L1861" s="3565">
        <v>13457.84</v>
      </c>
      <c r="M1861" s="3565">
        <v>0</v>
      </c>
      <c r="N1861" s="3565">
        <v>0</v>
      </c>
      <c r="O1861" s="3563" t="s">
        <v>3453</v>
      </c>
    </row>
    <row r="1862" spans="1:15">
      <c r="A1862" s="3563" t="s">
        <v>6074</v>
      </c>
      <c r="B1862" s="3563" t="s">
        <v>4196</v>
      </c>
      <c r="C1862" s="3563" t="s">
        <v>4197</v>
      </c>
      <c r="D1862" s="3563" t="s">
        <v>4796</v>
      </c>
      <c r="E1862" s="3563" t="s">
        <v>5972</v>
      </c>
      <c r="F1862" s="3563" t="s">
        <v>4797</v>
      </c>
      <c r="G1862" s="3564">
        <v>90.35</v>
      </c>
      <c r="H1862" s="3564">
        <v>72.78</v>
      </c>
      <c r="I1862" s="3564">
        <v>17.57</v>
      </c>
      <c r="J1862" s="3565">
        <v>903452</v>
      </c>
      <c r="K1862" s="3565">
        <v>9999.4699999999993</v>
      </c>
      <c r="L1862" s="3565">
        <v>12413.47</v>
      </c>
      <c r="M1862" s="3565">
        <v>0</v>
      </c>
      <c r="N1862" s="3565">
        <v>0</v>
      </c>
      <c r="O1862" s="3563" t="s">
        <v>3453</v>
      </c>
    </row>
    <row r="1863" spans="1:15">
      <c r="A1863" s="3563" t="s">
        <v>6075</v>
      </c>
      <c r="B1863" s="3563" t="s">
        <v>4196</v>
      </c>
      <c r="C1863" s="3563" t="s">
        <v>4197</v>
      </c>
      <c r="D1863" s="3563" t="s">
        <v>4796</v>
      </c>
      <c r="E1863" s="3563" t="s">
        <v>5972</v>
      </c>
      <c r="F1863" s="3563" t="s">
        <v>4797</v>
      </c>
      <c r="G1863" s="3564">
        <v>78.25</v>
      </c>
      <c r="H1863" s="3564">
        <v>63.03</v>
      </c>
      <c r="I1863" s="3564">
        <v>15.22</v>
      </c>
      <c r="J1863" s="3565">
        <v>784653</v>
      </c>
      <c r="K1863" s="3565">
        <v>10027.51</v>
      </c>
      <c r="L1863" s="3565">
        <v>12448.88</v>
      </c>
      <c r="M1863" s="3565">
        <v>0</v>
      </c>
      <c r="N1863" s="3565">
        <v>0</v>
      </c>
      <c r="O1863" s="3563" t="s">
        <v>3453</v>
      </c>
    </row>
    <row r="1864" spans="1:15">
      <c r="A1864" s="3563" t="s">
        <v>6076</v>
      </c>
      <c r="B1864" s="3563" t="s">
        <v>4196</v>
      </c>
      <c r="C1864" s="3563" t="s">
        <v>4197</v>
      </c>
      <c r="D1864" s="3563" t="s">
        <v>4796</v>
      </c>
      <c r="E1864" s="3563" t="s">
        <v>5972</v>
      </c>
      <c r="F1864" s="3563" t="s">
        <v>4797</v>
      </c>
      <c r="G1864" s="3564">
        <v>78.25</v>
      </c>
      <c r="H1864" s="3564">
        <v>63.03</v>
      </c>
      <c r="I1864" s="3564">
        <v>15.22</v>
      </c>
      <c r="J1864" s="3565">
        <v>784653</v>
      </c>
      <c r="K1864" s="3565">
        <v>10027.51</v>
      </c>
      <c r="L1864" s="3565">
        <v>12448.88</v>
      </c>
      <c r="M1864" s="3565">
        <v>0</v>
      </c>
      <c r="N1864" s="3565">
        <v>0</v>
      </c>
      <c r="O1864" s="3563" t="s">
        <v>3453</v>
      </c>
    </row>
    <row r="1865" spans="1:15">
      <c r="A1865" s="3563" t="s">
        <v>6077</v>
      </c>
      <c r="B1865" s="3563" t="s">
        <v>4196</v>
      </c>
      <c r="C1865" s="3563" t="s">
        <v>4197</v>
      </c>
      <c r="D1865" s="3563" t="s">
        <v>4796</v>
      </c>
      <c r="E1865" s="3563" t="s">
        <v>5972</v>
      </c>
      <c r="F1865" s="3563" t="s">
        <v>4797</v>
      </c>
      <c r="G1865" s="3564">
        <v>109.8</v>
      </c>
      <c r="H1865" s="3564">
        <v>88.44</v>
      </c>
      <c r="I1865" s="3564">
        <v>21.36</v>
      </c>
      <c r="J1865" s="3565">
        <v>1162783</v>
      </c>
      <c r="K1865" s="3565">
        <v>10590.01</v>
      </c>
      <c r="L1865" s="3565">
        <v>13147.7</v>
      </c>
      <c r="M1865" s="3565">
        <v>0</v>
      </c>
      <c r="N1865" s="3565">
        <v>0</v>
      </c>
      <c r="O1865" s="3563" t="s">
        <v>3453</v>
      </c>
    </row>
    <row r="1866" spans="1:15">
      <c r="A1866" s="3563" t="s">
        <v>6078</v>
      </c>
      <c r="B1866" s="3563" t="s">
        <v>4811</v>
      </c>
      <c r="C1866" s="3563" t="s">
        <v>4197</v>
      </c>
      <c r="D1866" s="3563" t="s">
        <v>4796</v>
      </c>
      <c r="E1866" s="3563" t="s">
        <v>5972</v>
      </c>
      <c r="F1866" s="3563" t="s">
        <v>4797</v>
      </c>
      <c r="G1866" s="3564">
        <v>101.48</v>
      </c>
      <c r="H1866" s="3564">
        <v>81.739999999999995</v>
      </c>
      <c r="I1866" s="3564">
        <v>19.739999999999998</v>
      </c>
      <c r="J1866" s="3565">
        <v>1060720</v>
      </c>
      <c r="K1866" s="3565">
        <v>10452.5</v>
      </c>
      <c r="L1866" s="3565">
        <v>12976.76</v>
      </c>
      <c r="M1866" s="3565">
        <v>1060720</v>
      </c>
      <c r="N1866" s="3565">
        <v>10452.5</v>
      </c>
      <c r="O1866" s="3566">
        <v>44192</v>
      </c>
    </row>
    <row r="1867" spans="1:15">
      <c r="A1867" s="3563" t="s">
        <v>6079</v>
      </c>
      <c r="B1867" s="3563" t="s">
        <v>4196</v>
      </c>
      <c r="C1867" s="3563" t="s">
        <v>4197</v>
      </c>
      <c r="D1867" s="3563" t="s">
        <v>4796</v>
      </c>
      <c r="E1867" s="3563" t="s">
        <v>5972</v>
      </c>
      <c r="F1867" s="3563" t="s">
        <v>4797</v>
      </c>
      <c r="G1867" s="3564">
        <v>101.48</v>
      </c>
      <c r="H1867" s="3564">
        <v>81.739999999999995</v>
      </c>
      <c r="I1867" s="3564">
        <v>19.739999999999998</v>
      </c>
      <c r="J1867" s="3565">
        <v>1060720</v>
      </c>
      <c r="K1867" s="3565">
        <v>10452.5</v>
      </c>
      <c r="L1867" s="3565">
        <v>12976.76</v>
      </c>
      <c r="M1867" s="3565">
        <v>0</v>
      </c>
      <c r="N1867" s="3565">
        <v>0</v>
      </c>
      <c r="O1867" s="3563" t="s">
        <v>3453</v>
      </c>
    </row>
    <row r="1868" spans="1:15">
      <c r="A1868" s="3563" t="s">
        <v>6080</v>
      </c>
      <c r="B1868" s="3563" t="s">
        <v>4196</v>
      </c>
      <c r="C1868" s="3563" t="s">
        <v>4197</v>
      </c>
      <c r="D1868" s="3563" t="s">
        <v>4796</v>
      </c>
      <c r="E1868" s="3563" t="s">
        <v>5972</v>
      </c>
      <c r="F1868" s="3563" t="s">
        <v>4797</v>
      </c>
      <c r="G1868" s="3564">
        <v>90.35</v>
      </c>
      <c r="H1868" s="3564">
        <v>72.78</v>
      </c>
      <c r="I1868" s="3564">
        <v>17.57</v>
      </c>
      <c r="J1868" s="3565">
        <v>903452</v>
      </c>
      <c r="K1868" s="3565">
        <v>9999.4699999999993</v>
      </c>
      <c r="L1868" s="3565">
        <v>12413.47</v>
      </c>
      <c r="M1868" s="3565">
        <v>0</v>
      </c>
      <c r="N1868" s="3565">
        <v>0</v>
      </c>
      <c r="O1868" s="3563" t="s">
        <v>3453</v>
      </c>
    </row>
    <row r="1869" spans="1:15">
      <c r="A1869" s="3563" t="s">
        <v>6081</v>
      </c>
      <c r="B1869" s="3563" t="s">
        <v>4196</v>
      </c>
      <c r="C1869" s="3563" t="s">
        <v>4197</v>
      </c>
      <c r="D1869" s="3563" t="s">
        <v>4796</v>
      </c>
      <c r="E1869" s="3563" t="s">
        <v>5972</v>
      </c>
      <c r="F1869" s="3563" t="s">
        <v>4797</v>
      </c>
      <c r="G1869" s="3564">
        <v>78.25</v>
      </c>
      <c r="H1869" s="3564">
        <v>63.03</v>
      </c>
      <c r="I1869" s="3564">
        <v>15.22</v>
      </c>
      <c r="J1869" s="3565">
        <v>782458</v>
      </c>
      <c r="K1869" s="3565">
        <v>9999.4599999999991</v>
      </c>
      <c r="L1869" s="3565">
        <v>12414.06</v>
      </c>
      <c r="M1869" s="3565">
        <v>0</v>
      </c>
      <c r="N1869" s="3565">
        <v>0</v>
      </c>
      <c r="O1869" s="3563" t="s">
        <v>3453</v>
      </c>
    </row>
    <row r="1870" spans="1:15">
      <c r="A1870" s="3563" t="s">
        <v>6082</v>
      </c>
      <c r="B1870" s="3563" t="s">
        <v>4811</v>
      </c>
      <c r="C1870" s="3563" t="s">
        <v>4197</v>
      </c>
      <c r="D1870" s="3563" t="s">
        <v>4796</v>
      </c>
      <c r="E1870" s="3563" t="s">
        <v>5972</v>
      </c>
      <c r="F1870" s="3563" t="s">
        <v>4797</v>
      </c>
      <c r="G1870" s="3564">
        <v>78.25</v>
      </c>
      <c r="H1870" s="3564">
        <v>63.03</v>
      </c>
      <c r="I1870" s="3564">
        <v>15.22</v>
      </c>
      <c r="J1870" s="3565">
        <v>782458</v>
      </c>
      <c r="K1870" s="3565">
        <v>9999.4599999999991</v>
      </c>
      <c r="L1870" s="3565">
        <v>12414.06</v>
      </c>
      <c r="M1870" s="3565">
        <v>743336</v>
      </c>
      <c r="N1870" s="3565">
        <v>9499.5</v>
      </c>
      <c r="O1870" s="3566">
        <v>44192</v>
      </c>
    </row>
    <row r="1871" spans="1:15">
      <c r="A1871" s="3563" t="s">
        <v>6083</v>
      </c>
      <c r="B1871" s="3563" t="s">
        <v>4811</v>
      </c>
      <c r="C1871" s="3563" t="s">
        <v>4197</v>
      </c>
      <c r="D1871" s="3563" t="s">
        <v>4796</v>
      </c>
      <c r="E1871" s="3563" t="s">
        <v>5972</v>
      </c>
      <c r="F1871" s="3563" t="s">
        <v>4797</v>
      </c>
      <c r="G1871" s="3564">
        <v>109.8</v>
      </c>
      <c r="H1871" s="3564">
        <v>88.44</v>
      </c>
      <c r="I1871" s="3564">
        <v>21.36</v>
      </c>
      <c r="J1871" s="3565">
        <v>1120235</v>
      </c>
      <c r="K1871" s="3565">
        <v>10202.5</v>
      </c>
      <c r="L1871" s="3565">
        <v>12666.61</v>
      </c>
      <c r="M1871" s="3565">
        <v>1120235</v>
      </c>
      <c r="N1871" s="3565">
        <v>10202.5</v>
      </c>
      <c r="O1871" s="3566">
        <v>44192</v>
      </c>
    </row>
    <row r="1872" spans="1:15">
      <c r="A1872" s="3563" t="s">
        <v>6084</v>
      </c>
      <c r="B1872" s="3563" t="s">
        <v>4196</v>
      </c>
      <c r="C1872" s="3563" t="s">
        <v>4197</v>
      </c>
      <c r="D1872" s="3563" t="s">
        <v>4796</v>
      </c>
      <c r="E1872" s="3563" t="s">
        <v>5972</v>
      </c>
      <c r="F1872" s="3563" t="s">
        <v>4797</v>
      </c>
      <c r="G1872" s="3564">
        <v>101.48</v>
      </c>
      <c r="H1872" s="3564">
        <v>81.739999999999995</v>
      </c>
      <c r="I1872" s="3564">
        <v>19.739999999999998</v>
      </c>
      <c r="J1872" s="3565">
        <v>1069599</v>
      </c>
      <c r="K1872" s="3565">
        <v>10540</v>
      </c>
      <c r="L1872" s="3565">
        <v>13085.38</v>
      </c>
      <c r="M1872" s="3565">
        <v>0</v>
      </c>
      <c r="N1872" s="3565">
        <v>0</v>
      </c>
      <c r="O1872" s="3563" t="s">
        <v>3453</v>
      </c>
    </row>
    <row r="1873" spans="1:15">
      <c r="A1873" s="3563" t="s">
        <v>6085</v>
      </c>
      <c r="B1873" s="3563" t="s">
        <v>4196</v>
      </c>
      <c r="C1873" s="3563" t="s">
        <v>4197</v>
      </c>
      <c r="D1873" s="3563" t="s">
        <v>4796</v>
      </c>
      <c r="E1873" s="3563" t="s">
        <v>5972</v>
      </c>
      <c r="F1873" s="3563" t="s">
        <v>4797</v>
      </c>
      <c r="G1873" s="3564">
        <v>101.48</v>
      </c>
      <c r="H1873" s="3564">
        <v>81.739999999999995</v>
      </c>
      <c r="I1873" s="3564">
        <v>19.739999999999998</v>
      </c>
      <c r="J1873" s="3565">
        <v>1069599</v>
      </c>
      <c r="K1873" s="3565">
        <v>10540</v>
      </c>
      <c r="L1873" s="3565">
        <v>13085.38</v>
      </c>
      <c r="M1873" s="3565">
        <v>0</v>
      </c>
      <c r="N1873" s="3565">
        <v>0</v>
      </c>
      <c r="O1873" s="3563" t="s">
        <v>3453</v>
      </c>
    </row>
    <row r="1874" spans="1:15">
      <c r="A1874" s="3563" t="s">
        <v>6086</v>
      </c>
      <c r="B1874" s="3563" t="s">
        <v>4196</v>
      </c>
      <c r="C1874" s="3563" t="s">
        <v>4197</v>
      </c>
      <c r="D1874" s="3563" t="s">
        <v>4796</v>
      </c>
      <c r="E1874" s="3563" t="s">
        <v>5972</v>
      </c>
      <c r="F1874" s="3563" t="s">
        <v>4797</v>
      </c>
      <c r="G1874" s="3564">
        <v>90.35</v>
      </c>
      <c r="H1874" s="3564">
        <v>72.78</v>
      </c>
      <c r="I1874" s="3564">
        <v>17.57</v>
      </c>
      <c r="J1874" s="3565">
        <v>903452</v>
      </c>
      <c r="K1874" s="3565">
        <v>9999.4699999999993</v>
      </c>
      <c r="L1874" s="3565">
        <v>12413.47</v>
      </c>
      <c r="M1874" s="3565">
        <v>0</v>
      </c>
      <c r="N1874" s="3565">
        <v>0</v>
      </c>
      <c r="O1874" s="3563" t="s">
        <v>3453</v>
      </c>
    </row>
    <row r="1875" spans="1:15">
      <c r="A1875" s="3563" t="s">
        <v>6087</v>
      </c>
      <c r="B1875" s="3563" t="s">
        <v>4196</v>
      </c>
      <c r="C1875" s="3563" t="s">
        <v>4197</v>
      </c>
      <c r="D1875" s="3563" t="s">
        <v>4796</v>
      </c>
      <c r="E1875" s="3563" t="s">
        <v>5972</v>
      </c>
      <c r="F1875" s="3563" t="s">
        <v>4797</v>
      </c>
      <c r="G1875" s="3564">
        <v>78.25</v>
      </c>
      <c r="H1875" s="3564">
        <v>63.03</v>
      </c>
      <c r="I1875" s="3564">
        <v>15.22</v>
      </c>
      <c r="J1875" s="3565">
        <v>782458</v>
      </c>
      <c r="K1875" s="3565">
        <v>9999.4599999999991</v>
      </c>
      <c r="L1875" s="3565">
        <v>12414.06</v>
      </c>
      <c r="M1875" s="3565">
        <v>0</v>
      </c>
      <c r="N1875" s="3565">
        <v>0</v>
      </c>
      <c r="O1875" s="3563" t="s">
        <v>3453</v>
      </c>
    </row>
    <row r="1876" spans="1:15">
      <c r="A1876" s="3563" t="s">
        <v>6088</v>
      </c>
      <c r="B1876" s="3563" t="s">
        <v>4196</v>
      </c>
      <c r="C1876" s="3563" t="s">
        <v>4197</v>
      </c>
      <c r="D1876" s="3563" t="s">
        <v>4796</v>
      </c>
      <c r="E1876" s="3563" t="s">
        <v>5972</v>
      </c>
      <c r="F1876" s="3563" t="s">
        <v>4797</v>
      </c>
      <c r="G1876" s="3564">
        <v>78.25</v>
      </c>
      <c r="H1876" s="3564">
        <v>63.03</v>
      </c>
      <c r="I1876" s="3564">
        <v>15.22</v>
      </c>
      <c r="J1876" s="3565">
        <v>782458</v>
      </c>
      <c r="K1876" s="3565">
        <v>9999.4599999999991</v>
      </c>
      <c r="L1876" s="3565">
        <v>12414.06</v>
      </c>
      <c r="M1876" s="3565">
        <v>0</v>
      </c>
      <c r="N1876" s="3565">
        <v>0</v>
      </c>
      <c r="O1876" s="3563" t="s">
        <v>3453</v>
      </c>
    </row>
    <row r="1877" spans="1:15">
      <c r="A1877" s="3563" t="s">
        <v>6089</v>
      </c>
      <c r="B1877" s="3563" t="s">
        <v>4196</v>
      </c>
      <c r="C1877" s="3563" t="s">
        <v>4197</v>
      </c>
      <c r="D1877" s="3563" t="s">
        <v>4796</v>
      </c>
      <c r="E1877" s="3563" t="s">
        <v>5972</v>
      </c>
      <c r="F1877" s="3563" t="s">
        <v>4797</v>
      </c>
      <c r="G1877" s="3564">
        <v>109.8</v>
      </c>
      <c r="H1877" s="3564">
        <v>88.44</v>
      </c>
      <c r="I1877" s="3564">
        <v>21.36</v>
      </c>
      <c r="J1877" s="3565">
        <v>1129843</v>
      </c>
      <c r="K1877" s="3565">
        <v>10290.01</v>
      </c>
      <c r="L1877" s="3565">
        <v>12775.25</v>
      </c>
      <c r="M1877" s="3565">
        <v>0</v>
      </c>
      <c r="N1877" s="3565">
        <v>0</v>
      </c>
      <c r="O1877" s="3563" t="s">
        <v>3453</v>
      </c>
    </row>
    <row r="1878" spans="1:15">
      <c r="A1878" s="3563" t="s">
        <v>6090</v>
      </c>
      <c r="B1878" s="3563" t="s">
        <v>4196</v>
      </c>
      <c r="C1878" s="3563" t="s">
        <v>4197</v>
      </c>
      <c r="D1878" s="3563" t="s">
        <v>4796</v>
      </c>
      <c r="E1878" s="3563" t="s">
        <v>5972</v>
      </c>
      <c r="F1878" s="3563" t="s">
        <v>4797</v>
      </c>
      <c r="G1878" s="3564">
        <v>101.48</v>
      </c>
      <c r="H1878" s="3564">
        <v>81.739999999999995</v>
      </c>
      <c r="I1878" s="3564">
        <v>19.739999999999998</v>
      </c>
      <c r="J1878" s="3565">
        <v>1084822</v>
      </c>
      <c r="K1878" s="3565">
        <v>10690.01</v>
      </c>
      <c r="L1878" s="3565">
        <v>13271.62</v>
      </c>
      <c r="M1878" s="3565">
        <v>0</v>
      </c>
      <c r="N1878" s="3565">
        <v>0</v>
      </c>
      <c r="O1878" s="3563" t="s">
        <v>3453</v>
      </c>
    </row>
    <row r="1879" spans="1:15">
      <c r="A1879" s="3563" t="s">
        <v>6091</v>
      </c>
      <c r="B1879" s="3563" t="s">
        <v>4196</v>
      </c>
      <c r="C1879" s="3563" t="s">
        <v>4197</v>
      </c>
      <c r="D1879" s="3563" t="s">
        <v>4796</v>
      </c>
      <c r="E1879" s="3563" t="s">
        <v>5972</v>
      </c>
      <c r="F1879" s="3563" t="s">
        <v>4797</v>
      </c>
      <c r="G1879" s="3564">
        <v>101.48</v>
      </c>
      <c r="H1879" s="3564">
        <v>81.739999999999995</v>
      </c>
      <c r="I1879" s="3564">
        <v>19.739999999999998</v>
      </c>
      <c r="J1879" s="3565">
        <v>1084822</v>
      </c>
      <c r="K1879" s="3565">
        <v>10690.01</v>
      </c>
      <c r="L1879" s="3565">
        <v>13271.62</v>
      </c>
      <c r="M1879" s="3565">
        <v>0</v>
      </c>
      <c r="N1879" s="3565">
        <v>0</v>
      </c>
      <c r="O1879" s="3563" t="s">
        <v>3453</v>
      </c>
    </row>
    <row r="1880" spans="1:15">
      <c r="A1880" s="3563" t="s">
        <v>6092</v>
      </c>
      <c r="B1880" s="3563" t="s">
        <v>4196</v>
      </c>
      <c r="C1880" s="3563" t="s">
        <v>4197</v>
      </c>
      <c r="D1880" s="3563" t="s">
        <v>4796</v>
      </c>
      <c r="E1880" s="3563" t="s">
        <v>5972</v>
      </c>
      <c r="F1880" s="3563" t="s">
        <v>4797</v>
      </c>
      <c r="G1880" s="3564">
        <v>90.35</v>
      </c>
      <c r="H1880" s="3564">
        <v>72.78</v>
      </c>
      <c r="I1880" s="3564">
        <v>17.57</v>
      </c>
      <c r="J1880" s="3565">
        <v>903452</v>
      </c>
      <c r="K1880" s="3565">
        <v>9999.4699999999993</v>
      </c>
      <c r="L1880" s="3565">
        <v>12413.47</v>
      </c>
      <c r="M1880" s="3565">
        <v>0</v>
      </c>
      <c r="N1880" s="3565">
        <v>0</v>
      </c>
      <c r="O1880" s="3563" t="s">
        <v>3453</v>
      </c>
    </row>
    <row r="1881" spans="1:15">
      <c r="A1881" s="3563" t="s">
        <v>6093</v>
      </c>
      <c r="B1881" s="3563" t="s">
        <v>4196</v>
      </c>
      <c r="C1881" s="3563" t="s">
        <v>4197</v>
      </c>
      <c r="D1881" s="3563" t="s">
        <v>4796</v>
      </c>
      <c r="E1881" s="3563" t="s">
        <v>5972</v>
      </c>
      <c r="F1881" s="3563" t="s">
        <v>4797</v>
      </c>
      <c r="G1881" s="3564">
        <v>78.25</v>
      </c>
      <c r="H1881" s="3564">
        <v>63.03</v>
      </c>
      <c r="I1881" s="3564">
        <v>15.22</v>
      </c>
      <c r="J1881" s="3565">
        <v>782458</v>
      </c>
      <c r="K1881" s="3565">
        <v>9999.4599999999991</v>
      </c>
      <c r="L1881" s="3565">
        <v>12414.06</v>
      </c>
      <c r="M1881" s="3565">
        <v>0</v>
      </c>
      <c r="N1881" s="3565">
        <v>0</v>
      </c>
      <c r="O1881" s="3563" t="s">
        <v>3453</v>
      </c>
    </row>
    <row r="1882" spans="1:15">
      <c r="A1882" s="3563" t="s">
        <v>6094</v>
      </c>
      <c r="B1882" s="3563" t="s">
        <v>4196</v>
      </c>
      <c r="C1882" s="3563" t="s">
        <v>4197</v>
      </c>
      <c r="D1882" s="3563" t="s">
        <v>4796</v>
      </c>
      <c r="E1882" s="3563" t="s">
        <v>5972</v>
      </c>
      <c r="F1882" s="3563" t="s">
        <v>4797</v>
      </c>
      <c r="G1882" s="3564">
        <v>78.25</v>
      </c>
      <c r="H1882" s="3564">
        <v>63.03</v>
      </c>
      <c r="I1882" s="3564">
        <v>15.22</v>
      </c>
      <c r="J1882" s="3565">
        <v>782458</v>
      </c>
      <c r="K1882" s="3565">
        <v>9999.4599999999991</v>
      </c>
      <c r="L1882" s="3565">
        <v>12414.06</v>
      </c>
      <c r="M1882" s="3565">
        <v>0</v>
      </c>
      <c r="N1882" s="3565">
        <v>0</v>
      </c>
      <c r="O1882" s="3563" t="s">
        <v>3453</v>
      </c>
    </row>
    <row r="1883" spans="1:15">
      <c r="A1883" s="3563" t="s">
        <v>6095</v>
      </c>
      <c r="B1883" s="3563" t="s">
        <v>4196</v>
      </c>
      <c r="C1883" s="3563" t="s">
        <v>4197</v>
      </c>
      <c r="D1883" s="3563" t="s">
        <v>4796</v>
      </c>
      <c r="E1883" s="3563" t="s">
        <v>5972</v>
      </c>
      <c r="F1883" s="3563" t="s">
        <v>4797</v>
      </c>
      <c r="G1883" s="3564">
        <v>109.8</v>
      </c>
      <c r="H1883" s="3564">
        <v>88.44</v>
      </c>
      <c r="I1883" s="3564">
        <v>21.36</v>
      </c>
      <c r="J1883" s="3565">
        <v>1146313</v>
      </c>
      <c r="K1883" s="3565">
        <v>10440.01</v>
      </c>
      <c r="L1883" s="3565">
        <v>12961.48</v>
      </c>
      <c r="M1883" s="3565">
        <v>0</v>
      </c>
      <c r="N1883" s="3565">
        <v>0</v>
      </c>
      <c r="O1883" s="3563" t="s">
        <v>3453</v>
      </c>
    </row>
    <row r="1884" spans="1:15">
      <c r="A1884" s="3563" t="s">
        <v>6096</v>
      </c>
      <c r="B1884" s="3563" t="s">
        <v>4196</v>
      </c>
      <c r="C1884" s="3563" t="s">
        <v>4197</v>
      </c>
      <c r="D1884" s="3563" t="s">
        <v>4796</v>
      </c>
      <c r="E1884" s="3563" t="s">
        <v>5972</v>
      </c>
      <c r="F1884" s="3563" t="s">
        <v>4797</v>
      </c>
      <c r="G1884" s="3564">
        <v>101.48</v>
      </c>
      <c r="H1884" s="3564">
        <v>81.739999999999995</v>
      </c>
      <c r="I1884" s="3564">
        <v>19.739999999999998</v>
      </c>
      <c r="J1884" s="3565">
        <v>1100044</v>
      </c>
      <c r="K1884" s="3565">
        <v>10840.01</v>
      </c>
      <c r="L1884" s="3565">
        <v>13457.84</v>
      </c>
      <c r="M1884" s="3565">
        <v>0</v>
      </c>
      <c r="N1884" s="3565">
        <v>0</v>
      </c>
      <c r="O1884" s="3563" t="s">
        <v>3453</v>
      </c>
    </row>
    <row r="1885" spans="1:15">
      <c r="A1885" s="3563" t="s">
        <v>6097</v>
      </c>
      <c r="B1885" s="3563" t="s">
        <v>4196</v>
      </c>
      <c r="C1885" s="3563" t="s">
        <v>4197</v>
      </c>
      <c r="D1885" s="3563" t="s">
        <v>4796</v>
      </c>
      <c r="E1885" s="3563" t="s">
        <v>5972</v>
      </c>
      <c r="F1885" s="3563" t="s">
        <v>4797</v>
      </c>
      <c r="G1885" s="3564">
        <v>101.48</v>
      </c>
      <c r="H1885" s="3564">
        <v>81.739999999999995</v>
      </c>
      <c r="I1885" s="3564">
        <v>19.739999999999998</v>
      </c>
      <c r="J1885" s="3565">
        <v>1100044</v>
      </c>
      <c r="K1885" s="3565">
        <v>10840.01</v>
      </c>
      <c r="L1885" s="3565">
        <v>13457.84</v>
      </c>
      <c r="M1885" s="3565">
        <v>0</v>
      </c>
      <c r="N1885" s="3565">
        <v>0</v>
      </c>
      <c r="O1885" s="3563" t="s">
        <v>3453</v>
      </c>
    </row>
    <row r="1886" spans="1:15">
      <c r="A1886" s="3563" t="s">
        <v>6098</v>
      </c>
      <c r="B1886" s="3563" t="s">
        <v>4811</v>
      </c>
      <c r="C1886" s="3563" t="s">
        <v>4197</v>
      </c>
      <c r="D1886" s="3563" t="s">
        <v>4796</v>
      </c>
      <c r="E1886" s="3563" t="s">
        <v>5972</v>
      </c>
      <c r="F1886" s="3563" t="s">
        <v>4797</v>
      </c>
      <c r="G1886" s="3564">
        <v>90.35</v>
      </c>
      <c r="H1886" s="3564">
        <v>72.78</v>
      </c>
      <c r="I1886" s="3564">
        <v>17.57</v>
      </c>
      <c r="J1886" s="3565">
        <v>903452</v>
      </c>
      <c r="K1886" s="3565">
        <v>9999.4699999999993</v>
      </c>
      <c r="L1886" s="3565">
        <v>12413.47</v>
      </c>
      <c r="M1886" s="3565">
        <v>903452</v>
      </c>
      <c r="N1886" s="3565">
        <v>9999.4699999999993</v>
      </c>
      <c r="O1886" s="3566">
        <v>44192</v>
      </c>
    </row>
    <row r="1887" spans="1:15">
      <c r="A1887" s="3563" t="s">
        <v>6099</v>
      </c>
      <c r="B1887" s="3563" t="s">
        <v>4196</v>
      </c>
      <c r="C1887" s="3563" t="s">
        <v>4197</v>
      </c>
      <c r="D1887" s="3563" t="s">
        <v>4796</v>
      </c>
      <c r="E1887" s="3563" t="s">
        <v>5972</v>
      </c>
      <c r="F1887" s="3563" t="s">
        <v>4797</v>
      </c>
      <c r="G1887" s="3564">
        <v>78.25</v>
      </c>
      <c r="H1887" s="3564">
        <v>63.03</v>
      </c>
      <c r="I1887" s="3564">
        <v>15.22</v>
      </c>
      <c r="J1887" s="3565">
        <v>782458</v>
      </c>
      <c r="K1887" s="3565">
        <v>9999.4599999999991</v>
      </c>
      <c r="L1887" s="3565">
        <v>12414.06</v>
      </c>
      <c r="M1887" s="3565">
        <v>0</v>
      </c>
      <c r="N1887" s="3565">
        <v>0</v>
      </c>
      <c r="O1887" s="3563" t="s">
        <v>3453</v>
      </c>
    </row>
    <row r="1888" spans="1:15">
      <c r="A1888" s="3563" t="s">
        <v>6100</v>
      </c>
      <c r="B1888" s="3563" t="s">
        <v>4196</v>
      </c>
      <c r="C1888" s="3563" t="s">
        <v>4197</v>
      </c>
      <c r="D1888" s="3563" t="s">
        <v>4796</v>
      </c>
      <c r="E1888" s="3563" t="s">
        <v>5972</v>
      </c>
      <c r="F1888" s="3563" t="s">
        <v>4797</v>
      </c>
      <c r="G1888" s="3564">
        <v>78.25</v>
      </c>
      <c r="H1888" s="3564">
        <v>63.03</v>
      </c>
      <c r="I1888" s="3564">
        <v>15.22</v>
      </c>
      <c r="J1888" s="3565">
        <v>782458</v>
      </c>
      <c r="K1888" s="3565">
        <v>9999.4599999999991</v>
      </c>
      <c r="L1888" s="3565">
        <v>12414.06</v>
      </c>
      <c r="M1888" s="3565">
        <v>0</v>
      </c>
      <c r="N1888" s="3565">
        <v>0</v>
      </c>
      <c r="O1888" s="3563" t="s">
        <v>3453</v>
      </c>
    </row>
    <row r="1889" spans="1:15">
      <c r="A1889" s="3563" t="s">
        <v>6101</v>
      </c>
      <c r="B1889" s="3563" t="s">
        <v>4196</v>
      </c>
      <c r="C1889" s="3563" t="s">
        <v>4197</v>
      </c>
      <c r="D1889" s="3563" t="s">
        <v>4796</v>
      </c>
      <c r="E1889" s="3563" t="s">
        <v>5972</v>
      </c>
      <c r="F1889" s="3563" t="s">
        <v>4797</v>
      </c>
      <c r="G1889" s="3564">
        <v>109.8</v>
      </c>
      <c r="H1889" s="3564">
        <v>88.44</v>
      </c>
      <c r="I1889" s="3564">
        <v>21.36</v>
      </c>
      <c r="J1889" s="3565">
        <v>1162783</v>
      </c>
      <c r="K1889" s="3565">
        <v>10590.01</v>
      </c>
      <c r="L1889" s="3565">
        <v>13147.7</v>
      </c>
      <c r="M1889" s="3565">
        <v>0</v>
      </c>
      <c r="N1889" s="3565">
        <v>0</v>
      </c>
      <c r="O1889" s="3563" t="s">
        <v>3453</v>
      </c>
    </row>
    <row r="1890" spans="1:15">
      <c r="A1890" s="3563" t="s">
        <v>6102</v>
      </c>
      <c r="B1890" s="3563" t="s">
        <v>4196</v>
      </c>
      <c r="C1890" s="3563" t="s">
        <v>4197</v>
      </c>
      <c r="D1890" s="3563" t="s">
        <v>4796</v>
      </c>
      <c r="E1890" s="3563" t="s">
        <v>5972</v>
      </c>
      <c r="F1890" s="3563" t="s">
        <v>4797</v>
      </c>
      <c r="G1890" s="3564">
        <v>101.48</v>
      </c>
      <c r="H1890" s="3564">
        <v>81.739999999999995</v>
      </c>
      <c r="I1890" s="3564">
        <v>19.739999999999998</v>
      </c>
      <c r="J1890" s="3565">
        <v>1101312</v>
      </c>
      <c r="K1890" s="3565">
        <v>10852.5</v>
      </c>
      <c r="L1890" s="3565">
        <v>13473.35</v>
      </c>
      <c r="M1890" s="3565">
        <v>0</v>
      </c>
      <c r="N1890" s="3565">
        <v>0</v>
      </c>
      <c r="O1890" s="3563" t="s">
        <v>3453</v>
      </c>
    </row>
    <row r="1891" spans="1:15">
      <c r="A1891" s="3563" t="s">
        <v>6103</v>
      </c>
      <c r="B1891" s="3563" t="s">
        <v>3453</v>
      </c>
      <c r="C1891" s="3563" t="s">
        <v>4197</v>
      </c>
      <c r="D1891" s="3563" t="s">
        <v>4796</v>
      </c>
      <c r="E1891" s="3563" t="s">
        <v>5972</v>
      </c>
      <c r="F1891" s="3563" t="s">
        <v>4797</v>
      </c>
      <c r="G1891" s="3564">
        <v>101.48</v>
      </c>
      <c r="H1891" s="3564">
        <v>81.739999999999995</v>
      </c>
      <c r="I1891" s="3564">
        <v>19.739999999999998</v>
      </c>
      <c r="J1891" s="3565">
        <v>1101312</v>
      </c>
      <c r="K1891" s="3565">
        <v>10852.5</v>
      </c>
      <c r="L1891" s="3565">
        <v>13473.35</v>
      </c>
      <c r="M1891" s="3565">
        <v>0</v>
      </c>
      <c r="N1891" s="3565">
        <v>0</v>
      </c>
      <c r="O1891" s="3563" t="s">
        <v>3453</v>
      </c>
    </row>
    <row r="1892" spans="1:15">
      <c r="A1892" s="3563" t="s">
        <v>6104</v>
      </c>
      <c r="B1892" s="3563" t="s">
        <v>4196</v>
      </c>
      <c r="C1892" s="3563" t="s">
        <v>4197</v>
      </c>
      <c r="D1892" s="3563" t="s">
        <v>4796</v>
      </c>
      <c r="E1892" s="3563" t="s">
        <v>5972</v>
      </c>
      <c r="F1892" s="3563" t="s">
        <v>4797</v>
      </c>
      <c r="G1892" s="3564">
        <v>90.35</v>
      </c>
      <c r="H1892" s="3564">
        <v>72.78</v>
      </c>
      <c r="I1892" s="3564">
        <v>17.57</v>
      </c>
      <c r="J1892" s="3565">
        <v>903452</v>
      </c>
      <c r="K1892" s="3565">
        <v>9999.4699999999993</v>
      </c>
      <c r="L1892" s="3565">
        <v>12413.47</v>
      </c>
      <c r="M1892" s="3565">
        <v>0</v>
      </c>
      <c r="N1892" s="3565">
        <v>0</v>
      </c>
      <c r="O1892" s="3563" t="s">
        <v>3453</v>
      </c>
    </row>
    <row r="1893" spans="1:15">
      <c r="A1893" s="3563" t="s">
        <v>6105</v>
      </c>
      <c r="B1893" s="3563" t="s">
        <v>4196</v>
      </c>
      <c r="C1893" s="3563" t="s">
        <v>4197</v>
      </c>
      <c r="D1893" s="3563" t="s">
        <v>4796</v>
      </c>
      <c r="E1893" s="3563" t="s">
        <v>5972</v>
      </c>
      <c r="F1893" s="3563" t="s">
        <v>4797</v>
      </c>
      <c r="G1893" s="3564">
        <v>78.25</v>
      </c>
      <c r="H1893" s="3564">
        <v>63.03</v>
      </c>
      <c r="I1893" s="3564">
        <v>15.22</v>
      </c>
      <c r="J1893" s="3565">
        <v>782458</v>
      </c>
      <c r="K1893" s="3565">
        <v>9999.4599999999991</v>
      </c>
      <c r="L1893" s="3565">
        <v>12414.06</v>
      </c>
      <c r="M1893" s="3565">
        <v>0</v>
      </c>
      <c r="N1893" s="3565">
        <v>0</v>
      </c>
      <c r="O1893" s="3563" t="s">
        <v>3453</v>
      </c>
    </row>
    <row r="1894" spans="1:15">
      <c r="A1894" s="3563" t="s">
        <v>6106</v>
      </c>
      <c r="B1894" s="3563" t="s">
        <v>4196</v>
      </c>
      <c r="C1894" s="3563" t="s">
        <v>4197</v>
      </c>
      <c r="D1894" s="3563" t="s">
        <v>4796</v>
      </c>
      <c r="E1894" s="3563" t="s">
        <v>5972</v>
      </c>
      <c r="F1894" s="3563" t="s">
        <v>4797</v>
      </c>
      <c r="G1894" s="3564">
        <v>78.25</v>
      </c>
      <c r="H1894" s="3564">
        <v>63.03</v>
      </c>
      <c r="I1894" s="3564">
        <v>15.22</v>
      </c>
      <c r="J1894" s="3565">
        <v>782458</v>
      </c>
      <c r="K1894" s="3565">
        <v>9999.4599999999991</v>
      </c>
      <c r="L1894" s="3565">
        <v>12414.06</v>
      </c>
      <c r="M1894" s="3565">
        <v>0</v>
      </c>
      <c r="N1894" s="3565">
        <v>0</v>
      </c>
      <c r="O1894" s="3563" t="s">
        <v>3453</v>
      </c>
    </row>
    <row r="1895" spans="1:15">
      <c r="A1895" s="3563" t="s">
        <v>6107</v>
      </c>
      <c r="B1895" s="3563" t="s">
        <v>4196</v>
      </c>
      <c r="C1895" s="3563" t="s">
        <v>4197</v>
      </c>
      <c r="D1895" s="3563" t="s">
        <v>4796</v>
      </c>
      <c r="E1895" s="3563" t="s">
        <v>5972</v>
      </c>
      <c r="F1895" s="3563" t="s">
        <v>4797</v>
      </c>
      <c r="G1895" s="3564">
        <v>109.8</v>
      </c>
      <c r="H1895" s="3564">
        <v>88.44</v>
      </c>
      <c r="I1895" s="3564">
        <v>21.36</v>
      </c>
      <c r="J1895" s="3565">
        <v>1164155</v>
      </c>
      <c r="K1895" s="3565">
        <v>10602.5</v>
      </c>
      <c r="L1895" s="3565">
        <v>13163.22</v>
      </c>
      <c r="M1895" s="3565">
        <v>0</v>
      </c>
      <c r="N1895" s="3565">
        <v>0</v>
      </c>
      <c r="O1895" s="3563" t="s">
        <v>3453</v>
      </c>
    </row>
    <row r="1896" spans="1:15">
      <c r="A1896" s="3563" t="s">
        <v>6108</v>
      </c>
      <c r="B1896" s="3563" t="s">
        <v>4196</v>
      </c>
      <c r="C1896" s="3563" t="s">
        <v>4197</v>
      </c>
      <c r="D1896" s="3563" t="s">
        <v>4796</v>
      </c>
      <c r="E1896" s="3563" t="s">
        <v>5972</v>
      </c>
      <c r="F1896" s="3563" t="s">
        <v>4797</v>
      </c>
      <c r="G1896" s="3564">
        <v>101.48</v>
      </c>
      <c r="H1896" s="3564">
        <v>81.739999999999995</v>
      </c>
      <c r="I1896" s="3564">
        <v>19.739999999999998</v>
      </c>
      <c r="J1896" s="3565">
        <v>1102580</v>
      </c>
      <c r="K1896" s="3565">
        <v>10865</v>
      </c>
      <c r="L1896" s="3565">
        <v>13488.87</v>
      </c>
      <c r="M1896" s="3565">
        <v>0</v>
      </c>
      <c r="N1896" s="3565">
        <v>0</v>
      </c>
      <c r="O1896" s="3563" t="s">
        <v>3453</v>
      </c>
    </row>
    <row r="1897" spans="1:15">
      <c r="A1897" s="3563" t="s">
        <v>6109</v>
      </c>
      <c r="B1897" s="3563" t="s">
        <v>4196</v>
      </c>
      <c r="C1897" s="3563" t="s">
        <v>4197</v>
      </c>
      <c r="D1897" s="3563" t="s">
        <v>4796</v>
      </c>
      <c r="E1897" s="3563" t="s">
        <v>5972</v>
      </c>
      <c r="F1897" s="3563" t="s">
        <v>4797</v>
      </c>
      <c r="G1897" s="3564">
        <v>101.48</v>
      </c>
      <c r="H1897" s="3564">
        <v>81.739999999999995</v>
      </c>
      <c r="I1897" s="3564">
        <v>19.739999999999998</v>
      </c>
      <c r="J1897" s="3565">
        <v>1102580</v>
      </c>
      <c r="K1897" s="3565">
        <v>10865</v>
      </c>
      <c r="L1897" s="3565">
        <v>13488.87</v>
      </c>
      <c r="M1897" s="3565">
        <v>0</v>
      </c>
      <c r="N1897" s="3565">
        <v>0</v>
      </c>
      <c r="O1897" s="3563" t="s">
        <v>3453</v>
      </c>
    </row>
    <row r="1898" spans="1:15">
      <c r="A1898" s="3563" t="s">
        <v>6110</v>
      </c>
      <c r="B1898" s="3563" t="s">
        <v>4196</v>
      </c>
      <c r="C1898" s="3563" t="s">
        <v>4197</v>
      </c>
      <c r="D1898" s="3563" t="s">
        <v>4796</v>
      </c>
      <c r="E1898" s="3563" t="s">
        <v>5972</v>
      </c>
      <c r="F1898" s="3563" t="s">
        <v>4797</v>
      </c>
      <c r="G1898" s="3564">
        <v>90.35</v>
      </c>
      <c r="H1898" s="3564">
        <v>72.78</v>
      </c>
      <c r="I1898" s="3564">
        <v>17.57</v>
      </c>
      <c r="J1898" s="3565">
        <v>903452</v>
      </c>
      <c r="K1898" s="3565">
        <v>9999.4699999999993</v>
      </c>
      <c r="L1898" s="3565">
        <v>12413.47</v>
      </c>
      <c r="M1898" s="3565">
        <v>0</v>
      </c>
      <c r="N1898" s="3565">
        <v>0</v>
      </c>
      <c r="O1898" s="3563" t="s">
        <v>3453</v>
      </c>
    </row>
    <row r="1899" spans="1:15">
      <c r="A1899" s="3563" t="s">
        <v>6111</v>
      </c>
      <c r="B1899" s="3563" t="s">
        <v>4196</v>
      </c>
      <c r="C1899" s="3563" t="s">
        <v>4197</v>
      </c>
      <c r="D1899" s="3563" t="s">
        <v>4796</v>
      </c>
      <c r="E1899" s="3563" t="s">
        <v>5972</v>
      </c>
      <c r="F1899" s="3563" t="s">
        <v>4797</v>
      </c>
      <c r="G1899" s="3564">
        <v>78.25</v>
      </c>
      <c r="H1899" s="3564">
        <v>63.03</v>
      </c>
      <c r="I1899" s="3564">
        <v>15.22</v>
      </c>
      <c r="J1899" s="3565">
        <v>786609</v>
      </c>
      <c r="K1899" s="3565">
        <v>10052.51</v>
      </c>
      <c r="L1899" s="3565">
        <v>12479.91</v>
      </c>
      <c r="M1899" s="3565">
        <v>0</v>
      </c>
      <c r="N1899" s="3565">
        <v>0</v>
      </c>
      <c r="O1899" s="3563" t="s">
        <v>3453</v>
      </c>
    </row>
    <row r="1900" spans="1:15">
      <c r="A1900" s="3563" t="s">
        <v>6112</v>
      </c>
      <c r="B1900" s="3563" t="s">
        <v>4196</v>
      </c>
      <c r="C1900" s="3563" t="s">
        <v>4197</v>
      </c>
      <c r="D1900" s="3563" t="s">
        <v>4796</v>
      </c>
      <c r="E1900" s="3563" t="s">
        <v>5972</v>
      </c>
      <c r="F1900" s="3563" t="s">
        <v>4797</v>
      </c>
      <c r="G1900" s="3564">
        <v>78.25</v>
      </c>
      <c r="H1900" s="3564">
        <v>63.03</v>
      </c>
      <c r="I1900" s="3564">
        <v>15.22</v>
      </c>
      <c r="J1900" s="3565">
        <v>786609</v>
      </c>
      <c r="K1900" s="3565">
        <v>10052.51</v>
      </c>
      <c r="L1900" s="3565">
        <v>12479.91</v>
      </c>
      <c r="M1900" s="3565">
        <v>0</v>
      </c>
      <c r="N1900" s="3565">
        <v>0</v>
      </c>
      <c r="O1900" s="3563" t="s">
        <v>3453</v>
      </c>
    </row>
    <row r="1901" spans="1:15">
      <c r="A1901" s="3563" t="s">
        <v>6113</v>
      </c>
      <c r="B1901" s="3563" t="s">
        <v>4196</v>
      </c>
      <c r="C1901" s="3563" t="s">
        <v>4197</v>
      </c>
      <c r="D1901" s="3563" t="s">
        <v>4796</v>
      </c>
      <c r="E1901" s="3563" t="s">
        <v>5972</v>
      </c>
      <c r="F1901" s="3563" t="s">
        <v>4797</v>
      </c>
      <c r="G1901" s="3564">
        <v>109.8</v>
      </c>
      <c r="H1901" s="3564">
        <v>88.44</v>
      </c>
      <c r="I1901" s="3564">
        <v>21.36</v>
      </c>
      <c r="J1901" s="3565">
        <v>1165528</v>
      </c>
      <c r="K1901" s="3565">
        <v>10615.01</v>
      </c>
      <c r="L1901" s="3565">
        <v>13178.74</v>
      </c>
      <c r="M1901" s="3565">
        <v>0</v>
      </c>
      <c r="N1901" s="3565">
        <v>0</v>
      </c>
      <c r="O1901" s="3563" t="s">
        <v>3453</v>
      </c>
    </row>
    <row r="1902" spans="1:15">
      <c r="A1902" s="3563" t="s">
        <v>6114</v>
      </c>
      <c r="B1902" s="3563" t="s">
        <v>4196</v>
      </c>
      <c r="C1902" s="3563" t="s">
        <v>4197</v>
      </c>
      <c r="D1902" s="3563" t="s">
        <v>4796</v>
      </c>
      <c r="E1902" s="3563" t="s">
        <v>5972</v>
      </c>
      <c r="F1902" s="3563" t="s">
        <v>4797</v>
      </c>
      <c r="G1902" s="3564">
        <v>101.48</v>
      </c>
      <c r="H1902" s="3564">
        <v>81.739999999999995</v>
      </c>
      <c r="I1902" s="3564">
        <v>19.739999999999998</v>
      </c>
      <c r="J1902" s="3565">
        <v>1103849</v>
      </c>
      <c r="K1902" s="3565">
        <v>10877.5</v>
      </c>
      <c r="L1902" s="3565">
        <v>13504.39</v>
      </c>
      <c r="M1902" s="3565">
        <v>0</v>
      </c>
      <c r="N1902" s="3565">
        <v>0</v>
      </c>
      <c r="O1902" s="3563" t="s">
        <v>3453</v>
      </c>
    </row>
    <row r="1903" spans="1:15">
      <c r="A1903" s="3563" t="s">
        <v>6115</v>
      </c>
      <c r="B1903" s="3563" t="s">
        <v>4196</v>
      </c>
      <c r="C1903" s="3563" t="s">
        <v>4197</v>
      </c>
      <c r="D1903" s="3563" t="s">
        <v>4796</v>
      </c>
      <c r="E1903" s="3563" t="s">
        <v>5972</v>
      </c>
      <c r="F1903" s="3563" t="s">
        <v>4797</v>
      </c>
      <c r="G1903" s="3564">
        <v>101.48</v>
      </c>
      <c r="H1903" s="3564">
        <v>81.739999999999995</v>
      </c>
      <c r="I1903" s="3564">
        <v>19.739999999999998</v>
      </c>
      <c r="J1903" s="3565">
        <v>1103849</v>
      </c>
      <c r="K1903" s="3565">
        <v>10877.5</v>
      </c>
      <c r="L1903" s="3565">
        <v>13504.39</v>
      </c>
      <c r="M1903" s="3565">
        <v>0</v>
      </c>
      <c r="N1903" s="3565">
        <v>0</v>
      </c>
      <c r="O1903" s="3563" t="s">
        <v>3453</v>
      </c>
    </row>
    <row r="1904" spans="1:15">
      <c r="A1904" s="3563" t="s">
        <v>6116</v>
      </c>
      <c r="B1904" s="3563" t="s">
        <v>4196</v>
      </c>
      <c r="C1904" s="3563" t="s">
        <v>4197</v>
      </c>
      <c r="D1904" s="3563" t="s">
        <v>4796</v>
      </c>
      <c r="E1904" s="3563" t="s">
        <v>5972</v>
      </c>
      <c r="F1904" s="3563" t="s">
        <v>4797</v>
      </c>
      <c r="G1904" s="3564">
        <v>90.35</v>
      </c>
      <c r="H1904" s="3564">
        <v>72.78</v>
      </c>
      <c r="I1904" s="3564">
        <v>17.57</v>
      </c>
      <c r="J1904" s="3565">
        <v>903452</v>
      </c>
      <c r="K1904" s="3565">
        <v>9999.4699999999993</v>
      </c>
      <c r="L1904" s="3565">
        <v>12413.47</v>
      </c>
      <c r="M1904" s="3565">
        <v>0</v>
      </c>
      <c r="N1904" s="3565">
        <v>0</v>
      </c>
      <c r="O1904" s="3563" t="s">
        <v>3453</v>
      </c>
    </row>
    <row r="1905" spans="1:15">
      <c r="A1905" s="3563" t="s">
        <v>6117</v>
      </c>
      <c r="B1905" s="3563" t="s">
        <v>4196</v>
      </c>
      <c r="C1905" s="3563" t="s">
        <v>4197</v>
      </c>
      <c r="D1905" s="3563" t="s">
        <v>4796</v>
      </c>
      <c r="E1905" s="3563" t="s">
        <v>5972</v>
      </c>
      <c r="F1905" s="3563" t="s">
        <v>4797</v>
      </c>
      <c r="G1905" s="3564">
        <v>78.25</v>
      </c>
      <c r="H1905" s="3564">
        <v>63.03</v>
      </c>
      <c r="I1905" s="3564">
        <v>15.22</v>
      </c>
      <c r="J1905" s="3565">
        <v>787587</v>
      </c>
      <c r="K1905" s="3565">
        <v>10065.01</v>
      </c>
      <c r="L1905" s="3565">
        <v>12495.43</v>
      </c>
      <c r="M1905" s="3565">
        <v>0</v>
      </c>
      <c r="N1905" s="3565">
        <v>0</v>
      </c>
      <c r="O1905" s="3563" t="s">
        <v>3453</v>
      </c>
    </row>
    <row r="1906" spans="1:15">
      <c r="A1906" s="3563" t="s">
        <v>6118</v>
      </c>
      <c r="B1906" s="3563" t="s">
        <v>4196</v>
      </c>
      <c r="C1906" s="3563" t="s">
        <v>4197</v>
      </c>
      <c r="D1906" s="3563" t="s">
        <v>4796</v>
      </c>
      <c r="E1906" s="3563" t="s">
        <v>5972</v>
      </c>
      <c r="F1906" s="3563" t="s">
        <v>4797</v>
      </c>
      <c r="G1906" s="3564">
        <v>78.25</v>
      </c>
      <c r="H1906" s="3564">
        <v>63.03</v>
      </c>
      <c r="I1906" s="3564">
        <v>15.22</v>
      </c>
      <c r="J1906" s="3565">
        <v>787587</v>
      </c>
      <c r="K1906" s="3565">
        <v>10065.01</v>
      </c>
      <c r="L1906" s="3565">
        <v>12495.43</v>
      </c>
      <c r="M1906" s="3565">
        <v>0</v>
      </c>
      <c r="N1906" s="3565">
        <v>0</v>
      </c>
      <c r="O1906" s="3563" t="s">
        <v>3453</v>
      </c>
    </row>
    <row r="1907" spans="1:15">
      <c r="A1907" s="3563" t="s">
        <v>6119</v>
      </c>
      <c r="B1907" s="3563" t="s">
        <v>4196</v>
      </c>
      <c r="C1907" s="3563" t="s">
        <v>4197</v>
      </c>
      <c r="D1907" s="3563" t="s">
        <v>4796</v>
      </c>
      <c r="E1907" s="3563" t="s">
        <v>5972</v>
      </c>
      <c r="F1907" s="3563" t="s">
        <v>4797</v>
      </c>
      <c r="G1907" s="3564">
        <v>109.8</v>
      </c>
      <c r="H1907" s="3564">
        <v>88.44</v>
      </c>
      <c r="I1907" s="3564">
        <v>21.36</v>
      </c>
      <c r="J1907" s="3565">
        <v>1166900</v>
      </c>
      <c r="K1907" s="3565">
        <v>10627.5</v>
      </c>
      <c r="L1907" s="3565">
        <v>13194.26</v>
      </c>
      <c r="M1907" s="3565">
        <v>0</v>
      </c>
      <c r="N1907" s="3565">
        <v>0</v>
      </c>
      <c r="O1907" s="3563" t="s">
        <v>3453</v>
      </c>
    </row>
    <row r="1908" spans="1:15">
      <c r="A1908" s="3563" t="s">
        <v>6120</v>
      </c>
      <c r="B1908" s="3563" t="s">
        <v>4196</v>
      </c>
      <c r="C1908" s="3563" t="s">
        <v>4197</v>
      </c>
      <c r="D1908" s="3563" t="s">
        <v>4796</v>
      </c>
      <c r="E1908" s="3563" t="s">
        <v>5972</v>
      </c>
      <c r="F1908" s="3563" t="s">
        <v>4797</v>
      </c>
      <c r="G1908" s="3564">
        <v>101.48</v>
      </c>
      <c r="H1908" s="3564">
        <v>81.739999999999995</v>
      </c>
      <c r="I1908" s="3564">
        <v>19.739999999999998</v>
      </c>
      <c r="J1908" s="3565">
        <v>1105118</v>
      </c>
      <c r="K1908" s="3565">
        <v>10890.01</v>
      </c>
      <c r="L1908" s="3565">
        <v>13519.92</v>
      </c>
      <c r="M1908" s="3565">
        <v>0</v>
      </c>
      <c r="N1908" s="3565">
        <v>0</v>
      </c>
      <c r="O1908" s="3563" t="s">
        <v>3453</v>
      </c>
    </row>
    <row r="1909" spans="1:15">
      <c r="A1909" s="3563" t="s">
        <v>6121</v>
      </c>
      <c r="B1909" s="3563" t="s">
        <v>4196</v>
      </c>
      <c r="C1909" s="3563" t="s">
        <v>4197</v>
      </c>
      <c r="D1909" s="3563" t="s">
        <v>4796</v>
      </c>
      <c r="E1909" s="3563" t="s">
        <v>5972</v>
      </c>
      <c r="F1909" s="3563" t="s">
        <v>4797</v>
      </c>
      <c r="G1909" s="3564">
        <v>101.48</v>
      </c>
      <c r="H1909" s="3564">
        <v>81.739999999999995</v>
      </c>
      <c r="I1909" s="3564">
        <v>19.739999999999998</v>
      </c>
      <c r="J1909" s="3565">
        <v>1105118</v>
      </c>
      <c r="K1909" s="3565">
        <v>10890.01</v>
      </c>
      <c r="L1909" s="3565">
        <v>13519.92</v>
      </c>
      <c r="M1909" s="3565">
        <v>0</v>
      </c>
      <c r="N1909" s="3565">
        <v>0</v>
      </c>
      <c r="O1909" s="3563" t="s">
        <v>3453</v>
      </c>
    </row>
    <row r="1910" spans="1:15">
      <c r="A1910" s="3563" t="s">
        <v>6122</v>
      </c>
      <c r="B1910" s="3563" t="s">
        <v>4196</v>
      </c>
      <c r="C1910" s="3563" t="s">
        <v>4197</v>
      </c>
      <c r="D1910" s="3563" t="s">
        <v>4796</v>
      </c>
      <c r="E1910" s="3563" t="s">
        <v>5972</v>
      </c>
      <c r="F1910" s="3563" t="s">
        <v>4797</v>
      </c>
      <c r="G1910" s="3564">
        <v>90.35</v>
      </c>
      <c r="H1910" s="3564">
        <v>72.78</v>
      </c>
      <c r="I1910" s="3564">
        <v>17.57</v>
      </c>
      <c r="J1910" s="3565">
        <v>903452</v>
      </c>
      <c r="K1910" s="3565">
        <v>9999.4699999999993</v>
      </c>
      <c r="L1910" s="3565">
        <v>12413.47</v>
      </c>
      <c r="M1910" s="3565">
        <v>0</v>
      </c>
      <c r="N1910" s="3565">
        <v>0</v>
      </c>
      <c r="O1910" s="3563" t="s">
        <v>3453</v>
      </c>
    </row>
    <row r="1911" spans="1:15">
      <c r="A1911" s="3563" t="s">
        <v>6123</v>
      </c>
      <c r="B1911" s="3563" t="s">
        <v>4196</v>
      </c>
      <c r="C1911" s="3563" t="s">
        <v>4197</v>
      </c>
      <c r="D1911" s="3563" t="s">
        <v>4796</v>
      </c>
      <c r="E1911" s="3563" t="s">
        <v>5972</v>
      </c>
      <c r="F1911" s="3563" t="s">
        <v>4797</v>
      </c>
      <c r="G1911" s="3564">
        <v>78.25</v>
      </c>
      <c r="H1911" s="3564">
        <v>63.03</v>
      </c>
      <c r="I1911" s="3564">
        <v>15.22</v>
      </c>
      <c r="J1911" s="3565">
        <v>788565</v>
      </c>
      <c r="K1911" s="3565">
        <v>10077.51</v>
      </c>
      <c r="L1911" s="3565">
        <v>12510.95</v>
      </c>
      <c r="M1911" s="3565">
        <v>0</v>
      </c>
      <c r="N1911" s="3565">
        <v>0</v>
      </c>
      <c r="O1911" s="3563" t="s">
        <v>3453</v>
      </c>
    </row>
    <row r="1912" spans="1:15">
      <c r="A1912" s="3563" t="s">
        <v>6124</v>
      </c>
      <c r="B1912" s="3563" t="s">
        <v>4196</v>
      </c>
      <c r="C1912" s="3563" t="s">
        <v>4197</v>
      </c>
      <c r="D1912" s="3563" t="s">
        <v>4796</v>
      </c>
      <c r="E1912" s="3563" t="s">
        <v>5972</v>
      </c>
      <c r="F1912" s="3563" t="s">
        <v>4797</v>
      </c>
      <c r="G1912" s="3564">
        <v>78.25</v>
      </c>
      <c r="H1912" s="3564">
        <v>63.03</v>
      </c>
      <c r="I1912" s="3564">
        <v>15.22</v>
      </c>
      <c r="J1912" s="3565">
        <v>788565</v>
      </c>
      <c r="K1912" s="3565">
        <v>10077.51</v>
      </c>
      <c r="L1912" s="3565">
        <v>12510.95</v>
      </c>
      <c r="M1912" s="3565">
        <v>0</v>
      </c>
      <c r="N1912" s="3565">
        <v>0</v>
      </c>
      <c r="O1912" s="3563" t="s">
        <v>3453</v>
      </c>
    </row>
    <row r="1913" spans="1:15">
      <c r="A1913" s="3563" t="s">
        <v>6125</v>
      </c>
      <c r="B1913" s="3563" t="s">
        <v>4196</v>
      </c>
      <c r="C1913" s="3563" t="s">
        <v>4197</v>
      </c>
      <c r="D1913" s="3563" t="s">
        <v>4796</v>
      </c>
      <c r="E1913" s="3563" t="s">
        <v>5972</v>
      </c>
      <c r="F1913" s="3563" t="s">
        <v>4797</v>
      </c>
      <c r="G1913" s="3564">
        <v>109.8</v>
      </c>
      <c r="H1913" s="3564">
        <v>88.44</v>
      </c>
      <c r="I1913" s="3564">
        <v>21.36</v>
      </c>
      <c r="J1913" s="3565">
        <v>1168273</v>
      </c>
      <c r="K1913" s="3565">
        <v>10640.01</v>
      </c>
      <c r="L1913" s="3565">
        <v>13209.78</v>
      </c>
      <c r="M1913" s="3565">
        <v>0</v>
      </c>
      <c r="N1913" s="3565">
        <v>0</v>
      </c>
      <c r="O1913" s="3563" t="s">
        <v>3453</v>
      </c>
    </row>
    <row r="1914" spans="1:15">
      <c r="A1914" s="3563" t="s">
        <v>6126</v>
      </c>
      <c r="B1914" s="3563" t="s">
        <v>5277</v>
      </c>
      <c r="C1914" s="3563" t="s">
        <v>4197</v>
      </c>
      <c r="D1914" s="3563" t="s">
        <v>4796</v>
      </c>
      <c r="E1914" s="3563" t="s">
        <v>6127</v>
      </c>
      <c r="F1914" s="3563" t="s">
        <v>4797</v>
      </c>
      <c r="G1914" s="3564">
        <v>109.06</v>
      </c>
      <c r="H1914" s="3564">
        <v>88.44</v>
      </c>
      <c r="I1914" s="3564">
        <v>20.62</v>
      </c>
      <c r="J1914" s="3565">
        <v>977131</v>
      </c>
      <c r="K1914" s="3565">
        <v>8959.57</v>
      </c>
      <c r="L1914" s="3565">
        <v>11048.52</v>
      </c>
      <c r="M1914" s="3565">
        <v>918504</v>
      </c>
      <c r="N1914" s="3565">
        <v>8422.01</v>
      </c>
      <c r="O1914" s="3566">
        <v>44188</v>
      </c>
    </row>
    <row r="1915" spans="1:15">
      <c r="A1915" s="3563" t="s">
        <v>6128</v>
      </c>
      <c r="B1915" s="3563" t="s">
        <v>4196</v>
      </c>
      <c r="C1915" s="3563" t="s">
        <v>4197</v>
      </c>
      <c r="D1915" s="3563" t="s">
        <v>4796</v>
      </c>
      <c r="E1915" s="3563" t="s">
        <v>6127</v>
      </c>
      <c r="F1915" s="3563" t="s">
        <v>4797</v>
      </c>
      <c r="G1915" s="3564">
        <v>87.55</v>
      </c>
      <c r="H1915" s="3564">
        <v>71</v>
      </c>
      <c r="I1915" s="3564">
        <v>16.55</v>
      </c>
      <c r="J1915" s="3565">
        <v>883380</v>
      </c>
      <c r="K1915" s="3565">
        <v>10090.01</v>
      </c>
      <c r="L1915" s="3565">
        <v>12441.97</v>
      </c>
      <c r="M1915" s="3565">
        <v>0</v>
      </c>
      <c r="N1915" s="3565">
        <v>0</v>
      </c>
      <c r="O1915" s="3563" t="s">
        <v>3453</v>
      </c>
    </row>
    <row r="1916" spans="1:15">
      <c r="A1916" s="3563" t="s">
        <v>6129</v>
      </c>
      <c r="B1916" s="3563" t="s">
        <v>5277</v>
      </c>
      <c r="C1916" s="3563" t="s">
        <v>4197</v>
      </c>
      <c r="D1916" s="3563" t="s">
        <v>4796</v>
      </c>
      <c r="E1916" s="3563" t="s">
        <v>6127</v>
      </c>
      <c r="F1916" s="3563" t="s">
        <v>4797</v>
      </c>
      <c r="G1916" s="3564">
        <v>87.55</v>
      </c>
      <c r="H1916" s="3564">
        <v>71</v>
      </c>
      <c r="I1916" s="3564">
        <v>16.55</v>
      </c>
      <c r="J1916" s="3565">
        <v>751813</v>
      </c>
      <c r="K1916" s="3565">
        <v>8587.24</v>
      </c>
      <c r="L1916" s="3565">
        <v>10588.92</v>
      </c>
      <c r="M1916" s="3565">
        <v>714223</v>
      </c>
      <c r="N1916" s="3565">
        <v>8157.89</v>
      </c>
      <c r="O1916" s="3566">
        <v>44189</v>
      </c>
    </row>
    <row r="1917" spans="1:15">
      <c r="A1917" s="3563" t="s">
        <v>6130</v>
      </c>
      <c r="B1917" s="3563" t="s">
        <v>4196</v>
      </c>
      <c r="C1917" s="3563" t="s">
        <v>4197</v>
      </c>
      <c r="D1917" s="3563" t="s">
        <v>4796</v>
      </c>
      <c r="E1917" s="3563" t="s">
        <v>6127</v>
      </c>
      <c r="F1917" s="3563" t="s">
        <v>4797</v>
      </c>
      <c r="G1917" s="3564">
        <v>101.13</v>
      </c>
      <c r="H1917" s="3564">
        <v>82.01</v>
      </c>
      <c r="I1917" s="3564">
        <v>19.12</v>
      </c>
      <c r="J1917" s="3565">
        <v>1011245</v>
      </c>
      <c r="K1917" s="3565">
        <v>9999.4599999999991</v>
      </c>
      <c r="L1917" s="3565">
        <v>12330.75</v>
      </c>
      <c r="M1917" s="3565">
        <v>0</v>
      </c>
      <c r="N1917" s="3565">
        <v>0</v>
      </c>
      <c r="O1917" s="3563" t="s">
        <v>3453</v>
      </c>
    </row>
    <row r="1918" spans="1:15">
      <c r="A1918" s="3563" t="s">
        <v>6131</v>
      </c>
      <c r="B1918" s="3563" t="s">
        <v>4196</v>
      </c>
      <c r="C1918" s="3563" t="s">
        <v>4197</v>
      </c>
      <c r="D1918" s="3563" t="s">
        <v>4796</v>
      </c>
      <c r="E1918" s="3563" t="s">
        <v>6127</v>
      </c>
      <c r="F1918" s="3563" t="s">
        <v>4797</v>
      </c>
      <c r="G1918" s="3564">
        <v>100.8</v>
      </c>
      <c r="H1918" s="3564">
        <v>81.739999999999995</v>
      </c>
      <c r="I1918" s="3564">
        <v>19.059999999999999</v>
      </c>
      <c r="J1918" s="3565">
        <v>1086373</v>
      </c>
      <c r="K1918" s="3565">
        <v>10777.51</v>
      </c>
      <c r="L1918" s="3565">
        <v>13290.59</v>
      </c>
      <c r="M1918" s="3565">
        <v>0</v>
      </c>
      <c r="N1918" s="3565">
        <v>0</v>
      </c>
      <c r="O1918" s="3563" t="s">
        <v>3453</v>
      </c>
    </row>
    <row r="1919" spans="1:15">
      <c r="A1919" s="3563" t="s">
        <v>6132</v>
      </c>
      <c r="B1919" s="3563" t="s">
        <v>4196</v>
      </c>
      <c r="C1919" s="3563" t="s">
        <v>4197</v>
      </c>
      <c r="D1919" s="3563" t="s">
        <v>4796</v>
      </c>
      <c r="E1919" s="3563" t="s">
        <v>6127</v>
      </c>
      <c r="F1919" s="3563" t="s">
        <v>4797</v>
      </c>
      <c r="G1919" s="3564">
        <v>100.8</v>
      </c>
      <c r="H1919" s="3564">
        <v>81.739999999999995</v>
      </c>
      <c r="I1919" s="3564">
        <v>19.059999999999999</v>
      </c>
      <c r="J1919" s="3565">
        <v>1086373</v>
      </c>
      <c r="K1919" s="3565">
        <v>10777.51</v>
      </c>
      <c r="L1919" s="3565">
        <v>13290.59</v>
      </c>
      <c r="M1919" s="3565">
        <v>0</v>
      </c>
      <c r="N1919" s="3565">
        <v>0</v>
      </c>
      <c r="O1919" s="3563" t="s">
        <v>3453</v>
      </c>
    </row>
    <row r="1920" spans="1:15">
      <c r="A1920" s="3563" t="s">
        <v>6133</v>
      </c>
      <c r="B1920" s="3563" t="s">
        <v>4196</v>
      </c>
      <c r="C1920" s="3563" t="s">
        <v>4197</v>
      </c>
      <c r="D1920" s="3563" t="s">
        <v>4796</v>
      </c>
      <c r="E1920" s="3563" t="s">
        <v>6127</v>
      </c>
      <c r="F1920" s="3563" t="s">
        <v>4797</v>
      </c>
      <c r="G1920" s="3564">
        <v>109.06</v>
      </c>
      <c r="H1920" s="3564">
        <v>88.44</v>
      </c>
      <c r="I1920" s="3564">
        <v>20.62</v>
      </c>
      <c r="J1920" s="3565">
        <v>1149493</v>
      </c>
      <c r="K1920" s="3565">
        <v>10540.01</v>
      </c>
      <c r="L1920" s="3565">
        <v>12997.43</v>
      </c>
      <c r="M1920" s="3565">
        <v>0</v>
      </c>
      <c r="N1920" s="3565">
        <v>0</v>
      </c>
      <c r="O1920" s="3563" t="s">
        <v>3453</v>
      </c>
    </row>
    <row r="1921" spans="1:15">
      <c r="A1921" s="3563" t="s">
        <v>6134</v>
      </c>
      <c r="B1921" s="3563" t="s">
        <v>4196</v>
      </c>
      <c r="C1921" s="3563" t="s">
        <v>4197</v>
      </c>
      <c r="D1921" s="3563" t="s">
        <v>4796</v>
      </c>
      <c r="E1921" s="3563" t="s">
        <v>6127</v>
      </c>
      <c r="F1921" s="3563" t="s">
        <v>4797</v>
      </c>
      <c r="G1921" s="3564">
        <v>87.55</v>
      </c>
      <c r="H1921" s="3564">
        <v>71</v>
      </c>
      <c r="I1921" s="3564">
        <v>16.55</v>
      </c>
      <c r="J1921" s="3565">
        <v>884474</v>
      </c>
      <c r="K1921" s="3565">
        <v>10102.5</v>
      </c>
      <c r="L1921" s="3565">
        <v>12457.38</v>
      </c>
      <c r="M1921" s="3565">
        <v>0</v>
      </c>
      <c r="N1921" s="3565">
        <v>0</v>
      </c>
      <c r="O1921" s="3563" t="s">
        <v>3453</v>
      </c>
    </row>
    <row r="1922" spans="1:15">
      <c r="A1922" s="3563" t="s">
        <v>6135</v>
      </c>
      <c r="B1922" s="3563" t="s">
        <v>4196</v>
      </c>
      <c r="C1922" s="3563" t="s">
        <v>4197</v>
      </c>
      <c r="D1922" s="3563" t="s">
        <v>4796</v>
      </c>
      <c r="E1922" s="3563" t="s">
        <v>6127</v>
      </c>
      <c r="F1922" s="3563" t="s">
        <v>4797</v>
      </c>
      <c r="G1922" s="3564">
        <v>87.55</v>
      </c>
      <c r="H1922" s="3564">
        <v>71</v>
      </c>
      <c r="I1922" s="3564">
        <v>16.55</v>
      </c>
      <c r="J1922" s="3565">
        <v>884474</v>
      </c>
      <c r="K1922" s="3565">
        <v>10102.5</v>
      </c>
      <c r="L1922" s="3565">
        <v>12457.38</v>
      </c>
      <c r="M1922" s="3565">
        <v>0</v>
      </c>
      <c r="N1922" s="3565">
        <v>0</v>
      </c>
      <c r="O1922" s="3563" t="s">
        <v>3453</v>
      </c>
    </row>
    <row r="1923" spans="1:15">
      <c r="A1923" s="3563" t="s">
        <v>6136</v>
      </c>
      <c r="B1923" s="3563" t="s">
        <v>4196</v>
      </c>
      <c r="C1923" s="3563" t="s">
        <v>4197</v>
      </c>
      <c r="D1923" s="3563" t="s">
        <v>4796</v>
      </c>
      <c r="E1923" s="3563" t="s">
        <v>6127</v>
      </c>
      <c r="F1923" s="3563" t="s">
        <v>4797</v>
      </c>
      <c r="G1923" s="3564">
        <v>101.13</v>
      </c>
      <c r="H1923" s="3564">
        <v>82.01</v>
      </c>
      <c r="I1923" s="3564">
        <v>19.12</v>
      </c>
      <c r="J1923" s="3565">
        <v>1012130</v>
      </c>
      <c r="K1923" s="3565">
        <v>10008.209999999999</v>
      </c>
      <c r="L1923" s="3565">
        <v>12341.54</v>
      </c>
      <c r="M1923" s="3565">
        <v>0</v>
      </c>
      <c r="N1923" s="3565">
        <v>0</v>
      </c>
      <c r="O1923" s="3563" t="s">
        <v>3453</v>
      </c>
    </row>
    <row r="1924" spans="1:15">
      <c r="A1924" s="3563" t="s">
        <v>6137</v>
      </c>
      <c r="B1924" s="3563" t="s">
        <v>4196</v>
      </c>
      <c r="C1924" s="3563" t="s">
        <v>4197</v>
      </c>
      <c r="D1924" s="3563" t="s">
        <v>4796</v>
      </c>
      <c r="E1924" s="3563" t="s">
        <v>6127</v>
      </c>
      <c r="F1924" s="3563" t="s">
        <v>4797</v>
      </c>
      <c r="G1924" s="3564">
        <v>100.8</v>
      </c>
      <c r="H1924" s="3564">
        <v>81.739999999999995</v>
      </c>
      <c r="I1924" s="3564">
        <v>19.059999999999999</v>
      </c>
      <c r="J1924" s="3565">
        <v>1087633</v>
      </c>
      <c r="K1924" s="3565">
        <v>10790.01</v>
      </c>
      <c r="L1924" s="3565">
        <v>13306.01</v>
      </c>
      <c r="M1924" s="3565">
        <v>0</v>
      </c>
      <c r="N1924" s="3565">
        <v>0</v>
      </c>
      <c r="O1924" s="3563" t="s">
        <v>3453</v>
      </c>
    </row>
    <row r="1925" spans="1:15">
      <c r="A1925" s="3563" t="s">
        <v>6138</v>
      </c>
      <c r="B1925" s="3563" t="s">
        <v>5277</v>
      </c>
      <c r="C1925" s="3563" t="s">
        <v>4197</v>
      </c>
      <c r="D1925" s="3563" t="s">
        <v>4796</v>
      </c>
      <c r="E1925" s="3563" t="s">
        <v>6127</v>
      </c>
      <c r="F1925" s="3563" t="s">
        <v>4797</v>
      </c>
      <c r="G1925" s="3564">
        <v>100.8</v>
      </c>
      <c r="H1925" s="3564">
        <v>81.739999999999995</v>
      </c>
      <c r="I1925" s="3564">
        <v>19.059999999999999</v>
      </c>
      <c r="J1925" s="3565">
        <v>925645</v>
      </c>
      <c r="K1925" s="3565">
        <v>9182.99</v>
      </c>
      <c r="L1925" s="3565">
        <v>11324.26</v>
      </c>
      <c r="M1925" s="3565">
        <v>879363</v>
      </c>
      <c r="N1925" s="3565">
        <v>8723.84</v>
      </c>
      <c r="O1925" s="3566">
        <v>44189</v>
      </c>
    </row>
    <row r="1926" spans="1:15">
      <c r="A1926" s="3563" t="s">
        <v>6139</v>
      </c>
      <c r="B1926" s="3563" t="s">
        <v>4196</v>
      </c>
      <c r="C1926" s="3563" t="s">
        <v>4197</v>
      </c>
      <c r="D1926" s="3563" t="s">
        <v>4796</v>
      </c>
      <c r="E1926" s="3563" t="s">
        <v>6127</v>
      </c>
      <c r="F1926" s="3563" t="s">
        <v>4797</v>
      </c>
      <c r="G1926" s="3564">
        <v>109.06</v>
      </c>
      <c r="H1926" s="3564">
        <v>88.44</v>
      </c>
      <c r="I1926" s="3564">
        <v>20.62</v>
      </c>
      <c r="J1926" s="3565">
        <v>1150857</v>
      </c>
      <c r="K1926" s="3565">
        <v>10552.51</v>
      </c>
      <c r="L1926" s="3565">
        <v>13012.86</v>
      </c>
      <c r="M1926" s="3565">
        <v>0</v>
      </c>
      <c r="N1926" s="3565">
        <v>0</v>
      </c>
      <c r="O1926" s="3563" t="s">
        <v>3453</v>
      </c>
    </row>
    <row r="1927" spans="1:15">
      <c r="A1927" s="3563" t="s">
        <v>6140</v>
      </c>
      <c r="B1927" s="3563" t="s">
        <v>4811</v>
      </c>
      <c r="C1927" s="3563" t="s">
        <v>4197</v>
      </c>
      <c r="D1927" s="3563" t="s">
        <v>4796</v>
      </c>
      <c r="E1927" s="3563" t="s">
        <v>6127</v>
      </c>
      <c r="F1927" s="3563" t="s">
        <v>4797</v>
      </c>
      <c r="G1927" s="3564">
        <v>87.55</v>
      </c>
      <c r="H1927" s="3564">
        <v>71</v>
      </c>
      <c r="I1927" s="3564">
        <v>16.55</v>
      </c>
      <c r="J1927" s="3565">
        <v>753676</v>
      </c>
      <c r="K1927" s="3565">
        <v>8608.52</v>
      </c>
      <c r="L1927" s="3565">
        <v>10615.15</v>
      </c>
      <c r="M1927" s="3565">
        <v>715993</v>
      </c>
      <c r="N1927" s="3565">
        <v>8178.1</v>
      </c>
      <c r="O1927" s="3566">
        <v>44190</v>
      </c>
    </row>
    <row r="1928" spans="1:15">
      <c r="A1928" s="3563" t="s">
        <v>6141</v>
      </c>
      <c r="B1928" s="3563" t="s">
        <v>5277</v>
      </c>
      <c r="C1928" s="3563" t="s">
        <v>4197</v>
      </c>
      <c r="D1928" s="3563" t="s">
        <v>4796</v>
      </c>
      <c r="E1928" s="3563" t="s">
        <v>6127</v>
      </c>
      <c r="F1928" s="3563" t="s">
        <v>4797</v>
      </c>
      <c r="G1928" s="3564">
        <v>87.55</v>
      </c>
      <c r="H1928" s="3564">
        <v>71</v>
      </c>
      <c r="I1928" s="3564">
        <v>16.55</v>
      </c>
      <c r="J1928" s="3565">
        <v>753676</v>
      </c>
      <c r="K1928" s="3565">
        <v>8608.52</v>
      </c>
      <c r="L1928" s="3565">
        <v>10615.15</v>
      </c>
      <c r="M1928" s="3565">
        <v>715993</v>
      </c>
      <c r="N1928" s="3565">
        <v>8178.1</v>
      </c>
      <c r="O1928" s="3566">
        <v>44189</v>
      </c>
    </row>
    <row r="1929" spans="1:15">
      <c r="A1929" s="3563" t="s">
        <v>6142</v>
      </c>
      <c r="B1929" s="3563" t="s">
        <v>4196</v>
      </c>
      <c r="C1929" s="3563" t="s">
        <v>4197</v>
      </c>
      <c r="D1929" s="3563" t="s">
        <v>4796</v>
      </c>
      <c r="E1929" s="3563" t="s">
        <v>6127</v>
      </c>
      <c r="F1929" s="3563" t="s">
        <v>4797</v>
      </c>
      <c r="G1929" s="3564">
        <v>101.13</v>
      </c>
      <c r="H1929" s="3564">
        <v>82.01</v>
      </c>
      <c r="I1929" s="3564">
        <v>19.12</v>
      </c>
      <c r="J1929" s="3565">
        <v>1013394</v>
      </c>
      <c r="K1929" s="3565">
        <v>10020.709999999999</v>
      </c>
      <c r="L1929" s="3565">
        <v>12356.96</v>
      </c>
      <c r="M1929" s="3565">
        <v>0</v>
      </c>
      <c r="N1929" s="3565">
        <v>0</v>
      </c>
      <c r="O1929" s="3563" t="s">
        <v>3453</v>
      </c>
    </row>
    <row r="1930" spans="1:15">
      <c r="A1930" s="3563" t="s">
        <v>6143</v>
      </c>
      <c r="B1930" s="3563" t="s">
        <v>4196</v>
      </c>
      <c r="C1930" s="3563" t="s">
        <v>4197</v>
      </c>
      <c r="D1930" s="3563" t="s">
        <v>4796</v>
      </c>
      <c r="E1930" s="3563" t="s">
        <v>6127</v>
      </c>
      <c r="F1930" s="3563" t="s">
        <v>4797</v>
      </c>
      <c r="G1930" s="3564">
        <v>100.8</v>
      </c>
      <c r="H1930" s="3564">
        <v>81.739999999999995</v>
      </c>
      <c r="I1930" s="3564">
        <v>19.059999999999999</v>
      </c>
      <c r="J1930" s="3565">
        <v>1088893</v>
      </c>
      <c r="K1930" s="3565">
        <v>10802.51</v>
      </c>
      <c r="L1930" s="3565">
        <v>13321.42</v>
      </c>
      <c r="M1930" s="3565">
        <v>0</v>
      </c>
      <c r="N1930" s="3565">
        <v>0</v>
      </c>
      <c r="O1930" s="3563" t="s">
        <v>3453</v>
      </c>
    </row>
    <row r="1931" spans="1:15">
      <c r="A1931" s="3563" t="s">
        <v>6144</v>
      </c>
      <c r="B1931" s="3563" t="s">
        <v>4196</v>
      </c>
      <c r="C1931" s="3563" t="s">
        <v>4197</v>
      </c>
      <c r="D1931" s="3563" t="s">
        <v>4796</v>
      </c>
      <c r="E1931" s="3563" t="s">
        <v>6127</v>
      </c>
      <c r="F1931" s="3563" t="s">
        <v>4797</v>
      </c>
      <c r="G1931" s="3564">
        <v>100.8</v>
      </c>
      <c r="H1931" s="3564">
        <v>81.739999999999995</v>
      </c>
      <c r="I1931" s="3564">
        <v>19.059999999999999</v>
      </c>
      <c r="J1931" s="3565">
        <v>1088893</v>
      </c>
      <c r="K1931" s="3565">
        <v>10802.51</v>
      </c>
      <c r="L1931" s="3565">
        <v>13321.42</v>
      </c>
      <c r="M1931" s="3565">
        <v>0</v>
      </c>
      <c r="N1931" s="3565">
        <v>0</v>
      </c>
      <c r="O1931" s="3563" t="s">
        <v>3453</v>
      </c>
    </row>
    <row r="1932" spans="1:15">
      <c r="A1932" s="3563" t="s">
        <v>6145</v>
      </c>
      <c r="B1932" s="3563" t="s">
        <v>4196</v>
      </c>
      <c r="C1932" s="3563" t="s">
        <v>4197</v>
      </c>
      <c r="D1932" s="3563" t="s">
        <v>4796</v>
      </c>
      <c r="E1932" s="3563" t="s">
        <v>6127</v>
      </c>
      <c r="F1932" s="3563" t="s">
        <v>4797</v>
      </c>
      <c r="G1932" s="3564">
        <v>109.06</v>
      </c>
      <c r="H1932" s="3564">
        <v>88.44</v>
      </c>
      <c r="I1932" s="3564">
        <v>20.62</v>
      </c>
      <c r="J1932" s="3565">
        <v>1152219</v>
      </c>
      <c r="K1932" s="3565">
        <v>10565</v>
      </c>
      <c r="L1932" s="3565">
        <v>13028.26</v>
      </c>
      <c r="M1932" s="3565">
        <v>0</v>
      </c>
      <c r="N1932" s="3565">
        <v>0</v>
      </c>
      <c r="O1932" s="3563" t="s">
        <v>3453</v>
      </c>
    </row>
    <row r="1933" spans="1:15">
      <c r="A1933" s="3563" t="s">
        <v>6146</v>
      </c>
      <c r="B1933" s="3563" t="s">
        <v>4196</v>
      </c>
      <c r="C1933" s="3563" t="s">
        <v>4197</v>
      </c>
      <c r="D1933" s="3563" t="s">
        <v>4796</v>
      </c>
      <c r="E1933" s="3563" t="s">
        <v>6127</v>
      </c>
      <c r="F1933" s="3563" t="s">
        <v>4797</v>
      </c>
      <c r="G1933" s="3564">
        <v>87.55</v>
      </c>
      <c r="H1933" s="3564">
        <v>71</v>
      </c>
      <c r="I1933" s="3564">
        <v>16.55</v>
      </c>
      <c r="J1933" s="3565">
        <v>886663</v>
      </c>
      <c r="K1933" s="3565">
        <v>10127.5</v>
      </c>
      <c r="L1933" s="3565">
        <v>12488.21</v>
      </c>
      <c r="M1933" s="3565">
        <v>0</v>
      </c>
      <c r="N1933" s="3565">
        <v>0</v>
      </c>
      <c r="O1933" s="3563" t="s">
        <v>3453</v>
      </c>
    </row>
    <row r="1934" spans="1:15">
      <c r="A1934" s="3563" t="s">
        <v>6147</v>
      </c>
      <c r="B1934" s="3563" t="s">
        <v>4811</v>
      </c>
      <c r="C1934" s="3563" t="s">
        <v>4197</v>
      </c>
      <c r="D1934" s="3563" t="s">
        <v>4796</v>
      </c>
      <c r="E1934" s="3563" t="s">
        <v>6127</v>
      </c>
      <c r="F1934" s="3563" t="s">
        <v>4797</v>
      </c>
      <c r="G1934" s="3564">
        <v>87.55</v>
      </c>
      <c r="H1934" s="3564">
        <v>71</v>
      </c>
      <c r="I1934" s="3564">
        <v>16.55</v>
      </c>
      <c r="J1934" s="3565">
        <v>754607</v>
      </c>
      <c r="K1934" s="3565">
        <v>8619.15</v>
      </c>
      <c r="L1934" s="3565">
        <v>10628.27</v>
      </c>
      <c r="M1934" s="3565">
        <v>716877</v>
      </c>
      <c r="N1934" s="3565">
        <v>8188.2</v>
      </c>
      <c r="O1934" s="3566">
        <v>44189</v>
      </c>
    </row>
    <row r="1935" spans="1:15">
      <c r="A1935" s="3563" t="s">
        <v>6148</v>
      </c>
      <c r="B1935" s="3563" t="s">
        <v>4196</v>
      </c>
      <c r="C1935" s="3563" t="s">
        <v>4197</v>
      </c>
      <c r="D1935" s="3563" t="s">
        <v>4796</v>
      </c>
      <c r="E1935" s="3563" t="s">
        <v>6127</v>
      </c>
      <c r="F1935" s="3563" t="s">
        <v>4797</v>
      </c>
      <c r="G1935" s="3564">
        <v>101.13</v>
      </c>
      <c r="H1935" s="3564">
        <v>82.01</v>
      </c>
      <c r="I1935" s="3564">
        <v>19.12</v>
      </c>
      <c r="J1935" s="3565">
        <v>1014659</v>
      </c>
      <c r="K1935" s="3565">
        <v>10033.209999999999</v>
      </c>
      <c r="L1935" s="3565">
        <v>12372.38</v>
      </c>
      <c r="M1935" s="3565">
        <v>0</v>
      </c>
      <c r="N1935" s="3565">
        <v>0</v>
      </c>
      <c r="O1935" s="3563" t="s">
        <v>3453</v>
      </c>
    </row>
    <row r="1936" spans="1:15">
      <c r="A1936" s="3563" t="s">
        <v>6149</v>
      </c>
      <c r="B1936" s="3563" t="s">
        <v>4196</v>
      </c>
      <c r="C1936" s="3563" t="s">
        <v>4197</v>
      </c>
      <c r="D1936" s="3563" t="s">
        <v>4796</v>
      </c>
      <c r="E1936" s="3563" t="s">
        <v>6127</v>
      </c>
      <c r="F1936" s="3563" t="s">
        <v>4797</v>
      </c>
      <c r="G1936" s="3564">
        <v>100.8</v>
      </c>
      <c r="H1936" s="3564">
        <v>81.739999999999995</v>
      </c>
      <c r="I1936" s="3564">
        <v>19.059999999999999</v>
      </c>
      <c r="J1936" s="3565">
        <v>1090153</v>
      </c>
      <c r="K1936" s="3565">
        <v>10815.01</v>
      </c>
      <c r="L1936" s="3565">
        <v>13336.84</v>
      </c>
      <c r="M1936" s="3565">
        <v>0</v>
      </c>
      <c r="N1936" s="3565">
        <v>0</v>
      </c>
      <c r="O1936" s="3563" t="s">
        <v>3453</v>
      </c>
    </row>
    <row r="1937" spans="1:15">
      <c r="A1937" s="3563" t="s">
        <v>6150</v>
      </c>
      <c r="B1937" s="3563" t="s">
        <v>4196</v>
      </c>
      <c r="C1937" s="3563" t="s">
        <v>4197</v>
      </c>
      <c r="D1937" s="3563" t="s">
        <v>4796</v>
      </c>
      <c r="E1937" s="3563" t="s">
        <v>6127</v>
      </c>
      <c r="F1937" s="3563" t="s">
        <v>4797</v>
      </c>
      <c r="G1937" s="3564">
        <v>100.8</v>
      </c>
      <c r="H1937" s="3564">
        <v>81.739999999999995</v>
      </c>
      <c r="I1937" s="3564">
        <v>19.059999999999999</v>
      </c>
      <c r="J1937" s="3565">
        <v>1090153</v>
      </c>
      <c r="K1937" s="3565">
        <v>10815.01</v>
      </c>
      <c r="L1937" s="3565">
        <v>13336.84</v>
      </c>
      <c r="M1937" s="3565">
        <v>0</v>
      </c>
      <c r="N1937" s="3565">
        <v>0</v>
      </c>
      <c r="O1937" s="3563" t="s">
        <v>3453</v>
      </c>
    </row>
    <row r="1938" spans="1:15">
      <c r="A1938" s="3563" t="s">
        <v>6151</v>
      </c>
      <c r="B1938" s="3563" t="s">
        <v>4196</v>
      </c>
      <c r="C1938" s="3563" t="s">
        <v>4197</v>
      </c>
      <c r="D1938" s="3563" t="s">
        <v>4796</v>
      </c>
      <c r="E1938" s="3563" t="s">
        <v>6127</v>
      </c>
      <c r="F1938" s="3563" t="s">
        <v>4797</v>
      </c>
      <c r="G1938" s="3564">
        <v>109.06</v>
      </c>
      <c r="H1938" s="3564">
        <v>88.44</v>
      </c>
      <c r="I1938" s="3564">
        <v>20.62</v>
      </c>
      <c r="J1938" s="3565">
        <v>1139950</v>
      </c>
      <c r="K1938" s="3565">
        <v>10452.5</v>
      </c>
      <c r="L1938" s="3565">
        <v>12889.53</v>
      </c>
      <c r="M1938" s="3565">
        <v>0</v>
      </c>
      <c r="N1938" s="3565">
        <v>0</v>
      </c>
      <c r="O1938" s="3563" t="s">
        <v>3453</v>
      </c>
    </row>
    <row r="1939" spans="1:15">
      <c r="A1939" s="3563" t="s">
        <v>6152</v>
      </c>
      <c r="B1939" s="3563" t="s">
        <v>4196</v>
      </c>
      <c r="C1939" s="3563" t="s">
        <v>4197</v>
      </c>
      <c r="D1939" s="3563" t="s">
        <v>4796</v>
      </c>
      <c r="E1939" s="3563" t="s">
        <v>6127</v>
      </c>
      <c r="F1939" s="3563" t="s">
        <v>4797</v>
      </c>
      <c r="G1939" s="3564">
        <v>87.55</v>
      </c>
      <c r="H1939" s="3564">
        <v>71</v>
      </c>
      <c r="I1939" s="3564">
        <v>16.55</v>
      </c>
      <c r="J1939" s="3565">
        <v>876814</v>
      </c>
      <c r="K1939" s="3565">
        <v>10015.01</v>
      </c>
      <c r="L1939" s="3565">
        <v>12349.49</v>
      </c>
      <c r="M1939" s="3565">
        <v>0</v>
      </c>
      <c r="N1939" s="3565">
        <v>0</v>
      </c>
      <c r="O1939" s="3563" t="s">
        <v>3453</v>
      </c>
    </row>
    <row r="1940" spans="1:15">
      <c r="A1940" s="3563" t="s">
        <v>6153</v>
      </c>
      <c r="B1940" s="3563" t="s">
        <v>4811</v>
      </c>
      <c r="C1940" s="3563" t="s">
        <v>4197</v>
      </c>
      <c r="D1940" s="3563" t="s">
        <v>4796</v>
      </c>
      <c r="E1940" s="3563" t="s">
        <v>6127</v>
      </c>
      <c r="F1940" s="3563" t="s">
        <v>4797</v>
      </c>
      <c r="G1940" s="3564">
        <v>87.55</v>
      </c>
      <c r="H1940" s="3564">
        <v>71</v>
      </c>
      <c r="I1940" s="3564">
        <v>16.55</v>
      </c>
      <c r="J1940" s="3565">
        <v>746225</v>
      </c>
      <c r="K1940" s="3565">
        <v>8523.42</v>
      </c>
      <c r="L1940" s="3565">
        <v>10510.21</v>
      </c>
      <c r="M1940" s="3565">
        <v>708914</v>
      </c>
      <c r="N1940" s="3565">
        <v>8097.25</v>
      </c>
      <c r="O1940" s="3566">
        <v>44189</v>
      </c>
    </row>
    <row r="1941" spans="1:15">
      <c r="A1941" s="3563" t="s">
        <v>6154</v>
      </c>
      <c r="B1941" s="3563" t="s">
        <v>4196</v>
      </c>
      <c r="C1941" s="3563" t="s">
        <v>4197</v>
      </c>
      <c r="D1941" s="3563" t="s">
        <v>4796</v>
      </c>
      <c r="E1941" s="3563" t="s">
        <v>6127</v>
      </c>
      <c r="F1941" s="3563" t="s">
        <v>4797</v>
      </c>
      <c r="G1941" s="3564">
        <v>101.13</v>
      </c>
      <c r="H1941" s="3564">
        <v>82.01</v>
      </c>
      <c r="I1941" s="3564">
        <v>19.12</v>
      </c>
      <c r="J1941" s="3565">
        <v>1011245</v>
      </c>
      <c r="K1941" s="3565">
        <v>9999.4599999999991</v>
      </c>
      <c r="L1941" s="3565">
        <v>12330.75</v>
      </c>
      <c r="M1941" s="3565">
        <v>0</v>
      </c>
      <c r="N1941" s="3565">
        <v>0</v>
      </c>
      <c r="O1941" s="3563" t="s">
        <v>3453</v>
      </c>
    </row>
    <row r="1942" spans="1:15">
      <c r="A1942" s="3563" t="s">
        <v>6155</v>
      </c>
      <c r="B1942" s="3563" t="s">
        <v>4196</v>
      </c>
      <c r="C1942" s="3563" t="s">
        <v>4197</v>
      </c>
      <c r="D1942" s="3563" t="s">
        <v>4796</v>
      </c>
      <c r="E1942" s="3563" t="s">
        <v>6127</v>
      </c>
      <c r="F1942" s="3563" t="s">
        <v>4797</v>
      </c>
      <c r="G1942" s="3564">
        <v>100.8</v>
      </c>
      <c r="H1942" s="3564">
        <v>81.739999999999995</v>
      </c>
      <c r="I1942" s="3564">
        <v>19.059999999999999</v>
      </c>
      <c r="J1942" s="3565">
        <v>1078813</v>
      </c>
      <c r="K1942" s="3565">
        <v>10702.51</v>
      </c>
      <c r="L1942" s="3565">
        <v>13198.1</v>
      </c>
      <c r="M1942" s="3565">
        <v>0</v>
      </c>
      <c r="N1942" s="3565">
        <v>0</v>
      </c>
      <c r="O1942" s="3563" t="s">
        <v>3453</v>
      </c>
    </row>
    <row r="1943" spans="1:15">
      <c r="A1943" s="3563" t="s">
        <v>6156</v>
      </c>
      <c r="B1943" s="3563" t="s">
        <v>4196</v>
      </c>
      <c r="C1943" s="3563" t="s">
        <v>4197</v>
      </c>
      <c r="D1943" s="3563" t="s">
        <v>4796</v>
      </c>
      <c r="E1943" s="3563" t="s">
        <v>6127</v>
      </c>
      <c r="F1943" s="3563" t="s">
        <v>4797</v>
      </c>
      <c r="G1943" s="3564">
        <v>100.8</v>
      </c>
      <c r="H1943" s="3564">
        <v>81.739999999999995</v>
      </c>
      <c r="I1943" s="3564">
        <v>19.059999999999999</v>
      </c>
      <c r="J1943" s="3565">
        <v>1078813</v>
      </c>
      <c r="K1943" s="3565">
        <v>10702.51</v>
      </c>
      <c r="L1943" s="3565">
        <v>13198.1</v>
      </c>
      <c r="M1943" s="3565">
        <v>0</v>
      </c>
      <c r="N1943" s="3565">
        <v>0</v>
      </c>
      <c r="O1943" s="3563" t="s">
        <v>3453</v>
      </c>
    </row>
    <row r="1944" spans="1:15">
      <c r="A1944" s="3563" t="s">
        <v>6157</v>
      </c>
      <c r="B1944" s="3563" t="s">
        <v>4196</v>
      </c>
      <c r="C1944" s="3563" t="s">
        <v>4197</v>
      </c>
      <c r="D1944" s="3563" t="s">
        <v>4796</v>
      </c>
      <c r="E1944" s="3563" t="s">
        <v>6127</v>
      </c>
      <c r="F1944" s="3563" t="s">
        <v>4797</v>
      </c>
      <c r="G1944" s="3564">
        <v>109.06</v>
      </c>
      <c r="H1944" s="3564">
        <v>88.44</v>
      </c>
      <c r="I1944" s="3564">
        <v>20.62</v>
      </c>
      <c r="J1944" s="3565">
        <v>1154945</v>
      </c>
      <c r="K1944" s="3565">
        <v>10590</v>
      </c>
      <c r="L1944" s="3565">
        <v>13059.08</v>
      </c>
      <c r="M1944" s="3565">
        <v>0</v>
      </c>
      <c r="N1944" s="3565">
        <v>0</v>
      </c>
      <c r="O1944" s="3563" t="s">
        <v>3453</v>
      </c>
    </row>
    <row r="1945" spans="1:15">
      <c r="A1945" s="3563" t="s">
        <v>6158</v>
      </c>
      <c r="B1945" s="3563" t="s">
        <v>5277</v>
      </c>
      <c r="C1945" s="3563" t="s">
        <v>4197</v>
      </c>
      <c r="D1945" s="3563" t="s">
        <v>4796</v>
      </c>
      <c r="E1945" s="3563" t="s">
        <v>6127</v>
      </c>
      <c r="F1945" s="3563" t="s">
        <v>4797</v>
      </c>
      <c r="G1945" s="3564">
        <v>87.55</v>
      </c>
      <c r="H1945" s="3564">
        <v>71</v>
      </c>
      <c r="I1945" s="3564">
        <v>16.55</v>
      </c>
      <c r="J1945" s="3565">
        <v>756470</v>
      </c>
      <c r="K1945" s="3565">
        <v>8640.43</v>
      </c>
      <c r="L1945" s="3565">
        <v>10654.51</v>
      </c>
      <c r="M1945" s="3565">
        <v>718647</v>
      </c>
      <c r="N1945" s="3565">
        <v>8208.42</v>
      </c>
      <c r="O1945" s="3566">
        <v>44189</v>
      </c>
    </row>
    <row r="1946" spans="1:15">
      <c r="A1946" s="3563" t="s">
        <v>6159</v>
      </c>
      <c r="B1946" s="3563" t="s">
        <v>4811</v>
      </c>
      <c r="C1946" s="3563" t="s">
        <v>4197</v>
      </c>
      <c r="D1946" s="3563" t="s">
        <v>4796</v>
      </c>
      <c r="E1946" s="3563" t="s">
        <v>6127</v>
      </c>
      <c r="F1946" s="3563" t="s">
        <v>4797</v>
      </c>
      <c r="G1946" s="3564">
        <v>87.55</v>
      </c>
      <c r="H1946" s="3564">
        <v>71</v>
      </c>
      <c r="I1946" s="3564">
        <v>16.55</v>
      </c>
      <c r="J1946" s="3565">
        <v>756470</v>
      </c>
      <c r="K1946" s="3565">
        <v>8640.43</v>
      </c>
      <c r="L1946" s="3565">
        <v>10654.51</v>
      </c>
      <c r="M1946" s="3565">
        <v>718647</v>
      </c>
      <c r="N1946" s="3565">
        <v>8208.42</v>
      </c>
      <c r="O1946" s="3566">
        <v>44190</v>
      </c>
    </row>
    <row r="1947" spans="1:15">
      <c r="A1947" s="3563" t="s">
        <v>6160</v>
      </c>
      <c r="B1947" s="3563" t="s">
        <v>4196</v>
      </c>
      <c r="C1947" s="3563" t="s">
        <v>4197</v>
      </c>
      <c r="D1947" s="3563" t="s">
        <v>4796</v>
      </c>
      <c r="E1947" s="3563" t="s">
        <v>6127</v>
      </c>
      <c r="F1947" s="3563" t="s">
        <v>4797</v>
      </c>
      <c r="G1947" s="3564">
        <v>101.13</v>
      </c>
      <c r="H1947" s="3564">
        <v>82.01</v>
      </c>
      <c r="I1947" s="3564">
        <v>19.12</v>
      </c>
      <c r="J1947" s="3565">
        <v>1014082</v>
      </c>
      <c r="K1947" s="3565">
        <v>10027.51</v>
      </c>
      <c r="L1947" s="3565">
        <v>12365.35</v>
      </c>
      <c r="M1947" s="3565">
        <v>0</v>
      </c>
      <c r="N1947" s="3565">
        <v>0</v>
      </c>
      <c r="O1947" s="3563" t="s">
        <v>3453</v>
      </c>
    </row>
    <row r="1948" spans="1:15">
      <c r="A1948" s="3563" t="s">
        <v>6161</v>
      </c>
      <c r="B1948" s="3563" t="s">
        <v>4196</v>
      </c>
      <c r="C1948" s="3563" t="s">
        <v>4197</v>
      </c>
      <c r="D1948" s="3563" t="s">
        <v>4796</v>
      </c>
      <c r="E1948" s="3563" t="s">
        <v>6127</v>
      </c>
      <c r="F1948" s="3563" t="s">
        <v>4797</v>
      </c>
      <c r="G1948" s="3564">
        <v>100.8</v>
      </c>
      <c r="H1948" s="3564">
        <v>81.739999999999995</v>
      </c>
      <c r="I1948" s="3564">
        <v>19.059999999999999</v>
      </c>
      <c r="J1948" s="3565">
        <v>1092673</v>
      </c>
      <c r="K1948" s="3565">
        <v>10840.01</v>
      </c>
      <c r="L1948" s="3565">
        <v>13367.67</v>
      </c>
      <c r="M1948" s="3565">
        <v>0</v>
      </c>
      <c r="N1948" s="3565">
        <v>0</v>
      </c>
      <c r="O1948" s="3563" t="s">
        <v>3453</v>
      </c>
    </row>
    <row r="1949" spans="1:15">
      <c r="A1949" s="3563" t="s">
        <v>6162</v>
      </c>
      <c r="B1949" s="3563" t="s">
        <v>4196</v>
      </c>
      <c r="C1949" s="3563" t="s">
        <v>4197</v>
      </c>
      <c r="D1949" s="3563" t="s">
        <v>4796</v>
      </c>
      <c r="E1949" s="3563" t="s">
        <v>6127</v>
      </c>
      <c r="F1949" s="3563" t="s">
        <v>4797</v>
      </c>
      <c r="G1949" s="3564">
        <v>100.8</v>
      </c>
      <c r="H1949" s="3564">
        <v>81.739999999999995</v>
      </c>
      <c r="I1949" s="3564">
        <v>19.059999999999999</v>
      </c>
      <c r="J1949" s="3565">
        <v>1092673</v>
      </c>
      <c r="K1949" s="3565">
        <v>10840.01</v>
      </c>
      <c r="L1949" s="3565">
        <v>13367.67</v>
      </c>
      <c r="M1949" s="3565">
        <v>0</v>
      </c>
      <c r="N1949" s="3565">
        <v>0</v>
      </c>
      <c r="O1949" s="3563" t="s">
        <v>3453</v>
      </c>
    </row>
    <row r="1950" spans="1:15">
      <c r="A1950" s="3563" t="s">
        <v>6163</v>
      </c>
      <c r="B1950" s="3563" t="s">
        <v>4196</v>
      </c>
      <c r="C1950" s="3563" t="s">
        <v>4197</v>
      </c>
      <c r="D1950" s="3563" t="s">
        <v>4796</v>
      </c>
      <c r="E1950" s="3563" t="s">
        <v>6127</v>
      </c>
      <c r="F1950" s="3563" t="s">
        <v>4797</v>
      </c>
      <c r="G1950" s="3564">
        <v>109.06</v>
      </c>
      <c r="H1950" s="3564">
        <v>88.44</v>
      </c>
      <c r="I1950" s="3564">
        <v>20.62</v>
      </c>
      <c r="J1950" s="3565">
        <v>1153583</v>
      </c>
      <c r="K1950" s="3565">
        <v>10577.51</v>
      </c>
      <c r="L1950" s="3565">
        <v>13043.68</v>
      </c>
      <c r="M1950" s="3565">
        <v>0</v>
      </c>
      <c r="N1950" s="3565">
        <v>0</v>
      </c>
      <c r="O1950" s="3563" t="s">
        <v>3453</v>
      </c>
    </row>
    <row r="1951" spans="1:15">
      <c r="A1951" s="3563" t="s">
        <v>6164</v>
      </c>
      <c r="B1951" s="3563" t="s">
        <v>4811</v>
      </c>
      <c r="C1951" s="3563" t="s">
        <v>4197</v>
      </c>
      <c r="D1951" s="3563" t="s">
        <v>4796</v>
      </c>
      <c r="E1951" s="3563" t="s">
        <v>6127</v>
      </c>
      <c r="F1951" s="3563" t="s">
        <v>4797</v>
      </c>
      <c r="G1951" s="3564">
        <v>87.55</v>
      </c>
      <c r="H1951" s="3564">
        <v>71</v>
      </c>
      <c r="I1951" s="3564">
        <v>16.55</v>
      </c>
      <c r="J1951" s="3565">
        <v>887758</v>
      </c>
      <c r="K1951" s="3565">
        <v>10140.01</v>
      </c>
      <c r="L1951" s="3565">
        <v>12503.63</v>
      </c>
      <c r="M1951" s="3565">
        <v>887758</v>
      </c>
      <c r="N1951" s="3565">
        <v>10140.01</v>
      </c>
      <c r="O1951" s="3566">
        <v>44192</v>
      </c>
    </row>
    <row r="1952" spans="1:15">
      <c r="A1952" s="3563" t="s">
        <v>6165</v>
      </c>
      <c r="B1952" s="3563" t="s">
        <v>5277</v>
      </c>
      <c r="C1952" s="3563" t="s">
        <v>4197</v>
      </c>
      <c r="D1952" s="3563" t="s">
        <v>4796</v>
      </c>
      <c r="E1952" s="3563" t="s">
        <v>6127</v>
      </c>
      <c r="F1952" s="3563" t="s">
        <v>4797</v>
      </c>
      <c r="G1952" s="3564">
        <v>87.55</v>
      </c>
      <c r="H1952" s="3564">
        <v>71</v>
      </c>
      <c r="I1952" s="3564">
        <v>16.55</v>
      </c>
      <c r="J1952" s="3565">
        <v>755539</v>
      </c>
      <c r="K1952" s="3565">
        <v>8629.7999999999993</v>
      </c>
      <c r="L1952" s="3565">
        <v>10641.39</v>
      </c>
      <c r="M1952" s="3565">
        <v>717763</v>
      </c>
      <c r="N1952" s="3565">
        <v>8198.32</v>
      </c>
      <c r="O1952" s="3566">
        <v>44189</v>
      </c>
    </row>
    <row r="1953" spans="1:15">
      <c r="A1953" s="3563" t="s">
        <v>6166</v>
      </c>
      <c r="B1953" s="3563" t="s">
        <v>4196</v>
      </c>
      <c r="C1953" s="3563" t="s">
        <v>4197</v>
      </c>
      <c r="D1953" s="3563" t="s">
        <v>4796</v>
      </c>
      <c r="E1953" s="3563" t="s">
        <v>6127</v>
      </c>
      <c r="F1953" s="3563" t="s">
        <v>4797</v>
      </c>
      <c r="G1953" s="3564">
        <v>101.13</v>
      </c>
      <c r="H1953" s="3564">
        <v>82.01</v>
      </c>
      <c r="I1953" s="3564">
        <v>19.12</v>
      </c>
      <c r="J1953" s="3565">
        <v>1012818</v>
      </c>
      <c r="K1953" s="3565">
        <v>10015.01</v>
      </c>
      <c r="L1953" s="3565">
        <v>12349.93</v>
      </c>
      <c r="M1953" s="3565">
        <v>0</v>
      </c>
      <c r="N1953" s="3565">
        <v>0</v>
      </c>
      <c r="O1953" s="3563" t="s">
        <v>3453</v>
      </c>
    </row>
    <row r="1954" spans="1:15">
      <c r="A1954" s="3563" t="s">
        <v>6167</v>
      </c>
      <c r="B1954" s="3563" t="s">
        <v>4196</v>
      </c>
      <c r="C1954" s="3563" t="s">
        <v>4197</v>
      </c>
      <c r="D1954" s="3563" t="s">
        <v>4796</v>
      </c>
      <c r="E1954" s="3563" t="s">
        <v>6127</v>
      </c>
      <c r="F1954" s="3563" t="s">
        <v>4797</v>
      </c>
      <c r="G1954" s="3564">
        <v>100.8</v>
      </c>
      <c r="H1954" s="3564">
        <v>81.739999999999995</v>
      </c>
      <c r="I1954" s="3564">
        <v>19.059999999999999</v>
      </c>
      <c r="J1954" s="3565">
        <v>1091413</v>
      </c>
      <c r="K1954" s="3565">
        <v>10827.51</v>
      </c>
      <c r="L1954" s="3565">
        <v>13352.25</v>
      </c>
      <c r="M1954" s="3565">
        <v>0</v>
      </c>
      <c r="N1954" s="3565">
        <v>0</v>
      </c>
      <c r="O1954" s="3563" t="s">
        <v>3453</v>
      </c>
    </row>
    <row r="1955" spans="1:15">
      <c r="A1955" s="3563" t="s">
        <v>6168</v>
      </c>
      <c r="B1955" s="3563" t="s">
        <v>4196</v>
      </c>
      <c r="C1955" s="3563" t="s">
        <v>4197</v>
      </c>
      <c r="D1955" s="3563" t="s">
        <v>4796</v>
      </c>
      <c r="E1955" s="3563" t="s">
        <v>6127</v>
      </c>
      <c r="F1955" s="3563" t="s">
        <v>4797</v>
      </c>
      <c r="G1955" s="3564">
        <v>100.8</v>
      </c>
      <c r="H1955" s="3564">
        <v>81.739999999999995</v>
      </c>
      <c r="I1955" s="3564">
        <v>19.059999999999999</v>
      </c>
      <c r="J1955" s="3565">
        <v>1091413</v>
      </c>
      <c r="K1955" s="3565">
        <v>10827.51</v>
      </c>
      <c r="L1955" s="3565">
        <v>13352.25</v>
      </c>
      <c r="M1955" s="3565">
        <v>0</v>
      </c>
      <c r="N1955" s="3565">
        <v>0</v>
      </c>
      <c r="O1955" s="3563" t="s">
        <v>3453</v>
      </c>
    </row>
    <row r="1956" spans="1:15">
      <c r="A1956" s="3563" t="s">
        <v>6169</v>
      </c>
      <c r="B1956" s="3563" t="s">
        <v>4196</v>
      </c>
      <c r="C1956" s="3563" t="s">
        <v>4197</v>
      </c>
      <c r="D1956" s="3563" t="s">
        <v>4796</v>
      </c>
      <c r="E1956" s="3563" t="s">
        <v>6127</v>
      </c>
      <c r="F1956" s="3563" t="s">
        <v>4797</v>
      </c>
      <c r="G1956" s="3564">
        <v>109.06</v>
      </c>
      <c r="H1956" s="3564">
        <v>88.44</v>
      </c>
      <c r="I1956" s="3564">
        <v>20.62</v>
      </c>
      <c r="J1956" s="3565">
        <v>1152219</v>
      </c>
      <c r="K1956" s="3565">
        <v>10565</v>
      </c>
      <c r="L1956" s="3565">
        <v>13028.26</v>
      </c>
      <c r="M1956" s="3565">
        <v>0</v>
      </c>
      <c r="N1956" s="3565">
        <v>0</v>
      </c>
      <c r="O1956" s="3563" t="s">
        <v>3453</v>
      </c>
    </row>
    <row r="1957" spans="1:15">
      <c r="A1957" s="3563" t="s">
        <v>6170</v>
      </c>
      <c r="B1957" s="3563" t="s">
        <v>4196</v>
      </c>
      <c r="C1957" s="3563" t="s">
        <v>4197</v>
      </c>
      <c r="D1957" s="3563" t="s">
        <v>4796</v>
      </c>
      <c r="E1957" s="3563" t="s">
        <v>6127</v>
      </c>
      <c r="F1957" s="3563" t="s">
        <v>4797</v>
      </c>
      <c r="G1957" s="3564">
        <v>87.55</v>
      </c>
      <c r="H1957" s="3564">
        <v>71</v>
      </c>
      <c r="I1957" s="3564">
        <v>16.55</v>
      </c>
      <c r="J1957" s="3565">
        <v>886663</v>
      </c>
      <c r="K1957" s="3565">
        <v>10127.5</v>
      </c>
      <c r="L1957" s="3565">
        <v>12488.21</v>
      </c>
      <c r="M1957" s="3565">
        <v>0</v>
      </c>
      <c r="N1957" s="3565">
        <v>0</v>
      </c>
      <c r="O1957" s="3563" t="s">
        <v>3453</v>
      </c>
    </row>
    <row r="1958" spans="1:15">
      <c r="A1958" s="3563" t="s">
        <v>6171</v>
      </c>
      <c r="B1958" s="3563" t="s">
        <v>5277</v>
      </c>
      <c r="C1958" s="3563" t="s">
        <v>4197</v>
      </c>
      <c r="D1958" s="3563" t="s">
        <v>4796</v>
      </c>
      <c r="E1958" s="3563" t="s">
        <v>6127</v>
      </c>
      <c r="F1958" s="3563" t="s">
        <v>4797</v>
      </c>
      <c r="G1958" s="3564">
        <v>87.55</v>
      </c>
      <c r="H1958" s="3564">
        <v>71</v>
      </c>
      <c r="I1958" s="3564">
        <v>16.55</v>
      </c>
      <c r="J1958" s="3565">
        <v>754607</v>
      </c>
      <c r="K1958" s="3565">
        <v>8619.15</v>
      </c>
      <c r="L1958" s="3565">
        <v>10628.27</v>
      </c>
      <c r="M1958" s="3565">
        <v>716877</v>
      </c>
      <c r="N1958" s="3565">
        <v>8188.2</v>
      </c>
      <c r="O1958" s="3566">
        <v>44189</v>
      </c>
    </row>
    <row r="1959" spans="1:15">
      <c r="A1959" s="3563" t="s">
        <v>6172</v>
      </c>
      <c r="B1959" s="3563" t="s">
        <v>4196</v>
      </c>
      <c r="C1959" s="3563" t="s">
        <v>4197</v>
      </c>
      <c r="D1959" s="3563" t="s">
        <v>4796</v>
      </c>
      <c r="E1959" s="3563" t="s">
        <v>6127</v>
      </c>
      <c r="F1959" s="3563" t="s">
        <v>4797</v>
      </c>
      <c r="G1959" s="3564">
        <v>101.13</v>
      </c>
      <c r="H1959" s="3564">
        <v>82.01</v>
      </c>
      <c r="I1959" s="3564">
        <v>19.12</v>
      </c>
      <c r="J1959" s="3565">
        <v>1014659</v>
      </c>
      <c r="K1959" s="3565">
        <v>10033.209999999999</v>
      </c>
      <c r="L1959" s="3565">
        <v>12372.38</v>
      </c>
      <c r="M1959" s="3565">
        <v>0</v>
      </c>
      <c r="N1959" s="3565">
        <v>0</v>
      </c>
      <c r="O1959" s="3563" t="s">
        <v>3453</v>
      </c>
    </row>
    <row r="1960" spans="1:15">
      <c r="A1960" s="3563" t="s">
        <v>6173</v>
      </c>
      <c r="B1960" s="3563" t="s">
        <v>4196</v>
      </c>
      <c r="C1960" s="3563" t="s">
        <v>4197</v>
      </c>
      <c r="D1960" s="3563" t="s">
        <v>4796</v>
      </c>
      <c r="E1960" s="3563" t="s">
        <v>6127</v>
      </c>
      <c r="F1960" s="3563" t="s">
        <v>4797</v>
      </c>
      <c r="G1960" s="3564">
        <v>100.8</v>
      </c>
      <c r="H1960" s="3564">
        <v>81.739999999999995</v>
      </c>
      <c r="I1960" s="3564">
        <v>19.059999999999999</v>
      </c>
      <c r="J1960" s="3565">
        <v>1090153</v>
      </c>
      <c r="K1960" s="3565">
        <v>10815.01</v>
      </c>
      <c r="L1960" s="3565">
        <v>13336.84</v>
      </c>
      <c r="M1960" s="3565">
        <v>0</v>
      </c>
      <c r="N1960" s="3565">
        <v>0</v>
      </c>
      <c r="O1960" s="3563" t="s">
        <v>3453</v>
      </c>
    </row>
    <row r="1961" spans="1:15">
      <c r="A1961" s="3563" t="s">
        <v>6174</v>
      </c>
      <c r="B1961" s="3563" t="s">
        <v>5277</v>
      </c>
      <c r="C1961" s="3563" t="s">
        <v>4197</v>
      </c>
      <c r="D1961" s="3563" t="s">
        <v>4796</v>
      </c>
      <c r="E1961" s="3563" t="s">
        <v>6127</v>
      </c>
      <c r="F1961" s="3563" t="s">
        <v>4797</v>
      </c>
      <c r="G1961" s="3564">
        <v>100.8</v>
      </c>
      <c r="H1961" s="3564">
        <v>81.739999999999995</v>
      </c>
      <c r="I1961" s="3564">
        <v>19.059999999999999</v>
      </c>
      <c r="J1961" s="3565">
        <v>927790</v>
      </c>
      <c r="K1961" s="3565">
        <v>9204.27</v>
      </c>
      <c r="L1961" s="3565">
        <v>11350.5</v>
      </c>
      <c r="M1961" s="3565">
        <v>881401</v>
      </c>
      <c r="N1961" s="3565">
        <v>8744.06</v>
      </c>
      <c r="O1961" s="3566">
        <v>44189</v>
      </c>
    </row>
    <row r="1962" spans="1:15">
      <c r="A1962" s="3563" t="s">
        <v>6175</v>
      </c>
      <c r="B1962" s="3563" t="s">
        <v>4196</v>
      </c>
      <c r="C1962" s="3563" t="s">
        <v>4197</v>
      </c>
      <c r="D1962" s="3563" t="s">
        <v>4796</v>
      </c>
      <c r="E1962" s="3563" t="s">
        <v>6127</v>
      </c>
      <c r="F1962" s="3563" t="s">
        <v>4797</v>
      </c>
      <c r="G1962" s="3564">
        <v>109.06</v>
      </c>
      <c r="H1962" s="3564">
        <v>88.44</v>
      </c>
      <c r="I1962" s="3564">
        <v>20.62</v>
      </c>
      <c r="J1962" s="3565">
        <v>1137224</v>
      </c>
      <c r="K1962" s="3565">
        <v>10427.51</v>
      </c>
      <c r="L1962" s="3565">
        <v>12858.71</v>
      </c>
      <c r="M1962" s="3565">
        <v>0</v>
      </c>
      <c r="N1962" s="3565">
        <v>0</v>
      </c>
      <c r="O1962" s="3563" t="s">
        <v>3453</v>
      </c>
    </row>
    <row r="1963" spans="1:15">
      <c r="A1963" s="3563" t="s">
        <v>6176</v>
      </c>
      <c r="B1963" s="3563" t="s">
        <v>4811</v>
      </c>
      <c r="C1963" s="3563" t="s">
        <v>4197</v>
      </c>
      <c r="D1963" s="3563" t="s">
        <v>4796</v>
      </c>
      <c r="E1963" s="3563" t="s">
        <v>6127</v>
      </c>
      <c r="F1963" s="3563" t="s">
        <v>4797</v>
      </c>
      <c r="G1963" s="3564">
        <v>87.55</v>
      </c>
      <c r="H1963" s="3564">
        <v>71</v>
      </c>
      <c r="I1963" s="3564">
        <v>16.55</v>
      </c>
      <c r="J1963" s="3565">
        <v>746649</v>
      </c>
      <c r="K1963" s="3565">
        <v>8528.26</v>
      </c>
      <c r="L1963" s="3565">
        <v>10516.18</v>
      </c>
      <c r="M1963" s="3565">
        <v>709317</v>
      </c>
      <c r="N1963" s="3565">
        <v>8101.85</v>
      </c>
      <c r="O1963" s="3566">
        <v>44189</v>
      </c>
    </row>
    <row r="1964" spans="1:15">
      <c r="A1964" s="3563" t="s">
        <v>6177</v>
      </c>
      <c r="B1964" s="3563" t="s">
        <v>4811</v>
      </c>
      <c r="C1964" s="3563" t="s">
        <v>4197</v>
      </c>
      <c r="D1964" s="3563" t="s">
        <v>4796</v>
      </c>
      <c r="E1964" s="3563" t="s">
        <v>6127</v>
      </c>
      <c r="F1964" s="3563" t="s">
        <v>4797</v>
      </c>
      <c r="G1964" s="3564">
        <v>87.55</v>
      </c>
      <c r="H1964" s="3564">
        <v>71</v>
      </c>
      <c r="I1964" s="3564">
        <v>16.55</v>
      </c>
      <c r="J1964" s="3565">
        <v>746649</v>
      </c>
      <c r="K1964" s="3565">
        <v>8528.26</v>
      </c>
      <c r="L1964" s="3565">
        <v>10516.18</v>
      </c>
      <c r="M1964" s="3565">
        <v>709317</v>
      </c>
      <c r="N1964" s="3565">
        <v>8101.85</v>
      </c>
      <c r="O1964" s="3566">
        <v>44190</v>
      </c>
    </row>
    <row r="1965" spans="1:15">
      <c r="A1965" s="3563" t="s">
        <v>6178</v>
      </c>
      <c r="B1965" s="3563" t="s">
        <v>4196</v>
      </c>
      <c r="C1965" s="3563" t="s">
        <v>4197</v>
      </c>
      <c r="D1965" s="3563" t="s">
        <v>4796</v>
      </c>
      <c r="E1965" s="3563" t="s">
        <v>6127</v>
      </c>
      <c r="F1965" s="3563" t="s">
        <v>4797</v>
      </c>
      <c r="G1965" s="3564">
        <v>101.13</v>
      </c>
      <c r="H1965" s="3564">
        <v>82.01</v>
      </c>
      <c r="I1965" s="3564">
        <v>19.12</v>
      </c>
      <c r="J1965" s="3565">
        <v>1011245</v>
      </c>
      <c r="K1965" s="3565">
        <v>9999.4599999999991</v>
      </c>
      <c r="L1965" s="3565">
        <v>12330.75</v>
      </c>
      <c r="M1965" s="3565">
        <v>0</v>
      </c>
      <c r="N1965" s="3565">
        <v>0</v>
      </c>
      <c r="O1965" s="3563" t="s">
        <v>3453</v>
      </c>
    </row>
    <row r="1966" spans="1:15">
      <c r="A1966" s="3563" t="s">
        <v>6179</v>
      </c>
      <c r="B1966" s="3563" t="s">
        <v>4196</v>
      </c>
      <c r="C1966" s="3563" t="s">
        <v>4197</v>
      </c>
      <c r="D1966" s="3563" t="s">
        <v>4796</v>
      </c>
      <c r="E1966" s="3563" t="s">
        <v>6127</v>
      </c>
      <c r="F1966" s="3563" t="s">
        <v>4797</v>
      </c>
      <c r="G1966" s="3564">
        <v>100.8</v>
      </c>
      <c r="H1966" s="3564">
        <v>81.739999999999995</v>
      </c>
      <c r="I1966" s="3564">
        <v>19.059999999999999</v>
      </c>
      <c r="J1966" s="3565">
        <v>1076293</v>
      </c>
      <c r="K1966" s="3565">
        <v>10677.51</v>
      </c>
      <c r="L1966" s="3565">
        <v>13167.27</v>
      </c>
      <c r="M1966" s="3565">
        <v>0</v>
      </c>
      <c r="N1966" s="3565">
        <v>0</v>
      </c>
      <c r="O1966" s="3563" t="s">
        <v>3453</v>
      </c>
    </row>
    <row r="1967" spans="1:15">
      <c r="A1967" s="3563" t="s">
        <v>6180</v>
      </c>
      <c r="B1967" s="3563" t="s">
        <v>4196</v>
      </c>
      <c r="C1967" s="3563" t="s">
        <v>4197</v>
      </c>
      <c r="D1967" s="3563" t="s">
        <v>4796</v>
      </c>
      <c r="E1967" s="3563" t="s">
        <v>6127</v>
      </c>
      <c r="F1967" s="3563" t="s">
        <v>4797</v>
      </c>
      <c r="G1967" s="3564">
        <v>100.8</v>
      </c>
      <c r="H1967" s="3564">
        <v>81.739999999999995</v>
      </c>
      <c r="I1967" s="3564">
        <v>19.059999999999999</v>
      </c>
      <c r="J1967" s="3565">
        <v>1076293</v>
      </c>
      <c r="K1967" s="3565">
        <v>10677.51</v>
      </c>
      <c r="L1967" s="3565">
        <v>13167.27</v>
      </c>
      <c r="M1967" s="3565">
        <v>0</v>
      </c>
      <c r="N1967" s="3565">
        <v>0</v>
      </c>
      <c r="O1967" s="3563" t="s">
        <v>3453</v>
      </c>
    </row>
    <row r="1968" spans="1:15">
      <c r="A1968" s="3563" t="s">
        <v>6181</v>
      </c>
      <c r="B1968" s="3563" t="s">
        <v>4196</v>
      </c>
      <c r="C1968" s="3563" t="s">
        <v>4197</v>
      </c>
      <c r="D1968" s="3563" t="s">
        <v>4796</v>
      </c>
      <c r="E1968" s="3563" t="s">
        <v>6127</v>
      </c>
      <c r="F1968" s="3563" t="s">
        <v>4797</v>
      </c>
      <c r="G1968" s="3564">
        <v>109.06</v>
      </c>
      <c r="H1968" s="3564">
        <v>88.44</v>
      </c>
      <c r="I1968" s="3564">
        <v>20.62</v>
      </c>
      <c r="J1968" s="3565">
        <v>1149493</v>
      </c>
      <c r="K1968" s="3565">
        <v>10540.01</v>
      </c>
      <c r="L1968" s="3565">
        <v>12997.43</v>
      </c>
      <c r="M1968" s="3565">
        <v>0</v>
      </c>
      <c r="N1968" s="3565">
        <v>0</v>
      </c>
      <c r="O1968" s="3563" t="s">
        <v>3453</v>
      </c>
    </row>
    <row r="1969" spans="1:15">
      <c r="A1969" s="3563" t="s">
        <v>6182</v>
      </c>
      <c r="B1969" s="3563" t="s">
        <v>4811</v>
      </c>
      <c r="C1969" s="3563" t="s">
        <v>4197</v>
      </c>
      <c r="D1969" s="3563" t="s">
        <v>4796</v>
      </c>
      <c r="E1969" s="3563" t="s">
        <v>6127</v>
      </c>
      <c r="F1969" s="3563" t="s">
        <v>4797</v>
      </c>
      <c r="G1969" s="3564">
        <v>87.55</v>
      </c>
      <c r="H1969" s="3564">
        <v>71</v>
      </c>
      <c r="I1969" s="3564">
        <v>16.55</v>
      </c>
      <c r="J1969" s="3565">
        <v>752744</v>
      </c>
      <c r="K1969" s="3565">
        <v>8597.8799999999992</v>
      </c>
      <c r="L1969" s="3565">
        <v>10602.03</v>
      </c>
      <c r="M1969" s="3565">
        <v>715107</v>
      </c>
      <c r="N1969" s="3565">
        <v>8167.98</v>
      </c>
      <c r="O1969" s="3566">
        <v>44190</v>
      </c>
    </row>
    <row r="1970" spans="1:15">
      <c r="A1970" s="3563" t="s">
        <v>6183</v>
      </c>
      <c r="B1970" s="3563" t="s">
        <v>4811</v>
      </c>
      <c r="C1970" s="3563" t="s">
        <v>4197</v>
      </c>
      <c r="D1970" s="3563" t="s">
        <v>4796</v>
      </c>
      <c r="E1970" s="3563" t="s">
        <v>6127</v>
      </c>
      <c r="F1970" s="3563" t="s">
        <v>4797</v>
      </c>
      <c r="G1970" s="3564">
        <v>87.55</v>
      </c>
      <c r="H1970" s="3564">
        <v>71</v>
      </c>
      <c r="I1970" s="3564">
        <v>16.55</v>
      </c>
      <c r="J1970" s="3565">
        <v>752744</v>
      </c>
      <c r="K1970" s="3565">
        <v>8597.8799999999992</v>
      </c>
      <c r="L1970" s="3565">
        <v>10602.03</v>
      </c>
      <c r="M1970" s="3565">
        <v>715107</v>
      </c>
      <c r="N1970" s="3565">
        <v>8167.98</v>
      </c>
      <c r="O1970" s="3566">
        <v>44189</v>
      </c>
    </row>
    <row r="1971" spans="1:15">
      <c r="A1971" s="3563" t="s">
        <v>6184</v>
      </c>
      <c r="B1971" s="3563" t="s">
        <v>4196</v>
      </c>
      <c r="C1971" s="3563" t="s">
        <v>4197</v>
      </c>
      <c r="D1971" s="3563" t="s">
        <v>4796</v>
      </c>
      <c r="E1971" s="3563" t="s">
        <v>6127</v>
      </c>
      <c r="F1971" s="3563" t="s">
        <v>4797</v>
      </c>
      <c r="G1971" s="3564">
        <v>101.13</v>
      </c>
      <c r="H1971" s="3564">
        <v>82.01</v>
      </c>
      <c r="I1971" s="3564">
        <v>19.12</v>
      </c>
      <c r="J1971" s="3565">
        <v>1012130</v>
      </c>
      <c r="K1971" s="3565">
        <v>10008.209999999999</v>
      </c>
      <c r="L1971" s="3565">
        <v>12341.54</v>
      </c>
      <c r="M1971" s="3565">
        <v>0</v>
      </c>
      <c r="N1971" s="3565">
        <v>0</v>
      </c>
      <c r="O1971" s="3563" t="s">
        <v>3453</v>
      </c>
    </row>
    <row r="1972" spans="1:15">
      <c r="A1972" s="3563" t="s">
        <v>6185</v>
      </c>
      <c r="B1972" s="3563" t="s">
        <v>4811</v>
      </c>
      <c r="C1972" s="3563" t="s">
        <v>4197</v>
      </c>
      <c r="D1972" s="3563" t="s">
        <v>4796</v>
      </c>
      <c r="E1972" s="3563" t="s">
        <v>6127</v>
      </c>
      <c r="F1972" s="3563" t="s">
        <v>4797</v>
      </c>
      <c r="G1972" s="3564">
        <v>100.8</v>
      </c>
      <c r="H1972" s="3564">
        <v>81.739999999999995</v>
      </c>
      <c r="I1972" s="3564">
        <v>19.059999999999999</v>
      </c>
      <c r="J1972" s="3565">
        <v>925645</v>
      </c>
      <c r="K1972" s="3565">
        <v>9182.99</v>
      </c>
      <c r="L1972" s="3565">
        <v>11324.26</v>
      </c>
      <c r="M1972" s="3565">
        <v>879363</v>
      </c>
      <c r="N1972" s="3565">
        <v>8723.84</v>
      </c>
      <c r="O1972" s="3566">
        <v>44188</v>
      </c>
    </row>
    <row r="1973" spans="1:15">
      <c r="A1973" s="3563" t="s">
        <v>6186</v>
      </c>
      <c r="B1973" s="3563" t="s">
        <v>4811</v>
      </c>
      <c r="C1973" s="3563" t="s">
        <v>4197</v>
      </c>
      <c r="D1973" s="3563" t="s">
        <v>4796</v>
      </c>
      <c r="E1973" s="3563" t="s">
        <v>6127</v>
      </c>
      <c r="F1973" s="3563" t="s">
        <v>4797</v>
      </c>
      <c r="G1973" s="3564">
        <v>100.8</v>
      </c>
      <c r="H1973" s="3564">
        <v>81.739999999999995</v>
      </c>
      <c r="I1973" s="3564">
        <v>19.059999999999999</v>
      </c>
      <c r="J1973" s="3565">
        <v>925645</v>
      </c>
      <c r="K1973" s="3565">
        <v>9182.99</v>
      </c>
      <c r="L1973" s="3565">
        <v>11324.26</v>
      </c>
      <c r="M1973" s="3565">
        <v>879363</v>
      </c>
      <c r="N1973" s="3565">
        <v>8723.84</v>
      </c>
      <c r="O1973" s="3566">
        <v>44192</v>
      </c>
    </row>
    <row r="1974" spans="1:15">
      <c r="A1974" s="3563" t="s">
        <v>6187</v>
      </c>
      <c r="B1974" s="3563" t="s">
        <v>4196</v>
      </c>
      <c r="C1974" s="3563" t="s">
        <v>4197</v>
      </c>
      <c r="D1974" s="3563" t="s">
        <v>4796</v>
      </c>
      <c r="E1974" s="3563" t="s">
        <v>6127</v>
      </c>
      <c r="F1974" s="3563" t="s">
        <v>4797</v>
      </c>
      <c r="G1974" s="3564">
        <v>88.76</v>
      </c>
      <c r="H1974" s="3564">
        <v>71</v>
      </c>
      <c r="I1974" s="3564">
        <v>17.760000000000002</v>
      </c>
      <c r="J1974" s="3565">
        <v>887552</v>
      </c>
      <c r="K1974" s="3565">
        <v>9999.4599999999991</v>
      </c>
      <c r="L1974" s="3565">
        <v>12500.73</v>
      </c>
      <c r="M1974" s="3565">
        <v>0</v>
      </c>
      <c r="N1974" s="3565">
        <v>0</v>
      </c>
      <c r="O1974" s="3563" t="s">
        <v>3453</v>
      </c>
    </row>
    <row r="1975" spans="1:15">
      <c r="A1975" s="3563" t="s">
        <v>6188</v>
      </c>
      <c r="B1975" s="3563" t="s">
        <v>4196</v>
      </c>
      <c r="C1975" s="3563" t="s">
        <v>4197</v>
      </c>
      <c r="D1975" s="3563" t="s">
        <v>4796</v>
      </c>
      <c r="E1975" s="3563" t="s">
        <v>6127</v>
      </c>
      <c r="F1975" s="3563" t="s">
        <v>4797</v>
      </c>
      <c r="G1975" s="3564">
        <v>88.76</v>
      </c>
      <c r="H1975" s="3564">
        <v>71</v>
      </c>
      <c r="I1975" s="3564">
        <v>17.760000000000002</v>
      </c>
      <c r="J1975" s="3565">
        <v>887552</v>
      </c>
      <c r="K1975" s="3565">
        <v>9999.4599999999991</v>
      </c>
      <c r="L1975" s="3565">
        <v>12500.73</v>
      </c>
      <c r="M1975" s="3565">
        <v>0</v>
      </c>
      <c r="N1975" s="3565">
        <v>0</v>
      </c>
      <c r="O1975" s="3563" t="s">
        <v>3453</v>
      </c>
    </row>
    <row r="1976" spans="1:15">
      <c r="A1976" s="3563" t="s">
        <v>6189</v>
      </c>
      <c r="B1976" s="3563" t="s">
        <v>4196</v>
      </c>
      <c r="C1976" s="3563" t="s">
        <v>4197</v>
      </c>
      <c r="D1976" s="3563" t="s">
        <v>4796</v>
      </c>
      <c r="E1976" s="3563" t="s">
        <v>6127</v>
      </c>
      <c r="F1976" s="3563" t="s">
        <v>4797</v>
      </c>
      <c r="G1976" s="3564">
        <v>102.52</v>
      </c>
      <c r="H1976" s="3564">
        <v>82.01</v>
      </c>
      <c r="I1976" s="3564">
        <v>20.51</v>
      </c>
      <c r="J1976" s="3565">
        <v>1025145</v>
      </c>
      <c r="K1976" s="3565">
        <v>9999.4599999999991</v>
      </c>
      <c r="L1976" s="3565">
        <v>12500.24</v>
      </c>
      <c r="M1976" s="3565">
        <v>0</v>
      </c>
      <c r="N1976" s="3565">
        <v>0</v>
      </c>
      <c r="O1976" s="3563" t="s">
        <v>3453</v>
      </c>
    </row>
    <row r="1977" spans="1:15">
      <c r="A1977" s="3563" t="s">
        <v>6190</v>
      </c>
      <c r="B1977" s="3563" t="s">
        <v>4196</v>
      </c>
      <c r="C1977" s="3563" t="s">
        <v>4197</v>
      </c>
      <c r="D1977" s="3563" t="s">
        <v>4796</v>
      </c>
      <c r="E1977" s="3563" t="s">
        <v>6127</v>
      </c>
      <c r="F1977" s="3563" t="s">
        <v>4797</v>
      </c>
      <c r="G1977" s="3564">
        <v>102.19</v>
      </c>
      <c r="H1977" s="3564">
        <v>81.739999999999995</v>
      </c>
      <c r="I1977" s="3564">
        <v>20.45</v>
      </c>
      <c r="J1977" s="3565">
        <v>1036207</v>
      </c>
      <c r="K1977" s="3565">
        <v>10140</v>
      </c>
      <c r="L1977" s="3565">
        <v>12676.87</v>
      </c>
      <c r="M1977" s="3565">
        <v>0</v>
      </c>
      <c r="N1977" s="3565">
        <v>0</v>
      </c>
      <c r="O1977" s="3563" t="s">
        <v>3453</v>
      </c>
    </row>
    <row r="1978" spans="1:15">
      <c r="A1978" s="3563" t="s">
        <v>6191</v>
      </c>
      <c r="B1978" s="3563" t="s">
        <v>4196</v>
      </c>
      <c r="C1978" s="3563" t="s">
        <v>4197</v>
      </c>
      <c r="D1978" s="3563" t="s">
        <v>4796</v>
      </c>
      <c r="E1978" s="3563" t="s">
        <v>6127</v>
      </c>
      <c r="F1978" s="3563" t="s">
        <v>4797</v>
      </c>
      <c r="G1978" s="3564">
        <v>102.19</v>
      </c>
      <c r="H1978" s="3564">
        <v>81.739999999999995</v>
      </c>
      <c r="I1978" s="3564">
        <v>20.45</v>
      </c>
      <c r="J1978" s="3565">
        <v>1048980</v>
      </c>
      <c r="K1978" s="3565">
        <v>10265</v>
      </c>
      <c r="L1978" s="3565">
        <v>12833.13</v>
      </c>
      <c r="M1978" s="3565">
        <v>0</v>
      </c>
      <c r="N1978" s="3565">
        <v>0</v>
      </c>
      <c r="O1978" s="3563" t="s">
        <v>3453</v>
      </c>
    </row>
    <row r="1979" spans="1:15">
      <c r="A1979" s="3563" t="s">
        <v>6192</v>
      </c>
      <c r="B1979" s="3563" t="s">
        <v>4196</v>
      </c>
      <c r="C1979" s="3563" t="s">
        <v>4197</v>
      </c>
      <c r="D1979" s="3563" t="s">
        <v>4796</v>
      </c>
      <c r="E1979" s="3563" t="s">
        <v>6127</v>
      </c>
      <c r="F1979" s="3563" t="s">
        <v>4797</v>
      </c>
      <c r="G1979" s="3564">
        <v>109.06</v>
      </c>
      <c r="H1979" s="3564">
        <v>88.44</v>
      </c>
      <c r="I1979" s="3564">
        <v>20.62</v>
      </c>
      <c r="J1979" s="3565">
        <v>1148129</v>
      </c>
      <c r="K1979" s="3565">
        <v>10527.5</v>
      </c>
      <c r="L1979" s="3565">
        <v>12982.01</v>
      </c>
      <c r="M1979" s="3565">
        <v>0</v>
      </c>
      <c r="N1979" s="3565">
        <v>0</v>
      </c>
      <c r="O1979" s="3563" t="s">
        <v>3453</v>
      </c>
    </row>
    <row r="1980" spans="1:15">
      <c r="A1980" s="3563" t="s">
        <v>6193</v>
      </c>
      <c r="B1980" s="3563" t="s">
        <v>5277</v>
      </c>
      <c r="C1980" s="3563" t="s">
        <v>4197</v>
      </c>
      <c r="D1980" s="3563" t="s">
        <v>4796</v>
      </c>
      <c r="E1980" s="3563" t="s">
        <v>6127</v>
      </c>
      <c r="F1980" s="3563" t="s">
        <v>4797</v>
      </c>
      <c r="G1980" s="3564">
        <v>87.55</v>
      </c>
      <c r="H1980" s="3564">
        <v>71</v>
      </c>
      <c r="I1980" s="3564">
        <v>16.55</v>
      </c>
      <c r="J1980" s="3565">
        <v>751813</v>
      </c>
      <c r="K1980" s="3565">
        <v>8587.24</v>
      </c>
      <c r="L1980" s="3565">
        <v>10588.92</v>
      </c>
      <c r="M1980" s="3565">
        <v>714223</v>
      </c>
      <c r="N1980" s="3565">
        <v>8157.89</v>
      </c>
      <c r="O1980" s="3566">
        <v>44189</v>
      </c>
    </row>
    <row r="1981" spans="1:15">
      <c r="A1981" s="3563" t="s">
        <v>6194</v>
      </c>
      <c r="B1981" s="3563" t="s">
        <v>4196</v>
      </c>
      <c r="C1981" s="3563" t="s">
        <v>4197</v>
      </c>
      <c r="D1981" s="3563" t="s">
        <v>4796</v>
      </c>
      <c r="E1981" s="3563" t="s">
        <v>6127</v>
      </c>
      <c r="F1981" s="3563" t="s">
        <v>4797</v>
      </c>
      <c r="G1981" s="3564">
        <v>87.55</v>
      </c>
      <c r="H1981" s="3564">
        <v>71</v>
      </c>
      <c r="I1981" s="3564">
        <v>16.55</v>
      </c>
      <c r="J1981" s="3565">
        <v>883380</v>
      </c>
      <c r="K1981" s="3565">
        <v>10090.01</v>
      </c>
      <c r="L1981" s="3565">
        <v>12441.97</v>
      </c>
      <c r="M1981" s="3565">
        <v>0</v>
      </c>
      <c r="N1981" s="3565">
        <v>0</v>
      </c>
      <c r="O1981" s="3563" t="s">
        <v>3453</v>
      </c>
    </row>
    <row r="1982" spans="1:15">
      <c r="A1982" s="3563" t="s">
        <v>6195</v>
      </c>
      <c r="B1982" s="3563" t="s">
        <v>4196</v>
      </c>
      <c r="C1982" s="3563" t="s">
        <v>4197</v>
      </c>
      <c r="D1982" s="3563" t="s">
        <v>4796</v>
      </c>
      <c r="E1982" s="3563" t="s">
        <v>6127</v>
      </c>
      <c r="F1982" s="3563" t="s">
        <v>4797</v>
      </c>
      <c r="G1982" s="3564">
        <v>101.13</v>
      </c>
      <c r="H1982" s="3564">
        <v>82.01</v>
      </c>
      <c r="I1982" s="3564">
        <v>19.12</v>
      </c>
      <c r="J1982" s="3565">
        <v>1011245</v>
      </c>
      <c r="K1982" s="3565">
        <v>9999.4599999999991</v>
      </c>
      <c r="L1982" s="3565">
        <v>12330.75</v>
      </c>
      <c r="M1982" s="3565">
        <v>0</v>
      </c>
      <c r="N1982" s="3565">
        <v>0</v>
      </c>
      <c r="O1982" s="3563" t="s">
        <v>3453</v>
      </c>
    </row>
    <row r="1983" spans="1:15">
      <c r="A1983" s="3563" t="s">
        <v>6196</v>
      </c>
      <c r="B1983" s="3563" t="s">
        <v>4196</v>
      </c>
      <c r="C1983" s="3563" t="s">
        <v>4197</v>
      </c>
      <c r="D1983" s="3563" t="s">
        <v>4796</v>
      </c>
      <c r="E1983" s="3563" t="s">
        <v>6127</v>
      </c>
      <c r="F1983" s="3563" t="s">
        <v>4797</v>
      </c>
      <c r="G1983" s="3564">
        <v>100.8</v>
      </c>
      <c r="H1983" s="3564">
        <v>81.739999999999995</v>
      </c>
      <c r="I1983" s="3564">
        <v>19.059999999999999</v>
      </c>
      <c r="J1983" s="3565">
        <v>1086373</v>
      </c>
      <c r="K1983" s="3565">
        <v>10777.51</v>
      </c>
      <c r="L1983" s="3565">
        <v>13290.59</v>
      </c>
      <c r="M1983" s="3565">
        <v>0</v>
      </c>
      <c r="N1983" s="3565">
        <v>0</v>
      </c>
      <c r="O1983" s="3563" t="s">
        <v>3453</v>
      </c>
    </row>
    <row r="1984" spans="1:15">
      <c r="A1984" s="3563" t="s">
        <v>6197</v>
      </c>
      <c r="B1984" s="3563" t="s">
        <v>4196</v>
      </c>
      <c r="C1984" s="3563" t="s">
        <v>4197</v>
      </c>
      <c r="D1984" s="3563" t="s">
        <v>4796</v>
      </c>
      <c r="E1984" s="3563" t="s">
        <v>6127</v>
      </c>
      <c r="F1984" s="3563" t="s">
        <v>4797</v>
      </c>
      <c r="G1984" s="3564">
        <v>100.8</v>
      </c>
      <c r="H1984" s="3564">
        <v>81.739999999999995</v>
      </c>
      <c r="I1984" s="3564">
        <v>19.059999999999999</v>
      </c>
      <c r="J1984" s="3565">
        <v>1086373</v>
      </c>
      <c r="K1984" s="3565">
        <v>10777.51</v>
      </c>
      <c r="L1984" s="3565">
        <v>13290.59</v>
      </c>
      <c r="M1984" s="3565">
        <v>0</v>
      </c>
      <c r="N1984" s="3565">
        <v>0</v>
      </c>
      <c r="O1984" s="3563" t="s">
        <v>3453</v>
      </c>
    </row>
    <row r="1985" spans="1:15">
      <c r="A1985" s="3563" t="s">
        <v>6198</v>
      </c>
      <c r="B1985" s="3563" t="s">
        <v>4196</v>
      </c>
      <c r="C1985" s="3563" t="s">
        <v>4197</v>
      </c>
      <c r="D1985" s="3563" t="s">
        <v>4796</v>
      </c>
      <c r="E1985" s="3563" t="s">
        <v>6127</v>
      </c>
      <c r="F1985" s="3563" t="s">
        <v>4797</v>
      </c>
      <c r="G1985" s="3564">
        <v>109.06</v>
      </c>
      <c r="H1985" s="3564">
        <v>88.44</v>
      </c>
      <c r="I1985" s="3564">
        <v>20.62</v>
      </c>
      <c r="J1985" s="3565">
        <v>1146767</v>
      </c>
      <c r="K1985" s="3565">
        <v>10515.01</v>
      </c>
      <c r="L1985" s="3565">
        <v>12966.61</v>
      </c>
      <c r="M1985" s="3565">
        <v>0</v>
      </c>
      <c r="N1985" s="3565">
        <v>0</v>
      </c>
      <c r="O1985" s="3563" t="s">
        <v>3453</v>
      </c>
    </row>
    <row r="1986" spans="1:15">
      <c r="A1986" s="3563" t="s">
        <v>6199</v>
      </c>
      <c r="B1986" s="3563" t="s">
        <v>4811</v>
      </c>
      <c r="C1986" s="3563" t="s">
        <v>4197</v>
      </c>
      <c r="D1986" s="3563" t="s">
        <v>4796</v>
      </c>
      <c r="E1986" s="3563" t="s">
        <v>6127</v>
      </c>
      <c r="F1986" s="3563" t="s">
        <v>4797</v>
      </c>
      <c r="G1986" s="3564">
        <v>87.55</v>
      </c>
      <c r="H1986" s="3564">
        <v>71</v>
      </c>
      <c r="I1986" s="3564">
        <v>16.55</v>
      </c>
      <c r="J1986" s="3565">
        <v>750881</v>
      </c>
      <c r="K1986" s="3565">
        <v>8576.6</v>
      </c>
      <c r="L1986" s="3565">
        <v>10575.79</v>
      </c>
      <c r="M1986" s="3565">
        <v>713337</v>
      </c>
      <c r="N1986" s="3565">
        <v>8147.77</v>
      </c>
      <c r="O1986" s="3566">
        <v>44190</v>
      </c>
    </row>
    <row r="1987" spans="1:15">
      <c r="A1987" s="3563" t="s">
        <v>6200</v>
      </c>
      <c r="B1987" s="3563" t="s">
        <v>4811</v>
      </c>
      <c r="C1987" s="3563" t="s">
        <v>4197</v>
      </c>
      <c r="D1987" s="3563" t="s">
        <v>4796</v>
      </c>
      <c r="E1987" s="3563" t="s">
        <v>6127</v>
      </c>
      <c r="F1987" s="3563" t="s">
        <v>4797</v>
      </c>
      <c r="G1987" s="3564">
        <v>87.55</v>
      </c>
      <c r="H1987" s="3564">
        <v>71</v>
      </c>
      <c r="I1987" s="3564">
        <v>16.55</v>
      </c>
      <c r="J1987" s="3565">
        <v>750881</v>
      </c>
      <c r="K1987" s="3565">
        <v>8576.6</v>
      </c>
      <c r="L1987" s="3565">
        <v>10575.79</v>
      </c>
      <c r="M1987" s="3565">
        <v>713337</v>
      </c>
      <c r="N1987" s="3565">
        <v>8147.77</v>
      </c>
      <c r="O1987" s="3566">
        <v>44188</v>
      </c>
    </row>
    <row r="1988" spans="1:15">
      <c r="A1988" s="3563" t="s">
        <v>6201</v>
      </c>
      <c r="B1988" s="3563" t="s">
        <v>4811</v>
      </c>
      <c r="C1988" s="3563" t="s">
        <v>4197</v>
      </c>
      <c r="D1988" s="3563" t="s">
        <v>4796</v>
      </c>
      <c r="E1988" s="3563" t="s">
        <v>6127</v>
      </c>
      <c r="F1988" s="3563" t="s">
        <v>4797</v>
      </c>
      <c r="G1988" s="3564">
        <v>101.13</v>
      </c>
      <c r="H1988" s="3564">
        <v>82.01</v>
      </c>
      <c r="I1988" s="3564">
        <v>19.12</v>
      </c>
      <c r="J1988" s="3565">
        <v>1011245</v>
      </c>
      <c r="K1988" s="3565">
        <v>9999.4599999999991</v>
      </c>
      <c r="L1988" s="3565">
        <v>12330.75</v>
      </c>
      <c r="M1988" s="3565">
        <v>1011245</v>
      </c>
      <c r="N1988" s="3565">
        <v>9999.4599999999991</v>
      </c>
      <c r="O1988" s="3563" t="s">
        <v>3453</v>
      </c>
    </row>
    <row r="1989" spans="1:15">
      <c r="A1989" s="3563" t="s">
        <v>6202</v>
      </c>
      <c r="B1989" s="3563" t="s">
        <v>5277</v>
      </c>
      <c r="C1989" s="3563" t="s">
        <v>4197</v>
      </c>
      <c r="D1989" s="3563" t="s">
        <v>4796</v>
      </c>
      <c r="E1989" s="3563" t="s">
        <v>6127</v>
      </c>
      <c r="F1989" s="3563" t="s">
        <v>4797</v>
      </c>
      <c r="G1989" s="3564">
        <v>100.8</v>
      </c>
      <c r="H1989" s="3564">
        <v>81.739999999999995</v>
      </c>
      <c r="I1989" s="3564">
        <v>19.059999999999999</v>
      </c>
      <c r="J1989" s="3565">
        <v>923500</v>
      </c>
      <c r="K1989" s="3565">
        <v>9161.7099999999991</v>
      </c>
      <c r="L1989" s="3565">
        <v>11298.02</v>
      </c>
      <c r="M1989" s="3565">
        <v>877325</v>
      </c>
      <c r="N1989" s="3565">
        <v>8703.6200000000008</v>
      </c>
      <c r="O1989" s="3566">
        <v>44189</v>
      </c>
    </row>
    <row r="1990" spans="1:15">
      <c r="A1990" s="3563" t="s">
        <v>6203</v>
      </c>
      <c r="B1990" s="3563" t="s">
        <v>4196</v>
      </c>
      <c r="C1990" s="3563" t="s">
        <v>4197</v>
      </c>
      <c r="D1990" s="3563" t="s">
        <v>4796</v>
      </c>
      <c r="E1990" s="3563" t="s">
        <v>6127</v>
      </c>
      <c r="F1990" s="3563" t="s">
        <v>4797</v>
      </c>
      <c r="G1990" s="3564">
        <v>100.8</v>
      </c>
      <c r="H1990" s="3564">
        <v>81.739999999999995</v>
      </c>
      <c r="I1990" s="3564">
        <v>19.059999999999999</v>
      </c>
      <c r="J1990" s="3565">
        <v>1085113</v>
      </c>
      <c r="K1990" s="3565">
        <v>10765.01</v>
      </c>
      <c r="L1990" s="3565">
        <v>13275.18</v>
      </c>
      <c r="M1990" s="3565">
        <v>0</v>
      </c>
      <c r="N1990" s="3565">
        <v>0</v>
      </c>
      <c r="O1990" s="3563" t="s">
        <v>3453</v>
      </c>
    </row>
    <row r="1991" spans="1:15">
      <c r="A1991" s="3563" t="s">
        <v>6204</v>
      </c>
      <c r="B1991" s="3563" t="s">
        <v>4196</v>
      </c>
      <c r="C1991" s="3563" t="s">
        <v>4197</v>
      </c>
      <c r="D1991" s="3563" t="s">
        <v>4796</v>
      </c>
      <c r="E1991" s="3563" t="s">
        <v>6127</v>
      </c>
      <c r="F1991" s="3563" t="s">
        <v>4797</v>
      </c>
      <c r="G1991" s="3564">
        <v>109.06</v>
      </c>
      <c r="H1991" s="3564">
        <v>88.44</v>
      </c>
      <c r="I1991" s="3564">
        <v>20.62</v>
      </c>
      <c r="J1991" s="3565">
        <v>1145403</v>
      </c>
      <c r="K1991" s="3565">
        <v>10502.5</v>
      </c>
      <c r="L1991" s="3565">
        <v>12951.19</v>
      </c>
      <c r="M1991" s="3565">
        <v>0</v>
      </c>
      <c r="N1991" s="3565">
        <v>0</v>
      </c>
      <c r="O1991" s="3563" t="s">
        <v>3453</v>
      </c>
    </row>
    <row r="1992" spans="1:15">
      <c r="A1992" s="3563" t="s">
        <v>6205</v>
      </c>
      <c r="B1992" s="3563" t="s">
        <v>4196</v>
      </c>
      <c r="C1992" s="3563" t="s">
        <v>4197</v>
      </c>
      <c r="D1992" s="3563" t="s">
        <v>4796</v>
      </c>
      <c r="E1992" s="3563" t="s">
        <v>6127</v>
      </c>
      <c r="F1992" s="3563" t="s">
        <v>4797</v>
      </c>
      <c r="G1992" s="3564">
        <v>87.55</v>
      </c>
      <c r="H1992" s="3564">
        <v>71</v>
      </c>
      <c r="I1992" s="3564">
        <v>16.55</v>
      </c>
      <c r="J1992" s="3565">
        <v>881192</v>
      </c>
      <c r="K1992" s="3565">
        <v>10065.01</v>
      </c>
      <c r="L1992" s="3565">
        <v>12411.15</v>
      </c>
      <c r="M1992" s="3565">
        <v>0</v>
      </c>
      <c r="N1992" s="3565">
        <v>0</v>
      </c>
      <c r="O1992" s="3563" t="s">
        <v>3453</v>
      </c>
    </row>
    <row r="1993" spans="1:15">
      <c r="A1993" s="3563" t="s">
        <v>6206</v>
      </c>
      <c r="B1993" s="3563" t="s">
        <v>5277</v>
      </c>
      <c r="C1993" s="3563" t="s">
        <v>4197</v>
      </c>
      <c r="D1993" s="3563" t="s">
        <v>4796</v>
      </c>
      <c r="E1993" s="3563" t="s">
        <v>6127</v>
      </c>
      <c r="F1993" s="3563" t="s">
        <v>4797</v>
      </c>
      <c r="G1993" s="3564">
        <v>87.55</v>
      </c>
      <c r="H1993" s="3564">
        <v>71</v>
      </c>
      <c r="I1993" s="3564">
        <v>16.55</v>
      </c>
      <c r="J1993" s="3565">
        <v>749950</v>
      </c>
      <c r="K1993" s="3565">
        <v>8565.9599999999991</v>
      </c>
      <c r="L1993" s="3565">
        <v>10562.68</v>
      </c>
      <c r="M1993" s="3565">
        <v>712453</v>
      </c>
      <c r="N1993" s="3565">
        <v>8137.67</v>
      </c>
      <c r="O1993" s="3566">
        <v>44191</v>
      </c>
    </row>
    <row r="1994" spans="1:15">
      <c r="A1994" s="3563" t="s">
        <v>6207</v>
      </c>
      <c r="B1994" s="3563" t="s">
        <v>4196</v>
      </c>
      <c r="C1994" s="3563" t="s">
        <v>4197</v>
      </c>
      <c r="D1994" s="3563" t="s">
        <v>4796</v>
      </c>
      <c r="E1994" s="3563" t="s">
        <v>6127</v>
      </c>
      <c r="F1994" s="3563" t="s">
        <v>4797</v>
      </c>
      <c r="G1994" s="3564">
        <v>101.13</v>
      </c>
      <c r="H1994" s="3564">
        <v>82.01</v>
      </c>
      <c r="I1994" s="3564">
        <v>19.12</v>
      </c>
      <c r="J1994" s="3565">
        <v>1011245</v>
      </c>
      <c r="K1994" s="3565">
        <v>9999.4599999999991</v>
      </c>
      <c r="L1994" s="3565">
        <v>12330.75</v>
      </c>
      <c r="M1994" s="3565">
        <v>0</v>
      </c>
      <c r="N1994" s="3565">
        <v>0</v>
      </c>
      <c r="O1994" s="3563" t="s">
        <v>3453</v>
      </c>
    </row>
    <row r="1995" spans="1:15">
      <c r="A1995" s="3563" t="s">
        <v>6208</v>
      </c>
      <c r="B1995" s="3563" t="s">
        <v>4196</v>
      </c>
      <c r="C1995" s="3563" t="s">
        <v>4197</v>
      </c>
      <c r="D1995" s="3563" t="s">
        <v>4796</v>
      </c>
      <c r="E1995" s="3563" t="s">
        <v>6127</v>
      </c>
      <c r="F1995" s="3563" t="s">
        <v>4797</v>
      </c>
      <c r="G1995" s="3564">
        <v>100.8</v>
      </c>
      <c r="H1995" s="3564">
        <v>81.739999999999995</v>
      </c>
      <c r="I1995" s="3564">
        <v>19.059999999999999</v>
      </c>
      <c r="J1995" s="3565">
        <v>1083853</v>
      </c>
      <c r="K1995" s="3565">
        <v>10752.51</v>
      </c>
      <c r="L1995" s="3565">
        <v>13259.76</v>
      </c>
      <c r="M1995" s="3565">
        <v>0</v>
      </c>
      <c r="N1995" s="3565">
        <v>0</v>
      </c>
      <c r="O1995" s="3563" t="s">
        <v>3453</v>
      </c>
    </row>
    <row r="1996" spans="1:15">
      <c r="A1996" s="3563" t="s">
        <v>6209</v>
      </c>
      <c r="B1996" s="3563" t="s">
        <v>4196</v>
      </c>
      <c r="C1996" s="3563" t="s">
        <v>4197</v>
      </c>
      <c r="D1996" s="3563" t="s">
        <v>4796</v>
      </c>
      <c r="E1996" s="3563" t="s">
        <v>6127</v>
      </c>
      <c r="F1996" s="3563" t="s">
        <v>4797</v>
      </c>
      <c r="G1996" s="3564">
        <v>100.8</v>
      </c>
      <c r="H1996" s="3564">
        <v>81.739999999999995</v>
      </c>
      <c r="I1996" s="3564">
        <v>19.059999999999999</v>
      </c>
      <c r="J1996" s="3565">
        <v>1083853</v>
      </c>
      <c r="K1996" s="3565">
        <v>10752.51</v>
      </c>
      <c r="L1996" s="3565">
        <v>13259.76</v>
      </c>
      <c r="M1996" s="3565">
        <v>0</v>
      </c>
      <c r="N1996" s="3565">
        <v>0</v>
      </c>
      <c r="O1996" s="3563" t="s">
        <v>3453</v>
      </c>
    </row>
    <row r="1997" spans="1:15">
      <c r="A1997" s="3563" t="s">
        <v>6210</v>
      </c>
      <c r="B1997" s="3563" t="s">
        <v>4196</v>
      </c>
      <c r="C1997" s="3563" t="s">
        <v>4197</v>
      </c>
      <c r="D1997" s="3563" t="s">
        <v>4796</v>
      </c>
      <c r="E1997" s="3563" t="s">
        <v>6127</v>
      </c>
      <c r="F1997" s="3563" t="s">
        <v>4797</v>
      </c>
      <c r="G1997" s="3564">
        <v>109.06</v>
      </c>
      <c r="H1997" s="3564">
        <v>88.44</v>
      </c>
      <c r="I1997" s="3564">
        <v>20.62</v>
      </c>
      <c r="J1997" s="3565">
        <v>1144040</v>
      </c>
      <c r="K1997" s="3565">
        <v>10490.01</v>
      </c>
      <c r="L1997" s="3565">
        <v>12935.78</v>
      </c>
      <c r="M1997" s="3565">
        <v>0</v>
      </c>
      <c r="N1997" s="3565">
        <v>0</v>
      </c>
      <c r="O1997" s="3563" t="s">
        <v>3453</v>
      </c>
    </row>
    <row r="1998" spans="1:15">
      <c r="A1998" s="3563" t="s">
        <v>6211</v>
      </c>
      <c r="B1998" s="3563" t="s">
        <v>4811</v>
      </c>
      <c r="C1998" s="3563" t="s">
        <v>4197</v>
      </c>
      <c r="D1998" s="3563" t="s">
        <v>4796</v>
      </c>
      <c r="E1998" s="3563" t="s">
        <v>6127</v>
      </c>
      <c r="F1998" s="3563" t="s">
        <v>4797</v>
      </c>
      <c r="G1998" s="3564">
        <v>87.55</v>
      </c>
      <c r="H1998" s="3564">
        <v>71</v>
      </c>
      <c r="I1998" s="3564">
        <v>16.55</v>
      </c>
      <c r="J1998" s="3565">
        <v>749019</v>
      </c>
      <c r="K1998" s="3565">
        <v>8555.33</v>
      </c>
      <c r="L1998" s="3565">
        <v>10549.56</v>
      </c>
      <c r="M1998" s="3565">
        <v>711569</v>
      </c>
      <c r="N1998" s="3565">
        <v>8127.57</v>
      </c>
      <c r="O1998" s="3566">
        <v>44189</v>
      </c>
    </row>
    <row r="1999" spans="1:15">
      <c r="A1999" s="3563" t="s">
        <v>6212</v>
      </c>
      <c r="B1999" s="3563" t="s">
        <v>4811</v>
      </c>
      <c r="C1999" s="3563" t="s">
        <v>4197</v>
      </c>
      <c r="D1999" s="3563" t="s">
        <v>4796</v>
      </c>
      <c r="E1999" s="3563" t="s">
        <v>6127</v>
      </c>
      <c r="F1999" s="3563" t="s">
        <v>4797</v>
      </c>
      <c r="G1999" s="3564">
        <v>87.55</v>
      </c>
      <c r="H1999" s="3564">
        <v>71</v>
      </c>
      <c r="I1999" s="3564">
        <v>16.55</v>
      </c>
      <c r="J1999" s="3565">
        <v>749019</v>
      </c>
      <c r="K1999" s="3565">
        <v>8555.33</v>
      </c>
      <c r="L1999" s="3565">
        <v>10549.56</v>
      </c>
      <c r="M1999" s="3565">
        <v>711569</v>
      </c>
      <c r="N1999" s="3565">
        <v>8127.57</v>
      </c>
      <c r="O1999" s="3566">
        <v>44189</v>
      </c>
    </row>
    <row r="2000" spans="1:15">
      <c r="A2000" s="3563" t="s">
        <v>6213</v>
      </c>
      <c r="B2000" s="3563" t="s">
        <v>4196</v>
      </c>
      <c r="C2000" s="3563" t="s">
        <v>4197</v>
      </c>
      <c r="D2000" s="3563" t="s">
        <v>4796</v>
      </c>
      <c r="E2000" s="3563" t="s">
        <v>6127</v>
      </c>
      <c r="F2000" s="3563" t="s">
        <v>4797</v>
      </c>
      <c r="G2000" s="3564">
        <v>101.13</v>
      </c>
      <c r="H2000" s="3564">
        <v>82.01</v>
      </c>
      <c r="I2000" s="3564">
        <v>19.12</v>
      </c>
      <c r="J2000" s="3565">
        <v>1011245</v>
      </c>
      <c r="K2000" s="3565">
        <v>9999.4599999999991</v>
      </c>
      <c r="L2000" s="3565">
        <v>12330.75</v>
      </c>
      <c r="M2000" s="3565">
        <v>0</v>
      </c>
      <c r="N2000" s="3565">
        <v>0</v>
      </c>
      <c r="O2000" s="3563" t="s">
        <v>3453</v>
      </c>
    </row>
    <row r="2001" spans="1:15">
      <c r="A2001" s="3563" t="s">
        <v>6214</v>
      </c>
      <c r="B2001" s="3563" t="s">
        <v>4196</v>
      </c>
      <c r="C2001" s="3563" t="s">
        <v>4197</v>
      </c>
      <c r="D2001" s="3563" t="s">
        <v>4796</v>
      </c>
      <c r="E2001" s="3563" t="s">
        <v>6127</v>
      </c>
      <c r="F2001" s="3563" t="s">
        <v>4797</v>
      </c>
      <c r="G2001" s="3564">
        <v>100.8</v>
      </c>
      <c r="H2001" s="3564">
        <v>81.739999999999995</v>
      </c>
      <c r="I2001" s="3564">
        <v>19.059999999999999</v>
      </c>
      <c r="J2001" s="3565">
        <v>1082593</v>
      </c>
      <c r="K2001" s="3565">
        <v>10740.01</v>
      </c>
      <c r="L2001" s="3565">
        <v>13244.35</v>
      </c>
      <c r="M2001" s="3565">
        <v>0</v>
      </c>
      <c r="N2001" s="3565">
        <v>0</v>
      </c>
      <c r="O2001" s="3563" t="s">
        <v>3453</v>
      </c>
    </row>
    <row r="2002" spans="1:15">
      <c r="A2002" s="3563" t="s">
        <v>6215</v>
      </c>
      <c r="B2002" s="3563" t="s">
        <v>4196</v>
      </c>
      <c r="C2002" s="3563" t="s">
        <v>4197</v>
      </c>
      <c r="D2002" s="3563" t="s">
        <v>4796</v>
      </c>
      <c r="E2002" s="3563" t="s">
        <v>6127</v>
      </c>
      <c r="F2002" s="3563" t="s">
        <v>4797</v>
      </c>
      <c r="G2002" s="3564">
        <v>100.8</v>
      </c>
      <c r="H2002" s="3564">
        <v>81.739999999999995</v>
      </c>
      <c r="I2002" s="3564">
        <v>19.059999999999999</v>
      </c>
      <c r="J2002" s="3565">
        <v>1082593</v>
      </c>
      <c r="K2002" s="3565">
        <v>10740.01</v>
      </c>
      <c r="L2002" s="3565">
        <v>13244.35</v>
      </c>
      <c r="M2002" s="3565">
        <v>0</v>
      </c>
      <c r="N2002" s="3565">
        <v>0</v>
      </c>
      <c r="O2002" s="3563" t="s">
        <v>3453</v>
      </c>
    </row>
    <row r="2003" spans="1:15">
      <c r="A2003" s="3563" t="s">
        <v>6216</v>
      </c>
      <c r="B2003" s="3563" t="s">
        <v>4196</v>
      </c>
      <c r="C2003" s="3563" t="s">
        <v>4197</v>
      </c>
      <c r="D2003" s="3563" t="s">
        <v>4796</v>
      </c>
      <c r="E2003" s="3563" t="s">
        <v>6127</v>
      </c>
      <c r="F2003" s="3563" t="s">
        <v>4797</v>
      </c>
      <c r="G2003" s="3564">
        <v>109.06</v>
      </c>
      <c r="H2003" s="3564">
        <v>88.44</v>
      </c>
      <c r="I2003" s="3564">
        <v>20.62</v>
      </c>
      <c r="J2003" s="3565">
        <v>1142677</v>
      </c>
      <c r="K2003" s="3565">
        <v>10477.51</v>
      </c>
      <c r="L2003" s="3565">
        <v>12920.36</v>
      </c>
      <c r="M2003" s="3565">
        <v>0</v>
      </c>
      <c r="N2003" s="3565">
        <v>0</v>
      </c>
      <c r="O2003" s="3563" t="s">
        <v>3453</v>
      </c>
    </row>
    <row r="2004" spans="1:15">
      <c r="A2004" s="3563" t="s">
        <v>6217</v>
      </c>
      <c r="B2004" s="3563" t="s">
        <v>4196</v>
      </c>
      <c r="C2004" s="3563" t="s">
        <v>4197</v>
      </c>
      <c r="D2004" s="3563" t="s">
        <v>4796</v>
      </c>
      <c r="E2004" s="3563" t="s">
        <v>6127</v>
      </c>
      <c r="F2004" s="3563" t="s">
        <v>4797</v>
      </c>
      <c r="G2004" s="3564">
        <v>87.55</v>
      </c>
      <c r="H2004" s="3564">
        <v>71</v>
      </c>
      <c r="I2004" s="3564">
        <v>16.55</v>
      </c>
      <c r="J2004" s="3565">
        <v>879003</v>
      </c>
      <c r="K2004" s="3565">
        <v>10040.01</v>
      </c>
      <c r="L2004" s="3565">
        <v>12380.32</v>
      </c>
      <c r="M2004" s="3565">
        <v>0</v>
      </c>
      <c r="N2004" s="3565">
        <v>0</v>
      </c>
      <c r="O2004" s="3563" t="s">
        <v>3453</v>
      </c>
    </row>
    <row r="2005" spans="1:15">
      <c r="A2005" s="3563" t="s">
        <v>6218</v>
      </c>
      <c r="B2005" s="3563" t="s">
        <v>4811</v>
      </c>
      <c r="C2005" s="3563" t="s">
        <v>4197</v>
      </c>
      <c r="D2005" s="3563" t="s">
        <v>4796</v>
      </c>
      <c r="E2005" s="3563" t="s">
        <v>6127</v>
      </c>
      <c r="F2005" s="3563" t="s">
        <v>4797</v>
      </c>
      <c r="G2005" s="3564">
        <v>87.55</v>
      </c>
      <c r="H2005" s="3564">
        <v>71</v>
      </c>
      <c r="I2005" s="3564">
        <v>16.55</v>
      </c>
      <c r="J2005" s="3565">
        <v>748088</v>
      </c>
      <c r="K2005" s="3565">
        <v>8544.69</v>
      </c>
      <c r="L2005" s="3565">
        <v>10536.45</v>
      </c>
      <c r="M2005" s="3565">
        <v>710684</v>
      </c>
      <c r="N2005" s="3565">
        <v>8117.46</v>
      </c>
      <c r="O2005" s="3566">
        <v>44189</v>
      </c>
    </row>
    <row r="2006" spans="1:15">
      <c r="A2006" s="3563" t="s">
        <v>6219</v>
      </c>
      <c r="B2006" s="3563" t="s">
        <v>4196</v>
      </c>
      <c r="C2006" s="3563" t="s">
        <v>4197</v>
      </c>
      <c r="D2006" s="3563" t="s">
        <v>4796</v>
      </c>
      <c r="E2006" s="3563" t="s">
        <v>6127</v>
      </c>
      <c r="F2006" s="3563" t="s">
        <v>4797</v>
      </c>
      <c r="G2006" s="3564">
        <v>101.13</v>
      </c>
      <c r="H2006" s="3564">
        <v>82.01</v>
      </c>
      <c r="I2006" s="3564">
        <v>19.12</v>
      </c>
      <c r="J2006" s="3565">
        <v>1011245</v>
      </c>
      <c r="K2006" s="3565">
        <v>9999.4599999999991</v>
      </c>
      <c r="L2006" s="3565">
        <v>12330.75</v>
      </c>
      <c r="M2006" s="3565">
        <v>0</v>
      </c>
      <c r="N2006" s="3565">
        <v>0</v>
      </c>
      <c r="O2006" s="3563" t="s">
        <v>3453</v>
      </c>
    </row>
    <row r="2007" spans="1:15">
      <c r="A2007" s="3563" t="s">
        <v>6220</v>
      </c>
      <c r="B2007" s="3563" t="s">
        <v>4196</v>
      </c>
      <c r="C2007" s="3563" t="s">
        <v>4197</v>
      </c>
      <c r="D2007" s="3563" t="s">
        <v>4796</v>
      </c>
      <c r="E2007" s="3563" t="s">
        <v>6127</v>
      </c>
      <c r="F2007" s="3563" t="s">
        <v>4797</v>
      </c>
      <c r="G2007" s="3564">
        <v>100.8</v>
      </c>
      <c r="H2007" s="3564">
        <v>81.739999999999995</v>
      </c>
      <c r="I2007" s="3564">
        <v>19.059999999999999</v>
      </c>
      <c r="J2007" s="3565">
        <v>1081333</v>
      </c>
      <c r="K2007" s="3565">
        <v>10727.51</v>
      </c>
      <c r="L2007" s="3565">
        <v>13228.93</v>
      </c>
      <c r="M2007" s="3565">
        <v>0</v>
      </c>
      <c r="N2007" s="3565">
        <v>0</v>
      </c>
      <c r="O2007" s="3563" t="s">
        <v>3453</v>
      </c>
    </row>
    <row r="2008" spans="1:15">
      <c r="A2008" s="3563" t="s">
        <v>6221</v>
      </c>
      <c r="B2008" s="3563" t="s">
        <v>4196</v>
      </c>
      <c r="C2008" s="3563" t="s">
        <v>4197</v>
      </c>
      <c r="D2008" s="3563" t="s">
        <v>4796</v>
      </c>
      <c r="E2008" s="3563" t="s">
        <v>6127</v>
      </c>
      <c r="F2008" s="3563" t="s">
        <v>4797</v>
      </c>
      <c r="G2008" s="3564">
        <v>100.8</v>
      </c>
      <c r="H2008" s="3564">
        <v>81.739999999999995</v>
      </c>
      <c r="I2008" s="3564">
        <v>19.059999999999999</v>
      </c>
      <c r="J2008" s="3565">
        <v>1081333</v>
      </c>
      <c r="K2008" s="3565">
        <v>10727.51</v>
      </c>
      <c r="L2008" s="3565">
        <v>13228.93</v>
      </c>
      <c r="M2008" s="3565">
        <v>0</v>
      </c>
      <c r="N2008" s="3565">
        <v>0</v>
      </c>
      <c r="O2008" s="3563" t="s">
        <v>3453</v>
      </c>
    </row>
    <row r="2009" spans="1:15">
      <c r="A2009" s="3563" t="s">
        <v>6222</v>
      </c>
      <c r="B2009" s="3563" t="s">
        <v>4196</v>
      </c>
      <c r="C2009" s="3563" t="s">
        <v>4197</v>
      </c>
      <c r="D2009" s="3563" t="s">
        <v>4796</v>
      </c>
      <c r="E2009" s="3563" t="s">
        <v>6127</v>
      </c>
      <c r="F2009" s="3563" t="s">
        <v>4797</v>
      </c>
      <c r="G2009" s="3564">
        <v>109.06</v>
      </c>
      <c r="H2009" s="3564">
        <v>88.44</v>
      </c>
      <c r="I2009" s="3564">
        <v>20.62</v>
      </c>
      <c r="J2009" s="3565">
        <v>1141313</v>
      </c>
      <c r="K2009" s="3565">
        <v>10465</v>
      </c>
      <c r="L2009" s="3565">
        <v>12904.94</v>
      </c>
      <c r="M2009" s="3565">
        <v>0</v>
      </c>
      <c r="N2009" s="3565">
        <v>0</v>
      </c>
      <c r="O2009" s="3563" t="s">
        <v>3453</v>
      </c>
    </row>
    <row r="2010" spans="1:15">
      <c r="A2010" s="3563" t="s">
        <v>6223</v>
      </c>
      <c r="B2010" s="3563" t="s">
        <v>5277</v>
      </c>
      <c r="C2010" s="3563" t="s">
        <v>4197</v>
      </c>
      <c r="D2010" s="3563" t="s">
        <v>4796</v>
      </c>
      <c r="E2010" s="3563" t="s">
        <v>6127</v>
      </c>
      <c r="F2010" s="3563" t="s">
        <v>4797</v>
      </c>
      <c r="G2010" s="3564">
        <v>87.55</v>
      </c>
      <c r="H2010" s="3564">
        <v>71</v>
      </c>
      <c r="I2010" s="3564">
        <v>16.55</v>
      </c>
      <c r="J2010" s="3565">
        <v>747156</v>
      </c>
      <c r="K2010" s="3565">
        <v>8534.0499999999993</v>
      </c>
      <c r="L2010" s="3565">
        <v>10523.32</v>
      </c>
      <c r="M2010" s="3565">
        <v>709799</v>
      </c>
      <c r="N2010" s="3565">
        <v>8107.36</v>
      </c>
      <c r="O2010" s="3566">
        <v>44189</v>
      </c>
    </row>
    <row r="2011" spans="1:15">
      <c r="A2011" s="3563" t="s">
        <v>6224</v>
      </c>
      <c r="B2011" s="3563" t="s">
        <v>4811</v>
      </c>
      <c r="C2011" s="3563" t="s">
        <v>4197</v>
      </c>
      <c r="D2011" s="3563" t="s">
        <v>4796</v>
      </c>
      <c r="E2011" s="3563" t="s">
        <v>6127</v>
      </c>
      <c r="F2011" s="3563" t="s">
        <v>4797</v>
      </c>
      <c r="G2011" s="3564">
        <v>87.55</v>
      </c>
      <c r="H2011" s="3564">
        <v>71</v>
      </c>
      <c r="I2011" s="3564">
        <v>16.55</v>
      </c>
      <c r="J2011" s="3565">
        <v>747156</v>
      </c>
      <c r="K2011" s="3565">
        <v>8534.0499999999993</v>
      </c>
      <c r="L2011" s="3565">
        <v>10523.32</v>
      </c>
      <c r="M2011" s="3565">
        <v>709799</v>
      </c>
      <c r="N2011" s="3565">
        <v>8107.36</v>
      </c>
      <c r="O2011" s="3566">
        <v>44189</v>
      </c>
    </row>
    <row r="2012" spans="1:15">
      <c r="A2012" s="3563" t="s">
        <v>6225</v>
      </c>
      <c r="B2012" s="3563" t="s">
        <v>4196</v>
      </c>
      <c r="C2012" s="3563" t="s">
        <v>4197</v>
      </c>
      <c r="D2012" s="3563" t="s">
        <v>4796</v>
      </c>
      <c r="E2012" s="3563" t="s">
        <v>6127</v>
      </c>
      <c r="F2012" s="3563" t="s">
        <v>4797</v>
      </c>
      <c r="G2012" s="3564">
        <v>101.13</v>
      </c>
      <c r="H2012" s="3564">
        <v>82.01</v>
      </c>
      <c r="I2012" s="3564">
        <v>19.12</v>
      </c>
      <c r="J2012" s="3565">
        <v>1011245</v>
      </c>
      <c r="K2012" s="3565">
        <v>9999.4599999999991</v>
      </c>
      <c r="L2012" s="3565">
        <v>12330.75</v>
      </c>
      <c r="M2012" s="3565">
        <v>0</v>
      </c>
      <c r="N2012" s="3565">
        <v>0</v>
      </c>
      <c r="O2012" s="3563" t="s">
        <v>3453</v>
      </c>
    </row>
    <row r="2013" spans="1:15">
      <c r="A2013" s="3563" t="s">
        <v>6226</v>
      </c>
      <c r="B2013" s="3563" t="s">
        <v>4196</v>
      </c>
      <c r="C2013" s="3563" t="s">
        <v>4197</v>
      </c>
      <c r="D2013" s="3563" t="s">
        <v>4796</v>
      </c>
      <c r="E2013" s="3563" t="s">
        <v>6127</v>
      </c>
      <c r="F2013" s="3563" t="s">
        <v>4797</v>
      </c>
      <c r="G2013" s="3564">
        <v>100.8</v>
      </c>
      <c r="H2013" s="3564">
        <v>81.739999999999995</v>
      </c>
      <c r="I2013" s="3564">
        <v>19.059999999999999</v>
      </c>
      <c r="J2013" s="3565">
        <v>1080073</v>
      </c>
      <c r="K2013" s="3565">
        <v>10715.01</v>
      </c>
      <c r="L2013" s="3565">
        <v>13213.52</v>
      </c>
      <c r="M2013" s="3565">
        <v>0</v>
      </c>
      <c r="N2013" s="3565">
        <v>0</v>
      </c>
      <c r="O2013" s="3563" t="s">
        <v>3453</v>
      </c>
    </row>
    <row r="2014" spans="1:15">
      <c r="A2014" s="3563" t="s">
        <v>6227</v>
      </c>
      <c r="B2014" s="3563" t="s">
        <v>4196</v>
      </c>
      <c r="C2014" s="3563" t="s">
        <v>4197</v>
      </c>
      <c r="D2014" s="3563" t="s">
        <v>4796</v>
      </c>
      <c r="E2014" s="3563" t="s">
        <v>6127</v>
      </c>
      <c r="F2014" s="3563" t="s">
        <v>4797</v>
      </c>
      <c r="G2014" s="3564">
        <v>100.8</v>
      </c>
      <c r="H2014" s="3564">
        <v>81.739999999999995</v>
      </c>
      <c r="I2014" s="3564">
        <v>19.059999999999999</v>
      </c>
      <c r="J2014" s="3565">
        <v>1080073</v>
      </c>
      <c r="K2014" s="3565">
        <v>10715.01</v>
      </c>
      <c r="L2014" s="3565">
        <v>13213.52</v>
      </c>
      <c r="M2014" s="3565">
        <v>0</v>
      </c>
      <c r="N2014" s="3565">
        <v>0</v>
      </c>
      <c r="O2014" s="3563" t="s">
        <v>3453</v>
      </c>
    </row>
    <row r="2015" spans="1:15">
      <c r="A2015" s="3563" t="s">
        <v>6228</v>
      </c>
      <c r="B2015" s="3563" t="s">
        <v>4811</v>
      </c>
      <c r="C2015" s="3563" t="s">
        <v>4197</v>
      </c>
      <c r="D2015" s="3563" t="s">
        <v>4796</v>
      </c>
      <c r="E2015" s="3563" t="s">
        <v>6127</v>
      </c>
      <c r="F2015" s="3563" t="s">
        <v>4797</v>
      </c>
      <c r="G2015" s="3564">
        <v>109.06</v>
      </c>
      <c r="H2015" s="3564">
        <v>88.44</v>
      </c>
      <c r="I2015" s="3564">
        <v>20.62</v>
      </c>
      <c r="J2015" s="3565">
        <v>1099053</v>
      </c>
      <c r="K2015" s="3565">
        <v>10077.51</v>
      </c>
      <c r="L2015" s="3565">
        <v>12427.1</v>
      </c>
      <c r="M2015" s="3565">
        <v>1099053</v>
      </c>
      <c r="N2015" s="3565">
        <v>10077.51</v>
      </c>
      <c r="O2015" s="3566">
        <v>44192</v>
      </c>
    </row>
    <row r="2016" spans="1:15">
      <c r="A2016" s="3563" t="s">
        <v>6229</v>
      </c>
      <c r="B2016" s="3563" t="s">
        <v>4196</v>
      </c>
      <c r="C2016" s="3563" t="s">
        <v>4197</v>
      </c>
      <c r="D2016" s="3563" t="s">
        <v>4796</v>
      </c>
      <c r="E2016" s="3563" t="s">
        <v>6127</v>
      </c>
      <c r="F2016" s="3563" t="s">
        <v>4797</v>
      </c>
      <c r="G2016" s="3564">
        <v>87.55</v>
      </c>
      <c r="H2016" s="3564">
        <v>71</v>
      </c>
      <c r="I2016" s="3564">
        <v>16.55</v>
      </c>
      <c r="J2016" s="3565">
        <v>875453</v>
      </c>
      <c r="K2016" s="3565">
        <v>9999.4599999999991</v>
      </c>
      <c r="L2016" s="3565">
        <v>12330.32</v>
      </c>
      <c r="M2016" s="3565">
        <v>0</v>
      </c>
      <c r="N2016" s="3565">
        <v>0</v>
      </c>
      <c r="O2016" s="3563" t="s">
        <v>3453</v>
      </c>
    </row>
    <row r="2017" spans="1:15">
      <c r="A2017" s="3563" t="s">
        <v>6230</v>
      </c>
      <c r="B2017" s="3563" t="s">
        <v>4811</v>
      </c>
      <c r="C2017" s="3563" t="s">
        <v>4197</v>
      </c>
      <c r="D2017" s="3563" t="s">
        <v>4796</v>
      </c>
      <c r="E2017" s="3563" t="s">
        <v>6127</v>
      </c>
      <c r="F2017" s="3563" t="s">
        <v>4797</v>
      </c>
      <c r="G2017" s="3564">
        <v>87.55</v>
      </c>
      <c r="H2017" s="3564">
        <v>71</v>
      </c>
      <c r="I2017" s="3564">
        <v>16.55</v>
      </c>
      <c r="J2017" s="3565">
        <v>875453</v>
      </c>
      <c r="K2017" s="3565">
        <v>9999.4599999999991</v>
      </c>
      <c r="L2017" s="3565">
        <v>12330.32</v>
      </c>
      <c r="M2017" s="3565">
        <v>875453</v>
      </c>
      <c r="N2017" s="3565">
        <v>9999.4599999999991</v>
      </c>
      <c r="O2017" s="3566">
        <v>44192</v>
      </c>
    </row>
    <row r="2018" spans="1:15">
      <c r="A2018" s="3563" t="s">
        <v>6231</v>
      </c>
      <c r="B2018" s="3563" t="s">
        <v>4196</v>
      </c>
      <c r="C2018" s="3563" t="s">
        <v>4197</v>
      </c>
      <c r="D2018" s="3563" t="s">
        <v>4796</v>
      </c>
      <c r="E2018" s="3563" t="s">
        <v>6127</v>
      </c>
      <c r="F2018" s="3563" t="s">
        <v>4797</v>
      </c>
      <c r="G2018" s="3564">
        <v>101.13</v>
      </c>
      <c r="H2018" s="3564">
        <v>82.01</v>
      </c>
      <c r="I2018" s="3564">
        <v>19.12</v>
      </c>
      <c r="J2018" s="3565">
        <v>1011245</v>
      </c>
      <c r="K2018" s="3565">
        <v>9999.4599999999991</v>
      </c>
      <c r="L2018" s="3565">
        <v>12330.75</v>
      </c>
      <c r="M2018" s="3565">
        <v>0</v>
      </c>
      <c r="N2018" s="3565">
        <v>0</v>
      </c>
      <c r="O2018" s="3563" t="s">
        <v>3453</v>
      </c>
    </row>
    <row r="2019" spans="1:15">
      <c r="A2019" s="3563" t="s">
        <v>6232</v>
      </c>
      <c r="B2019" s="3563" t="s">
        <v>4196</v>
      </c>
      <c r="C2019" s="3563" t="s">
        <v>4197</v>
      </c>
      <c r="D2019" s="3563" t="s">
        <v>4796</v>
      </c>
      <c r="E2019" s="3563" t="s">
        <v>6127</v>
      </c>
      <c r="F2019" s="3563" t="s">
        <v>4797</v>
      </c>
      <c r="G2019" s="3564">
        <v>100.8</v>
      </c>
      <c r="H2019" s="3564">
        <v>81.739999999999995</v>
      </c>
      <c r="I2019" s="3564">
        <v>19.059999999999999</v>
      </c>
      <c r="J2019" s="3565">
        <v>1041013</v>
      </c>
      <c r="K2019" s="3565">
        <v>10327.51</v>
      </c>
      <c r="L2019" s="3565">
        <v>12735.66</v>
      </c>
      <c r="M2019" s="3565">
        <v>0</v>
      </c>
      <c r="N2019" s="3565">
        <v>0</v>
      </c>
      <c r="O2019" s="3563" t="s">
        <v>3453</v>
      </c>
    </row>
    <row r="2020" spans="1:15">
      <c r="A2020" s="3563" t="s">
        <v>6233</v>
      </c>
      <c r="B2020" s="3563" t="s">
        <v>4196</v>
      </c>
      <c r="C2020" s="3563" t="s">
        <v>4197</v>
      </c>
      <c r="D2020" s="3563" t="s">
        <v>4796</v>
      </c>
      <c r="E2020" s="3563" t="s">
        <v>6127</v>
      </c>
      <c r="F2020" s="3563" t="s">
        <v>4797</v>
      </c>
      <c r="G2020" s="3564">
        <v>100.8</v>
      </c>
      <c r="H2020" s="3564">
        <v>81.739999999999995</v>
      </c>
      <c r="I2020" s="3564">
        <v>19.059999999999999</v>
      </c>
      <c r="J2020" s="3565">
        <v>1041013</v>
      </c>
      <c r="K2020" s="3565">
        <v>10327.51</v>
      </c>
      <c r="L2020" s="3565">
        <v>12735.66</v>
      </c>
      <c r="M2020" s="3565">
        <v>0</v>
      </c>
      <c r="N2020" s="3565">
        <v>0</v>
      </c>
      <c r="O2020" s="3563" t="s">
        <v>3453</v>
      </c>
    </row>
    <row r="2021" spans="1:15">
      <c r="A2021" s="3563" t="s">
        <v>6234</v>
      </c>
      <c r="B2021" s="3563" t="s">
        <v>4196</v>
      </c>
      <c r="C2021" s="3563" t="s">
        <v>4197</v>
      </c>
      <c r="D2021" s="3563" t="s">
        <v>4796</v>
      </c>
      <c r="E2021" s="3563" t="s">
        <v>6127</v>
      </c>
      <c r="F2021" s="3563" t="s">
        <v>4797</v>
      </c>
      <c r="G2021" s="3564">
        <v>109.06</v>
      </c>
      <c r="H2021" s="3564">
        <v>88.44</v>
      </c>
      <c r="I2021" s="3564">
        <v>20.62</v>
      </c>
      <c r="J2021" s="3565">
        <v>1108595</v>
      </c>
      <c r="K2021" s="3565">
        <v>10165</v>
      </c>
      <c r="L2021" s="3565">
        <v>12535</v>
      </c>
      <c r="M2021" s="3565">
        <v>0</v>
      </c>
      <c r="N2021" s="3565">
        <v>0</v>
      </c>
      <c r="O2021" s="3563" t="s">
        <v>3453</v>
      </c>
    </row>
    <row r="2022" spans="1:15">
      <c r="A2022" s="3563" t="s">
        <v>6235</v>
      </c>
      <c r="B2022" s="3563" t="s">
        <v>4196</v>
      </c>
      <c r="C2022" s="3563" t="s">
        <v>4197</v>
      </c>
      <c r="D2022" s="3563" t="s">
        <v>4796</v>
      </c>
      <c r="E2022" s="3563" t="s">
        <v>6127</v>
      </c>
      <c r="F2022" s="3563" t="s">
        <v>4797</v>
      </c>
      <c r="G2022" s="3564">
        <v>87.55</v>
      </c>
      <c r="H2022" s="3564">
        <v>71</v>
      </c>
      <c r="I2022" s="3564">
        <v>16.55</v>
      </c>
      <c r="J2022" s="3565">
        <v>875453</v>
      </c>
      <c r="K2022" s="3565">
        <v>9999.4599999999991</v>
      </c>
      <c r="L2022" s="3565">
        <v>12330.32</v>
      </c>
      <c r="M2022" s="3565">
        <v>0</v>
      </c>
      <c r="N2022" s="3565">
        <v>0</v>
      </c>
      <c r="O2022" s="3563" t="s">
        <v>3453</v>
      </c>
    </row>
    <row r="2023" spans="1:15">
      <c r="A2023" s="3563" t="s">
        <v>6236</v>
      </c>
      <c r="B2023" s="3563" t="s">
        <v>4196</v>
      </c>
      <c r="C2023" s="3563" t="s">
        <v>4197</v>
      </c>
      <c r="D2023" s="3563" t="s">
        <v>4796</v>
      </c>
      <c r="E2023" s="3563" t="s">
        <v>6127</v>
      </c>
      <c r="F2023" s="3563" t="s">
        <v>4797</v>
      </c>
      <c r="G2023" s="3564">
        <v>87.55</v>
      </c>
      <c r="H2023" s="3564">
        <v>71</v>
      </c>
      <c r="I2023" s="3564">
        <v>16.55</v>
      </c>
      <c r="J2023" s="3565">
        <v>875453</v>
      </c>
      <c r="K2023" s="3565">
        <v>9999.4599999999991</v>
      </c>
      <c r="L2023" s="3565">
        <v>12330.32</v>
      </c>
      <c r="M2023" s="3565">
        <v>0</v>
      </c>
      <c r="N2023" s="3565">
        <v>0</v>
      </c>
      <c r="O2023" s="3563" t="s">
        <v>3453</v>
      </c>
    </row>
    <row r="2024" spans="1:15">
      <c r="A2024" s="3563" t="s">
        <v>6237</v>
      </c>
      <c r="B2024" s="3563" t="s">
        <v>4196</v>
      </c>
      <c r="C2024" s="3563" t="s">
        <v>4197</v>
      </c>
      <c r="D2024" s="3563" t="s">
        <v>4796</v>
      </c>
      <c r="E2024" s="3563" t="s">
        <v>6127</v>
      </c>
      <c r="F2024" s="3563" t="s">
        <v>4797</v>
      </c>
      <c r="G2024" s="3564">
        <v>101.13</v>
      </c>
      <c r="H2024" s="3564">
        <v>82.01</v>
      </c>
      <c r="I2024" s="3564">
        <v>19.12</v>
      </c>
      <c r="J2024" s="3565">
        <v>1011245</v>
      </c>
      <c r="K2024" s="3565">
        <v>9999.4599999999991</v>
      </c>
      <c r="L2024" s="3565">
        <v>12330.75</v>
      </c>
      <c r="M2024" s="3565">
        <v>0</v>
      </c>
      <c r="N2024" s="3565">
        <v>0</v>
      </c>
      <c r="O2024" s="3563" t="s">
        <v>3453</v>
      </c>
    </row>
    <row r="2025" spans="1:15">
      <c r="A2025" s="3563" t="s">
        <v>6238</v>
      </c>
      <c r="B2025" s="3563" t="s">
        <v>4196</v>
      </c>
      <c r="C2025" s="3563" t="s">
        <v>4197</v>
      </c>
      <c r="D2025" s="3563" t="s">
        <v>4796</v>
      </c>
      <c r="E2025" s="3563" t="s">
        <v>6127</v>
      </c>
      <c r="F2025" s="3563" t="s">
        <v>4797</v>
      </c>
      <c r="G2025" s="3564">
        <v>100.8</v>
      </c>
      <c r="H2025" s="3564">
        <v>81.739999999999995</v>
      </c>
      <c r="I2025" s="3564">
        <v>19.059999999999999</v>
      </c>
      <c r="J2025" s="3565">
        <v>1037233</v>
      </c>
      <c r="K2025" s="3565">
        <v>10290.01</v>
      </c>
      <c r="L2025" s="3565">
        <v>12689.42</v>
      </c>
      <c r="M2025" s="3565">
        <v>0</v>
      </c>
      <c r="N2025" s="3565">
        <v>0</v>
      </c>
      <c r="O2025" s="3563" t="s">
        <v>3453</v>
      </c>
    </row>
    <row r="2026" spans="1:15">
      <c r="A2026" s="3563" t="s">
        <v>6239</v>
      </c>
      <c r="B2026" s="3563" t="s">
        <v>4196</v>
      </c>
      <c r="C2026" s="3563" t="s">
        <v>4197</v>
      </c>
      <c r="D2026" s="3563" t="s">
        <v>4796</v>
      </c>
      <c r="E2026" s="3563" t="s">
        <v>6127</v>
      </c>
      <c r="F2026" s="3563" t="s">
        <v>4797</v>
      </c>
      <c r="G2026" s="3564">
        <v>100.8</v>
      </c>
      <c r="H2026" s="3564">
        <v>81.739999999999995</v>
      </c>
      <c r="I2026" s="3564">
        <v>19.059999999999999</v>
      </c>
      <c r="J2026" s="3565">
        <v>1049833</v>
      </c>
      <c r="K2026" s="3565">
        <v>10415.01</v>
      </c>
      <c r="L2026" s="3565">
        <v>12843.56</v>
      </c>
      <c r="M2026" s="3565">
        <v>0</v>
      </c>
      <c r="N2026" s="3565">
        <v>0</v>
      </c>
      <c r="O2026" s="3563" t="s">
        <v>3453</v>
      </c>
    </row>
    <row r="2027" spans="1:15">
      <c r="A2027" s="3563" t="s">
        <v>6240</v>
      </c>
      <c r="B2027" s="3563" t="s">
        <v>4196</v>
      </c>
      <c r="C2027" s="3563" t="s">
        <v>4197</v>
      </c>
      <c r="D2027" s="3563" t="s">
        <v>4796</v>
      </c>
      <c r="E2027" s="3563" t="s">
        <v>6127</v>
      </c>
      <c r="F2027" s="3563" t="s">
        <v>4797</v>
      </c>
      <c r="G2027" s="3564">
        <v>109.06</v>
      </c>
      <c r="H2027" s="3564">
        <v>88.44</v>
      </c>
      <c r="I2027" s="3564">
        <v>20.62</v>
      </c>
      <c r="J2027" s="3565">
        <v>1124954</v>
      </c>
      <c r="K2027" s="3565">
        <v>10315</v>
      </c>
      <c r="L2027" s="3565">
        <v>12719.97</v>
      </c>
      <c r="M2027" s="3565">
        <v>0</v>
      </c>
      <c r="N2027" s="3565">
        <v>0</v>
      </c>
      <c r="O2027" s="3563" t="s">
        <v>3453</v>
      </c>
    </row>
    <row r="2028" spans="1:15">
      <c r="A2028" s="3563" t="s">
        <v>6241</v>
      </c>
      <c r="B2028" s="3563" t="s">
        <v>4196</v>
      </c>
      <c r="C2028" s="3563" t="s">
        <v>4197</v>
      </c>
      <c r="D2028" s="3563" t="s">
        <v>4796</v>
      </c>
      <c r="E2028" s="3563" t="s">
        <v>6127</v>
      </c>
      <c r="F2028" s="3563" t="s">
        <v>4797</v>
      </c>
      <c r="G2028" s="3564">
        <v>87.55</v>
      </c>
      <c r="H2028" s="3564">
        <v>71</v>
      </c>
      <c r="I2028" s="3564">
        <v>16.55</v>
      </c>
      <c r="J2028" s="3565">
        <v>875453</v>
      </c>
      <c r="K2028" s="3565">
        <v>9999.4599999999991</v>
      </c>
      <c r="L2028" s="3565">
        <v>12330.32</v>
      </c>
      <c r="M2028" s="3565">
        <v>0</v>
      </c>
      <c r="N2028" s="3565">
        <v>0</v>
      </c>
      <c r="O2028" s="3563" t="s">
        <v>3453</v>
      </c>
    </row>
    <row r="2029" spans="1:15">
      <c r="A2029" s="3563" t="s">
        <v>6242</v>
      </c>
      <c r="B2029" s="3563" t="s">
        <v>4196</v>
      </c>
      <c r="C2029" s="3563" t="s">
        <v>4197</v>
      </c>
      <c r="D2029" s="3563" t="s">
        <v>4796</v>
      </c>
      <c r="E2029" s="3563" t="s">
        <v>6127</v>
      </c>
      <c r="F2029" s="3563" t="s">
        <v>4797</v>
      </c>
      <c r="G2029" s="3564">
        <v>87.55</v>
      </c>
      <c r="H2029" s="3564">
        <v>71</v>
      </c>
      <c r="I2029" s="3564">
        <v>16.55</v>
      </c>
      <c r="J2029" s="3565">
        <v>875453</v>
      </c>
      <c r="K2029" s="3565">
        <v>9999.4599999999991</v>
      </c>
      <c r="L2029" s="3565">
        <v>12330.32</v>
      </c>
      <c r="M2029" s="3565">
        <v>0</v>
      </c>
      <c r="N2029" s="3565">
        <v>0</v>
      </c>
      <c r="O2029" s="3563" t="s">
        <v>3453</v>
      </c>
    </row>
    <row r="2030" spans="1:15">
      <c r="A2030" s="3563" t="s">
        <v>6243</v>
      </c>
      <c r="B2030" s="3563" t="s">
        <v>4196</v>
      </c>
      <c r="C2030" s="3563" t="s">
        <v>4197</v>
      </c>
      <c r="D2030" s="3563" t="s">
        <v>4796</v>
      </c>
      <c r="E2030" s="3563" t="s">
        <v>6127</v>
      </c>
      <c r="F2030" s="3563" t="s">
        <v>4797</v>
      </c>
      <c r="G2030" s="3564">
        <v>101.13</v>
      </c>
      <c r="H2030" s="3564">
        <v>82.01</v>
      </c>
      <c r="I2030" s="3564">
        <v>19.12</v>
      </c>
      <c r="J2030" s="3565">
        <v>1011245</v>
      </c>
      <c r="K2030" s="3565">
        <v>9999.4599999999991</v>
      </c>
      <c r="L2030" s="3565">
        <v>12330.75</v>
      </c>
      <c r="M2030" s="3565">
        <v>0</v>
      </c>
      <c r="N2030" s="3565">
        <v>0</v>
      </c>
      <c r="O2030" s="3563" t="s">
        <v>3453</v>
      </c>
    </row>
    <row r="2031" spans="1:15">
      <c r="A2031" s="3563" t="s">
        <v>6244</v>
      </c>
      <c r="B2031" s="3563" t="s">
        <v>4196</v>
      </c>
      <c r="C2031" s="3563" t="s">
        <v>4197</v>
      </c>
      <c r="D2031" s="3563" t="s">
        <v>4796</v>
      </c>
      <c r="E2031" s="3563" t="s">
        <v>6127</v>
      </c>
      <c r="F2031" s="3563" t="s">
        <v>4797</v>
      </c>
      <c r="G2031" s="3564">
        <v>100.8</v>
      </c>
      <c r="H2031" s="3564">
        <v>81.739999999999995</v>
      </c>
      <c r="I2031" s="3564">
        <v>19.059999999999999</v>
      </c>
      <c r="J2031" s="3565">
        <v>1052353</v>
      </c>
      <c r="K2031" s="3565">
        <v>10440.01</v>
      </c>
      <c r="L2031" s="3565">
        <v>12874.39</v>
      </c>
      <c r="M2031" s="3565">
        <v>0</v>
      </c>
      <c r="N2031" s="3565">
        <v>0</v>
      </c>
      <c r="O2031" s="3563" t="s">
        <v>3453</v>
      </c>
    </row>
    <row r="2032" spans="1:15">
      <c r="A2032" s="3563" t="s">
        <v>6245</v>
      </c>
      <c r="B2032" s="3563" t="s">
        <v>4196</v>
      </c>
      <c r="C2032" s="3563" t="s">
        <v>4197</v>
      </c>
      <c r="D2032" s="3563" t="s">
        <v>4796</v>
      </c>
      <c r="E2032" s="3563" t="s">
        <v>6127</v>
      </c>
      <c r="F2032" s="3563" t="s">
        <v>4797</v>
      </c>
      <c r="G2032" s="3564">
        <v>100.8</v>
      </c>
      <c r="H2032" s="3564">
        <v>81.739999999999995</v>
      </c>
      <c r="I2032" s="3564">
        <v>19.059999999999999</v>
      </c>
      <c r="J2032" s="3565">
        <v>1064953</v>
      </c>
      <c r="K2032" s="3565">
        <v>10565.01</v>
      </c>
      <c r="L2032" s="3565">
        <v>13028.54</v>
      </c>
      <c r="M2032" s="3565">
        <v>0</v>
      </c>
      <c r="N2032" s="3565">
        <v>0</v>
      </c>
      <c r="O2032" s="3563" t="s">
        <v>3453</v>
      </c>
    </row>
    <row r="2033" spans="1:15">
      <c r="A2033" s="3563" t="s">
        <v>6246</v>
      </c>
      <c r="B2033" s="3563" t="s">
        <v>4196</v>
      </c>
      <c r="C2033" s="3563" t="s">
        <v>4197</v>
      </c>
      <c r="D2033" s="3563" t="s">
        <v>4796</v>
      </c>
      <c r="E2033" s="3563" t="s">
        <v>6127</v>
      </c>
      <c r="F2033" s="3563" t="s">
        <v>4797</v>
      </c>
      <c r="G2033" s="3564">
        <v>109.06</v>
      </c>
      <c r="H2033" s="3564">
        <v>88.44</v>
      </c>
      <c r="I2033" s="3564">
        <v>20.62</v>
      </c>
      <c r="J2033" s="3565">
        <v>1141313</v>
      </c>
      <c r="K2033" s="3565">
        <v>10465</v>
      </c>
      <c r="L2033" s="3565">
        <v>12904.94</v>
      </c>
      <c r="M2033" s="3565">
        <v>0</v>
      </c>
      <c r="N2033" s="3565">
        <v>0</v>
      </c>
      <c r="O2033" s="3563" t="s">
        <v>3453</v>
      </c>
    </row>
    <row r="2034" spans="1:15">
      <c r="A2034" s="3563" t="s">
        <v>6247</v>
      </c>
      <c r="B2034" s="3563" t="s">
        <v>4811</v>
      </c>
      <c r="C2034" s="3563" t="s">
        <v>4197</v>
      </c>
      <c r="D2034" s="3563" t="s">
        <v>4796</v>
      </c>
      <c r="E2034" s="3563" t="s">
        <v>6127</v>
      </c>
      <c r="F2034" s="3563" t="s">
        <v>4797</v>
      </c>
      <c r="G2034" s="3564">
        <v>87.55</v>
      </c>
      <c r="H2034" s="3564">
        <v>71</v>
      </c>
      <c r="I2034" s="3564">
        <v>16.55</v>
      </c>
      <c r="J2034" s="3565">
        <v>875453</v>
      </c>
      <c r="K2034" s="3565">
        <v>9999.4599999999991</v>
      </c>
      <c r="L2034" s="3565">
        <v>12330.32</v>
      </c>
      <c r="M2034" s="3565">
        <v>707813</v>
      </c>
      <c r="N2034" s="3565">
        <v>8084.67</v>
      </c>
      <c r="O2034" s="3566">
        <v>44191</v>
      </c>
    </row>
    <row r="2035" spans="1:15">
      <c r="A2035" s="3563" t="s">
        <v>6248</v>
      </c>
      <c r="B2035" s="3563" t="s">
        <v>4811</v>
      </c>
      <c r="C2035" s="3563" t="s">
        <v>4197</v>
      </c>
      <c r="D2035" s="3563" t="s">
        <v>4796</v>
      </c>
      <c r="E2035" s="3563" t="s">
        <v>6127</v>
      </c>
      <c r="F2035" s="3563" t="s">
        <v>4797</v>
      </c>
      <c r="G2035" s="3564">
        <v>87.55</v>
      </c>
      <c r="H2035" s="3564">
        <v>71</v>
      </c>
      <c r="I2035" s="3564">
        <v>16.55</v>
      </c>
      <c r="J2035" s="3565">
        <v>745066</v>
      </c>
      <c r="K2035" s="3565">
        <v>8510.18</v>
      </c>
      <c r="L2035" s="3565">
        <v>10493.89</v>
      </c>
      <c r="M2035" s="3565">
        <v>707813</v>
      </c>
      <c r="N2035" s="3565">
        <v>8084.67</v>
      </c>
      <c r="O2035" s="3566">
        <v>44188</v>
      </c>
    </row>
    <row r="2036" spans="1:15">
      <c r="A2036" s="3563" t="s">
        <v>6249</v>
      </c>
      <c r="B2036" s="3563" t="s">
        <v>4196</v>
      </c>
      <c r="C2036" s="3563" t="s">
        <v>4197</v>
      </c>
      <c r="D2036" s="3563" t="s">
        <v>4796</v>
      </c>
      <c r="E2036" s="3563" t="s">
        <v>6127</v>
      </c>
      <c r="F2036" s="3563" t="s">
        <v>4797</v>
      </c>
      <c r="G2036" s="3564">
        <v>101.13</v>
      </c>
      <c r="H2036" s="3564">
        <v>82.01</v>
      </c>
      <c r="I2036" s="3564">
        <v>19.12</v>
      </c>
      <c r="J2036" s="3565">
        <v>1011245</v>
      </c>
      <c r="K2036" s="3565">
        <v>9999.4599999999991</v>
      </c>
      <c r="L2036" s="3565">
        <v>12330.75</v>
      </c>
      <c r="M2036" s="3565">
        <v>0</v>
      </c>
      <c r="N2036" s="3565">
        <v>0</v>
      </c>
      <c r="O2036" s="3563" t="s">
        <v>3453</v>
      </c>
    </row>
    <row r="2037" spans="1:15">
      <c r="A2037" s="3563" t="s">
        <v>6250</v>
      </c>
      <c r="B2037" s="3563" t="s">
        <v>4196</v>
      </c>
      <c r="C2037" s="3563" t="s">
        <v>4197</v>
      </c>
      <c r="D2037" s="3563" t="s">
        <v>4796</v>
      </c>
      <c r="E2037" s="3563" t="s">
        <v>6127</v>
      </c>
      <c r="F2037" s="3563" t="s">
        <v>4797</v>
      </c>
      <c r="G2037" s="3564">
        <v>100.8</v>
      </c>
      <c r="H2037" s="3564">
        <v>81.739999999999995</v>
      </c>
      <c r="I2037" s="3564">
        <v>19.059999999999999</v>
      </c>
      <c r="J2037" s="3565">
        <v>1067473</v>
      </c>
      <c r="K2037" s="3565">
        <v>10590.01</v>
      </c>
      <c r="L2037" s="3565">
        <v>13059.37</v>
      </c>
      <c r="M2037" s="3565">
        <v>0</v>
      </c>
      <c r="N2037" s="3565">
        <v>0</v>
      </c>
      <c r="O2037" s="3563" t="s">
        <v>3453</v>
      </c>
    </row>
    <row r="2038" spans="1:15">
      <c r="A2038" s="3563" t="s">
        <v>6251</v>
      </c>
      <c r="B2038" s="3563" t="s">
        <v>4196</v>
      </c>
      <c r="C2038" s="3563" t="s">
        <v>4197</v>
      </c>
      <c r="D2038" s="3563" t="s">
        <v>4796</v>
      </c>
      <c r="E2038" s="3563" t="s">
        <v>6127</v>
      </c>
      <c r="F2038" s="3563" t="s">
        <v>4797</v>
      </c>
      <c r="G2038" s="3564">
        <v>100.8</v>
      </c>
      <c r="H2038" s="3564">
        <v>81.739999999999995</v>
      </c>
      <c r="I2038" s="3564">
        <v>19.059999999999999</v>
      </c>
      <c r="J2038" s="3565">
        <v>1080073</v>
      </c>
      <c r="K2038" s="3565">
        <v>10715.01</v>
      </c>
      <c r="L2038" s="3565">
        <v>13213.52</v>
      </c>
      <c r="M2038" s="3565">
        <v>0</v>
      </c>
      <c r="N2038" s="3565">
        <v>0</v>
      </c>
      <c r="O2038" s="3563" t="s">
        <v>3453</v>
      </c>
    </row>
    <row r="2039" spans="1:15">
      <c r="A2039" s="3563" t="s">
        <v>6252</v>
      </c>
      <c r="B2039" s="3563" t="s">
        <v>4196</v>
      </c>
      <c r="C2039" s="3563" t="s">
        <v>4197</v>
      </c>
      <c r="D2039" s="3563" t="s">
        <v>4796</v>
      </c>
      <c r="E2039" s="3563" t="s">
        <v>6127</v>
      </c>
      <c r="F2039" s="3563" t="s">
        <v>4797</v>
      </c>
      <c r="G2039" s="3564">
        <v>109.06</v>
      </c>
      <c r="H2039" s="3564">
        <v>88.44</v>
      </c>
      <c r="I2039" s="3564">
        <v>20.62</v>
      </c>
      <c r="J2039" s="3565">
        <v>1142677</v>
      </c>
      <c r="K2039" s="3565">
        <v>10477.51</v>
      </c>
      <c r="L2039" s="3565">
        <v>12920.36</v>
      </c>
      <c r="M2039" s="3565">
        <v>0</v>
      </c>
      <c r="N2039" s="3565">
        <v>0</v>
      </c>
      <c r="O2039" s="3563" t="s">
        <v>3453</v>
      </c>
    </row>
    <row r="2040" spans="1:15">
      <c r="A2040" s="3563" t="s">
        <v>6253</v>
      </c>
      <c r="B2040" s="3563" t="s">
        <v>4196</v>
      </c>
      <c r="C2040" s="3563" t="s">
        <v>4197</v>
      </c>
      <c r="D2040" s="3563" t="s">
        <v>4796</v>
      </c>
      <c r="E2040" s="3563" t="s">
        <v>6127</v>
      </c>
      <c r="F2040" s="3563" t="s">
        <v>4797</v>
      </c>
      <c r="G2040" s="3564">
        <v>87.55</v>
      </c>
      <c r="H2040" s="3564">
        <v>71</v>
      </c>
      <c r="I2040" s="3564">
        <v>16.55</v>
      </c>
      <c r="J2040" s="3565">
        <v>875453</v>
      </c>
      <c r="K2040" s="3565">
        <v>9999.4599999999991</v>
      </c>
      <c r="L2040" s="3565">
        <v>12330.32</v>
      </c>
      <c r="M2040" s="3565">
        <v>0</v>
      </c>
      <c r="N2040" s="3565">
        <v>0</v>
      </c>
      <c r="O2040" s="3563" t="s">
        <v>3453</v>
      </c>
    </row>
    <row r="2041" spans="1:15">
      <c r="A2041" s="3563" t="s">
        <v>6254</v>
      </c>
      <c r="B2041" s="3563" t="s">
        <v>4811</v>
      </c>
      <c r="C2041" s="3563" t="s">
        <v>4197</v>
      </c>
      <c r="D2041" s="3563" t="s">
        <v>4796</v>
      </c>
      <c r="E2041" s="3563" t="s">
        <v>6127</v>
      </c>
      <c r="F2041" s="3563" t="s">
        <v>4797</v>
      </c>
      <c r="G2041" s="3564">
        <v>87.55</v>
      </c>
      <c r="H2041" s="3564">
        <v>71</v>
      </c>
      <c r="I2041" s="3564">
        <v>16.55</v>
      </c>
      <c r="J2041" s="3565">
        <v>745066</v>
      </c>
      <c r="K2041" s="3565">
        <v>8510.18</v>
      </c>
      <c r="L2041" s="3565">
        <v>10493.89</v>
      </c>
      <c r="M2041" s="3565">
        <v>707813</v>
      </c>
      <c r="N2041" s="3565">
        <v>8084.67</v>
      </c>
      <c r="O2041" s="3566">
        <v>44188</v>
      </c>
    </row>
    <row r="2042" spans="1:15">
      <c r="A2042" s="3563" t="s">
        <v>6255</v>
      </c>
      <c r="B2042" s="3563" t="s">
        <v>4196</v>
      </c>
      <c r="C2042" s="3563" t="s">
        <v>4197</v>
      </c>
      <c r="D2042" s="3563" t="s">
        <v>4796</v>
      </c>
      <c r="E2042" s="3563" t="s">
        <v>6127</v>
      </c>
      <c r="F2042" s="3563" t="s">
        <v>4797</v>
      </c>
      <c r="G2042" s="3564">
        <v>101.13</v>
      </c>
      <c r="H2042" s="3564">
        <v>82.01</v>
      </c>
      <c r="I2042" s="3564">
        <v>19.12</v>
      </c>
      <c r="J2042" s="3565">
        <v>1011245</v>
      </c>
      <c r="K2042" s="3565">
        <v>9999.4599999999991</v>
      </c>
      <c r="L2042" s="3565">
        <v>12330.75</v>
      </c>
      <c r="M2042" s="3565">
        <v>0</v>
      </c>
      <c r="N2042" s="3565">
        <v>0</v>
      </c>
      <c r="O2042" s="3563" t="s">
        <v>3453</v>
      </c>
    </row>
    <row r="2043" spans="1:15">
      <c r="A2043" s="3563" t="s">
        <v>6256</v>
      </c>
      <c r="B2043" s="3563" t="s">
        <v>4196</v>
      </c>
      <c r="C2043" s="3563" t="s">
        <v>4197</v>
      </c>
      <c r="D2043" s="3563" t="s">
        <v>4796</v>
      </c>
      <c r="E2043" s="3563" t="s">
        <v>6127</v>
      </c>
      <c r="F2043" s="3563" t="s">
        <v>4797</v>
      </c>
      <c r="G2043" s="3564">
        <v>100.8</v>
      </c>
      <c r="H2043" s="3564">
        <v>81.739999999999995</v>
      </c>
      <c r="I2043" s="3564">
        <v>19.059999999999999</v>
      </c>
      <c r="J2043" s="3565">
        <v>1068733</v>
      </c>
      <c r="K2043" s="3565">
        <v>10602.51</v>
      </c>
      <c r="L2043" s="3565">
        <v>13074.79</v>
      </c>
      <c r="M2043" s="3565">
        <v>0</v>
      </c>
      <c r="N2043" s="3565">
        <v>0</v>
      </c>
      <c r="O2043" s="3563" t="s">
        <v>3453</v>
      </c>
    </row>
    <row r="2044" spans="1:15">
      <c r="A2044" s="3563" t="s">
        <v>6257</v>
      </c>
      <c r="B2044" s="3563" t="s">
        <v>4196</v>
      </c>
      <c r="C2044" s="3563" t="s">
        <v>4197</v>
      </c>
      <c r="D2044" s="3563" t="s">
        <v>4796</v>
      </c>
      <c r="E2044" s="3563" t="s">
        <v>6127</v>
      </c>
      <c r="F2044" s="3563" t="s">
        <v>4797</v>
      </c>
      <c r="G2044" s="3564">
        <v>100.8</v>
      </c>
      <c r="H2044" s="3564">
        <v>81.739999999999995</v>
      </c>
      <c r="I2044" s="3564">
        <v>19.059999999999999</v>
      </c>
      <c r="J2044" s="3565">
        <v>1081333</v>
      </c>
      <c r="K2044" s="3565">
        <v>10727.51</v>
      </c>
      <c r="L2044" s="3565">
        <v>13228.93</v>
      </c>
      <c r="M2044" s="3565">
        <v>0</v>
      </c>
      <c r="N2044" s="3565">
        <v>0</v>
      </c>
      <c r="O2044" s="3563" t="s">
        <v>3453</v>
      </c>
    </row>
    <row r="2045" spans="1:15">
      <c r="A2045" s="3563" t="s">
        <v>6258</v>
      </c>
      <c r="B2045" s="3563" t="s">
        <v>4196</v>
      </c>
      <c r="C2045" s="3563" t="s">
        <v>4197</v>
      </c>
      <c r="D2045" s="3563" t="s">
        <v>4796</v>
      </c>
      <c r="E2045" s="3563" t="s">
        <v>6127</v>
      </c>
      <c r="F2045" s="3563" t="s">
        <v>4797</v>
      </c>
      <c r="G2045" s="3564">
        <v>109.06</v>
      </c>
      <c r="H2045" s="3564">
        <v>88.44</v>
      </c>
      <c r="I2045" s="3564">
        <v>20.62</v>
      </c>
      <c r="J2045" s="3565">
        <v>1144040</v>
      </c>
      <c r="K2045" s="3565">
        <v>10490.01</v>
      </c>
      <c r="L2045" s="3565">
        <v>12935.78</v>
      </c>
      <c r="M2045" s="3565">
        <v>0</v>
      </c>
      <c r="N2045" s="3565">
        <v>0</v>
      </c>
      <c r="O2045" s="3563" t="s">
        <v>3453</v>
      </c>
    </row>
    <row r="2046" spans="1:15">
      <c r="A2046" s="3563" t="s">
        <v>6259</v>
      </c>
      <c r="B2046" s="3563" t="s">
        <v>4196</v>
      </c>
      <c r="C2046" s="3563" t="s">
        <v>4197</v>
      </c>
      <c r="D2046" s="3563" t="s">
        <v>4796</v>
      </c>
      <c r="E2046" s="3563" t="s">
        <v>6127</v>
      </c>
      <c r="F2046" s="3563" t="s">
        <v>4797</v>
      </c>
      <c r="G2046" s="3564">
        <v>87.55</v>
      </c>
      <c r="H2046" s="3564">
        <v>71</v>
      </c>
      <c r="I2046" s="3564">
        <v>16.55</v>
      </c>
      <c r="J2046" s="3565">
        <v>880097</v>
      </c>
      <c r="K2046" s="3565">
        <v>10052.51</v>
      </c>
      <c r="L2046" s="3565">
        <v>12395.73</v>
      </c>
      <c r="M2046" s="3565">
        <v>0</v>
      </c>
      <c r="N2046" s="3565">
        <v>0</v>
      </c>
      <c r="O2046" s="3563" t="s">
        <v>3453</v>
      </c>
    </row>
    <row r="2047" spans="1:15">
      <c r="A2047" s="3563" t="s">
        <v>6260</v>
      </c>
      <c r="B2047" s="3563" t="s">
        <v>4811</v>
      </c>
      <c r="C2047" s="3563" t="s">
        <v>4197</v>
      </c>
      <c r="D2047" s="3563" t="s">
        <v>4796</v>
      </c>
      <c r="E2047" s="3563" t="s">
        <v>6127</v>
      </c>
      <c r="F2047" s="3563" t="s">
        <v>4797</v>
      </c>
      <c r="G2047" s="3564">
        <v>87.55</v>
      </c>
      <c r="H2047" s="3564">
        <v>71</v>
      </c>
      <c r="I2047" s="3564">
        <v>16.55</v>
      </c>
      <c r="J2047" s="3565">
        <v>749019</v>
      </c>
      <c r="K2047" s="3565">
        <v>8555.33</v>
      </c>
      <c r="L2047" s="3565">
        <v>10549.56</v>
      </c>
      <c r="M2047" s="3565">
        <v>711569</v>
      </c>
      <c r="N2047" s="3565">
        <v>8127.57</v>
      </c>
      <c r="O2047" s="3566">
        <v>44190</v>
      </c>
    </row>
    <row r="2048" spans="1:15">
      <c r="A2048" s="3563" t="s">
        <v>6261</v>
      </c>
      <c r="B2048" s="3563" t="s">
        <v>4196</v>
      </c>
      <c r="C2048" s="3563" t="s">
        <v>4197</v>
      </c>
      <c r="D2048" s="3563" t="s">
        <v>4796</v>
      </c>
      <c r="E2048" s="3563" t="s">
        <v>6127</v>
      </c>
      <c r="F2048" s="3563" t="s">
        <v>4797</v>
      </c>
      <c r="G2048" s="3564">
        <v>101.13</v>
      </c>
      <c r="H2048" s="3564">
        <v>82.01</v>
      </c>
      <c r="I2048" s="3564">
        <v>19.12</v>
      </c>
      <c r="J2048" s="3565">
        <v>1011245</v>
      </c>
      <c r="K2048" s="3565">
        <v>9999.4599999999991</v>
      </c>
      <c r="L2048" s="3565">
        <v>12330.75</v>
      </c>
      <c r="M2048" s="3565">
        <v>0</v>
      </c>
      <c r="N2048" s="3565">
        <v>0</v>
      </c>
      <c r="O2048" s="3563" t="s">
        <v>3453</v>
      </c>
    </row>
    <row r="2049" spans="1:15">
      <c r="A2049" s="3563" t="s">
        <v>6262</v>
      </c>
      <c r="B2049" s="3563" t="s">
        <v>4196</v>
      </c>
      <c r="C2049" s="3563" t="s">
        <v>4197</v>
      </c>
      <c r="D2049" s="3563" t="s">
        <v>4796</v>
      </c>
      <c r="E2049" s="3563" t="s">
        <v>6127</v>
      </c>
      <c r="F2049" s="3563" t="s">
        <v>4797</v>
      </c>
      <c r="G2049" s="3564">
        <v>100.8</v>
      </c>
      <c r="H2049" s="3564">
        <v>81.739999999999995</v>
      </c>
      <c r="I2049" s="3564">
        <v>19.059999999999999</v>
      </c>
      <c r="J2049" s="3565">
        <v>1082593</v>
      </c>
      <c r="K2049" s="3565">
        <v>10740.01</v>
      </c>
      <c r="L2049" s="3565">
        <v>13244.35</v>
      </c>
      <c r="M2049" s="3565">
        <v>0</v>
      </c>
      <c r="N2049" s="3565">
        <v>0</v>
      </c>
      <c r="O2049" s="3563" t="s">
        <v>3453</v>
      </c>
    </row>
    <row r="2050" spans="1:15">
      <c r="A2050" s="3563" t="s">
        <v>6263</v>
      </c>
      <c r="B2050" s="3563" t="s">
        <v>4196</v>
      </c>
      <c r="C2050" s="3563" t="s">
        <v>4197</v>
      </c>
      <c r="D2050" s="3563" t="s">
        <v>4796</v>
      </c>
      <c r="E2050" s="3563" t="s">
        <v>6127</v>
      </c>
      <c r="F2050" s="3563" t="s">
        <v>4797</v>
      </c>
      <c r="G2050" s="3564">
        <v>100.8</v>
      </c>
      <c r="H2050" s="3564">
        <v>81.739999999999995</v>
      </c>
      <c r="I2050" s="3564">
        <v>19.059999999999999</v>
      </c>
      <c r="J2050" s="3565">
        <v>1082593</v>
      </c>
      <c r="K2050" s="3565">
        <v>10740.01</v>
      </c>
      <c r="L2050" s="3565">
        <v>13244.35</v>
      </c>
      <c r="M2050" s="3565">
        <v>0</v>
      </c>
      <c r="N2050" s="3565">
        <v>0</v>
      </c>
      <c r="O2050" s="3563" t="s">
        <v>3453</v>
      </c>
    </row>
    <row r="2051" spans="1:15">
      <c r="A2051" s="3563" t="s">
        <v>6264</v>
      </c>
      <c r="B2051" s="3563" t="s">
        <v>4196</v>
      </c>
      <c r="C2051" s="3563" t="s">
        <v>4197</v>
      </c>
      <c r="D2051" s="3563" t="s">
        <v>4796</v>
      </c>
      <c r="E2051" s="3563" t="s">
        <v>6127</v>
      </c>
      <c r="F2051" s="3563" t="s">
        <v>4797</v>
      </c>
      <c r="G2051" s="3564">
        <v>109.06</v>
      </c>
      <c r="H2051" s="3564">
        <v>88.44</v>
      </c>
      <c r="I2051" s="3564">
        <v>20.62</v>
      </c>
      <c r="J2051" s="3565">
        <v>1145403</v>
      </c>
      <c r="K2051" s="3565">
        <v>10502.5</v>
      </c>
      <c r="L2051" s="3565">
        <v>12951.19</v>
      </c>
      <c r="M2051" s="3565">
        <v>0</v>
      </c>
      <c r="N2051" s="3565">
        <v>0</v>
      </c>
      <c r="O2051" s="3563" t="s">
        <v>3453</v>
      </c>
    </row>
    <row r="2052" spans="1:15">
      <c r="A2052" s="3563" t="s">
        <v>6265</v>
      </c>
      <c r="B2052" s="3563" t="s">
        <v>5277</v>
      </c>
      <c r="C2052" s="3563" t="s">
        <v>4197</v>
      </c>
      <c r="D2052" s="3563" t="s">
        <v>4796</v>
      </c>
      <c r="E2052" s="3563" t="s">
        <v>6127</v>
      </c>
      <c r="F2052" s="3563" t="s">
        <v>4797</v>
      </c>
      <c r="G2052" s="3564">
        <v>87.55</v>
      </c>
      <c r="H2052" s="3564">
        <v>71</v>
      </c>
      <c r="I2052" s="3564">
        <v>16.55</v>
      </c>
      <c r="J2052" s="3565">
        <v>749950</v>
      </c>
      <c r="K2052" s="3565">
        <v>8565.9599999999991</v>
      </c>
      <c r="L2052" s="3565">
        <v>10562.68</v>
      </c>
      <c r="M2052" s="3565">
        <v>704954</v>
      </c>
      <c r="N2052" s="3565">
        <v>8052.02</v>
      </c>
      <c r="O2052" s="3566">
        <v>44189</v>
      </c>
    </row>
    <row r="2053" spans="1:15">
      <c r="A2053" s="3563" t="s">
        <v>6266</v>
      </c>
      <c r="B2053" s="3563" t="s">
        <v>4196</v>
      </c>
      <c r="C2053" s="3563" t="s">
        <v>4197</v>
      </c>
      <c r="D2053" s="3563" t="s">
        <v>4796</v>
      </c>
      <c r="E2053" s="3563" t="s">
        <v>6127</v>
      </c>
      <c r="F2053" s="3563" t="s">
        <v>4797</v>
      </c>
      <c r="G2053" s="3564">
        <v>87.55</v>
      </c>
      <c r="H2053" s="3564">
        <v>71</v>
      </c>
      <c r="I2053" s="3564">
        <v>16.55</v>
      </c>
      <c r="J2053" s="3565">
        <v>881192</v>
      </c>
      <c r="K2053" s="3565">
        <v>10065.01</v>
      </c>
      <c r="L2053" s="3565">
        <v>12411.15</v>
      </c>
      <c r="M2053" s="3565">
        <v>0</v>
      </c>
      <c r="N2053" s="3565">
        <v>0</v>
      </c>
      <c r="O2053" s="3563" t="s">
        <v>3453</v>
      </c>
    </row>
    <row r="2054" spans="1:15">
      <c r="A2054" s="3563" t="s">
        <v>6267</v>
      </c>
      <c r="B2054" s="3563" t="s">
        <v>4196</v>
      </c>
      <c r="C2054" s="3563" t="s">
        <v>4197</v>
      </c>
      <c r="D2054" s="3563" t="s">
        <v>4796</v>
      </c>
      <c r="E2054" s="3563" t="s">
        <v>6127</v>
      </c>
      <c r="F2054" s="3563" t="s">
        <v>4797</v>
      </c>
      <c r="G2054" s="3564">
        <v>101.13</v>
      </c>
      <c r="H2054" s="3564">
        <v>82.01</v>
      </c>
      <c r="I2054" s="3564">
        <v>19.12</v>
      </c>
      <c r="J2054" s="3565">
        <v>1011245</v>
      </c>
      <c r="K2054" s="3565">
        <v>9999.4599999999991</v>
      </c>
      <c r="L2054" s="3565">
        <v>12330.75</v>
      </c>
      <c r="M2054" s="3565">
        <v>0</v>
      </c>
      <c r="N2054" s="3565">
        <v>0</v>
      </c>
      <c r="O2054" s="3563" t="s">
        <v>3453</v>
      </c>
    </row>
    <row r="2055" spans="1:15">
      <c r="A2055" s="3563" t="s">
        <v>6268</v>
      </c>
      <c r="B2055" s="3563" t="s">
        <v>4196</v>
      </c>
      <c r="C2055" s="3563" t="s">
        <v>4197</v>
      </c>
      <c r="D2055" s="3563" t="s">
        <v>4796</v>
      </c>
      <c r="E2055" s="3563" t="s">
        <v>6127</v>
      </c>
      <c r="F2055" s="3563" t="s">
        <v>4797</v>
      </c>
      <c r="G2055" s="3564">
        <v>100.8</v>
      </c>
      <c r="H2055" s="3564">
        <v>81.739999999999995</v>
      </c>
      <c r="I2055" s="3564">
        <v>19.059999999999999</v>
      </c>
      <c r="J2055" s="3565">
        <v>1083853</v>
      </c>
      <c r="K2055" s="3565">
        <v>10752.51</v>
      </c>
      <c r="L2055" s="3565">
        <v>13259.76</v>
      </c>
      <c r="M2055" s="3565">
        <v>0</v>
      </c>
      <c r="N2055" s="3565">
        <v>0</v>
      </c>
      <c r="O2055" s="3563" t="s">
        <v>3453</v>
      </c>
    </row>
    <row r="2056" spans="1:15">
      <c r="A2056" s="3563" t="s">
        <v>6269</v>
      </c>
      <c r="B2056" s="3563" t="s">
        <v>4196</v>
      </c>
      <c r="C2056" s="3563" t="s">
        <v>4197</v>
      </c>
      <c r="D2056" s="3563" t="s">
        <v>4796</v>
      </c>
      <c r="E2056" s="3563" t="s">
        <v>6127</v>
      </c>
      <c r="F2056" s="3563" t="s">
        <v>4797</v>
      </c>
      <c r="G2056" s="3564">
        <v>100.8</v>
      </c>
      <c r="H2056" s="3564">
        <v>81.739999999999995</v>
      </c>
      <c r="I2056" s="3564">
        <v>19.059999999999999</v>
      </c>
      <c r="J2056" s="3565">
        <v>1083853</v>
      </c>
      <c r="K2056" s="3565">
        <v>10752.51</v>
      </c>
      <c r="L2056" s="3565">
        <v>13259.76</v>
      </c>
      <c r="M2056" s="3565">
        <v>0</v>
      </c>
      <c r="N2056" s="3565">
        <v>0</v>
      </c>
      <c r="O2056" s="3563" t="s">
        <v>3453</v>
      </c>
    </row>
    <row r="2057" spans="1:15">
      <c r="A2057" s="3563" t="s">
        <v>6270</v>
      </c>
      <c r="B2057" s="3563" t="s">
        <v>4196</v>
      </c>
      <c r="C2057" s="3563" t="s">
        <v>4197</v>
      </c>
      <c r="D2057" s="3563" t="s">
        <v>4796</v>
      </c>
      <c r="E2057" s="3563" t="s">
        <v>6127</v>
      </c>
      <c r="F2057" s="3563" t="s">
        <v>4797</v>
      </c>
      <c r="G2057" s="3564">
        <v>109.06</v>
      </c>
      <c r="H2057" s="3564">
        <v>88.44</v>
      </c>
      <c r="I2057" s="3564">
        <v>20.62</v>
      </c>
      <c r="J2057" s="3565">
        <v>1146767</v>
      </c>
      <c r="K2057" s="3565">
        <v>10515.01</v>
      </c>
      <c r="L2057" s="3565">
        <v>12966.61</v>
      </c>
      <c r="M2057" s="3565">
        <v>0</v>
      </c>
      <c r="N2057" s="3565">
        <v>0</v>
      </c>
      <c r="O2057" s="3563" t="s">
        <v>3453</v>
      </c>
    </row>
    <row r="2058" spans="1:15">
      <c r="A2058" s="3563" t="s">
        <v>6271</v>
      </c>
      <c r="B2058" s="3563" t="s">
        <v>4196</v>
      </c>
      <c r="C2058" s="3563" t="s">
        <v>4197</v>
      </c>
      <c r="D2058" s="3563" t="s">
        <v>4796</v>
      </c>
      <c r="E2058" s="3563" t="s">
        <v>6127</v>
      </c>
      <c r="F2058" s="3563" t="s">
        <v>4797</v>
      </c>
      <c r="G2058" s="3564">
        <v>87.55</v>
      </c>
      <c r="H2058" s="3564">
        <v>71</v>
      </c>
      <c r="I2058" s="3564">
        <v>16.55</v>
      </c>
      <c r="J2058" s="3565">
        <v>882285</v>
      </c>
      <c r="K2058" s="3565">
        <v>10077.5</v>
      </c>
      <c r="L2058" s="3565">
        <v>12426.55</v>
      </c>
      <c r="M2058" s="3565">
        <v>0</v>
      </c>
      <c r="N2058" s="3565">
        <v>0</v>
      </c>
      <c r="O2058" s="3563" t="s">
        <v>3453</v>
      </c>
    </row>
    <row r="2059" spans="1:15">
      <c r="A2059" s="3563" t="s">
        <v>6272</v>
      </c>
      <c r="B2059" s="3563" t="s">
        <v>5277</v>
      </c>
      <c r="C2059" s="3563" t="s">
        <v>4197</v>
      </c>
      <c r="D2059" s="3563" t="s">
        <v>4796</v>
      </c>
      <c r="E2059" s="3563" t="s">
        <v>6127</v>
      </c>
      <c r="F2059" s="3563" t="s">
        <v>4797</v>
      </c>
      <c r="G2059" s="3564">
        <v>87.55</v>
      </c>
      <c r="H2059" s="3564">
        <v>71</v>
      </c>
      <c r="I2059" s="3564">
        <v>16.55</v>
      </c>
      <c r="J2059" s="3565">
        <v>750881</v>
      </c>
      <c r="K2059" s="3565">
        <v>8576.6</v>
      </c>
      <c r="L2059" s="3565">
        <v>10575.79</v>
      </c>
      <c r="M2059" s="3565">
        <v>713337</v>
      </c>
      <c r="N2059" s="3565">
        <v>8147.77</v>
      </c>
      <c r="O2059" s="3566">
        <v>44189</v>
      </c>
    </row>
    <row r="2060" spans="1:15">
      <c r="A2060" s="3563" t="s">
        <v>6273</v>
      </c>
      <c r="B2060" s="3563" t="s">
        <v>4196</v>
      </c>
      <c r="C2060" s="3563" t="s">
        <v>4197</v>
      </c>
      <c r="D2060" s="3563" t="s">
        <v>4796</v>
      </c>
      <c r="E2060" s="3563" t="s">
        <v>6127</v>
      </c>
      <c r="F2060" s="3563" t="s">
        <v>4797</v>
      </c>
      <c r="G2060" s="3564">
        <v>101.13</v>
      </c>
      <c r="H2060" s="3564">
        <v>82.01</v>
      </c>
      <c r="I2060" s="3564">
        <v>19.12</v>
      </c>
      <c r="J2060" s="3565">
        <v>1011245</v>
      </c>
      <c r="K2060" s="3565">
        <v>9999.4599999999991</v>
      </c>
      <c r="L2060" s="3565">
        <v>12330.75</v>
      </c>
      <c r="M2060" s="3565">
        <v>0</v>
      </c>
      <c r="N2060" s="3565">
        <v>0</v>
      </c>
      <c r="O2060" s="3563" t="s">
        <v>3453</v>
      </c>
    </row>
    <row r="2061" spans="1:15">
      <c r="A2061" s="3563" t="s">
        <v>6274</v>
      </c>
      <c r="B2061" s="3563" t="s">
        <v>4196</v>
      </c>
      <c r="C2061" s="3563" t="s">
        <v>4197</v>
      </c>
      <c r="D2061" s="3563" t="s">
        <v>4796</v>
      </c>
      <c r="E2061" s="3563" t="s">
        <v>6127</v>
      </c>
      <c r="F2061" s="3563" t="s">
        <v>4797</v>
      </c>
      <c r="G2061" s="3564">
        <v>100.8</v>
      </c>
      <c r="H2061" s="3564">
        <v>81.739999999999995</v>
      </c>
      <c r="I2061" s="3564">
        <v>19.059999999999999</v>
      </c>
      <c r="J2061" s="3565">
        <v>1085113</v>
      </c>
      <c r="K2061" s="3565">
        <v>10765.01</v>
      </c>
      <c r="L2061" s="3565">
        <v>13275.18</v>
      </c>
      <c r="M2061" s="3565">
        <v>0</v>
      </c>
      <c r="N2061" s="3565">
        <v>0</v>
      </c>
      <c r="O2061" s="3563" t="s">
        <v>3453</v>
      </c>
    </row>
    <row r="2062" spans="1:15">
      <c r="A2062" s="3563" t="s">
        <v>6275</v>
      </c>
      <c r="B2062" s="3563" t="s">
        <v>4196</v>
      </c>
      <c r="C2062" s="3563" t="s">
        <v>4197</v>
      </c>
      <c r="D2062" s="3563" t="s">
        <v>4796</v>
      </c>
      <c r="E2062" s="3563" t="s">
        <v>6127</v>
      </c>
      <c r="F2062" s="3563" t="s">
        <v>4797</v>
      </c>
      <c r="G2062" s="3564">
        <v>100.8</v>
      </c>
      <c r="H2062" s="3564">
        <v>81.739999999999995</v>
      </c>
      <c r="I2062" s="3564">
        <v>19.059999999999999</v>
      </c>
      <c r="J2062" s="3565">
        <v>1085113</v>
      </c>
      <c r="K2062" s="3565">
        <v>10765.01</v>
      </c>
      <c r="L2062" s="3565">
        <v>13275.18</v>
      </c>
      <c r="M2062" s="3565">
        <v>0</v>
      </c>
      <c r="N2062" s="3565">
        <v>0</v>
      </c>
      <c r="O2062" s="3563" t="s">
        <v>3453</v>
      </c>
    </row>
    <row r="2063" spans="1:15">
      <c r="A2063" s="3563" t="s">
        <v>6276</v>
      </c>
      <c r="B2063" s="3563" t="s">
        <v>4196</v>
      </c>
      <c r="C2063" s="3563" t="s">
        <v>4197</v>
      </c>
      <c r="D2063" s="3563" t="s">
        <v>4796</v>
      </c>
      <c r="E2063" s="3563" t="s">
        <v>6277</v>
      </c>
      <c r="F2063" s="3563" t="s">
        <v>4949</v>
      </c>
      <c r="G2063" s="3564">
        <v>130.44999999999999</v>
      </c>
      <c r="H2063" s="3564">
        <v>113.15</v>
      </c>
      <c r="I2063" s="3564">
        <v>17.3</v>
      </c>
      <c r="J2063" s="3565">
        <v>1824035</v>
      </c>
      <c r="K2063" s="3565">
        <v>13982.64</v>
      </c>
      <c r="L2063" s="3565">
        <v>16120.5</v>
      </c>
      <c r="M2063" s="3565">
        <v>0</v>
      </c>
      <c r="N2063" s="3565">
        <v>0</v>
      </c>
      <c r="O2063" s="3563" t="s">
        <v>3453</v>
      </c>
    </row>
    <row r="2064" spans="1:15">
      <c r="A2064" s="3563" t="s">
        <v>6278</v>
      </c>
      <c r="B2064" s="3563" t="s">
        <v>4196</v>
      </c>
      <c r="C2064" s="3563" t="s">
        <v>4197</v>
      </c>
      <c r="D2064" s="3563" t="s">
        <v>4796</v>
      </c>
      <c r="E2064" s="3563" t="s">
        <v>6277</v>
      </c>
      <c r="F2064" s="3563" t="s">
        <v>4949</v>
      </c>
      <c r="G2064" s="3564">
        <v>130.69</v>
      </c>
      <c r="H2064" s="3564">
        <v>113.36</v>
      </c>
      <c r="I2064" s="3564">
        <v>17.329999999999998</v>
      </c>
      <c r="J2064" s="3565">
        <v>1639112</v>
      </c>
      <c r="K2064" s="3565">
        <v>12541.98</v>
      </c>
      <c r="L2064" s="3565">
        <v>14459.35</v>
      </c>
      <c r="M2064" s="3565">
        <v>0</v>
      </c>
      <c r="N2064" s="3565">
        <v>0</v>
      </c>
      <c r="O2064" s="3563" t="s">
        <v>3453</v>
      </c>
    </row>
    <row r="2065" spans="1:15">
      <c r="A2065" s="3563" t="s">
        <v>6279</v>
      </c>
      <c r="B2065" s="3563" t="s">
        <v>3453</v>
      </c>
      <c r="C2065" s="3563" t="s">
        <v>4197</v>
      </c>
      <c r="D2065" s="3563" t="s">
        <v>4796</v>
      </c>
      <c r="E2065" s="3563" t="s">
        <v>6277</v>
      </c>
      <c r="F2065" s="3563" t="s">
        <v>4949</v>
      </c>
      <c r="G2065" s="3564">
        <v>130.69</v>
      </c>
      <c r="H2065" s="3564">
        <v>113.36</v>
      </c>
      <c r="I2065" s="3564">
        <v>17.329999999999998</v>
      </c>
      <c r="J2065" s="3565">
        <v>1663591</v>
      </c>
      <c r="K2065" s="3565">
        <v>12729.29</v>
      </c>
      <c r="L2065" s="3565">
        <v>14675.29</v>
      </c>
      <c r="M2065" s="3565">
        <v>0</v>
      </c>
      <c r="N2065" s="3565">
        <v>0</v>
      </c>
      <c r="O2065" s="3563" t="s">
        <v>3453</v>
      </c>
    </row>
    <row r="2066" spans="1:15">
      <c r="A2066" s="3563" t="s">
        <v>6280</v>
      </c>
      <c r="B2066" s="3563" t="s">
        <v>3453</v>
      </c>
      <c r="C2066" s="3563" t="s">
        <v>4197</v>
      </c>
      <c r="D2066" s="3563" t="s">
        <v>4796</v>
      </c>
      <c r="E2066" s="3563" t="s">
        <v>6277</v>
      </c>
      <c r="F2066" s="3563" t="s">
        <v>4949</v>
      </c>
      <c r="G2066" s="3564">
        <v>130.44999999999999</v>
      </c>
      <c r="H2066" s="3564">
        <v>113.15</v>
      </c>
      <c r="I2066" s="3564">
        <v>17.3</v>
      </c>
      <c r="J2066" s="3565">
        <v>1840056</v>
      </c>
      <c r="K2066" s="3565">
        <v>14105.45</v>
      </c>
      <c r="L2066" s="3565">
        <v>16262.09</v>
      </c>
      <c r="M2066" s="3565">
        <v>0</v>
      </c>
      <c r="N2066" s="3565">
        <v>0</v>
      </c>
      <c r="O2066" s="3563" t="s">
        <v>3453</v>
      </c>
    </row>
    <row r="2067" spans="1:15">
      <c r="A2067" s="3563" t="s">
        <v>6281</v>
      </c>
      <c r="B2067" s="3563" t="s">
        <v>4196</v>
      </c>
      <c r="C2067" s="3563" t="s">
        <v>4197</v>
      </c>
      <c r="D2067" s="3563" t="s">
        <v>4796</v>
      </c>
      <c r="E2067" s="3563" t="s">
        <v>6277</v>
      </c>
      <c r="F2067" s="3563" t="s">
        <v>4949</v>
      </c>
      <c r="G2067" s="3564">
        <v>106.13</v>
      </c>
      <c r="H2067" s="3564">
        <v>92.06</v>
      </c>
      <c r="I2067" s="3564">
        <v>14.07</v>
      </c>
      <c r="J2067" s="3565">
        <v>1572913</v>
      </c>
      <c r="K2067" s="3565">
        <v>14820.63</v>
      </c>
      <c r="L2067" s="3565">
        <v>17085.740000000002</v>
      </c>
      <c r="M2067" s="3565">
        <v>0</v>
      </c>
      <c r="N2067" s="3565">
        <v>0</v>
      </c>
      <c r="O2067" s="3563" t="s">
        <v>3453</v>
      </c>
    </row>
    <row r="2068" spans="1:15">
      <c r="A2068" s="3563" t="s">
        <v>6282</v>
      </c>
      <c r="B2068" s="3563" t="s">
        <v>4196</v>
      </c>
      <c r="C2068" s="3563" t="s">
        <v>4197</v>
      </c>
      <c r="D2068" s="3563" t="s">
        <v>4796</v>
      </c>
      <c r="E2068" s="3563" t="s">
        <v>6277</v>
      </c>
      <c r="F2068" s="3563" t="s">
        <v>4949</v>
      </c>
      <c r="G2068" s="3564">
        <v>106.47</v>
      </c>
      <c r="H2068" s="3564">
        <v>92.35</v>
      </c>
      <c r="I2068" s="3564">
        <v>14.12</v>
      </c>
      <c r="J2068" s="3565">
        <v>1468589</v>
      </c>
      <c r="K2068" s="3565">
        <v>13793.45</v>
      </c>
      <c r="L2068" s="3565">
        <v>15902.43</v>
      </c>
      <c r="M2068" s="3565">
        <v>0</v>
      </c>
      <c r="N2068" s="3565">
        <v>0</v>
      </c>
      <c r="O2068" s="3563" t="s">
        <v>3453</v>
      </c>
    </row>
    <row r="2069" spans="1:15">
      <c r="A2069" s="3563" t="s">
        <v>6283</v>
      </c>
      <c r="B2069" s="3563" t="s">
        <v>4196</v>
      </c>
      <c r="C2069" s="3563" t="s">
        <v>4197</v>
      </c>
      <c r="D2069" s="3563" t="s">
        <v>4796</v>
      </c>
      <c r="E2069" s="3563" t="s">
        <v>6277</v>
      </c>
      <c r="F2069" s="3563" t="s">
        <v>4949</v>
      </c>
      <c r="G2069" s="3564">
        <v>106.47</v>
      </c>
      <c r="H2069" s="3564">
        <v>92.35</v>
      </c>
      <c r="I2069" s="3564">
        <v>14.12</v>
      </c>
      <c r="J2069" s="3565">
        <v>1468589</v>
      </c>
      <c r="K2069" s="3565">
        <v>13793.45</v>
      </c>
      <c r="L2069" s="3565">
        <v>15902.43</v>
      </c>
      <c r="M2069" s="3565">
        <v>0</v>
      </c>
      <c r="N2069" s="3565">
        <v>0</v>
      </c>
      <c r="O2069" s="3563" t="s">
        <v>3453</v>
      </c>
    </row>
    <row r="2070" spans="1:15">
      <c r="A2070" s="3563" t="s">
        <v>6284</v>
      </c>
      <c r="B2070" s="3563" t="s">
        <v>4811</v>
      </c>
      <c r="C2070" s="3563" t="s">
        <v>4197</v>
      </c>
      <c r="D2070" s="3563" t="s">
        <v>4796</v>
      </c>
      <c r="E2070" s="3563" t="s">
        <v>6277</v>
      </c>
      <c r="F2070" s="3563" t="s">
        <v>4949</v>
      </c>
      <c r="G2070" s="3564">
        <v>106.13</v>
      </c>
      <c r="H2070" s="3564">
        <v>92.06</v>
      </c>
      <c r="I2070" s="3564">
        <v>14.07</v>
      </c>
      <c r="J2070" s="3565">
        <v>1572913</v>
      </c>
      <c r="K2070" s="3565">
        <v>14820.63</v>
      </c>
      <c r="L2070" s="3565">
        <v>17085.740000000002</v>
      </c>
      <c r="M2070" s="3565">
        <v>1478539</v>
      </c>
      <c r="N2070" s="3565">
        <v>13931.4</v>
      </c>
      <c r="O2070" s="3563" t="s">
        <v>3453</v>
      </c>
    </row>
    <row r="2071" spans="1:15">
      <c r="A2071" s="3563" t="s">
        <v>6285</v>
      </c>
      <c r="B2071" s="3563" t="s">
        <v>4196</v>
      </c>
      <c r="C2071" s="3563" t="s">
        <v>4197</v>
      </c>
      <c r="D2071" s="3563" t="s">
        <v>4796</v>
      </c>
      <c r="E2071" s="3563" t="s">
        <v>6277</v>
      </c>
      <c r="F2071" s="3563" t="s">
        <v>4949</v>
      </c>
      <c r="G2071" s="3564">
        <v>130.44999999999999</v>
      </c>
      <c r="H2071" s="3564">
        <v>113.15</v>
      </c>
      <c r="I2071" s="3564">
        <v>17.3</v>
      </c>
      <c r="J2071" s="3565">
        <v>1872295</v>
      </c>
      <c r="K2071" s="3565">
        <v>14352.59</v>
      </c>
      <c r="L2071" s="3565">
        <v>16547.02</v>
      </c>
      <c r="M2071" s="3565">
        <v>0</v>
      </c>
      <c r="N2071" s="3565">
        <v>0</v>
      </c>
      <c r="O2071" s="3563" t="s">
        <v>3453</v>
      </c>
    </row>
    <row r="2072" spans="1:15">
      <c r="A2072" s="3563" t="s">
        <v>6286</v>
      </c>
      <c r="B2072" s="3563" t="s">
        <v>4196</v>
      </c>
      <c r="C2072" s="3563" t="s">
        <v>4197</v>
      </c>
      <c r="D2072" s="3563" t="s">
        <v>4796</v>
      </c>
      <c r="E2072" s="3563" t="s">
        <v>6277</v>
      </c>
      <c r="F2072" s="3563" t="s">
        <v>4949</v>
      </c>
      <c r="G2072" s="3564">
        <v>130.69</v>
      </c>
      <c r="H2072" s="3564">
        <v>113.36</v>
      </c>
      <c r="I2072" s="3564">
        <v>17.329999999999998</v>
      </c>
      <c r="J2072" s="3565">
        <v>1767766</v>
      </c>
      <c r="K2072" s="3565">
        <v>13526.41</v>
      </c>
      <c r="L2072" s="3565">
        <v>15594.27</v>
      </c>
      <c r="M2072" s="3565">
        <v>0</v>
      </c>
      <c r="N2072" s="3565">
        <v>0</v>
      </c>
      <c r="O2072" s="3563" t="s">
        <v>3453</v>
      </c>
    </row>
    <row r="2073" spans="1:15">
      <c r="A2073" s="3563" t="s">
        <v>6287</v>
      </c>
      <c r="B2073" s="3563" t="s">
        <v>4196</v>
      </c>
      <c r="C2073" s="3563" t="s">
        <v>4197</v>
      </c>
      <c r="D2073" s="3563" t="s">
        <v>4796</v>
      </c>
      <c r="E2073" s="3563" t="s">
        <v>6277</v>
      </c>
      <c r="F2073" s="3563" t="s">
        <v>4949</v>
      </c>
      <c r="G2073" s="3564">
        <v>130.69</v>
      </c>
      <c r="H2073" s="3564">
        <v>113.36</v>
      </c>
      <c r="I2073" s="3564">
        <v>17.329999999999998</v>
      </c>
      <c r="J2073" s="3565">
        <v>1631165</v>
      </c>
      <c r="K2073" s="3565">
        <v>12481.18</v>
      </c>
      <c r="L2073" s="3565">
        <v>14389.25</v>
      </c>
      <c r="M2073" s="3565">
        <v>0</v>
      </c>
      <c r="N2073" s="3565">
        <v>0</v>
      </c>
      <c r="O2073" s="3563" t="s">
        <v>3453</v>
      </c>
    </row>
    <row r="2074" spans="1:15">
      <c r="A2074" s="3563" t="s">
        <v>6288</v>
      </c>
      <c r="B2074" s="3563" t="s">
        <v>4196</v>
      </c>
      <c r="C2074" s="3563" t="s">
        <v>4197</v>
      </c>
      <c r="D2074" s="3563" t="s">
        <v>4796</v>
      </c>
      <c r="E2074" s="3563" t="s">
        <v>6277</v>
      </c>
      <c r="F2074" s="3563" t="s">
        <v>4949</v>
      </c>
      <c r="G2074" s="3564">
        <v>130.44999999999999</v>
      </c>
      <c r="H2074" s="3564">
        <v>113.15</v>
      </c>
      <c r="I2074" s="3564">
        <v>17.3</v>
      </c>
      <c r="J2074" s="3565">
        <v>1823269</v>
      </c>
      <c r="K2074" s="3565">
        <v>13976.77</v>
      </c>
      <c r="L2074" s="3565">
        <v>16113.73</v>
      </c>
      <c r="M2074" s="3565">
        <v>0</v>
      </c>
      <c r="N2074" s="3565">
        <v>0</v>
      </c>
      <c r="O2074" s="3563" t="s">
        <v>3453</v>
      </c>
    </row>
    <row r="2075" spans="1:15">
      <c r="A2075" s="3563" t="s">
        <v>6289</v>
      </c>
      <c r="B2075" s="3563" t="s">
        <v>4196</v>
      </c>
      <c r="C2075" s="3563" t="s">
        <v>4197</v>
      </c>
      <c r="D2075" s="3563" t="s">
        <v>4796</v>
      </c>
      <c r="E2075" s="3563" t="s">
        <v>6277</v>
      </c>
      <c r="F2075" s="3563" t="s">
        <v>4949</v>
      </c>
      <c r="G2075" s="3564">
        <v>106.13</v>
      </c>
      <c r="H2075" s="3564">
        <v>92.06</v>
      </c>
      <c r="I2075" s="3564">
        <v>14.07</v>
      </c>
      <c r="J2075" s="3565">
        <v>1629365</v>
      </c>
      <c r="K2075" s="3565">
        <v>15352.54</v>
      </c>
      <c r="L2075" s="3565">
        <v>17698.95</v>
      </c>
      <c r="M2075" s="3565">
        <v>0</v>
      </c>
      <c r="N2075" s="3565">
        <v>0</v>
      </c>
      <c r="O2075" s="3563" t="s">
        <v>3453</v>
      </c>
    </row>
    <row r="2076" spans="1:15">
      <c r="A2076" s="3563" t="s">
        <v>6290</v>
      </c>
      <c r="B2076" s="3563" t="s">
        <v>3453</v>
      </c>
      <c r="C2076" s="3563" t="s">
        <v>4197</v>
      </c>
      <c r="D2076" s="3563" t="s">
        <v>4796</v>
      </c>
      <c r="E2076" s="3563" t="s">
        <v>6277</v>
      </c>
      <c r="F2076" s="3563" t="s">
        <v>4949</v>
      </c>
      <c r="G2076" s="3564">
        <v>106.47</v>
      </c>
      <c r="H2076" s="3564">
        <v>92.35</v>
      </c>
      <c r="I2076" s="3564">
        <v>14.12</v>
      </c>
      <c r="J2076" s="3565">
        <v>1525222</v>
      </c>
      <c r="K2076" s="3565">
        <v>14325.37</v>
      </c>
      <c r="L2076" s="3565">
        <v>16515.669999999998</v>
      </c>
      <c r="M2076" s="3565">
        <v>0</v>
      </c>
      <c r="N2076" s="3565">
        <v>0</v>
      </c>
      <c r="O2076" s="3563" t="s">
        <v>3453</v>
      </c>
    </row>
    <row r="2077" spans="1:15">
      <c r="A2077" s="3563" t="s">
        <v>6291</v>
      </c>
      <c r="B2077" s="3563" t="s">
        <v>4196</v>
      </c>
      <c r="C2077" s="3563" t="s">
        <v>4197</v>
      </c>
      <c r="D2077" s="3563" t="s">
        <v>4796</v>
      </c>
      <c r="E2077" s="3563" t="s">
        <v>6277</v>
      </c>
      <c r="F2077" s="3563" t="s">
        <v>4949</v>
      </c>
      <c r="G2077" s="3564">
        <v>106.47</v>
      </c>
      <c r="H2077" s="3564">
        <v>92.35</v>
      </c>
      <c r="I2077" s="3564">
        <v>14.12</v>
      </c>
      <c r="J2077" s="3565">
        <v>1468589</v>
      </c>
      <c r="K2077" s="3565">
        <v>13793.45</v>
      </c>
      <c r="L2077" s="3565">
        <v>15902.43</v>
      </c>
      <c r="M2077" s="3565">
        <v>0</v>
      </c>
      <c r="N2077" s="3565">
        <v>0</v>
      </c>
      <c r="O2077" s="3563" t="s">
        <v>3453</v>
      </c>
    </row>
    <row r="2078" spans="1:15">
      <c r="A2078" s="3563" t="s">
        <v>6292</v>
      </c>
      <c r="B2078" s="3563" t="s">
        <v>4196</v>
      </c>
      <c r="C2078" s="3563" t="s">
        <v>4197</v>
      </c>
      <c r="D2078" s="3563" t="s">
        <v>4796</v>
      </c>
      <c r="E2078" s="3563" t="s">
        <v>6277</v>
      </c>
      <c r="F2078" s="3563" t="s">
        <v>4949</v>
      </c>
      <c r="G2078" s="3564">
        <v>106.13</v>
      </c>
      <c r="H2078" s="3564">
        <v>92.06</v>
      </c>
      <c r="I2078" s="3564">
        <v>14.07</v>
      </c>
      <c r="J2078" s="3565">
        <v>1572913</v>
      </c>
      <c r="K2078" s="3565">
        <v>14820.63</v>
      </c>
      <c r="L2078" s="3565">
        <v>17085.740000000002</v>
      </c>
      <c r="M2078" s="3565">
        <v>0</v>
      </c>
      <c r="N2078" s="3565">
        <v>0</v>
      </c>
      <c r="O2078" s="3563" t="s">
        <v>3453</v>
      </c>
    </row>
    <row r="2079" spans="1:15">
      <c r="A2079" s="3563" t="s">
        <v>6293</v>
      </c>
      <c r="B2079" s="3563" t="s">
        <v>5277</v>
      </c>
      <c r="C2079" s="3563" t="s">
        <v>4197</v>
      </c>
      <c r="D2079" s="3563" t="s">
        <v>4796</v>
      </c>
      <c r="E2079" s="3563" t="s">
        <v>6294</v>
      </c>
      <c r="F2079" s="3563" t="s">
        <v>4949</v>
      </c>
      <c r="G2079" s="3564">
        <v>130.53</v>
      </c>
      <c r="H2079" s="3564">
        <v>113.15</v>
      </c>
      <c r="I2079" s="3564">
        <v>17.38</v>
      </c>
      <c r="J2079" s="3565">
        <v>1840923</v>
      </c>
      <c r="K2079" s="3565">
        <v>14103.45</v>
      </c>
      <c r="L2079" s="3565">
        <v>16269.76</v>
      </c>
      <c r="M2079" s="3565">
        <v>1675240</v>
      </c>
      <c r="N2079" s="3565">
        <v>12834.14</v>
      </c>
      <c r="O2079" s="3566">
        <v>44183</v>
      </c>
    </row>
    <row r="2080" spans="1:15">
      <c r="A2080" s="3563" t="s">
        <v>6295</v>
      </c>
      <c r="B2080" s="3563" t="s">
        <v>4811</v>
      </c>
      <c r="C2080" s="3563" t="s">
        <v>4197</v>
      </c>
      <c r="D2080" s="3563" t="s">
        <v>4796</v>
      </c>
      <c r="E2080" s="3563" t="s">
        <v>6294</v>
      </c>
      <c r="F2080" s="3563" t="s">
        <v>4949</v>
      </c>
      <c r="G2080" s="3564">
        <v>130.77000000000001</v>
      </c>
      <c r="H2080" s="3564">
        <v>113.36</v>
      </c>
      <c r="I2080" s="3564">
        <v>17.41</v>
      </c>
      <c r="J2080" s="3565">
        <v>1641359</v>
      </c>
      <c r="K2080" s="3565">
        <v>12551.49</v>
      </c>
      <c r="L2080" s="3565">
        <v>14479.17</v>
      </c>
      <c r="M2080" s="3565">
        <v>1559292</v>
      </c>
      <c r="N2080" s="3565">
        <v>11923.93</v>
      </c>
      <c r="O2080" s="3566">
        <v>44185</v>
      </c>
    </row>
    <row r="2081" spans="1:15">
      <c r="A2081" s="3563" t="s">
        <v>6296</v>
      </c>
      <c r="B2081" s="3563" t="s">
        <v>5277</v>
      </c>
      <c r="C2081" s="3563" t="s">
        <v>4197</v>
      </c>
      <c r="D2081" s="3563" t="s">
        <v>4796</v>
      </c>
      <c r="E2081" s="3563" t="s">
        <v>6294</v>
      </c>
      <c r="F2081" s="3563" t="s">
        <v>4949</v>
      </c>
      <c r="G2081" s="3564">
        <v>130.77000000000001</v>
      </c>
      <c r="H2081" s="3564">
        <v>113.36</v>
      </c>
      <c r="I2081" s="3564">
        <v>17.41</v>
      </c>
      <c r="J2081" s="3565">
        <v>1970992</v>
      </c>
      <c r="K2081" s="3565">
        <v>15072.2</v>
      </c>
      <c r="L2081" s="3565">
        <v>17387.009999999998</v>
      </c>
      <c r="M2081" s="3565">
        <v>1792603</v>
      </c>
      <c r="N2081" s="3565">
        <v>13708.06</v>
      </c>
      <c r="O2081" s="3566">
        <v>44183</v>
      </c>
    </row>
    <row r="2082" spans="1:15">
      <c r="A2082" s="3563" t="s">
        <v>6297</v>
      </c>
      <c r="B2082" s="3563" t="s">
        <v>4811</v>
      </c>
      <c r="C2082" s="3563" t="s">
        <v>4197</v>
      </c>
      <c r="D2082" s="3563" t="s">
        <v>4796</v>
      </c>
      <c r="E2082" s="3563" t="s">
        <v>6294</v>
      </c>
      <c r="F2082" s="3563" t="s">
        <v>4949</v>
      </c>
      <c r="G2082" s="3564">
        <v>130.53</v>
      </c>
      <c r="H2082" s="3564">
        <v>113.15</v>
      </c>
      <c r="I2082" s="3564">
        <v>17.38</v>
      </c>
      <c r="J2082" s="3565">
        <v>2014524</v>
      </c>
      <c r="K2082" s="3565">
        <v>15433.42</v>
      </c>
      <c r="L2082" s="3565">
        <v>17804.009999999998</v>
      </c>
      <c r="M2082" s="3565">
        <v>1912798</v>
      </c>
      <c r="N2082" s="3565">
        <v>14654.09</v>
      </c>
      <c r="O2082" s="3566">
        <v>44183</v>
      </c>
    </row>
    <row r="2083" spans="1:15">
      <c r="A2083" s="3563" t="s">
        <v>6298</v>
      </c>
      <c r="B2083" s="3563" t="s">
        <v>4196</v>
      </c>
      <c r="C2083" s="3563" t="s">
        <v>4197</v>
      </c>
      <c r="D2083" s="3563" t="s">
        <v>4796</v>
      </c>
      <c r="E2083" s="3563" t="s">
        <v>6294</v>
      </c>
      <c r="F2083" s="3563" t="s">
        <v>4949</v>
      </c>
      <c r="G2083" s="3564">
        <v>106.2</v>
      </c>
      <c r="H2083" s="3564">
        <v>92.06</v>
      </c>
      <c r="I2083" s="3564">
        <v>14.14</v>
      </c>
      <c r="J2083" s="3565">
        <v>1494576</v>
      </c>
      <c r="K2083" s="3565">
        <v>14073.22</v>
      </c>
      <c r="L2083" s="3565">
        <v>16234.8</v>
      </c>
      <c r="M2083" s="3565">
        <v>0</v>
      </c>
      <c r="N2083" s="3565">
        <v>0</v>
      </c>
      <c r="O2083" s="3563" t="s">
        <v>3453</v>
      </c>
    </row>
    <row r="2084" spans="1:15">
      <c r="A2084" s="3563" t="s">
        <v>6299</v>
      </c>
      <c r="B2084" s="3563" t="s">
        <v>5277</v>
      </c>
      <c r="C2084" s="3563" t="s">
        <v>4197</v>
      </c>
      <c r="D2084" s="3563" t="s">
        <v>4796</v>
      </c>
      <c r="E2084" s="3563" t="s">
        <v>6294</v>
      </c>
      <c r="F2084" s="3563" t="s">
        <v>4949</v>
      </c>
      <c r="G2084" s="3564">
        <v>106.53</v>
      </c>
      <c r="H2084" s="3564">
        <v>92.35</v>
      </c>
      <c r="I2084" s="3564">
        <v>14.18</v>
      </c>
      <c r="J2084" s="3565">
        <v>1446500</v>
      </c>
      <c r="K2084" s="3565">
        <v>13578.33</v>
      </c>
      <c r="L2084" s="3565">
        <v>15663.24</v>
      </c>
      <c r="M2084" s="3565">
        <v>1388640</v>
      </c>
      <c r="N2084" s="3565">
        <v>13035.2</v>
      </c>
      <c r="O2084" s="3566">
        <v>44185</v>
      </c>
    </row>
    <row r="2085" spans="1:15">
      <c r="A2085" s="3563" t="s">
        <v>6300</v>
      </c>
      <c r="B2085" s="3563" t="s">
        <v>5277</v>
      </c>
      <c r="C2085" s="3563" t="s">
        <v>4197</v>
      </c>
      <c r="D2085" s="3563" t="s">
        <v>4796</v>
      </c>
      <c r="E2085" s="3563" t="s">
        <v>6294</v>
      </c>
      <c r="F2085" s="3563" t="s">
        <v>4949</v>
      </c>
      <c r="G2085" s="3564">
        <v>106.53</v>
      </c>
      <c r="H2085" s="3564">
        <v>92.35</v>
      </c>
      <c r="I2085" s="3564">
        <v>14.18</v>
      </c>
      <c r="J2085" s="3565">
        <v>1503165</v>
      </c>
      <c r="K2085" s="3565">
        <v>14110.25</v>
      </c>
      <c r="L2085" s="3565">
        <v>16276.83</v>
      </c>
      <c r="M2085" s="3565">
        <v>1367881</v>
      </c>
      <c r="N2085" s="3565">
        <v>12840.34</v>
      </c>
      <c r="O2085" s="3566">
        <v>44188</v>
      </c>
    </row>
    <row r="2086" spans="1:15">
      <c r="A2086" s="3563" t="s">
        <v>6301</v>
      </c>
      <c r="B2086" s="3563" t="s">
        <v>5277</v>
      </c>
      <c r="C2086" s="3563" t="s">
        <v>4197</v>
      </c>
      <c r="D2086" s="3563" t="s">
        <v>4796</v>
      </c>
      <c r="E2086" s="3563" t="s">
        <v>6294</v>
      </c>
      <c r="F2086" s="3563" t="s">
        <v>4949</v>
      </c>
      <c r="G2086" s="3564">
        <v>106.2</v>
      </c>
      <c r="H2086" s="3564">
        <v>92.06</v>
      </c>
      <c r="I2086" s="3564">
        <v>14.14</v>
      </c>
      <c r="J2086" s="3565">
        <v>1551065</v>
      </c>
      <c r="K2086" s="3565">
        <v>14605.13</v>
      </c>
      <c r="L2086" s="3565">
        <v>16848.41</v>
      </c>
      <c r="M2086" s="3565">
        <v>1410470</v>
      </c>
      <c r="N2086" s="3565">
        <v>13281.26</v>
      </c>
      <c r="O2086" s="3566">
        <v>44183</v>
      </c>
    </row>
    <row r="2087" spans="1:15">
      <c r="A2087" s="3563" t="s">
        <v>6302</v>
      </c>
      <c r="B2087" s="3563" t="s">
        <v>5277</v>
      </c>
      <c r="C2087" s="3563" t="s">
        <v>4197</v>
      </c>
      <c r="D2087" s="3563" t="s">
        <v>4796</v>
      </c>
      <c r="E2087" s="3563" t="s">
        <v>6294</v>
      </c>
      <c r="F2087" s="3563" t="s">
        <v>4949</v>
      </c>
      <c r="G2087" s="3564">
        <v>130.53</v>
      </c>
      <c r="H2087" s="3564">
        <v>113.15</v>
      </c>
      <c r="I2087" s="3564">
        <v>17.38</v>
      </c>
      <c r="J2087" s="3565">
        <v>1830040</v>
      </c>
      <c r="K2087" s="3565">
        <v>14020.07</v>
      </c>
      <c r="L2087" s="3565">
        <v>16173.57</v>
      </c>
      <c r="M2087" s="3565">
        <v>1738538</v>
      </c>
      <c r="N2087" s="3565">
        <v>13319.07</v>
      </c>
      <c r="O2087" s="3566">
        <v>44183</v>
      </c>
    </row>
    <row r="2088" spans="1:15">
      <c r="A2088" s="3563" t="s">
        <v>6303</v>
      </c>
      <c r="B2088" s="3563" t="s">
        <v>5277</v>
      </c>
      <c r="C2088" s="3563" t="s">
        <v>4197</v>
      </c>
      <c r="D2088" s="3563" t="s">
        <v>4796</v>
      </c>
      <c r="E2088" s="3563" t="s">
        <v>6294</v>
      </c>
      <c r="F2088" s="3563" t="s">
        <v>4949</v>
      </c>
      <c r="G2088" s="3564">
        <v>130.77000000000001</v>
      </c>
      <c r="H2088" s="3564">
        <v>113.36</v>
      </c>
      <c r="I2088" s="3564">
        <v>17.41</v>
      </c>
      <c r="J2088" s="3565">
        <v>1641263</v>
      </c>
      <c r="K2088" s="3565">
        <v>12550.76</v>
      </c>
      <c r="L2088" s="3565">
        <v>14478.33</v>
      </c>
      <c r="M2088" s="3565">
        <v>1575613</v>
      </c>
      <c r="N2088" s="3565">
        <v>12048.73</v>
      </c>
      <c r="O2088" s="3566">
        <v>44183</v>
      </c>
    </row>
    <row r="2089" spans="1:15">
      <c r="A2089" s="3563" t="s">
        <v>6304</v>
      </c>
      <c r="B2089" s="3563" t="s">
        <v>5277</v>
      </c>
      <c r="C2089" s="3563" t="s">
        <v>4197</v>
      </c>
      <c r="D2089" s="3563" t="s">
        <v>4796</v>
      </c>
      <c r="E2089" s="3563" t="s">
        <v>6294</v>
      </c>
      <c r="F2089" s="3563" t="s">
        <v>4949</v>
      </c>
      <c r="G2089" s="3564">
        <v>130.77000000000001</v>
      </c>
      <c r="H2089" s="3564">
        <v>113.36</v>
      </c>
      <c r="I2089" s="3564">
        <v>17.41</v>
      </c>
      <c r="J2089" s="3565">
        <v>1628880</v>
      </c>
      <c r="K2089" s="3565">
        <v>12456.07</v>
      </c>
      <c r="L2089" s="3565">
        <v>14369.09</v>
      </c>
      <c r="M2089" s="3565">
        <v>1482281</v>
      </c>
      <c r="N2089" s="3565">
        <v>11335.02</v>
      </c>
      <c r="O2089" s="3566">
        <v>44183</v>
      </c>
    </row>
    <row r="2090" spans="1:15">
      <c r="A2090" s="3563" t="s">
        <v>6305</v>
      </c>
      <c r="B2090" s="3563" t="s">
        <v>5277</v>
      </c>
      <c r="C2090" s="3563" t="s">
        <v>4197</v>
      </c>
      <c r="D2090" s="3563" t="s">
        <v>4796</v>
      </c>
      <c r="E2090" s="3563" t="s">
        <v>6294</v>
      </c>
      <c r="F2090" s="3563" t="s">
        <v>4949</v>
      </c>
      <c r="G2090" s="3564">
        <v>130.53</v>
      </c>
      <c r="H2090" s="3564">
        <v>113.15</v>
      </c>
      <c r="I2090" s="3564">
        <v>17.38</v>
      </c>
      <c r="J2090" s="3565">
        <v>1832529</v>
      </c>
      <c r="K2090" s="3565">
        <v>14039.14</v>
      </c>
      <c r="L2090" s="3565">
        <v>16195.57</v>
      </c>
      <c r="M2090" s="3565">
        <v>1739903</v>
      </c>
      <c r="N2090" s="3565">
        <v>13329.53</v>
      </c>
      <c r="O2090" s="3566">
        <v>44183</v>
      </c>
    </row>
    <row r="2091" spans="1:15">
      <c r="A2091" s="3563" t="s">
        <v>6306</v>
      </c>
      <c r="B2091" s="3563" t="s">
        <v>5277</v>
      </c>
      <c r="C2091" s="3563" t="s">
        <v>4197</v>
      </c>
      <c r="D2091" s="3563" t="s">
        <v>4796</v>
      </c>
      <c r="E2091" s="3563" t="s">
        <v>6294</v>
      </c>
      <c r="F2091" s="3563" t="s">
        <v>4949</v>
      </c>
      <c r="G2091" s="3564">
        <v>106.2</v>
      </c>
      <c r="H2091" s="3564">
        <v>92.06</v>
      </c>
      <c r="I2091" s="3564">
        <v>14.14</v>
      </c>
      <c r="J2091" s="3565">
        <v>1494576</v>
      </c>
      <c r="K2091" s="3565">
        <v>14073.22</v>
      </c>
      <c r="L2091" s="3565">
        <v>16234.8</v>
      </c>
      <c r="M2091" s="3565">
        <v>1360065</v>
      </c>
      <c r="N2091" s="3565">
        <v>12806.64</v>
      </c>
      <c r="O2091" s="3566">
        <v>44190</v>
      </c>
    </row>
    <row r="2092" spans="1:15">
      <c r="A2092" s="3563" t="s">
        <v>6307</v>
      </c>
      <c r="B2092" s="3563" t="s">
        <v>4811</v>
      </c>
      <c r="C2092" s="3563" t="s">
        <v>4197</v>
      </c>
      <c r="D2092" s="3563" t="s">
        <v>4796</v>
      </c>
      <c r="E2092" s="3563" t="s">
        <v>6294</v>
      </c>
      <c r="F2092" s="3563" t="s">
        <v>4949</v>
      </c>
      <c r="G2092" s="3564">
        <v>106.53</v>
      </c>
      <c r="H2092" s="3564">
        <v>92.35</v>
      </c>
      <c r="I2092" s="3564">
        <v>14.18</v>
      </c>
      <c r="J2092" s="3565">
        <v>1446500</v>
      </c>
      <c r="K2092" s="3565">
        <v>13578.33</v>
      </c>
      <c r="L2092" s="3565">
        <v>15663.24</v>
      </c>
      <c r="M2092" s="3565">
        <v>1374175</v>
      </c>
      <c r="N2092" s="3565">
        <v>12899.42</v>
      </c>
      <c r="O2092" s="3566">
        <v>44183</v>
      </c>
    </row>
    <row r="2093" spans="1:15">
      <c r="A2093" s="3563" t="s">
        <v>6308</v>
      </c>
      <c r="B2093" s="3563" t="s">
        <v>4811</v>
      </c>
      <c r="C2093" s="3563" t="s">
        <v>4197</v>
      </c>
      <c r="D2093" s="3563" t="s">
        <v>4796</v>
      </c>
      <c r="E2093" s="3563" t="s">
        <v>6294</v>
      </c>
      <c r="F2093" s="3563" t="s">
        <v>4949</v>
      </c>
      <c r="G2093" s="3564">
        <v>106.53</v>
      </c>
      <c r="H2093" s="3564">
        <v>92.35</v>
      </c>
      <c r="I2093" s="3564">
        <v>14.18</v>
      </c>
      <c r="J2093" s="3565">
        <v>1446500</v>
      </c>
      <c r="K2093" s="3565">
        <v>13578.33</v>
      </c>
      <c r="L2093" s="3565">
        <v>15663.24</v>
      </c>
      <c r="M2093" s="3565">
        <v>1374175</v>
      </c>
      <c r="N2093" s="3565">
        <v>12899.42</v>
      </c>
      <c r="O2093" s="3566">
        <v>44190</v>
      </c>
    </row>
    <row r="2094" spans="1:15">
      <c r="A2094" s="3563" t="s">
        <v>6309</v>
      </c>
      <c r="B2094" s="3563" t="s">
        <v>5277</v>
      </c>
      <c r="C2094" s="3563" t="s">
        <v>4197</v>
      </c>
      <c r="D2094" s="3563" t="s">
        <v>4796</v>
      </c>
      <c r="E2094" s="3563" t="s">
        <v>6294</v>
      </c>
      <c r="F2094" s="3563" t="s">
        <v>4949</v>
      </c>
      <c r="G2094" s="3564">
        <v>106.2</v>
      </c>
      <c r="H2094" s="3564">
        <v>92.06</v>
      </c>
      <c r="I2094" s="3564">
        <v>14.14</v>
      </c>
      <c r="J2094" s="3565">
        <v>1494576</v>
      </c>
      <c r="K2094" s="3565">
        <v>14073.22</v>
      </c>
      <c r="L2094" s="3565">
        <v>16234.8</v>
      </c>
      <c r="M2094" s="3565">
        <v>1434793</v>
      </c>
      <c r="N2094" s="3565">
        <v>13510.29</v>
      </c>
      <c r="O2094" s="3566">
        <v>44188</v>
      </c>
    </row>
    <row r="2095" spans="1:15">
      <c r="A2095" s="3563" t="s">
        <v>6310</v>
      </c>
      <c r="B2095" s="3563" t="s">
        <v>5277</v>
      </c>
      <c r="C2095" s="3563" t="s">
        <v>4197</v>
      </c>
      <c r="D2095" s="3563" t="s">
        <v>4796</v>
      </c>
      <c r="E2095" s="3563" t="s">
        <v>6294</v>
      </c>
      <c r="F2095" s="3563" t="s">
        <v>4949</v>
      </c>
      <c r="G2095" s="3564">
        <v>130.53</v>
      </c>
      <c r="H2095" s="3564">
        <v>113.15</v>
      </c>
      <c r="I2095" s="3564">
        <v>17.38</v>
      </c>
      <c r="J2095" s="3565">
        <v>1981109</v>
      </c>
      <c r="K2095" s="3565">
        <v>15177.42</v>
      </c>
      <c r="L2095" s="3565">
        <v>17508.7</v>
      </c>
      <c r="M2095" s="3565">
        <v>1802810</v>
      </c>
      <c r="N2095" s="3565">
        <v>13811.46</v>
      </c>
      <c r="O2095" s="3566">
        <v>44183</v>
      </c>
    </row>
    <row r="2096" spans="1:15">
      <c r="A2096" s="3563" t="s">
        <v>6311</v>
      </c>
      <c r="B2096" s="3563" t="s">
        <v>5277</v>
      </c>
      <c r="C2096" s="3563" t="s">
        <v>4197</v>
      </c>
      <c r="D2096" s="3563" t="s">
        <v>4796</v>
      </c>
      <c r="E2096" s="3563" t="s">
        <v>6294</v>
      </c>
      <c r="F2096" s="3563" t="s">
        <v>4949</v>
      </c>
      <c r="G2096" s="3564">
        <v>130.77000000000001</v>
      </c>
      <c r="H2096" s="3564">
        <v>113.36</v>
      </c>
      <c r="I2096" s="3564">
        <v>17.41</v>
      </c>
      <c r="J2096" s="3565">
        <v>1775449</v>
      </c>
      <c r="K2096" s="3565">
        <v>13576.88</v>
      </c>
      <c r="L2096" s="3565">
        <v>15662.04</v>
      </c>
      <c r="M2096" s="3565">
        <v>1685677</v>
      </c>
      <c r="N2096" s="3565">
        <v>12890.4</v>
      </c>
      <c r="O2096" s="3566">
        <v>44183</v>
      </c>
    </row>
    <row r="2097" spans="1:15">
      <c r="A2097" s="3563" t="s">
        <v>6312</v>
      </c>
      <c r="B2097" s="3563" t="s">
        <v>5277</v>
      </c>
      <c r="C2097" s="3563" t="s">
        <v>4197</v>
      </c>
      <c r="D2097" s="3563" t="s">
        <v>4796</v>
      </c>
      <c r="E2097" s="3563" t="s">
        <v>6294</v>
      </c>
      <c r="F2097" s="3563" t="s">
        <v>4949</v>
      </c>
      <c r="G2097" s="3564">
        <v>130.77000000000001</v>
      </c>
      <c r="H2097" s="3564">
        <v>113.36</v>
      </c>
      <c r="I2097" s="3564">
        <v>17.41</v>
      </c>
      <c r="J2097" s="3565">
        <v>1631306</v>
      </c>
      <c r="K2097" s="3565">
        <v>12474.62</v>
      </c>
      <c r="L2097" s="3565">
        <v>14390.49</v>
      </c>
      <c r="M2097" s="3565">
        <v>1565054</v>
      </c>
      <c r="N2097" s="3565">
        <v>11967.99</v>
      </c>
      <c r="O2097" s="3566">
        <v>44183</v>
      </c>
    </row>
    <row r="2098" spans="1:15">
      <c r="A2098" s="3563" t="s">
        <v>6313</v>
      </c>
      <c r="B2098" s="3563" t="s">
        <v>5277</v>
      </c>
      <c r="C2098" s="3563" t="s">
        <v>4197</v>
      </c>
      <c r="D2098" s="3563" t="s">
        <v>4796</v>
      </c>
      <c r="E2098" s="3563" t="s">
        <v>6294</v>
      </c>
      <c r="F2098" s="3563" t="s">
        <v>4949</v>
      </c>
      <c r="G2098" s="3564">
        <v>130.53</v>
      </c>
      <c r="H2098" s="3564">
        <v>113.15</v>
      </c>
      <c r="I2098" s="3564">
        <v>17.38</v>
      </c>
      <c r="J2098" s="3565">
        <v>1821136</v>
      </c>
      <c r="K2098" s="3565">
        <v>13951.86</v>
      </c>
      <c r="L2098" s="3565">
        <v>16094.88</v>
      </c>
      <c r="M2098" s="3565">
        <v>1656234</v>
      </c>
      <c r="N2098" s="3565">
        <v>12688.53</v>
      </c>
      <c r="O2098" s="3566">
        <v>44183</v>
      </c>
    </row>
    <row r="2099" spans="1:15">
      <c r="A2099" s="3563" t="s">
        <v>6314</v>
      </c>
      <c r="B2099" s="3563" t="s">
        <v>5277</v>
      </c>
      <c r="C2099" s="3563" t="s">
        <v>4197</v>
      </c>
      <c r="D2099" s="3563" t="s">
        <v>4796</v>
      </c>
      <c r="E2099" s="3563" t="s">
        <v>6294</v>
      </c>
      <c r="F2099" s="3563" t="s">
        <v>4949</v>
      </c>
      <c r="G2099" s="3564">
        <v>106.2</v>
      </c>
      <c r="H2099" s="3564">
        <v>92.06</v>
      </c>
      <c r="I2099" s="3564">
        <v>14.14</v>
      </c>
      <c r="J2099" s="3565">
        <v>1551065</v>
      </c>
      <c r="K2099" s="3565">
        <v>14605.13</v>
      </c>
      <c r="L2099" s="3565">
        <v>16848.41</v>
      </c>
      <c r="M2099" s="3565">
        <v>1411470</v>
      </c>
      <c r="N2099" s="3565">
        <v>13290.68</v>
      </c>
      <c r="O2099" s="3566">
        <v>44185</v>
      </c>
    </row>
    <row r="2100" spans="1:15">
      <c r="A2100" s="3563" t="s">
        <v>6315</v>
      </c>
      <c r="B2100" s="3563" t="s">
        <v>4811</v>
      </c>
      <c r="C2100" s="3563" t="s">
        <v>4197</v>
      </c>
      <c r="D2100" s="3563" t="s">
        <v>4796</v>
      </c>
      <c r="E2100" s="3563" t="s">
        <v>6294</v>
      </c>
      <c r="F2100" s="3563" t="s">
        <v>4949</v>
      </c>
      <c r="G2100" s="3564">
        <v>106.53</v>
      </c>
      <c r="H2100" s="3564">
        <v>92.35</v>
      </c>
      <c r="I2100" s="3564">
        <v>14.18</v>
      </c>
      <c r="J2100" s="3565">
        <v>1503165</v>
      </c>
      <c r="K2100" s="3565">
        <v>14110.25</v>
      </c>
      <c r="L2100" s="3565">
        <v>16276.83</v>
      </c>
      <c r="M2100" s="3565">
        <v>1443039</v>
      </c>
      <c r="N2100" s="3565">
        <v>13545.85</v>
      </c>
      <c r="O2100" s="3566">
        <v>44184</v>
      </c>
    </row>
    <row r="2101" spans="1:15">
      <c r="A2101" s="3563" t="s">
        <v>6316</v>
      </c>
      <c r="B2101" s="3563" t="s">
        <v>4811</v>
      </c>
      <c r="C2101" s="3563" t="s">
        <v>4197</v>
      </c>
      <c r="D2101" s="3563" t="s">
        <v>4796</v>
      </c>
      <c r="E2101" s="3563" t="s">
        <v>6294</v>
      </c>
      <c r="F2101" s="3563" t="s">
        <v>4949</v>
      </c>
      <c r="G2101" s="3564">
        <v>106.53</v>
      </c>
      <c r="H2101" s="3564">
        <v>92.35</v>
      </c>
      <c r="I2101" s="3564">
        <v>14.18</v>
      </c>
      <c r="J2101" s="3565">
        <v>1446500</v>
      </c>
      <c r="K2101" s="3565">
        <v>13578.33</v>
      </c>
      <c r="L2101" s="3565">
        <v>15663.24</v>
      </c>
      <c r="M2101" s="3565">
        <v>1315315</v>
      </c>
      <c r="N2101" s="3565">
        <v>12346.9</v>
      </c>
      <c r="O2101" s="3566">
        <v>44191</v>
      </c>
    </row>
    <row r="2102" spans="1:15">
      <c r="A2102" s="3563" t="s">
        <v>6317</v>
      </c>
      <c r="B2102" s="3563" t="s">
        <v>4811</v>
      </c>
      <c r="C2102" s="3563" t="s">
        <v>4197</v>
      </c>
      <c r="D2102" s="3563" t="s">
        <v>4796</v>
      </c>
      <c r="E2102" s="3563" t="s">
        <v>6294</v>
      </c>
      <c r="F2102" s="3563" t="s">
        <v>4949</v>
      </c>
      <c r="G2102" s="3564">
        <v>106.2</v>
      </c>
      <c r="H2102" s="3564">
        <v>92.06</v>
      </c>
      <c r="I2102" s="3564">
        <v>14.14</v>
      </c>
      <c r="J2102" s="3565">
        <v>1494576</v>
      </c>
      <c r="K2102" s="3565">
        <v>14073.22</v>
      </c>
      <c r="L2102" s="3565">
        <v>16234.8</v>
      </c>
      <c r="M2102" s="3565">
        <v>1449739</v>
      </c>
      <c r="N2102" s="3565">
        <v>13651.03</v>
      </c>
      <c r="O2102" s="3566">
        <v>44189</v>
      </c>
    </row>
    <row r="2103" spans="1:15">
      <c r="A2103" s="3563" t="s">
        <v>6318</v>
      </c>
      <c r="B2103" s="3563" t="s">
        <v>4196</v>
      </c>
      <c r="C2103" s="3563" t="s">
        <v>4197</v>
      </c>
      <c r="D2103" s="3563" t="s">
        <v>4796</v>
      </c>
      <c r="E2103" s="3563" t="s">
        <v>6319</v>
      </c>
      <c r="F2103" s="3563" t="s">
        <v>4949</v>
      </c>
      <c r="G2103" s="3564">
        <v>130.53</v>
      </c>
      <c r="H2103" s="3564">
        <v>113.15</v>
      </c>
      <c r="I2103" s="3564">
        <v>17.38</v>
      </c>
      <c r="J2103" s="3565">
        <v>1817194</v>
      </c>
      <c r="K2103" s="3565">
        <v>13921.66</v>
      </c>
      <c r="L2103" s="3565">
        <v>16060.04</v>
      </c>
      <c r="M2103" s="3565">
        <v>0</v>
      </c>
      <c r="N2103" s="3565">
        <v>0</v>
      </c>
      <c r="O2103" s="3563" t="s">
        <v>3453</v>
      </c>
    </row>
    <row r="2104" spans="1:15">
      <c r="A2104" s="3563" t="s">
        <v>6320</v>
      </c>
      <c r="B2104" s="3563" t="s">
        <v>4196</v>
      </c>
      <c r="C2104" s="3563" t="s">
        <v>4197</v>
      </c>
      <c r="D2104" s="3563" t="s">
        <v>4796</v>
      </c>
      <c r="E2104" s="3563" t="s">
        <v>6319</v>
      </c>
      <c r="F2104" s="3563" t="s">
        <v>4949</v>
      </c>
      <c r="G2104" s="3564">
        <v>130.77000000000001</v>
      </c>
      <c r="H2104" s="3564">
        <v>113.36</v>
      </c>
      <c r="I2104" s="3564">
        <v>17.41</v>
      </c>
      <c r="J2104" s="3565">
        <v>1611933</v>
      </c>
      <c r="K2104" s="3565">
        <v>12326.47</v>
      </c>
      <c r="L2104" s="3565">
        <v>14219.59</v>
      </c>
      <c r="M2104" s="3565">
        <v>0</v>
      </c>
      <c r="N2104" s="3565">
        <v>0</v>
      </c>
      <c r="O2104" s="3563" t="s">
        <v>3453</v>
      </c>
    </row>
    <row r="2105" spans="1:15">
      <c r="A2105" s="3563" t="s">
        <v>6321</v>
      </c>
      <c r="B2105" s="3563" t="s">
        <v>4196</v>
      </c>
      <c r="C2105" s="3563" t="s">
        <v>4197</v>
      </c>
      <c r="D2105" s="3563" t="s">
        <v>4796</v>
      </c>
      <c r="E2105" s="3563" t="s">
        <v>6319</v>
      </c>
      <c r="F2105" s="3563" t="s">
        <v>4949</v>
      </c>
      <c r="G2105" s="3564">
        <v>130.77000000000001</v>
      </c>
      <c r="H2105" s="3564">
        <v>113.36</v>
      </c>
      <c r="I2105" s="3564">
        <v>17.41</v>
      </c>
      <c r="J2105" s="3565">
        <v>1724800</v>
      </c>
      <c r="K2105" s="3565">
        <v>13189.57</v>
      </c>
      <c r="L2105" s="3565">
        <v>15215.24</v>
      </c>
      <c r="M2105" s="3565">
        <v>0</v>
      </c>
      <c r="N2105" s="3565">
        <v>0</v>
      </c>
      <c r="O2105" s="3563" t="s">
        <v>3453</v>
      </c>
    </row>
    <row r="2106" spans="1:15">
      <c r="A2106" s="3563" t="s">
        <v>6322</v>
      </c>
      <c r="B2106" s="3563" t="s">
        <v>4811</v>
      </c>
      <c r="C2106" s="3563" t="s">
        <v>4197</v>
      </c>
      <c r="D2106" s="3563" t="s">
        <v>4796</v>
      </c>
      <c r="E2106" s="3563" t="s">
        <v>6319</v>
      </c>
      <c r="F2106" s="3563" t="s">
        <v>4949</v>
      </c>
      <c r="G2106" s="3564">
        <v>130.53</v>
      </c>
      <c r="H2106" s="3564">
        <v>113.15</v>
      </c>
      <c r="I2106" s="3564">
        <v>17.38</v>
      </c>
      <c r="J2106" s="3565">
        <v>1867987</v>
      </c>
      <c r="K2106" s="3565">
        <v>14310.79</v>
      </c>
      <c r="L2106" s="3565">
        <v>16508.939999999999</v>
      </c>
      <c r="M2106" s="3565">
        <v>1774588</v>
      </c>
      <c r="N2106" s="3565">
        <v>13595.25</v>
      </c>
      <c r="O2106" s="3566">
        <v>44191</v>
      </c>
    </row>
    <row r="2107" spans="1:15">
      <c r="A2107" s="3563" t="s">
        <v>6323</v>
      </c>
      <c r="B2107" s="3563" t="s">
        <v>4196</v>
      </c>
      <c r="C2107" s="3563" t="s">
        <v>4197</v>
      </c>
      <c r="D2107" s="3563" t="s">
        <v>4796</v>
      </c>
      <c r="E2107" s="3563" t="s">
        <v>6319</v>
      </c>
      <c r="F2107" s="3563" t="s">
        <v>4949</v>
      </c>
      <c r="G2107" s="3564">
        <v>106.2</v>
      </c>
      <c r="H2107" s="3564">
        <v>92.06</v>
      </c>
      <c r="I2107" s="3564">
        <v>14.14</v>
      </c>
      <c r="J2107" s="3565">
        <v>1551065</v>
      </c>
      <c r="K2107" s="3565">
        <v>14605.13</v>
      </c>
      <c r="L2107" s="3565">
        <v>16848.41</v>
      </c>
      <c r="M2107" s="3565">
        <v>0</v>
      </c>
      <c r="N2107" s="3565">
        <v>0</v>
      </c>
      <c r="O2107" s="3563" t="s">
        <v>3453</v>
      </c>
    </row>
    <row r="2108" spans="1:15">
      <c r="A2108" s="3563" t="s">
        <v>6324</v>
      </c>
      <c r="B2108" s="3563" t="s">
        <v>4196</v>
      </c>
      <c r="C2108" s="3563" t="s">
        <v>4197</v>
      </c>
      <c r="D2108" s="3563" t="s">
        <v>4796</v>
      </c>
      <c r="E2108" s="3563" t="s">
        <v>6319</v>
      </c>
      <c r="F2108" s="3563" t="s">
        <v>4949</v>
      </c>
      <c r="G2108" s="3564">
        <v>106.53</v>
      </c>
      <c r="H2108" s="3564">
        <v>92.35</v>
      </c>
      <c r="I2108" s="3564">
        <v>14.18</v>
      </c>
      <c r="J2108" s="3565">
        <v>1446500</v>
      </c>
      <c r="K2108" s="3565">
        <v>13578.33</v>
      </c>
      <c r="L2108" s="3565">
        <v>15663.24</v>
      </c>
      <c r="M2108" s="3565">
        <v>0</v>
      </c>
      <c r="N2108" s="3565">
        <v>0</v>
      </c>
      <c r="O2108" s="3563" t="s">
        <v>3453</v>
      </c>
    </row>
    <row r="2109" spans="1:15">
      <c r="A2109" s="3563" t="s">
        <v>6325</v>
      </c>
      <c r="B2109" s="3563" t="s">
        <v>4196</v>
      </c>
      <c r="C2109" s="3563" t="s">
        <v>4197</v>
      </c>
      <c r="D2109" s="3563" t="s">
        <v>4796</v>
      </c>
      <c r="E2109" s="3563" t="s">
        <v>6319</v>
      </c>
      <c r="F2109" s="3563" t="s">
        <v>4949</v>
      </c>
      <c r="G2109" s="3564">
        <v>106.53</v>
      </c>
      <c r="H2109" s="3564">
        <v>92.35</v>
      </c>
      <c r="I2109" s="3564">
        <v>14.18</v>
      </c>
      <c r="J2109" s="3565">
        <v>1503165</v>
      </c>
      <c r="K2109" s="3565">
        <v>14110.25</v>
      </c>
      <c r="L2109" s="3565">
        <v>16276.83</v>
      </c>
      <c r="M2109" s="3565">
        <v>0</v>
      </c>
      <c r="N2109" s="3565">
        <v>0</v>
      </c>
      <c r="O2109" s="3563" t="s">
        <v>3453</v>
      </c>
    </row>
    <row r="2110" spans="1:15">
      <c r="A2110" s="3563" t="s">
        <v>6326</v>
      </c>
      <c r="B2110" s="3563" t="s">
        <v>4811</v>
      </c>
      <c r="C2110" s="3563" t="s">
        <v>4197</v>
      </c>
      <c r="D2110" s="3563" t="s">
        <v>4796</v>
      </c>
      <c r="E2110" s="3563" t="s">
        <v>6319</v>
      </c>
      <c r="F2110" s="3563" t="s">
        <v>4949</v>
      </c>
      <c r="G2110" s="3564">
        <v>106.2</v>
      </c>
      <c r="H2110" s="3564">
        <v>92.06</v>
      </c>
      <c r="I2110" s="3564">
        <v>14.14</v>
      </c>
      <c r="J2110" s="3565">
        <v>1607555</v>
      </c>
      <c r="K2110" s="3565">
        <v>15137.05</v>
      </c>
      <c r="L2110" s="3565">
        <v>17462.04</v>
      </c>
      <c r="M2110" s="3565">
        <v>1527178</v>
      </c>
      <c r="N2110" s="3565">
        <v>14380.21</v>
      </c>
      <c r="O2110" s="3566">
        <v>44191</v>
      </c>
    </row>
    <row r="2111" spans="1:15">
      <c r="A2111" s="3563" t="s">
        <v>6327</v>
      </c>
      <c r="B2111" s="3563" t="s">
        <v>4811</v>
      </c>
      <c r="C2111" s="3563" t="s">
        <v>4197</v>
      </c>
      <c r="D2111" s="3563" t="s">
        <v>4796</v>
      </c>
      <c r="E2111" s="3563" t="s">
        <v>6319</v>
      </c>
      <c r="F2111" s="3563" t="s">
        <v>4949</v>
      </c>
      <c r="G2111" s="3564">
        <v>130.53</v>
      </c>
      <c r="H2111" s="3564">
        <v>113.15</v>
      </c>
      <c r="I2111" s="3564">
        <v>17.38</v>
      </c>
      <c r="J2111" s="3565">
        <v>1822843</v>
      </c>
      <c r="K2111" s="3565">
        <v>13964.94</v>
      </c>
      <c r="L2111" s="3565">
        <v>16109.97</v>
      </c>
      <c r="M2111" s="3565">
        <v>1731701</v>
      </c>
      <c r="N2111" s="3565">
        <v>13266.69</v>
      </c>
      <c r="O2111" s="3566">
        <v>44191</v>
      </c>
    </row>
    <row r="2112" spans="1:15">
      <c r="A2112" s="3563" t="s">
        <v>6328</v>
      </c>
      <c r="B2112" s="3563" t="s">
        <v>4196</v>
      </c>
      <c r="C2112" s="3563" t="s">
        <v>4197</v>
      </c>
      <c r="D2112" s="3563" t="s">
        <v>4796</v>
      </c>
      <c r="E2112" s="3563" t="s">
        <v>6319</v>
      </c>
      <c r="F2112" s="3563" t="s">
        <v>4949</v>
      </c>
      <c r="G2112" s="3564">
        <v>130.77000000000001</v>
      </c>
      <c r="H2112" s="3564">
        <v>113.36</v>
      </c>
      <c r="I2112" s="3564">
        <v>17.41</v>
      </c>
      <c r="J2112" s="3565">
        <v>1610785</v>
      </c>
      <c r="K2112" s="3565">
        <v>12317.7</v>
      </c>
      <c r="L2112" s="3565">
        <v>14209.47</v>
      </c>
      <c r="M2112" s="3565">
        <v>0</v>
      </c>
      <c r="N2112" s="3565">
        <v>0</v>
      </c>
      <c r="O2112" s="3563" t="s">
        <v>3453</v>
      </c>
    </row>
    <row r="2113" spans="1:15">
      <c r="A2113" s="3563" t="s">
        <v>6329</v>
      </c>
      <c r="B2113" s="3563" t="s">
        <v>4196</v>
      </c>
      <c r="C2113" s="3563" t="s">
        <v>4197</v>
      </c>
      <c r="D2113" s="3563" t="s">
        <v>4796</v>
      </c>
      <c r="E2113" s="3563" t="s">
        <v>6319</v>
      </c>
      <c r="F2113" s="3563" t="s">
        <v>4949</v>
      </c>
      <c r="G2113" s="3564">
        <v>130.77000000000001</v>
      </c>
      <c r="H2113" s="3564">
        <v>113.36</v>
      </c>
      <c r="I2113" s="3564">
        <v>17.41</v>
      </c>
      <c r="J2113" s="3565">
        <v>1601912</v>
      </c>
      <c r="K2113" s="3565">
        <v>12249.84</v>
      </c>
      <c r="L2113" s="3565">
        <v>14131.19</v>
      </c>
      <c r="M2113" s="3565">
        <v>0</v>
      </c>
      <c r="N2113" s="3565">
        <v>0</v>
      </c>
      <c r="O2113" s="3563" t="s">
        <v>3453</v>
      </c>
    </row>
    <row r="2114" spans="1:15">
      <c r="A2114" s="3563" t="s">
        <v>6330</v>
      </c>
      <c r="B2114" s="3563" t="s">
        <v>3453</v>
      </c>
      <c r="C2114" s="3563" t="s">
        <v>4197</v>
      </c>
      <c r="D2114" s="3563" t="s">
        <v>4796</v>
      </c>
      <c r="E2114" s="3563" t="s">
        <v>6319</v>
      </c>
      <c r="F2114" s="3563" t="s">
        <v>4949</v>
      </c>
      <c r="G2114" s="3564">
        <v>130.53</v>
      </c>
      <c r="H2114" s="3564">
        <v>113.15</v>
      </c>
      <c r="I2114" s="3564">
        <v>17.38</v>
      </c>
      <c r="J2114" s="3565">
        <v>1817418</v>
      </c>
      <c r="K2114" s="3565">
        <v>13923.37</v>
      </c>
      <c r="L2114" s="3565">
        <v>16062.02</v>
      </c>
      <c r="M2114" s="3565">
        <v>0</v>
      </c>
      <c r="N2114" s="3565">
        <v>0</v>
      </c>
      <c r="O2114" s="3563" t="s">
        <v>3453</v>
      </c>
    </row>
    <row r="2115" spans="1:15">
      <c r="A2115" s="3563" t="s">
        <v>6331</v>
      </c>
      <c r="B2115" s="3563" t="s">
        <v>4196</v>
      </c>
      <c r="C2115" s="3563" t="s">
        <v>4197</v>
      </c>
      <c r="D2115" s="3563" t="s">
        <v>4796</v>
      </c>
      <c r="E2115" s="3563" t="s">
        <v>6319</v>
      </c>
      <c r="F2115" s="3563" t="s">
        <v>4949</v>
      </c>
      <c r="G2115" s="3564">
        <v>106.2</v>
      </c>
      <c r="H2115" s="3564">
        <v>92.06</v>
      </c>
      <c r="I2115" s="3564">
        <v>14.14</v>
      </c>
      <c r="J2115" s="3565">
        <v>1551065</v>
      </c>
      <c r="K2115" s="3565">
        <v>14605.13</v>
      </c>
      <c r="L2115" s="3565">
        <v>16848.41</v>
      </c>
      <c r="M2115" s="3565">
        <v>0</v>
      </c>
      <c r="N2115" s="3565">
        <v>0</v>
      </c>
      <c r="O2115" s="3563" t="s">
        <v>3453</v>
      </c>
    </row>
    <row r="2116" spans="1:15">
      <c r="A2116" s="3563" t="s">
        <v>6332</v>
      </c>
      <c r="B2116" s="3563" t="s">
        <v>4196</v>
      </c>
      <c r="C2116" s="3563" t="s">
        <v>4197</v>
      </c>
      <c r="D2116" s="3563" t="s">
        <v>4796</v>
      </c>
      <c r="E2116" s="3563" t="s">
        <v>6319</v>
      </c>
      <c r="F2116" s="3563" t="s">
        <v>4949</v>
      </c>
      <c r="G2116" s="3564">
        <v>106.53</v>
      </c>
      <c r="H2116" s="3564">
        <v>92.35</v>
      </c>
      <c r="I2116" s="3564">
        <v>14.18</v>
      </c>
      <c r="J2116" s="3565">
        <v>1446500</v>
      </c>
      <c r="K2116" s="3565">
        <v>13578.33</v>
      </c>
      <c r="L2116" s="3565">
        <v>15663.24</v>
      </c>
      <c r="M2116" s="3565">
        <v>0</v>
      </c>
      <c r="N2116" s="3565">
        <v>0</v>
      </c>
      <c r="O2116" s="3563" t="s">
        <v>3453</v>
      </c>
    </row>
    <row r="2117" spans="1:15">
      <c r="A2117" s="3563" t="s">
        <v>6333</v>
      </c>
      <c r="B2117" s="3563" t="s">
        <v>4196</v>
      </c>
      <c r="C2117" s="3563" t="s">
        <v>4197</v>
      </c>
      <c r="D2117" s="3563" t="s">
        <v>4796</v>
      </c>
      <c r="E2117" s="3563" t="s">
        <v>6319</v>
      </c>
      <c r="F2117" s="3563" t="s">
        <v>4949</v>
      </c>
      <c r="G2117" s="3564">
        <v>106.53</v>
      </c>
      <c r="H2117" s="3564">
        <v>92.35</v>
      </c>
      <c r="I2117" s="3564">
        <v>14.18</v>
      </c>
      <c r="J2117" s="3565">
        <v>1446500</v>
      </c>
      <c r="K2117" s="3565">
        <v>13578.33</v>
      </c>
      <c r="L2117" s="3565">
        <v>15663.24</v>
      </c>
      <c r="M2117" s="3565">
        <v>0</v>
      </c>
      <c r="N2117" s="3565">
        <v>0</v>
      </c>
      <c r="O2117" s="3563" t="s">
        <v>3453</v>
      </c>
    </row>
    <row r="2118" spans="1:15">
      <c r="A2118" s="3563" t="s">
        <v>6334</v>
      </c>
      <c r="B2118" s="3563" t="s">
        <v>4196</v>
      </c>
      <c r="C2118" s="3563" t="s">
        <v>4197</v>
      </c>
      <c r="D2118" s="3563" t="s">
        <v>4796</v>
      </c>
      <c r="E2118" s="3563" t="s">
        <v>6319</v>
      </c>
      <c r="F2118" s="3563" t="s">
        <v>4949</v>
      </c>
      <c r="G2118" s="3564">
        <v>106.2</v>
      </c>
      <c r="H2118" s="3564">
        <v>92.06</v>
      </c>
      <c r="I2118" s="3564">
        <v>14.14</v>
      </c>
      <c r="J2118" s="3565">
        <v>1551065</v>
      </c>
      <c r="K2118" s="3565">
        <v>14605.13</v>
      </c>
      <c r="L2118" s="3565">
        <v>16848.41</v>
      </c>
      <c r="M2118" s="3565">
        <v>0</v>
      </c>
      <c r="N2118" s="3565">
        <v>0</v>
      </c>
      <c r="O2118" s="3563" t="s">
        <v>3453</v>
      </c>
    </row>
    <row r="2119" spans="1:15">
      <c r="A2119" s="3563" t="s">
        <v>6335</v>
      </c>
      <c r="B2119" s="3563" t="s">
        <v>4811</v>
      </c>
      <c r="C2119" s="3563" t="s">
        <v>4197</v>
      </c>
      <c r="D2119" s="3563" t="s">
        <v>4796</v>
      </c>
      <c r="E2119" s="3563" t="s">
        <v>6319</v>
      </c>
      <c r="F2119" s="3563" t="s">
        <v>4949</v>
      </c>
      <c r="G2119" s="3564">
        <v>130.53</v>
      </c>
      <c r="H2119" s="3564">
        <v>113.15</v>
      </c>
      <c r="I2119" s="3564">
        <v>17.38</v>
      </c>
      <c r="J2119" s="3565">
        <v>1864763</v>
      </c>
      <c r="K2119" s="3565">
        <v>14286.09</v>
      </c>
      <c r="L2119" s="3565">
        <v>16480.45</v>
      </c>
      <c r="M2119" s="3565">
        <v>1771525</v>
      </c>
      <c r="N2119" s="3565">
        <v>13571.78</v>
      </c>
      <c r="O2119" s="3566">
        <v>44191</v>
      </c>
    </row>
    <row r="2120" spans="1:15">
      <c r="A2120" s="3563" t="s">
        <v>6336</v>
      </c>
      <c r="B2120" s="3563" t="s">
        <v>4196</v>
      </c>
      <c r="C2120" s="3563" t="s">
        <v>4197</v>
      </c>
      <c r="D2120" s="3563" t="s">
        <v>4796</v>
      </c>
      <c r="E2120" s="3563" t="s">
        <v>6319</v>
      </c>
      <c r="F2120" s="3563" t="s">
        <v>4949</v>
      </c>
      <c r="G2120" s="3564">
        <v>130.77000000000001</v>
      </c>
      <c r="H2120" s="3564">
        <v>113.36</v>
      </c>
      <c r="I2120" s="3564">
        <v>17.41</v>
      </c>
      <c r="J2120" s="3565">
        <v>1683503</v>
      </c>
      <c r="K2120" s="3565">
        <v>12873.77</v>
      </c>
      <c r="L2120" s="3565">
        <v>14850.94</v>
      </c>
      <c r="M2120" s="3565">
        <v>0</v>
      </c>
      <c r="N2120" s="3565">
        <v>0</v>
      </c>
      <c r="O2120" s="3563" t="s">
        <v>3453</v>
      </c>
    </row>
    <row r="2121" spans="1:15">
      <c r="A2121" s="3563" t="s">
        <v>6337</v>
      </c>
      <c r="B2121" s="3563" t="s">
        <v>4196</v>
      </c>
      <c r="C2121" s="3563" t="s">
        <v>4197</v>
      </c>
      <c r="D2121" s="3563" t="s">
        <v>4796</v>
      </c>
      <c r="E2121" s="3563" t="s">
        <v>6319</v>
      </c>
      <c r="F2121" s="3563" t="s">
        <v>4949</v>
      </c>
      <c r="G2121" s="3564">
        <v>130.77000000000001</v>
      </c>
      <c r="H2121" s="3564">
        <v>113.36</v>
      </c>
      <c r="I2121" s="3564">
        <v>17.41</v>
      </c>
      <c r="J2121" s="3565">
        <v>1608838</v>
      </c>
      <c r="K2121" s="3565">
        <v>12302.81</v>
      </c>
      <c r="L2121" s="3565">
        <v>14192.29</v>
      </c>
      <c r="M2121" s="3565">
        <v>0</v>
      </c>
      <c r="N2121" s="3565">
        <v>0</v>
      </c>
      <c r="O2121" s="3563" t="s">
        <v>3453</v>
      </c>
    </row>
    <row r="2122" spans="1:15">
      <c r="A2122" s="3563" t="s">
        <v>6338</v>
      </c>
      <c r="B2122" s="3563" t="s">
        <v>4196</v>
      </c>
      <c r="C2122" s="3563" t="s">
        <v>4197</v>
      </c>
      <c r="D2122" s="3563" t="s">
        <v>4796</v>
      </c>
      <c r="E2122" s="3563" t="s">
        <v>6319</v>
      </c>
      <c r="F2122" s="3563" t="s">
        <v>4949</v>
      </c>
      <c r="G2122" s="3564">
        <v>130.53</v>
      </c>
      <c r="H2122" s="3564">
        <v>113.15</v>
      </c>
      <c r="I2122" s="3564">
        <v>17.38</v>
      </c>
      <c r="J2122" s="3565">
        <v>1817418</v>
      </c>
      <c r="K2122" s="3565">
        <v>13923.37</v>
      </c>
      <c r="L2122" s="3565">
        <v>16062.02</v>
      </c>
      <c r="M2122" s="3565">
        <v>0</v>
      </c>
      <c r="N2122" s="3565">
        <v>0</v>
      </c>
      <c r="O2122" s="3563" t="s">
        <v>3453</v>
      </c>
    </row>
    <row r="2123" spans="1:15">
      <c r="A2123" s="3563" t="s">
        <v>6339</v>
      </c>
      <c r="B2123" s="3563" t="s">
        <v>4196</v>
      </c>
      <c r="C2123" s="3563" t="s">
        <v>4197</v>
      </c>
      <c r="D2123" s="3563" t="s">
        <v>4796</v>
      </c>
      <c r="E2123" s="3563" t="s">
        <v>6319</v>
      </c>
      <c r="F2123" s="3563" t="s">
        <v>4949</v>
      </c>
      <c r="G2123" s="3564">
        <v>106.2</v>
      </c>
      <c r="H2123" s="3564">
        <v>92.06</v>
      </c>
      <c r="I2123" s="3564">
        <v>14.14</v>
      </c>
      <c r="J2123" s="3565">
        <v>1607555</v>
      </c>
      <c r="K2123" s="3565">
        <v>15137.05</v>
      </c>
      <c r="L2123" s="3565">
        <v>17462.04</v>
      </c>
      <c r="M2123" s="3565">
        <v>0</v>
      </c>
      <c r="N2123" s="3565">
        <v>0</v>
      </c>
      <c r="O2123" s="3563" t="s">
        <v>3453</v>
      </c>
    </row>
    <row r="2124" spans="1:15">
      <c r="A2124" s="3563" t="s">
        <v>6340</v>
      </c>
      <c r="B2124" s="3563" t="s">
        <v>4196</v>
      </c>
      <c r="C2124" s="3563" t="s">
        <v>4197</v>
      </c>
      <c r="D2124" s="3563" t="s">
        <v>4796</v>
      </c>
      <c r="E2124" s="3563" t="s">
        <v>6319</v>
      </c>
      <c r="F2124" s="3563" t="s">
        <v>4949</v>
      </c>
      <c r="G2124" s="3564">
        <v>106.53</v>
      </c>
      <c r="H2124" s="3564">
        <v>92.35</v>
      </c>
      <c r="I2124" s="3564">
        <v>14.18</v>
      </c>
      <c r="J2124" s="3565">
        <v>1503165</v>
      </c>
      <c r="K2124" s="3565">
        <v>14110.25</v>
      </c>
      <c r="L2124" s="3565">
        <v>16276.83</v>
      </c>
      <c r="M2124" s="3565">
        <v>0</v>
      </c>
      <c r="N2124" s="3565">
        <v>0</v>
      </c>
      <c r="O2124" s="3563" t="s">
        <v>3453</v>
      </c>
    </row>
    <row r="2125" spans="1:15">
      <c r="A2125" s="3563" t="s">
        <v>6341</v>
      </c>
      <c r="B2125" s="3563" t="s">
        <v>4196</v>
      </c>
      <c r="C2125" s="3563" t="s">
        <v>4197</v>
      </c>
      <c r="D2125" s="3563" t="s">
        <v>4796</v>
      </c>
      <c r="E2125" s="3563" t="s">
        <v>6319</v>
      </c>
      <c r="F2125" s="3563" t="s">
        <v>4949</v>
      </c>
      <c r="G2125" s="3564">
        <v>106.53</v>
      </c>
      <c r="H2125" s="3564">
        <v>92.35</v>
      </c>
      <c r="I2125" s="3564">
        <v>14.18</v>
      </c>
      <c r="J2125" s="3565">
        <v>1446500</v>
      </c>
      <c r="K2125" s="3565">
        <v>13578.33</v>
      </c>
      <c r="L2125" s="3565">
        <v>15663.24</v>
      </c>
      <c r="M2125" s="3565">
        <v>0</v>
      </c>
      <c r="N2125" s="3565">
        <v>0</v>
      </c>
      <c r="O2125" s="3563" t="s">
        <v>3453</v>
      </c>
    </row>
    <row r="2126" spans="1:15">
      <c r="A2126" s="3563" t="s">
        <v>6342</v>
      </c>
      <c r="B2126" s="3563" t="s">
        <v>3453</v>
      </c>
      <c r="C2126" s="3563" t="s">
        <v>4197</v>
      </c>
      <c r="D2126" s="3563" t="s">
        <v>4796</v>
      </c>
      <c r="E2126" s="3563" t="s">
        <v>6319</v>
      </c>
      <c r="F2126" s="3563" t="s">
        <v>4949</v>
      </c>
      <c r="G2126" s="3564">
        <v>106.2</v>
      </c>
      <c r="H2126" s="3564">
        <v>92.06</v>
      </c>
      <c r="I2126" s="3564">
        <v>14.14</v>
      </c>
      <c r="J2126" s="3565">
        <v>1551065</v>
      </c>
      <c r="K2126" s="3565">
        <v>14605.13</v>
      </c>
      <c r="L2126" s="3565">
        <v>16848.41</v>
      </c>
      <c r="M2126" s="3565">
        <v>0</v>
      </c>
      <c r="N2126" s="3565">
        <v>0</v>
      </c>
      <c r="O2126" s="3563" t="s">
        <v>3453</v>
      </c>
    </row>
    <row r="2127" spans="1:15">
      <c r="A2127" s="3563" t="s">
        <v>6343</v>
      </c>
      <c r="B2127" s="3563" t="s">
        <v>3453</v>
      </c>
      <c r="C2127" s="3563" t="s">
        <v>4197</v>
      </c>
      <c r="D2127" s="3563" t="s">
        <v>4796</v>
      </c>
      <c r="E2127" s="3563" t="s">
        <v>6344</v>
      </c>
      <c r="F2127" s="3563" t="s">
        <v>4949</v>
      </c>
      <c r="G2127" s="3564">
        <v>130.53</v>
      </c>
      <c r="H2127" s="3564">
        <v>113.15</v>
      </c>
      <c r="I2127" s="3564">
        <v>17.38</v>
      </c>
      <c r="J2127" s="3565">
        <v>1868449</v>
      </c>
      <c r="K2127" s="3565">
        <v>14314.33</v>
      </c>
      <c r="L2127" s="3565">
        <v>16513.03</v>
      </c>
      <c r="M2127" s="3565">
        <v>0</v>
      </c>
      <c r="N2127" s="3565">
        <v>0</v>
      </c>
      <c r="O2127" s="3563" t="s">
        <v>3453</v>
      </c>
    </row>
    <row r="2128" spans="1:15">
      <c r="A2128" s="3563" t="s">
        <v>6345</v>
      </c>
      <c r="B2128" s="3563" t="s">
        <v>4196</v>
      </c>
      <c r="C2128" s="3563" t="s">
        <v>4197</v>
      </c>
      <c r="D2128" s="3563" t="s">
        <v>4796</v>
      </c>
      <c r="E2128" s="3563" t="s">
        <v>6344</v>
      </c>
      <c r="F2128" s="3563" t="s">
        <v>4949</v>
      </c>
      <c r="G2128" s="3564">
        <v>130.77000000000001</v>
      </c>
      <c r="H2128" s="3564">
        <v>113.36</v>
      </c>
      <c r="I2128" s="3564">
        <v>17.41</v>
      </c>
      <c r="J2128" s="3565">
        <v>1612380</v>
      </c>
      <c r="K2128" s="3565">
        <v>12329.89</v>
      </c>
      <c r="L2128" s="3565">
        <v>14223.54</v>
      </c>
      <c r="M2128" s="3565">
        <v>0</v>
      </c>
      <c r="N2128" s="3565">
        <v>0</v>
      </c>
      <c r="O2128" s="3563" t="s">
        <v>3453</v>
      </c>
    </row>
    <row r="2129" spans="1:15">
      <c r="A2129" s="3563" t="s">
        <v>6346</v>
      </c>
      <c r="B2129" s="3563" t="s">
        <v>4196</v>
      </c>
      <c r="C2129" s="3563" t="s">
        <v>4197</v>
      </c>
      <c r="D2129" s="3563" t="s">
        <v>4796</v>
      </c>
      <c r="E2129" s="3563" t="s">
        <v>6344</v>
      </c>
      <c r="F2129" s="3563" t="s">
        <v>4949</v>
      </c>
      <c r="G2129" s="3564">
        <v>130.77000000000001</v>
      </c>
      <c r="H2129" s="3564">
        <v>113.36</v>
      </c>
      <c r="I2129" s="3564">
        <v>17.41</v>
      </c>
      <c r="J2129" s="3565">
        <v>1724864</v>
      </c>
      <c r="K2129" s="3565">
        <v>13190.06</v>
      </c>
      <c r="L2129" s="3565">
        <v>15215.81</v>
      </c>
      <c r="M2129" s="3565">
        <v>0</v>
      </c>
      <c r="N2129" s="3565">
        <v>0</v>
      </c>
      <c r="O2129" s="3563" t="s">
        <v>3453</v>
      </c>
    </row>
    <row r="2130" spans="1:15">
      <c r="A2130" s="3563" t="s">
        <v>6347</v>
      </c>
      <c r="B2130" s="3563" t="s">
        <v>4811</v>
      </c>
      <c r="C2130" s="3563" t="s">
        <v>4197</v>
      </c>
      <c r="D2130" s="3563" t="s">
        <v>4796</v>
      </c>
      <c r="E2130" s="3563" t="s">
        <v>6344</v>
      </c>
      <c r="F2130" s="3563" t="s">
        <v>4949</v>
      </c>
      <c r="G2130" s="3564">
        <v>130.53</v>
      </c>
      <c r="H2130" s="3564">
        <v>113.15</v>
      </c>
      <c r="I2130" s="3564">
        <v>17.38</v>
      </c>
      <c r="J2130" s="3565">
        <v>1965806</v>
      </c>
      <c r="K2130" s="3565">
        <v>15060.19</v>
      </c>
      <c r="L2130" s="3565">
        <v>17373.45</v>
      </c>
      <c r="M2130" s="3565">
        <v>1867516</v>
      </c>
      <c r="N2130" s="3565">
        <v>14307.18</v>
      </c>
      <c r="O2130" s="3566">
        <v>44191</v>
      </c>
    </row>
    <row r="2131" spans="1:15">
      <c r="A2131" s="3563" t="s">
        <v>6348</v>
      </c>
      <c r="B2131" s="3563" t="s">
        <v>3453</v>
      </c>
      <c r="C2131" s="3563" t="s">
        <v>4197</v>
      </c>
      <c r="D2131" s="3563" t="s">
        <v>4796</v>
      </c>
      <c r="E2131" s="3563" t="s">
        <v>6344</v>
      </c>
      <c r="F2131" s="3563" t="s">
        <v>4949</v>
      </c>
      <c r="G2131" s="3564">
        <v>106.2</v>
      </c>
      <c r="H2131" s="3564">
        <v>92.06</v>
      </c>
      <c r="I2131" s="3564">
        <v>14.14</v>
      </c>
      <c r="J2131" s="3565">
        <v>1551065</v>
      </c>
      <c r="K2131" s="3565">
        <v>14605.13</v>
      </c>
      <c r="L2131" s="3565">
        <v>16848.41</v>
      </c>
      <c r="M2131" s="3565">
        <v>0</v>
      </c>
      <c r="N2131" s="3565">
        <v>0</v>
      </c>
      <c r="O2131" s="3563" t="s">
        <v>3453</v>
      </c>
    </row>
    <row r="2132" spans="1:15">
      <c r="A2132" s="3563" t="s">
        <v>6349</v>
      </c>
      <c r="B2132" s="3563" t="s">
        <v>4196</v>
      </c>
      <c r="C2132" s="3563" t="s">
        <v>4197</v>
      </c>
      <c r="D2132" s="3563" t="s">
        <v>4796</v>
      </c>
      <c r="E2132" s="3563" t="s">
        <v>6344</v>
      </c>
      <c r="F2132" s="3563" t="s">
        <v>4949</v>
      </c>
      <c r="G2132" s="3564">
        <v>106.53</v>
      </c>
      <c r="H2132" s="3564">
        <v>92.35</v>
      </c>
      <c r="I2132" s="3564">
        <v>14.18</v>
      </c>
      <c r="J2132" s="3565">
        <v>1446500</v>
      </c>
      <c r="K2132" s="3565">
        <v>13578.33</v>
      </c>
      <c r="L2132" s="3565">
        <v>15663.24</v>
      </c>
      <c r="M2132" s="3565">
        <v>0</v>
      </c>
      <c r="N2132" s="3565">
        <v>0</v>
      </c>
      <c r="O2132" s="3563" t="s">
        <v>3453</v>
      </c>
    </row>
    <row r="2133" spans="1:15">
      <c r="A2133" s="3563" t="s">
        <v>6350</v>
      </c>
      <c r="B2133" s="3563" t="s">
        <v>4196</v>
      </c>
      <c r="C2133" s="3563" t="s">
        <v>4197</v>
      </c>
      <c r="D2133" s="3563" t="s">
        <v>4796</v>
      </c>
      <c r="E2133" s="3563" t="s">
        <v>6344</v>
      </c>
      <c r="F2133" s="3563" t="s">
        <v>4949</v>
      </c>
      <c r="G2133" s="3564">
        <v>106.53</v>
      </c>
      <c r="H2133" s="3564">
        <v>92.35</v>
      </c>
      <c r="I2133" s="3564">
        <v>14.18</v>
      </c>
      <c r="J2133" s="3565">
        <v>1503165</v>
      </c>
      <c r="K2133" s="3565">
        <v>14110.25</v>
      </c>
      <c r="L2133" s="3565">
        <v>16276.83</v>
      </c>
      <c r="M2133" s="3565">
        <v>0</v>
      </c>
      <c r="N2133" s="3565">
        <v>0</v>
      </c>
      <c r="O2133" s="3563" t="s">
        <v>3453</v>
      </c>
    </row>
    <row r="2134" spans="1:15">
      <c r="A2134" s="3563" t="s">
        <v>6351</v>
      </c>
      <c r="B2134" s="3563" t="s">
        <v>4811</v>
      </c>
      <c r="C2134" s="3563" t="s">
        <v>4197</v>
      </c>
      <c r="D2134" s="3563" t="s">
        <v>4796</v>
      </c>
      <c r="E2134" s="3563" t="s">
        <v>6344</v>
      </c>
      <c r="F2134" s="3563" t="s">
        <v>4949</v>
      </c>
      <c r="G2134" s="3564">
        <v>106.2</v>
      </c>
      <c r="H2134" s="3564">
        <v>92.06</v>
      </c>
      <c r="I2134" s="3564">
        <v>14.14</v>
      </c>
      <c r="J2134" s="3565">
        <v>1607555</v>
      </c>
      <c r="K2134" s="3565">
        <v>15137.05</v>
      </c>
      <c r="L2134" s="3565">
        <v>17462.04</v>
      </c>
      <c r="M2134" s="3565">
        <v>1527178</v>
      </c>
      <c r="N2134" s="3565">
        <v>14380.21</v>
      </c>
      <c r="O2134" s="3566">
        <v>44192</v>
      </c>
    </row>
    <row r="2135" spans="1:15">
      <c r="A2135" s="3563" t="s">
        <v>6352</v>
      </c>
      <c r="B2135" s="3563" t="s">
        <v>4196</v>
      </c>
      <c r="C2135" s="3563" t="s">
        <v>4197</v>
      </c>
      <c r="D2135" s="3563" t="s">
        <v>4796</v>
      </c>
      <c r="E2135" s="3563" t="s">
        <v>6344</v>
      </c>
      <c r="F2135" s="3563" t="s">
        <v>4949</v>
      </c>
      <c r="G2135" s="3564">
        <v>130.53</v>
      </c>
      <c r="H2135" s="3564">
        <v>113.15</v>
      </c>
      <c r="I2135" s="3564">
        <v>17.38</v>
      </c>
      <c r="J2135" s="3565">
        <v>1874705</v>
      </c>
      <c r="K2135" s="3565">
        <v>14362.25</v>
      </c>
      <c r="L2135" s="3565">
        <v>16568.32</v>
      </c>
      <c r="M2135" s="3565">
        <v>0</v>
      </c>
      <c r="N2135" s="3565">
        <v>0</v>
      </c>
      <c r="O2135" s="3563" t="s">
        <v>3453</v>
      </c>
    </row>
    <row r="2136" spans="1:15">
      <c r="A2136" s="3563" t="s">
        <v>6353</v>
      </c>
      <c r="B2136" s="3563" t="s">
        <v>4196</v>
      </c>
      <c r="C2136" s="3563" t="s">
        <v>4197</v>
      </c>
      <c r="D2136" s="3563" t="s">
        <v>4796</v>
      </c>
      <c r="E2136" s="3563" t="s">
        <v>6344</v>
      </c>
      <c r="F2136" s="3563" t="s">
        <v>4949</v>
      </c>
      <c r="G2136" s="3564">
        <v>130.77000000000001</v>
      </c>
      <c r="H2136" s="3564">
        <v>113.36</v>
      </c>
      <c r="I2136" s="3564">
        <v>17.41</v>
      </c>
      <c r="J2136" s="3565">
        <v>1610370</v>
      </c>
      <c r="K2136" s="3565">
        <v>12314.52</v>
      </c>
      <c r="L2136" s="3565">
        <v>14205.8</v>
      </c>
      <c r="M2136" s="3565">
        <v>0</v>
      </c>
      <c r="N2136" s="3565">
        <v>0</v>
      </c>
      <c r="O2136" s="3563" t="s">
        <v>3453</v>
      </c>
    </row>
    <row r="2137" spans="1:15">
      <c r="A2137" s="3563" t="s">
        <v>6354</v>
      </c>
      <c r="B2137" s="3563" t="s">
        <v>4196</v>
      </c>
      <c r="C2137" s="3563" t="s">
        <v>4197</v>
      </c>
      <c r="D2137" s="3563" t="s">
        <v>4796</v>
      </c>
      <c r="E2137" s="3563" t="s">
        <v>6344</v>
      </c>
      <c r="F2137" s="3563" t="s">
        <v>4949</v>
      </c>
      <c r="G2137" s="3564">
        <v>130.77000000000001</v>
      </c>
      <c r="H2137" s="3564">
        <v>113.36</v>
      </c>
      <c r="I2137" s="3564">
        <v>17.41</v>
      </c>
      <c r="J2137" s="3565">
        <v>1601880</v>
      </c>
      <c r="K2137" s="3565">
        <v>12249.6</v>
      </c>
      <c r="L2137" s="3565">
        <v>14130.91</v>
      </c>
      <c r="M2137" s="3565">
        <v>0</v>
      </c>
      <c r="N2137" s="3565">
        <v>0</v>
      </c>
      <c r="O2137" s="3563" t="s">
        <v>3453</v>
      </c>
    </row>
    <row r="2138" spans="1:15">
      <c r="A2138" s="3563" t="s">
        <v>6355</v>
      </c>
      <c r="B2138" s="3563" t="s">
        <v>4196</v>
      </c>
      <c r="C2138" s="3563" t="s">
        <v>4197</v>
      </c>
      <c r="D2138" s="3563" t="s">
        <v>4796</v>
      </c>
      <c r="E2138" s="3563" t="s">
        <v>6344</v>
      </c>
      <c r="F2138" s="3563" t="s">
        <v>4949</v>
      </c>
      <c r="G2138" s="3564">
        <v>130.53</v>
      </c>
      <c r="H2138" s="3564">
        <v>113.15</v>
      </c>
      <c r="I2138" s="3564">
        <v>17.38</v>
      </c>
      <c r="J2138" s="3565">
        <v>1868577</v>
      </c>
      <c r="K2138" s="3565">
        <v>14315.31</v>
      </c>
      <c r="L2138" s="3565">
        <v>16514.16</v>
      </c>
      <c r="M2138" s="3565">
        <v>0</v>
      </c>
      <c r="N2138" s="3565">
        <v>0</v>
      </c>
      <c r="O2138" s="3563" t="s">
        <v>3453</v>
      </c>
    </row>
    <row r="2139" spans="1:15">
      <c r="A2139" s="3563" t="s">
        <v>6356</v>
      </c>
      <c r="B2139" s="3563" t="s">
        <v>3453</v>
      </c>
      <c r="C2139" s="3563" t="s">
        <v>4197</v>
      </c>
      <c r="D2139" s="3563" t="s">
        <v>4796</v>
      </c>
      <c r="E2139" s="3563" t="s">
        <v>6344</v>
      </c>
      <c r="F2139" s="3563" t="s">
        <v>4949</v>
      </c>
      <c r="G2139" s="3564">
        <v>106.2</v>
      </c>
      <c r="H2139" s="3564">
        <v>92.06</v>
      </c>
      <c r="I2139" s="3564">
        <v>14.14</v>
      </c>
      <c r="J2139" s="3565">
        <v>1551065</v>
      </c>
      <c r="K2139" s="3565">
        <v>14605.13</v>
      </c>
      <c r="L2139" s="3565">
        <v>16848.41</v>
      </c>
      <c r="M2139" s="3565">
        <v>0</v>
      </c>
      <c r="N2139" s="3565">
        <v>0</v>
      </c>
      <c r="O2139" s="3563" t="s">
        <v>3453</v>
      </c>
    </row>
    <row r="2140" spans="1:15">
      <c r="A2140" s="3563" t="s">
        <v>6357</v>
      </c>
      <c r="B2140" s="3563" t="s">
        <v>4196</v>
      </c>
      <c r="C2140" s="3563" t="s">
        <v>4197</v>
      </c>
      <c r="D2140" s="3563" t="s">
        <v>4796</v>
      </c>
      <c r="E2140" s="3563" t="s">
        <v>6344</v>
      </c>
      <c r="F2140" s="3563" t="s">
        <v>4949</v>
      </c>
      <c r="G2140" s="3564">
        <v>106.53</v>
      </c>
      <c r="H2140" s="3564">
        <v>92.35</v>
      </c>
      <c r="I2140" s="3564">
        <v>14.18</v>
      </c>
      <c r="J2140" s="3565">
        <v>1446500</v>
      </c>
      <c r="K2140" s="3565">
        <v>13578.33</v>
      </c>
      <c r="L2140" s="3565">
        <v>15663.24</v>
      </c>
      <c r="M2140" s="3565">
        <v>0</v>
      </c>
      <c r="N2140" s="3565">
        <v>0</v>
      </c>
      <c r="O2140" s="3563" t="s">
        <v>3453</v>
      </c>
    </row>
    <row r="2141" spans="1:15">
      <c r="A2141" s="3563" t="s">
        <v>6358</v>
      </c>
      <c r="B2141" s="3563" t="s">
        <v>4196</v>
      </c>
      <c r="C2141" s="3563" t="s">
        <v>4197</v>
      </c>
      <c r="D2141" s="3563" t="s">
        <v>4796</v>
      </c>
      <c r="E2141" s="3563" t="s">
        <v>6344</v>
      </c>
      <c r="F2141" s="3563" t="s">
        <v>4949</v>
      </c>
      <c r="G2141" s="3564">
        <v>106.53</v>
      </c>
      <c r="H2141" s="3564">
        <v>92.35</v>
      </c>
      <c r="I2141" s="3564">
        <v>14.18</v>
      </c>
      <c r="J2141" s="3565">
        <v>1446500</v>
      </c>
      <c r="K2141" s="3565">
        <v>13578.33</v>
      </c>
      <c r="L2141" s="3565">
        <v>15663.24</v>
      </c>
      <c r="M2141" s="3565">
        <v>0</v>
      </c>
      <c r="N2141" s="3565">
        <v>0</v>
      </c>
      <c r="O2141" s="3563" t="s">
        <v>3453</v>
      </c>
    </row>
    <row r="2142" spans="1:15">
      <c r="A2142" s="3563" t="s">
        <v>6359</v>
      </c>
      <c r="B2142" s="3563" t="s">
        <v>3453</v>
      </c>
      <c r="C2142" s="3563" t="s">
        <v>4197</v>
      </c>
      <c r="D2142" s="3563" t="s">
        <v>4796</v>
      </c>
      <c r="E2142" s="3563" t="s">
        <v>6344</v>
      </c>
      <c r="F2142" s="3563" t="s">
        <v>4949</v>
      </c>
      <c r="G2142" s="3564">
        <v>106.2</v>
      </c>
      <c r="H2142" s="3564">
        <v>92.06</v>
      </c>
      <c r="I2142" s="3564">
        <v>14.14</v>
      </c>
      <c r="J2142" s="3565">
        <v>1551065</v>
      </c>
      <c r="K2142" s="3565">
        <v>14605.13</v>
      </c>
      <c r="L2142" s="3565">
        <v>16848.41</v>
      </c>
      <c r="M2142" s="3565">
        <v>0</v>
      </c>
      <c r="N2142" s="3565">
        <v>0</v>
      </c>
      <c r="O2142" s="3563" t="s">
        <v>3453</v>
      </c>
    </row>
    <row r="2143" spans="1:15">
      <c r="A2143" s="3563" t="s">
        <v>6360</v>
      </c>
      <c r="B2143" s="3563" t="s">
        <v>4811</v>
      </c>
      <c r="C2143" s="3563" t="s">
        <v>4197</v>
      </c>
      <c r="D2143" s="3563" t="s">
        <v>4796</v>
      </c>
      <c r="E2143" s="3563" t="s">
        <v>6344</v>
      </c>
      <c r="F2143" s="3563" t="s">
        <v>4949</v>
      </c>
      <c r="G2143" s="3564">
        <v>130.53</v>
      </c>
      <c r="H2143" s="3564">
        <v>113.15</v>
      </c>
      <c r="I2143" s="3564">
        <v>17.38</v>
      </c>
      <c r="J2143" s="3565">
        <v>1912699</v>
      </c>
      <c r="K2143" s="3565">
        <v>14653.33</v>
      </c>
      <c r="L2143" s="3565">
        <v>16904.099999999999</v>
      </c>
      <c r="M2143" s="3565">
        <v>1817065</v>
      </c>
      <c r="N2143" s="3565">
        <v>13920.67</v>
      </c>
      <c r="O2143" s="3566">
        <v>44191</v>
      </c>
    </row>
    <row r="2144" spans="1:15">
      <c r="A2144" s="3563" t="s">
        <v>6361</v>
      </c>
      <c r="B2144" s="3563" t="s">
        <v>4196</v>
      </c>
      <c r="C2144" s="3563" t="s">
        <v>4197</v>
      </c>
      <c r="D2144" s="3563" t="s">
        <v>4796</v>
      </c>
      <c r="E2144" s="3563" t="s">
        <v>6344</v>
      </c>
      <c r="F2144" s="3563" t="s">
        <v>4949</v>
      </c>
      <c r="G2144" s="3564">
        <v>130.77000000000001</v>
      </c>
      <c r="H2144" s="3564">
        <v>113.36</v>
      </c>
      <c r="I2144" s="3564">
        <v>17.41</v>
      </c>
      <c r="J2144" s="3565">
        <v>1683790</v>
      </c>
      <c r="K2144" s="3565">
        <v>12875.97</v>
      </c>
      <c r="L2144" s="3565">
        <v>14853.48</v>
      </c>
      <c r="M2144" s="3565">
        <v>0</v>
      </c>
      <c r="N2144" s="3565">
        <v>0</v>
      </c>
      <c r="O2144" s="3563" t="s">
        <v>3453</v>
      </c>
    </row>
    <row r="2145" spans="1:15">
      <c r="A2145" s="3563" t="s">
        <v>6362</v>
      </c>
      <c r="B2145" s="3563" t="s">
        <v>4196</v>
      </c>
      <c r="C2145" s="3563" t="s">
        <v>4197</v>
      </c>
      <c r="D2145" s="3563" t="s">
        <v>4796</v>
      </c>
      <c r="E2145" s="3563" t="s">
        <v>6344</v>
      </c>
      <c r="F2145" s="3563" t="s">
        <v>4949</v>
      </c>
      <c r="G2145" s="3564">
        <v>130.77000000000001</v>
      </c>
      <c r="H2145" s="3564">
        <v>113.36</v>
      </c>
      <c r="I2145" s="3564">
        <v>17.41</v>
      </c>
      <c r="J2145" s="3565">
        <v>1604625</v>
      </c>
      <c r="K2145" s="3565">
        <v>12270.59</v>
      </c>
      <c r="L2145" s="3565">
        <v>14155.13</v>
      </c>
      <c r="M2145" s="3565">
        <v>0</v>
      </c>
      <c r="N2145" s="3565">
        <v>0</v>
      </c>
      <c r="O2145" s="3563" t="s">
        <v>3453</v>
      </c>
    </row>
    <row r="2146" spans="1:15">
      <c r="A2146" s="3563" t="s">
        <v>6363</v>
      </c>
      <c r="B2146" s="3563" t="s">
        <v>4196</v>
      </c>
      <c r="C2146" s="3563" t="s">
        <v>4197</v>
      </c>
      <c r="D2146" s="3563" t="s">
        <v>4796</v>
      </c>
      <c r="E2146" s="3563" t="s">
        <v>6344</v>
      </c>
      <c r="F2146" s="3563" t="s">
        <v>4949</v>
      </c>
      <c r="G2146" s="3564">
        <v>130.53</v>
      </c>
      <c r="H2146" s="3564">
        <v>113.15</v>
      </c>
      <c r="I2146" s="3564">
        <v>17.38</v>
      </c>
      <c r="J2146" s="3565">
        <v>1874449</v>
      </c>
      <c r="K2146" s="3565">
        <v>14360.29</v>
      </c>
      <c r="L2146" s="3565">
        <v>16566.05</v>
      </c>
      <c r="M2146" s="3565">
        <v>0</v>
      </c>
      <c r="N2146" s="3565">
        <v>0</v>
      </c>
      <c r="O2146" s="3563" t="s">
        <v>3453</v>
      </c>
    </row>
    <row r="2147" spans="1:15">
      <c r="A2147" s="3563" t="s">
        <v>6364</v>
      </c>
      <c r="B2147" s="3563" t="s">
        <v>4196</v>
      </c>
      <c r="C2147" s="3563" t="s">
        <v>4197</v>
      </c>
      <c r="D2147" s="3563" t="s">
        <v>4796</v>
      </c>
      <c r="E2147" s="3563" t="s">
        <v>6344</v>
      </c>
      <c r="F2147" s="3563" t="s">
        <v>4949</v>
      </c>
      <c r="G2147" s="3564">
        <v>106.2</v>
      </c>
      <c r="H2147" s="3564">
        <v>92.06</v>
      </c>
      <c r="I2147" s="3564">
        <v>14.14</v>
      </c>
      <c r="J2147" s="3565">
        <v>1607555</v>
      </c>
      <c r="K2147" s="3565">
        <v>15137.05</v>
      </c>
      <c r="L2147" s="3565">
        <v>17462.04</v>
      </c>
      <c r="M2147" s="3565">
        <v>0</v>
      </c>
      <c r="N2147" s="3565">
        <v>0</v>
      </c>
      <c r="O2147" s="3563" t="s">
        <v>3453</v>
      </c>
    </row>
    <row r="2148" spans="1:15">
      <c r="A2148" s="3563" t="s">
        <v>6365</v>
      </c>
      <c r="B2148" s="3563" t="s">
        <v>4196</v>
      </c>
      <c r="C2148" s="3563" t="s">
        <v>4197</v>
      </c>
      <c r="D2148" s="3563" t="s">
        <v>4796</v>
      </c>
      <c r="E2148" s="3563" t="s">
        <v>6344</v>
      </c>
      <c r="F2148" s="3563" t="s">
        <v>4949</v>
      </c>
      <c r="G2148" s="3564">
        <v>106.53</v>
      </c>
      <c r="H2148" s="3564">
        <v>92.35</v>
      </c>
      <c r="I2148" s="3564">
        <v>14.18</v>
      </c>
      <c r="J2148" s="3565">
        <v>1503165</v>
      </c>
      <c r="K2148" s="3565">
        <v>14110.25</v>
      </c>
      <c r="L2148" s="3565">
        <v>16276.83</v>
      </c>
      <c r="M2148" s="3565">
        <v>0</v>
      </c>
      <c r="N2148" s="3565">
        <v>0</v>
      </c>
      <c r="O2148" s="3563" t="s">
        <v>3453</v>
      </c>
    </row>
    <row r="2149" spans="1:15">
      <c r="A2149" s="3563" t="s">
        <v>6366</v>
      </c>
      <c r="B2149" s="3563" t="s">
        <v>4196</v>
      </c>
      <c r="C2149" s="3563" t="s">
        <v>4197</v>
      </c>
      <c r="D2149" s="3563" t="s">
        <v>4796</v>
      </c>
      <c r="E2149" s="3563" t="s">
        <v>6344</v>
      </c>
      <c r="F2149" s="3563" t="s">
        <v>4949</v>
      </c>
      <c r="G2149" s="3564">
        <v>106.53</v>
      </c>
      <c r="H2149" s="3564">
        <v>92.35</v>
      </c>
      <c r="I2149" s="3564">
        <v>14.18</v>
      </c>
      <c r="J2149" s="3565">
        <v>1446500</v>
      </c>
      <c r="K2149" s="3565">
        <v>13578.33</v>
      </c>
      <c r="L2149" s="3565">
        <v>15663.24</v>
      </c>
      <c r="M2149" s="3565">
        <v>0</v>
      </c>
      <c r="N2149" s="3565">
        <v>0</v>
      </c>
      <c r="O2149" s="3563" t="s">
        <v>3453</v>
      </c>
    </row>
    <row r="2150" spans="1:15">
      <c r="A2150" s="3563" t="s">
        <v>6367</v>
      </c>
      <c r="B2150" s="3563" t="s">
        <v>3453</v>
      </c>
      <c r="C2150" s="3563" t="s">
        <v>4197</v>
      </c>
      <c r="D2150" s="3563" t="s">
        <v>4796</v>
      </c>
      <c r="E2150" s="3563" t="s">
        <v>6344</v>
      </c>
      <c r="F2150" s="3563" t="s">
        <v>4949</v>
      </c>
      <c r="G2150" s="3564">
        <v>106.2</v>
      </c>
      <c r="H2150" s="3564">
        <v>92.06</v>
      </c>
      <c r="I2150" s="3564">
        <v>14.14</v>
      </c>
      <c r="J2150" s="3565">
        <v>1551065</v>
      </c>
      <c r="K2150" s="3565">
        <v>14605.13</v>
      </c>
      <c r="L2150" s="3565">
        <v>16848.41</v>
      </c>
      <c r="M2150" s="3565">
        <v>0</v>
      </c>
      <c r="N2150" s="3565">
        <v>0</v>
      </c>
      <c r="O2150" s="3563" t="s">
        <v>3453</v>
      </c>
    </row>
    <row r="2151" spans="1:15">
      <c r="A2151" s="3563" t="s">
        <v>6368</v>
      </c>
      <c r="B2151" s="3563" t="s">
        <v>3453</v>
      </c>
      <c r="C2151" s="3563" t="s">
        <v>4197</v>
      </c>
      <c r="D2151" s="3563" t="s">
        <v>4796</v>
      </c>
      <c r="E2151" s="3563" t="s">
        <v>6369</v>
      </c>
      <c r="F2151" s="3563" t="s">
        <v>4949</v>
      </c>
      <c r="G2151" s="3564">
        <v>130.44999999999999</v>
      </c>
      <c r="H2151" s="3564">
        <v>113.15</v>
      </c>
      <c r="I2151" s="3564">
        <v>17.3</v>
      </c>
      <c r="J2151" s="3565">
        <v>1894886</v>
      </c>
      <c r="K2151" s="3565">
        <v>14525.76</v>
      </c>
      <c r="L2151" s="3565">
        <v>16746.669999999998</v>
      </c>
      <c r="M2151" s="3565">
        <v>0</v>
      </c>
      <c r="N2151" s="3565">
        <v>0</v>
      </c>
      <c r="O2151" s="3563" t="s">
        <v>3453</v>
      </c>
    </row>
    <row r="2152" spans="1:15">
      <c r="A2152" s="3563" t="s">
        <v>6370</v>
      </c>
      <c r="B2152" s="3563" t="s">
        <v>4196</v>
      </c>
      <c r="C2152" s="3563" t="s">
        <v>4197</v>
      </c>
      <c r="D2152" s="3563" t="s">
        <v>4796</v>
      </c>
      <c r="E2152" s="3563" t="s">
        <v>6369</v>
      </c>
      <c r="F2152" s="3563" t="s">
        <v>4949</v>
      </c>
      <c r="G2152" s="3564">
        <v>130.69</v>
      </c>
      <c r="H2152" s="3564">
        <v>113.36</v>
      </c>
      <c r="I2152" s="3564">
        <v>17.329999999999998</v>
      </c>
      <c r="J2152" s="3565">
        <v>1638282</v>
      </c>
      <c r="K2152" s="3565">
        <v>12535.63</v>
      </c>
      <c r="L2152" s="3565">
        <v>14452.03</v>
      </c>
      <c r="M2152" s="3565">
        <v>0</v>
      </c>
      <c r="N2152" s="3565">
        <v>0</v>
      </c>
      <c r="O2152" s="3563" t="s">
        <v>3453</v>
      </c>
    </row>
    <row r="2153" spans="1:15">
      <c r="A2153" s="3563" t="s">
        <v>6371</v>
      </c>
      <c r="B2153" s="3563" t="s">
        <v>4196</v>
      </c>
      <c r="C2153" s="3563" t="s">
        <v>4197</v>
      </c>
      <c r="D2153" s="3563" t="s">
        <v>4796</v>
      </c>
      <c r="E2153" s="3563" t="s">
        <v>6369</v>
      </c>
      <c r="F2153" s="3563" t="s">
        <v>4949</v>
      </c>
      <c r="G2153" s="3564">
        <v>130.69</v>
      </c>
      <c r="H2153" s="3564">
        <v>113.36</v>
      </c>
      <c r="I2153" s="3564">
        <v>17.329999999999998</v>
      </c>
      <c r="J2153" s="3565">
        <v>1698990</v>
      </c>
      <c r="K2153" s="3565">
        <v>13000.15</v>
      </c>
      <c r="L2153" s="3565">
        <v>14987.56</v>
      </c>
      <c r="M2153" s="3565">
        <v>0</v>
      </c>
      <c r="N2153" s="3565">
        <v>0</v>
      </c>
      <c r="O2153" s="3563" t="s">
        <v>3453</v>
      </c>
    </row>
    <row r="2154" spans="1:15">
      <c r="A2154" s="3563" t="s">
        <v>6372</v>
      </c>
      <c r="B2154" s="3563" t="s">
        <v>4811</v>
      </c>
      <c r="C2154" s="3563" t="s">
        <v>4197</v>
      </c>
      <c r="D2154" s="3563" t="s">
        <v>4796</v>
      </c>
      <c r="E2154" s="3563" t="s">
        <v>6369</v>
      </c>
      <c r="F2154" s="3563" t="s">
        <v>4949</v>
      </c>
      <c r="G2154" s="3564">
        <v>130.44999999999999</v>
      </c>
      <c r="H2154" s="3564">
        <v>113.15</v>
      </c>
      <c r="I2154" s="3564">
        <v>17.3</v>
      </c>
      <c r="J2154" s="3565">
        <v>2014604</v>
      </c>
      <c r="K2154" s="3565">
        <v>15443.5</v>
      </c>
      <c r="L2154" s="3565">
        <v>17804.72</v>
      </c>
      <c r="M2154" s="3565">
        <v>1913874</v>
      </c>
      <c r="N2154" s="3565">
        <v>14671.32</v>
      </c>
      <c r="O2154" s="3566">
        <v>44191</v>
      </c>
    </row>
    <row r="2155" spans="1:15">
      <c r="A2155" s="3563" t="s">
        <v>6373</v>
      </c>
      <c r="B2155" s="3563" t="s">
        <v>4196</v>
      </c>
      <c r="C2155" s="3563" t="s">
        <v>4197</v>
      </c>
      <c r="D2155" s="3563" t="s">
        <v>4796</v>
      </c>
      <c r="E2155" s="3563" t="s">
        <v>6369</v>
      </c>
      <c r="F2155" s="3563" t="s">
        <v>4949</v>
      </c>
      <c r="G2155" s="3564">
        <v>106.13</v>
      </c>
      <c r="H2155" s="3564">
        <v>92.06</v>
      </c>
      <c r="I2155" s="3564">
        <v>14.07</v>
      </c>
      <c r="J2155" s="3565">
        <v>1572913</v>
      </c>
      <c r="K2155" s="3565">
        <v>14820.63</v>
      </c>
      <c r="L2155" s="3565">
        <v>17085.740000000002</v>
      </c>
      <c r="M2155" s="3565">
        <v>0</v>
      </c>
      <c r="N2155" s="3565">
        <v>0</v>
      </c>
      <c r="O2155" s="3563" t="s">
        <v>3453</v>
      </c>
    </row>
    <row r="2156" spans="1:15">
      <c r="A2156" s="3563" t="s">
        <v>6374</v>
      </c>
      <c r="B2156" s="3563" t="s">
        <v>4196</v>
      </c>
      <c r="C2156" s="3563" t="s">
        <v>4197</v>
      </c>
      <c r="D2156" s="3563" t="s">
        <v>4796</v>
      </c>
      <c r="E2156" s="3563" t="s">
        <v>6369</v>
      </c>
      <c r="F2156" s="3563" t="s">
        <v>4949</v>
      </c>
      <c r="G2156" s="3564">
        <v>106.47</v>
      </c>
      <c r="H2156" s="3564">
        <v>92.35</v>
      </c>
      <c r="I2156" s="3564">
        <v>14.12</v>
      </c>
      <c r="J2156" s="3565">
        <v>1468589</v>
      </c>
      <c r="K2156" s="3565">
        <v>13793.45</v>
      </c>
      <c r="L2156" s="3565">
        <v>15902.43</v>
      </c>
      <c r="M2156" s="3565">
        <v>0</v>
      </c>
      <c r="N2156" s="3565">
        <v>0</v>
      </c>
      <c r="O2156" s="3563" t="s">
        <v>3453</v>
      </c>
    </row>
    <row r="2157" spans="1:15">
      <c r="A2157" s="3563" t="s">
        <v>6375</v>
      </c>
      <c r="B2157" s="3563" t="s">
        <v>4196</v>
      </c>
      <c r="C2157" s="3563" t="s">
        <v>4197</v>
      </c>
      <c r="D2157" s="3563" t="s">
        <v>4796</v>
      </c>
      <c r="E2157" s="3563" t="s">
        <v>6369</v>
      </c>
      <c r="F2157" s="3563" t="s">
        <v>4949</v>
      </c>
      <c r="G2157" s="3564">
        <v>106.47</v>
      </c>
      <c r="H2157" s="3564">
        <v>92.35</v>
      </c>
      <c r="I2157" s="3564">
        <v>14.12</v>
      </c>
      <c r="J2157" s="3565">
        <v>1525222</v>
      </c>
      <c r="K2157" s="3565">
        <v>14325.37</v>
      </c>
      <c r="L2157" s="3565">
        <v>16515.669999999998</v>
      </c>
      <c r="M2157" s="3565">
        <v>0</v>
      </c>
      <c r="N2157" s="3565">
        <v>0</v>
      </c>
      <c r="O2157" s="3563" t="s">
        <v>3453</v>
      </c>
    </row>
    <row r="2158" spans="1:15">
      <c r="A2158" s="3563" t="s">
        <v>6376</v>
      </c>
      <c r="B2158" s="3563" t="s">
        <v>4196</v>
      </c>
      <c r="C2158" s="3563" t="s">
        <v>4197</v>
      </c>
      <c r="D2158" s="3563" t="s">
        <v>4796</v>
      </c>
      <c r="E2158" s="3563" t="s">
        <v>6369</v>
      </c>
      <c r="F2158" s="3563" t="s">
        <v>4949</v>
      </c>
      <c r="G2158" s="3564">
        <v>106.13</v>
      </c>
      <c r="H2158" s="3564">
        <v>92.06</v>
      </c>
      <c r="I2158" s="3564">
        <v>14.07</v>
      </c>
      <c r="J2158" s="3565">
        <v>1629365</v>
      </c>
      <c r="K2158" s="3565">
        <v>15352.54</v>
      </c>
      <c r="L2158" s="3565">
        <v>17698.95</v>
      </c>
      <c r="M2158" s="3565">
        <v>0</v>
      </c>
      <c r="N2158" s="3565">
        <v>0</v>
      </c>
      <c r="O2158" s="3563" t="s">
        <v>3453</v>
      </c>
    </row>
    <row r="2159" spans="1:15">
      <c r="A2159" s="3563" t="s">
        <v>6377</v>
      </c>
      <c r="B2159" s="3563" t="s">
        <v>3453</v>
      </c>
      <c r="C2159" s="3563" t="s">
        <v>4197</v>
      </c>
      <c r="D2159" s="3563" t="s">
        <v>4796</v>
      </c>
      <c r="E2159" s="3563" t="s">
        <v>6369</v>
      </c>
      <c r="F2159" s="3563" t="s">
        <v>4949</v>
      </c>
      <c r="G2159" s="3564">
        <v>130.44999999999999</v>
      </c>
      <c r="H2159" s="3564">
        <v>113.15</v>
      </c>
      <c r="I2159" s="3564">
        <v>17.3</v>
      </c>
      <c r="J2159" s="3565">
        <v>2031136</v>
      </c>
      <c r="K2159" s="3565">
        <v>15570.23</v>
      </c>
      <c r="L2159" s="3565">
        <v>17950.830000000002</v>
      </c>
      <c r="M2159" s="3565">
        <v>0</v>
      </c>
      <c r="N2159" s="3565">
        <v>0</v>
      </c>
      <c r="O2159" s="3563" t="s">
        <v>3453</v>
      </c>
    </row>
    <row r="2160" spans="1:15">
      <c r="A2160" s="3563" t="s">
        <v>6378</v>
      </c>
      <c r="B2160" s="3563" t="s">
        <v>4196</v>
      </c>
      <c r="C2160" s="3563" t="s">
        <v>4197</v>
      </c>
      <c r="D2160" s="3563" t="s">
        <v>4796</v>
      </c>
      <c r="E2160" s="3563" t="s">
        <v>6369</v>
      </c>
      <c r="F2160" s="3563" t="s">
        <v>4949</v>
      </c>
      <c r="G2160" s="3564">
        <v>130.69</v>
      </c>
      <c r="H2160" s="3564">
        <v>113.36</v>
      </c>
      <c r="I2160" s="3564">
        <v>17.329999999999998</v>
      </c>
      <c r="J2160" s="3565">
        <v>1763203</v>
      </c>
      <c r="K2160" s="3565">
        <v>13491.49</v>
      </c>
      <c r="L2160" s="3565">
        <v>15554.01</v>
      </c>
      <c r="M2160" s="3565">
        <v>0</v>
      </c>
      <c r="N2160" s="3565">
        <v>0</v>
      </c>
      <c r="O2160" s="3563" t="s">
        <v>3453</v>
      </c>
    </row>
    <row r="2161" spans="1:15">
      <c r="A2161" s="3563" t="s">
        <v>6379</v>
      </c>
      <c r="B2161" s="3563" t="s">
        <v>4196</v>
      </c>
      <c r="C2161" s="3563" t="s">
        <v>4197</v>
      </c>
      <c r="D2161" s="3563" t="s">
        <v>4796</v>
      </c>
      <c r="E2161" s="3563" t="s">
        <v>6369</v>
      </c>
      <c r="F2161" s="3563" t="s">
        <v>4949</v>
      </c>
      <c r="G2161" s="3564">
        <v>130.69</v>
      </c>
      <c r="H2161" s="3564">
        <v>113.36</v>
      </c>
      <c r="I2161" s="3564">
        <v>17.329999999999998</v>
      </c>
      <c r="J2161" s="3565">
        <v>1629378</v>
      </c>
      <c r="K2161" s="3565">
        <v>12467.5</v>
      </c>
      <c r="L2161" s="3565">
        <v>14373.48</v>
      </c>
      <c r="M2161" s="3565">
        <v>0</v>
      </c>
      <c r="N2161" s="3565">
        <v>0</v>
      </c>
      <c r="O2161" s="3563" t="s">
        <v>3453</v>
      </c>
    </row>
    <row r="2162" spans="1:15">
      <c r="A2162" s="3563" t="s">
        <v>6380</v>
      </c>
      <c r="B2162" s="3563" t="s">
        <v>4196</v>
      </c>
      <c r="C2162" s="3563" t="s">
        <v>4197</v>
      </c>
      <c r="D2162" s="3563" t="s">
        <v>4796</v>
      </c>
      <c r="E2162" s="3563" t="s">
        <v>6369</v>
      </c>
      <c r="F2162" s="3563" t="s">
        <v>4949</v>
      </c>
      <c r="G2162" s="3564">
        <v>130.44999999999999</v>
      </c>
      <c r="H2162" s="3564">
        <v>113.15</v>
      </c>
      <c r="I2162" s="3564">
        <v>17.3</v>
      </c>
      <c r="J2162" s="3565">
        <v>1895269</v>
      </c>
      <c r="K2162" s="3565">
        <v>14528.7</v>
      </c>
      <c r="L2162" s="3565">
        <v>16750.060000000001</v>
      </c>
      <c r="M2162" s="3565">
        <v>0</v>
      </c>
      <c r="N2162" s="3565">
        <v>0</v>
      </c>
      <c r="O2162" s="3563" t="s">
        <v>3453</v>
      </c>
    </row>
    <row r="2163" spans="1:15">
      <c r="A2163" s="3563" t="s">
        <v>6381</v>
      </c>
      <c r="B2163" s="3563" t="s">
        <v>4196</v>
      </c>
      <c r="C2163" s="3563" t="s">
        <v>4197</v>
      </c>
      <c r="D2163" s="3563" t="s">
        <v>4796</v>
      </c>
      <c r="E2163" s="3563" t="s">
        <v>6369</v>
      </c>
      <c r="F2163" s="3563" t="s">
        <v>4949</v>
      </c>
      <c r="G2163" s="3564">
        <v>106.13</v>
      </c>
      <c r="H2163" s="3564">
        <v>92.06</v>
      </c>
      <c r="I2163" s="3564">
        <v>14.07</v>
      </c>
      <c r="J2163" s="3565">
        <v>1629365</v>
      </c>
      <c r="K2163" s="3565">
        <v>15352.54</v>
      </c>
      <c r="L2163" s="3565">
        <v>17698.95</v>
      </c>
      <c r="M2163" s="3565">
        <v>0</v>
      </c>
      <c r="N2163" s="3565">
        <v>0</v>
      </c>
      <c r="O2163" s="3563" t="s">
        <v>3453</v>
      </c>
    </row>
    <row r="2164" spans="1:15">
      <c r="A2164" s="3563" t="s">
        <v>6382</v>
      </c>
      <c r="B2164" s="3563" t="s">
        <v>4196</v>
      </c>
      <c r="C2164" s="3563" t="s">
        <v>4197</v>
      </c>
      <c r="D2164" s="3563" t="s">
        <v>4796</v>
      </c>
      <c r="E2164" s="3563" t="s">
        <v>6369</v>
      </c>
      <c r="F2164" s="3563" t="s">
        <v>4949</v>
      </c>
      <c r="G2164" s="3564">
        <v>106.47</v>
      </c>
      <c r="H2164" s="3564">
        <v>92.35</v>
      </c>
      <c r="I2164" s="3564">
        <v>14.12</v>
      </c>
      <c r="J2164" s="3565">
        <v>1525222</v>
      </c>
      <c r="K2164" s="3565">
        <v>14325.37</v>
      </c>
      <c r="L2164" s="3565">
        <v>16515.669999999998</v>
      </c>
      <c r="M2164" s="3565">
        <v>0</v>
      </c>
      <c r="N2164" s="3565">
        <v>0</v>
      </c>
      <c r="O2164" s="3563" t="s">
        <v>3453</v>
      </c>
    </row>
    <row r="2165" spans="1:15">
      <c r="A2165" s="3563" t="s">
        <v>6383</v>
      </c>
      <c r="B2165" s="3563" t="s">
        <v>4196</v>
      </c>
      <c r="C2165" s="3563" t="s">
        <v>4197</v>
      </c>
      <c r="D2165" s="3563" t="s">
        <v>4796</v>
      </c>
      <c r="E2165" s="3563" t="s">
        <v>6369</v>
      </c>
      <c r="F2165" s="3563" t="s">
        <v>4949</v>
      </c>
      <c r="G2165" s="3564">
        <v>106.47</v>
      </c>
      <c r="H2165" s="3564">
        <v>92.35</v>
      </c>
      <c r="I2165" s="3564">
        <v>14.12</v>
      </c>
      <c r="J2165" s="3565">
        <v>1468589</v>
      </c>
      <c r="K2165" s="3565">
        <v>13793.45</v>
      </c>
      <c r="L2165" s="3565">
        <v>15902.43</v>
      </c>
      <c r="M2165" s="3565">
        <v>0</v>
      </c>
      <c r="N2165" s="3565">
        <v>0</v>
      </c>
      <c r="O2165" s="3563" t="s">
        <v>3453</v>
      </c>
    </row>
    <row r="2166" spans="1:15">
      <c r="A2166" s="3563" t="s">
        <v>6384</v>
      </c>
      <c r="B2166" s="3563" t="s">
        <v>4811</v>
      </c>
      <c r="C2166" s="3563" t="s">
        <v>4197</v>
      </c>
      <c r="D2166" s="3563" t="s">
        <v>4796</v>
      </c>
      <c r="E2166" s="3563" t="s">
        <v>6369</v>
      </c>
      <c r="F2166" s="3563" t="s">
        <v>4949</v>
      </c>
      <c r="G2166" s="3564">
        <v>106.13</v>
      </c>
      <c r="H2166" s="3564">
        <v>92.06</v>
      </c>
      <c r="I2166" s="3564">
        <v>14.07</v>
      </c>
      <c r="J2166" s="3565">
        <v>1572913</v>
      </c>
      <c r="K2166" s="3565">
        <v>14820.63</v>
      </c>
      <c r="L2166" s="3565">
        <v>17085.740000000002</v>
      </c>
      <c r="M2166" s="3565">
        <v>1478539</v>
      </c>
      <c r="N2166" s="3565">
        <v>13931.4</v>
      </c>
      <c r="O2166" s="3563" t="s">
        <v>3453</v>
      </c>
    </row>
    <row r="2167" spans="1:15">
      <c r="A2167" s="3563" t="s">
        <v>6385</v>
      </c>
      <c r="B2167" s="3563" t="s">
        <v>4196</v>
      </c>
      <c r="C2167" s="3563" t="s">
        <v>4197</v>
      </c>
      <c r="D2167" s="3563" t="s">
        <v>4796</v>
      </c>
      <c r="E2167" s="3563" t="s">
        <v>6386</v>
      </c>
      <c r="F2167" s="3563" t="s">
        <v>4949</v>
      </c>
      <c r="G2167" s="3564">
        <v>130.44999999999999</v>
      </c>
      <c r="H2167" s="3564">
        <v>113.15</v>
      </c>
      <c r="I2167" s="3564">
        <v>17.3</v>
      </c>
      <c r="J2167" s="3565">
        <v>1843981</v>
      </c>
      <c r="K2167" s="3565">
        <v>14135.54</v>
      </c>
      <c r="L2167" s="3565">
        <v>16296.78</v>
      </c>
      <c r="M2167" s="3565">
        <v>0</v>
      </c>
      <c r="N2167" s="3565">
        <v>0</v>
      </c>
      <c r="O2167" s="3563" t="s">
        <v>3453</v>
      </c>
    </row>
    <row r="2168" spans="1:15">
      <c r="A2168" s="3563" t="s">
        <v>6387</v>
      </c>
      <c r="B2168" s="3563" t="s">
        <v>4196</v>
      </c>
      <c r="C2168" s="3563" t="s">
        <v>4197</v>
      </c>
      <c r="D2168" s="3563" t="s">
        <v>4796</v>
      </c>
      <c r="E2168" s="3563" t="s">
        <v>6386</v>
      </c>
      <c r="F2168" s="3563" t="s">
        <v>4949</v>
      </c>
      <c r="G2168" s="3564">
        <v>130.69</v>
      </c>
      <c r="H2168" s="3564">
        <v>113.36</v>
      </c>
      <c r="I2168" s="3564">
        <v>17.329999999999998</v>
      </c>
      <c r="J2168" s="3565">
        <v>1638729</v>
      </c>
      <c r="K2168" s="3565">
        <v>12539.05</v>
      </c>
      <c r="L2168" s="3565">
        <v>14455.97</v>
      </c>
      <c r="M2168" s="3565">
        <v>0</v>
      </c>
      <c r="N2168" s="3565">
        <v>0</v>
      </c>
      <c r="O2168" s="3563" t="s">
        <v>3453</v>
      </c>
    </row>
    <row r="2169" spans="1:15">
      <c r="A2169" s="3563" t="s">
        <v>6388</v>
      </c>
      <c r="B2169" s="3563" t="s">
        <v>4196</v>
      </c>
      <c r="C2169" s="3563" t="s">
        <v>4197</v>
      </c>
      <c r="D2169" s="3563" t="s">
        <v>4796</v>
      </c>
      <c r="E2169" s="3563" t="s">
        <v>6386</v>
      </c>
      <c r="F2169" s="3563" t="s">
        <v>4949</v>
      </c>
      <c r="G2169" s="3564">
        <v>130.69</v>
      </c>
      <c r="H2169" s="3564">
        <v>113.36</v>
      </c>
      <c r="I2169" s="3564">
        <v>17.329999999999998</v>
      </c>
      <c r="J2169" s="3565">
        <v>1699086</v>
      </c>
      <c r="K2169" s="3565">
        <v>13000.89</v>
      </c>
      <c r="L2169" s="3565">
        <v>14988.41</v>
      </c>
      <c r="M2169" s="3565">
        <v>0</v>
      </c>
      <c r="N2169" s="3565">
        <v>0</v>
      </c>
      <c r="O2169" s="3563" t="s">
        <v>3453</v>
      </c>
    </row>
    <row r="2170" spans="1:15">
      <c r="A2170" s="3563" t="s">
        <v>6389</v>
      </c>
      <c r="B2170" s="3563" t="s">
        <v>4196</v>
      </c>
      <c r="C2170" s="3563" t="s">
        <v>4197</v>
      </c>
      <c r="D2170" s="3563" t="s">
        <v>4796</v>
      </c>
      <c r="E2170" s="3563" t="s">
        <v>6386</v>
      </c>
      <c r="F2170" s="3563" t="s">
        <v>4949</v>
      </c>
      <c r="G2170" s="3564">
        <v>130.44999999999999</v>
      </c>
      <c r="H2170" s="3564">
        <v>113.15</v>
      </c>
      <c r="I2170" s="3564">
        <v>17.3</v>
      </c>
      <c r="J2170" s="3565">
        <v>1891763</v>
      </c>
      <c r="K2170" s="3565">
        <v>14501.82</v>
      </c>
      <c r="L2170" s="3565">
        <v>16719.07</v>
      </c>
      <c r="M2170" s="3565">
        <v>0</v>
      </c>
      <c r="N2170" s="3565">
        <v>0</v>
      </c>
      <c r="O2170" s="3563" t="s">
        <v>3453</v>
      </c>
    </row>
    <row r="2171" spans="1:15">
      <c r="A2171" s="3563" t="s">
        <v>6390</v>
      </c>
      <c r="B2171" s="3563" t="s">
        <v>4196</v>
      </c>
      <c r="C2171" s="3563" t="s">
        <v>4197</v>
      </c>
      <c r="D2171" s="3563" t="s">
        <v>4796</v>
      </c>
      <c r="E2171" s="3563" t="s">
        <v>6386</v>
      </c>
      <c r="F2171" s="3563" t="s">
        <v>4949</v>
      </c>
      <c r="G2171" s="3564">
        <v>106.13</v>
      </c>
      <c r="H2171" s="3564">
        <v>92.06</v>
      </c>
      <c r="I2171" s="3564">
        <v>14.07</v>
      </c>
      <c r="J2171" s="3565">
        <v>1572913</v>
      </c>
      <c r="K2171" s="3565">
        <v>14820.63</v>
      </c>
      <c r="L2171" s="3565">
        <v>17085.740000000002</v>
      </c>
      <c r="M2171" s="3565">
        <v>0</v>
      </c>
      <c r="N2171" s="3565">
        <v>0</v>
      </c>
      <c r="O2171" s="3563" t="s">
        <v>3453</v>
      </c>
    </row>
    <row r="2172" spans="1:15">
      <c r="A2172" s="3563" t="s">
        <v>6391</v>
      </c>
      <c r="B2172" s="3563" t="s">
        <v>4196</v>
      </c>
      <c r="C2172" s="3563" t="s">
        <v>4197</v>
      </c>
      <c r="D2172" s="3563" t="s">
        <v>4796</v>
      </c>
      <c r="E2172" s="3563" t="s">
        <v>6386</v>
      </c>
      <c r="F2172" s="3563" t="s">
        <v>4949</v>
      </c>
      <c r="G2172" s="3564">
        <v>106.47</v>
      </c>
      <c r="H2172" s="3564">
        <v>92.35</v>
      </c>
      <c r="I2172" s="3564">
        <v>14.12</v>
      </c>
      <c r="J2172" s="3565">
        <v>1468589</v>
      </c>
      <c r="K2172" s="3565">
        <v>13793.45</v>
      </c>
      <c r="L2172" s="3565">
        <v>15902.43</v>
      </c>
      <c r="M2172" s="3565">
        <v>0</v>
      </c>
      <c r="N2172" s="3565">
        <v>0</v>
      </c>
      <c r="O2172" s="3563" t="s">
        <v>3453</v>
      </c>
    </row>
    <row r="2173" spans="1:15">
      <c r="A2173" s="3563" t="s">
        <v>6392</v>
      </c>
      <c r="B2173" s="3563" t="s">
        <v>4196</v>
      </c>
      <c r="C2173" s="3563" t="s">
        <v>4197</v>
      </c>
      <c r="D2173" s="3563" t="s">
        <v>4796</v>
      </c>
      <c r="E2173" s="3563" t="s">
        <v>6386</v>
      </c>
      <c r="F2173" s="3563" t="s">
        <v>4949</v>
      </c>
      <c r="G2173" s="3564">
        <v>106.47</v>
      </c>
      <c r="H2173" s="3564">
        <v>92.35</v>
      </c>
      <c r="I2173" s="3564">
        <v>14.12</v>
      </c>
      <c r="J2173" s="3565">
        <v>1525222</v>
      </c>
      <c r="K2173" s="3565">
        <v>14325.37</v>
      </c>
      <c r="L2173" s="3565">
        <v>16515.669999999998</v>
      </c>
      <c r="M2173" s="3565">
        <v>0</v>
      </c>
      <c r="N2173" s="3565">
        <v>0</v>
      </c>
      <c r="O2173" s="3563" t="s">
        <v>3453</v>
      </c>
    </row>
    <row r="2174" spans="1:15">
      <c r="A2174" s="3563" t="s">
        <v>6393</v>
      </c>
      <c r="B2174" s="3563" t="s">
        <v>4196</v>
      </c>
      <c r="C2174" s="3563" t="s">
        <v>4197</v>
      </c>
      <c r="D2174" s="3563" t="s">
        <v>4796</v>
      </c>
      <c r="E2174" s="3563" t="s">
        <v>6386</v>
      </c>
      <c r="F2174" s="3563" t="s">
        <v>4949</v>
      </c>
      <c r="G2174" s="3564">
        <v>106.13</v>
      </c>
      <c r="H2174" s="3564">
        <v>92.06</v>
      </c>
      <c r="I2174" s="3564">
        <v>14.07</v>
      </c>
      <c r="J2174" s="3565">
        <v>1629365</v>
      </c>
      <c r="K2174" s="3565">
        <v>15352.54</v>
      </c>
      <c r="L2174" s="3565">
        <v>17698.95</v>
      </c>
      <c r="M2174" s="3565">
        <v>0</v>
      </c>
      <c r="N2174" s="3565">
        <v>0</v>
      </c>
      <c r="O2174" s="3563" t="s">
        <v>3453</v>
      </c>
    </row>
    <row r="2175" spans="1:15">
      <c r="A2175" s="3563" t="s">
        <v>6394</v>
      </c>
      <c r="B2175" s="3563" t="s">
        <v>3453</v>
      </c>
      <c r="C2175" s="3563" t="s">
        <v>4197</v>
      </c>
      <c r="D2175" s="3563" t="s">
        <v>4796</v>
      </c>
      <c r="E2175" s="3563" t="s">
        <v>6386</v>
      </c>
      <c r="F2175" s="3563" t="s">
        <v>4949</v>
      </c>
      <c r="G2175" s="3564">
        <v>130.44999999999999</v>
      </c>
      <c r="H2175" s="3564">
        <v>113.15</v>
      </c>
      <c r="I2175" s="3564">
        <v>17.3</v>
      </c>
      <c r="J2175" s="3565">
        <v>1932550</v>
      </c>
      <c r="K2175" s="3565">
        <v>14814.49</v>
      </c>
      <c r="L2175" s="3565">
        <v>17079.54</v>
      </c>
      <c r="M2175" s="3565">
        <v>0</v>
      </c>
      <c r="N2175" s="3565">
        <v>0</v>
      </c>
      <c r="O2175" s="3563" t="s">
        <v>3453</v>
      </c>
    </row>
    <row r="2176" spans="1:15">
      <c r="A2176" s="3563" t="s">
        <v>6395</v>
      </c>
      <c r="B2176" s="3563" t="s">
        <v>3453</v>
      </c>
      <c r="C2176" s="3563" t="s">
        <v>4197</v>
      </c>
      <c r="D2176" s="3563" t="s">
        <v>4796</v>
      </c>
      <c r="E2176" s="3563" t="s">
        <v>6386</v>
      </c>
      <c r="F2176" s="3563" t="s">
        <v>4949</v>
      </c>
      <c r="G2176" s="3564">
        <v>130.69</v>
      </c>
      <c r="H2176" s="3564">
        <v>113.36</v>
      </c>
      <c r="I2176" s="3564">
        <v>17.329999999999998</v>
      </c>
      <c r="J2176" s="3565">
        <v>1744756</v>
      </c>
      <c r="K2176" s="3565">
        <v>13350.34</v>
      </c>
      <c r="L2176" s="3565">
        <v>15391.28</v>
      </c>
      <c r="M2176" s="3565">
        <v>0</v>
      </c>
      <c r="N2176" s="3565">
        <v>0</v>
      </c>
      <c r="O2176" s="3563" t="s">
        <v>3453</v>
      </c>
    </row>
    <row r="2177" spans="1:15">
      <c r="A2177" s="3563" t="s">
        <v>6396</v>
      </c>
      <c r="B2177" s="3563" t="s">
        <v>4196</v>
      </c>
      <c r="C2177" s="3563" t="s">
        <v>4197</v>
      </c>
      <c r="D2177" s="3563" t="s">
        <v>4796</v>
      </c>
      <c r="E2177" s="3563" t="s">
        <v>6386</v>
      </c>
      <c r="F2177" s="3563" t="s">
        <v>4949</v>
      </c>
      <c r="G2177" s="3564">
        <v>130.69</v>
      </c>
      <c r="H2177" s="3564">
        <v>113.36</v>
      </c>
      <c r="I2177" s="3564">
        <v>17.329999999999998</v>
      </c>
      <c r="J2177" s="3565">
        <v>1629027</v>
      </c>
      <c r="K2177" s="3565">
        <v>12464.82</v>
      </c>
      <c r="L2177" s="3565">
        <v>14370.39</v>
      </c>
      <c r="M2177" s="3565">
        <v>0</v>
      </c>
      <c r="N2177" s="3565">
        <v>0</v>
      </c>
      <c r="O2177" s="3563" t="s">
        <v>3453</v>
      </c>
    </row>
    <row r="2178" spans="1:15">
      <c r="A2178" s="3563" t="s">
        <v>6397</v>
      </c>
      <c r="B2178" s="3563" t="s">
        <v>3453</v>
      </c>
      <c r="C2178" s="3563" t="s">
        <v>4197</v>
      </c>
      <c r="D2178" s="3563" t="s">
        <v>4796</v>
      </c>
      <c r="E2178" s="3563" t="s">
        <v>6386</v>
      </c>
      <c r="F2178" s="3563" t="s">
        <v>4949</v>
      </c>
      <c r="G2178" s="3564">
        <v>130.44999999999999</v>
      </c>
      <c r="H2178" s="3564">
        <v>113.15</v>
      </c>
      <c r="I2178" s="3564">
        <v>17.3</v>
      </c>
      <c r="J2178" s="3565">
        <v>1844396</v>
      </c>
      <c r="K2178" s="3565">
        <v>14138.72</v>
      </c>
      <c r="L2178" s="3565">
        <v>16300.45</v>
      </c>
      <c r="M2178" s="3565">
        <v>0</v>
      </c>
      <c r="N2178" s="3565">
        <v>0</v>
      </c>
      <c r="O2178" s="3563" t="s">
        <v>3453</v>
      </c>
    </row>
    <row r="2179" spans="1:15">
      <c r="A2179" s="3563" t="s">
        <v>6398</v>
      </c>
      <c r="B2179" s="3563" t="s">
        <v>4196</v>
      </c>
      <c r="C2179" s="3563" t="s">
        <v>4197</v>
      </c>
      <c r="D2179" s="3563" t="s">
        <v>4796</v>
      </c>
      <c r="E2179" s="3563" t="s">
        <v>6386</v>
      </c>
      <c r="F2179" s="3563" t="s">
        <v>4949</v>
      </c>
      <c r="G2179" s="3564">
        <v>106.13</v>
      </c>
      <c r="H2179" s="3564">
        <v>92.06</v>
      </c>
      <c r="I2179" s="3564">
        <v>14.07</v>
      </c>
      <c r="J2179" s="3565">
        <v>1629365</v>
      </c>
      <c r="K2179" s="3565">
        <v>15352.54</v>
      </c>
      <c r="L2179" s="3565">
        <v>17698.95</v>
      </c>
      <c r="M2179" s="3565">
        <v>0</v>
      </c>
      <c r="N2179" s="3565">
        <v>0</v>
      </c>
      <c r="O2179" s="3563" t="s">
        <v>3453</v>
      </c>
    </row>
    <row r="2180" spans="1:15">
      <c r="A2180" s="3563" t="s">
        <v>6399</v>
      </c>
      <c r="B2180" s="3563" t="s">
        <v>4196</v>
      </c>
      <c r="C2180" s="3563" t="s">
        <v>4197</v>
      </c>
      <c r="D2180" s="3563" t="s">
        <v>4796</v>
      </c>
      <c r="E2180" s="3563" t="s">
        <v>6386</v>
      </c>
      <c r="F2180" s="3563" t="s">
        <v>4949</v>
      </c>
      <c r="G2180" s="3564">
        <v>106.47</v>
      </c>
      <c r="H2180" s="3564">
        <v>92.35</v>
      </c>
      <c r="I2180" s="3564">
        <v>14.12</v>
      </c>
      <c r="J2180" s="3565">
        <v>1525222</v>
      </c>
      <c r="K2180" s="3565">
        <v>14325.37</v>
      </c>
      <c r="L2180" s="3565">
        <v>16515.669999999998</v>
      </c>
      <c r="M2180" s="3565">
        <v>0</v>
      </c>
      <c r="N2180" s="3565">
        <v>0</v>
      </c>
      <c r="O2180" s="3563" t="s">
        <v>3453</v>
      </c>
    </row>
    <row r="2181" spans="1:15">
      <c r="A2181" s="3563" t="s">
        <v>6400</v>
      </c>
      <c r="B2181" s="3563" t="s">
        <v>4196</v>
      </c>
      <c r="C2181" s="3563" t="s">
        <v>4197</v>
      </c>
      <c r="D2181" s="3563" t="s">
        <v>4796</v>
      </c>
      <c r="E2181" s="3563" t="s">
        <v>6386</v>
      </c>
      <c r="F2181" s="3563" t="s">
        <v>4949</v>
      </c>
      <c r="G2181" s="3564">
        <v>106.47</v>
      </c>
      <c r="H2181" s="3564">
        <v>92.35</v>
      </c>
      <c r="I2181" s="3564">
        <v>14.12</v>
      </c>
      <c r="J2181" s="3565">
        <v>1468589</v>
      </c>
      <c r="K2181" s="3565">
        <v>13793.45</v>
      </c>
      <c r="L2181" s="3565">
        <v>15902.43</v>
      </c>
      <c r="M2181" s="3565">
        <v>0</v>
      </c>
      <c r="N2181" s="3565">
        <v>0</v>
      </c>
      <c r="O2181" s="3563" t="s">
        <v>3453</v>
      </c>
    </row>
    <row r="2182" spans="1:15">
      <c r="A2182" s="3563" t="s">
        <v>6401</v>
      </c>
      <c r="B2182" s="3563" t="s">
        <v>4196</v>
      </c>
      <c r="C2182" s="3563" t="s">
        <v>4197</v>
      </c>
      <c r="D2182" s="3563" t="s">
        <v>4796</v>
      </c>
      <c r="E2182" s="3563" t="s">
        <v>6386</v>
      </c>
      <c r="F2182" s="3563" t="s">
        <v>4949</v>
      </c>
      <c r="G2182" s="3564">
        <v>106.13</v>
      </c>
      <c r="H2182" s="3564">
        <v>92.06</v>
      </c>
      <c r="I2182" s="3564">
        <v>14.07</v>
      </c>
      <c r="J2182" s="3565">
        <v>1572913</v>
      </c>
      <c r="K2182" s="3565">
        <v>14820.63</v>
      </c>
      <c r="L2182" s="3565">
        <v>17085.740000000002</v>
      </c>
      <c r="M2182" s="3565">
        <v>0</v>
      </c>
      <c r="N2182" s="3565">
        <v>0</v>
      </c>
      <c r="O2182" s="3563" t="s">
        <v>3453</v>
      </c>
    </row>
    <row r="2183" spans="1:15">
      <c r="A2183" s="3563" t="s">
        <v>6402</v>
      </c>
      <c r="B2183" s="3563" t="s">
        <v>4196</v>
      </c>
      <c r="C2183" s="3563" t="s">
        <v>4197</v>
      </c>
      <c r="D2183" s="3563" t="s">
        <v>4796</v>
      </c>
      <c r="E2183" s="3563" t="s">
        <v>6403</v>
      </c>
      <c r="F2183" s="3563" t="s">
        <v>4949</v>
      </c>
      <c r="G2183" s="3564">
        <v>130.53</v>
      </c>
      <c r="H2183" s="3564">
        <v>113.15</v>
      </c>
      <c r="I2183" s="3564">
        <v>17.38</v>
      </c>
      <c r="J2183" s="3565">
        <v>1884614</v>
      </c>
      <c r="K2183" s="3565">
        <v>14438.17</v>
      </c>
      <c r="L2183" s="3565">
        <v>16655.89</v>
      </c>
      <c r="M2183" s="3565">
        <v>0</v>
      </c>
      <c r="N2183" s="3565">
        <v>0</v>
      </c>
      <c r="O2183" s="3563" t="s">
        <v>3453</v>
      </c>
    </row>
    <row r="2184" spans="1:15">
      <c r="A2184" s="3563" t="s">
        <v>6404</v>
      </c>
      <c r="B2184" s="3563" t="s">
        <v>5277</v>
      </c>
      <c r="C2184" s="3563" t="s">
        <v>4197</v>
      </c>
      <c r="D2184" s="3563" t="s">
        <v>4796</v>
      </c>
      <c r="E2184" s="3563" t="s">
        <v>6403</v>
      </c>
      <c r="F2184" s="3563" t="s">
        <v>4949</v>
      </c>
      <c r="G2184" s="3564">
        <v>130.77000000000001</v>
      </c>
      <c r="H2184" s="3564">
        <v>113.36</v>
      </c>
      <c r="I2184" s="3564">
        <v>17.41</v>
      </c>
      <c r="J2184" s="3565">
        <v>1642795</v>
      </c>
      <c r="K2184" s="3565">
        <v>12562.48</v>
      </c>
      <c r="L2184" s="3565">
        <v>14491.84</v>
      </c>
      <c r="M2184" s="3565">
        <v>1560656</v>
      </c>
      <c r="N2184" s="3565">
        <v>11934.36</v>
      </c>
      <c r="O2184" s="3566">
        <v>44183</v>
      </c>
    </row>
    <row r="2185" spans="1:15">
      <c r="A2185" s="3563" t="s">
        <v>6405</v>
      </c>
      <c r="B2185" s="3563" t="s">
        <v>5277</v>
      </c>
      <c r="C2185" s="3563" t="s">
        <v>4197</v>
      </c>
      <c r="D2185" s="3563" t="s">
        <v>4796</v>
      </c>
      <c r="E2185" s="3563" t="s">
        <v>6403</v>
      </c>
      <c r="F2185" s="3563" t="s">
        <v>4949</v>
      </c>
      <c r="G2185" s="3564">
        <v>130.77000000000001</v>
      </c>
      <c r="H2185" s="3564">
        <v>113.36</v>
      </c>
      <c r="I2185" s="3564">
        <v>17.41</v>
      </c>
      <c r="J2185" s="3565">
        <v>1762843</v>
      </c>
      <c r="K2185" s="3565">
        <v>13480.48</v>
      </c>
      <c r="L2185" s="3565">
        <v>15550.84</v>
      </c>
      <c r="M2185" s="3565">
        <v>1604188</v>
      </c>
      <c r="N2185" s="3565">
        <v>12267.25</v>
      </c>
      <c r="O2185" s="3566">
        <v>44183</v>
      </c>
    </row>
    <row r="2186" spans="1:15">
      <c r="A2186" s="3563" t="s">
        <v>6406</v>
      </c>
      <c r="B2186" s="3563" t="s">
        <v>5277</v>
      </c>
      <c r="C2186" s="3563" t="s">
        <v>4197</v>
      </c>
      <c r="D2186" s="3563" t="s">
        <v>4796</v>
      </c>
      <c r="E2186" s="3563" t="s">
        <v>6403</v>
      </c>
      <c r="F2186" s="3563" t="s">
        <v>4949</v>
      </c>
      <c r="G2186" s="3564">
        <v>130.53</v>
      </c>
      <c r="H2186" s="3564">
        <v>113.15</v>
      </c>
      <c r="I2186" s="3564">
        <v>17.38</v>
      </c>
      <c r="J2186" s="3565">
        <v>2003864</v>
      </c>
      <c r="K2186" s="3565">
        <v>15351.75</v>
      </c>
      <c r="L2186" s="3565">
        <v>17709.8</v>
      </c>
      <c r="M2186" s="3565">
        <v>1903671</v>
      </c>
      <c r="N2186" s="3565">
        <v>14584.16</v>
      </c>
      <c r="O2186" s="3566">
        <v>44183</v>
      </c>
    </row>
    <row r="2187" spans="1:15">
      <c r="A2187" s="3563" t="s">
        <v>6407</v>
      </c>
      <c r="B2187" s="3563" t="s">
        <v>5277</v>
      </c>
      <c r="C2187" s="3563" t="s">
        <v>4197</v>
      </c>
      <c r="D2187" s="3563" t="s">
        <v>4796</v>
      </c>
      <c r="E2187" s="3563" t="s">
        <v>6403</v>
      </c>
      <c r="F2187" s="3563" t="s">
        <v>4949</v>
      </c>
      <c r="G2187" s="3564">
        <v>106.2</v>
      </c>
      <c r="H2187" s="3564">
        <v>92.06</v>
      </c>
      <c r="I2187" s="3564">
        <v>14.14</v>
      </c>
      <c r="J2187" s="3565">
        <v>1494576</v>
      </c>
      <c r="K2187" s="3565">
        <v>14073.22</v>
      </c>
      <c r="L2187" s="3565">
        <v>16234.8</v>
      </c>
      <c r="M2187" s="3565">
        <v>1419848</v>
      </c>
      <c r="N2187" s="3565">
        <v>13369.57</v>
      </c>
      <c r="O2187" s="3566">
        <v>44186</v>
      </c>
    </row>
    <row r="2188" spans="1:15">
      <c r="A2188" s="3563" t="s">
        <v>6408</v>
      </c>
      <c r="B2188" s="3563" t="s">
        <v>5277</v>
      </c>
      <c r="C2188" s="3563" t="s">
        <v>4197</v>
      </c>
      <c r="D2188" s="3563" t="s">
        <v>4796</v>
      </c>
      <c r="E2188" s="3563" t="s">
        <v>6403</v>
      </c>
      <c r="F2188" s="3563" t="s">
        <v>4949</v>
      </c>
      <c r="G2188" s="3564">
        <v>106.53</v>
      </c>
      <c r="H2188" s="3564">
        <v>92.35</v>
      </c>
      <c r="I2188" s="3564">
        <v>14.18</v>
      </c>
      <c r="J2188" s="3565">
        <v>1446500</v>
      </c>
      <c r="K2188" s="3565">
        <v>13578.33</v>
      </c>
      <c r="L2188" s="3565">
        <v>15663.24</v>
      </c>
      <c r="M2188" s="3565">
        <v>1316315</v>
      </c>
      <c r="N2188" s="3565">
        <v>12356.28</v>
      </c>
      <c r="O2188" s="3566">
        <v>44183</v>
      </c>
    </row>
    <row r="2189" spans="1:15">
      <c r="A2189" s="3563" t="s">
        <v>6409</v>
      </c>
      <c r="B2189" s="3563" t="s">
        <v>5277</v>
      </c>
      <c r="C2189" s="3563" t="s">
        <v>4197</v>
      </c>
      <c r="D2189" s="3563" t="s">
        <v>4796</v>
      </c>
      <c r="E2189" s="3563" t="s">
        <v>6403</v>
      </c>
      <c r="F2189" s="3563" t="s">
        <v>4949</v>
      </c>
      <c r="G2189" s="3564">
        <v>106.53</v>
      </c>
      <c r="H2189" s="3564">
        <v>92.35</v>
      </c>
      <c r="I2189" s="3564">
        <v>14.18</v>
      </c>
      <c r="J2189" s="3565">
        <v>1503165</v>
      </c>
      <c r="K2189" s="3565">
        <v>14110.25</v>
      </c>
      <c r="L2189" s="3565">
        <v>16276.83</v>
      </c>
      <c r="M2189" s="3565">
        <v>1428007</v>
      </c>
      <c r="N2189" s="3565">
        <v>13404.74</v>
      </c>
      <c r="O2189" s="3566">
        <v>44185</v>
      </c>
    </row>
    <row r="2190" spans="1:15">
      <c r="A2190" s="3563" t="s">
        <v>6410</v>
      </c>
      <c r="B2190" s="3563" t="s">
        <v>4811</v>
      </c>
      <c r="C2190" s="3563" t="s">
        <v>4197</v>
      </c>
      <c r="D2190" s="3563" t="s">
        <v>4796</v>
      </c>
      <c r="E2190" s="3563" t="s">
        <v>6403</v>
      </c>
      <c r="F2190" s="3563" t="s">
        <v>4949</v>
      </c>
      <c r="G2190" s="3564">
        <v>106.2</v>
      </c>
      <c r="H2190" s="3564">
        <v>92.06</v>
      </c>
      <c r="I2190" s="3564">
        <v>14.14</v>
      </c>
      <c r="J2190" s="3565">
        <v>1551065</v>
      </c>
      <c r="K2190" s="3565">
        <v>14605.13</v>
      </c>
      <c r="L2190" s="3565">
        <v>16848.41</v>
      </c>
      <c r="M2190" s="3565">
        <v>1411470</v>
      </c>
      <c r="N2190" s="3565">
        <v>13290.68</v>
      </c>
      <c r="O2190" s="3566">
        <v>44183</v>
      </c>
    </row>
    <row r="2191" spans="1:15">
      <c r="A2191" s="3563" t="s">
        <v>6411</v>
      </c>
      <c r="B2191" s="3563" t="s">
        <v>5277</v>
      </c>
      <c r="C2191" s="3563" t="s">
        <v>4197</v>
      </c>
      <c r="D2191" s="3563" t="s">
        <v>4796</v>
      </c>
      <c r="E2191" s="3563" t="s">
        <v>6403</v>
      </c>
      <c r="F2191" s="3563" t="s">
        <v>4949</v>
      </c>
      <c r="G2191" s="3564">
        <v>130.53</v>
      </c>
      <c r="H2191" s="3564">
        <v>113.15</v>
      </c>
      <c r="I2191" s="3564">
        <v>17.38</v>
      </c>
      <c r="J2191" s="3565">
        <v>1899487</v>
      </c>
      <c r="K2191" s="3565">
        <v>14552.11</v>
      </c>
      <c r="L2191" s="3565">
        <v>16787.34</v>
      </c>
      <c r="M2191" s="3565">
        <v>1728534</v>
      </c>
      <c r="N2191" s="3565">
        <v>13242.43</v>
      </c>
      <c r="O2191" s="3566">
        <v>44183</v>
      </c>
    </row>
    <row r="2192" spans="1:15">
      <c r="A2192" s="3563" t="s">
        <v>6412</v>
      </c>
      <c r="B2192" s="3563" t="s">
        <v>5277</v>
      </c>
      <c r="C2192" s="3563" t="s">
        <v>4197</v>
      </c>
      <c r="D2192" s="3563" t="s">
        <v>4796</v>
      </c>
      <c r="E2192" s="3563" t="s">
        <v>6403</v>
      </c>
      <c r="F2192" s="3563" t="s">
        <v>4949</v>
      </c>
      <c r="G2192" s="3564">
        <v>130.77000000000001</v>
      </c>
      <c r="H2192" s="3564">
        <v>113.36</v>
      </c>
      <c r="I2192" s="3564">
        <v>17.41</v>
      </c>
      <c r="J2192" s="3565">
        <v>1641519</v>
      </c>
      <c r="K2192" s="3565">
        <v>12552.72</v>
      </c>
      <c r="L2192" s="3565">
        <v>14480.58</v>
      </c>
      <c r="M2192" s="3565">
        <v>1559444</v>
      </c>
      <c r="N2192" s="3565">
        <v>11925.09</v>
      </c>
      <c r="O2192" s="3566">
        <v>44183</v>
      </c>
    </row>
    <row r="2193" spans="1:15">
      <c r="A2193" s="3563" t="s">
        <v>6413</v>
      </c>
      <c r="B2193" s="3563" t="s">
        <v>5277</v>
      </c>
      <c r="C2193" s="3563" t="s">
        <v>4197</v>
      </c>
      <c r="D2193" s="3563" t="s">
        <v>4796</v>
      </c>
      <c r="E2193" s="3563" t="s">
        <v>6403</v>
      </c>
      <c r="F2193" s="3563" t="s">
        <v>4949</v>
      </c>
      <c r="G2193" s="3564">
        <v>130.77000000000001</v>
      </c>
      <c r="H2193" s="3564">
        <v>113.36</v>
      </c>
      <c r="I2193" s="3564">
        <v>17.41</v>
      </c>
      <c r="J2193" s="3565">
        <v>1628561</v>
      </c>
      <c r="K2193" s="3565">
        <v>12453.63</v>
      </c>
      <c r="L2193" s="3565">
        <v>14366.28</v>
      </c>
      <c r="M2193" s="3565">
        <v>1547133</v>
      </c>
      <c r="N2193" s="3565">
        <v>11830.95</v>
      </c>
      <c r="O2193" s="3566">
        <v>44183</v>
      </c>
    </row>
    <row r="2194" spans="1:15">
      <c r="A2194" s="3563" t="s">
        <v>6414</v>
      </c>
      <c r="B2194" s="3563" t="s">
        <v>5277</v>
      </c>
      <c r="C2194" s="3563" t="s">
        <v>4197</v>
      </c>
      <c r="D2194" s="3563" t="s">
        <v>4796</v>
      </c>
      <c r="E2194" s="3563" t="s">
        <v>6403</v>
      </c>
      <c r="F2194" s="3563" t="s">
        <v>4949</v>
      </c>
      <c r="G2194" s="3564">
        <v>130.53</v>
      </c>
      <c r="H2194" s="3564">
        <v>113.15</v>
      </c>
      <c r="I2194" s="3564">
        <v>17.38</v>
      </c>
      <c r="J2194" s="3565">
        <v>1885061</v>
      </c>
      <c r="K2194" s="3565">
        <v>14441.59</v>
      </c>
      <c r="L2194" s="3565">
        <v>16659.84</v>
      </c>
      <c r="M2194" s="3565">
        <v>1808659</v>
      </c>
      <c r="N2194" s="3565">
        <v>13856.27</v>
      </c>
      <c r="O2194" s="3566">
        <v>44183</v>
      </c>
    </row>
    <row r="2195" spans="1:15">
      <c r="A2195" s="3563" t="s">
        <v>6415</v>
      </c>
      <c r="B2195" s="3563" t="s">
        <v>5277</v>
      </c>
      <c r="C2195" s="3563" t="s">
        <v>4197</v>
      </c>
      <c r="D2195" s="3563" t="s">
        <v>4796</v>
      </c>
      <c r="E2195" s="3563" t="s">
        <v>6403</v>
      </c>
      <c r="F2195" s="3563" t="s">
        <v>4949</v>
      </c>
      <c r="G2195" s="3564">
        <v>106.2</v>
      </c>
      <c r="H2195" s="3564">
        <v>92.06</v>
      </c>
      <c r="I2195" s="3564">
        <v>14.14</v>
      </c>
      <c r="J2195" s="3565">
        <v>1494576</v>
      </c>
      <c r="K2195" s="3565">
        <v>14073.22</v>
      </c>
      <c r="L2195" s="3565">
        <v>16234.8</v>
      </c>
      <c r="M2195" s="3565">
        <v>1404902</v>
      </c>
      <c r="N2195" s="3565">
        <v>13228.83</v>
      </c>
      <c r="O2195" s="3566">
        <v>44183</v>
      </c>
    </row>
    <row r="2196" spans="1:15">
      <c r="A2196" s="3563" t="s">
        <v>6416</v>
      </c>
      <c r="B2196" s="3563" t="s">
        <v>4811</v>
      </c>
      <c r="C2196" s="3563" t="s">
        <v>4197</v>
      </c>
      <c r="D2196" s="3563" t="s">
        <v>4796</v>
      </c>
      <c r="E2196" s="3563" t="s">
        <v>6403</v>
      </c>
      <c r="F2196" s="3563" t="s">
        <v>4949</v>
      </c>
      <c r="G2196" s="3564">
        <v>106.53</v>
      </c>
      <c r="H2196" s="3564">
        <v>92.35</v>
      </c>
      <c r="I2196" s="3564">
        <v>14.18</v>
      </c>
      <c r="J2196" s="3565">
        <v>1446500</v>
      </c>
      <c r="K2196" s="3565">
        <v>13578.33</v>
      </c>
      <c r="L2196" s="3565">
        <v>15663.24</v>
      </c>
      <c r="M2196" s="3565">
        <v>1403105</v>
      </c>
      <c r="N2196" s="3565">
        <v>13170.98</v>
      </c>
      <c r="O2196" s="3566">
        <v>44190</v>
      </c>
    </row>
    <row r="2197" spans="1:15">
      <c r="A2197" s="3563" t="s">
        <v>6417</v>
      </c>
      <c r="B2197" s="3563" t="s">
        <v>5277</v>
      </c>
      <c r="C2197" s="3563" t="s">
        <v>4197</v>
      </c>
      <c r="D2197" s="3563" t="s">
        <v>4796</v>
      </c>
      <c r="E2197" s="3563" t="s">
        <v>6403</v>
      </c>
      <c r="F2197" s="3563" t="s">
        <v>4949</v>
      </c>
      <c r="G2197" s="3564">
        <v>106.53</v>
      </c>
      <c r="H2197" s="3564">
        <v>92.35</v>
      </c>
      <c r="I2197" s="3564">
        <v>14.18</v>
      </c>
      <c r="J2197" s="3565">
        <v>1446500</v>
      </c>
      <c r="K2197" s="3565">
        <v>13578.33</v>
      </c>
      <c r="L2197" s="3565">
        <v>15663.24</v>
      </c>
      <c r="M2197" s="3565">
        <v>1446500</v>
      </c>
      <c r="N2197" s="3565">
        <v>13578.33</v>
      </c>
      <c r="O2197" s="3566">
        <v>44189</v>
      </c>
    </row>
    <row r="2198" spans="1:15">
      <c r="A2198" s="3563" t="s">
        <v>6418</v>
      </c>
      <c r="B2198" s="3563" t="s">
        <v>4811</v>
      </c>
      <c r="C2198" s="3563" t="s">
        <v>4197</v>
      </c>
      <c r="D2198" s="3563" t="s">
        <v>4796</v>
      </c>
      <c r="E2198" s="3563" t="s">
        <v>6403</v>
      </c>
      <c r="F2198" s="3563" t="s">
        <v>4949</v>
      </c>
      <c r="G2198" s="3564">
        <v>106.2</v>
      </c>
      <c r="H2198" s="3564">
        <v>92.06</v>
      </c>
      <c r="I2198" s="3564">
        <v>14.14</v>
      </c>
      <c r="J2198" s="3565">
        <v>1494576</v>
      </c>
      <c r="K2198" s="3565">
        <v>14073.22</v>
      </c>
      <c r="L2198" s="3565">
        <v>16234.8</v>
      </c>
      <c r="M2198" s="3565">
        <v>1449739</v>
      </c>
      <c r="N2198" s="3565">
        <v>13651.03</v>
      </c>
      <c r="O2198" s="3566">
        <v>44184</v>
      </c>
    </row>
    <row r="2199" spans="1:15">
      <c r="A2199" s="3563" t="s">
        <v>6419</v>
      </c>
      <c r="B2199" s="3563" t="s">
        <v>4811</v>
      </c>
      <c r="C2199" s="3563" t="s">
        <v>4197</v>
      </c>
      <c r="D2199" s="3563" t="s">
        <v>4796</v>
      </c>
      <c r="E2199" s="3563" t="s">
        <v>6403</v>
      </c>
      <c r="F2199" s="3563" t="s">
        <v>4949</v>
      </c>
      <c r="G2199" s="3564">
        <v>130.53</v>
      </c>
      <c r="H2199" s="3564">
        <v>113.15</v>
      </c>
      <c r="I2199" s="3564">
        <v>17.38</v>
      </c>
      <c r="J2199" s="3565">
        <v>2004152</v>
      </c>
      <c r="K2199" s="3565">
        <v>15353.96</v>
      </c>
      <c r="L2199" s="3565">
        <v>17712.349999999999</v>
      </c>
      <c r="M2199" s="3565">
        <v>1923986</v>
      </c>
      <c r="N2199" s="3565">
        <v>14739.8</v>
      </c>
      <c r="O2199" s="3566">
        <v>44183</v>
      </c>
    </row>
    <row r="2200" spans="1:15">
      <c r="A2200" s="3563" t="s">
        <v>6420</v>
      </c>
      <c r="B2200" s="3563" t="s">
        <v>5277</v>
      </c>
      <c r="C2200" s="3563" t="s">
        <v>4197</v>
      </c>
      <c r="D2200" s="3563" t="s">
        <v>4796</v>
      </c>
      <c r="E2200" s="3563" t="s">
        <v>6403</v>
      </c>
      <c r="F2200" s="3563" t="s">
        <v>4949</v>
      </c>
      <c r="G2200" s="3564">
        <v>130.77000000000001</v>
      </c>
      <c r="H2200" s="3564">
        <v>113.36</v>
      </c>
      <c r="I2200" s="3564">
        <v>17.41</v>
      </c>
      <c r="J2200" s="3565">
        <v>1839630</v>
      </c>
      <c r="K2200" s="3565">
        <v>14067.68</v>
      </c>
      <c r="L2200" s="3565">
        <v>16228.21</v>
      </c>
      <c r="M2200" s="3565">
        <v>1747649</v>
      </c>
      <c r="N2200" s="3565">
        <v>13364.3</v>
      </c>
      <c r="O2200" s="3566">
        <v>44183</v>
      </c>
    </row>
    <row r="2201" spans="1:15">
      <c r="A2201" s="3563" t="s">
        <v>6421</v>
      </c>
      <c r="B2201" s="3563" t="s">
        <v>6422</v>
      </c>
      <c r="C2201" s="3563" t="s">
        <v>4197</v>
      </c>
      <c r="D2201" s="3563" t="s">
        <v>4796</v>
      </c>
      <c r="E2201" s="3563" t="s">
        <v>6403</v>
      </c>
      <c r="F2201" s="3563" t="s">
        <v>4949</v>
      </c>
      <c r="G2201" s="3564">
        <v>130.77000000000001</v>
      </c>
      <c r="H2201" s="3564">
        <v>113.36</v>
      </c>
      <c r="I2201" s="3564">
        <v>17.41</v>
      </c>
      <c r="J2201" s="3565">
        <v>1628338</v>
      </c>
      <c r="K2201" s="3565">
        <v>12451.92</v>
      </c>
      <c r="L2201" s="3565">
        <v>14364.31</v>
      </c>
      <c r="M2201" s="3565">
        <v>1562205</v>
      </c>
      <c r="N2201" s="3565">
        <v>11946.2</v>
      </c>
      <c r="O2201" s="3566">
        <v>44183</v>
      </c>
    </row>
    <row r="2202" spans="1:15">
      <c r="A2202" s="3563" t="s">
        <v>6423</v>
      </c>
      <c r="B2202" s="3563" t="s">
        <v>4811</v>
      </c>
      <c r="C2202" s="3563" t="s">
        <v>4197</v>
      </c>
      <c r="D2202" s="3563" t="s">
        <v>4796</v>
      </c>
      <c r="E2202" s="3563" t="s">
        <v>6403</v>
      </c>
      <c r="F2202" s="3563" t="s">
        <v>4949</v>
      </c>
      <c r="G2202" s="3564">
        <v>130.53</v>
      </c>
      <c r="H2202" s="3564">
        <v>113.15</v>
      </c>
      <c r="I2202" s="3564">
        <v>17.38</v>
      </c>
      <c r="J2202" s="3565">
        <v>1886561</v>
      </c>
      <c r="K2202" s="3565">
        <v>14453.08</v>
      </c>
      <c r="L2202" s="3565">
        <v>16673.099999999999</v>
      </c>
      <c r="M2202" s="3565">
        <v>1792233</v>
      </c>
      <c r="N2202" s="3565">
        <v>13730.43</v>
      </c>
      <c r="O2202" s="3566">
        <v>44183</v>
      </c>
    </row>
    <row r="2203" spans="1:15">
      <c r="A2203" s="3563" t="s">
        <v>6424</v>
      </c>
      <c r="B2203" s="3563" t="s">
        <v>5277</v>
      </c>
      <c r="C2203" s="3563" t="s">
        <v>4197</v>
      </c>
      <c r="D2203" s="3563" t="s">
        <v>4796</v>
      </c>
      <c r="E2203" s="3563" t="s">
        <v>6403</v>
      </c>
      <c r="F2203" s="3563" t="s">
        <v>4949</v>
      </c>
      <c r="G2203" s="3564">
        <v>106.2</v>
      </c>
      <c r="H2203" s="3564">
        <v>92.06</v>
      </c>
      <c r="I2203" s="3564">
        <v>14.14</v>
      </c>
      <c r="J2203" s="3565">
        <v>1551065</v>
      </c>
      <c r="K2203" s="3565">
        <v>14605.13</v>
      </c>
      <c r="L2203" s="3565">
        <v>16848.41</v>
      </c>
      <c r="M2203" s="3565">
        <v>1489023</v>
      </c>
      <c r="N2203" s="3565">
        <v>14020.93</v>
      </c>
      <c r="O2203" s="3566">
        <v>44185</v>
      </c>
    </row>
    <row r="2204" spans="1:15">
      <c r="A2204" s="3563" t="s">
        <v>6425</v>
      </c>
      <c r="B2204" s="3563" t="s">
        <v>5277</v>
      </c>
      <c r="C2204" s="3563" t="s">
        <v>4197</v>
      </c>
      <c r="D2204" s="3563" t="s">
        <v>4796</v>
      </c>
      <c r="E2204" s="3563" t="s">
        <v>6403</v>
      </c>
      <c r="F2204" s="3563" t="s">
        <v>4949</v>
      </c>
      <c r="G2204" s="3564">
        <v>106.53</v>
      </c>
      <c r="H2204" s="3564">
        <v>92.35</v>
      </c>
      <c r="I2204" s="3564">
        <v>14.18</v>
      </c>
      <c r="J2204" s="3565">
        <v>1503165</v>
      </c>
      <c r="K2204" s="3565">
        <v>14110.25</v>
      </c>
      <c r="L2204" s="3565">
        <v>16276.83</v>
      </c>
      <c r="M2204" s="3565">
        <v>1443039</v>
      </c>
      <c r="N2204" s="3565">
        <v>13545.85</v>
      </c>
      <c r="O2204" s="3566">
        <v>44188</v>
      </c>
    </row>
    <row r="2205" spans="1:15">
      <c r="A2205" s="3563" t="s">
        <v>6426</v>
      </c>
      <c r="B2205" s="3563" t="s">
        <v>4811</v>
      </c>
      <c r="C2205" s="3563" t="s">
        <v>4197</v>
      </c>
      <c r="D2205" s="3563" t="s">
        <v>4796</v>
      </c>
      <c r="E2205" s="3563" t="s">
        <v>6403</v>
      </c>
      <c r="F2205" s="3563" t="s">
        <v>4949</v>
      </c>
      <c r="G2205" s="3564">
        <v>106.53</v>
      </c>
      <c r="H2205" s="3564">
        <v>92.35</v>
      </c>
      <c r="I2205" s="3564">
        <v>14.18</v>
      </c>
      <c r="J2205" s="3565">
        <v>1446500</v>
      </c>
      <c r="K2205" s="3565">
        <v>13578.33</v>
      </c>
      <c r="L2205" s="3565">
        <v>15663.24</v>
      </c>
      <c r="M2205" s="3565">
        <v>1374175</v>
      </c>
      <c r="N2205" s="3565">
        <v>12899.42</v>
      </c>
      <c r="O2205" s="3566">
        <v>44189</v>
      </c>
    </row>
    <row r="2206" spans="1:15">
      <c r="A2206" s="3563" t="s">
        <v>6427</v>
      </c>
      <c r="B2206" s="3563" t="s">
        <v>4811</v>
      </c>
      <c r="C2206" s="3563" t="s">
        <v>4197</v>
      </c>
      <c r="D2206" s="3563" t="s">
        <v>4796</v>
      </c>
      <c r="E2206" s="3563" t="s">
        <v>6403</v>
      </c>
      <c r="F2206" s="3563" t="s">
        <v>4949</v>
      </c>
      <c r="G2206" s="3564">
        <v>106.2</v>
      </c>
      <c r="H2206" s="3564">
        <v>92.06</v>
      </c>
      <c r="I2206" s="3564">
        <v>14.14</v>
      </c>
      <c r="J2206" s="3565">
        <v>1494576</v>
      </c>
      <c r="K2206" s="3565">
        <v>14073.22</v>
      </c>
      <c r="L2206" s="3565">
        <v>16234.8</v>
      </c>
      <c r="M2206" s="3565">
        <v>1434793</v>
      </c>
      <c r="N2206" s="3565">
        <v>13510.29</v>
      </c>
      <c r="O2206" s="3566">
        <v>44190</v>
      </c>
    </row>
    <row r="2207" spans="1:15">
      <c r="A2207" s="3563" t="s">
        <v>6428</v>
      </c>
      <c r="B2207" s="3563" t="s">
        <v>4811</v>
      </c>
      <c r="C2207" s="3563" t="s">
        <v>4197</v>
      </c>
      <c r="D2207" s="3563" t="s">
        <v>6429</v>
      </c>
      <c r="E2207" s="3563" t="s">
        <v>4199</v>
      </c>
      <c r="F2207" s="3563" t="s">
        <v>4797</v>
      </c>
      <c r="G2207" s="3564">
        <v>88.96</v>
      </c>
      <c r="H2207" s="3564">
        <v>71</v>
      </c>
      <c r="I2207" s="3564">
        <v>17.96</v>
      </c>
      <c r="J2207" s="3565">
        <v>947510</v>
      </c>
      <c r="K2207" s="3565">
        <v>10650.97</v>
      </c>
      <c r="L2207" s="3565">
        <v>13345.21</v>
      </c>
      <c r="M2207" s="3565">
        <v>862235</v>
      </c>
      <c r="N2207" s="3565">
        <v>9692.39</v>
      </c>
      <c r="O2207" s="3566">
        <v>44187</v>
      </c>
    </row>
    <row r="2208" spans="1:15">
      <c r="A2208" s="3563" t="s">
        <v>6430</v>
      </c>
      <c r="B2208" s="3563" t="s">
        <v>4196</v>
      </c>
      <c r="C2208" s="3563" t="s">
        <v>4197</v>
      </c>
      <c r="D2208" s="3563" t="s">
        <v>6429</v>
      </c>
      <c r="E2208" s="3563" t="s">
        <v>4199</v>
      </c>
      <c r="F2208" s="3563" t="s">
        <v>4797</v>
      </c>
      <c r="G2208" s="3564">
        <v>88.96</v>
      </c>
      <c r="H2208" s="3564">
        <v>71</v>
      </c>
      <c r="I2208" s="3564">
        <v>17.96</v>
      </c>
      <c r="J2208" s="3565">
        <v>947510</v>
      </c>
      <c r="K2208" s="3565">
        <v>10650.97</v>
      </c>
      <c r="L2208" s="3565">
        <v>13345.21</v>
      </c>
      <c r="M2208" s="3565">
        <v>0</v>
      </c>
      <c r="N2208" s="3565">
        <v>0</v>
      </c>
      <c r="O2208" s="3563" t="s">
        <v>3453</v>
      </c>
    </row>
    <row r="2209" spans="1:15">
      <c r="A2209" s="3563" t="s">
        <v>6431</v>
      </c>
      <c r="B2209" s="3563" t="s">
        <v>4196</v>
      </c>
      <c r="C2209" s="3563" t="s">
        <v>4197</v>
      </c>
      <c r="D2209" s="3563" t="s">
        <v>6429</v>
      </c>
      <c r="E2209" s="3563" t="s">
        <v>4199</v>
      </c>
      <c r="F2209" s="3563" t="s">
        <v>4797</v>
      </c>
      <c r="G2209" s="3564">
        <v>91.19</v>
      </c>
      <c r="H2209" s="3564">
        <v>72.78</v>
      </c>
      <c r="I2209" s="3564">
        <v>18.41</v>
      </c>
      <c r="J2209" s="3565">
        <v>908204</v>
      </c>
      <c r="K2209" s="3565">
        <v>9959.4699999999993</v>
      </c>
      <c r="L2209" s="3565">
        <v>12478.76</v>
      </c>
      <c r="M2209" s="3565">
        <v>0</v>
      </c>
      <c r="N2209" s="3565">
        <v>0</v>
      </c>
      <c r="O2209" s="3563" t="s">
        <v>3453</v>
      </c>
    </row>
    <row r="2210" spans="1:15">
      <c r="A2210" s="3563" t="s">
        <v>6432</v>
      </c>
      <c r="B2210" s="3563" t="s">
        <v>4196</v>
      </c>
      <c r="C2210" s="3563" t="s">
        <v>4197</v>
      </c>
      <c r="D2210" s="3563" t="s">
        <v>6429</v>
      </c>
      <c r="E2210" s="3563" t="s">
        <v>4199</v>
      </c>
      <c r="F2210" s="3563" t="s">
        <v>4797</v>
      </c>
      <c r="G2210" s="3564">
        <v>88.96</v>
      </c>
      <c r="H2210" s="3564">
        <v>71</v>
      </c>
      <c r="I2210" s="3564">
        <v>17.96</v>
      </c>
      <c r="J2210" s="3565">
        <v>904922</v>
      </c>
      <c r="K2210" s="3565">
        <v>10172.23</v>
      </c>
      <c r="L2210" s="3565">
        <v>12745.38</v>
      </c>
      <c r="M2210" s="3565">
        <v>0</v>
      </c>
      <c r="N2210" s="3565">
        <v>0</v>
      </c>
      <c r="O2210" s="3563" t="s">
        <v>3453</v>
      </c>
    </row>
    <row r="2211" spans="1:15">
      <c r="A2211" s="3563" t="s">
        <v>6433</v>
      </c>
      <c r="B2211" s="3563" t="s">
        <v>5277</v>
      </c>
      <c r="C2211" s="3563" t="s">
        <v>4197</v>
      </c>
      <c r="D2211" s="3563" t="s">
        <v>6429</v>
      </c>
      <c r="E2211" s="3563" t="s">
        <v>4199</v>
      </c>
      <c r="F2211" s="3563" t="s">
        <v>4797</v>
      </c>
      <c r="G2211" s="3564">
        <v>88.96</v>
      </c>
      <c r="H2211" s="3564">
        <v>71</v>
      </c>
      <c r="I2211" s="3564">
        <v>17.96</v>
      </c>
      <c r="J2211" s="3565">
        <v>904922</v>
      </c>
      <c r="K2211" s="3565">
        <v>10172.23</v>
      </c>
      <c r="L2211" s="3565">
        <v>12745.38</v>
      </c>
      <c r="M2211" s="3565">
        <v>868726</v>
      </c>
      <c r="N2211" s="3565">
        <v>9765.36</v>
      </c>
      <c r="O2211" s="3566">
        <v>44184</v>
      </c>
    </row>
    <row r="2212" spans="1:15">
      <c r="A2212" s="3563" t="s">
        <v>6434</v>
      </c>
      <c r="B2212" s="3563" t="s">
        <v>4196</v>
      </c>
      <c r="C2212" s="3563" t="s">
        <v>4197</v>
      </c>
      <c r="D2212" s="3563" t="s">
        <v>6429</v>
      </c>
      <c r="E2212" s="3563" t="s">
        <v>4199</v>
      </c>
      <c r="F2212" s="3563" t="s">
        <v>4797</v>
      </c>
      <c r="G2212" s="3564">
        <v>102.75</v>
      </c>
      <c r="H2212" s="3564">
        <v>82.01</v>
      </c>
      <c r="I2212" s="3564">
        <v>20.74</v>
      </c>
      <c r="J2212" s="3565">
        <v>1072524</v>
      </c>
      <c r="K2212" s="3565">
        <v>10438.19</v>
      </c>
      <c r="L2212" s="3565">
        <v>13077.97</v>
      </c>
      <c r="M2212" s="3565">
        <v>0</v>
      </c>
      <c r="N2212" s="3565">
        <v>0</v>
      </c>
      <c r="O2212" s="3563" t="s">
        <v>3453</v>
      </c>
    </row>
    <row r="2213" spans="1:15">
      <c r="A2213" s="3563" t="s">
        <v>6435</v>
      </c>
      <c r="B2213" s="3563" t="s">
        <v>4196</v>
      </c>
      <c r="C2213" s="3563" t="s">
        <v>4197</v>
      </c>
      <c r="D2213" s="3563" t="s">
        <v>6429</v>
      </c>
      <c r="E2213" s="3563" t="s">
        <v>4199</v>
      </c>
      <c r="F2213" s="3563" t="s">
        <v>4797</v>
      </c>
      <c r="G2213" s="3564">
        <v>88.96</v>
      </c>
      <c r="H2213" s="3564">
        <v>71</v>
      </c>
      <c r="I2213" s="3564">
        <v>17.96</v>
      </c>
      <c r="J2213" s="3565">
        <v>948456</v>
      </c>
      <c r="K2213" s="3565">
        <v>10661.6</v>
      </c>
      <c r="L2213" s="3565">
        <v>13358.54</v>
      </c>
      <c r="M2213" s="3565">
        <v>0</v>
      </c>
      <c r="N2213" s="3565">
        <v>0</v>
      </c>
      <c r="O2213" s="3563" t="s">
        <v>3453</v>
      </c>
    </row>
    <row r="2214" spans="1:15">
      <c r="A2214" s="3563" t="s">
        <v>6436</v>
      </c>
      <c r="B2214" s="3563" t="s">
        <v>4196</v>
      </c>
      <c r="C2214" s="3563" t="s">
        <v>4197</v>
      </c>
      <c r="D2214" s="3563" t="s">
        <v>6429</v>
      </c>
      <c r="E2214" s="3563" t="s">
        <v>4199</v>
      </c>
      <c r="F2214" s="3563" t="s">
        <v>4797</v>
      </c>
      <c r="G2214" s="3564">
        <v>88.96</v>
      </c>
      <c r="H2214" s="3564">
        <v>71</v>
      </c>
      <c r="I2214" s="3564">
        <v>17.96</v>
      </c>
      <c r="J2214" s="3565">
        <v>948456</v>
      </c>
      <c r="K2214" s="3565">
        <v>10661.6</v>
      </c>
      <c r="L2214" s="3565">
        <v>13358.54</v>
      </c>
      <c r="M2214" s="3565">
        <v>0</v>
      </c>
      <c r="N2214" s="3565">
        <v>0</v>
      </c>
      <c r="O2214" s="3563" t="s">
        <v>3453</v>
      </c>
    </row>
    <row r="2215" spans="1:15">
      <c r="A2215" s="3563" t="s">
        <v>6437</v>
      </c>
      <c r="B2215" s="3563" t="s">
        <v>4196</v>
      </c>
      <c r="C2215" s="3563" t="s">
        <v>4197</v>
      </c>
      <c r="D2215" s="3563" t="s">
        <v>6429</v>
      </c>
      <c r="E2215" s="3563" t="s">
        <v>4199</v>
      </c>
      <c r="F2215" s="3563" t="s">
        <v>4797</v>
      </c>
      <c r="G2215" s="3564">
        <v>91.19</v>
      </c>
      <c r="H2215" s="3564">
        <v>72.78</v>
      </c>
      <c r="I2215" s="3564">
        <v>18.41</v>
      </c>
      <c r="J2215" s="3565">
        <v>909174</v>
      </c>
      <c r="K2215" s="3565">
        <v>9970.11</v>
      </c>
      <c r="L2215" s="3565">
        <v>12492.09</v>
      </c>
      <c r="M2215" s="3565">
        <v>0</v>
      </c>
      <c r="N2215" s="3565">
        <v>0</v>
      </c>
      <c r="O2215" s="3563" t="s">
        <v>3453</v>
      </c>
    </row>
    <row r="2216" spans="1:15">
      <c r="A2216" s="3563" t="s">
        <v>6438</v>
      </c>
      <c r="B2216" s="3563" t="s">
        <v>4196</v>
      </c>
      <c r="C2216" s="3563" t="s">
        <v>4197</v>
      </c>
      <c r="D2216" s="3563" t="s">
        <v>6429</v>
      </c>
      <c r="E2216" s="3563" t="s">
        <v>4199</v>
      </c>
      <c r="F2216" s="3563" t="s">
        <v>4797</v>
      </c>
      <c r="G2216" s="3564">
        <v>88.96</v>
      </c>
      <c r="H2216" s="3564">
        <v>71</v>
      </c>
      <c r="I2216" s="3564">
        <v>17.96</v>
      </c>
      <c r="J2216" s="3565">
        <v>905869</v>
      </c>
      <c r="K2216" s="3565">
        <v>10182.879999999999</v>
      </c>
      <c r="L2216" s="3565">
        <v>12758.72</v>
      </c>
      <c r="M2216" s="3565">
        <v>0</v>
      </c>
      <c r="N2216" s="3565">
        <v>0</v>
      </c>
      <c r="O2216" s="3563" t="s">
        <v>3453</v>
      </c>
    </row>
    <row r="2217" spans="1:15">
      <c r="A2217" s="3563" t="s">
        <v>6439</v>
      </c>
      <c r="B2217" s="3563" t="s">
        <v>4196</v>
      </c>
      <c r="C2217" s="3563" t="s">
        <v>4197</v>
      </c>
      <c r="D2217" s="3563" t="s">
        <v>6429</v>
      </c>
      <c r="E2217" s="3563" t="s">
        <v>4199</v>
      </c>
      <c r="F2217" s="3563" t="s">
        <v>4797</v>
      </c>
      <c r="G2217" s="3564">
        <v>88.96</v>
      </c>
      <c r="H2217" s="3564">
        <v>71</v>
      </c>
      <c r="I2217" s="3564">
        <v>17.96</v>
      </c>
      <c r="J2217" s="3565">
        <v>905869</v>
      </c>
      <c r="K2217" s="3565">
        <v>10182.879999999999</v>
      </c>
      <c r="L2217" s="3565">
        <v>12758.72</v>
      </c>
      <c r="M2217" s="3565">
        <v>0</v>
      </c>
      <c r="N2217" s="3565">
        <v>0</v>
      </c>
      <c r="O2217" s="3563" t="s">
        <v>3453</v>
      </c>
    </row>
    <row r="2218" spans="1:15">
      <c r="A2218" s="3563" t="s">
        <v>6440</v>
      </c>
      <c r="B2218" s="3563" t="s">
        <v>5277</v>
      </c>
      <c r="C2218" s="3563" t="s">
        <v>4197</v>
      </c>
      <c r="D2218" s="3563" t="s">
        <v>6429</v>
      </c>
      <c r="E2218" s="3563" t="s">
        <v>4199</v>
      </c>
      <c r="F2218" s="3563" t="s">
        <v>4797</v>
      </c>
      <c r="G2218" s="3564">
        <v>102.75</v>
      </c>
      <c r="H2218" s="3564">
        <v>82.01</v>
      </c>
      <c r="I2218" s="3564">
        <v>20.74</v>
      </c>
      <c r="J2218" s="3565">
        <v>1073618</v>
      </c>
      <c r="K2218" s="3565">
        <v>10448.84</v>
      </c>
      <c r="L2218" s="3565">
        <v>13091.31</v>
      </c>
      <c r="M2218" s="3565">
        <v>1030674</v>
      </c>
      <c r="N2218" s="3565">
        <v>10030.89</v>
      </c>
      <c r="O2218" s="3566">
        <v>44187</v>
      </c>
    </row>
    <row r="2219" spans="1:15">
      <c r="A2219" s="3563" t="s">
        <v>6441</v>
      </c>
      <c r="B2219" s="3563" t="s">
        <v>4196</v>
      </c>
      <c r="C2219" s="3563" t="s">
        <v>4197</v>
      </c>
      <c r="D2219" s="3563" t="s">
        <v>6429</v>
      </c>
      <c r="E2219" s="3563" t="s">
        <v>4199</v>
      </c>
      <c r="F2219" s="3563" t="s">
        <v>4797</v>
      </c>
      <c r="G2219" s="3564">
        <v>88.96</v>
      </c>
      <c r="H2219" s="3564">
        <v>71</v>
      </c>
      <c r="I2219" s="3564">
        <v>17.96</v>
      </c>
      <c r="J2219" s="3565">
        <v>949402</v>
      </c>
      <c r="K2219" s="3565">
        <v>10672.23</v>
      </c>
      <c r="L2219" s="3565">
        <v>13371.86</v>
      </c>
      <c r="M2219" s="3565">
        <v>0</v>
      </c>
      <c r="N2219" s="3565">
        <v>0</v>
      </c>
      <c r="O2219" s="3563" t="s">
        <v>3453</v>
      </c>
    </row>
    <row r="2220" spans="1:15">
      <c r="A2220" s="3563" t="s">
        <v>6442</v>
      </c>
      <c r="B2220" s="3563" t="s">
        <v>4811</v>
      </c>
      <c r="C2220" s="3563" t="s">
        <v>4197</v>
      </c>
      <c r="D2220" s="3563" t="s">
        <v>6429</v>
      </c>
      <c r="E2220" s="3563" t="s">
        <v>4199</v>
      </c>
      <c r="F2220" s="3563" t="s">
        <v>4797</v>
      </c>
      <c r="G2220" s="3564">
        <v>88.96</v>
      </c>
      <c r="H2220" s="3564">
        <v>71</v>
      </c>
      <c r="I2220" s="3564">
        <v>17.96</v>
      </c>
      <c r="J2220" s="3565">
        <v>949402</v>
      </c>
      <c r="K2220" s="3565">
        <v>10672.23</v>
      </c>
      <c r="L2220" s="3565">
        <v>13371.86</v>
      </c>
      <c r="M2220" s="3565">
        <v>920920</v>
      </c>
      <c r="N2220" s="3565">
        <v>10352.07</v>
      </c>
      <c r="O2220" s="3566">
        <v>44184</v>
      </c>
    </row>
    <row r="2221" spans="1:15">
      <c r="A2221" s="3563" t="s">
        <v>6443</v>
      </c>
      <c r="B2221" s="3563" t="s">
        <v>4196</v>
      </c>
      <c r="C2221" s="3563" t="s">
        <v>4197</v>
      </c>
      <c r="D2221" s="3563" t="s">
        <v>6429</v>
      </c>
      <c r="E2221" s="3563" t="s">
        <v>4199</v>
      </c>
      <c r="F2221" s="3563" t="s">
        <v>4797</v>
      </c>
      <c r="G2221" s="3564">
        <v>91.19</v>
      </c>
      <c r="H2221" s="3564">
        <v>72.78</v>
      </c>
      <c r="I2221" s="3564">
        <v>18.41</v>
      </c>
      <c r="J2221" s="3565">
        <v>910145</v>
      </c>
      <c r="K2221" s="3565">
        <v>9980.75</v>
      </c>
      <c r="L2221" s="3565">
        <v>12505.43</v>
      </c>
      <c r="M2221" s="3565">
        <v>0</v>
      </c>
      <c r="N2221" s="3565">
        <v>0</v>
      </c>
      <c r="O2221" s="3563" t="s">
        <v>3453</v>
      </c>
    </row>
    <row r="2222" spans="1:15">
      <c r="A2222" s="3563" t="s">
        <v>6444</v>
      </c>
      <c r="B2222" s="3563" t="s">
        <v>4196</v>
      </c>
      <c r="C2222" s="3563" t="s">
        <v>4197</v>
      </c>
      <c r="D2222" s="3563" t="s">
        <v>6429</v>
      </c>
      <c r="E2222" s="3563" t="s">
        <v>4199</v>
      </c>
      <c r="F2222" s="3563" t="s">
        <v>4797</v>
      </c>
      <c r="G2222" s="3564">
        <v>88.96</v>
      </c>
      <c r="H2222" s="3564">
        <v>71</v>
      </c>
      <c r="I2222" s="3564">
        <v>17.96</v>
      </c>
      <c r="J2222" s="3565">
        <v>906815</v>
      </c>
      <c r="K2222" s="3565">
        <v>10193.51</v>
      </c>
      <c r="L2222" s="3565">
        <v>12772.04</v>
      </c>
      <c r="M2222" s="3565">
        <v>0</v>
      </c>
      <c r="N2222" s="3565">
        <v>0</v>
      </c>
      <c r="O2222" s="3563" t="s">
        <v>3453</v>
      </c>
    </row>
    <row r="2223" spans="1:15">
      <c r="A2223" s="3563" t="s">
        <v>6445</v>
      </c>
      <c r="B2223" s="3563" t="s">
        <v>4811</v>
      </c>
      <c r="C2223" s="3563" t="s">
        <v>4197</v>
      </c>
      <c r="D2223" s="3563" t="s">
        <v>6429</v>
      </c>
      <c r="E2223" s="3563" t="s">
        <v>4199</v>
      </c>
      <c r="F2223" s="3563" t="s">
        <v>4797</v>
      </c>
      <c r="G2223" s="3564">
        <v>88.96</v>
      </c>
      <c r="H2223" s="3564">
        <v>71</v>
      </c>
      <c r="I2223" s="3564">
        <v>17.96</v>
      </c>
      <c r="J2223" s="3565">
        <v>906815</v>
      </c>
      <c r="K2223" s="3565">
        <v>10193.51</v>
      </c>
      <c r="L2223" s="3565">
        <v>12772.04</v>
      </c>
      <c r="M2223" s="3565">
        <v>879611</v>
      </c>
      <c r="N2223" s="3565">
        <v>9887.7099999999991</v>
      </c>
      <c r="O2223" s="3566">
        <v>44185</v>
      </c>
    </row>
    <row r="2224" spans="1:15">
      <c r="A2224" s="3563" t="s">
        <v>6446</v>
      </c>
      <c r="B2224" s="3563" t="s">
        <v>5277</v>
      </c>
      <c r="C2224" s="3563" t="s">
        <v>4197</v>
      </c>
      <c r="D2224" s="3563" t="s">
        <v>6429</v>
      </c>
      <c r="E2224" s="3563" t="s">
        <v>4199</v>
      </c>
      <c r="F2224" s="3563" t="s">
        <v>4797</v>
      </c>
      <c r="G2224" s="3564">
        <v>102.75</v>
      </c>
      <c r="H2224" s="3564">
        <v>82.01</v>
      </c>
      <c r="I2224" s="3564">
        <v>20.74</v>
      </c>
      <c r="J2224" s="3565">
        <v>1074711</v>
      </c>
      <c r="K2224" s="3565">
        <v>10459.469999999999</v>
      </c>
      <c r="L2224" s="3565">
        <v>13104.63</v>
      </c>
      <c r="M2224" s="3565">
        <v>1042470</v>
      </c>
      <c r="N2224" s="3565">
        <v>10145.69</v>
      </c>
      <c r="O2224" s="3566">
        <v>44186</v>
      </c>
    </row>
    <row r="2225" spans="1:15">
      <c r="A2225" s="3563" t="s">
        <v>6447</v>
      </c>
      <c r="B2225" s="3563" t="s">
        <v>4196</v>
      </c>
      <c r="C2225" s="3563" t="s">
        <v>4197</v>
      </c>
      <c r="D2225" s="3563" t="s">
        <v>6429</v>
      </c>
      <c r="E2225" s="3563" t="s">
        <v>4199</v>
      </c>
      <c r="F2225" s="3563" t="s">
        <v>4797</v>
      </c>
      <c r="G2225" s="3564">
        <v>88.96</v>
      </c>
      <c r="H2225" s="3564">
        <v>71</v>
      </c>
      <c r="I2225" s="3564">
        <v>17.96</v>
      </c>
      <c r="J2225" s="3565">
        <v>950349</v>
      </c>
      <c r="K2225" s="3565">
        <v>10682.88</v>
      </c>
      <c r="L2225" s="3565">
        <v>13385.2</v>
      </c>
      <c r="M2225" s="3565">
        <v>0</v>
      </c>
      <c r="N2225" s="3565">
        <v>0</v>
      </c>
      <c r="O2225" s="3563" t="s">
        <v>3453</v>
      </c>
    </row>
    <row r="2226" spans="1:15">
      <c r="A2226" s="3563" t="s">
        <v>6448</v>
      </c>
      <c r="B2226" s="3563" t="s">
        <v>4196</v>
      </c>
      <c r="C2226" s="3563" t="s">
        <v>4197</v>
      </c>
      <c r="D2226" s="3563" t="s">
        <v>6429</v>
      </c>
      <c r="E2226" s="3563" t="s">
        <v>4199</v>
      </c>
      <c r="F2226" s="3563" t="s">
        <v>4797</v>
      </c>
      <c r="G2226" s="3564">
        <v>88.96</v>
      </c>
      <c r="H2226" s="3564">
        <v>71</v>
      </c>
      <c r="I2226" s="3564">
        <v>17.96</v>
      </c>
      <c r="J2226" s="3565">
        <v>950349</v>
      </c>
      <c r="K2226" s="3565">
        <v>10682.88</v>
      </c>
      <c r="L2226" s="3565">
        <v>13385.2</v>
      </c>
      <c r="M2226" s="3565">
        <v>0</v>
      </c>
      <c r="N2226" s="3565">
        <v>0</v>
      </c>
      <c r="O2226" s="3563" t="s">
        <v>3453</v>
      </c>
    </row>
    <row r="2227" spans="1:15">
      <c r="A2227" s="3563" t="s">
        <v>6449</v>
      </c>
      <c r="B2227" s="3563" t="s">
        <v>5277</v>
      </c>
      <c r="C2227" s="3563" t="s">
        <v>4197</v>
      </c>
      <c r="D2227" s="3563" t="s">
        <v>6429</v>
      </c>
      <c r="E2227" s="3563" t="s">
        <v>4199</v>
      </c>
      <c r="F2227" s="3563" t="s">
        <v>4797</v>
      </c>
      <c r="G2227" s="3564">
        <v>91.19</v>
      </c>
      <c r="H2227" s="3564">
        <v>72.78</v>
      </c>
      <c r="I2227" s="3564">
        <v>18.41</v>
      </c>
      <c r="J2227" s="3565">
        <v>911115</v>
      </c>
      <c r="K2227" s="3565">
        <v>9991.39</v>
      </c>
      <c r="L2227" s="3565">
        <v>12518.76</v>
      </c>
      <c r="M2227" s="3565">
        <v>865560</v>
      </c>
      <c r="N2227" s="3565">
        <v>9491.83</v>
      </c>
      <c r="O2227" s="3566">
        <v>44183</v>
      </c>
    </row>
    <row r="2228" spans="1:15">
      <c r="A2228" s="3563" t="s">
        <v>6450</v>
      </c>
      <c r="B2228" s="3563" t="s">
        <v>4196</v>
      </c>
      <c r="C2228" s="3563" t="s">
        <v>4197</v>
      </c>
      <c r="D2228" s="3563" t="s">
        <v>6429</v>
      </c>
      <c r="E2228" s="3563" t="s">
        <v>4199</v>
      </c>
      <c r="F2228" s="3563" t="s">
        <v>4797</v>
      </c>
      <c r="G2228" s="3564">
        <v>88.96</v>
      </c>
      <c r="H2228" s="3564">
        <v>71</v>
      </c>
      <c r="I2228" s="3564">
        <v>17.96</v>
      </c>
      <c r="J2228" s="3565">
        <v>907762</v>
      </c>
      <c r="K2228" s="3565">
        <v>10204.16</v>
      </c>
      <c r="L2228" s="3565">
        <v>12785.38</v>
      </c>
      <c r="M2228" s="3565">
        <v>0</v>
      </c>
      <c r="N2228" s="3565">
        <v>0</v>
      </c>
      <c r="O2228" s="3563" t="s">
        <v>3453</v>
      </c>
    </row>
    <row r="2229" spans="1:15">
      <c r="A2229" s="3563" t="s">
        <v>6451</v>
      </c>
      <c r="B2229" s="3563" t="s">
        <v>5277</v>
      </c>
      <c r="C2229" s="3563" t="s">
        <v>4197</v>
      </c>
      <c r="D2229" s="3563" t="s">
        <v>6429</v>
      </c>
      <c r="E2229" s="3563" t="s">
        <v>4199</v>
      </c>
      <c r="F2229" s="3563" t="s">
        <v>4797</v>
      </c>
      <c r="G2229" s="3564">
        <v>88.96</v>
      </c>
      <c r="H2229" s="3564">
        <v>71</v>
      </c>
      <c r="I2229" s="3564">
        <v>17.96</v>
      </c>
      <c r="J2229" s="3565">
        <v>907762</v>
      </c>
      <c r="K2229" s="3565">
        <v>10204.16</v>
      </c>
      <c r="L2229" s="3565">
        <v>12785.38</v>
      </c>
      <c r="M2229" s="3565">
        <v>871452</v>
      </c>
      <c r="N2229" s="3565">
        <v>9796</v>
      </c>
      <c r="O2229" s="3566">
        <v>44185</v>
      </c>
    </row>
    <row r="2230" spans="1:15">
      <c r="A2230" s="3563" t="s">
        <v>6452</v>
      </c>
      <c r="B2230" s="3563" t="s">
        <v>5277</v>
      </c>
      <c r="C2230" s="3563" t="s">
        <v>4197</v>
      </c>
      <c r="D2230" s="3563" t="s">
        <v>6429</v>
      </c>
      <c r="E2230" s="3563" t="s">
        <v>4199</v>
      </c>
      <c r="F2230" s="3563" t="s">
        <v>4797</v>
      </c>
      <c r="G2230" s="3564">
        <v>102.75</v>
      </c>
      <c r="H2230" s="3564">
        <v>82.01</v>
      </c>
      <c r="I2230" s="3564">
        <v>20.74</v>
      </c>
      <c r="J2230" s="3565">
        <v>1075804</v>
      </c>
      <c r="K2230" s="3565">
        <v>10470.11</v>
      </c>
      <c r="L2230" s="3565">
        <v>13117.96</v>
      </c>
      <c r="M2230" s="3565">
        <v>1032772</v>
      </c>
      <c r="N2230" s="3565">
        <v>10051.31</v>
      </c>
      <c r="O2230" s="3566">
        <v>44187</v>
      </c>
    </row>
    <row r="2231" spans="1:15">
      <c r="A2231" s="3563" t="s">
        <v>6453</v>
      </c>
      <c r="B2231" s="3563" t="s">
        <v>4196</v>
      </c>
      <c r="C2231" s="3563" t="s">
        <v>4197</v>
      </c>
      <c r="D2231" s="3563" t="s">
        <v>6429</v>
      </c>
      <c r="E2231" s="3563" t="s">
        <v>4199</v>
      </c>
      <c r="F2231" s="3563" t="s">
        <v>4797</v>
      </c>
      <c r="G2231" s="3564">
        <v>88.96</v>
      </c>
      <c r="H2231" s="3564">
        <v>71</v>
      </c>
      <c r="I2231" s="3564">
        <v>17.96</v>
      </c>
      <c r="J2231" s="3565">
        <v>941832</v>
      </c>
      <c r="K2231" s="3565">
        <v>10587.14</v>
      </c>
      <c r="L2231" s="3565">
        <v>13265.24</v>
      </c>
      <c r="M2231" s="3565">
        <v>0</v>
      </c>
      <c r="N2231" s="3565">
        <v>0</v>
      </c>
      <c r="O2231" s="3563" t="s">
        <v>3453</v>
      </c>
    </row>
    <row r="2232" spans="1:15">
      <c r="A2232" s="3563" t="s">
        <v>6454</v>
      </c>
      <c r="B2232" s="3563" t="s">
        <v>5277</v>
      </c>
      <c r="C2232" s="3563" t="s">
        <v>4197</v>
      </c>
      <c r="D2232" s="3563" t="s">
        <v>6429</v>
      </c>
      <c r="E2232" s="3563" t="s">
        <v>4199</v>
      </c>
      <c r="F2232" s="3563" t="s">
        <v>4797</v>
      </c>
      <c r="G2232" s="3564">
        <v>88.96</v>
      </c>
      <c r="H2232" s="3564">
        <v>71</v>
      </c>
      <c r="I2232" s="3564">
        <v>17.96</v>
      </c>
      <c r="J2232" s="3565">
        <v>941832</v>
      </c>
      <c r="K2232" s="3565">
        <v>10587.14</v>
      </c>
      <c r="L2232" s="3565">
        <v>13265.24</v>
      </c>
      <c r="M2232" s="3565">
        <v>913578</v>
      </c>
      <c r="N2232" s="3565">
        <v>10269.540000000001</v>
      </c>
      <c r="O2232" s="3566">
        <v>44188</v>
      </c>
    </row>
    <row r="2233" spans="1:15">
      <c r="A2233" s="3563" t="s">
        <v>6455</v>
      </c>
      <c r="B2233" s="3563" t="s">
        <v>5277</v>
      </c>
      <c r="C2233" s="3563" t="s">
        <v>4197</v>
      </c>
      <c r="D2233" s="3563" t="s">
        <v>6429</v>
      </c>
      <c r="E2233" s="3563" t="s">
        <v>4199</v>
      </c>
      <c r="F2233" s="3563" t="s">
        <v>4797</v>
      </c>
      <c r="G2233" s="3564">
        <v>91.19</v>
      </c>
      <c r="H2233" s="3564">
        <v>72.78</v>
      </c>
      <c r="I2233" s="3564">
        <v>18.41</v>
      </c>
      <c r="J2233" s="3565">
        <v>902384</v>
      </c>
      <c r="K2233" s="3565">
        <v>9895.65</v>
      </c>
      <c r="L2233" s="3565">
        <v>12398.79</v>
      </c>
      <c r="M2233" s="3565">
        <v>857265</v>
      </c>
      <c r="N2233" s="3565">
        <v>9400.8700000000008</v>
      </c>
      <c r="O2233" s="3566">
        <v>44187</v>
      </c>
    </row>
    <row r="2234" spans="1:15">
      <c r="A2234" s="3563" t="s">
        <v>6456</v>
      </c>
      <c r="B2234" s="3563" t="s">
        <v>4196</v>
      </c>
      <c r="C2234" s="3563" t="s">
        <v>4197</v>
      </c>
      <c r="D2234" s="3563" t="s">
        <v>6429</v>
      </c>
      <c r="E2234" s="3563" t="s">
        <v>4199</v>
      </c>
      <c r="F2234" s="3563" t="s">
        <v>4797</v>
      </c>
      <c r="G2234" s="3564">
        <v>88.96</v>
      </c>
      <c r="H2234" s="3564">
        <v>71</v>
      </c>
      <c r="I2234" s="3564">
        <v>17.96</v>
      </c>
      <c r="J2234" s="3565">
        <v>899245</v>
      </c>
      <c r="K2234" s="3565">
        <v>10108.42</v>
      </c>
      <c r="L2234" s="3565">
        <v>12665.42</v>
      </c>
      <c r="M2234" s="3565">
        <v>0</v>
      </c>
      <c r="N2234" s="3565">
        <v>0</v>
      </c>
      <c r="O2234" s="3563" t="s">
        <v>3453</v>
      </c>
    </row>
    <row r="2235" spans="1:15">
      <c r="A2235" s="3563" t="s">
        <v>6457</v>
      </c>
      <c r="B2235" s="3563" t="s">
        <v>5277</v>
      </c>
      <c r="C2235" s="3563" t="s">
        <v>4197</v>
      </c>
      <c r="D2235" s="3563" t="s">
        <v>6429</v>
      </c>
      <c r="E2235" s="3563" t="s">
        <v>4199</v>
      </c>
      <c r="F2235" s="3563" t="s">
        <v>4797</v>
      </c>
      <c r="G2235" s="3564">
        <v>88.96</v>
      </c>
      <c r="H2235" s="3564">
        <v>71</v>
      </c>
      <c r="I2235" s="3564">
        <v>17.96</v>
      </c>
      <c r="J2235" s="3565">
        <v>899245</v>
      </c>
      <c r="K2235" s="3565">
        <v>10108.42</v>
      </c>
      <c r="L2235" s="3565">
        <v>12665.42</v>
      </c>
      <c r="M2235" s="3565">
        <v>863276</v>
      </c>
      <c r="N2235" s="3565">
        <v>9704.09</v>
      </c>
      <c r="O2235" s="3566">
        <v>44184</v>
      </c>
    </row>
    <row r="2236" spans="1:15">
      <c r="A2236" s="3563" t="s">
        <v>6458</v>
      </c>
      <c r="B2236" s="3563" t="s">
        <v>5277</v>
      </c>
      <c r="C2236" s="3563" t="s">
        <v>4197</v>
      </c>
      <c r="D2236" s="3563" t="s">
        <v>6429</v>
      </c>
      <c r="E2236" s="3563" t="s">
        <v>4199</v>
      </c>
      <c r="F2236" s="3563" t="s">
        <v>4797</v>
      </c>
      <c r="G2236" s="3564">
        <v>102.75</v>
      </c>
      <c r="H2236" s="3564">
        <v>82.01</v>
      </c>
      <c r="I2236" s="3564">
        <v>20.74</v>
      </c>
      <c r="J2236" s="3565">
        <v>1065966</v>
      </c>
      <c r="K2236" s="3565">
        <v>10374.36</v>
      </c>
      <c r="L2236" s="3565">
        <v>12998</v>
      </c>
      <c r="M2236" s="3565">
        <v>970029</v>
      </c>
      <c r="N2236" s="3565">
        <v>9440.67</v>
      </c>
      <c r="O2236" s="3566">
        <v>44184</v>
      </c>
    </row>
    <row r="2237" spans="1:15">
      <c r="A2237" s="3563" t="s">
        <v>6459</v>
      </c>
      <c r="B2237" s="3563" t="s">
        <v>4196</v>
      </c>
      <c r="C2237" s="3563" t="s">
        <v>4197</v>
      </c>
      <c r="D2237" s="3563" t="s">
        <v>6429</v>
      </c>
      <c r="E2237" s="3563" t="s">
        <v>4199</v>
      </c>
      <c r="F2237" s="3563" t="s">
        <v>4797</v>
      </c>
      <c r="G2237" s="3564">
        <v>88.96</v>
      </c>
      <c r="H2237" s="3564">
        <v>71</v>
      </c>
      <c r="I2237" s="3564">
        <v>17.96</v>
      </c>
      <c r="J2237" s="3565">
        <v>952241</v>
      </c>
      <c r="K2237" s="3565">
        <v>10704.15</v>
      </c>
      <c r="L2237" s="3565">
        <v>13411.85</v>
      </c>
      <c r="M2237" s="3565">
        <v>0</v>
      </c>
      <c r="N2237" s="3565">
        <v>0</v>
      </c>
      <c r="O2237" s="3563" t="s">
        <v>3453</v>
      </c>
    </row>
    <row r="2238" spans="1:15">
      <c r="A2238" s="3563" t="s">
        <v>6460</v>
      </c>
      <c r="B2238" s="3563" t="s">
        <v>4196</v>
      </c>
      <c r="C2238" s="3563" t="s">
        <v>4197</v>
      </c>
      <c r="D2238" s="3563" t="s">
        <v>6429</v>
      </c>
      <c r="E2238" s="3563" t="s">
        <v>4199</v>
      </c>
      <c r="F2238" s="3563" t="s">
        <v>4797</v>
      </c>
      <c r="G2238" s="3564">
        <v>88.96</v>
      </c>
      <c r="H2238" s="3564">
        <v>71</v>
      </c>
      <c r="I2238" s="3564">
        <v>17.96</v>
      </c>
      <c r="J2238" s="3565">
        <v>952241</v>
      </c>
      <c r="K2238" s="3565">
        <v>10704.15</v>
      </c>
      <c r="L2238" s="3565">
        <v>13411.85</v>
      </c>
      <c r="M2238" s="3565">
        <v>0</v>
      </c>
      <c r="N2238" s="3565">
        <v>0</v>
      </c>
      <c r="O2238" s="3563" t="s">
        <v>3453</v>
      </c>
    </row>
    <row r="2239" spans="1:15">
      <c r="A2239" s="3563" t="s">
        <v>6461</v>
      </c>
      <c r="B2239" s="3563" t="s">
        <v>5277</v>
      </c>
      <c r="C2239" s="3563" t="s">
        <v>4197</v>
      </c>
      <c r="D2239" s="3563" t="s">
        <v>6429</v>
      </c>
      <c r="E2239" s="3563" t="s">
        <v>4199</v>
      </c>
      <c r="F2239" s="3563" t="s">
        <v>4797</v>
      </c>
      <c r="G2239" s="3564">
        <v>91.19</v>
      </c>
      <c r="H2239" s="3564">
        <v>72.78</v>
      </c>
      <c r="I2239" s="3564">
        <v>18.41</v>
      </c>
      <c r="J2239" s="3565">
        <v>913055</v>
      </c>
      <c r="K2239" s="3565">
        <v>10012.67</v>
      </c>
      <c r="L2239" s="3565">
        <v>12545.41</v>
      </c>
      <c r="M2239" s="3565">
        <v>876533</v>
      </c>
      <c r="N2239" s="3565">
        <v>9612.16</v>
      </c>
      <c r="O2239" s="3566">
        <v>44184</v>
      </c>
    </row>
    <row r="2240" spans="1:15">
      <c r="A2240" s="3563" t="s">
        <v>6462</v>
      </c>
      <c r="B2240" s="3563" t="s">
        <v>4196</v>
      </c>
      <c r="C2240" s="3563" t="s">
        <v>4197</v>
      </c>
      <c r="D2240" s="3563" t="s">
        <v>6429</v>
      </c>
      <c r="E2240" s="3563" t="s">
        <v>4199</v>
      </c>
      <c r="F2240" s="3563" t="s">
        <v>4797</v>
      </c>
      <c r="G2240" s="3564">
        <v>88.96</v>
      </c>
      <c r="H2240" s="3564">
        <v>71</v>
      </c>
      <c r="I2240" s="3564">
        <v>17.96</v>
      </c>
      <c r="J2240" s="3565">
        <v>909654</v>
      </c>
      <c r="K2240" s="3565">
        <v>10225.43</v>
      </c>
      <c r="L2240" s="3565">
        <v>12812.03</v>
      </c>
      <c r="M2240" s="3565">
        <v>0</v>
      </c>
      <c r="N2240" s="3565">
        <v>0</v>
      </c>
      <c r="O2240" s="3563" t="s">
        <v>3453</v>
      </c>
    </row>
    <row r="2241" spans="1:15">
      <c r="A2241" s="3563" t="s">
        <v>6463</v>
      </c>
      <c r="B2241" s="3563" t="s">
        <v>4811</v>
      </c>
      <c r="C2241" s="3563" t="s">
        <v>4197</v>
      </c>
      <c r="D2241" s="3563" t="s">
        <v>6429</v>
      </c>
      <c r="E2241" s="3563" t="s">
        <v>4199</v>
      </c>
      <c r="F2241" s="3563" t="s">
        <v>4797</v>
      </c>
      <c r="G2241" s="3564">
        <v>88.96</v>
      </c>
      <c r="H2241" s="3564">
        <v>71</v>
      </c>
      <c r="I2241" s="3564">
        <v>17.96</v>
      </c>
      <c r="J2241" s="3565">
        <v>909654</v>
      </c>
      <c r="K2241" s="3565">
        <v>10225.43</v>
      </c>
      <c r="L2241" s="3565">
        <v>12812.03</v>
      </c>
      <c r="M2241" s="3565">
        <v>909654</v>
      </c>
      <c r="N2241" s="3565">
        <v>10225.43</v>
      </c>
      <c r="O2241" s="3566">
        <v>44190</v>
      </c>
    </row>
    <row r="2242" spans="1:15">
      <c r="A2242" s="3563" t="s">
        <v>6464</v>
      </c>
      <c r="B2242" s="3563" t="s">
        <v>4196</v>
      </c>
      <c r="C2242" s="3563" t="s">
        <v>4197</v>
      </c>
      <c r="D2242" s="3563" t="s">
        <v>6429</v>
      </c>
      <c r="E2242" s="3563" t="s">
        <v>4199</v>
      </c>
      <c r="F2242" s="3563" t="s">
        <v>4797</v>
      </c>
      <c r="G2242" s="3564">
        <v>102.75</v>
      </c>
      <c r="H2242" s="3564">
        <v>82.01</v>
      </c>
      <c r="I2242" s="3564">
        <v>20.74</v>
      </c>
      <c r="J2242" s="3565">
        <v>1077990</v>
      </c>
      <c r="K2242" s="3565">
        <v>10491.39</v>
      </c>
      <c r="L2242" s="3565">
        <v>13144.62</v>
      </c>
      <c r="M2242" s="3565">
        <v>0</v>
      </c>
      <c r="N2242" s="3565">
        <v>0</v>
      </c>
      <c r="O2242" s="3563" t="s">
        <v>3453</v>
      </c>
    </row>
    <row r="2243" spans="1:15">
      <c r="A2243" s="3563" t="s">
        <v>6465</v>
      </c>
      <c r="B2243" s="3563" t="s">
        <v>4196</v>
      </c>
      <c r="C2243" s="3563" t="s">
        <v>4197</v>
      </c>
      <c r="D2243" s="3563" t="s">
        <v>6429</v>
      </c>
      <c r="E2243" s="3563" t="s">
        <v>4199</v>
      </c>
      <c r="F2243" s="3563" t="s">
        <v>4797</v>
      </c>
      <c r="G2243" s="3564">
        <v>88.96</v>
      </c>
      <c r="H2243" s="3564">
        <v>71</v>
      </c>
      <c r="I2243" s="3564">
        <v>17.96</v>
      </c>
      <c r="J2243" s="3565">
        <v>951296</v>
      </c>
      <c r="K2243" s="3565">
        <v>10693.53</v>
      </c>
      <c r="L2243" s="3565">
        <v>13398.54</v>
      </c>
      <c r="M2243" s="3565">
        <v>0</v>
      </c>
      <c r="N2243" s="3565">
        <v>0</v>
      </c>
      <c r="O2243" s="3563" t="s">
        <v>3453</v>
      </c>
    </row>
    <row r="2244" spans="1:15">
      <c r="A2244" s="3563" t="s">
        <v>6466</v>
      </c>
      <c r="B2244" s="3563" t="s">
        <v>5277</v>
      </c>
      <c r="C2244" s="3563" t="s">
        <v>4197</v>
      </c>
      <c r="D2244" s="3563" t="s">
        <v>6429</v>
      </c>
      <c r="E2244" s="3563" t="s">
        <v>4199</v>
      </c>
      <c r="F2244" s="3563" t="s">
        <v>4797</v>
      </c>
      <c r="G2244" s="3564">
        <v>88.96</v>
      </c>
      <c r="H2244" s="3564">
        <v>71</v>
      </c>
      <c r="I2244" s="3564">
        <v>17.96</v>
      </c>
      <c r="J2244" s="3565">
        <v>951296</v>
      </c>
      <c r="K2244" s="3565">
        <v>10693.53</v>
      </c>
      <c r="L2244" s="3565">
        <v>13398.54</v>
      </c>
      <c r="M2244" s="3565">
        <v>913245</v>
      </c>
      <c r="N2244" s="3565">
        <v>10265.790000000001</v>
      </c>
      <c r="O2244" s="3566">
        <v>44185</v>
      </c>
    </row>
    <row r="2245" spans="1:15">
      <c r="A2245" s="3563" t="s">
        <v>6467</v>
      </c>
      <c r="B2245" s="3563" t="s">
        <v>4196</v>
      </c>
      <c r="C2245" s="3563" t="s">
        <v>4197</v>
      </c>
      <c r="D2245" s="3563" t="s">
        <v>6429</v>
      </c>
      <c r="E2245" s="3563" t="s">
        <v>4199</v>
      </c>
      <c r="F2245" s="3563" t="s">
        <v>4797</v>
      </c>
      <c r="G2245" s="3564">
        <v>91.19</v>
      </c>
      <c r="H2245" s="3564">
        <v>72.78</v>
      </c>
      <c r="I2245" s="3564">
        <v>18.41</v>
      </c>
      <c r="J2245" s="3565">
        <v>912085</v>
      </c>
      <c r="K2245" s="3565">
        <v>10002.030000000001</v>
      </c>
      <c r="L2245" s="3565">
        <v>12532.08</v>
      </c>
      <c r="M2245" s="3565">
        <v>0</v>
      </c>
      <c r="N2245" s="3565">
        <v>0</v>
      </c>
      <c r="O2245" s="3563" t="s">
        <v>3453</v>
      </c>
    </row>
    <row r="2246" spans="1:15">
      <c r="A2246" s="3563" t="s">
        <v>6468</v>
      </c>
      <c r="B2246" s="3563" t="s">
        <v>4196</v>
      </c>
      <c r="C2246" s="3563" t="s">
        <v>4197</v>
      </c>
      <c r="D2246" s="3563" t="s">
        <v>6429</v>
      </c>
      <c r="E2246" s="3563" t="s">
        <v>4199</v>
      </c>
      <c r="F2246" s="3563" t="s">
        <v>4797</v>
      </c>
      <c r="G2246" s="3564">
        <v>88.96</v>
      </c>
      <c r="H2246" s="3564">
        <v>71</v>
      </c>
      <c r="I2246" s="3564">
        <v>17.96</v>
      </c>
      <c r="J2246" s="3565">
        <v>908709</v>
      </c>
      <c r="K2246" s="3565">
        <v>10214.799999999999</v>
      </c>
      <c r="L2246" s="3565">
        <v>12798.72</v>
      </c>
      <c r="M2246" s="3565">
        <v>0</v>
      </c>
      <c r="N2246" s="3565">
        <v>0</v>
      </c>
      <c r="O2246" s="3563" t="s">
        <v>3453</v>
      </c>
    </row>
    <row r="2247" spans="1:15">
      <c r="A2247" s="3563" t="s">
        <v>6469</v>
      </c>
      <c r="B2247" s="3563" t="s">
        <v>5277</v>
      </c>
      <c r="C2247" s="3563" t="s">
        <v>4197</v>
      </c>
      <c r="D2247" s="3563" t="s">
        <v>6429</v>
      </c>
      <c r="E2247" s="3563" t="s">
        <v>4199</v>
      </c>
      <c r="F2247" s="3563" t="s">
        <v>4797</v>
      </c>
      <c r="G2247" s="3564">
        <v>88.96</v>
      </c>
      <c r="H2247" s="3564">
        <v>71</v>
      </c>
      <c r="I2247" s="3564">
        <v>17.96</v>
      </c>
      <c r="J2247" s="3565">
        <v>908709</v>
      </c>
      <c r="K2247" s="3565">
        <v>10214.799999999999</v>
      </c>
      <c r="L2247" s="3565">
        <v>12798.72</v>
      </c>
      <c r="M2247" s="3565">
        <v>863274</v>
      </c>
      <c r="N2247" s="3565">
        <v>9704.07</v>
      </c>
      <c r="O2247" s="3566">
        <v>44183</v>
      </c>
    </row>
    <row r="2248" spans="1:15">
      <c r="A2248" s="3563" t="s">
        <v>6470</v>
      </c>
      <c r="B2248" s="3563" t="s">
        <v>5277</v>
      </c>
      <c r="C2248" s="3563" t="s">
        <v>4197</v>
      </c>
      <c r="D2248" s="3563" t="s">
        <v>6429</v>
      </c>
      <c r="E2248" s="3563" t="s">
        <v>4199</v>
      </c>
      <c r="F2248" s="3563" t="s">
        <v>4797</v>
      </c>
      <c r="G2248" s="3564">
        <v>102.75</v>
      </c>
      <c r="H2248" s="3564">
        <v>82.01</v>
      </c>
      <c r="I2248" s="3564">
        <v>20.74</v>
      </c>
      <c r="J2248" s="3565">
        <v>1076897</v>
      </c>
      <c r="K2248" s="3565">
        <v>10480.75</v>
      </c>
      <c r="L2248" s="3565">
        <v>13131.29</v>
      </c>
      <c r="M2248" s="3565">
        <v>1023053</v>
      </c>
      <c r="N2248" s="3565">
        <v>9956.7199999999993</v>
      </c>
      <c r="O2248" s="3566">
        <v>44183</v>
      </c>
    </row>
    <row r="2249" spans="1:15">
      <c r="A2249" s="3563" t="s">
        <v>6471</v>
      </c>
      <c r="B2249" s="3563" t="s">
        <v>5277</v>
      </c>
      <c r="C2249" s="3563" t="s">
        <v>4197</v>
      </c>
      <c r="D2249" s="3563" t="s">
        <v>6429</v>
      </c>
      <c r="E2249" s="3563" t="s">
        <v>4199</v>
      </c>
      <c r="F2249" s="3563" t="s">
        <v>4797</v>
      </c>
      <c r="G2249" s="3564">
        <v>88.96</v>
      </c>
      <c r="H2249" s="3564">
        <v>71</v>
      </c>
      <c r="I2249" s="3564">
        <v>17.96</v>
      </c>
      <c r="J2249" s="3565">
        <v>950349</v>
      </c>
      <c r="K2249" s="3565">
        <v>10682.88</v>
      </c>
      <c r="L2249" s="3565">
        <v>13385.2</v>
      </c>
      <c r="M2249" s="3565">
        <v>912336</v>
      </c>
      <c r="N2249" s="3565">
        <v>10255.58</v>
      </c>
      <c r="O2249" s="3566">
        <v>44186</v>
      </c>
    </row>
    <row r="2250" spans="1:15">
      <c r="A2250" s="3563" t="s">
        <v>6472</v>
      </c>
      <c r="B2250" s="3563" t="s">
        <v>5277</v>
      </c>
      <c r="C2250" s="3563" t="s">
        <v>4197</v>
      </c>
      <c r="D2250" s="3563" t="s">
        <v>6429</v>
      </c>
      <c r="E2250" s="3563" t="s">
        <v>4199</v>
      </c>
      <c r="F2250" s="3563" t="s">
        <v>4797</v>
      </c>
      <c r="G2250" s="3564">
        <v>88.96</v>
      </c>
      <c r="H2250" s="3564">
        <v>71</v>
      </c>
      <c r="I2250" s="3564">
        <v>17.96</v>
      </c>
      <c r="J2250" s="3565">
        <v>950349</v>
      </c>
      <c r="K2250" s="3565">
        <v>10682.88</v>
      </c>
      <c r="L2250" s="3565">
        <v>13385.2</v>
      </c>
      <c r="M2250" s="3565">
        <v>902832</v>
      </c>
      <c r="N2250" s="3565">
        <v>10148.74</v>
      </c>
      <c r="O2250" s="3566">
        <v>44184</v>
      </c>
    </row>
    <row r="2251" spans="1:15">
      <c r="A2251" s="3563" t="s">
        <v>6473</v>
      </c>
      <c r="B2251" s="3563" t="s">
        <v>5277</v>
      </c>
      <c r="C2251" s="3563" t="s">
        <v>4197</v>
      </c>
      <c r="D2251" s="3563" t="s">
        <v>6429</v>
      </c>
      <c r="E2251" s="3563" t="s">
        <v>4199</v>
      </c>
      <c r="F2251" s="3563" t="s">
        <v>4797</v>
      </c>
      <c r="G2251" s="3564">
        <v>91.19</v>
      </c>
      <c r="H2251" s="3564">
        <v>72.78</v>
      </c>
      <c r="I2251" s="3564">
        <v>18.41</v>
      </c>
      <c r="J2251" s="3565">
        <v>911115</v>
      </c>
      <c r="K2251" s="3565">
        <v>9991.39</v>
      </c>
      <c r="L2251" s="3565">
        <v>12518.76</v>
      </c>
      <c r="M2251" s="3565">
        <v>865560</v>
      </c>
      <c r="N2251" s="3565">
        <v>9491.83</v>
      </c>
      <c r="O2251" s="3566">
        <v>44185</v>
      </c>
    </row>
    <row r="2252" spans="1:15">
      <c r="A2252" s="3563" t="s">
        <v>6474</v>
      </c>
      <c r="B2252" s="3563" t="s">
        <v>5277</v>
      </c>
      <c r="C2252" s="3563" t="s">
        <v>4197</v>
      </c>
      <c r="D2252" s="3563" t="s">
        <v>6429</v>
      </c>
      <c r="E2252" s="3563" t="s">
        <v>4199</v>
      </c>
      <c r="F2252" s="3563" t="s">
        <v>4797</v>
      </c>
      <c r="G2252" s="3564">
        <v>88.96</v>
      </c>
      <c r="H2252" s="3564">
        <v>71</v>
      </c>
      <c r="I2252" s="3564">
        <v>17.96</v>
      </c>
      <c r="J2252" s="3565">
        <v>907762</v>
      </c>
      <c r="K2252" s="3565">
        <v>10204.16</v>
      </c>
      <c r="L2252" s="3565">
        <v>12785.38</v>
      </c>
      <c r="M2252" s="3565">
        <v>871452</v>
      </c>
      <c r="N2252" s="3565">
        <v>9796</v>
      </c>
      <c r="O2252" s="3566">
        <v>44184</v>
      </c>
    </row>
    <row r="2253" spans="1:15">
      <c r="A2253" s="3563" t="s">
        <v>6475</v>
      </c>
      <c r="B2253" s="3563" t="s">
        <v>4811</v>
      </c>
      <c r="C2253" s="3563" t="s">
        <v>4197</v>
      </c>
      <c r="D2253" s="3563" t="s">
        <v>6429</v>
      </c>
      <c r="E2253" s="3563" t="s">
        <v>4199</v>
      </c>
      <c r="F2253" s="3563" t="s">
        <v>4797</v>
      </c>
      <c r="G2253" s="3564">
        <v>88.96</v>
      </c>
      <c r="H2253" s="3564">
        <v>71</v>
      </c>
      <c r="I2253" s="3564">
        <v>17.96</v>
      </c>
      <c r="J2253" s="3565">
        <v>907762</v>
      </c>
      <c r="K2253" s="3565">
        <v>10204.16</v>
      </c>
      <c r="L2253" s="3565">
        <v>12785.38</v>
      </c>
      <c r="M2253" s="3565">
        <v>871452</v>
      </c>
      <c r="N2253" s="3565">
        <v>9796</v>
      </c>
      <c r="O2253" s="3566">
        <v>44191</v>
      </c>
    </row>
    <row r="2254" spans="1:15">
      <c r="A2254" s="3563" t="s">
        <v>6476</v>
      </c>
      <c r="B2254" s="3563" t="s">
        <v>5277</v>
      </c>
      <c r="C2254" s="3563" t="s">
        <v>4197</v>
      </c>
      <c r="D2254" s="3563" t="s">
        <v>6429</v>
      </c>
      <c r="E2254" s="3563" t="s">
        <v>4199</v>
      </c>
      <c r="F2254" s="3563" t="s">
        <v>4797</v>
      </c>
      <c r="G2254" s="3564">
        <v>102.75</v>
      </c>
      <c r="H2254" s="3564">
        <v>82.01</v>
      </c>
      <c r="I2254" s="3564">
        <v>20.74</v>
      </c>
      <c r="J2254" s="3565">
        <v>1075804</v>
      </c>
      <c r="K2254" s="3565">
        <v>10470.11</v>
      </c>
      <c r="L2254" s="3565">
        <v>13117.96</v>
      </c>
      <c r="M2254" s="3565">
        <v>1075804</v>
      </c>
      <c r="N2254" s="3565">
        <v>10470.11</v>
      </c>
      <c r="O2254" s="3566">
        <v>44183</v>
      </c>
    </row>
    <row r="2255" spans="1:15">
      <c r="A2255" s="3563" t="s">
        <v>6477</v>
      </c>
      <c r="B2255" s="3563" t="s">
        <v>5277</v>
      </c>
      <c r="C2255" s="3563" t="s">
        <v>4197</v>
      </c>
      <c r="D2255" s="3563" t="s">
        <v>6429</v>
      </c>
      <c r="E2255" s="3563" t="s">
        <v>4199</v>
      </c>
      <c r="F2255" s="3563" t="s">
        <v>4797</v>
      </c>
      <c r="G2255" s="3564">
        <v>88.96</v>
      </c>
      <c r="H2255" s="3564">
        <v>71</v>
      </c>
      <c r="I2255" s="3564">
        <v>17.96</v>
      </c>
      <c r="J2255" s="3565">
        <v>939938</v>
      </c>
      <c r="K2255" s="3565">
        <v>10565.85</v>
      </c>
      <c r="L2255" s="3565">
        <v>13238.56</v>
      </c>
      <c r="M2255" s="3565">
        <v>939938</v>
      </c>
      <c r="N2255" s="3565">
        <v>10565.85</v>
      </c>
      <c r="O2255" s="3566">
        <v>44183</v>
      </c>
    </row>
    <row r="2256" spans="1:15">
      <c r="A2256" s="3563" t="s">
        <v>6478</v>
      </c>
      <c r="B2256" s="3563" t="s">
        <v>4196</v>
      </c>
      <c r="C2256" s="3563" t="s">
        <v>4197</v>
      </c>
      <c r="D2256" s="3563" t="s">
        <v>6429</v>
      </c>
      <c r="E2256" s="3563" t="s">
        <v>4199</v>
      </c>
      <c r="F2256" s="3563" t="s">
        <v>4797</v>
      </c>
      <c r="G2256" s="3564">
        <v>88.96</v>
      </c>
      <c r="H2256" s="3564">
        <v>71</v>
      </c>
      <c r="I2256" s="3564">
        <v>17.96</v>
      </c>
      <c r="J2256" s="3565">
        <v>939938</v>
      </c>
      <c r="K2256" s="3565">
        <v>10565.85</v>
      </c>
      <c r="L2256" s="3565">
        <v>13238.56</v>
      </c>
      <c r="M2256" s="3565">
        <v>0</v>
      </c>
      <c r="N2256" s="3565">
        <v>0</v>
      </c>
      <c r="O2256" s="3563" t="s">
        <v>3453</v>
      </c>
    </row>
    <row r="2257" spans="1:15">
      <c r="A2257" s="3563" t="s">
        <v>6479</v>
      </c>
      <c r="B2257" s="3563" t="s">
        <v>5277</v>
      </c>
      <c r="C2257" s="3563" t="s">
        <v>4197</v>
      </c>
      <c r="D2257" s="3563" t="s">
        <v>6429</v>
      </c>
      <c r="E2257" s="3563" t="s">
        <v>4199</v>
      </c>
      <c r="F2257" s="3563" t="s">
        <v>4797</v>
      </c>
      <c r="G2257" s="3564">
        <v>91.19</v>
      </c>
      <c r="H2257" s="3564">
        <v>72.78</v>
      </c>
      <c r="I2257" s="3564">
        <v>18.41</v>
      </c>
      <c r="J2257" s="3565">
        <v>900444</v>
      </c>
      <c r="K2257" s="3565">
        <v>9874.3700000000008</v>
      </c>
      <c r="L2257" s="3565">
        <v>12372.14</v>
      </c>
      <c r="M2257" s="3565">
        <v>864427</v>
      </c>
      <c r="N2257" s="3565">
        <v>9479.41</v>
      </c>
      <c r="O2257" s="3566">
        <v>44186</v>
      </c>
    </row>
    <row r="2258" spans="1:15">
      <c r="A2258" s="3563" t="s">
        <v>6480</v>
      </c>
      <c r="B2258" s="3563" t="s">
        <v>4196</v>
      </c>
      <c r="C2258" s="3563" t="s">
        <v>4197</v>
      </c>
      <c r="D2258" s="3563" t="s">
        <v>6429</v>
      </c>
      <c r="E2258" s="3563" t="s">
        <v>4199</v>
      </c>
      <c r="F2258" s="3563" t="s">
        <v>4797</v>
      </c>
      <c r="G2258" s="3564">
        <v>88.96</v>
      </c>
      <c r="H2258" s="3564">
        <v>71</v>
      </c>
      <c r="I2258" s="3564">
        <v>17.96</v>
      </c>
      <c r="J2258" s="3565">
        <v>897351</v>
      </c>
      <c r="K2258" s="3565">
        <v>10087.129999999999</v>
      </c>
      <c r="L2258" s="3565">
        <v>12638.75</v>
      </c>
      <c r="M2258" s="3565">
        <v>0</v>
      </c>
      <c r="N2258" s="3565">
        <v>0</v>
      </c>
      <c r="O2258" s="3563" t="s">
        <v>3453</v>
      </c>
    </row>
    <row r="2259" spans="1:15">
      <c r="A2259" s="3563" t="s">
        <v>6481</v>
      </c>
      <c r="B2259" s="3563" t="s">
        <v>4196</v>
      </c>
      <c r="C2259" s="3563" t="s">
        <v>4197</v>
      </c>
      <c r="D2259" s="3563" t="s">
        <v>6429</v>
      </c>
      <c r="E2259" s="3563" t="s">
        <v>4199</v>
      </c>
      <c r="F2259" s="3563" t="s">
        <v>4797</v>
      </c>
      <c r="G2259" s="3564">
        <v>88.96</v>
      </c>
      <c r="H2259" s="3564">
        <v>71</v>
      </c>
      <c r="I2259" s="3564">
        <v>17.96</v>
      </c>
      <c r="J2259" s="3565">
        <v>897351</v>
      </c>
      <c r="K2259" s="3565">
        <v>10087.129999999999</v>
      </c>
      <c r="L2259" s="3565">
        <v>12638.75</v>
      </c>
      <c r="M2259" s="3565">
        <v>0</v>
      </c>
      <c r="N2259" s="3565">
        <v>0</v>
      </c>
      <c r="O2259" s="3563" t="s">
        <v>3453</v>
      </c>
    </row>
    <row r="2260" spans="1:15">
      <c r="A2260" s="3563" t="s">
        <v>6482</v>
      </c>
      <c r="B2260" s="3563" t="s">
        <v>4811</v>
      </c>
      <c r="C2260" s="3563" t="s">
        <v>4197</v>
      </c>
      <c r="D2260" s="3563" t="s">
        <v>6429</v>
      </c>
      <c r="E2260" s="3563" t="s">
        <v>4199</v>
      </c>
      <c r="F2260" s="3563" t="s">
        <v>4797</v>
      </c>
      <c r="G2260" s="3564">
        <v>102.75</v>
      </c>
      <c r="H2260" s="3564">
        <v>82.01</v>
      </c>
      <c r="I2260" s="3564">
        <v>20.74</v>
      </c>
      <c r="J2260" s="3565">
        <v>1063780</v>
      </c>
      <c r="K2260" s="3565">
        <v>10353.09</v>
      </c>
      <c r="L2260" s="3565">
        <v>12971.34</v>
      </c>
      <c r="M2260" s="3565">
        <v>1021229</v>
      </c>
      <c r="N2260" s="3565">
        <v>9938.9699999999993</v>
      </c>
      <c r="O2260" s="3566">
        <v>44184</v>
      </c>
    </row>
    <row r="2261" spans="1:15">
      <c r="A2261" s="3563" t="s">
        <v>6483</v>
      </c>
      <c r="B2261" s="3563" t="s">
        <v>4811</v>
      </c>
      <c r="C2261" s="3563" t="s">
        <v>4197</v>
      </c>
      <c r="D2261" s="3563" t="s">
        <v>6429</v>
      </c>
      <c r="E2261" s="3563" t="s">
        <v>4199</v>
      </c>
      <c r="F2261" s="3563" t="s">
        <v>4797</v>
      </c>
      <c r="G2261" s="3564">
        <v>88.96</v>
      </c>
      <c r="H2261" s="3564">
        <v>71</v>
      </c>
      <c r="I2261" s="3564">
        <v>17.96</v>
      </c>
      <c r="J2261" s="3565">
        <v>948456</v>
      </c>
      <c r="K2261" s="3565">
        <v>10661.6</v>
      </c>
      <c r="L2261" s="3565">
        <v>13358.54</v>
      </c>
      <c r="M2261" s="3565">
        <v>910518</v>
      </c>
      <c r="N2261" s="3565">
        <v>10235.14</v>
      </c>
      <c r="O2261" s="3566">
        <v>44185</v>
      </c>
    </row>
    <row r="2262" spans="1:15">
      <c r="A2262" s="3563" t="s">
        <v>6484</v>
      </c>
      <c r="B2262" s="3563" t="s">
        <v>4196</v>
      </c>
      <c r="C2262" s="3563" t="s">
        <v>4197</v>
      </c>
      <c r="D2262" s="3563" t="s">
        <v>6429</v>
      </c>
      <c r="E2262" s="3563" t="s">
        <v>4199</v>
      </c>
      <c r="F2262" s="3563" t="s">
        <v>4797</v>
      </c>
      <c r="G2262" s="3564">
        <v>88.96</v>
      </c>
      <c r="H2262" s="3564">
        <v>71</v>
      </c>
      <c r="I2262" s="3564">
        <v>17.96</v>
      </c>
      <c r="J2262" s="3565">
        <v>948456</v>
      </c>
      <c r="K2262" s="3565">
        <v>10661.6</v>
      </c>
      <c r="L2262" s="3565">
        <v>13358.54</v>
      </c>
      <c r="M2262" s="3565">
        <v>0</v>
      </c>
      <c r="N2262" s="3565">
        <v>0</v>
      </c>
      <c r="O2262" s="3563" t="s">
        <v>3453</v>
      </c>
    </row>
    <row r="2263" spans="1:15">
      <c r="A2263" s="3563" t="s">
        <v>6485</v>
      </c>
      <c r="B2263" s="3563" t="s">
        <v>4196</v>
      </c>
      <c r="C2263" s="3563" t="s">
        <v>4197</v>
      </c>
      <c r="D2263" s="3563" t="s">
        <v>6429</v>
      </c>
      <c r="E2263" s="3563" t="s">
        <v>4199</v>
      </c>
      <c r="F2263" s="3563" t="s">
        <v>4797</v>
      </c>
      <c r="G2263" s="3564">
        <v>91.19</v>
      </c>
      <c r="H2263" s="3564">
        <v>72.78</v>
      </c>
      <c r="I2263" s="3564">
        <v>18.41</v>
      </c>
      <c r="J2263" s="3565">
        <v>909174</v>
      </c>
      <c r="K2263" s="3565">
        <v>9970.11</v>
      </c>
      <c r="L2263" s="3565">
        <v>12492.09</v>
      </c>
      <c r="M2263" s="3565">
        <v>0</v>
      </c>
      <c r="N2263" s="3565">
        <v>0</v>
      </c>
      <c r="O2263" s="3563" t="s">
        <v>3453</v>
      </c>
    </row>
    <row r="2264" spans="1:15">
      <c r="A2264" s="3563" t="s">
        <v>6486</v>
      </c>
      <c r="B2264" s="3563" t="s">
        <v>5277</v>
      </c>
      <c r="C2264" s="3563" t="s">
        <v>4197</v>
      </c>
      <c r="D2264" s="3563" t="s">
        <v>6429</v>
      </c>
      <c r="E2264" s="3563" t="s">
        <v>4199</v>
      </c>
      <c r="F2264" s="3563" t="s">
        <v>4797</v>
      </c>
      <c r="G2264" s="3564">
        <v>88.96</v>
      </c>
      <c r="H2264" s="3564">
        <v>71</v>
      </c>
      <c r="I2264" s="3564">
        <v>17.96</v>
      </c>
      <c r="J2264" s="3565">
        <v>905869</v>
      </c>
      <c r="K2264" s="3565">
        <v>10182.879999999999</v>
      </c>
      <c r="L2264" s="3565">
        <v>12758.72</v>
      </c>
      <c r="M2264" s="3565">
        <v>869635</v>
      </c>
      <c r="N2264" s="3565">
        <v>9775.57</v>
      </c>
      <c r="O2264" s="3566">
        <v>44191</v>
      </c>
    </row>
    <row r="2265" spans="1:15">
      <c r="A2265" s="3563" t="s">
        <v>6487</v>
      </c>
      <c r="B2265" s="3563" t="s">
        <v>4811</v>
      </c>
      <c r="C2265" s="3563" t="s">
        <v>4197</v>
      </c>
      <c r="D2265" s="3563" t="s">
        <v>6429</v>
      </c>
      <c r="E2265" s="3563" t="s">
        <v>4199</v>
      </c>
      <c r="F2265" s="3563" t="s">
        <v>4797</v>
      </c>
      <c r="G2265" s="3564">
        <v>88.96</v>
      </c>
      <c r="H2265" s="3564">
        <v>71</v>
      </c>
      <c r="I2265" s="3564">
        <v>17.96</v>
      </c>
      <c r="J2265" s="3565">
        <v>905869</v>
      </c>
      <c r="K2265" s="3565">
        <v>10182.879999999999</v>
      </c>
      <c r="L2265" s="3565">
        <v>12758.72</v>
      </c>
      <c r="M2265" s="3565">
        <v>878693</v>
      </c>
      <c r="N2265" s="3565">
        <v>9877.39</v>
      </c>
      <c r="O2265" s="3566">
        <v>44183</v>
      </c>
    </row>
    <row r="2266" spans="1:15">
      <c r="A2266" s="3563" t="s">
        <v>6488</v>
      </c>
      <c r="B2266" s="3563" t="s">
        <v>4811</v>
      </c>
      <c r="C2266" s="3563" t="s">
        <v>4197</v>
      </c>
      <c r="D2266" s="3563" t="s">
        <v>6429</v>
      </c>
      <c r="E2266" s="3563" t="s">
        <v>4199</v>
      </c>
      <c r="F2266" s="3563" t="s">
        <v>4797</v>
      </c>
      <c r="G2266" s="3564">
        <v>102.75</v>
      </c>
      <c r="H2266" s="3564">
        <v>82.01</v>
      </c>
      <c r="I2266" s="3564">
        <v>20.74</v>
      </c>
      <c r="J2266" s="3565">
        <v>1073618</v>
      </c>
      <c r="K2266" s="3565">
        <v>10448.84</v>
      </c>
      <c r="L2266" s="3565">
        <v>13091.31</v>
      </c>
      <c r="M2266" s="3565">
        <v>1041410</v>
      </c>
      <c r="N2266" s="3565">
        <v>10135.379999999999</v>
      </c>
      <c r="O2266" s="3566">
        <v>44183</v>
      </c>
    </row>
    <row r="2267" spans="1:15">
      <c r="A2267" s="3563" t="s">
        <v>6489</v>
      </c>
      <c r="B2267" s="3563" t="s">
        <v>4196</v>
      </c>
      <c r="C2267" s="3563" t="s">
        <v>4197</v>
      </c>
      <c r="D2267" s="3563" t="s">
        <v>6429</v>
      </c>
      <c r="E2267" s="3563" t="s">
        <v>4199</v>
      </c>
      <c r="F2267" s="3563" t="s">
        <v>4797</v>
      </c>
      <c r="G2267" s="3564">
        <v>101.07</v>
      </c>
      <c r="H2267" s="3564">
        <v>71</v>
      </c>
      <c r="I2267" s="3564">
        <v>30.07</v>
      </c>
      <c r="J2267" s="3565">
        <v>1032410</v>
      </c>
      <c r="K2267" s="3565">
        <v>10214.799999999999</v>
      </c>
      <c r="L2267" s="3565">
        <v>14540.99</v>
      </c>
      <c r="M2267" s="3565">
        <v>0</v>
      </c>
      <c r="N2267" s="3565">
        <v>0</v>
      </c>
      <c r="O2267" s="3563" t="s">
        <v>3453</v>
      </c>
    </row>
    <row r="2268" spans="1:15">
      <c r="A2268" s="3563" t="s">
        <v>6490</v>
      </c>
      <c r="B2268" s="3563" t="s">
        <v>5277</v>
      </c>
      <c r="C2268" s="3563" t="s">
        <v>4197</v>
      </c>
      <c r="D2268" s="3563" t="s">
        <v>6429</v>
      </c>
      <c r="E2268" s="3563" t="s">
        <v>4199</v>
      </c>
      <c r="F2268" s="3563" t="s">
        <v>4797</v>
      </c>
      <c r="G2268" s="3564">
        <v>101.07</v>
      </c>
      <c r="H2268" s="3564">
        <v>71</v>
      </c>
      <c r="I2268" s="3564">
        <v>30.07</v>
      </c>
      <c r="J2268" s="3565">
        <v>1032410</v>
      </c>
      <c r="K2268" s="3565">
        <v>10214.799999999999</v>
      </c>
      <c r="L2268" s="3565">
        <v>14540.99</v>
      </c>
      <c r="M2268" s="3565">
        <v>980790</v>
      </c>
      <c r="N2268" s="3565">
        <v>9704.07</v>
      </c>
      <c r="O2268" s="3566">
        <v>44192</v>
      </c>
    </row>
    <row r="2269" spans="1:15">
      <c r="A2269" s="3563" t="s">
        <v>6491</v>
      </c>
      <c r="B2269" s="3563" t="s">
        <v>5277</v>
      </c>
      <c r="C2269" s="3563" t="s">
        <v>4197</v>
      </c>
      <c r="D2269" s="3563" t="s">
        <v>6429</v>
      </c>
      <c r="E2269" s="3563" t="s">
        <v>4199</v>
      </c>
      <c r="F2269" s="3563" t="s">
        <v>4797</v>
      </c>
      <c r="G2269" s="3564">
        <v>88.96</v>
      </c>
      <c r="H2269" s="3564">
        <v>71</v>
      </c>
      <c r="I2269" s="3564">
        <v>17.96</v>
      </c>
      <c r="J2269" s="3565">
        <v>947510</v>
      </c>
      <c r="K2269" s="3565">
        <v>10650.97</v>
      </c>
      <c r="L2269" s="3565">
        <v>13345.21</v>
      </c>
      <c r="M2269" s="3565">
        <v>909610</v>
      </c>
      <c r="N2269" s="3565">
        <v>10224.93</v>
      </c>
      <c r="O2269" s="3566">
        <v>44185</v>
      </c>
    </row>
    <row r="2270" spans="1:15">
      <c r="A2270" s="3563" t="s">
        <v>6492</v>
      </c>
      <c r="B2270" s="3563" t="s">
        <v>5277</v>
      </c>
      <c r="C2270" s="3563" t="s">
        <v>4197</v>
      </c>
      <c r="D2270" s="3563" t="s">
        <v>6429</v>
      </c>
      <c r="E2270" s="3563" t="s">
        <v>4199</v>
      </c>
      <c r="F2270" s="3563" t="s">
        <v>4797</v>
      </c>
      <c r="G2270" s="3564">
        <v>88.96</v>
      </c>
      <c r="H2270" s="3564">
        <v>71</v>
      </c>
      <c r="I2270" s="3564">
        <v>17.96</v>
      </c>
      <c r="J2270" s="3565">
        <v>947510</v>
      </c>
      <c r="K2270" s="3565">
        <v>10650.97</v>
      </c>
      <c r="L2270" s="3565">
        <v>13345.21</v>
      </c>
      <c r="M2270" s="3565">
        <v>900135</v>
      </c>
      <c r="N2270" s="3565">
        <v>10118.42</v>
      </c>
      <c r="O2270" s="3566">
        <v>44185</v>
      </c>
    </row>
    <row r="2271" spans="1:15">
      <c r="A2271" s="3563" t="s">
        <v>6493</v>
      </c>
      <c r="B2271" s="3563" t="s">
        <v>4196</v>
      </c>
      <c r="C2271" s="3563" t="s">
        <v>4197</v>
      </c>
      <c r="D2271" s="3563" t="s">
        <v>6429</v>
      </c>
      <c r="E2271" s="3563" t="s">
        <v>4199</v>
      </c>
      <c r="F2271" s="3563" t="s">
        <v>4797</v>
      </c>
      <c r="G2271" s="3564">
        <v>91.19</v>
      </c>
      <c r="H2271" s="3564">
        <v>72.78</v>
      </c>
      <c r="I2271" s="3564">
        <v>18.41</v>
      </c>
      <c r="J2271" s="3565">
        <v>908204</v>
      </c>
      <c r="K2271" s="3565">
        <v>9959.4699999999993</v>
      </c>
      <c r="L2271" s="3565">
        <v>12478.76</v>
      </c>
      <c r="M2271" s="3565">
        <v>0</v>
      </c>
      <c r="N2271" s="3565">
        <v>0</v>
      </c>
      <c r="O2271" s="3563" t="s">
        <v>3453</v>
      </c>
    </row>
    <row r="2272" spans="1:15">
      <c r="A2272" s="3563" t="s">
        <v>6494</v>
      </c>
      <c r="B2272" s="3563" t="s">
        <v>4196</v>
      </c>
      <c r="C2272" s="3563" t="s">
        <v>4197</v>
      </c>
      <c r="D2272" s="3563" t="s">
        <v>6429</v>
      </c>
      <c r="E2272" s="3563" t="s">
        <v>4199</v>
      </c>
      <c r="F2272" s="3563" t="s">
        <v>4797</v>
      </c>
      <c r="G2272" s="3564">
        <v>88.96</v>
      </c>
      <c r="H2272" s="3564">
        <v>71</v>
      </c>
      <c r="I2272" s="3564">
        <v>17.96</v>
      </c>
      <c r="J2272" s="3565">
        <v>904922</v>
      </c>
      <c r="K2272" s="3565">
        <v>10172.23</v>
      </c>
      <c r="L2272" s="3565">
        <v>12745.38</v>
      </c>
      <c r="M2272" s="3565">
        <v>0</v>
      </c>
      <c r="N2272" s="3565">
        <v>0</v>
      </c>
      <c r="O2272" s="3563" t="s">
        <v>3453</v>
      </c>
    </row>
    <row r="2273" spans="1:15">
      <c r="A2273" s="3563" t="s">
        <v>6495</v>
      </c>
      <c r="B2273" s="3563" t="s">
        <v>4811</v>
      </c>
      <c r="C2273" s="3563" t="s">
        <v>4197</v>
      </c>
      <c r="D2273" s="3563" t="s">
        <v>6429</v>
      </c>
      <c r="E2273" s="3563" t="s">
        <v>4199</v>
      </c>
      <c r="F2273" s="3563" t="s">
        <v>4797</v>
      </c>
      <c r="G2273" s="3564">
        <v>88.96</v>
      </c>
      <c r="H2273" s="3564">
        <v>71</v>
      </c>
      <c r="I2273" s="3564">
        <v>17.96</v>
      </c>
      <c r="J2273" s="3565">
        <v>904922</v>
      </c>
      <c r="K2273" s="3565">
        <v>10172.23</v>
      </c>
      <c r="L2273" s="3565">
        <v>12745.38</v>
      </c>
      <c r="M2273" s="3565">
        <v>877775</v>
      </c>
      <c r="N2273" s="3565">
        <v>9867.08</v>
      </c>
      <c r="O2273" s="3566">
        <v>44183</v>
      </c>
    </row>
    <row r="2274" spans="1:15">
      <c r="A2274" s="3563" t="s">
        <v>6496</v>
      </c>
      <c r="B2274" s="3563" t="s">
        <v>4196</v>
      </c>
      <c r="C2274" s="3563" t="s">
        <v>4197</v>
      </c>
      <c r="D2274" s="3563" t="s">
        <v>6429</v>
      </c>
      <c r="E2274" s="3563" t="s">
        <v>4199</v>
      </c>
      <c r="F2274" s="3563" t="s">
        <v>4797</v>
      </c>
      <c r="G2274" s="3564">
        <v>102.75</v>
      </c>
      <c r="H2274" s="3564">
        <v>82.01</v>
      </c>
      <c r="I2274" s="3564">
        <v>20.74</v>
      </c>
      <c r="J2274" s="3565">
        <v>1072524</v>
      </c>
      <c r="K2274" s="3565">
        <v>10438.19</v>
      </c>
      <c r="L2274" s="3565">
        <v>13077.97</v>
      </c>
      <c r="M2274" s="3565">
        <v>0</v>
      </c>
      <c r="N2274" s="3565">
        <v>0</v>
      </c>
      <c r="O2274" s="3563" t="s">
        <v>3453</v>
      </c>
    </row>
    <row r="2275" spans="1:15">
      <c r="A2275" s="3563" t="s">
        <v>6497</v>
      </c>
      <c r="B2275" s="3563" t="s">
        <v>4196</v>
      </c>
      <c r="C2275" s="3563" t="s">
        <v>4197</v>
      </c>
      <c r="D2275" s="3563" t="s">
        <v>6429</v>
      </c>
      <c r="E2275" s="3563" t="s">
        <v>4199</v>
      </c>
      <c r="F2275" s="3563" t="s">
        <v>4797</v>
      </c>
      <c r="G2275" s="3564">
        <v>88.96</v>
      </c>
      <c r="H2275" s="3564">
        <v>71</v>
      </c>
      <c r="I2275" s="3564">
        <v>17.96</v>
      </c>
      <c r="J2275" s="3565">
        <v>946564</v>
      </c>
      <c r="K2275" s="3565">
        <v>10640.33</v>
      </c>
      <c r="L2275" s="3565">
        <v>13331.89</v>
      </c>
      <c r="M2275" s="3565">
        <v>0</v>
      </c>
      <c r="N2275" s="3565">
        <v>0</v>
      </c>
      <c r="O2275" s="3563" t="s">
        <v>3453</v>
      </c>
    </row>
    <row r="2276" spans="1:15">
      <c r="A2276" s="3563" t="s">
        <v>6498</v>
      </c>
      <c r="B2276" s="3563" t="s">
        <v>4196</v>
      </c>
      <c r="C2276" s="3563" t="s">
        <v>4197</v>
      </c>
      <c r="D2276" s="3563" t="s">
        <v>6429</v>
      </c>
      <c r="E2276" s="3563" t="s">
        <v>4199</v>
      </c>
      <c r="F2276" s="3563" t="s">
        <v>4797</v>
      </c>
      <c r="G2276" s="3564">
        <v>88.96</v>
      </c>
      <c r="H2276" s="3564">
        <v>71</v>
      </c>
      <c r="I2276" s="3564">
        <v>17.96</v>
      </c>
      <c r="J2276" s="3565">
        <v>946564</v>
      </c>
      <c r="K2276" s="3565">
        <v>10640.33</v>
      </c>
      <c r="L2276" s="3565">
        <v>13331.89</v>
      </c>
      <c r="M2276" s="3565">
        <v>0</v>
      </c>
      <c r="N2276" s="3565">
        <v>0</v>
      </c>
      <c r="O2276" s="3563" t="s">
        <v>3453</v>
      </c>
    </row>
    <row r="2277" spans="1:15">
      <c r="A2277" s="3563" t="s">
        <v>6499</v>
      </c>
      <c r="B2277" s="3563" t="s">
        <v>4196</v>
      </c>
      <c r="C2277" s="3563" t="s">
        <v>4197</v>
      </c>
      <c r="D2277" s="3563" t="s">
        <v>6429</v>
      </c>
      <c r="E2277" s="3563" t="s">
        <v>4199</v>
      </c>
      <c r="F2277" s="3563" t="s">
        <v>4797</v>
      </c>
      <c r="G2277" s="3564">
        <v>91.19</v>
      </c>
      <c r="H2277" s="3564">
        <v>72.78</v>
      </c>
      <c r="I2277" s="3564">
        <v>18.41</v>
      </c>
      <c r="J2277" s="3565">
        <v>907234</v>
      </c>
      <c r="K2277" s="3565">
        <v>9948.83</v>
      </c>
      <c r="L2277" s="3565">
        <v>12465.43</v>
      </c>
      <c r="M2277" s="3565">
        <v>0</v>
      </c>
      <c r="N2277" s="3565">
        <v>0</v>
      </c>
      <c r="O2277" s="3563" t="s">
        <v>3453</v>
      </c>
    </row>
    <row r="2278" spans="1:15">
      <c r="A2278" s="3563" t="s">
        <v>6500</v>
      </c>
      <c r="B2278" s="3563" t="s">
        <v>4196</v>
      </c>
      <c r="C2278" s="3563" t="s">
        <v>4197</v>
      </c>
      <c r="D2278" s="3563" t="s">
        <v>6429</v>
      </c>
      <c r="E2278" s="3563" t="s">
        <v>4199</v>
      </c>
      <c r="F2278" s="3563" t="s">
        <v>4797</v>
      </c>
      <c r="G2278" s="3564">
        <v>88.96</v>
      </c>
      <c r="H2278" s="3564">
        <v>71</v>
      </c>
      <c r="I2278" s="3564">
        <v>17.96</v>
      </c>
      <c r="J2278" s="3565">
        <v>903977</v>
      </c>
      <c r="K2278" s="3565">
        <v>10161.61</v>
      </c>
      <c r="L2278" s="3565">
        <v>12732.07</v>
      </c>
      <c r="M2278" s="3565">
        <v>0</v>
      </c>
      <c r="N2278" s="3565">
        <v>0</v>
      </c>
      <c r="O2278" s="3563" t="s">
        <v>3453</v>
      </c>
    </row>
    <row r="2279" spans="1:15">
      <c r="A2279" s="3563" t="s">
        <v>6501</v>
      </c>
      <c r="B2279" s="3563" t="s">
        <v>4811</v>
      </c>
      <c r="C2279" s="3563" t="s">
        <v>4197</v>
      </c>
      <c r="D2279" s="3563" t="s">
        <v>6429</v>
      </c>
      <c r="E2279" s="3563" t="s">
        <v>4199</v>
      </c>
      <c r="F2279" s="3563" t="s">
        <v>4797</v>
      </c>
      <c r="G2279" s="3564">
        <v>88.96</v>
      </c>
      <c r="H2279" s="3564">
        <v>71</v>
      </c>
      <c r="I2279" s="3564">
        <v>17.96</v>
      </c>
      <c r="J2279" s="3565">
        <v>903977</v>
      </c>
      <c r="K2279" s="3565">
        <v>10161.61</v>
      </c>
      <c r="L2279" s="3565">
        <v>12732.07</v>
      </c>
      <c r="M2279" s="3565">
        <v>903977</v>
      </c>
      <c r="N2279" s="3565">
        <v>10161.61</v>
      </c>
      <c r="O2279" s="3566">
        <v>44189</v>
      </c>
    </row>
    <row r="2280" spans="1:15">
      <c r="A2280" s="3563" t="s">
        <v>6502</v>
      </c>
      <c r="B2280" s="3563" t="s">
        <v>4811</v>
      </c>
      <c r="C2280" s="3563" t="s">
        <v>4197</v>
      </c>
      <c r="D2280" s="3563" t="s">
        <v>6429</v>
      </c>
      <c r="E2280" s="3563" t="s">
        <v>4199</v>
      </c>
      <c r="F2280" s="3563" t="s">
        <v>4797</v>
      </c>
      <c r="G2280" s="3564">
        <v>102.75</v>
      </c>
      <c r="H2280" s="3564">
        <v>82.01</v>
      </c>
      <c r="I2280" s="3564">
        <v>20.74</v>
      </c>
      <c r="J2280" s="3565">
        <v>1071432</v>
      </c>
      <c r="K2280" s="3565">
        <v>10427.56</v>
      </c>
      <c r="L2280" s="3565">
        <v>13064.65</v>
      </c>
      <c r="M2280" s="3565">
        <v>1039290</v>
      </c>
      <c r="N2280" s="3565">
        <v>10114.74</v>
      </c>
      <c r="O2280" s="3566">
        <v>44184</v>
      </c>
    </row>
    <row r="2281" spans="1:15">
      <c r="A2281" s="3563" t="s">
        <v>6503</v>
      </c>
      <c r="B2281" s="3563" t="s">
        <v>4196</v>
      </c>
      <c r="C2281" s="3563" t="s">
        <v>4197</v>
      </c>
      <c r="D2281" s="3563" t="s">
        <v>6429</v>
      </c>
      <c r="E2281" s="3563" t="s">
        <v>4199</v>
      </c>
      <c r="F2281" s="3563" t="s">
        <v>4797</v>
      </c>
      <c r="G2281" s="3564">
        <v>88.96</v>
      </c>
      <c r="H2281" s="3564">
        <v>71</v>
      </c>
      <c r="I2281" s="3564">
        <v>17.96</v>
      </c>
      <c r="J2281" s="3565">
        <v>945617</v>
      </c>
      <c r="K2281" s="3565">
        <v>10629.69</v>
      </c>
      <c r="L2281" s="3565">
        <v>13318.55</v>
      </c>
      <c r="M2281" s="3565">
        <v>0</v>
      </c>
      <c r="N2281" s="3565">
        <v>0</v>
      </c>
      <c r="O2281" s="3563" t="s">
        <v>3453</v>
      </c>
    </row>
    <row r="2282" spans="1:15">
      <c r="A2282" s="3563" t="s">
        <v>6504</v>
      </c>
      <c r="B2282" s="3563" t="s">
        <v>4196</v>
      </c>
      <c r="C2282" s="3563" t="s">
        <v>4197</v>
      </c>
      <c r="D2282" s="3563" t="s">
        <v>6429</v>
      </c>
      <c r="E2282" s="3563" t="s">
        <v>4199</v>
      </c>
      <c r="F2282" s="3563" t="s">
        <v>4797</v>
      </c>
      <c r="G2282" s="3564">
        <v>88.96</v>
      </c>
      <c r="H2282" s="3564">
        <v>71</v>
      </c>
      <c r="I2282" s="3564">
        <v>17.96</v>
      </c>
      <c r="J2282" s="3565">
        <v>945617</v>
      </c>
      <c r="K2282" s="3565">
        <v>10629.69</v>
      </c>
      <c r="L2282" s="3565">
        <v>13318.55</v>
      </c>
      <c r="M2282" s="3565">
        <v>0</v>
      </c>
      <c r="N2282" s="3565">
        <v>0</v>
      </c>
      <c r="O2282" s="3563" t="s">
        <v>3453</v>
      </c>
    </row>
    <row r="2283" spans="1:15">
      <c r="A2283" s="3563" t="s">
        <v>6505</v>
      </c>
      <c r="B2283" s="3563" t="s">
        <v>5277</v>
      </c>
      <c r="C2283" s="3563" t="s">
        <v>4197</v>
      </c>
      <c r="D2283" s="3563" t="s">
        <v>6429</v>
      </c>
      <c r="E2283" s="3563" t="s">
        <v>4199</v>
      </c>
      <c r="F2283" s="3563" t="s">
        <v>4797</v>
      </c>
      <c r="G2283" s="3564">
        <v>91.19</v>
      </c>
      <c r="H2283" s="3564">
        <v>72.78</v>
      </c>
      <c r="I2283" s="3564">
        <v>18.41</v>
      </c>
      <c r="J2283" s="3565">
        <v>906264</v>
      </c>
      <c r="K2283" s="3565">
        <v>9938.19</v>
      </c>
      <c r="L2283" s="3565">
        <v>12452.1</v>
      </c>
      <c r="M2283" s="3565">
        <v>879077</v>
      </c>
      <c r="N2283" s="3565">
        <v>9640.06</v>
      </c>
      <c r="O2283" s="3566">
        <v>44188</v>
      </c>
    </row>
    <row r="2284" spans="1:15">
      <c r="A2284" s="3563" t="s">
        <v>6506</v>
      </c>
      <c r="B2284" s="3563" t="s">
        <v>5277</v>
      </c>
      <c r="C2284" s="3563" t="s">
        <v>4197</v>
      </c>
      <c r="D2284" s="3563" t="s">
        <v>6429</v>
      </c>
      <c r="E2284" s="3563" t="s">
        <v>4199</v>
      </c>
      <c r="F2284" s="3563" t="s">
        <v>4797</v>
      </c>
      <c r="G2284" s="3564">
        <v>88.96</v>
      </c>
      <c r="H2284" s="3564">
        <v>71</v>
      </c>
      <c r="I2284" s="3564">
        <v>17.96</v>
      </c>
      <c r="J2284" s="3565">
        <v>903030</v>
      </c>
      <c r="K2284" s="3565">
        <v>10150.969999999999</v>
      </c>
      <c r="L2284" s="3565">
        <v>12718.73</v>
      </c>
      <c r="M2284" s="3565">
        <v>857879</v>
      </c>
      <c r="N2284" s="3565">
        <v>9643.42</v>
      </c>
      <c r="O2284" s="3566">
        <v>44192</v>
      </c>
    </row>
    <row r="2285" spans="1:15">
      <c r="A2285" s="3563" t="s">
        <v>6507</v>
      </c>
      <c r="B2285" s="3563" t="s">
        <v>5277</v>
      </c>
      <c r="C2285" s="3563" t="s">
        <v>4197</v>
      </c>
      <c r="D2285" s="3563" t="s">
        <v>6429</v>
      </c>
      <c r="E2285" s="3563" t="s">
        <v>4199</v>
      </c>
      <c r="F2285" s="3563" t="s">
        <v>4797</v>
      </c>
      <c r="G2285" s="3564">
        <v>88.96</v>
      </c>
      <c r="H2285" s="3564">
        <v>71</v>
      </c>
      <c r="I2285" s="3564">
        <v>17.96</v>
      </c>
      <c r="J2285" s="3565">
        <v>903030</v>
      </c>
      <c r="K2285" s="3565">
        <v>10150.969999999999</v>
      </c>
      <c r="L2285" s="3565">
        <v>12718.73</v>
      </c>
      <c r="M2285" s="3565">
        <v>821758</v>
      </c>
      <c r="N2285" s="3565">
        <v>9237.39</v>
      </c>
      <c r="O2285" s="3566">
        <v>44185</v>
      </c>
    </row>
    <row r="2286" spans="1:15">
      <c r="A2286" s="3563" t="s">
        <v>6508</v>
      </c>
      <c r="B2286" s="3563" t="s">
        <v>4196</v>
      </c>
      <c r="C2286" s="3563" t="s">
        <v>4197</v>
      </c>
      <c r="D2286" s="3563" t="s">
        <v>6429</v>
      </c>
      <c r="E2286" s="3563" t="s">
        <v>4199</v>
      </c>
      <c r="F2286" s="3563" t="s">
        <v>4797</v>
      </c>
      <c r="G2286" s="3564">
        <v>102.75</v>
      </c>
      <c r="H2286" s="3564">
        <v>82.01</v>
      </c>
      <c r="I2286" s="3564">
        <v>20.74</v>
      </c>
      <c r="J2286" s="3565">
        <v>1070338</v>
      </c>
      <c r="K2286" s="3565">
        <v>10416.91</v>
      </c>
      <c r="L2286" s="3565">
        <v>13051.31</v>
      </c>
      <c r="M2286" s="3565">
        <v>0</v>
      </c>
      <c r="N2286" s="3565">
        <v>0</v>
      </c>
      <c r="O2286" s="3563" t="s">
        <v>3453</v>
      </c>
    </row>
    <row r="2287" spans="1:15">
      <c r="A2287" s="3563" t="s">
        <v>6509</v>
      </c>
      <c r="B2287" s="3563" t="s">
        <v>5277</v>
      </c>
      <c r="C2287" s="3563" t="s">
        <v>4197</v>
      </c>
      <c r="D2287" s="3563" t="s">
        <v>6429</v>
      </c>
      <c r="E2287" s="3563" t="s">
        <v>4199</v>
      </c>
      <c r="F2287" s="3563" t="s">
        <v>4797</v>
      </c>
      <c r="G2287" s="3564">
        <v>88.96</v>
      </c>
      <c r="H2287" s="3564">
        <v>71</v>
      </c>
      <c r="I2287" s="3564">
        <v>17.96</v>
      </c>
      <c r="J2287" s="3565">
        <v>944670</v>
      </c>
      <c r="K2287" s="3565">
        <v>10619.04</v>
      </c>
      <c r="L2287" s="3565">
        <v>13305.21</v>
      </c>
      <c r="M2287" s="3565">
        <v>906884</v>
      </c>
      <c r="N2287" s="3565">
        <v>10194.290000000001</v>
      </c>
      <c r="O2287" s="3566">
        <v>44183</v>
      </c>
    </row>
    <row r="2288" spans="1:15">
      <c r="A2288" s="3563" t="s">
        <v>6510</v>
      </c>
      <c r="B2288" s="3563" t="s">
        <v>4196</v>
      </c>
      <c r="C2288" s="3563" t="s">
        <v>4197</v>
      </c>
      <c r="D2288" s="3563" t="s">
        <v>6429</v>
      </c>
      <c r="E2288" s="3563" t="s">
        <v>4199</v>
      </c>
      <c r="F2288" s="3563" t="s">
        <v>4797</v>
      </c>
      <c r="G2288" s="3564">
        <v>88.96</v>
      </c>
      <c r="H2288" s="3564">
        <v>71</v>
      </c>
      <c r="I2288" s="3564">
        <v>17.96</v>
      </c>
      <c r="J2288" s="3565">
        <v>944670</v>
      </c>
      <c r="K2288" s="3565">
        <v>10619.04</v>
      </c>
      <c r="L2288" s="3565">
        <v>13305.21</v>
      </c>
      <c r="M2288" s="3565">
        <v>0</v>
      </c>
      <c r="N2288" s="3565">
        <v>0</v>
      </c>
      <c r="O2288" s="3563" t="s">
        <v>3453</v>
      </c>
    </row>
    <row r="2289" spans="1:15">
      <c r="A2289" s="3563" t="s">
        <v>6511</v>
      </c>
      <c r="B2289" s="3563" t="s">
        <v>4196</v>
      </c>
      <c r="C2289" s="3563" t="s">
        <v>4197</v>
      </c>
      <c r="D2289" s="3563" t="s">
        <v>6429</v>
      </c>
      <c r="E2289" s="3563" t="s">
        <v>4199</v>
      </c>
      <c r="F2289" s="3563" t="s">
        <v>4797</v>
      </c>
      <c r="G2289" s="3564">
        <v>91.19</v>
      </c>
      <c r="H2289" s="3564">
        <v>72.78</v>
      </c>
      <c r="I2289" s="3564">
        <v>18.41</v>
      </c>
      <c r="J2289" s="3565">
        <v>905294</v>
      </c>
      <c r="K2289" s="3565">
        <v>9927.56</v>
      </c>
      <c r="L2289" s="3565">
        <v>12438.77</v>
      </c>
      <c r="M2289" s="3565">
        <v>0</v>
      </c>
      <c r="N2289" s="3565">
        <v>0</v>
      </c>
      <c r="O2289" s="3563" t="s">
        <v>3453</v>
      </c>
    </row>
    <row r="2290" spans="1:15">
      <c r="A2290" s="3563" t="s">
        <v>6512</v>
      </c>
      <c r="B2290" s="3563" t="s">
        <v>4196</v>
      </c>
      <c r="C2290" s="3563" t="s">
        <v>4197</v>
      </c>
      <c r="D2290" s="3563" t="s">
        <v>6429</v>
      </c>
      <c r="E2290" s="3563" t="s">
        <v>4199</v>
      </c>
      <c r="F2290" s="3563" t="s">
        <v>4797</v>
      </c>
      <c r="G2290" s="3564">
        <v>88.96</v>
      </c>
      <c r="H2290" s="3564">
        <v>71</v>
      </c>
      <c r="I2290" s="3564">
        <v>17.96</v>
      </c>
      <c r="J2290" s="3565">
        <v>902083</v>
      </c>
      <c r="K2290" s="3565">
        <v>10140.32</v>
      </c>
      <c r="L2290" s="3565">
        <v>12705.39</v>
      </c>
      <c r="M2290" s="3565">
        <v>0</v>
      </c>
      <c r="N2290" s="3565">
        <v>0</v>
      </c>
      <c r="O2290" s="3563" t="s">
        <v>3453</v>
      </c>
    </row>
    <row r="2291" spans="1:15">
      <c r="A2291" s="3563" t="s">
        <v>6513</v>
      </c>
      <c r="B2291" s="3563" t="s">
        <v>5277</v>
      </c>
      <c r="C2291" s="3563" t="s">
        <v>4197</v>
      </c>
      <c r="D2291" s="3563" t="s">
        <v>6429</v>
      </c>
      <c r="E2291" s="3563" t="s">
        <v>4199</v>
      </c>
      <c r="F2291" s="3563" t="s">
        <v>4797</v>
      </c>
      <c r="G2291" s="3564">
        <v>88.96</v>
      </c>
      <c r="H2291" s="3564">
        <v>71</v>
      </c>
      <c r="I2291" s="3564">
        <v>17.96</v>
      </c>
      <c r="J2291" s="3565">
        <v>902083</v>
      </c>
      <c r="K2291" s="3565">
        <v>10140.32</v>
      </c>
      <c r="L2291" s="3565">
        <v>12705.39</v>
      </c>
      <c r="M2291" s="3565">
        <v>866000</v>
      </c>
      <c r="N2291" s="3565">
        <v>9734.7099999999991</v>
      </c>
      <c r="O2291" s="3566">
        <v>44183</v>
      </c>
    </row>
    <row r="2292" spans="1:15">
      <c r="A2292" s="3563" t="s">
        <v>6514</v>
      </c>
      <c r="B2292" s="3563" t="s">
        <v>4811</v>
      </c>
      <c r="C2292" s="3563" t="s">
        <v>4197</v>
      </c>
      <c r="D2292" s="3563" t="s">
        <v>6429</v>
      </c>
      <c r="E2292" s="3563" t="s">
        <v>4199</v>
      </c>
      <c r="F2292" s="3563" t="s">
        <v>4797</v>
      </c>
      <c r="G2292" s="3564">
        <v>102.75</v>
      </c>
      <c r="H2292" s="3564">
        <v>82.01</v>
      </c>
      <c r="I2292" s="3564">
        <v>20.74</v>
      </c>
      <c r="J2292" s="3565">
        <v>1069246</v>
      </c>
      <c r="K2292" s="3565">
        <v>10406.290000000001</v>
      </c>
      <c r="L2292" s="3565">
        <v>13038</v>
      </c>
      <c r="M2292" s="3565">
        <v>973014</v>
      </c>
      <c r="N2292" s="3565">
        <v>9469.7199999999993</v>
      </c>
      <c r="O2292" s="3566">
        <v>44183</v>
      </c>
    </row>
    <row r="2293" spans="1:15">
      <c r="A2293" s="3563" t="s">
        <v>6515</v>
      </c>
      <c r="B2293" s="3563" t="s">
        <v>4196</v>
      </c>
      <c r="C2293" s="3563" t="s">
        <v>4197</v>
      </c>
      <c r="D2293" s="3563" t="s">
        <v>6429</v>
      </c>
      <c r="E2293" s="3563" t="s">
        <v>4199</v>
      </c>
      <c r="F2293" s="3563" t="s">
        <v>4797</v>
      </c>
      <c r="G2293" s="3564">
        <v>88.96</v>
      </c>
      <c r="H2293" s="3564">
        <v>71</v>
      </c>
      <c r="I2293" s="3564">
        <v>17.96</v>
      </c>
      <c r="J2293" s="3565">
        <v>943724</v>
      </c>
      <c r="K2293" s="3565">
        <v>10608.41</v>
      </c>
      <c r="L2293" s="3565">
        <v>13291.89</v>
      </c>
      <c r="M2293" s="3565">
        <v>0</v>
      </c>
      <c r="N2293" s="3565">
        <v>0</v>
      </c>
      <c r="O2293" s="3563" t="s">
        <v>3453</v>
      </c>
    </row>
    <row r="2294" spans="1:15">
      <c r="A2294" s="3563" t="s">
        <v>6516</v>
      </c>
      <c r="B2294" s="3563" t="s">
        <v>4196</v>
      </c>
      <c r="C2294" s="3563" t="s">
        <v>4197</v>
      </c>
      <c r="D2294" s="3563" t="s">
        <v>6429</v>
      </c>
      <c r="E2294" s="3563" t="s">
        <v>4199</v>
      </c>
      <c r="F2294" s="3563" t="s">
        <v>4797</v>
      </c>
      <c r="G2294" s="3564">
        <v>88.96</v>
      </c>
      <c r="H2294" s="3564">
        <v>71</v>
      </c>
      <c r="I2294" s="3564">
        <v>17.96</v>
      </c>
      <c r="J2294" s="3565">
        <v>943724</v>
      </c>
      <c r="K2294" s="3565">
        <v>10608.41</v>
      </c>
      <c r="L2294" s="3565">
        <v>13291.89</v>
      </c>
      <c r="M2294" s="3565">
        <v>0</v>
      </c>
      <c r="N2294" s="3565">
        <v>0</v>
      </c>
      <c r="O2294" s="3563" t="s">
        <v>3453</v>
      </c>
    </row>
    <row r="2295" spans="1:15">
      <c r="A2295" s="3563" t="s">
        <v>6517</v>
      </c>
      <c r="B2295" s="3563" t="s">
        <v>4196</v>
      </c>
      <c r="C2295" s="3563" t="s">
        <v>4197</v>
      </c>
      <c r="D2295" s="3563" t="s">
        <v>6429</v>
      </c>
      <c r="E2295" s="3563" t="s">
        <v>4199</v>
      </c>
      <c r="F2295" s="3563" t="s">
        <v>4797</v>
      </c>
      <c r="G2295" s="3564">
        <v>91.19</v>
      </c>
      <c r="H2295" s="3564">
        <v>72.78</v>
      </c>
      <c r="I2295" s="3564">
        <v>18.41</v>
      </c>
      <c r="J2295" s="3565">
        <v>904324</v>
      </c>
      <c r="K2295" s="3565">
        <v>9916.92</v>
      </c>
      <c r="L2295" s="3565">
        <v>12425.45</v>
      </c>
      <c r="M2295" s="3565">
        <v>0</v>
      </c>
      <c r="N2295" s="3565">
        <v>0</v>
      </c>
      <c r="O2295" s="3563" t="s">
        <v>3453</v>
      </c>
    </row>
    <row r="2296" spans="1:15">
      <c r="A2296" s="3563" t="s">
        <v>6518</v>
      </c>
      <c r="B2296" s="3563" t="s">
        <v>5277</v>
      </c>
      <c r="C2296" s="3563" t="s">
        <v>4197</v>
      </c>
      <c r="D2296" s="3563" t="s">
        <v>6429</v>
      </c>
      <c r="E2296" s="3563" t="s">
        <v>4199</v>
      </c>
      <c r="F2296" s="3563" t="s">
        <v>4797</v>
      </c>
      <c r="G2296" s="3564">
        <v>88.96</v>
      </c>
      <c r="H2296" s="3564">
        <v>71</v>
      </c>
      <c r="I2296" s="3564">
        <v>17.96</v>
      </c>
      <c r="J2296" s="3565">
        <v>901137</v>
      </c>
      <c r="K2296" s="3565">
        <v>10129.69</v>
      </c>
      <c r="L2296" s="3565">
        <v>12692.07</v>
      </c>
      <c r="M2296" s="3565">
        <v>820035</v>
      </c>
      <c r="N2296" s="3565">
        <v>9218.02</v>
      </c>
      <c r="O2296" s="3566">
        <v>44189</v>
      </c>
    </row>
    <row r="2297" spans="1:15">
      <c r="A2297" s="3563" t="s">
        <v>6519</v>
      </c>
      <c r="B2297" s="3563" t="s">
        <v>4196</v>
      </c>
      <c r="C2297" s="3563" t="s">
        <v>4197</v>
      </c>
      <c r="D2297" s="3563" t="s">
        <v>6429</v>
      </c>
      <c r="E2297" s="3563" t="s">
        <v>4199</v>
      </c>
      <c r="F2297" s="3563" t="s">
        <v>4797</v>
      </c>
      <c r="G2297" s="3564">
        <v>88.96</v>
      </c>
      <c r="H2297" s="3564">
        <v>71</v>
      </c>
      <c r="I2297" s="3564">
        <v>17.96</v>
      </c>
      <c r="J2297" s="3565">
        <v>901137</v>
      </c>
      <c r="K2297" s="3565">
        <v>10129.69</v>
      </c>
      <c r="L2297" s="3565">
        <v>12692.07</v>
      </c>
      <c r="M2297" s="3565">
        <v>0</v>
      </c>
      <c r="N2297" s="3565">
        <v>0</v>
      </c>
      <c r="O2297" s="3563" t="s">
        <v>3453</v>
      </c>
    </row>
    <row r="2298" spans="1:15">
      <c r="A2298" s="3563" t="s">
        <v>6520</v>
      </c>
      <c r="B2298" s="3563" t="s">
        <v>5277</v>
      </c>
      <c r="C2298" s="3563" t="s">
        <v>4197</v>
      </c>
      <c r="D2298" s="3563" t="s">
        <v>6429</v>
      </c>
      <c r="E2298" s="3563" t="s">
        <v>4199</v>
      </c>
      <c r="F2298" s="3563" t="s">
        <v>4797</v>
      </c>
      <c r="G2298" s="3564">
        <v>102.75</v>
      </c>
      <c r="H2298" s="3564">
        <v>82.01</v>
      </c>
      <c r="I2298" s="3564">
        <v>20.74</v>
      </c>
      <c r="J2298" s="3565">
        <v>1068152</v>
      </c>
      <c r="K2298" s="3565">
        <v>10395.64</v>
      </c>
      <c r="L2298" s="3565">
        <v>13024.66</v>
      </c>
      <c r="M2298" s="3565">
        <v>1025426</v>
      </c>
      <c r="N2298" s="3565">
        <v>9979.82</v>
      </c>
      <c r="O2298" s="3566">
        <v>44183</v>
      </c>
    </row>
    <row r="2299" spans="1:15">
      <c r="A2299" s="3563" t="s">
        <v>6521</v>
      </c>
      <c r="B2299" s="3563" t="s">
        <v>4811</v>
      </c>
      <c r="C2299" s="3563" t="s">
        <v>4197</v>
      </c>
      <c r="D2299" s="3563" t="s">
        <v>6429</v>
      </c>
      <c r="E2299" s="3563" t="s">
        <v>4199</v>
      </c>
      <c r="F2299" s="3563" t="s">
        <v>4797</v>
      </c>
      <c r="G2299" s="3564">
        <v>88.96</v>
      </c>
      <c r="H2299" s="3564">
        <v>71</v>
      </c>
      <c r="I2299" s="3564">
        <v>17.96</v>
      </c>
      <c r="J2299" s="3565">
        <v>942778</v>
      </c>
      <c r="K2299" s="3565">
        <v>10597.77</v>
      </c>
      <c r="L2299" s="3565">
        <v>13278.56</v>
      </c>
      <c r="M2299" s="3565">
        <v>895640</v>
      </c>
      <c r="N2299" s="3565">
        <v>10067.9</v>
      </c>
      <c r="O2299" s="3566">
        <v>44185</v>
      </c>
    </row>
    <row r="2300" spans="1:15">
      <c r="A2300" s="3563" t="s">
        <v>6522</v>
      </c>
      <c r="B2300" s="3563" t="s">
        <v>4196</v>
      </c>
      <c r="C2300" s="3563" t="s">
        <v>4197</v>
      </c>
      <c r="D2300" s="3563" t="s">
        <v>6429</v>
      </c>
      <c r="E2300" s="3563" t="s">
        <v>4199</v>
      </c>
      <c r="F2300" s="3563" t="s">
        <v>4797</v>
      </c>
      <c r="G2300" s="3564">
        <v>88.96</v>
      </c>
      <c r="H2300" s="3564">
        <v>71</v>
      </c>
      <c r="I2300" s="3564">
        <v>17.96</v>
      </c>
      <c r="J2300" s="3565">
        <v>942778</v>
      </c>
      <c r="K2300" s="3565">
        <v>10597.77</v>
      </c>
      <c r="L2300" s="3565">
        <v>13278.56</v>
      </c>
      <c r="M2300" s="3565">
        <v>0</v>
      </c>
      <c r="N2300" s="3565">
        <v>0</v>
      </c>
      <c r="O2300" s="3563" t="s">
        <v>3453</v>
      </c>
    </row>
    <row r="2301" spans="1:15">
      <c r="A2301" s="3563" t="s">
        <v>6523</v>
      </c>
      <c r="B2301" s="3563" t="s">
        <v>4811</v>
      </c>
      <c r="C2301" s="3563" t="s">
        <v>4197</v>
      </c>
      <c r="D2301" s="3563" t="s">
        <v>6429</v>
      </c>
      <c r="E2301" s="3563" t="s">
        <v>4199</v>
      </c>
      <c r="F2301" s="3563" t="s">
        <v>4797</v>
      </c>
      <c r="G2301" s="3564">
        <v>91.19</v>
      </c>
      <c r="H2301" s="3564">
        <v>72.78</v>
      </c>
      <c r="I2301" s="3564">
        <v>18.41</v>
      </c>
      <c r="J2301" s="3565">
        <v>922756</v>
      </c>
      <c r="K2301" s="3565">
        <v>10119.049999999999</v>
      </c>
      <c r="L2301" s="3565">
        <v>12678.7</v>
      </c>
      <c r="M2301" s="3565">
        <v>885846</v>
      </c>
      <c r="N2301" s="3565">
        <v>9714.2900000000009</v>
      </c>
      <c r="O2301" s="3566">
        <v>44186</v>
      </c>
    </row>
    <row r="2302" spans="1:15">
      <c r="A2302" s="3563" t="s">
        <v>6524</v>
      </c>
      <c r="B2302" s="3563" t="s">
        <v>5277</v>
      </c>
      <c r="C2302" s="3563" t="s">
        <v>4197</v>
      </c>
      <c r="D2302" s="3563" t="s">
        <v>6429</v>
      </c>
      <c r="E2302" s="3563" t="s">
        <v>4199</v>
      </c>
      <c r="F2302" s="3563" t="s">
        <v>4797</v>
      </c>
      <c r="G2302" s="3564">
        <v>88.96</v>
      </c>
      <c r="H2302" s="3564">
        <v>71</v>
      </c>
      <c r="I2302" s="3564">
        <v>17.96</v>
      </c>
      <c r="J2302" s="3565">
        <v>900190</v>
      </c>
      <c r="K2302" s="3565">
        <v>10119.040000000001</v>
      </c>
      <c r="L2302" s="3565">
        <v>12678.73</v>
      </c>
      <c r="M2302" s="3565">
        <v>864183</v>
      </c>
      <c r="N2302" s="3565">
        <v>9714.2900000000009</v>
      </c>
      <c r="O2302" s="3566">
        <v>44187</v>
      </c>
    </row>
    <row r="2303" spans="1:15">
      <c r="A2303" s="3563" t="s">
        <v>6525</v>
      </c>
      <c r="B2303" s="3563" t="s">
        <v>5277</v>
      </c>
      <c r="C2303" s="3563" t="s">
        <v>4197</v>
      </c>
      <c r="D2303" s="3563" t="s">
        <v>6429</v>
      </c>
      <c r="E2303" s="3563" t="s">
        <v>4199</v>
      </c>
      <c r="F2303" s="3563" t="s">
        <v>4797</v>
      </c>
      <c r="G2303" s="3564">
        <v>88.96</v>
      </c>
      <c r="H2303" s="3564">
        <v>71</v>
      </c>
      <c r="I2303" s="3564">
        <v>17.96</v>
      </c>
      <c r="J2303" s="3565">
        <v>900190</v>
      </c>
      <c r="K2303" s="3565">
        <v>10119.040000000001</v>
      </c>
      <c r="L2303" s="3565">
        <v>12678.73</v>
      </c>
      <c r="M2303" s="3565">
        <v>864183</v>
      </c>
      <c r="N2303" s="3565">
        <v>9714.2900000000009</v>
      </c>
      <c r="O2303" s="3566">
        <v>44184</v>
      </c>
    </row>
    <row r="2304" spans="1:15">
      <c r="A2304" s="3563" t="s">
        <v>6526</v>
      </c>
      <c r="B2304" s="3563" t="s">
        <v>5277</v>
      </c>
      <c r="C2304" s="3563" t="s">
        <v>4197</v>
      </c>
      <c r="D2304" s="3563" t="s">
        <v>6429</v>
      </c>
      <c r="E2304" s="3563" t="s">
        <v>4199</v>
      </c>
      <c r="F2304" s="3563" t="s">
        <v>4797</v>
      </c>
      <c r="G2304" s="3564">
        <v>102.75</v>
      </c>
      <c r="H2304" s="3564">
        <v>82.01</v>
      </c>
      <c r="I2304" s="3564">
        <v>20.74</v>
      </c>
      <c r="J2304" s="3565">
        <v>1067060</v>
      </c>
      <c r="K2304" s="3565">
        <v>10385.01</v>
      </c>
      <c r="L2304" s="3565">
        <v>13011.34</v>
      </c>
      <c r="M2304" s="3565">
        <v>1024378</v>
      </c>
      <c r="N2304" s="3565">
        <v>9969.6200000000008</v>
      </c>
      <c r="O2304" s="3566">
        <v>44183</v>
      </c>
    </row>
    <row r="2305" spans="1:15">
      <c r="A2305" s="3563" t="s">
        <v>6527</v>
      </c>
      <c r="B2305" s="3563" t="s">
        <v>4811</v>
      </c>
      <c r="C2305" s="3563" t="s">
        <v>4197</v>
      </c>
      <c r="D2305" s="3563" t="s">
        <v>6429</v>
      </c>
      <c r="E2305" s="3563" t="s">
        <v>4199</v>
      </c>
      <c r="F2305" s="3563" t="s">
        <v>4797</v>
      </c>
      <c r="G2305" s="3564">
        <v>88.96</v>
      </c>
      <c r="H2305" s="3564">
        <v>71</v>
      </c>
      <c r="I2305" s="3564">
        <v>17.96</v>
      </c>
      <c r="J2305" s="3565">
        <v>913440</v>
      </c>
      <c r="K2305" s="3565">
        <v>10267.99</v>
      </c>
      <c r="L2305" s="3565">
        <v>12865.35</v>
      </c>
      <c r="M2305" s="3565">
        <v>886037</v>
      </c>
      <c r="N2305" s="3565">
        <v>9959.9500000000007</v>
      </c>
      <c r="O2305" s="3566">
        <v>44191</v>
      </c>
    </row>
    <row r="2306" spans="1:15">
      <c r="A2306" s="3563" t="s">
        <v>6528</v>
      </c>
      <c r="B2306" s="3563" t="s">
        <v>4196</v>
      </c>
      <c r="C2306" s="3563" t="s">
        <v>4197</v>
      </c>
      <c r="D2306" s="3563" t="s">
        <v>6429</v>
      </c>
      <c r="E2306" s="3563" t="s">
        <v>4199</v>
      </c>
      <c r="F2306" s="3563" t="s">
        <v>4797</v>
      </c>
      <c r="G2306" s="3564">
        <v>88.96</v>
      </c>
      <c r="H2306" s="3564">
        <v>71</v>
      </c>
      <c r="I2306" s="3564">
        <v>17.96</v>
      </c>
      <c r="J2306" s="3565">
        <v>913440</v>
      </c>
      <c r="K2306" s="3565">
        <v>10267.99</v>
      </c>
      <c r="L2306" s="3565">
        <v>12865.35</v>
      </c>
      <c r="M2306" s="3565">
        <v>0</v>
      </c>
      <c r="N2306" s="3565">
        <v>0</v>
      </c>
      <c r="O2306" s="3563" t="s">
        <v>3453</v>
      </c>
    </row>
    <row r="2307" spans="1:15">
      <c r="A2307" s="3563" t="s">
        <v>6529</v>
      </c>
      <c r="B2307" s="3563" t="s">
        <v>4811</v>
      </c>
      <c r="C2307" s="3563" t="s">
        <v>4197</v>
      </c>
      <c r="D2307" s="3563" t="s">
        <v>6429</v>
      </c>
      <c r="E2307" s="3563" t="s">
        <v>4199</v>
      </c>
      <c r="F2307" s="3563" t="s">
        <v>4797</v>
      </c>
      <c r="G2307" s="3564">
        <v>91.19</v>
      </c>
      <c r="H2307" s="3564">
        <v>72.78</v>
      </c>
      <c r="I2307" s="3564">
        <v>18.41</v>
      </c>
      <c r="J2307" s="3565">
        <v>892683</v>
      </c>
      <c r="K2307" s="3565">
        <v>9789.26</v>
      </c>
      <c r="L2307" s="3565">
        <v>12265.5</v>
      </c>
      <c r="M2307" s="3565">
        <v>812342</v>
      </c>
      <c r="N2307" s="3565">
        <v>8908.24</v>
      </c>
      <c r="O2307" s="3566">
        <v>44189</v>
      </c>
    </row>
    <row r="2308" spans="1:15">
      <c r="A2308" s="3563" t="s">
        <v>6530</v>
      </c>
      <c r="B2308" s="3563" t="s">
        <v>5277</v>
      </c>
      <c r="C2308" s="3563" t="s">
        <v>4197</v>
      </c>
      <c r="D2308" s="3563" t="s">
        <v>6429</v>
      </c>
      <c r="E2308" s="3563" t="s">
        <v>4199</v>
      </c>
      <c r="F2308" s="3563" t="s">
        <v>4797</v>
      </c>
      <c r="G2308" s="3564">
        <v>88.96</v>
      </c>
      <c r="H2308" s="3564">
        <v>71</v>
      </c>
      <c r="I2308" s="3564">
        <v>17.96</v>
      </c>
      <c r="J2308" s="3565">
        <v>870853</v>
      </c>
      <c r="K2308" s="3565">
        <v>9789.26</v>
      </c>
      <c r="L2308" s="3565">
        <v>12265.54</v>
      </c>
      <c r="M2308" s="3565">
        <v>827311</v>
      </c>
      <c r="N2308" s="3565">
        <v>9299.81</v>
      </c>
      <c r="O2308" s="3566">
        <v>44187</v>
      </c>
    </row>
    <row r="2309" spans="1:15">
      <c r="A2309" s="3563" t="s">
        <v>6531</v>
      </c>
      <c r="B2309" s="3563" t="s">
        <v>4811</v>
      </c>
      <c r="C2309" s="3563" t="s">
        <v>4197</v>
      </c>
      <c r="D2309" s="3563" t="s">
        <v>6429</v>
      </c>
      <c r="E2309" s="3563" t="s">
        <v>4199</v>
      </c>
      <c r="F2309" s="3563" t="s">
        <v>4797</v>
      </c>
      <c r="G2309" s="3564">
        <v>88.96</v>
      </c>
      <c r="H2309" s="3564">
        <v>71</v>
      </c>
      <c r="I2309" s="3564">
        <v>17.96</v>
      </c>
      <c r="J2309" s="3565">
        <v>870853</v>
      </c>
      <c r="K2309" s="3565">
        <v>9789.26</v>
      </c>
      <c r="L2309" s="3565">
        <v>12265.54</v>
      </c>
      <c r="M2309" s="3565">
        <v>836019</v>
      </c>
      <c r="N2309" s="3565">
        <v>9397.7000000000007</v>
      </c>
      <c r="O2309" s="3566">
        <v>44184</v>
      </c>
    </row>
    <row r="2310" spans="1:15">
      <c r="A2310" s="3563" t="s">
        <v>6532</v>
      </c>
      <c r="B2310" s="3563" t="s">
        <v>4196</v>
      </c>
      <c r="C2310" s="3563" t="s">
        <v>4197</v>
      </c>
      <c r="D2310" s="3563" t="s">
        <v>6429</v>
      </c>
      <c r="E2310" s="3563" t="s">
        <v>4199</v>
      </c>
      <c r="F2310" s="3563" t="s">
        <v>4797</v>
      </c>
      <c r="G2310" s="3564">
        <v>102.75</v>
      </c>
      <c r="H2310" s="3564">
        <v>82.01</v>
      </c>
      <c r="I2310" s="3564">
        <v>20.74</v>
      </c>
      <c r="J2310" s="3565">
        <v>1033173</v>
      </c>
      <c r="K2310" s="3565">
        <v>10055.209999999999</v>
      </c>
      <c r="L2310" s="3565">
        <v>12598.13</v>
      </c>
      <c r="M2310" s="3565">
        <v>0</v>
      </c>
      <c r="N2310" s="3565">
        <v>0</v>
      </c>
      <c r="O2310" s="3563" t="s">
        <v>3453</v>
      </c>
    </row>
    <row r="2311" spans="1:15">
      <c r="A2311" s="3563" t="s">
        <v>6533</v>
      </c>
      <c r="B2311" s="3563" t="s">
        <v>4196</v>
      </c>
      <c r="C2311" s="3563" t="s">
        <v>4197</v>
      </c>
      <c r="D2311" s="3563" t="s">
        <v>6429</v>
      </c>
      <c r="E2311" s="3563" t="s">
        <v>4199</v>
      </c>
      <c r="F2311" s="3563" t="s">
        <v>4797</v>
      </c>
      <c r="G2311" s="3564">
        <v>88.96</v>
      </c>
      <c r="H2311" s="3564">
        <v>71</v>
      </c>
      <c r="I2311" s="3564">
        <v>17.96</v>
      </c>
      <c r="J2311" s="3565">
        <v>901137</v>
      </c>
      <c r="K2311" s="3565">
        <v>10129.69</v>
      </c>
      <c r="L2311" s="3565">
        <v>12692.07</v>
      </c>
      <c r="M2311" s="3565">
        <v>0</v>
      </c>
      <c r="N2311" s="3565">
        <v>0</v>
      </c>
      <c r="O2311" s="3563" t="s">
        <v>3453</v>
      </c>
    </row>
    <row r="2312" spans="1:15">
      <c r="A2312" s="3563" t="s">
        <v>6534</v>
      </c>
      <c r="B2312" s="3563" t="s">
        <v>4196</v>
      </c>
      <c r="C2312" s="3563" t="s">
        <v>4197</v>
      </c>
      <c r="D2312" s="3563" t="s">
        <v>6429</v>
      </c>
      <c r="E2312" s="3563" t="s">
        <v>4199</v>
      </c>
      <c r="F2312" s="3563" t="s">
        <v>4797</v>
      </c>
      <c r="G2312" s="3564">
        <v>88.96</v>
      </c>
      <c r="H2312" s="3564">
        <v>71</v>
      </c>
      <c r="I2312" s="3564">
        <v>17.96</v>
      </c>
      <c r="J2312" s="3565">
        <v>901137</v>
      </c>
      <c r="K2312" s="3565">
        <v>10129.69</v>
      </c>
      <c r="L2312" s="3565">
        <v>12692.07</v>
      </c>
      <c r="M2312" s="3565">
        <v>0</v>
      </c>
      <c r="N2312" s="3565">
        <v>0</v>
      </c>
      <c r="O2312" s="3563" t="s">
        <v>3453</v>
      </c>
    </row>
    <row r="2313" spans="1:15">
      <c r="A2313" s="3563" t="s">
        <v>6535</v>
      </c>
      <c r="B2313" s="3563" t="s">
        <v>4196</v>
      </c>
      <c r="C2313" s="3563" t="s">
        <v>4197</v>
      </c>
      <c r="D2313" s="3563" t="s">
        <v>6429</v>
      </c>
      <c r="E2313" s="3563" t="s">
        <v>4199</v>
      </c>
      <c r="F2313" s="3563" t="s">
        <v>4797</v>
      </c>
      <c r="G2313" s="3564">
        <v>91.19</v>
      </c>
      <c r="H2313" s="3564">
        <v>72.78</v>
      </c>
      <c r="I2313" s="3564">
        <v>18.41</v>
      </c>
      <c r="J2313" s="3565">
        <v>879101</v>
      </c>
      <c r="K2313" s="3565">
        <v>9640.32</v>
      </c>
      <c r="L2313" s="3565">
        <v>12078.88</v>
      </c>
      <c r="M2313" s="3565">
        <v>0</v>
      </c>
      <c r="N2313" s="3565">
        <v>0</v>
      </c>
      <c r="O2313" s="3563" t="s">
        <v>3453</v>
      </c>
    </row>
    <row r="2314" spans="1:15">
      <c r="A2314" s="3563" t="s">
        <v>6536</v>
      </c>
      <c r="B2314" s="3563" t="s">
        <v>4811</v>
      </c>
      <c r="C2314" s="3563" t="s">
        <v>4197</v>
      </c>
      <c r="D2314" s="3563" t="s">
        <v>6429</v>
      </c>
      <c r="E2314" s="3563" t="s">
        <v>4199</v>
      </c>
      <c r="F2314" s="3563" t="s">
        <v>4797</v>
      </c>
      <c r="G2314" s="3564">
        <v>88.96</v>
      </c>
      <c r="H2314" s="3564">
        <v>71</v>
      </c>
      <c r="I2314" s="3564">
        <v>17.96</v>
      </c>
      <c r="J2314" s="3565">
        <v>858550</v>
      </c>
      <c r="K2314" s="3565">
        <v>9650.9699999999993</v>
      </c>
      <c r="L2314" s="3565">
        <v>12092.25</v>
      </c>
      <c r="M2314" s="3565">
        <v>824208</v>
      </c>
      <c r="N2314" s="3565">
        <v>9264.93</v>
      </c>
      <c r="O2314" s="3566">
        <v>44192</v>
      </c>
    </row>
    <row r="2315" spans="1:15">
      <c r="A2315" s="3563" t="s">
        <v>6537</v>
      </c>
      <c r="B2315" s="3563" t="s">
        <v>4811</v>
      </c>
      <c r="C2315" s="3563" t="s">
        <v>4197</v>
      </c>
      <c r="D2315" s="3563" t="s">
        <v>6429</v>
      </c>
      <c r="E2315" s="3563" t="s">
        <v>4199</v>
      </c>
      <c r="F2315" s="3563" t="s">
        <v>4797</v>
      </c>
      <c r="G2315" s="3564">
        <v>88.96</v>
      </c>
      <c r="H2315" s="3564">
        <v>71</v>
      </c>
      <c r="I2315" s="3564">
        <v>17.96</v>
      </c>
      <c r="J2315" s="3565">
        <v>858550</v>
      </c>
      <c r="K2315" s="3565">
        <v>9650.9699999999993</v>
      </c>
      <c r="L2315" s="3565">
        <v>12092.25</v>
      </c>
      <c r="M2315" s="3565">
        <v>815623</v>
      </c>
      <c r="N2315" s="3565">
        <v>9168.42</v>
      </c>
      <c r="O2315" s="3566">
        <v>44183</v>
      </c>
    </row>
    <row r="2316" spans="1:15">
      <c r="A2316" s="3563" t="s">
        <v>6538</v>
      </c>
      <c r="B2316" s="3563" t="s">
        <v>4811</v>
      </c>
      <c r="C2316" s="3563" t="s">
        <v>4197</v>
      </c>
      <c r="D2316" s="3563" t="s">
        <v>6429</v>
      </c>
      <c r="E2316" s="3563" t="s">
        <v>4199</v>
      </c>
      <c r="F2316" s="3563" t="s">
        <v>4797</v>
      </c>
      <c r="G2316" s="3564">
        <v>102.75</v>
      </c>
      <c r="H2316" s="3564">
        <v>82.01</v>
      </c>
      <c r="I2316" s="3564">
        <v>20.74</v>
      </c>
      <c r="J2316" s="3565">
        <v>1040826</v>
      </c>
      <c r="K2316" s="3565">
        <v>10129.69</v>
      </c>
      <c r="L2316" s="3565">
        <v>12691.45</v>
      </c>
      <c r="M2316" s="3565">
        <v>1009602</v>
      </c>
      <c r="N2316" s="3565">
        <v>9825.81</v>
      </c>
      <c r="O2316" s="3566">
        <v>44192</v>
      </c>
    </row>
    <row r="2317" spans="1:15">
      <c r="A2317" s="3563" t="s">
        <v>6539</v>
      </c>
      <c r="B2317" s="3563" t="s">
        <v>4196</v>
      </c>
      <c r="C2317" s="3563" t="s">
        <v>4197</v>
      </c>
      <c r="D2317" s="3563" t="s">
        <v>6429</v>
      </c>
      <c r="E2317" s="3563" t="s">
        <v>4199</v>
      </c>
      <c r="F2317" s="3563" t="s">
        <v>4797</v>
      </c>
      <c r="G2317" s="3564">
        <v>88.96</v>
      </c>
      <c r="H2317" s="3564">
        <v>71</v>
      </c>
      <c r="I2317" s="3564">
        <v>17.96</v>
      </c>
      <c r="J2317" s="3565">
        <v>912494</v>
      </c>
      <c r="K2317" s="3565">
        <v>10257.35</v>
      </c>
      <c r="L2317" s="3565">
        <v>12852.03</v>
      </c>
      <c r="M2317" s="3565">
        <v>0</v>
      </c>
      <c r="N2317" s="3565">
        <v>0</v>
      </c>
      <c r="O2317" s="3563" t="s">
        <v>3453</v>
      </c>
    </row>
    <row r="2318" spans="1:15">
      <c r="A2318" s="3563" t="s">
        <v>6540</v>
      </c>
      <c r="B2318" s="3563" t="s">
        <v>4196</v>
      </c>
      <c r="C2318" s="3563" t="s">
        <v>4197</v>
      </c>
      <c r="D2318" s="3563" t="s">
        <v>6429</v>
      </c>
      <c r="E2318" s="3563" t="s">
        <v>4199</v>
      </c>
      <c r="F2318" s="3563" t="s">
        <v>4797</v>
      </c>
      <c r="G2318" s="3564">
        <v>88.96</v>
      </c>
      <c r="H2318" s="3564">
        <v>71</v>
      </c>
      <c r="I2318" s="3564">
        <v>17.96</v>
      </c>
      <c r="J2318" s="3565">
        <v>912494</v>
      </c>
      <c r="K2318" s="3565">
        <v>10257.35</v>
      </c>
      <c r="L2318" s="3565">
        <v>12852.03</v>
      </c>
      <c r="M2318" s="3565">
        <v>0</v>
      </c>
      <c r="N2318" s="3565">
        <v>0</v>
      </c>
      <c r="O2318" s="3563" t="s">
        <v>3453</v>
      </c>
    </row>
    <row r="2319" spans="1:15">
      <c r="A2319" s="3563" t="s">
        <v>6541</v>
      </c>
      <c r="B2319" s="3563" t="s">
        <v>4196</v>
      </c>
      <c r="C2319" s="3563" t="s">
        <v>4197</v>
      </c>
      <c r="D2319" s="3563" t="s">
        <v>6429</v>
      </c>
      <c r="E2319" s="3563" t="s">
        <v>4199</v>
      </c>
      <c r="F2319" s="3563" t="s">
        <v>4797</v>
      </c>
      <c r="G2319" s="3564">
        <v>91.19</v>
      </c>
      <c r="H2319" s="3564">
        <v>72.78</v>
      </c>
      <c r="I2319" s="3564">
        <v>18.41</v>
      </c>
      <c r="J2319" s="3565">
        <v>879101</v>
      </c>
      <c r="K2319" s="3565">
        <v>9640.32</v>
      </c>
      <c r="L2319" s="3565">
        <v>12078.88</v>
      </c>
      <c r="M2319" s="3565">
        <v>0</v>
      </c>
      <c r="N2319" s="3565">
        <v>0</v>
      </c>
      <c r="O2319" s="3563" t="s">
        <v>3453</v>
      </c>
    </row>
    <row r="2320" spans="1:15">
      <c r="A2320" s="3563" t="s">
        <v>6542</v>
      </c>
      <c r="B2320" s="3563" t="s">
        <v>4196</v>
      </c>
      <c r="C2320" s="3563" t="s">
        <v>4197</v>
      </c>
      <c r="D2320" s="3563" t="s">
        <v>6429</v>
      </c>
      <c r="E2320" s="3563" t="s">
        <v>4199</v>
      </c>
      <c r="F2320" s="3563" t="s">
        <v>4797</v>
      </c>
      <c r="G2320" s="3564">
        <v>88.96</v>
      </c>
      <c r="H2320" s="3564">
        <v>71</v>
      </c>
      <c r="I2320" s="3564">
        <v>17.96</v>
      </c>
      <c r="J2320" s="3565">
        <v>869906</v>
      </c>
      <c r="K2320" s="3565">
        <v>9778.6200000000008</v>
      </c>
      <c r="L2320" s="3565">
        <v>12252.2</v>
      </c>
      <c r="M2320" s="3565">
        <v>0</v>
      </c>
      <c r="N2320" s="3565">
        <v>0</v>
      </c>
      <c r="O2320" s="3563" t="s">
        <v>3453</v>
      </c>
    </row>
    <row r="2321" spans="1:15">
      <c r="A2321" s="3563" t="s">
        <v>6543</v>
      </c>
      <c r="B2321" s="3563" t="s">
        <v>5277</v>
      </c>
      <c r="C2321" s="3563" t="s">
        <v>4197</v>
      </c>
      <c r="D2321" s="3563" t="s">
        <v>6429</v>
      </c>
      <c r="E2321" s="3563" t="s">
        <v>4199</v>
      </c>
      <c r="F2321" s="3563" t="s">
        <v>4797</v>
      </c>
      <c r="G2321" s="3564">
        <v>88.96</v>
      </c>
      <c r="H2321" s="3564">
        <v>71</v>
      </c>
      <c r="I2321" s="3564">
        <v>17.96</v>
      </c>
      <c r="J2321" s="3565">
        <v>869906</v>
      </c>
      <c r="K2321" s="3565">
        <v>9778.6200000000008</v>
      </c>
      <c r="L2321" s="3565">
        <v>12252.2</v>
      </c>
      <c r="M2321" s="3565">
        <v>826411</v>
      </c>
      <c r="N2321" s="3565">
        <v>9289.69</v>
      </c>
      <c r="O2321" s="3566">
        <v>44189</v>
      </c>
    </row>
    <row r="2322" spans="1:15">
      <c r="A2322" s="3563" t="s">
        <v>6544</v>
      </c>
      <c r="B2322" s="3563" t="s">
        <v>4811</v>
      </c>
      <c r="C2322" s="3563" t="s">
        <v>4197</v>
      </c>
      <c r="D2322" s="3563" t="s">
        <v>6429</v>
      </c>
      <c r="E2322" s="3563" t="s">
        <v>4199</v>
      </c>
      <c r="F2322" s="3563" t="s">
        <v>4797</v>
      </c>
      <c r="G2322" s="3564">
        <v>102.75</v>
      </c>
      <c r="H2322" s="3564">
        <v>82.01</v>
      </c>
      <c r="I2322" s="3564">
        <v>20.74</v>
      </c>
      <c r="J2322" s="3565">
        <v>1053943</v>
      </c>
      <c r="K2322" s="3565">
        <v>10257.35</v>
      </c>
      <c r="L2322" s="3565">
        <v>12851.4</v>
      </c>
      <c r="M2322" s="3565">
        <v>1053943</v>
      </c>
      <c r="N2322" s="3565">
        <v>10257.35</v>
      </c>
      <c r="O2322" s="3566">
        <v>44185</v>
      </c>
    </row>
    <row r="2323" spans="1:15">
      <c r="A2323" s="3563" t="s">
        <v>6545</v>
      </c>
      <c r="B2323" s="3563" t="s">
        <v>4196</v>
      </c>
      <c r="C2323" s="3563" t="s">
        <v>4197</v>
      </c>
      <c r="D2323" s="3563" t="s">
        <v>6429</v>
      </c>
      <c r="E2323" s="3563" t="s">
        <v>4199</v>
      </c>
      <c r="F2323" s="3563" t="s">
        <v>4797</v>
      </c>
      <c r="G2323" s="3564">
        <v>88.96</v>
      </c>
      <c r="H2323" s="3564">
        <v>71</v>
      </c>
      <c r="I2323" s="3564">
        <v>17.96</v>
      </c>
      <c r="J2323" s="3565">
        <v>923850</v>
      </c>
      <c r="K2323" s="3565">
        <v>10385</v>
      </c>
      <c r="L2323" s="3565">
        <v>13011.97</v>
      </c>
      <c r="M2323" s="3565">
        <v>0</v>
      </c>
      <c r="N2323" s="3565">
        <v>0</v>
      </c>
      <c r="O2323" s="3563" t="s">
        <v>3453</v>
      </c>
    </row>
    <row r="2324" spans="1:15">
      <c r="A2324" s="3563" t="s">
        <v>6546</v>
      </c>
      <c r="B2324" s="3563" t="s">
        <v>4196</v>
      </c>
      <c r="C2324" s="3563" t="s">
        <v>4197</v>
      </c>
      <c r="D2324" s="3563" t="s">
        <v>6429</v>
      </c>
      <c r="E2324" s="3563" t="s">
        <v>4199</v>
      </c>
      <c r="F2324" s="3563" t="s">
        <v>4797</v>
      </c>
      <c r="G2324" s="3564">
        <v>88.96</v>
      </c>
      <c r="H2324" s="3564">
        <v>71</v>
      </c>
      <c r="I2324" s="3564">
        <v>17.96</v>
      </c>
      <c r="J2324" s="3565">
        <v>923850</v>
      </c>
      <c r="K2324" s="3565">
        <v>10385</v>
      </c>
      <c r="L2324" s="3565">
        <v>13011.97</v>
      </c>
      <c r="M2324" s="3565">
        <v>0</v>
      </c>
      <c r="N2324" s="3565">
        <v>0</v>
      </c>
      <c r="O2324" s="3563" t="s">
        <v>3453</v>
      </c>
    </row>
    <row r="2325" spans="1:15">
      <c r="A2325" s="3563" t="s">
        <v>6547</v>
      </c>
      <c r="B2325" s="3563" t="s">
        <v>4196</v>
      </c>
      <c r="C2325" s="3563" t="s">
        <v>4197</v>
      </c>
      <c r="D2325" s="3563" t="s">
        <v>6429</v>
      </c>
      <c r="E2325" s="3563" t="s">
        <v>4199</v>
      </c>
      <c r="F2325" s="3563" t="s">
        <v>4797</v>
      </c>
      <c r="G2325" s="3564">
        <v>91.19</v>
      </c>
      <c r="H2325" s="3564">
        <v>72.78</v>
      </c>
      <c r="I2325" s="3564">
        <v>18.41</v>
      </c>
      <c r="J2325" s="3565">
        <v>883952</v>
      </c>
      <c r="K2325" s="3565">
        <v>9693.52</v>
      </c>
      <c r="L2325" s="3565">
        <v>12145.53</v>
      </c>
      <c r="M2325" s="3565">
        <v>0</v>
      </c>
      <c r="N2325" s="3565">
        <v>0</v>
      </c>
      <c r="O2325" s="3563" t="s">
        <v>3453</v>
      </c>
    </row>
    <row r="2326" spans="1:15">
      <c r="A2326" s="3563" t="s">
        <v>6548</v>
      </c>
      <c r="B2326" s="3563" t="s">
        <v>5277</v>
      </c>
      <c r="C2326" s="3563" t="s">
        <v>4197</v>
      </c>
      <c r="D2326" s="3563" t="s">
        <v>6429</v>
      </c>
      <c r="E2326" s="3563" t="s">
        <v>4199</v>
      </c>
      <c r="F2326" s="3563" t="s">
        <v>4797</v>
      </c>
      <c r="G2326" s="3564">
        <v>88.96</v>
      </c>
      <c r="H2326" s="3564">
        <v>71</v>
      </c>
      <c r="I2326" s="3564">
        <v>17.96</v>
      </c>
      <c r="J2326" s="3565">
        <v>881263</v>
      </c>
      <c r="K2326" s="3565">
        <v>9906.2800000000007</v>
      </c>
      <c r="L2326" s="3565">
        <v>12412.15</v>
      </c>
      <c r="M2326" s="3565">
        <v>801950</v>
      </c>
      <c r="N2326" s="3565">
        <v>9014.73</v>
      </c>
      <c r="O2326" s="3566">
        <v>44183</v>
      </c>
    </row>
    <row r="2327" spans="1:15">
      <c r="A2327" s="3563" t="s">
        <v>6549</v>
      </c>
      <c r="B2327" s="3563" t="s">
        <v>4811</v>
      </c>
      <c r="C2327" s="3563" t="s">
        <v>4197</v>
      </c>
      <c r="D2327" s="3563" t="s">
        <v>6429</v>
      </c>
      <c r="E2327" s="3563" t="s">
        <v>4199</v>
      </c>
      <c r="F2327" s="3563" t="s">
        <v>4797</v>
      </c>
      <c r="G2327" s="3564">
        <v>88.96</v>
      </c>
      <c r="H2327" s="3564">
        <v>71</v>
      </c>
      <c r="I2327" s="3564">
        <v>17.96</v>
      </c>
      <c r="J2327" s="3565">
        <v>881263</v>
      </c>
      <c r="K2327" s="3565">
        <v>9906.2800000000007</v>
      </c>
      <c r="L2327" s="3565">
        <v>12412.15</v>
      </c>
      <c r="M2327" s="3565">
        <v>881263</v>
      </c>
      <c r="N2327" s="3565">
        <v>9906.2800000000007</v>
      </c>
      <c r="O2327" s="3566">
        <v>44183</v>
      </c>
    </row>
    <row r="2328" spans="1:15">
      <c r="A2328" s="3563" t="s">
        <v>6550</v>
      </c>
      <c r="B2328" s="3563" t="s">
        <v>5277</v>
      </c>
      <c r="C2328" s="3563" t="s">
        <v>4197</v>
      </c>
      <c r="D2328" s="3563" t="s">
        <v>6429</v>
      </c>
      <c r="E2328" s="3563" t="s">
        <v>4199</v>
      </c>
      <c r="F2328" s="3563" t="s">
        <v>4797</v>
      </c>
      <c r="G2328" s="3564">
        <v>102.75</v>
      </c>
      <c r="H2328" s="3564">
        <v>82.01</v>
      </c>
      <c r="I2328" s="3564">
        <v>20.74</v>
      </c>
      <c r="J2328" s="3565">
        <v>1067060</v>
      </c>
      <c r="K2328" s="3565">
        <v>10385.01</v>
      </c>
      <c r="L2328" s="3565">
        <v>13011.34</v>
      </c>
      <c r="M2328" s="3565">
        <v>1013707</v>
      </c>
      <c r="N2328" s="3565">
        <v>9865.76</v>
      </c>
      <c r="O2328" s="3566">
        <v>44185</v>
      </c>
    </row>
    <row r="2329" spans="1:15">
      <c r="A2329" s="3563" t="s">
        <v>6551</v>
      </c>
      <c r="B2329" s="3563" t="s">
        <v>4811</v>
      </c>
      <c r="C2329" s="3563" t="s">
        <v>4197</v>
      </c>
      <c r="D2329" s="3563" t="s">
        <v>6429</v>
      </c>
      <c r="E2329" s="3563" t="s">
        <v>4199</v>
      </c>
      <c r="F2329" s="3563" t="s">
        <v>4797</v>
      </c>
      <c r="G2329" s="3564">
        <v>88.96</v>
      </c>
      <c r="H2329" s="3564">
        <v>71</v>
      </c>
      <c r="I2329" s="3564">
        <v>17.96</v>
      </c>
      <c r="J2329" s="3565">
        <v>924797</v>
      </c>
      <c r="K2329" s="3565">
        <v>10395.65</v>
      </c>
      <c r="L2329" s="3565">
        <v>13025.31</v>
      </c>
      <c r="M2329" s="3565">
        <v>859617</v>
      </c>
      <c r="N2329" s="3565">
        <v>9662.9599999999991</v>
      </c>
      <c r="O2329" s="3566">
        <v>44187</v>
      </c>
    </row>
    <row r="2330" spans="1:15">
      <c r="A2330" s="3563" t="s">
        <v>6552</v>
      </c>
      <c r="B2330" s="3563" t="s">
        <v>4811</v>
      </c>
      <c r="C2330" s="3563" t="s">
        <v>4197</v>
      </c>
      <c r="D2330" s="3563" t="s">
        <v>6429</v>
      </c>
      <c r="E2330" s="3563" t="s">
        <v>4199</v>
      </c>
      <c r="F2330" s="3563" t="s">
        <v>4797</v>
      </c>
      <c r="G2330" s="3564">
        <v>88.96</v>
      </c>
      <c r="H2330" s="3564">
        <v>71</v>
      </c>
      <c r="I2330" s="3564">
        <v>17.96</v>
      </c>
      <c r="J2330" s="3565">
        <v>924797</v>
      </c>
      <c r="K2330" s="3565">
        <v>10395.65</v>
      </c>
      <c r="L2330" s="3565">
        <v>13025.31</v>
      </c>
      <c r="M2330" s="3565">
        <v>878558</v>
      </c>
      <c r="N2330" s="3565">
        <v>9875.8799999999992</v>
      </c>
      <c r="O2330" s="3566">
        <v>44192</v>
      </c>
    </row>
    <row r="2331" spans="1:15">
      <c r="A2331" s="3563" t="s">
        <v>6553</v>
      </c>
      <c r="B2331" s="3563" t="s">
        <v>4196</v>
      </c>
      <c r="C2331" s="3563" t="s">
        <v>4197</v>
      </c>
      <c r="D2331" s="3563" t="s">
        <v>6429</v>
      </c>
      <c r="E2331" s="3563" t="s">
        <v>4199</v>
      </c>
      <c r="F2331" s="3563" t="s">
        <v>4797</v>
      </c>
      <c r="G2331" s="3564">
        <v>91.19</v>
      </c>
      <c r="H2331" s="3564">
        <v>72.78</v>
      </c>
      <c r="I2331" s="3564">
        <v>18.41</v>
      </c>
      <c r="J2331" s="3565">
        <v>884922</v>
      </c>
      <c r="K2331" s="3565">
        <v>9704.16</v>
      </c>
      <c r="L2331" s="3565">
        <v>12158.86</v>
      </c>
      <c r="M2331" s="3565">
        <v>0</v>
      </c>
      <c r="N2331" s="3565">
        <v>0</v>
      </c>
      <c r="O2331" s="3563" t="s">
        <v>3453</v>
      </c>
    </row>
    <row r="2332" spans="1:15">
      <c r="A2332" s="3563" t="s">
        <v>6554</v>
      </c>
      <c r="B2332" s="3563" t="s">
        <v>4196</v>
      </c>
      <c r="C2332" s="3563" t="s">
        <v>4197</v>
      </c>
      <c r="D2332" s="3563" t="s">
        <v>6429</v>
      </c>
      <c r="E2332" s="3563" t="s">
        <v>4199</v>
      </c>
      <c r="F2332" s="3563" t="s">
        <v>4797</v>
      </c>
      <c r="G2332" s="3564">
        <v>88.96</v>
      </c>
      <c r="H2332" s="3564">
        <v>71</v>
      </c>
      <c r="I2332" s="3564">
        <v>17.96</v>
      </c>
      <c r="J2332" s="3565">
        <v>882210</v>
      </c>
      <c r="K2332" s="3565">
        <v>9916.93</v>
      </c>
      <c r="L2332" s="3565">
        <v>12425.49</v>
      </c>
      <c r="M2332" s="3565">
        <v>0</v>
      </c>
      <c r="N2332" s="3565">
        <v>0</v>
      </c>
      <c r="O2332" s="3563" t="s">
        <v>3453</v>
      </c>
    </row>
    <row r="2333" spans="1:15">
      <c r="A2333" s="3563" t="s">
        <v>6555</v>
      </c>
      <c r="B2333" s="3563" t="s">
        <v>4811</v>
      </c>
      <c r="C2333" s="3563" t="s">
        <v>4197</v>
      </c>
      <c r="D2333" s="3563" t="s">
        <v>6429</v>
      </c>
      <c r="E2333" s="3563" t="s">
        <v>4199</v>
      </c>
      <c r="F2333" s="3563" t="s">
        <v>4797</v>
      </c>
      <c r="G2333" s="3564">
        <v>88.96</v>
      </c>
      <c r="H2333" s="3564">
        <v>71</v>
      </c>
      <c r="I2333" s="3564">
        <v>17.96</v>
      </c>
      <c r="J2333" s="3565">
        <v>882210</v>
      </c>
      <c r="K2333" s="3565">
        <v>9916.93</v>
      </c>
      <c r="L2333" s="3565">
        <v>12425.49</v>
      </c>
      <c r="M2333" s="3565">
        <v>855744</v>
      </c>
      <c r="N2333" s="3565">
        <v>9619.42</v>
      </c>
      <c r="O2333" s="3566">
        <v>44186</v>
      </c>
    </row>
    <row r="2334" spans="1:15">
      <c r="A2334" s="3563" t="s">
        <v>6556</v>
      </c>
      <c r="B2334" s="3563" t="s">
        <v>4196</v>
      </c>
      <c r="C2334" s="3563" t="s">
        <v>4197</v>
      </c>
      <c r="D2334" s="3563" t="s">
        <v>6429</v>
      </c>
      <c r="E2334" s="3563" t="s">
        <v>4199</v>
      </c>
      <c r="F2334" s="3563" t="s">
        <v>4797</v>
      </c>
      <c r="G2334" s="3564">
        <v>102.75</v>
      </c>
      <c r="H2334" s="3564">
        <v>82.01</v>
      </c>
      <c r="I2334" s="3564">
        <v>20.74</v>
      </c>
      <c r="J2334" s="3565">
        <v>1068152</v>
      </c>
      <c r="K2334" s="3565">
        <v>10395.64</v>
      </c>
      <c r="L2334" s="3565">
        <v>13024.66</v>
      </c>
      <c r="M2334" s="3565">
        <v>0</v>
      </c>
      <c r="N2334" s="3565">
        <v>0</v>
      </c>
      <c r="O2334" s="3563" t="s">
        <v>3453</v>
      </c>
    </row>
    <row r="2335" spans="1:15">
      <c r="A2335" s="3563" t="s">
        <v>6557</v>
      </c>
      <c r="B2335" s="3563" t="s">
        <v>4811</v>
      </c>
      <c r="C2335" s="3563" t="s">
        <v>4197</v>
      </c>
      <c r="D2335" s="3563" t="s">
        <v>6429</v>
      </c>
      <c r="E2335" s="3563" t="s">
        <v>4199</v>
      </c>
      <c r="F2335" s="3563" t="s">
        <v>4797</v>
      </c>
      <c r="G2335" s="3564">
        <v>88.96</v>
      </c>
      <c r="H2335" s="3564">
        <v>71</v>
      </c>
      <c r="I2335" s="3564">
        <v>17.96</v>
      </c>
      <c r="J2335" s="3565">
        <v>925743</v>
      </c>
      <c r="K2335" s="3565">
        <v>10406.280000000001</v>
      </c>
      <c r="L2335" s="3565">
        <v>13038.63</v>
      </c>
      <c r="M2335" s="3565">
        <v>897971</v>
      </c>
      <c r="N2335" s="3565">
        <v>10094.1</v>
      </c>
      <c r="O2335" s="3566">
        <v>44191</v>
      </c>
    </row>
    <row r="2336" spans="1:15">
      <c r="A2336" s="3563" t="s">
        <v>6558</v>
      </c>
      <c r="B2336" s="3563" t="s">
        <v>4196</v>
      </c>
      <c r="C2336" s="3563" t="s">
        <v>4197</v>
      </c>
      <c r="D2336" s="3563" t="s">
        <v>6429</v>
      </c>
      <c r="E2336" s="3563" t="s">
        <v>4199</v>
      </c>
      <c r="F2336" s="3563" t="s">
        <v>4797</v>
      </c>
      <c r="G2336" s="3564">
        <v>88.96</v>
      </c>
      <c r="H2336" s="3564">
        <v>71</v>
      </c>
      <c r="I2336" s="3564">
        <v>17.96</v>
      </c>
      <c r="J2336" s="3565">
        <v>925743</v>
      </c>
      <c r="K2336" s="3565">
        <v>10406.280000000001</v>
      </c>
      <c r="L2336" s="3565">
        <v>13038.63</v>
      </c>
      <c r="M2336" s="3565">
        <v>0</v>
      </c>
      <c r="N2336" s="3565">
        <v>0</v>
      </c>
      <c r="O2336" s="3563" t="s">
        <v>3453</v>
      </c>
    </row>
    <row r="2337" spans="1:15">
      <c r="A2337" s="3563" t="s">
        <v>6559</v>
      </c>
      <c r="B2337" s="3563" t="s">
        <v>4196</v>
      </c>
      <c r="C2337" s="3563" t="s">
        <v>4197</v>
      </c>
      <c r="D2337" s="3563" t="s">
        <v>6429</v>
      </c>
      <c r="E2337" s="3563" t="s">
        <v>4199</v>
      </c>
      <c r="F2337" s="3563" t="s">
        <v>4797</v>
      </c>
      <c r="G2337" s="3564">
        <v>91.19</v>
      </c>
      <c r="H2337" s="3564">
        <v>72.78</v>
      </c>
      <c r="I2337" s="3564">
        <v>18.41</v>
      </c>
      <c r="J2337" s="3565">
        <v>905294</v>
      </c>
      <c r="K2337" s="3565">
        <v>9927.56</v>
      </c>
      <c r="L2337" s="3565">
        <v>12438.77</v>
      </c>
      <c r="M2337" s="3565">
        <v>0</v>
      </c>
      <c r="N2337" s="3565">
        <v>0</v>
      </c>
      <c r="O2337" s="3563" t="s">
        <v>3453</v>
      </c>
    </row>
    <row r="2338" spans="1:15">
      <c r="A2338" s="3563" t="s">
        <v>6560</v>
      </c>
      <c r="B2338" s="3563" t="s">
        <v>4196</v>
      </c>
      <c r="C2338" s="3563" t="s">
        <v>4197</v>
      </c>
      <c r="D2338" s="3563" t="s">
        <v>6429</v>
      </c>
      <c r="E2338" s="3563" t="s">
        <v>4199</v>
      </c>
      <c r="F2338" s="3563" t="s">
        <v>4797</v>
      </c>
      <c r="G2338" s="3564">
        <v>88.96</v>
      </c>
      <c r="H2338" s="3564">
        <v>71</v>
      </c>
      <c r="I2338" s="3564">
        <v>17.96</v>
      </c>
      <c r="J2338" s="3565">
        <v>902083</v>
      </c>
      <c r="K2338" s="3565">
        <v>10140.32</v>
      </c>
      <c r="L2338" s="3565">
        <v>12705.39</v>
      </c>
      <c r="M2338" s="3565">
        <v>0</v>
      </c>
      <c r="N2338" s="3565">
        <v>0</v>
      </c>
      <c r="O2338" s="3563" t="s">
        <v>3453</v>
      </c>
    </row>
    <row r="2339" spans="1:15">
      <c r="A2339" s="3563" t="s">
        <v>6561</v>
      </c>
      <c r="B2339" s="3563" t="s">
        <v>4196</v>
      </c>
      <c r="C2339" s="3563" t="s">
        <v>4197</v>
      </c>
      <c r="D2339" s="3563" t="s">
        <v>6429</v>
      </c>
      <c r="E2339" s="3563" t="s">
        <v>4199</v>
      </c>
      <c r="F2339" s="3563" t="s">
        <v>4797</v>
      </c>
      <c r="G2339" s="3564">
        <v>88.96</v>
      </c>
      <c r="H2339" s="3564">
        <v>71</v>
      </c>
      <c r="I2339" s="3564">
        <v>17.96</v>
      </c>
      <c r="J2339" s="3565">
        <v>902083</v>
      </c>
      <c r="K2339" s="3565">
        <v>10140.32</v>
      </c>
      <c r="L2339" s="3565">
        <v>12705.39</v>
      </c>
      <c r="M2339" s="3565">
        <v>0</v>
      </c>
      <c r="N2339" s="3565">
        <v>0</v>
      </c>
      <c r="O2339" s="3563" t="s">
        <v>3453</v>
      </c>
    </row>
    <row r="2340" spans="1:15">
      <c r="A2340" s="3563" t="s">
        <v>6562</v>
      </c>
      <c r="B2340" s="3563" t="s">
        <v>5277</v>
      </c>
      <c r="C2340" s="3563" t="s">
        <v>4197</v>
      </c>
      <c r="D2340" s="3563" t="s">
        <v>6429</v>
      </c>
      <c r="E2340" s="3563" t="s">
        <v>4199</v>
      </c>
      <c r="F2340" s="3563" t="s">
        <v>4797</v>
      </c>
      <c r="G2340" s="3564">
        <v>102.75</v>
      </c>
      <c r="H2340" s="3564">
        <v>82.01</v>
      </c>
      <c r="I2340" s="3564">
        <v>20.74</v>
      </c>
      <c r="J2340" s="3565">
        <v>1069246</v>
      </c>
      <c r="K2340" s="3565">
        <v>10406.290000000001</v>
      </c>
      <c r="L2340" s="3565">
        <v>13038</v>
      </c>
      <c r="M2340" s="3565">
        <v>973014</v>
      </c>
      <c r="N2340" s="3565">
        <v>9469.7199999999993</v>
      </c>
      <c r="O2340" s="3566">
        <v>44183</v>
      </c>
    </row>
    <row r="2341" spans="1:15">
      <c r="A2341" s="3563" t="s">
        <v>6563</v>
      </c>
      <c r="B2341" s="3563" t="s">
        <v>4811</v>
      </c>
      <c r="C2341" s="3563" t="s">
        <v>4197</v>
      </c>
      <c r="D2341" s="3563" t="s">
        <v>6429</v>
      </c>
      <c r="E2341" s="3563" t="s">
        <v>4199</v>
      </c>
      <c r="F2341" s="3563" t="s">
        <v>4797</v>
      </c>
      <c r="G2341" s="3564">
        <v>88.96</v>
      </c>
      <c r="H2341" s="3564">
        <v>71</v>
      </c>
      <c r="I2341" s="3564">
        <v>17.96</v>
      </c>
      <c r="J2341" s="3565">
        <v>945617</v>
      </c>
      <c r="K2341" s="3565">
        <v>10629.69</v>
      </c>
      <c r="L2341" s="3565">
        <v>13318.55</v>
      </c>
      <c r="M2341" s="3565">
        <v>917249</v>
      </c>
      <c r="N2341" s="3565">
        <v>10310.799999999999</v>
      </c>
      <c r="O2341" s="3566">
        <v>44191</v>
      </c>
    </row>
    <row r="2342" spans="1:15">
      <c r="A2342" s="3563" t="s">
        <v>6564</v>
      </c>
      <c r="B2342" s="3563" t="s">
        <v>4811</v>
      </c>
      <c r="C2342" s="3563" t="s">
        <v>4197</v>
      </c>
      <c r="D2342" s="3563" t="s">
        <v>6429</v>
      </c>
      <c r="E2342" s="3563" t="s">
        <v>4199</v>
      </c>
      <c r="F2342" s="3563" t="s">
        <v>4797</v>
      </c>
      <c r="G2342" s="3564">
        <v>88.96</v>
      </c>
      <c r="H2342" s="3564">
        <v>71</v>
      </c>
      <c r="I2342" s="3564">
        <v>17.96</v>
      </c>
      <c r="J2342" s="3565">
        <v>926689</v>
      </c>
      <c r="K2342" s="3565">
        <v>10416.92</v>
      </c>
      <c r="L2342" s="3565">
        <v>13051.96</v>
      </c>
      <c r="M2342" s="3565">
        <v>889622</v>
      </c>
      <c r="N2342" s="3565">
        <v>10000.25</v>
      </c>
      <c r="O2342" s="3566">
        <v>44192</v>
      </c>
    </row>
    <row r="2343" spans="1:15">
      <c r="A2343" s="3563" t="s">
        <v>6565</v>
      </c>
      <c r="B2343" s="3563" t="s">
        <v>4196</v>
      </c>
      <c r="C2343" s="3563" t="s">
        <v>4197</v>
      </c>
      <c r="D2343" s="3563" t="s">
        <v>6429</v>
      </c>
      <c r="E2343" s="3563" t="s">
        <v>4199</v>
      </c>
      <c r="F2343" s="3563" t="s">
        <v>4797</v>
      </c>
      <c r="G2343" s="3564">
        <v>91.19</v>
      </c>
      <c r="H2343" s="3564">
        <v>72.78</v>
      </c>
      <c r="I2343" s="3564">
        <v>18.41</v>
      </c>
      <c r="J2343" s="3565">
        <v>906264</v>
      </c>
      <c r="K2343" s="3565">
        <v>9938.19</v>
      </c>
      <c r="L2343" s="3565">
        <v>12452.1</v>
      </c>
      <c r="M2343" s="3565">
        <v>0</v>
      </c>
      <c r="N2343" s="3565">
        <v>0</v>
      </c>
      <c r="O2343" s="3563" t="s">
        <v>3453</v>
      </c>
    </row>
    <row r="2344" spans="1:15">
      <c r="A2344" s="3563" t="s">
        <v>6566</v>
      </c>
      <c r="B2344" s="3563" t="s">
        <v>4196</v>
      </c>
      <c r="C2344" s="3563" t="s">
        <v>4197</v>
      </c>
      <c r="D2344" s="3563" t="s">
        <v>6429</v>
      </c>
      <c r="E2344" s="3563" t="s">
        <v>4199</v>
      </c>
      <c r="F2344" s="3563" t="s">
        <v>4797</v>
      </c>
      <c r="G2344" s="3564">
        <v>88.96</v>
      </c>
      <c r="H2344" s="3564">
        <v>71</v>
      </c>
      <c r="I2344" s="3564">
        <v>17.96</v>
      </c>
      <c r="J2344" s="3565">
        <v>903030</v>
      </c>
      <c r="K2344" s="3565">
        <v>10150.969999999999</v>
      </c>
      <c r="L2344" s="3565">
        <v>12718.73</v>
      </c>
      <c r="M2344" s="3565">
        <v>0</v>
      </c>
      <c r="N2344" s="3565">
        <v>0</v>
      </c>
      <c r="O2344" s="3563" t="s">
        <v>3453</v>
      </c>
    </row>
    <row r="2345" spans="1:15">
      <c r="A2345" s="3563" t="s">
        <v>6567</v>
      </c>
      <c r="B2345" s="3563" t="s">
        <v>4811</v>
      </c>
      <c r="C2345" s="3563" t="s">
        <v>4197</v>
      </c>
      <c r="D2345" s="3563" t="s">
        <v>6429</v>
      </c>
      <c r="E2345" s="3563" t="s">
        <v>4199</v>
      </c>
      <c r="F2345" s="3563" t="s">
        <v>4797</v>
      </c>
      <c r="G2345" s="3564">
        <v>88.96</v>
      </c>
      <c r="H2345" s="3564">
        <v>71</v>
      </c>
      <c r="I2345" s="3564">
        <v>17.96</v>
      </c>
      <c r="J2345" s="3565">
        <v>903030</v>
      </c>
      <c r="K2345" s="3565">
        <v>10150.969999999999</v>
      </c>
      <c r="L2345" s="3565">
        <v>12718.73</v>
      </c>
      <c r="M2345" s="3565">
        <v>875940</v>
      </c>
      <c r="N2345" s="3565">
        <v>9846.4500000000007</v>
      </c>
      <c r="O2345" s="3566">
        <v>44187</v>
      </c>
    </row>
    <row r="2346" spans="1:15">
      <c r="A2346" s="3563" t="s">
        <v>6568</v>
      </c>
      <c r="B2346" s="3563" t="s">
        <v>5277</v>
      </c>
      <c r="C2346" s="3563" t="s">
        <v>4197</v>
      </c>
      <c r="D2346" s="3563" t="s">
        <v>6429</v>
      </c>
      <c r="E2346" s="3563" t="s">
        <v>4199</v>
      </c>
      <c r="F2346" s="3563" t="s">
        <v>4797</v>
      </c>
      <c r="G2346" s="3564">
        <v>102.75</v>
      </c>
      <c r="H2346" s="3564">
        <v>82.01</v>
      </c>
      <c r="I2346" s="3564">
        <v>20.74</v>
      </c>
      <c r="J2346" s="3565">
        <v>1070338</v>
      </c>
      <c r="K2346" s="3565">
        <v>10416.91</v>
      </c>
      <c r="L2346" s="3565">
        <v>13051.31</v>
      </c>
      <c r="M2346" s="3565">
        <v>974008</v>
      </c>
      <c r="N2346" s="3565">
        <v>9479.4</v>
      </c>
      <c r="O2346" s="3566">
        <v>44183</v>
      </c>
    </row>
    <row r="2347" spans="1:15">
      <c r="A2347" s="3563" t="s">
        <v>6569</v>
      </c>
      <c r="B2347" s="3563" t="s">
        <v>5277</v>
      </c>
      <c r="C2347" s="3563" t="s">
        <v>4197</v>
      </c>
      <c r="D2347" s="3563" t="s">
        <v>6429</v>
      </c>
      <c r="E2347" s="3563" t="s">
        <v>4199</v>
      </c>
      <c r="F2347" s="3563" t="s">
        <v>4797</v>
      </c>
      <c r="G2347" s="3564">
        <v>88.96</v>
      </c>
      <c r="H2347" s="3564">
        <v>71</v>
      </c>
      <c r="I2347" s="3564">
        <v>17.96</v>
      </c>
      <c r="J2347" s="3565">
        <v>946564</v>
      </c>
      <c r="K2347" s="3565">
        <v>10640.33</v>
      </c>
      <c r="L2347" s="3565">
        <v>13331.89</v>
      </c>
      <c r="M2347" s="3565">
        <v>899236</v>
      </c>
      <c r="N2347" s="3565">
        <v>10108.32</v>
      </c>
      <c r="O2347" s="3566">
        <v>44192</v>
      </c>
    </row>
    <row r="2348" spans="1:15">
      <c r="A2348" s="3563" t="s">
        <v>6570</v>
      </c>
      <c r="B2348" s="3563" t="s">
        <v>5277</v>
      </c>
      <c r="C2348" s="3563" t="s">
        <v>4197</v>
      </c>
      <c r="D2348" s="3563" t="s">
        <v>6429</v>
      </c>
      <c r="E2348" s="3563" t="s">
        <v>4199</v>
      </c>
      <c r="F2348" s="3563" t="s">
        <v>4797</v>
      </c>
      <c r="G2348" s="3564">
        <v>88.96</v>
      </c>
      <c r="H2348" s="3564">
        <v>71</v>
      </c>
      <c r="I2348" s="3564">
        <v>17.96</v>
      </c>
      <c r="J2348" s="3565">
        <v>927636</v>
      </c>
      <c r="K2348" s="3565">
        <v>10427.56</v>
      </c>
      <c r="L2348" s="3565">
        <v>13065.3</v>
      </c>
      <c r="M2348" s="3565">
        <v>890531</v>
      </c>
      <c r="N2348" s="3565">
        <v>10010.469999999999</v>
      </c>
      <c r="O2348" s="3566">
        <v>44191</v>
      </c>
    </row>
    <row r="2349" spans="1:15">
      <c r="A2349" s="3563" t="s">
        <v>6571</v>
      </c>
      <c r="B2349" s="3563" t="s">
        <v>4196</v>
      </c>
      <c r="C2349" s="3563" t="s">
        <v>4197</v>
      </c>
      <c r="D2349" s="3563" t="s">
        <v>6429</v>
      </c>
      <c r="E2349" s="3563" t="s">
        <v>4199</v>
      </c>
      <c r="F2349" s="3563" t="s">
        <v>4797</v>
      </c>
      <c r="G2349" s="3564">
        <v>91.19</v>
      </c>
      <c r="H2349" s="3564">
        <v>72.78</v>
      </c>
      <c r="I2349" s="3564">
        <v>18.41</v>
      </c>
      <c r="J2349" s="3565">
        <v>907234</v>
      </c>
      <c r="K2349" s="3565">
        <v>9948.83</v>
      </c>
      <c r="L2349" s="3565">
        <v>12465.43</v>
      </c>
      <c r="M2349" s="3565">
        <v>0</v>
      </c>
      <c r="N2349" s="3565">
        <v>0</v>
      </c>
      <c r="O2349" s="3563" t="s">
        <v>3453</v>
      </c>
    </row>
    <row r="2350" spans="1:15">
      <c r="A2350" s="3563" t="s">
        <v>6572</v>
      </c>
      <c r="B2350" s="3563" t="s">
        <v>5277</v>
      </c>
      <c r="C2350" s="3563" t="s">
        <v>4197</v>
      </c>
      <c r="D2350" s="3563" t="s">
        <v>6429</v>
      </c>
      <c r="E2350" s="3563" t="s">
        <v>4199</v>
      </c>
      <c r="F2350" s="3563" t="s">
        <v>4797</v>
      </c>
      <c r="G2350" s="3564">
        <v>88.96</v>
      </c>
      <c r="H2350" s="3564">
        <v>71</v>
      </c>
      <c r="I2350" s="3564">
        <v>17.96</v>
      </c>
      <c r="J2350" s="3565">
        <v>903977</v>
      </c>
      <c r="K2350" s="3565">
        <v>10161.61</v>
      </c>
      <c r="L2350" s="3565">
        <v>12732.07</v>
      </c>
      <c r="M2350" s="3565">
        <v>858779</v>
      </c>
      <c r="N2350" s="3565">
        <v>9653.5400000000009</v>
      </c>
      <c r="O2350" s="3566">
        <v>44190</v>
      </c>
    </row>
    <row r="2351" spans="1:15">
      <c r="A2351" s="3563" t="s">
        <v>6573</v>
      </c>
      <c r="B2351" s="3563" t="s">
        <v>4811</v>
      </c>
      <c r="C2351" s="3563" t="s">
        <v>4197</v>
      </c>
      <c r="D2351" s="3563" t="s">
        <v>6429</v>
      </c>
      <c r="E2351" s="3563" t="s">
        <v>4199</v>
      </c>
      <c r="F2351" s="3563" t="s">
        <v>4797</v>
      </c>
      <c r="G2351" s="3564">
        <v>88.96</v>
      </c>
      <c r="H2351" s="3564">
        <v>71</v>
      </c>
      <c r="I2351" s="3564">
        <v>17.96</v>
      </c>
      <c r="J2351" s="3565">
        <v>903977</v>
      </c>
      <c r="K2351" s="3565">
        <v>10161.61</v>
      </c>
      <c r="L2351" s="3565">
        <v>12732.07</v>
      </c>
      <c r="M2351" s="3565">
        <v>858779</v>
      </c>
      <c r="N2351" s="3565">
        <v>9653.5400000000009</v>
      </c>
      <c r="O2351" s="3566">
        <v>44187</v>
      </c>
    </row>
    <row r="2352" spans="1:15">
      <c r="A2352" s="3563" t="s">
        <v>6574</v>
      </c>
      <c r="B2352" s="3563" t="s">
        <v>5277</v>
      </c>
      <c r="C2352" s="3563" t="s">
        <v>4197</v>
      </c>
      <c r="D2352" s="3563" t="s">
        <v>6429</v>
      </c>
      <c r="E2352" s="3563" t="s">
        <v>4199</v>
      </c>
      <c r="F2352" s="3563" t="s">
        <v>4797</v>
      </c>
      <c r="G2352" s="3564">
        <v>102.75</v>
      </c>
      <c r="H2352" s="3564">
        <v>82.01</v>
      </c>
      <c r="I2352" s="3564">
        <v>20.74</v>
      </c>
      <c r="J2352" s="3565">
        <v>1071432</v>
      </c>
      <c r="K2352" s="3565">
        <v>10427.56</v>
      </c>
      <c r="L2352" s="3565">
        <v>13064.65</v>
      </c>
      <c r="M2352" s="3565">
        <v>975004</v>
      </c>
      <c r="N2352" s="3565">
        <v>9489.09</v>
      </c>
      <c r="O2352" s="3566">
        <v>44183</v>
      </c>
    </row>
    <row r="2353" spans="1:15">
      <c r="A2353" s="3563" t="s">
        <v>6575</v>
      </c>
      <c r="B2353" s="3563" t="s">
        <v>4196</v>
      </c>
      <c r="C2353" s="3563" t="s">
        <v>4197</v>
      </c>
      <c r="D2353" s="3563" t="s">
        <v>6429</v>
      </c>
      <c r="E2353" s="3563" t="s">
        <v>4378</v>
      </c>
      <c r="F2353" s="3563" t="s">
        <v>4797</v>
      </c>
      <c r="G2353" s="3564">
        <v>87.18</v>
      </c>
      <c r="H2353" s="3564">
        <v>71</v>
      </c>
      <c r="I2353" s="3564">
        <v>16.18</v>
      </c>
      <c r="J2353" s="3565">
        <v>869528</v>
      </c>
      <c r="K2353" s="3565">
        <v>9973.94</v>
      </c>
      <c r="L2353" s="3565">
        <v>12246.87</v>
      </c>
      <c r="M2353" s="3565">
        <v>0</v>
      </c>
      <c r="N2353" s="3565">
        <v>0</v>
      </c>
      <c r="O2353" s="3563" t="s">
        <v>3453</v>
      </c>
    </row>
    <row r="2354" spans="1:15">
      <c r="A2354" s="3563" t="s">
        <v>6576</v>
      </c>
      <c r="B2354" s="3563" t="s">
        <v>4196</v>
      </c>
      <c r="C2354" s="3563" t="s">
        <v>4197</v>
      </c>
      <c r="D2354" s="3563" t="s">
        <v>6429</v>
      </c>
      <c r="E2354" s="3563" t="s">
        <v>4378</v>
      </c>
      <c r="F2354" s="3563" t="s">
        <v>4797</v>
      </c>
      <c r="G2354" s="3564">
        <v>87.18</v>
      </c>
      <c r="H2354" s="3564">
        <v>71</v>
      </c>
      <c r="I2354" s="3564">
        <v>16.18</v>
      </c>
      <c r="J2354" s="3565">
        <v>869528</v>
      </c>
      <c r="K2354" s="3565">
        <v>9973.94</v>
      </c>
      <c r="L2354" s="3565">
        <v>12246.87</v>
      </c>
      <c r="M2354" s="3565">
        <v>0</v>
      </c>
      <c r="N2354" s="3565">
        <v>0</v>
      </c>
      <c r="O2354" s="3563" t="s">
        <v>3453</v>
      </c>
    </row>
    <row r="2355" spans="1:15">
      <c r="A2355" s="3563" t="s">
        <v>6577</v>
      </c>
      <c r="B2355" s="3563" t="s">
        <v>4196</v>
      </c>
      <c r="C2355" s="3563" t="s">
        <v>4197</v>
      </c>
      <c r="D2355" s="3563" t="s">
        <v>6429</v>
      </c>
      <c r="E2355" s="3563" t="s">
        <v>4378</v>
      </c>
      <c r="F2355" s="3563" t="s">
        <v>4797</v>
      </c>
      <c r="G2355" s="3564">
        <v>89.36</v>
      </c>
      <c r="H2355" s="3564">
        <v>72.78</v>
      </c>
      <c r="I2355" s="3564">
        <v>16.579999999999998</v>
      </c>
      <c r="J2355" s="3565">
        <v>874160</v>
      </c>
      <c r="K2355" s="3565">
        <v>9782.4500000000007</v>
      </c>
      <c r="L2355" s="3565">
        <v>12010.99</v>
      </c>
      <c r="M2355" s="3565">
        <v>0</v>
      </c>
      <c r="N2355" s="3565">
        <v>0</v>
      </c>
      <c r="O2355" s="3563" t="s">
        <v>3453</v>
      </c>
    </row>
    <row r="2356" spans="1:15">
      <c r="A2356" s="3563" t="s">
        <v>6578</v>
      </c>
      <c r="B2356" s="3563" t="s">
        <v>4196</v>
      </c>
      <c r="C2356" s="3563" t="s">
        <v>4197</v>
      </c>
      <c r="D2356" s="3563" t="s">
        <v>6429</v>
      </c>
      <c r="E2356" s="3563" t="s">
        <v>4378</v>
      </c>
      <c r="F2356" s="3563" t="s">
        <v>4797</v>
      </c>
      <c r="G2356" s="3564">
        <v>88.71</v>
      </c>
      <c r="H2356" s="3564">
        <v>71</v>
      </c>
      <c r="I2356" s="3564">
        <v>17.71</v>
      </c>
      <c r="J2356" s="3565">
        <v>934806</v>
      </c>
      <c r="K2356" s="3565">
        <v>10537.77</v>
      </c>
      <c r="L2356" s="3565">
        <v>13166.28</v>
      </c>
      <c r="M2356" s="3565">
        <v>0</v>
      </c>
      <c r="N2356" s="3565">
        <v>0</v>
      </c>
      <c r="O2356" s="3563" t="s">
        <v>3453</v>
      </c>
    </row>
    <row r="2357" spans="1:15">
      <c r="A2357" s="3563" t="s">
        <v>6579</v>
      </c>
      <c r="B2357" s="3563" t="s">
        <v>4196</v>
      </c>
      <c r="C2357" s="3563" t="s">
        <v>4197</v>
      </c>
      <c r="D2357" s="3563" t="s">
        <v>6429</v>
      </c>
      <c r="E2357" s="3563" t="s">
        <v>4378</v>
      </c>
      <c r="F2357" s="3563" t="s">
        <v>4797</v>
      </c>
      <c r="G2357" s="3564">
        <v>88.71</v>
      </c>
      <c r="H2357" s="3564">
        <v>71</v>
      </c>
      <c r="I2357" s="3564">
        <v>17.71</v>
      </c>
      <c r="J2357" s="3565">
        <v>934806</v>
      </c>
      <c r="K2357" s="3565">
        <v>10537.77</v>
      </c>
      <c r="L2357" s="3565">
        <v>13166.28</v>
      </c>
      <c r="M2357" s="3565">
        <v>0</v>
      </c>
      <c r="N2357" s="3565">
        <v>0</v>
      </c>
      <c r="O2357" s="3563" t="s">
        <v>3453</v>
      </c>
    </row>
    <row r="2358" spans="1:15">
      <c r="A2358" s="3563" t="s">
        <v>6580</v>
      </c>
      <c r="B2358" s="3563" t="s">
        <v>4196</v>
      </c>
      <c r="C2358" s="3563" t="s">
        <v>4197</v>
      </c>
      <c r="D2358" s="3563" t="s">
        <v>6429</v>
      </c>
      <c r="E2358" s="3563" t="s">
        <v>4378</v>
      </c>
      <c r="F2358" s="3563" t="s">
        <v>4797</v>
      </c>
      <c r="G2358" s="3564">
        <v>90.93</v>
      </c>
      <c r="H2358" s="3564">
        <v>72.78</v>
      </c>
      <c r="I2358" s="3564">
        <v>18.149999999999999</v>
      </c>
      <c r="J2358" s="3565">
        <v>914670</v>
      </c>
      <c r="K2358" s="3565">
        <v>10059.06</v>
      </c>
      <c r="L2358" s="3565">
        <v>12567.6</v>
      </c>
      <c r="M2358" s="3565">
        <v>0</v>
      </c>
      <c r="N2358" s="3565">
        <v>0</v>
      </c>
      <c r="O2358" s="3563" t="s">
        <v>3453</v>
      </c>
    </row>
    <row r="2359" spans="1:15">
      <c r="A2359" s="3563" t="s">
        <v>6581</v>
      </c>
      <c r="B2359" s="3563" t="s">
        <v>4196</v>
      </c>
      <c r="C2359" s="3563" t="s">
        <v>4197</v>
      </c>
      <c r="D2359" s="3563" t="s">
        <v>6429</v>
      </c>
      <c r="E2359" s="3563" t="s">
        <v>4378</v>
      </c>
      <c r="F2359" s="3563" t="s">
        <v>4797</v>
      </c>
      <c r="G2359" s="3564">
        <v>88.71</v>
      </c>
      <c r="H2359" s="3564">
        <v>71</v>
      </c>
      <c r="I2359" s="3564">
        <v>17.71</v>
      </c>
      <c r="J2359" s="3565">
        <v>901775</v>
      </c>
      <c r="K2359" s="3565">
        <v>10165.43</v>
      </c>
      <c r="L2359" s="3565">
        <v>12701.06</v>
      </c>
      <c r="M2359" s="3565">
        <v>0</v>
      </c>
      <c r="N2359" s="3565">
        <v>0</v>
      </c>
      <c r="O2359" s="3563" t="s">
        <v>3453</v>
      </c>
    </row>
    <row r="2360" spans="1:15">
      <c r="A2360" s="3563" t="s">
        <v>6582</v>
      </c>
      <c r="B2360" s="3563" t="s">
        <v>4196</v>
      </c>
      <c r="C2360" s="3563" t="s">
        <v>4197</v>
      </c>
      <c r="D2360" s="3563" t="s">
        <v>6429</v>
      </c>
      <c r="E2360" s="3563" t="s">
        <v>4378</v>
      </c>
      <c r="F2360" s="3563" t="s">
        <v>4797</v>
      </c>
      <c r="G2360" s="3564">
        <v>88.71</v>
      </c>
      <c r="H2360" s="3564">
        <v>71</v>
      </c>
      <c r="I2360" s="3564">
        <v>17.71</v>
      </c>
      <c r="J2360" s="3565">
        <v>901775</v>
      </c>
      <c r="K2360" s="3565">
        <v>10165.43</v>
      </c>
      <c r="L2360" s="3565">
        <v>12701.06</v>
      </c>
      <c r="M2360" s="3565">
        <v>0</v>
      </c>
      <c r="N2360" s="3565">
        <v>0</v>
      </c>
      <c r="O2360" s="3563" t="s">
        <v>3453</v>
      </c>
    </row>
    <row r="2361" spans="1:15">
      <c r="A2361" s="3563" t="s">
        <v>6583</v>
      </c>
      <c r="B2361" s="3563" t="s">
        <v>4196</v>
      </c>
      <c r="C2361" s="3563" t="s">
        <v>4197</v>
      </c>
      <c r="D2361" s="3563" t="s">
        <v>6429</v>
      </c>
      <c r="E2361" s="3563" t="s">
        <v>4378</v>
      </c>
      <c r="F2361" s="3563" t="s">
        <v>4797</v>
      </c>
      <c r="G2361" s="3564">
        <v>102.46</v>
      </c>
      <c r="H2361" s="3564">
        <v>82.01</v>
      </c>
      <c r="I2361" s="3564">
        <v>20.45</v>
      </c>
      <c r="J2361" s="3565">
        <v>1079700</v>
      </c>
      <c r="K2361" s="3565">
        <v>10537.77</v>
      </c>
      <c r="L2361" s="3565">
        <v>13165.47</v>
      </c>
      <c r="M2361" s="3565">
        <v>0</v>
      </c>
      <c r="N2361" s="3565">
        <v>0</v>
      </c>
      <c r="O2361" s="3563" t="s">
        <v>3453</v>
      </c>
    </row>
    <row r="2362" spans="1:15">
      <c r="A2362" s="3563" t="s">
        <v>6584</v>
      </c>
      <c r="B2362" s="3563" t="s">
        <v>4196</v>
      </c>
      <c r="C2362" s="3563" t="s">
        <v>4197</v>
      </c>
      <c r="D2362" s="3563" t="s">
        <v>6429</v>
      </c>
      <c r="E2362" s="3563" t="s">
        <v>4378</v>
      </c>
      <c r="F2362" s="3563" t="s">
        <v>4797</v>
      </c>
      <c r="G2362" s="3564">
        <v>88.71</v>
      </c>
      <c r="H2362" s="3564">
        <v>71</v>
      </c>
      <c r="I2362" s="3564">
        <v>17.71</v>
      </c>
      <c r="J2362" s="3565">
        <v>935749</v>
      </c>
      <c r="K2362" s="3565">
        <v>10548.4</v>
      </c>
      <c r="L2362" s="3565">
        <v>13179.56</v>
      </c>
      <c r="M2362" s="3565">
        <v>0</v>
      </c>
      <c r="N2362" s="3565">
        <v>0</v>
      </c>
      <c r="O2362" s="3563" t="s">
        <v>3453</v>
      </c>
    </row>
    <row r="2363" spans="1:15">
      <c r="A2363" s="3563" t="s">
        <v>6585</v>
      </c>
      <c r="B2363" s="3563" t="s">
        <v>4196</v>
      </c>
      <c r="C2363" s="3563" t="s">
        <v>4197</v>
      </c>
      <c r="D2363" s="3563" t="s">
        <v>6429</v>
      </c>
      <c r="E2363" s="3563" t="s">
        <v>4378</v>
      </c>
      <c r="F2363" s="3563" t="s">
        <v>4797</v>
      </c>
      <c r="G2363" s="3564">
        <v>88.71</v>
      </c>
      <c r="H2363" s="3564">
        <v>71</v>
      </c>
      <c r="I2363" s="3564">
        <v>17.71</v>
      </c>
      <c r="J2363" s="3565">
        <v>935749</v>
      </c>
      <c r="K2363" s="3565">
        <v>10548.4</v>
      </c>
      <c r="L2363" s="3565">
        <v>13179.56</v>
      </c>
      <c r="M2363" s="3565">
        <v>0</v>
      </c>
      <c r="N2363" s="3565">
        <v>0</v>
      </c>
      <c r="O2363" s="3563" t="s">
        <v>3453</v>
      </c>
    </row>
    <row r="2364" spans="1:15">
      <c r="A2364" s="3563" t="s">
        <v>6586</v>
      </c>
      <c r="B2364" s="3563" t="s">
        <v>4196</v>
      </c>
      <c r="C2364" s="3563" t="s">
        <v>4197</v>
      </c>
      <c r="D2364" s="3563" t="s">
        <v>6429</v>
      </c>
      <c r="E2364" s="3563" t="s">
        <v>4378</v>
      </c>
      <c r="F2364" s="3563" t="s">
        <v>4797</v>
      </c>
      <c r="G2364" s="3564">
        <v>90.93</v>
      </c>
      <c r="H2364" s="3564">
        <v>72.78</v>
      </c>
      <c r="I2364" s="3564">
        <v>18.149999999999999</v>
      </c>
      <c r="J2364" s="3565">
        <v>915637</v>
      </c>
      <c r="K2364" s="3565">
        <v>10069.69</v>
      </c>
      <c r="L2364" s="3565">
        <v>12580.89</v>
      </c>
      <c r="M2364" s="3565">
        <v>0</v>
      </c>
      <c r="N2364" s="3565">
        <v>0</v>
      </c>
      <c r="O2364" s="3563" t="s">
        <v>3453</v>
      </c>
    </row>
    <row r="2365" spans="1:15">
      <c r="A2365" s="3563" t="s">
        <v>6587</v>
      </c>
      <c r="B2365" s="3563" t="s">
        <v>4196</v>
      </c>
      <c r="C2365" s="3563" t="s">
        <v>4197</v>
      </c>
      <c r="D2365" s="3563" t="s">
        <v>6429</v>
      </c>
      <c r="E2365" s="3563" t="s">
        <v>4378</v>
      </c>
      <c r="F2365" s="3563" t="s">
        <v>4797</v>
      </c>
      <c r="G2365" s="3564">
        <v>88.71</v>
      </c>
      <c r="H2365" s="3564">
        <v>71</v>
      </c>
      <c r="I2365" s="3564">
        <v>17.71</v>
      </c>
      <c r="J2365" s="3565">
        <v>902720</v>
      </c>
      <c r="K2365" s="3565">
        <v>10176.08</v>
      </c>
      <c r="L2365" s="3565">
        <v>12714.37</v>
      </c>
      <c r="M2365" s="3565">
        <v>0</v>
      </c>
      <c r="N2365" s="3565">
        <v>0</v>
      </c>
      <c r="O2365" s="3563" t="s">
        <v>3453</v>
      </c>
    </row>
    <row r="2366" spans="1:15">
      <c r="A2366" s="3563" t="s">
        <v>6588</v>
      </c>
      <c r="B2366" s="3563" t="s">
        <v>4196</v>
      </c>
      <c r="C2366" s="3563" t="s">
        <v>4197</v>
      </c>
      <c r="D2366" s="3563" t="s">
        <v>6429</v>
      </c>
      <c r="E2366" s="3563" t="s">
        <v>4378</v>
      </c>
      <c r="F2366" s="3563" t="s">
        <v>4797</v>
      </c>
      <c r="G2366" s="3564">
        <v>88.71</v>
      </c>
      <c r="H2366" s="3564">
        <v>71</v>
      </c>
      <c r="I2366" s="3564">
        <v>17.71</v>
      </c>
      <c r="J2366" s="3565">
        <v>902720</v>
      </c>
      <c r="K2366" s="3565">
        <v>10176.08</v>
      </c>
      <c r="L2366" s="3565">
        <v>12714.37</v>
      </c>
      <c r="M2366" s="3565">
        <v>0</v>
      </c>
      <c r="N2366" s="3565">
        <v>0</v>
      </c>
      <c r="O2366" s="3563" t="s">
        <v>3453</v>
      </c>
    </row>
    <row r="2367" spans="1:15">
      <c r="A2367" s="3563" t="s">
        <v>6589</v>
      </c>
      <c r="B2367" s="3563" t="s">
        <v>4196</v>
      </c>
      <c r="C2367" s="3563" t="s">
        <v>4197</v>
      </c>
      <c r="D2367" s="3563" t="s">
        <v>6429</v>
      </c>
      <c r="E2367" s="3563" t="s">
        <v>4378</v>
      </c>
      <c r="F2367" s="3563" t="s">
        <v>4797</v>
      </c>
      <c r="G2367" s="3564">
        <v>102.46</v>
      </c>
      <c r="H2367" s="3564">
        <v>82.01</v>
      </c>
      <c r="I2367" s="3564">
        <v>20.45</v>
      </c>
      <c r="J2367" s="3565">
        <v>1080790</v>
      </c>
      <c r="K2367" s="3565">
        <v>10548.41</v>
      </c>
      <c r="L2367" s="3565">
        <v>13178.76</v>
      </c>
      <c r="M2367" s="3565">
        <v>0</v>
      </c>
      <c r="N2367" s="3565">
        <v>0</v>
      </c>
      <c r="O2367" s="3563" t="s">
        <v>3453</v>
      </c>
    </row>
    <row r="2368" spans="1:15">
      <c r="A2368" s="3563" t="s">
        <v>6590</v>
      </c>
      <c r="B2368" s="3563" t="s">
        <v>4196</v>
      </c>
      <c r="C2368" s="3563" t="s">
        <v>4197</v>
      </c>
      <c r="D2368" s="3563" t="s">
        <v>6429</v>
      </c>
      <c r="E2368" s="3563" t="s">
        <v>4378</v>
      </c>
      <c r="F2368" s="3563" t="s">
        <v>4797</v>
      </c>
      <c r="G2368" s="3564">
        <v>88.71</v>
      </c>
      <c r="H2368" s="3564">
        <v>71</v>
      </c>
      <c r="I2368" s="3564">
        <v>17.71</v>
      </c>
      <c r="J2368" s="3565">
        <v>936693</v>
      </c>
      <c r="K2368" s="3565">
        <v>10559.05</v>
      </c>
      <c r="L2368" s="3565">
        <v>13192.86</v>
      </c>
      <c r="M2368" s="3565">
        <v>0</v>
      </c>
      <c r="N2368" s="3565">
        <v>0</v>
      </c>
      <c r="O2368" s="3563" t="s">
        <v>3453</v>
      </c>
    </row>
    <row r="2369" spans="1:15">
      <c r="A2369" s="3563" t="s">
        <v>6591</v>
      </c>
      <c r="B2369" s="3563" t="s">
        <v>4196</v>
      </c>
      <c r="C2369" s="3563" t="s">
        <v>4197</v>
      </c>
      <c r="D2369" s="3563" t="s">
        <v>6429</v>
      </c>
      <c r="E2369" s="3563" t="s">
        <v>4378</v>
      </c>
      <c r="F2369" s="3563" t="s">
        <v>4797</v>
      </c>
      <c r="G2369" s="3564">
        <v>88.71</v>
      </c>
      <c r="H2369" s="3564">
        <v>71</v>
      </c>
      <c r="I2369" s="3564">
        <v>17.71</v>
      </c>
      <c r="J2369" s="3565">
        <v>936693</v>
      </c>
      <c r="K2369" s="3565">
        <v>10559.05</v>
      </c>
      <c r="L2369" s="3565">
        <v>13192.86</v>
      </c>
      <c r="M2369" s="3565">
        <v>0</v>
      </c>
      <c r="N2369" s="3565">
        <v>0</v>
      </c>
      <c r="O2369" s="3563" t="s">
        <v>3453</v>
      </c>
    </row>
    <row r="2370" spans="1:15">
      <c r="A2370" s="3563" t="s">
        <v>6592</v>
      </c>
      <c r="B2370" s="3563" t="s">
        <v>4196</v>
      </c>
      <c r="C2370" s="3563" t="s">
        <v>4197</v>
      </c>
      <c r="D2370" s="3563" t="s">
        <v>6429</v>
      </c>
      <c r="E2370" s="3563" t="s">
        <v>4378</v>
      </c>
      <c r="F2370" s="3563" t="s">
        <v>4797</v>
      </c>
      <c r="G2370" s="3564">
        <v>90.93</v>
      </c>
      <c r="H2370" s="3564">
        <v>72.78</v>
      </c>
      <c r="I2370" s="3564">
        <v>18.149999999999999</v>
      </c>
      <c r="J2370" s="3565">
        <v>916604</v>
      </c>
      <c r="K2370" s="3565">
        <v>10080.33</v>
      </c>
      <c r="L2370" s="3565">
        <v>12594.17</v>
      </c>
      <c r="M2370" s="3565">
        <v>0</v>
      </c>
      <c r="N2370" s="3565">
        <v>0</v>
      </c>
      <c r="O2370" s="3563" t="s">
        <v>3453</v>
      </c>
    </row>
    <row r="2371" spans="1:15">
      <c r="A2371" s="3563" t="s">
        <v>6593</v>
      </c>
      <c r="B2371" s="3563" t="s">
        <v>4196</v>
      </c>
      <c r="C2371" s="3563" t="s">
        <v>4197</v>
      </c>
      <c r="D2371" s="3563" t="s">
        <v>6429</v>
      </c>
      <c r="E2371" s="3563" t="s">
        <v>4378</v>
      </c>
      <c r="F2371" s="3563" t="s">
        <v>4797</v>
      </c>
      <c r="G2371" s="3564">
        <v>88.71</v>
      </c>
      <c r="H2371" s="3564">
        <v>71</v>
      </c>
      <c r="I2371" s="3564">
        <v>17.71</v>
      </c>
      <c r="J2371" s="3565">
        <v>903663</v>
      </c>
      <c r="K2371" s="3565">
        <v>10186.709999999999</v>
      </c>
      <c r="L2371" s="3565">
        <v>12727.65</v>
      </c>
      <c r="M2371" s="3565">
        <v>0</v>
      </c>
      <c r="N2371" s="3565">
        <v>0</v>
      </c>
      <c r="O2371" s="3563" t="s">
        <v>3453</v>
      </c>
    </row>
    <row r="2372" spans="1:15">
      <c r="A2372" s="3563" t="s">
        <v>6594</v>
      </c>
      <c r="B2372" s="3563" t="s">
        <v>4196</v>
      </c>
      <c r="C2372" s="3563" t="s">
        <v>4197</v>
      </c>
      <c r="D2372" s="3563" t="s">
        <v>6429</v>
      </c>
      <c r="E2372" s="3563" t="s">
        <v>4378</v>
      </c>
      <c r="F2372" s="3563" t="s">
        <v>4797</v>
      </c>
      <c r="G2372" s="3564">
        <v>88.71</v>
      </c>
      <c r="H2372" s="3564">
        <v>71</v>
      </c>
      <c r="I2372" s="3564">
        <v>17.71</v>
      </c>
      <c r="J2372" s="3565">
        <v>903663</v>
      </c>
      <c r="K2372" s="3565">
        <v>10186.709999999999</v>
      </c>
      <c r="L2372" s="3565">
        <v>12727.65</v>
      </c>
      <c r="M2372" s="3565">
        <v>0</v>
      </c>
      <c r="N2372" s="3565">
        <v>0</v>
      </c>
      <c r="O2372" s="3563" t="s">
        <v>3453</v>
      </c>
    </row>
    <row r="2373" spans="1:15">
      <c r="A2373" s="3563" t="s">
        <v>6595</v>
      </c>
      <c r="B2373" s="3563" t="s">
        <v>4196</v>
      </c>
      <c r="C2373" s="3563" t="s">
        <v>4197</v>
      </c>
      <c r="D2373" s="3563" t="s">
        <v>6429</v>
      </c>
      <c r="E2373" s="3563" t="s">
        <v>4378</v>
      </c>
      <c r="F2373" s="3563" t="s">
        <v>4797</v>
      </c>
      <c r="G2373" s="3564">
        <v>102.46</v>
      </c>
      <c r="H2373" s="3564">
        <v>82.01</v>
      </c>
      <c r="I2373" s="3564">
        <v>20.45</v>
      </c>
      <c r="J2373" s="3565">
        <v>1081880</v>
      </c>
      <c r="K2373" s="3565">
        <v>10559.05</v>
      </c>
      <c r="L2373" s="3565">
        <v>13192.05</v>
      </c>
      <c r="M2373" s="3565">
        <v>0</v>
      </c>
      <c r="N2373" s="3565">
        <v>0</v>
      </c>
      <c r="O2373" s="3563" t="s">
        <v>3453</v>
      </c>
    </row>
    <row r="2374" spans="1:15">
      <c r="A2374" s="3563" t="s">
        <v>6596</v>
      </c>
      <c r="B2374" s="3563" t="s">
        <v>4196</v>
      </c>
      <c r="C2374" s="3563" t="s">
        <v>4197</v>
      </c>
      <c r="D2374" s="3563" t="s">
        <v>6429</v>
      </c>
      <c r="E2374" s="3563" t="s">
        <v>4378</v>
      </c>
      <c r="F2374" s="3563" t="s">
        <v>4797</v>
      </c>
      <c r="G2374" s="3564">
        <v>88.71</v>
      </c>
      <c r="H2374" s="3564">
        <v>71</v>
      </c>
      <c r="I2374" s="3564">
        <v>17.71</v>
      </c>
      <c r="J2374" s="3565">
        <v>937637</v>
      </c>
      <c r="K2374" s="3565">
        <v>10569.69</v>
      </c>
      <c r="L2374" s="3565">
        <v>13206.15</v>
      </c>
      <c r="M2374" s="3565">
        <v>0</v>
      </c>
      <c r="N2374" s="3565">
        <v>0</v>
      </c>
      <c r="O2374" s="3563" t="s">
        <v>3453</v>
      </c>
    </row>
    <row r="2375" spans="1:15">
      <c r="A2375" s="3563" t="s">
        <v>6597</v>
      </c>
      <c r="B2375" s="3563" t="s">
        <v>4196</v>
      </c>
      <c r="C2375" s="3563" t="s">
        <v>4197</v>
      </c>
      <c r="D2375" s="3563" t="s">
        <v>6429</v>
      </c>
      <c r="E2375" s="3563" t="s">
        <v>4378</v>
      </c>
      <c r="F2375" s="3563" t="s">
        <v>4797</v>
      </c>
      <c r="G2375" s="3564">
        <v>88.71</v>
      </c>
      <c r="H2375" s="3564">
        <v>71</v>
      </c>
      <c r="I2375" s="3564">
        <v>17.71</v>
      </c>
      <c r="J2375" s="3565">
        <v>937637</v>
      </c>
      <c r="K2375" s="3565">
        <v>10569.69</v>
      </c>
      <c r="L2375" s="3565">
        <v>13206.15</v>
      </c>
      <c r="M2375" s="3565">
        <v>0</v>
      </c>
      <c r="N2375" s="3565">
        <v>0</v>
      </c>
      <c r="O2375" s="3563" t="s">
        <v>3453</v>
      </c>
    </row>
    <row r="2376" spans="1:15">
      <c r="A2376" s="3563" t="s">
        <v>6598</v>
      </c>
      <c r="B2376" s="3563" t="s">
        <v>4196</v>
      </c>
      <c r="C2376" s="3563" t="s">
        <v>4197</v>
      </c>
      <c r="D2376" s="3563" t="s">
        <v>6429</v>
      </c>
      <c r="E2376" s="3563" t="s">
        <v>4378</v>
      </c>
      <c r="F2376" s="3563" t="s">
        <v>4797</v>
      </c>
      <c r="G2376" s="3564">
        <v>90.93</v>
      </c>
      <c r="H2376" s="3564">
        <v>72.78</v>
      </c>
      <c r="I2376" s="3564">
        <v>18.149999999999999</v>
      </c>
      <c r="J2376" s="3565">
        <v>917572</v>
      </c>
      <c r="K2376" s="3565">
        <v>10090.969999999999</v>
      </c>
      <c r="L2376" s="3565">
        <v>12607.47</v>
      </c>
      <c r="M2376" s="3565">
        <v>0</v>
      </c>
      <c r="N2376" s="3565">
        <v>0</v>
      </c>
      <c r="O2376" s="3563" t="s">
        <v>3453</v>
      </c>
    </row>
    <row r="2377" spans="1:15">
      <c r="A2377" s="3563" t="s">
        <v>6599</v>
      </c>
      <c r="B2377" s="3563" t="s">
        <v>4196</v>
      </c>
      <c r="C2377" s="3563" t="s">
        <v>4197</v>
      </c>
      <c r="D2377" s="3563" t="s">
        <v>6429</v>
      </c>
      <c r="E2377" s="3563" t="s">
        <v>4378</v>
      </c>
      <c r="F2377" s="3563" t="s">
        <v>4797</v>
      </c>
      <c r="G2377" s="3564">
        <v>88.71</v>
      </c>
      <c r="H2377" s="3564">
        <v>71</v>
      </c>
      <c r="I2377" s="3564">
        <v>17.71</v>
      </c>
      <c r="J2377" s="3565">
        <v>904607</v>
      </c>
      <c r="K2377" s="3565">
        <v>10197.35</v>
      </c>
      <c r="L2377" s="3565">
        <v>12740.94</v>
      </c>
      <c r="M2377" s="3565">
        <v>0</v>
      </c>
      <c r="N2377" s="3565">
        <v>0</v>
      </c>
      <c r="O2377" s="3563" t="s">
        <v>3453</v>
      </c>
    </row>
    <row r="2378" spans="1:15">
      <c r="A2378" s="3563" t="s">
        <v>6600</v>
      </c>
      <c r="B2378" s="3563" t="s">
        <v>4196</v>
      </c>
      <c r="C2378" s="3563" t="s">
        <v>4197</v>
      </c>
      <c r="D2378" s="3563" t="s">
        <v>6429</v>
      </c>
      <c r="E2378" s="3563" t="s">
        <v>4378</v>
      </c>
      <c r="F2378" s="3563" t="s">
        <v>4797</v>
      </c>
      <c r="G2378" s="3564">
        <v>88.71</v>
      </c>
      <c r="H2378" s="3564">
        <v>71</v>
      </c>
      <c r="I2378" s="3564">
        <v>17.71</v>
      </c>
      <c r="J2378" s="3565">
        <v>904607</v>
      </c>
      <c r="K2378" s="3565">
        <v>10197.35</v>
      </c>
      <c r="L2378" s="3565">
        <v>12740.94</v>
      </c>
      <c r="M2378" s="3565">
        <v>0</v>
      </c>
      <c r="N2378" s="3565">
        <v>0</v>
      </c>
      <c r="O2378" s="3563" t="s">
        <v>3453</v>
      </c>
    </row>
    <row r="2379" spans="1:15">
      <c r="A2379" s="3563" t="s">
        <v>6601</v>
      </c>
      <c r="B2379" s="3563" t="s">
        <v>4196</v>
      </c>
      <c r="C2379" s="3563" t="s">
        <v>4197</v>
      </c>
      <c r="D2379" s="3563" t="s">
        <v>6429</v>
      </c>
      <c r="E2379" s="3563" t="s">
        <v>4378</v>
      </c>
      <c r="F2379" s="3563" t="s">
        <v>4797</v>
      </c>
      <c r="G2379" s="3564">
        <v>102.46</v>
      </c>
      <c r="H2379" s="3564">
        <v>82.01</v>
      </c>
      <c r="I2379" s="3564">
        <v>20.45</v>
      </c>
      <c r="J2379" s="3565">
        <v>1082970</v>
      </c>
      <c r="K2379" s="3565">
        <v>10569.69</v>
      </c>
      <c r="L2379" s="3565">
        <v>13205.34</v>
      </c>
      <c r="M2379" s="3565">
        <v>0</v>
      </c>
      <c r="N2379" s="3565">
        <v>0</v>
      </c>
      <c r="O2379" s="3563" t="s">
        <v>3453</v>
      </c>
    </row>
    <row r="2380" spans="1:15">
      <c r="A2380" s="3563" t="s">
        <v>6602</v>
      </c>
      <c r="B2380" s="3563" t="s">
        <v>4196</v>
      </c>
      <c r="C2380" s="3563" t="s">
        <v>4197</v>
      </c>
      <c r="D2380" s="3563" t="s">
        <v>6429</v>
      </c>
      <c r="E2380" s="3563" t="s">
        <v>4378</v>
      </c>
      <c r="F2380" s="3563" t="s">
        <v>4797</v>
      </c>
      <c r="G2380" s="3564">
        <v>88.71</v>
      </c>
      <c r="H2380" s="3564">
        <v>71</v>
      </c>
      <c r="I2380" s="3564">
        <v>17.71</v>
      </c>
      <c r="J2380" s="3565">
        <v>929143</v>
      </c>
      <c r="K2380" s="3565">
        <v>10473.94</v>
      </c>
      <c r="L2380" s="3565">
        <v>13086.52</v>
      </c>
      <c r="M2380" s="3565">
        <v>0</v>
      </c>
      <c r="N2380" s="3565">
        <v>0</v>
      </c>
      <c r="O2380" s="3563" t="s">
        <v>3453</v>
      </c>
    </row>
    <row r="2381" spans="1:15">
      <c r="A2381" s="3563" t="s">
        <v>6603</v>
      </c>
      <c r="B2381" s="3563" t="s">
        <v>4196</v>
      </c>
      <c r="C2381" s="3563" t="s">
        <v>4197</v>
      </c>
      <c r="D2381" s="3563" t="s">
        <v>6429</v>
      </c>
      <c r="E2381" s="3563" t="s">
        <v>4378</v>
      </c>
      <c r="F2381" s="3563" t="s">
        <v>4797</v>
      </c>
      <c r="G2381" s="3564">
        <v>88.71</v>
      </c>
      <c r="H2381" s="3564">
        <v>71</v>
      </c>
      <c r="I2381" s="3564">
        <v>17.71</v>
      </c>
      <c r="J2381" s="3565">
        <v>929143</v>
      </c>
      <c r="K2381" s="3565">
        <v>10473.94</v>
      </c>
      <c r="L2381" s="3565">
        <v>13086.52</v>
      </c>
      <c r="M2381" s="3565">
        <v>0</v>
      </c>
      <c r="N2381" s="3565">
        <v>0</v>
      </c>
      <c r="O2381" s="3563" t="s">
        <v>3453</v>
      </c>
    </row>
    <row r="2382" spans="1:15">
      <c r="A2382" s="3563" t="s">
        <v>6604</v>
      </c>
      <c r="B2382" s="3563" t="s">
        <v>4196</v>
      </c>
      <c r="C2382" s="3563" t="s">
        <v>4197</v>
      </c>
      <c r="D2382" s="3563" t="s">
        <v>6429</v>
      </c>
      <c r="E2382" s="3563" t="s">
        <v>4378</v>
      </c>
      <c r="F2382" s="3563" t="s">
        <v>4797</v>
      </c>
      <c r="G2382" s="3564">
        <v>90.93</v>
      </c>
      <c r="H2382" s="3564">
        <v>72.78</v>
      </c>
      <c r="I2382" s="3564">
        <v>18.149999999999999</v>
      </c>
      <c r="J2382" s="3565">
        <v>908865</v>
      </c>
      <c r="K2382" s="3565">
        <v>9995.2199999999993</v>
      </c>
      <c r="L2382" s="3565">
        <v>12487.84</v>
      </c>
      <c r="M2382" s="3565">
        <v>0</v>
      </c>
      <c r="N2382" s="3565">
        <v>0</v>
      </c>
      <c r="O2382" s="3563" t="s">
        <v>3453</v>
      </c>
    </row>
    <row r="2383" spans="1:15">
      <c r="A2383" s="3563" t="s">
        <v>6605</v>
      </c>
      <c r="B2383" s="3563" t="s">
        <v>4196</v>
      </c>
      <c r="C2383" s="3563" t="s">
        <v>4197</v>
      </c>
      <c r="D2383" s="3563" t="s">
        <v>6429</v>
      </c>
      <c r="E2383" s="3563" t="s">
        <v>4378</v>
      </c>
      <c r="F2383" s="3563" t="s">
        <v>4797</v>
      </c>
      <c r="G2383" s="3564">
        <v>88.71</v>
      </c>
      <c r="H2383" s="3564">
        <v>71</v>
      </c>
      <c r="I2383" s="3564">
        <v>17.71</v>
      </c>
      <c r="J2383" s="3565">
        <v>896113</v>
      </c>
      <c r="K2383" s="3565">
        <v>10101.6</v>
      </c>
      <c r="L2383" s="3565">
        <v>12621.31</v>
      </c>
      <c r="M2383" s="3565">
        <v>0</v>
      </c>
      <c r="N2383" s="3565">
        <v>0</v>
      </c>
      <c r="O2383" s="3563" t="s">
        <v>3453</v>
      </c>
    </row>
    <row r="2384" spans="1:15">
      <c r="A2384" s="3563" t="s">
        <v>6606</v>
      </c>
      <c r="B2384" s="3563" t="s">
        <v>4196</v>
      </c>
      <c r="C2384" s="3563" t="s">
        <v>4197</v>
      </c>
      <c r="D2384" s="3563" t="s">
        <v>6429</v>
      </c>
      <c r="E2384" s="3563" t="s">
        <v>4378</v>
      </c>
      <c r="F2384" s="3563" t="s">
        <v>4797</v>
      </c>
      <c r="G2384" s="3564">
        <v>88.71</v>
      </c>
      <c r="H2384" s="3564">
        <v>71</v>
      </c>
      <c r="I2384" s="3564">
        <v>17.71</v>
      </c>
      <c r="J2384" s="3565">
        <v>896113</v>
      </c>
      <c r="K2384" s="3565">
        <v>10101.6</v>
      </c>
      <c r="L2384" s="3565">
        <v>12621.31</v>
      </c>
      <c r="M2384" s="3565">
        <v>0</v>
      </c>
      <c r="N2384" s="3565">
        <v>0</v>
      </c>
      <c r="O2384" s="3563" t="s">
        <v>3453</v>
      </c>
    </row>
    <row r="2385" spans="1:15">
      <c r="A2385" s="3563" t="s">
        <v>6607</v>
      </c>
      <c r="B2385" s="3563" t="s">
        <v>4196</v>
      </c>
      <c r="C2385" s="3563" t="s">
        <v>4197</v>
      </c>
      <c r="D2385" s="3563" t="s">
        <v>6429</v>
      </c>
      <c r="E2385" s="3563" t="s">
        <v>4378</v>
      </c>
      <c r="F2385" s="3563" t="s">
        <v>4797</v>
      </c>
      <c r="G2385" s="3564">
        <v>102.46</v>
      </c>
      <c r="H2385" s="3564">
        <v>82.01</v>
      </c>
      <c r="I2385" s="3564">
        <v>20.45</v>
      </c>
      <c r="J2385" s="3565">
        <v>1073160</v>
      </c>
      <c r="K2385" s="3565">
        <v>10473.94</v>
      </c>
      <c r="L2385" s="3565">
        <v>13085.72</v>
      </c>
      <c r="M2385" s="3565">
        <v>0</v>
      </c>
      <c r="N2385" s="3565">
        <v>0</v>
      </c>
      <c r="O2385" s="3563" t="s">
        <v>3453</v>
      </c>
    </row>
    <row r="2386" spans="1:15">
      <c r="A2386" s="3563" t="s">
        <v>6608</v>
      </c>
      <c r="B2386" s="3563" t="s">
        <v>4196</v>
      </c>
      <c r="C2386" s="3563" t="s">
        <v>4197</v>
      </c>
      <c r="D2386" s="3563" t="s">
        <v>6429</v>
      </c>
      <c r="E2386" s="3563" t="s">
        <v>4378</v>
      </c>
      <c r="F2386" s="3563" t="s">
        <v>4797</v>
      </c>
      <c r="G2386" s="3564">
        <v>88.71</v>
      </c>
      <c r="H2386" s="3564">
        <v>71</v>
      </c>
      <c r="I2386" s="3564">
        <v>17.71</v>
      </c>
      <c r="J2386" s="3565">
        <v>939524</v>
      </c>
      <c r="K2386" s="3565">
        <v>10590.96</v>
      </c>
      <c r="L2386" s="3565">
        <v>13232.73</v>
      </c>
      <c r="M2386" s="3565">
        <v>0</v>
      </c>
      <c r="N2386" s="3565">
        <v>0</v>
      </c>
      <c r="O2386" s="3563" t="s">
        <v>3453</v>
      </c>
    </row>
    <row r="2387" spans="1:15">
      <c r="A2387" s="3563" t="s">
        <v>6609</v>
      </c>
      <c r="B2387" s="3563" t="s">
        <v>4196</v>
      </c>
      <c r="C2387" s="3563" t="s">
        <v>4197</v>
      </c>
      <c r="D2387" s="3563" t="s">
        <v>6429</v>
      </c>
      <c r="E2387" s="3563" t="s">
        <v>4378</v>
      </c>
      <c r="F2387" s="3563" t="s">
        <v>4797</v>
      </c>
      <c r="G2387" s="3564">
        <v>88.71</v>
      </c>
      <c r="H2387" s="3564">
        <v>71</v>
      </c>
      <c r="I2387" s="3564">
        <v>17.71</v>
      </c>
      <c r="J2387" s="3565">
        <v>939524</v>
      </c>
      <c r="K2387" s="3565">
        <v>10590.96</v>
      </c>
      <c r="L2387" s="3565">
        <v>13232.73</v>
      </c>
      <c r="M2387" s="3565">
        <v>0</v>
      </c>
      <c r="N2387" s="3565">
        <v>0</v>
      </c>
      <c r="O2387" s="3563" t="s">
        <v>3453</v>
      </c>
    </row>
    <row r="2388" spans="1:15">
      <c r="A2388" s="3563" t="s">
        <v>6610</v>
      </c>
      <c r="B2388" s="3563" t="s">
        <v>4196</v>
      </c>
      <c r="C2388" s="3563" t="s">
        <v>4197</v>
      </c>
      <c r="D2388" s="3563" t="s">
        <v>6429</v>
      </c>
      <c r="E2388" s="3563" t="s">
        <v>4378</v>
      </c>
      <c r="F2388" s="3563" t="s">
        <v>4797</v>
      </c>
      <c r="G2388" s="3564">
        <v>90.93</v>
      </c>
      <c r="H2388" s="3564">
        <v>72.78</v>
      </c>
      <c r="I2388" s="3564">
        <v>18.149999999999999</v>
      </c>
      <c r="J2388" s="3565">
        <v>919506</v>
      </c>
      <c r="K2388" s="3565">
        <v>10112.24</v>
      </c>
      <c r="L2388" s="3565">
        <v>12634.05</v>
      </c>
      <c r="M2388" s="3565">
        <v>0</v>
      </c>
      <c r="N2388" s="3565">
        <v>0</v>
      </c>
      <c r="O2388" s="3563" t="s">
        <v>3453</v>
      </c>
    </row>
    <row r="2389" spans="1:15">
      <c r="A2389" s="3563" t="s">
        <v>6611</v>
      </c>
      <c r="B2389" s="3563" t="s">
        <v>4196</v>
      </c>
      <c r="C2389" s="3563" t="s">
        <v>4197</v>
      </c>
      <c r="D2389" s="3563" t="s">
        <v>6429</v>
      </c>
      <c r="E2389" s="3563" t="s">
        <v>4378</v>
      </c>
      <c r="F2389" s="3563" t="s">
        <v>4797</v>
      </c>
      <c r="G2389" s="3564">
        <v>88.71</v>
      </c>
      <c r="H2389" s="3564">
        <v>71</v>
      </c>
      <c r="I2389" s="3564">
        <v>17.71</v>
      </c>
      <c r="J2389" s="3565">
        <v>906494</v>
      </c>
      <c r="K2389" s="3565">
        <v>10218.620000000001</v>
      </c>
      <c r="L2389" s="3565">
        <v>12767.52</v>
      </c>
      <c r="M2389" s="3565">
        <v>0</v>
      </c>
      <c r="N2389" s="3565">
        <v>0</v>
      </c>
      <c r="O2389" s="3563" t="s">
        <v>3453</v>
      </c>
    </row>
    <row r="2390" spans="1:15">
      <c r="A2390" s="3563" t="s">
        <v>6612</v>
      </c>
      <c r="B2390" s="3563" t="s">
        <v>4196</v>
      </c>
      <c r="C2390" s="3563" t="s">
        <v>4197</v>
      </c>
      <c r="D2390" s="3563" t="s">
        <v>6429</v>
      </c>
      <c r="E2390" s="3563" t="s">
        <v>4378</v>
      </c>
      <c r="F2390" s="3563" t="s">
        <v>4797</v>
      </c>
      <c r="G2390" s="3564">
        <v>88.71</v>
      </c>
      <c r="H2390" s="3564">
        <v>71</v>
      </c>
      <c r="I2390" s="3564">
        <v>17.71</v>
      </c>
      <c r="J2390" s="3565">
        <v>906494</v>
      </c>
      <c r="K2390" s="3565">
        <v>10218.620000000001</v>
      </c>
      <c r="L2390" s="3565">
        <v>12767.52</v>
      </c>
      <c r="M2390" s="3565">
        <v>0</v>
      </c>
      <c r="N2390" s="3565">
        <v>0</v>
      </c>
      <c r="O2390" s="3563" t="s">
        <v>3453</v>
      </c>
    </row>
    <row r="2391" spans="1:15">
      <c r="A2391" s="3563" t="s">
        <v>6613</v>
      </c>
      <c r="B2391" s="3563" t="s">
        <v>4196</v>
      </c>
      <c r="C2391" s="3563" t="s">
        <v>4197</v>
      </c>
      <c r="D2391" s="3563" t="s">
        <v>6429</v>
      </c>
      <c r="E2391" s="3563" t="s">
        <v>4378</v>
      </c>
      <c r="F2391" s="3563" t="s">
        <v>4797</v>
      </c>
      <c r="G2391" s="3564">
        <v>102.46</v>
      </c>
      <c r="H2391" s="3564">
        <v>82.01</v>
      </c>
      <c r="I2391" s="3564">
        <v>20.45</v>
      </c>
      <c r="J2391" s="3565">
        <v>1085150</v>
      </c>
      <c r="K2391" s="3565">
        <v>10590.96</v>
      </c>
      <c r="L2391" s="3565">
        <v>13231.92</v>
      </c>
      <c r="M2391" s="3565">
        <v>0</v>
      </c>
      <c r="N2391" s="3565">
        <v>0</v>
      </c>
      <c r="O2391" s="3563" t="s">
        <v>3453</v>
      </c>
    </row>
    <row r="2392" spans="1:15">
      <c r="A2392" s="3563" t="s">
        <v>6614</v>
      </c>
      <c r="B2392" s="3563" t="s">
        <v>4196</v>
      </c>
      <c r="C2392" s="3563" t="s">
        <v>4197</v>
      </c>
      <c r="D2392" s="3563" t="s">
        <v>6429</v>
      </c>
      <c r="E2392" s="3563" t="s">
        <v>4378</v>
      </c>
      <c r="F2392" s="3563" t="s">
        <v>4797</v>
      </c>
      <c r="G2392" s="3564">
        <v>88.71</v>
      </c>
      <c r="H2392" s="3564">
        <v>71</v>
      </c>
      <c r="I2392" s="3564">
        <v>17.71</v>
      </c>
      <c r="J2392" s="3565">
        <v>938580</v>
      </c>
      <c r="K2392" s="3565">
        <v>10580.32</v>
      </c>
      <c r="L2392" s="3565">
        <v>13219.44</v>
      </c>
      <c r="M2392" s="3565">
        <v>0</v>
      </c>
      <c r="N2392" s="3565">
        <v>0</v>
      </c>
      <c r="O2392" s="3563" t="s">
        <v>3453</v>
      </c>
    </row>
    <row r="2393" spans="1:15">
      <c r="A2393" s="3563" t="s">
        <v>6615</v>
      </c>
      <c r="B2393" s="3563" t="s">
        <v>4196</v>
      </c>
      <c r="C2393" s="3563" t="s">
        <v>4197</v>
      </c>
      <c r="D2393" s="3563" t="s">
        <v>6429</v>
      </c>
      <c r="E2393" s="3563" t="s">
        <v>4378</v>
      </c>
      <c r="F2393" s="3563" t="s">
        <v>4797</v>
      </c>
      <c r="G2393" s="3564">
        <v>88.71</v>
      </c>
      <c r="H2393" s="3564">
        <v>71</v>
      </c>
      <c r="I2393" s="3564">
        <v>17.71</v>
      </c>
      <c r="J2393" s="3565">
        <v>938580</v>
      </c>
      <c r="K2393" s="3565">
        <v>10580.32</v>
      </c>
      <c r="L2393" s="3565">
        <v>13219.44</v>
      </c>
      <c r="M2393" s="3565">
        <v>0</v>
      </c>
      <c r="N2393" s="3565">
        <v>0</v>
      </c>
      <c r="O2393" s="3563" t="s">
        <v>3453</v>
      </c>
    </row>
    <row r="2394" spans="1:15">
      <c r="A2394" s="3563" t="s">
        <v>6616</v>
      </c>
      <c r="B2394" s="3563" t="s">
        <v>4196</v>
      </c>
      <c r="C2394" s="3563" t="s">
        <v>4197</v>
      </c>
      <c r="D2394" s="3563" t="s">
        <v>6429</v>
      </c>
      <c r="E2394" s="3563" t="s">
        <v>4378</v>
      </c>
      <c r="F2394" s="3563" t="s">
        <v>4797</v>
      </c>
      <c r="G2394" s="3564">
        <v>90.93</v>
      </c>
      <c r="H2394" s="3564">
        <v>72.78</v>
      </c>
      <c r="I2394" s="3564">
        <v>18.149999999999999</v>
      </c>
      <c r="J2394" s="3565">
        <v>918539</v>
      </c>
      <c r="K2394" s="3565">
        <v>10101.61</v>
      </c>
      <c r="L2394" s="3565">
        <v>12620.76</v>
      </c>
      <c r="M2394" s="3565">
        <v>0</v>
      </c>
      <c r="N2394" s="3565">
        <v>0</v>
      </c>
      <c r="O2394" s="3563" t="s">
        <v>3453</v>
      </c>
    </row>
    <row r="2395" spans="1:15">
      <c r="A2395" s="3563" t="s">
        <v>6617</v>
      </c>
      <c r="B2395" s="3563" t="s">
        <v>4196</v>
      </c>
      <c r="C2395" s="3563" t="s">
        <v>4197</v>
      </c>
      <c r="D2395" s="3563" t="s">
        <v>6429</v>
      </c>
      <c r="E2395" s="3563" t="s">
        <v>4378</v>
      </c>
      <c r="F2395" s="3563" t="s">
        <v>4797</v>
      </c>
      <c r="G2395" s="3564">
        <v>88.71</v>
      </c>
      <c r="H2395" s="3564">
        <v>71</v>
      </c>
      <c r="I2395" s="3564">
        <v>17.71</v>
      </c>
      <c r="J2395" s="3565">
        <v>905550</v>
      </c>
      <c r="K2395" s="3565">
        <v>10207.98</v>
      </c>
      <c r="L2395" s="3565">
        <v>12754.23</v>
      </c>
      <c r="M2395" s="3565">
        <v>0</v>
      </c>
      <c r="N2395" s="3565">
        <v>0</v>
      </c>
      <c r="O2395" s="3563" t="s">
        <v>3453</v>
      </c>
    </row>
    <row r="2396" spans="1:15">
      <c r="A2396" s="3563" t="s">
        <v>6618</v>
      </c>
      <c r="B2396" s="3563" t="s">
        <v>4196</v>
      </c>
      <c r="C2396" s="3563" t="s">
        <v>4197</v>
      </c>
      <c r="D2396" s="3563" t="s">
        <v>6429</v>
      </c>
      <c r="E2396" s="3563" t="s">
        <v>4378</v>
      </c>
      <c r="F2396" s="3563" t="s">
        <v>4797</v>
      </c>
      <c r="G2396" s="3564">
        <v>88.71</v>
      </c>
      <c r="H2396" s="3564">
        <v>71</v>
      </c>
      <c r="I2396" s="3564">
        <v>17.71</v>
      </c>
      <c r="J2396" s="3565">
        <v>905550</v>
      </c>
      <c r="K2396" s="3565">
        <v>10207.98</v>
      </c>
      <c r="L2396" s="3565">
        <v>12754.23</v>
      </c>
      <c r="M2396" s="3565">
        <v>0</v>
      </c>
      <c r="N2396" s="3565">
        <v>0</v>
      </c>
      <c r="O2396" s="3563" t="s">
        <v>3453</v>
      </c>
    </row>
    <row r="2397" spans="1:15">
      <c r="A2397" s="3563" t="s">
        <v>6619</v>
      </c>
      <c r="B2397" s="3563" t="s">
        <v>4196</v>
      </c>
      <c r="C2397" s="3563" t="s">
        <v>4197</v>
      </c>
      <c r="D2397" s="3563" t="s">
        <v>6429</v>
      </c>
      <c r="E2397" s="3563" t="s">
        <v>4378</v>
      </c>
      <c r="F2397" s="3563" t="s">
        <v>4797</v>
      </c>
      <c r="G2397" s="3564">
        <v>102.46</v>
      </c>
      <c r="H2397" s="3564">
        <v>82.01</v>
      </c>
      <c r="I2397" s="3564">
        <v>20.45</v>
      </c>
      <c r="J2397" s="3565">
        <v>1084060</v>
      </c>
      <c r="K2397" s="3565">
        <v>10580.32</v>
      </c>
      <c r="L2397" s="3565">
        <v>13218.63</v>
      </c>
      <c r="M2397" s="3565">
        <v>0</v>
      </c>
      <c r="N2397" s="3565">
        <v>0</v>
      </c>
      <c r="O2397" s="3563" t="s">
        <v>3453</v>
      </c>
    </row>
    <row r="2398" spans="1:15">
      <c r="A2398" s="3563" t="s">
        <v>6620</v>
      </c>
      <c r="B2398" s="3563" t="s">
        <v>4196</v>
      </c>
      <c r="C2398" s="3563" t="s">
        <v>4197</v>
      </c>
      <c r="D2398" s="3563" t="s">
        <v>6429</v>
      </c>
      <c r="E2398" s="3563" t="s">
        <v>4378</v>
      </c>
      <c r="F2398" s="3563" t="s">
        <v>4797</v>
      </c>
      <c r="G2398" s="3564">
        <v>88.71</v>
      </c>
      <c r="H2398" s="3564">
        <v>71</v>
      </c>
      <c r="I2398" s="3564">
        <v>17.71</v>
      </c>
      <c r="J2398" s="3565">
        <v>937637</v>
      </c>
      <c r="K2398" s="3565">
        <v>10569.69</v>
      </c>
      <c r="L2398" s="3565">
        <v>13206.15</v>
      </c>
      <c r="M2398" s="3565">
        <v>0</v>
      </c>
      <c r="N2398" s="3565">
        <v>0</v>
      </c>
      <c r="O2398" s="3563" t="s">
        <v>3453</v>
      </c>
    </row>
    <row r="2399" spans="1:15">
      <c r="A2399" s="3563" t="s">
        <v>6621</v>
      </c>
      <c r="B2399" s="3563" t="s">
        <v>4196</v>
      </c>
      <c r="C2399" s="3563" t="s">
        <v>4197</v>
      </c>
      <c r="D2399" s="3563" t="s">
        <v>6429</v>
      </c>
      <c r="E2399" s="3563" t="s">
        <v>4378</v>
      </c>
      <c r="F2399" s="3563" t="s">
        <v>4797</v>
      </c>
      <c r="G2399" s="3564">
        <v>88.71</v>
      </c>
      <c r="H2399" s="3564">
        <v>71</v>
      </c>
      <c r="I2399" s="3564">
        <v>17.71</v>
      </c>
      <c r="J2399" s="3565">
        <v>937637</v>
      </c>
      <c r="K2399" s="3565">
        <v>10569.69</v>
      </c>
      <c r="L2399" s="3565">
        <v>13206.15</v>
      </c>
      <c r="M2399" s="3565">
        <v>0</v>
      </c>
      <c r="N2399" s="3565">
        <v>0</v>
      </c>
      <c r="O2399" s="3563" t="s">
        <v>3453</v>
      </c>
    </row>
    <row r="2400" spans="1:15">
      <c r="A2400" s="3563" t="s">
        <v>6622</v>
      </c>
      <c r="B2400" s="3563" t="s">
        <v>4196</v>
      </c>
      <c r="C2400" s="3563" t="s">
        <v>4197</v>
      </c>
      <c r="D2400" s="3563" t="s">
        <v>6429</v>
      </c>
      <c r="E2400" s="3563" t="s">
        <v>4378</v>
      </c>
      <c r="F2400" s="3563" t="s">
        <v>4797</v>
      </c>
      <c r="G2400" s="3564">
        <v>90.93</v>
      </c>
      <c r="H2400" s="3564">
        <v>72.78</v>
      </c>
      <c r="I2400" s="3564">
        <v>18.149999999999999</v>
      </c>
      <c r="J2400" s="3565">
        <v>917572</v>
      </c>
      <c r="K2400" s="3565">
        <v>10090.969999999999</v>
      </c>
      <c r="L2400" s="3565">
        <v>12607.47</v>
      </c>
      <c r="M2400" s="3565">
        <v>0</v>
      </c>
      <c r="N2400" s="3565">
        <v>0</v>
      </c>
      <c r="O2400" s="3563" t="s">
        <v>3453</v>
      </c>
    </row>
    <row r="2401" spans="1:15">
      <c r="A2401" s="3563" t="s">
        <v>6623</v>
      </c>
      <c r="B2401" s="3563" t="s">
        <v>4196</v>
      </c>
      <c r="C2401" s="3563" t="s">
        <v>4197</v>
      </c>
      <c r="D2401" s="3563" t="s">
        <v>6429</v>
      </c>
      <c r="E2401" s="3563" t="s">
        <v>4378</v>
      </c>
      <c r="F2401" s="3563" t="s">
        <v>4797</v>
      </c>
      <c r="G2401" s="3564">
        <v>88.71</v>
      </c>
      <c r="H2401" s="3564">
        <v>71</v>
      </c>
      <c r="I2401" s="3564">
        <v>17.71</v>
      </c>
      <c r="J2401" s="3565">
        <v>904607</v>
      </c>
      <c r="K2401" s="3565">
        <v>10197.35</v>
      </c>
      <c r="L2401" s="3565">
        <v>12740.94</v>
      </c>
      <c r="M2401" s="3565">
        <v>0</v>
      </c>
      <c r="N2401" s="3565">
        <v>0</v>
      </c>
      <c r="O2401" s="3563" t="s">
        <v>3453</v>
      </c>
    </row>
    <row r="2402" spans="1:15">
      <c r="A2402" s="3563" t="s">
        <v>6624</v>
      </c>
      <c r="B2402" s="3563" t="s">
        <v>4196</v>
      </c>
      <c r="C2402" s="3563" t="s">
        <v>4197</v>
      </c>
      <c r="D2402" s="3563" t="s">
        <v>6429</v>
      </c>
      <c r="E2402" s="3563" t="s">
        <v>4378</v>
      </c>
      <c r="F2402" s="3563" t="s">
        <v>4797</v>
      </c>
      <c r="G2402" s="3564">
        <v>88.71</v>
      </c>
      <c r="H2402" s="3564">
        <v>71</v>
      </c>
      <c r="I2402" s="3564">
        <v>17.71</v>
      </c>
      <c r="J2402" s="3565">
        <v>904607</v>
      </c>
      <c r="K2402" s="3565">
        <v>10197.35</v>
      </c>
      <c r="L2402" s="3565">
        <v>12740.94</v>
      </c>
      <c r="M2402" s="3565">
        <v>0</v>
      </c>
      <c r="N2402" s="3565">
        <v>0</v>
      </c>
      <c r="O2402" s="3563" t="s">
        <v>3453</v>
      </c>
    </row>
    <row r="2403" spans="1:15">
      <c r="A2403" s="3563" t="s">
        <v>6625</v>
      </c>
      <c r="B2403" s="3563" t="s">
        <v>4196</v>
      </c>
      <c r="C2403" s="3563" t="s">
        <v>4197</v>
      </c>
      <c r="D2403" s="3563" t="s">
        <v>6429</v>
      </c>
      <c r="E2403" s="3563" t="s">
        <v>4378</v>
      </c>
      <c r="F2403" s="3563" t="s">
        <v>4797</v>
      </c>
      <c r="G2403" s="3564">
        <v>102.46</v>
      </c>
      <c r="H2403" s="3564">
        <v>82.01</v>
      </c>
      <c r="I2403" s="3564">
        <v>20.45</v>
      </c>
      <c r="J2403" s="3565">
        <v>1082970</v>
      </c>
      <c r="K2403" s="3565">
        <v>10569.69</v>
      </c>
      <c r="L2403" s="3565">
        <v>13205.34</v>
      </c>
      <c r="M2403" s="3565">
        <v>0</v>
      </c>
      <c r="N2403" s="3565">
        <v>0</v>
      </c>
      <c r="O2403" s="3563" t="s">
        <v>3453</v>
      </c>
    </row>
    <row r="2404" spans="1:15">
      <c r="A2404" s="3563" t="s">
        <v>6626</v>
      </c>
      <c r="B2404" s="3563" t="s">
        <v>4196</v>
      </c>
      <c r="C2404" s="3563" t="s">
        <v>4197</v>
      </c>
      <c r="D2404" s="3563" t="s">
        <v>6429</v>
      </c>
      <c r="E2404" s="3563" t="s">
        <v>4378</v>
      </c>
      <c r="F2404" s="3563" t="s">
        <v>4797</v>
      </c>
      <c r="G2404" s="3564">
        <v>88.71</v>
      </c>
      <c r="H2404" s="3564">
        <v>71</v>
      </c>
      <c r="I2404" s="3564">
        <v>17.71</v>
      </c>
      <c r="J2404" s="3565">
        <v>927256</v>
      </c>
      <c r="K2404" s="3565">
        <v>10452.67</v>
      </c>
      <c r="L2404" s="3565">
        <v>13059.94</v>
      </c>
      <c r="M2404" s="3565">
        <v>0</v>
      </c>
      <c r="N2404" s="3565">
        <v>0</v>
      </c>
      <c r="O2404" s="3563" t="s">
        <v>3453</v>
      </c>
    </row>
    <row r="2405" spans="1:15">
      <c r="A2405" s="3563" t="s">
        <v>6627</v>
      </c>
      <c r="B2405" s="3563" t="s">
        <v>4196</v>
      </c>
      <c r="C2405" s="3563" t="s">
        <v>4197</v>
      </c>
      <c r="D2405" s="3563" t="s">
        <v>6429</v>
      </c>
      <c r="E2405" s="3563" t="s">
        <v>4378</v>
      </c>
      <c r="F2405" s="3563" t="s">
        <v>4797</v>
      </c>
      <c r="G2405" s="3564">
        <v>88.71</v>
      </c>
      <c r="H2405" s="3564">
        <v>71</v>
      </c>
      <c r="I2405" s="3564">
        <v>17.71</v>
      </c>
      <c r="J2405" s="3565">
        <v>927256</v>
      </c>
      <c r="K2405" s="3565">
        <v>10452.67</v>
      </c>
      <c r="L2405" s="3565">
        <v>13059.94</v>
      </c>
      <c r="M2405" s="3565">
        <v>0</v>
      </c>
      <c r="N2405" s="3565">
        <v>0</v>
      </c>
      <c r="O2405" s="3563" t="s">
        <v>3453</v>
      </c>
    </row>
    <row r="2406" spans="1:15">
      <c r="A2406" s="3563" t="s">
        <v>6628</v>
      </c>
      <c r="B2406" s="3563" t="s">
        <v>4196</v>
      </c>
      <c r="C2406" s="3563" t="s">
        <v>4197</v>
      </c>
      <c r="D2406" s="3563" t="s">
        <v>6429</v>
      </c>
      <c r="E2406" s="3563" t="s">
        <v>4378</v>
      </c>
      <c r="F2406" s="3563" t="s">
        <v>4797</v>
      </c>
      <c r="G2406" s="3564">
        <v>90.93</v>
      </c>
      <c r="H2406" s="3564">
        <v>72.78</v>
      </c>
      <c r="I2406" s="3564">
        <v>18.149999999999999</v>
      </c>
      <c r="J2406" s="3565">
        <v>906930</v>
      </c>
      <c r="K2406" s="3565">
        <v>9973.94</v>
      </c>
      <c r="L2406" s="3565">
        <v>12461.25</v>
      </c>
      <c r="M2406" s="3565">
        <v>0</v>
      </c>
      <c r="N2406" s="3565">
        <v>0</v>
      </c>
      <c r="O2406" s="3563" t="s">
        <v>3453</v>
      </c>
    </row>
    <row r="2407" spans="1:15">
      <c r="A2407" s="3563" t="s">
        <v>6629</v>
      </c>
      <c r="B2407" s="3563" t="s">
        <v>4196</v>
      </c>
      <c r="C2407" s="3563" t="s">
        <v>4197</v>
      </c>
      <c r="D2407" s="3563" t="s">
        <v>6429</v>
      </c>
      <c r="E2407" s="3563" t="s">
        <v>4378</v>
      </c>
      <c r="F2407" s="3563" t="s">
        <v>4797</v>
      </c>
      <c r="G2407" s="3564">
        <v>88.71</v>
      </c>
      <c r="H2407" s="3564">
        <v>71</v>
      </c>
      <c r="I2407" s="3564">
        <v>17.71</v>
      </c>
      <c r="J2407" s="3565">
        <v>894226</v>
      </c>
      <c r="K2407" s="3565">
        <v>10080.33</v>
      </c>
      <c r="L2407" s="3565">
        <v>12594.73</v>
      </c>
      <c r="M2407" s="3565">
        <v>0</v>
      </c>
      <c r="N2407" s="3565">
        <v>0</v>
      </c>
      <c r="O2407" s="3563" t="s">
        <v>3453</v>
      </c>
    </row>
    <row r="2408" spans="1:15">
      <c r="A2408" s="3563" t="s">
        <v>6630</v>
      </c>
      <c r="B2408" s="3563" t="s">
        <v>4196</v>
      </c>
      <c r="C2408" s="3563" t="s">
        <v>4197</v>
      </c>
      <c r="D2408" s="3563" t="s">
        <v>6429</v>
      </c>
      <c r="E2408" s="3563" t="s">
        <v>4378</v>
      </c>
      <c r="F2408" s="3563" t="s">
        <v>4797</v>
      </c>
      <c r="G2408" s="3564">
        <v>88.71</v>
      </c>
      <c r="H2408" s="3564">
        <v>71</v>
      </c>
      <c r="I2408" s="3564">
        <v>17.71</v>
      </c>
      <c r="J2408" s="3565">
        <v>894226</v>
      </c>
      <c r="K2408" s="3565">
        <v>10080.33</v>
      </c>
      <c r="L2408" s="3565">
        <v>12594.73</v>
      </c>
      <c r="M2408" s="3565">
        <v>0</v>
      </c>
      <c r="N2408" s="3565">
        <v>0</v>
      </c>
      <c r="O2408" s="3563" t="s">
        <v>3453</v>
      </c>
    </row>
    <row r="2409" spans="1:15">
      <c r="A2409" s="3563" t="s">
        <v>6631</v>
      </c>
      <c r="B2409" s="3563" t="s">
        <v>4196</v>
      </c>
      <c r="C2409" s="3563" t="s">
        <v>4197</v>
      </c>
      <c r="D2409" s="3563" t="s">
        <v>6429</v>
      </c>
      <c r="E2409" s="3563" t="s">
        <v>4378</v>
      </c>
      <c r="F2409" s="3563" t="s">
        <v>4797</v>
      </c>
      <c r="G2409" s="3564">
        <v>102.46</v>
      </c>
      <c r="H2409" s="3564">
        <v>82.01</v>
      </c>
      <c r="I2409" s="3564">
        <v>20.45</v>
      </c>
      <c r="J2409" s="3565">
        <v>1070980</v>
      </c>
      <c r="K2409" s="3565">
        <v>10452.66</v>
      </c>
      <c r="L2409" s="3565">
        <v>13059.14</v>
      </c>
      <c r="M2409" s="3565">
        <v>0</v>
      </c>
      <c r="N2409" s="3565">
        <v>0</v>
      </c>
      <c r="O2409" s="3563" t="s">
        <v>3453</v>
      </c>
    </row>
    <row r="2410" spans="1:15">
      <c r="A2410" s="3563" t="s">
        <v>6632</v>
      </c>
      <c r="B2410" s="3563" t="s">
        <v>4196</v>
      </c>
      <c r="C2410" s="3563" t="s">
        <v>4197</v>
      </c>
      <c r="D2410" s="3563" t="s">
        <v>6429</v>
      </c>
      <c r="E2410" s="3563" t="s">
        <v>4378</v>
      </c>
      <c r="F2410" s="3563" t="s">
        <v>4797</v>
      </c>
      <c r="G2410" s="3564">
        <v>88.71</v>
      </c>
      <c r="H2410" s="3564">
        <v>71</v>
      </c>
      <c r="I2410" s="3564">
        <v>17.71</v>
      </c>
      <c r="J2410" s="3565">
        <v>935749</v>
      </c>
      <c r="K2410" s="3565">
        <v>10548.4</v>
      </c>
      <c r="L2410" s="3565">
        <v>13179.56</v>
      </c>
      <c r="M2410" s="3565">
        <v>0</v>
      </c>
      <c r="N2410" s="3565">
        <v>0</v>
      </c>
      <c r="O2410" s="3563" t="s">
        <v>3453</v>
      </c>
    </row>
    <row r="2411" spans="1:15">
      <c r="A2411" s="3563" t="s">
        <v>6633</v>
      </c>
      <c r="B2411" s="3563" t="s">
        <v>4196</v>
      </c>
      <c r="C2411" s="3563" t="s">
        <v>4197</v>
      </c>
      <c r="D2411" s="3563" t="s">
        <v>6429</v>
      </c>
      <c r="E2411" s="3563" t="s">
        <v>4378</v>
      </c>
      <c r="F2411" s="3563" t="s">
        <v>4797</v>
      </c>
      <c r="G2411" s="3564">
        <v>88.71</v>
      </c>
      <c r="H2411" s="3564">
        <v>71</v>
      </c>
      <c r="I2411" s="3564">
        <v>17.71</v>
      </c>
      <c r="J2411" s="3565">
        <v>935749</v>
      </c>
      <c r="K2411" s="3565">
        <v>10548.4</v>
      </c>
      <c r="L2411" s="3565">
        <v>13179.56</v>
      </c>
      <c r="M2411" s="3565">
        <v>0</v>
      </c>
      <c r="N2411" s="3565">
        <v>0</v>
      </c>
      <c r="O2411" s="3563" t="s">
        <v>3453</v>
      </c>
    </row>
    <row r="2412" spans="1:15">
      <c r="A2412" s="3563" t="s">
        <v>6634</v>
      </c>
      <c r="B2412" s="3563" t="s">
        <v>4196</v>
      </c>
      <c r="C2412" s="3563" t="s">
        <v>4197</v>
      </c>
      <c r="D2412" s="3563" t="s">
        <v>6429</v>
      </c>
      <c r="E2412" s="3563" t="s">
        <v>4378</v>
      </c>
      <c r="F2412" s="3563" t="s">
        <v>4797</v>
      </c>
      <c r="G2412" s="3564">
        <v>90.93</v>
      </c>
      <c r="H2412" s="3564">
        <v>72.78</v>
      </c>
      <c r="I2412" s="3564">
        <v>18.149999999999999</v>
      </c>
      <c r="J2412" s="3565">
        <v>915637</v>
      </c>
      <c r="K2412" s="3565">
        <v>10069.69</v>
      </c>
      <c r="L2412" s="3565">
        <v>12580.89</v>
      </c>
      <c r="M2412" s="3565">
        <v>0</v>
      </c>
      <c r="N2412" s="3565">
        <v>0</v>
      </c>
      <c r="O2412" s="3563" t="s">
        <v>3453</v>
      </c>
    </row>
    <row r="2413" spans="1:15">
      <c r="A2413" s="3563" t="s">
        <v>6635</v>
      </c>
      <c r="B2413" s="3563" t="s">
        <v>4196</v>
      </c>
      <c r="C2413" s="3563" t="s">
        <v>4197</v>
      </c>
      <c r="D2413" s="3563" t="s">
        <v>6429</v>
      </c>
      <c r="E2413" s="3563" t="s">
        <v>4378</v>
      </c>
      <c r="F2413" s="3563" t="s">
        <v>4797</v>
      </c>
      <c r="G2413" s="3564">
        <v>88.71</v>
      </c>
      <c r="H2413" s="3564">
        <v>71</v>
      </c>
      <c r="I2413" s="3564">
        <v>17.71</v>
      </c>
      <c r="J2413" s="3565">
        <v>902720</v>
      </c>
      <c r="K2413" s="3565">
        <v>10176.08</v>
      </c>
      <c r="L2413" s="3565">
        <v>12714.37</v>
      </c>
      <c r="M2413" s="3565">
        <v>0</v>
      </c>
      <c r="N2413" s="3565">
        <v>0</v>
      </c>
      <c r="O2413" s="3563" t="s">
        <v>3453</v>
      </c>
    </row>
    <row r="2414" spans="1:15">
      <c r="A2414" s="3563" t="s">
        <v>6636</v>
      </c>
      <c r="B2414" s="3563" t="s">
        <v>4196</v>
      </c>
      <c r="C2414" s="3563" t="s">
        <v>4197</v>
      </c>
      <c r="D2414" s="3563" t="s">
        <v>6429</v>
      </c>
      <c r="E2414" s="3563" t="s">
        <v>4378</v>
      </c>
      <c r="F2414" s="3563" t="s">
        <v>4797</v>
      </c>
      <c r="G2414" s="3564">
        <v>88.71</v>
      </c>
      <c r="H2414" s="3564">
        <v>71</v>
      </c>
      <c r="I2414" s="3564">
        <v>17.71</v>
      </c>
      <c r="J2414" s="3565">
        <v>902720</v>
      </c>
      <c r="K2414" s="3565">
        <v>10176.08</v>
      </c>
      <c r="L2414" s="3565">
        <v>12714.37</v>
      </c>
      <c r="M2414" s="3565">
        <v>0</v>
      </c>
      <c r="N2414" s="3565">
        <v>0</v>
      </c>
      <c r="O2414" s="3563" t="s">
        <v>3453</v>
      </c>
    </row>
    <row r="2415" spans="1:15">
      <c r="A2415" s="3563" t="s">
        <v>6637</v>
      </c>
      <c r="B2415" s="3563" t="s">
        <v>4196</v>
      </c>
      <c r="C2415" s="3563" t="s">
        <v>4197</v>
      </c>
      <c r="D2415" s="3563" t="s">
        <v>6429</v>
      </c>
      <c r="E2415" s="3563" t="s">
        <v>4378</v>
      </c>
      <c r="F2415" s="3563" t="s">
        <v>4797</v>
      </c>
      <c r="G2415" s="3564">
        <v>102.46</v>
      </c>
      <c r="H2415" s="3564">
        <v>82.01</v>
      </c>
      <c r="I2415" s="3564">
        <v>20.45</v>
      </c>
      <c r="J2415" s="3565">
        <v>1080790</v>
      </c>
      <c r="K2415" s="3565">
        <v>10548.41</v>
      </c>
      <c r="L2415" s="3565">
        <v>13178.76</v>
      </c>
      <c r="M2415" s="3565">
        <v>0</v>
      </c>
      <c r="N2415" s="3565">
        <v>0</v>
      </c>
      <c r="O2415" s="3563" t="s">
        <v>3453</v>
      </c>
    </row>
    <row r="2416" spans="1:15">
      <c r="A2416" s="3563" t="s">
        <v>6638</v>
      </c>
      <c r="B2416" s="3563" t="s">
        <v>4196</v>
      </c>
      <c r="C2416" s="3563" t="s">
        <v>4197</v>
      </c>
      <c r="D2416" s="3563" t="s">
        <v>6429</v>
      </c>
      <c r="E2416" s="3563" t="s">
        <v>4378</v>
      </c>
      <c r="F2416" s="3563" t="s">
        <v>4797</v>
      </c>
      <c r="G2416" s="3564">
        <v>94.74</v>
      </c>
      <c r="H2416" s="3564">
        <v>71</v>
      </c>
      <c r="I2416" s="3564">
        <v>23.74</v>
      </c>
      <c r="J2416" s="3565">
        <v>957026</v>
      </c>
      <c r="K2416" s="3565">
        <v>10101.6</v>
      </c>
      <c r="L2416" s="3565">
        <v>13479.24</v>
      </c>
      <c r="M2416" s="3565">
        <v>0</v>
      </c>
      <c r="N2416" s="3565">
        <v>0</v>
      </c>
      <c r="O2416" s="3563" t="s">
        <v>3453</v>
      </c>
    </row>
    <row r="2417" spans="1:15">
      <c r="A2417" s="3563" t="s">
        <v>6639</v>
      </c>
      <c r="B2417" s="3563" t="s">
        <v>4196</v>
      </c>
      <c r="C2417" s="3563" t="s">
        <v>4197</v>
      </c>
      <c r="D2417" s="3563" t="s">
        <v>6429</v>
      </c>
      <c r="E2417" s="3563" t="s">
        <v>4378</v>
      </c>
      <c r="F2417" s="3563" t="s">
        <v>4797</v>
      </c>
      <c r="G2417" s="3564">
        <v>94.74</v>
      </c>
      <c r="H2417" s="3564">
        <v>71</v>
      </c>
      <c r="I2417" s="3564">
        <v>23.74</v>
      </c>
      <c r="J2417" s="3565">
        <v>957026</v>
      </c>
      <c r="K2417" s="3565">
        <v>10101.6</v>
      </c>
      <c r="L2417" s="3565">
        <v>13479.24</v>
      </c>
      <c r="M2417" s="3565">
        <v>0</v>
      </c>
      <c r="N2417" s="3565">
        <v>0</v>
      </c>
      <c r="O2417" s="3563" t="s">
        <v>3453</v>
      </c>
    </row>
    <row r="2418" spans="1:15">
      <c r="A2418" s="3563" t="s">
        <v>6640</v>
      </c>
      <c r="B2418" s="3563" t="s">
        <v>4196</v>
      </c>
      <c r="C2418" s="3563" t="s">
        <v>4197</v>
      </c>
      <c r="D2418" s="3563" t="s">
        <v>6429</v>
      </c>
      <c r="E2418" s="3563" t="s">
        <v>4378</v>
      </c>
      <c r="F2418" s="3563" t="s">
        <v>4797</v>
      </c>
      <c r="G2418" s="3564">
        <v>97.11</v>
      </c>
      <c r="H2418" s="3564">
        <v>72.78</v>
      </c>
      <c r="I2418" s="3564">
        <v>24.33</v>
      </c>
      <c r="J2418" s="3565">
        <v>949974</v>
      </c>
      <c r="K2418" s="3565">
        <v>9782.4500000000007</v>
      </c>
      <c r="L2418" s="3565">
        <v>13052.68</v>
      </c>
      <c r="M2418" s="3565">
        <v>0</v>
      </c>
      <c r="N2418" s="3565">
        <v>0</v>
      </c>
      <c r="O2418" s="3563" t="s">
        <v>3453</v>
      </c>
    </row>
    <row r="2419" spans="1:15">
      <c r="A2419" s="3563" t="s">
        <v>6641</v>
      </c>
      <c r="B2419" s="3563" t="s">
        <v>4196</v>
      </c>
      <c r="C2419" s="3563" t="s">
        <v>4197</v>
      </c>
      <c r="D2419" s="3563" t="s">
        <v>6429</v>
      </c>
      <c r="E2419" s="3563" t="s">
        <v>4378</v>
      </c>
      <c r="F2419" s="3563" t="s">
        <v>4797</v>
      </c>
      <c r="G2419" s="3564">
        <v>88.71</v>
      </c>
      <c r="H2419" s="3564">
        <v>71</v>
      </c>
      <c r="I2419" s="3564">
        <v>17.71</v>
      </c>
      <c r="J2419" s="3565">
        <v>934806</v>
      </c>
      <c r="K2419" s="3565">
        <v>10537.77</v>
      </c>
      <c r="L2419" s="3565">
        <v>13166.28</v>
      </c>
      <c r="M2419" s="3565">
        <v>0</v>
      </c>
      <c r="N2419" s="3565">
        <v>0</v>
      </c>
      <c r="O2419" s="3563" t="s">
        <v>3453</v>
      </c>
    </row>
    <row r="2420" spans="1:15">
      <c r="A2420" s="3563" t="s">
        <v>6642</v>
      </c>
      <c r="B2420" s="3563" t="s">
        <v>4196</v>
      </c>
      <c r="C2420" s="3563" t="s">
        <v>4197</v>
      </c>
      <c r="D2420" s="3563" t="s">
        <v>6429</v>
      </c>
      <c r="E2420" s="3563" t="s">
        <v>4378</v>
      </c>
      <c r="F2420" s="3563" t="s">
        <v>4797</v>
      </c>
      <c r="G2420" s="3564">
        <v>88.71</v>
      </c>
      <c r="H2420" s="3564">
        <v>71</v>
      </c>
      <c r="I2420" s="3564">
        <v>17.71</v>
      </c>
      <c r="J2420" s="3565">
        <v>934806</v>
      </c>
      <c r="K2420" s="3565">
        <v>10537.77</v>
      </c>
      <c r="L2420" s="3565">
        <v>13166.28</v>
      </c>
      <c r="M2420" s="3565">
        <v>0</v>
      </c>
      <c r="N2420" s="3565">
        <v>0</v>
      </c>
      <c r="O2420" s="3563" t="s">
        <v>3453</v>
      </c>
    </row>
    <row r="2421" spans="1:15">
      <c r="A2421" s="3563" t="s">
        <v>6643</v>
      </c>
      <c r="B2421" s="3563" t="s">
        <v>4196</v>
      </c>
      <c r="C2421" s="3563" t="s">
        <v>4197</v>
      </c>
      <c r="D2421" s="3563" t="s">
        <v>6429</v>
      </c>
      <c r="E2421" s="3563" t="s">
        <v>4378</v>
      </c>
      <c r="F2421" s="3563" t="s">
        <v>4797</v>
      </c>
      <c r="G2421" s="3564">
        <v>90.93</v>
      </c>
      <c r="H2421" s="3564">
        <v>72.78</v>
      </c>
      <c r="I2421" s="3564">
        <v>18.149999999999999</v>
      </c>
      <c r="J2421" s="3565">
        <v>914670</v>
      </c>
      <c r="K2421" s="3565">
        <v>10059.06</v>
      </c>
      <c r="L2421" s="3565">
        <v>12567.6</v>
      </c>
      <c r="M2421" s="3565">
        <v>0</v>
      </c>
      <c r="N2421" s="3565">
        <v>0</v>
      </c>
      <c r="O2421" s="3563" t="s">
        <v>3453</v>
      </c>
    </row>
    <row r="2422" spans="1:15">
      <c r="A2422" s="3563" t="s">
        <v>6644</v>
      </c>
      <c r="B2422" s="3563" t="s">
        <v>4196</v>
      </c>
      <c r="C2422" s="3563" t="s">
        <v>4197</v>
      </c>
      <c r="D2422" s="3563" t="s">
        <v>6429</v>
      </c>
      <c r="E2422" s="3563" t="s">
        <v>4378</v>
      </c>
      <c r="F2422" s="3563" t="s">
        <v>4797</v>
      </c>
      <c r="G2422" s="3564">
        <v>88.71</v>
      </c>
      <c r="H2422" s="3564">
        <v>71</v>
      </c>
      <c r="I2422" s="3564">
        <v>17.71</v>
      </c>
      <c r="J2422" s="3565">
        <v>901775</v>
      </c>
      <c r="K2422" s="3565">
        <v>10165.43</v>
      </c>
      <c r="L2422" s="3565">
        <v>12701.06</v>
      </c>
      <c r="M2422" s="3565">
        <v>0</v>
      </c>
      <c r="N2422" s="3565">
        <v>0</v>
      </c>
      <c r="O2422" s="3563" t="s">
        <v>3453</v>
      </c>
    </row>
    <row r="2423" spans="1:15">
      <c r="A2423" s="3563" t="s">
        <v>6645</v>
      </c>
      <c r="B2423" s="3563" t="s">
        <v>4196</v>
      </c>
      <c r="C2423" s="3563" t="s">
        <v>4197</v>
      </c>
      <c r="D2423" s="3563" t="s">
        <v>6429</v>
      </c>
      <c r="E2423" s="3563" t="s">
        <v>4378</v>
      </c>
      <c r="F2423" s="3563" t="s">
        <v>4797</v>
      </c>
      <c r="G2423" s="3564">
        <v>88.71</v>
      </c>
      <c r="H2423" s="3564">
        <v>71</v>
      </c>
      <c r="I2423" s="3564">
        <v>17.71</v>
      </c>
      <c r="J2423" s="3565">
        <v>901775</v>
      </c>
      <c r="K2423" s="3565">
        <v>10165.43</v>
      </c>
      <c r="L2423" s="3565">
        <v>12701.06</v>
      </c>
      <c r="M2423" s="3565">
        <v>0</v>
      </c>
      <c r="N2423" s="3565">
        <v>0</v>
      </c>
      <c r="O2423" s="3563" t="s">
        <v>3453</v>
      </c>
    </row>
    <row r="2424" spans="1:15">
      <c r="A2424" s="3563" t="s">
        <v>6646</v>
      </c>
      <c r="B2424" s="3563" t="s">
        <v>4196</v>
      </c>
      <c r="C2424" s="3563" t="s">
        <v>4197</v>
      </c>
      <c r="D2424" s="3563" t="s">
        <v>6429</v>
      </c>
      <c r="E2424" s="3563" t="s">
        <v>4378</v>
      </c>
      <c r="F2424" s="3563" t="s">
        <v>4797</v>
      </c>
      <c r="G2424" s="3564">
        <v>102.46</v>
      </c>
      <c r="H2424" s="3564">
        <v>82.01</v>
      </c>
      <c r="I2424" s="3564">
        <v>20.45</v>
      </c>
      <c r="J2424" s="3565">
        <v>1079700</v>
      </c>
      <c r="K2424" s="3565">
        <v>10537.77</v>
      </c>
      <c r="L2424" s="3565">
        <v>13165.47</v>
      </c>
      <c r="M2424" s="3565">
        <v>0</v>
      </c>
      <c r="N2424" s="3565">
        <v>0</v>
      </c>
      <c r="O2424" s="3563" t="s">
        <v>3453</v>
      </c>
    </row>
    <row r="2425" spans="1:15">
      <c r="A2425" s="3563" t="s">
        <v>6647</v>
      </c>
      <c r="B2425" s="3563" t="s">
        <v>4196</v>
      </c>
      <c r="C2425" s="3563" t="s">
        <v>4197</v>
      </c>
      <c r="D2425" s="3563" t="s">
        <v>6429</v>
      </c>
      <c r="E2425" s="3563" t="s">
        <v>4378</v>
      </c>
      <c r="F2425" s="3563" t="s">
        <v>4797</v>
      </c>
      <c r="G2425" s="3564">
        <v>88.71</v>
      </c>
      <c r="H2425" s="3564">
        <v>71</v>
      </c>
      <c r="I2425" s="3564">
        <v>17.71</v>
      </c>
      <c r="J2425" s="3565">
        <v>952737</v>
      </c>
      <c r="K2425" s="3565">
        <v>10739.91</v>
      </c>
      <c r="L2425" s="3565">
        <v>13418.83</v>
      </c>
      <c r="M2425" s="3565">
        <v>0</v>
      </c>
      <c r="N2425" s="3565">
        <v>0</v>
      </c>
      <c r="O2425" s="3563" t="s">
        <v>3453</v>
      </c>
    </row>
    <row r="2426" spans="1:15">
      <c r="A2426" s="3563" t="s">
        <v>6648</v>
      </c>
      <c r="B2426" s="3563" t="s">
        <v>4196</v>
      </c>
      <c r="C2426" s="3563" t="s">
        <v>4197</v>
      </c>
      <c r="D2426" s="3563" t="s">
        <v>6429</v>
      </c>
      <c r="E2426" s="3563" t="s">
        <v>4378</v>
      </c>
      <c r="F2426" s="3563" t="s">
        <v>4797</v>
      </c>
      <c r="G2426" s="3564">
        <v>88.71</v>
      </c>
      <c r="H2426" s="3564">
        <v>71</v>
      </c>
      <c r="I2426" s="3564">
        <v>17.71</v>
      </c>
      <c r="J2426" s="3565">
        <v>933862</v>
      </c>
      <c r="K2426" s="3565">
        <v>10527.13</v>
      </c>
      <c r="L2426" s="3565">
        <v>13152.99</v>
      </c>
      <c r="M2426" s="3565">
        <v>0</v>
      </c>
      <c r="N2426" s="3565">
        <v>0</v>
      </c>
      <c r="O2426" s="3563" t="s">
        <v>3453</v>
      </c>
    </row>
    <row r="2427" spans="1:15">
      <c r="A2427" s="3563" t="s">
        <v>6649</v>
      </c>
      <c r="B2427" s="3563" t="s">
        <v>4196</v>
      </c>
      <c r="C2427" s="3563" t="s">
        <v>4197</v>
      </c>
      <c r="D2427" s="3563" t="s">
        <v>6429</v>
      </c>
      <c r="E2427" s="3563" t="s">
        <v>4378</v>
      </c>
      <c r="F2427" s="3563" t="s">
        <v>4797</v>
      </c>
      <c r="G2427" s="3564">
        <v>90.93</v>
      </c>
      <c r="H2427" s="3564">
        <v>72.78</v>
      </c>
      <c r="I2427" s="3564">
        <v>18.149999999999999</v>
      </c>
      <c r="J2427" s="3565">
        <v>913702</v>
      </c>
      <c r="K2427" s="3565">
        <v>10048.41</v>
      </c>
      <c r="L2427" s="3565">
        <v>12554.3</v>
      </c>
      <c r="M2427" s="3565">
        <v>0</v>
      </c>
      <c r="N2427" s="3565">
        <v>0</v>
      </c>
      <c r="O2427" s="3563" t="s">
        <v>3453</v>
      </c>
    </row>
    <row r="2428" spans="1:15">
      <c r="A2428" s="3563" t="s">
        <v>6650</v>
      </c>
      <c r="B2428" s="3563" t="s">
        <v>4196</v>
      </c>
      <c r="C2428" s="3563" t="s">
        <v>4197</v>
      </c>
      <c r="D2428" s="3563" t="s">
        <v>6429</v>
      </c>
      <c r="E2428" s="3563" t="s">
        <v>4378</v>
      </c>
      <c r="F2428" s="3563" t="s">
        <v>4797</v>
      </c>
      <c r="G2428" s="3564">
        <v>88.71</v>
      </c>
      <c r="H2428" s="3564">
        <v>71</v>
      </c>
      <c r="I2428" s="3564">
        <v>17.71</v>
      </c>
      <c r="J2428" s="3565">
        <v>900831</v>
      </c>
      <c r="K2428" s="3565">
        <v>10154.790000000001</v>
      </c>
      <c r="L2428" s="3565">
        <v>12687.76</v>
      </c>
      <c r="M2428" s="3565">
        <v>0</v>
      </c>
      <c r="N2428" s="3565">
        <v>0</v>
      </c>
      <c r="O2428" s="3563" t="s">
        <v>3453</v>
      </c>
    </row>
    <row r="2429" spans="1:15">
      <c r="A2429" s="3563" t="s">
        <v>6651</v>
      </c>
      <c r="B2429" s="3563" t="s">
        <v>4196</v>
      </c>
      <c r="C2429" s="3563" t="s">
        <v>4197</v>
      </c>
      <c r="D2429" s="3563" t="s">
        <v>6429</v>
      </c>
      <c r="E2429" s="3563" t="s">
        <v>4378</v>
      </c>
      <c r="F2429" s="3563" t="s">
        <v>4797</v>
      </c>
      <c r="G2429" s="3564">
        <v>88.71</v>
      </c>
      <c r="H2429" s="3564">
        <v>71</v>
      </c>
      <c r="I2429" s="3564">
        <v>17.71</v>
      </c>
      <c r="J2429" s="3565">
        <v>900831</v>
      </c>
      <c r="K2429" s="3565">
        <v>10154.790000000001</v>
      </c>
      <c r="L2429" s="3565">
        <v>12687.76</v>
      </c>
      <c r="M2429" s="3565">
        <v>0</v>
      </c>
      <c r="N2429" s="3565">
        <v>0</v>
      </c>
      <c r="O2429" s="3563" t="s">
        <v>3453</v>
      </c>
    </row>
    <row r="2430" spans="1:15">
      <c r="A2430" s="3563" t="s">
        <v>6652</v>
      </c>
      <c r="B2430" s="3563" t="s">
        <v>4196</v>
      </c>
      <c r="C2430" s="3563" t="s">
        <v>4197</v>
      </c>
      <c r="D2430" s="3563" t="s">
        <v>6429</v>
      </c>
      <c r="E2430" s="3563" t="s">
        <v>4378</v>
      </c>
      <c r="F2430" s="3563" t="s">
        <v>4797</v>
      </c>
      <c r="G2430" s="3564">
        <v>102.46</v>
      </c>
      <c r="H2430" s="3564">
        <v>82.01</v>
      </c>
      <c r="I2430" s="3564">
        <v>20.45</v>
      </c>
      <c r="J2430" s="3565">
        <v>1078610</v>
      </c>
      <c r="K2430" s="3565">
        <v>10527.13</v>
      </c>
      <c r="L2430" s="3565">
        <v>13152.18</v>
      </c>
      <c r="M2430" s="3565">
        <v>0</v>
      </c>
      <c r="N2430" s="3565">
        <v>0</v>
      </c>
      <c r="O2430" s="3563" t="s">
        <v>3453</v>
      </c>
    </row>
    <row r="2431" spans="1:15">
      <c r="A2431" s="3563" t="s">
        <v>6653</v>
      </c>
      <c r="B2431" s="3563" t="s">
        <v>4196</v>
      </c>
      <c r="C2431" s="3563" t="s">
        <v>4197</v>
      </c>
      <c r="D2431" s="3563" t="s">
        <v>6429</v>
      </c>
      <c r="E2431" s="3563" t="s">
        <v>4378</v>
      </c>
      <c r="F2431" s="3563" t="s">
        <v>4797</v>
      </c>
      <c r="G2431" s="3564">
        <v>88.71</v>
      </c>
      <c r="H2431" s="3564">
        <v>71</v>
      </c>
      <c r="I2431" s="3564">
        <v>17.71</v>
      </c>
      <c r="J2431" s="3565">
        <v>951793</v>
      </c>
      <c r="K2431" s="3565">
        <v>10729.26</v>
      </c>
      <c r="L2431" s="3565">
        <v>13405.54</v>
      </c>
      <c r="M2431" s="3565">
        <v>0</v>
      </c>
      <c r="N2431" s="3565">
        <v>0</v>
      </c>
      <c r="O2431" s="3563" t="s">
        <v>3453</v>
      </c>
    </row>
    <row r="2432" spans="1:15">
      <c r="A2432" s="3563" t="s">
        <v>6654</v>
      </c>
      <c r="B2432" s="3563" t="s">
        <v>4196</v>
      </c>
      <c r="C2432" s="3563" t="s">
        <v>4197</v>
      </c>
      <c r="D2432" s="3563" t="s">
        <v>6429</v>
      </c>
      <c r="E2432" s="3563" t="s">
        <v>4378</v>
      </c>
      <c r="F2432" s="3563" t="s">
        <v>4797</v>
      </c>
      <c r="G2432" s="3564">
        <v>88.71</v>
      </c>
      <c r="H2432" s="3564">
        <v>71</v>
      </c>
      <c r="I2432" s="3564">
        <v>17.71</v>
      </c>
      <c r="J2432" s="3565">
        <v>951793</v>
      </c>
      <c r="K2432" s="3565">
        <v>10729.26</v>
      </c>
      <c r="L2432" s="3565">
        <v>13405.54</v>
      </c>
      <c r="M2432" s="3565">
        <v>0</v>
      </c>
      <c r="N2432" s="3565">
        <v>0</v>
      </c>
      <c r="O2432" s="3563" t="s">
        <v>3453</v>
      </c>
    </row>
    <row r="2433" spans="1:15">
      <c r="A2433" s="3563" t="s">
        <v>6655</v>
      </c>
      <c r="B2433" s="3563" t="s">
        <v>4196</v>
      </c>
      <c r="C2433" s="3563" t="s">
        <v>4197</v>
      </c>
      <c r="D2433" s="3563" t="s">
        <v>6429</v>
      </c>
      <c r="E2433" s="3563" t="s">
        <v>4378</v>
      </c>
      <c r="F2433" s="3563" t="s">
        <v>4797</v>
      </c>
      <c r="G2433" s="3564">
        <v>90.93</v>
      </c>
      <c r="H2433" s="3564">
        <v>72.78</v>
      </c>
      <c r="I2433" s="3564">
        <v>18.149999999999999</v>
      </c>
      <c r="J2433" s="3565">
        <v>912735</v>
      </c>
      <c r="K2433" s="3565">
        <v>10037.780000000001</v>
      </c>
      <c r="L2433" s="3565">
        <v>12541.01</v>
      </c>
      <c r="M2433" s="3565">
        <v>0</v>
      </c>
      <c r="N2433" s="3565">
        <v>0</v>
      </c>
      <c r="O2433" s="3563" t="s">
        <v>3453</v>
      </c>
    </row>
    <row r="2434" spans="1:15">
      <c r="A2434" s="3563" t="s">
        <v>6656</v>
      </c>
      <c r="B2434" s="3563" t="s">
        <v>4196</v>
      </c>
      <c r="C2434" s="3563" t="s">
        <v>4197</v>
      </c>
      <c r="D2434" s="3563" t="s">
        <v>6429</v>
      </c>
      <c r="E2434" s="3563" t="s">
        <v>4378</v>
      </c>
      <c r="F2434" s="3563" t="s">
        <v>4797</v>
      </c>
      <c r="G2434" s="3564">
        <v>88.71</v>
      </c>
      <c r="H2434" s="3564">
        <v>71</v>
      </c>
      <c r="I2434" s="3564">
        <v>17.71</v>
      </c>
      <c r="J2434" s="3565">
        <v>899888</v>
      </c>
      <c r="K2434" s="3565">
        <v>10144.16</v>
      </c>
      <c r="L2434" s="3565">
        <v>12674.48</v>
      </c>
      <c r="M2434" s="3565">
        <v>0</v>
      </c>
      <c r="N2434" s="3565">
        <v>0</v>
      </c>
      <c r="O2434" s="3563" t="s">
        <v>3453</v>
      </c>
    </row>
    <row r="2435" spans="1:15">
      <c r="A2435" s="3563" t="s">
        <v>6657</v>
      </c>
      <c r="B2435" s="3563" t="s">
        <v>4196</v>
      </c>
      <c r="C2435" s="3563" t="s">
        <v>4197</v>
      </c>
      <c r="D2435" s="3563" t="s">
        <v>6429</v>
      </c>
      <c r="E2435" s="3563" t="s">
        <v>4378</v>
      </c>
      <c r="F2435" s="3563" t="s">
        <v>4797</v>
      </c>
      <c r="G2435" s="3564">
        <v>88.71</v>
      </c>
      <c r="H2435" s="3564">
        <v>71</v>
      </c>
      <c r="I2435" s="3564">
        <v>17.71</v>
      </c>
      <c r="J2435" s="3565">
        <v>899888</v>
      </c>
      <c r="K2435" s="3565">
        <v>10144.16</v>
      </c>
      <c r="L2435" s="3565">
        <v>12674.48</v>
      </c>
      <c r="M2435" s="3565">
        <v>0</v>
      </c>
      <c r="N2435" s="3565">
        <v>0</v>
      </c>
      <c r="O2435" s="3563" t="s">
        <v>3453</v>
      </c>
    </row>
    <row r="2436" spans="1:15">
      <c r="A2436" s="3563" t="s">
        <v>6658</v>
      </c>
      <c r="B2436" s="3563" t="s">
        <v>4196</v>
      </c>
      <c r="C2436" s="3563" t="s">
        <v>4197</v>
      </c>
      <c r="D2436" s="3563" t="s">
        <v>6429</v>
      </c>
      <c r="E2436" s="3563" t="s">
        <v>4378</v>
      </c>
      <c r="F2436" s="3563" t="s">
        <v>4797</v>
      </c>
      <c r="G2436" s="3564">
        <v>102.46</v>
      </c>
      <c r="H2436" s="3564">
        <v>82.01</v>
      </c>
      <c r="I2436" s="3564">
        <v>20.45</v>
      </c>
      <c r="J2436" s="3565">
        <v>1077520</v>
      </c>
      <c r="K2436" s="3565">
        <v>10516.49</v>
      </c>
      <c r="L2436" s="3565">
        <v>13138.89</v>
      </c>
      <c r="M2436" s="3565">
        <v>0</v>
      </c>
      <c r="N2436" s="3565">
        <v>0</v>
      </c>
      <c r="O2436" s="3563" t="s">
        <v>3453</v>
      </c>
    </row>
    <row r="2437" spans="1:15">
      <c r="A2437" s="3563" t="s">
        <v>6659</v>
      </c>
      <c r="B2437" s="3563" t="s">
        <v>4196</v>
      </c>
      <c r="C2437" s="3563" t="s">
        <v>4197</v>
      </c>
      <c r="D2437" s="3563" t="s">
        <v>6429</v>
      </c>
      <c r="E2437" s="3563" t="s">
        <v>4378</v>
      </c>
      <c r="F2437" s="3563" t="s">
        <v>4797</v>
      </c>
      <c r="G2437" s="3564">
        <v>88.71</v>
      </c>
      <c r="H2437" s="3564">
        <v>71</v>
      </c>
      <c r="I2437" s="3564">
        <v>17.71</v>
      </c>
      <c r="J2437" s="3565">
        <v>950849</v>
      </c>
      <c r="K2437" s="3565">
        <v>10718.62</v>
      </c>
      <c r="L2437" s="3565">
        <v>13392.24</v>
      </c>
      <c r="M2437" s="3565">
        <v>0</v>
      </c>
      <c r="N2437" s="3565">
        <v>0</v>
      </c>
      <c r="O2437" s="3563" t="s">
        <v>3453</v>
      </c>
    </row>
    <row r="2438" spans="1:15">
      <c r="A2438" s="3563" t="s">
        <v>6660</v>
      </c>
      <c r="B2438" s="3563" t="s">
        <v>4196</v>
      </c>
      <c r="C2438" s="3563" t="s">
        <v>4197</v>
      </c>
      <c r="D2438" s="3563" t="s">
        <v>6429</v>
      </c>
      <c r="E2438" s="3563" t="s">
        <v>4378</v>
      </c>
      <c r="F2438" s="3563" t="s">
        <v>4797</v>
      </c>
      <c r="G2438" s="3564">
        <v>88.71</v>
      </c>
      <c r="H2438" s="3564">
        <v>71</v>
      </c>
      <c r="I2438" s="3564">
        <v>17.71</v>
      </c>
      <c r="J2438" s="3565">
        <v>950849</v>
      </c>
      <c r="K2438" s="3565">
        <v>10718.62</v>
      </c>
      <c r="L2438" s="3565">
        <v>13392.24</v>
      </c>
      <c r="M2438" s="3565">
        <v>0</v>
      </c>
      <c r="N2438" s="3565">
        <v>0</v>
      </c>
      <c r="O2438" s="3563" t="s">
        <v>3453</v>
      </c>
    </row>
    <row r="2439" spans="1:15">
      <c r="A2439" s="3563" t="s">
        <v>6661</v>
      </c>
      <c r="B2439" s="3563" t="s">
        <v>4196</v>
      </c>
      <c r="C2439" s="3563" t="s">
        <v>4197</v>
      </c>
      <c r="D2439" s="3563" t="s">
        <v>6429</v>
      </c>
      <c r="E2439" s="3563" t="s">
        <v>4378</v>
      </c>
      <c r="F2439" s="3563" t="s">
        <v>4797</v>
      </c>
      <c r="G2439" s="3564">
        <v>90.93</v>
      </c>
      <c r="H2439" s="3564">
        <v>72.78</v>
      </c>
      <c r="I2439" s="3564">
        <v>18.149999999999999</v>
      </c>
      <c r="J2439" s="3565">
        <v>911768</v>
      </c>
      <c r="K2439" s="3565">
        <v>10027.14</v>
      </c>
      <c r="L2439" s="3565">
        <v>12527.73</v>
      </c>
      <c r="M2439" s="3565">
        <v>0</v>
      </c>
      <c r="N2439" s="3565">
        <v>0</v>
      </c>
      <c r="O2439" s="3563" t="s">
        <v>3453</v>
      </c>
    </row>
    <row r="2440" spans="1:15">
      <c r="A2440" s="3563" t="s">
        <v>6662</v>
      </c>
      <c r="B2440" s="3563" t="s">
        <v>4196</v>
      </c>
      <c r="C2440" s="3563" t="s">
        <v>4197</v>
      </c>
      <c r="D2440" s="3563" t="s">
        <v>6429</v>
      </c>
      <c r="E2440" s="3563" t="s">
        <v>4378</v>
      </c>
      <c r="F2440" s="3563" t="s">
        <v>4797</v>
      </c>
      <c r="G2440" s="3564">
        <v>88.71</v>
      </c>
      <c r="H2440" s="3564">
        <v>71</v>
      </c>
      <c r="I2440" s="3564">
        <v>17.71</v>
      </c>
      <c r="J2440" s="3565">
        <v>898944</v>
      </c>
      <c r="K2440" s="3565">
        <v>10133.51</v>
      </c>
      <c r="L2440" s="3565">
        <v>12661.18</v>
      </c>
      <c r="M2440" s="3565">
        <v>0</v>
      </c>
      <c r="N2440" s="3565">
        <v>0</v>
      </c>
      <c r="O2440" s="3563" t="s">
        <v>3453</v>
      </c>
    </row>
    <row r="2441" spans="1:15">
      <c r="A2441" s="3563" t="s">
        <v>6663</v>
      </c>
      <c r="B2441" s="3563" t="s">
        <v>4196</v>
      </c>
      <c r="C2441" s="3563" t="s">
        <v>4197</v>
      </c>
      <c r="D2441" s="3563" t="s">
        <v>6429</v>
      </c>
      <c r="E2441" s="3563" t="s">
        <v>4378</v>
      </c>
      <c r="F2441" s="3563" t="s">
        <v>4797</v>
      </c>
      <c r="G2441" s="3564">
        <v>88.71</v>
      </c>
      <c r="H2441" s="3564">
        <v>71</v>
      </c>
      <c r="I2441" s="3564">
        <v>17.71</v>
      </c>
      <c r="J2441" s="3565">
        <v>898944</v>
      </c>
      <c r="K2441" s="3565">
        <v>10133.51</v>
      </c>
      <c r="L2441" s="3565">
        <v>12661.18</v>
      </c>
      <c r="M2441" s="3565">
        <v>0</v>
      </c>
      <c r="N2441" s="3565">
        <v>0</v>
      </c>
      <c r="O2441" s="3563" t="s">
        <v>3453</v>
      </c>
    </row>
    <row r="2442" spans="1:15">
      <c r="A2442" s="3563" t="s">
        <v>6664</v>
      </c>
      <c r="B2442" s="3563" t="s">
        <v>4196</v>
      </c>
      <c r="C2442" s="3563" t="s">
        <v>4197</v>
      </c>
      <c r="D2442" s="3563" t="s">
        <v>6429</v>
      </c>
      <c r="E2442" s="3563" t="s">
        <v>4378</v>
      </c>
      <c r="F2442" s="3563" t="s">
        <v>4797</v>
      </c>
      <c r="G2442" s="3564">
        <v>102.46</v>
      </c>
      <c r="H2442" s="3564">
        <v>82.01</v>
      </c>
      <c r="I2442" s="3564">
        <v>20.45</v>
      </c>
      <c r="J2442" s="3565">
        <v>1076430</v>
      </c>
      <c r="K2442" s="3565">
        <v>10505.86</v>
      </c>
      <c r="L2442" s="3565">
        <v>13125.59</v>
      </c>
      <c r="M2442" s="3565">
        <v>0</v>
      </c>
      <c r="N2442" s="3565">
        <v>0</v>
      </c>
      <c r="O2442" s="3563" t="s">
        <v>3453</v>
      </c>
    </row>
    <row r="2443" spans="1:15">
      <c r="A2443" s="3563" t="s">
        <v>6665</v>
      </c>
      <c r="B2443" s="3563" t="s">
        <v>4196</v>
      </c>
      <c r="C2443" s="3563" t="s">
        <v>4197</v>
      </c>
      <c r="D2443" s="3563" t="s">
        <v>6429</v>
      </c>
      <c r="E2443" s="3563" t="s">
        <v>4378</v>
      </c>
      <c r="F2443" s="3563" t="s">
        <v>4797</v>
      </c>
      <c r="G2443" s="3564">
        <v>88.71</v>
      </c>
      <c r="H2443" s="3564">
        <v>71</v>
      </c>
      <c r="I2443" s="3564">
        <v>17.71</v>
      </c>
      <c r="J2443" s="3565">
        <v>949906</v>
      </c>
      <c r="K2443" s="3565">
        <v>10707.99</v>
      </c>
      <c r="L2443" s="3565">
        <v>13378.96</v>
      </c>
      <c r="M2443" s="3565">
        <v>0</v>
      </c>
      <c r="N2443" s="3565">
        <v>0</v>
      </c>
      <c r="O2443" s="3563" t="s">
        <v>3453</v>
      </c>
    </row>
    <row r="2444" spans="1:15">
      <c r="A2444" s="3563" t="s">
        <v>6666</v>
      </c>
      <c r="B2444" s="3563" t="s">
        <v>4196</v>
      </c>
      <c r="C2444" s="3563" t="s">
        <v>4197</v>
      </c>
      <c r="D2444" s="3563" t="s">
        <v>6429</v>
      </c>
      <c r="E2444" s="3563" t="s">
        <v>4378</v>
      </c>
      <c r="F2444" s="3563" t="s">
        <v>4797</v>
      </c>
      <c r="G2444" s="3564">
        <v>88.71</v>
      </c>
      <c r="H2444" s="3564">
        <v>71</v>
      </c>
      <c r="I2444" s="3564">
        <v>17.71</v>
      </c>
      <c r="J2444" s="3565">
        <v>949906</v>
      </c>
      <c r="K2444" s="3565">
        <v>10707.99</v>
      </c>
      <c r="L2444" s="3565">
        <v>13378.96</v>
      </c>
      <c r="M2444" s="3565">
        <v>0</v>
      </c>
      <c r="N2444" s="3565">
        <v>0</v>
      </c>
      <c r="O2444" s="3563" t="s">
        <v>3453</v>
      </c>
    </row>
    <row r="2445" spans="1:15">
      <c r="A2445" s="3563" t="s">
        <v>6667</v>
      </c>
      <c r="B2445" s="3563" t="s">
        <v>4196</v>
      </c>
      <c r="C2445" s="3563" t="s">
        <v>4197</v>
      </c>
      <c r="D2445" s="3563" t="s">
        <v>6429</v>
      </c>
      <c r="E2445" s="3563" t="s">
        <v>4378</v>
      </c>
      <c r="F2445" s="3563" t="s">
        <v>4797</v>
      </c>
      <c r="G2445" s="3564">
        <v>90.93</v>
      </c>
      <c r="H2445" s="3564">
        <v>72.78</v>
      </c>
      <c r="I2445" s="3564">
        <v>18.149999999999999</v>
      </c>
      <c r="J2445" s="3565">
        <v>910799</v>
      </c>
      <c r="K2445" s="3565">
        <v>10016.49</v>
      </c>
      <c r="L2445" s="3565">
        <v>12514.41</v>
      </c>
      <c r="M2445" s="3565">
        <v>0</v>
      </c>
      <c r="N2445" s="3565">
        <v>0</v>
      </c>
      <c r="O2445" s="3563" t="s">
        <v>3453</v>
      </c>
    </row>
    <row r="2446" spans="1:15">
      <c r="A2446" s="3563" t="s">
        <v>6668</v>
      </c>
      <c r="B2446" s="3563" t="s">
        <v>4196</v>
      </c>
      <c r="C2446" s="3563" t="s">
        <v>4197</v>
      </c>
      <c r="D2446" s="3563" t="s">
        <v>6429</v>
      </c>
      <c r="E2446" s="3563" t="s">
        <v>4378</v>
      </c>
      <c r="F2446" s="3563" t="s">
        <v>4797</v>
      </c>
      <c r="G2446" s="3564">
        <v>88.71</v>
      </c>
      <c r="H2446" s="3564">
        <v>71</v>
      </c>
      <c r="I2446" s="3564">
        <v>17.71</v>
      </c>
      <c r="J2446" s="3565">
        <v>898000</v>
      </c>
      <c r="K2446" s="3565">
        <v>10122.870000000001</v>
      </c>
      <c r="L2446" s="3565">
        <v>12647.89</v>
      </c>
      <c r="M2446" s="3565">
        <v>0</v>
      </c>
      <c r="N2446" s="3565">
        <v>0</v>
      </c>
      <c r="O2446" s="3563" t="s">
        <v>3453</v>
      </c>
    </row>
    <row r="2447" spans="1:15">
      <c r="A2447" s="3563" t="s">
        <v>6669</v>
      </c>
      <c r="B2447" s="3563" t="s">
        <v>4196</v>
      </c>
      <c r="C2447" s="3563" t="s">
        <v>4197</v>
      </c>
      <c r="D2447" s="3563" t="s">
        <v>6429</v>
      </c>
      <c r="E2447" s="3563" t="s">
        <v>4378</v>
      </c>
      <c r="F2447" s="3563" t="s">
        <v>4797</v>
      </c>
      <c r="G2447" s="3564">
        <v>88.71</v>
      </c>
      <c r="H2447" s="3564">
        <v>71</v>
      </c>
      <c r="I2447" s="3564">
        <v>17.71</v>
      </c>
      <c r="J2447" s="3565">
        <v>898000</v>
      </c>
      <c r="K2447" s="3565">
        <v>10122.870000000001</v>
      </c>
      <c r="L2447" s="3565">
        <v>12647.89</v>
      </c>
      <c r="M2447" s="3565">
        <v>0</v>
      </c>
      <c r="N2447" s="3565">
        <v>0</v>
      </c>
      <c r="O2447" s="3563" t="s">
        <v>3453</v>
      </c>
    </row>
    <row r="2448" spans="1:15">
      <c r="A2448" s="3563" t="s">
        <v>6670</v>
      </c>
      <c r="B2448" s="3563" t="s">
        <v>4196</v>
      </c>
      <c r="C2448" s="3563" t="s">
        <v>4197</v>
      </c>
      <c r="D2448" s="3563" t="s">
        <v>6429</v>
      </c>
      <c r="E2448" s="3563" t="s">
        <v>4378</v>
      </c>
      <c r="F2448" s="3563" t="s">
        <v>4797</v>
      </c>
      <c r="G2448" s="3564">
        <v>102.46</v>
      </c>
      <c r="H2448" s="3564">
        <v>82.01</v>
      </c>
      <c r="I2448" s="3564">
        <v>20.45</v>
      </c>
      <c r="J2448" s="3565">
        <v>1075340</v>
      </c>
      <c r="K2448" s="3565">
        <v>10495.22</v>
      </c>
      <c r="L2448" s="3565">
        <v>13112.3</v>
      </c>
      <c r="M2448" s="3565">
        <v>0</v>
      </c>
      <c r="N2448" s="3565">
        <v>0</v>
      </c>
      <c r="O2448" s="3563" t="s">
        <v>3453</v>
      </c>
    </row>
    <row r="2449" spans="1:15">
      <c r="A2449" s="3563" t="s">
        <v>6671</v>
      </c>
      <c r="B2449" s="3563" t="s">
        <v>4196</v>
      </c>
      <c r="C2449" s="3563" t="s">
        <v>4197</v>
      </c>
      <c r="D2449" s="3563" t="s">
        <v>6429</v>
      </c>
      <c r="E2449" s="3563" t="s">
        <v>4378</v>
      </c>
      <c r="F2449" s="3563" t="s">
        <v>4797</v>
      </c>
      <c r="G2449" s="3564">
        <v>88.71</v>
      </c>
      <c r="H2449" s="3564">
        <v>71</v>
      </c>
      <c r="I2449" s="3564">
        <v>17.71</v>
      </c>
      <c r="J2449" s="3565">
        <v>948961</v>
      </c>
      <c r="K2449" s="3565">
        <v>10697.34</v>
      </c>
      <c r="L2449" s="3565">
        <v>13365.65</v>
      </c>
      <c r="M2449" s="3565">
        <v>0</v>
      </c>
      <c r="N2449" s="3565">
        <v>0</v>
      </c>
      <c r="O2449" s="3563" t="s">
        <v>3453</v>
      </c>
    </row>
    <row r="2450" spans="1:15">
      <c r="A2450" s="3563" t="s">
        <v>6672</v>
      </c>
      <c r="B2450" s="3563" t="s">
        <v>4196</v>
      </c>
      <c r="C2450" s="3563" t="s">
        <v>4197</v>
      </c>
      <c r="D2450" s="3563" t="s">
        <v>6429</v>
      </c>
      <c r="E2450" s="3563" t="s">
        <v>4378</v>
      </c>
      <c r="F2450" s="3563" t="s">
        <v>4797</v>
      </c>
      <c r="G2450" s="3564">
        <v>88.71</v>
      </c>
      <c r="H2450" s="3564">
        <v>71</v>
      </c>
      <c r="I2450" s="3564">
        <v>17.71</v>
      </c>
      <c r="J2450" s="3565">
        <v>948961</v>
      </c>
      <c r="K2450" s="3565">
        <v>10697.34</v>
      </c>
      <c r="L2450" s="3565">
        <v>13365.65</v>
      </c>
      <c r="M2450" s="3565">
        <v>0</v>
      </c>
      <c r="N2450" s="3565">
        <v>0</v>
      </c>
      <c r="O2450" s="3563" t="s">
        <v>3453</v>
      </c>
    </row>
    <row r="2451" spans="1:15">
      <c r="A2451" s="3563" t="s">
        <v>6673</v>
      </c>
      <c r="B2451" s="3563" t="s">
        <v>4196</v>
      </c>
      <c r="C2451" s="3563" t="s">
        <v>4197</v>
      </c>
      <c r="D2451" s="3563" t="s">
        <v>6429</v>
      </c>
      <c r="E2451" s="3563" t="s">
        <v>4378</v>
      </c>
      <c r="F2451" s="3563" t="s">
        <v>4797</v>
      </c>
      <c r="G2451" s="3564">
        <v>90.93</v>
      </c>
      <c r="H2451" s="3564">
        <v>72.78</v>
      </c>
      <c r="I2451" s="3564">
        <v>18.149999999999999</v>
      </c>
      <c r="J2451" s="3565">
        <v>909832</v>
      </c>
      <c r="K2451" s="3565">
        <v>10005.85</v>
      </c>
      <c r="L2451" s="3565">
        <v>12501.13</v>
      </c>
      <c r="M2451" s="3565">
        <v>0</v>
      </c>
      <c r="N2451" s="3565">
        <v>0</v>
      </c>
      <c r="O2451" s="3563" t="s">
        <v>3453</v>
      </c>
    </row>
    <row r="2452" spans="1:15">
      <c r="A2452" s="3563" t="s">
        <v>6674</v>
      </c>
      <c r="B2452" s="3563" t="s">
        <v>4196</v>
      </c>
      <c r="C2452" s="3563" t="s">
        <v>4197</v>
      </c>
      <c r="D2452" s="3563" t="s">
        <v>6429</v>
      </c>
      <c r="E2452" s="3563" t="s">
        <v>4378</v>
      </c>
      <c r="F2452" s="3563" t="s">
        <v>4797</v>
      </c>
      <c r="G2452" s="3564">
        <v>88.71</v>
      </c>
      <c r="H2452" s="3564">
        <v>71</v>
      </c>
      <c r="I2452" s="3564">
        <v>17.71</v>
      </c>
      <c r="J2452" s="3565">
        <v>897057</v>
      </c>
      <c r="K2452" s="3565">
        <v>10112.24</v>
      </c>
      <c r="L2452" s="3565">
        <v>12634.61</v>
      </c>
      <c r="M2452" s="3565">
        <v>0</v>
      </c>
      <c r="N2452" s="3565">
        <v>0</v>
      </c>
      <c r="O2452" s="3563" t="s">
        <v>3453</v>
      </c>
    </row>
    <row r="2453" spans="1:15">
      <c r="A2453" s="3563" t="s">
        <v>6675</v>
      </c>
      <c r="B2453" s="3563" t="s">
        <v>4196</v>
      </c>
      <c r="C2453" s="3563" t="s">
        <v>4197</v>
      </c>
      <c r="D2453" s="3563" t="s">
        <v>6429</v>
      </c>
      <c r="E2453" s="3563" t="s">
        <v>4378</v>
      </c>
      <c r="F2453" s="3563" t="s">
        <v>4797</v>
      </c>
      <c r="G2453" s="3564">
        <v>88.71</v>
      </c>
      <c r="H2453" s="3564">
        <v>71</v>
      </c>
      <c r="I2453" s="3564">
        <v>17.71</v>
      </c>
      <c r="J2453" s="3565">
        <v>897057</v>
      </c>
      <c r="K2453" s="3565">
        <v>10112.24</v>
      </c>
      <c r="L2453" s="3565">
        <v>12634.61</v>
      </c>
      <c r="M2453" s="3565">
        <v>0</v>
      </c>
      <c r="N2453" s="3565">
        <v>0</v>
      </c>
      <c r="O2453" s="3563" t="s">
        <v>3453</v>
      </c>
    </row>
    <row r="2454" spans="1:15">
      <c r="A2454" s="3563" t="s">
        <v>6676</v>
      </c>
      <c r="B2454" s="3563" t="s">
        <v>4196</v>
      </c>
      <c r="C2454" s="3563" t="s">
        <v>4197</v>
      </c>
      <c r="D2454" s="3563" t="s">
        <v>6429</v>
      </c>
      <c r="E2454" s="3563" t="s">
        <v>4378</v>
      </c>
      <c r="F2454" s="3563" t="s">
        <v>4797</v>
      </c>
      <c r="G2454" s="3564">
        <v>102.46</v>
      </c>
      <c r="H2454" s="3564">
        <v>82.01</v>
      </c>
      <c r="I2454" s="3564">
        <v>20.45</v>
      </c>
      <c r="J2454" s="3565">
        <v>1074250</v>
      </c>
      <c r="K2454" s="3565">
        <v>10484.58</v>
      </c>
      <c r="L2454" s="3565">
        <v>13099.01</v>
      </c>
      <c r="M2454" s="3565">
        <v>0</v>
      </c>
      <c r="N2454" s="3565">
        <v>0</v>
      </c>
      <c r="O2454" s="3563" t="s">
        <v>3453</v>
      </c>
    </row>
    <row r="2455" spans="1:15">
      <c r="A2455" s="3563" t="s">
        <v>6677</v>
      </c>
      <c r="B2455" s="3563" t="s">
        <v>4196</v>
      </c>
      <c r="C2455" s="3563" t="s">
        <v>4197</v>
      </c>
      <c r="D2455" s="3563" t="s">
        <v>6429</v>
      </c>
      <c r="E2455" s="3563" t="s">
        <v>4378</v>
      </c>
      <c r="F2455" s="3563" t="s">
        <v>4797</v>
      </c>
      <c r="G2455" s="3564">
        <v>88.71</v>
      </c>
      <c r="H2455" s="3564">
        <v>71</v>
      </c>
      <c r="I2455" s="3564">
        <v>17.71</v>
      </c>
      <c r="J2455" s="3565">
        <v>919706</v>
      </c>
      <c r="K2455" s="3565">
        <v>10367.56</v>
      </c>
      <c r="L2455" s="3565">
        <v>12953.61</v>
      </c>
      <c r="M2455" s="3565">
        <v>0</v>
      </c>
      <c r="N2455" s="3565">
        <v>0</v>
      </c>
      <c r="O2455" s="3563" t="s">
        <v>3453</v>
      </c>
    </row>
    <row r="2456" spans="1:15">
      <c r="A2456" s="3563" t="s">
        <v>6678</v>
      </c>
      <c r="B2456" s="3563" t="s">
        <v>4196</v>
      </c>
      <c r="C2456" s="3563" t="s">
        <v>4197</v>
      </c>
      <c r="D2456" s="3563" t="s">
        <v>6429</v>
      </c>
      <c r="E2456" s="3563" t="s">
        <v>4378</v>
      </c>
      <c r="F2456" s="3563" t="s">
        <v>4797</v>
      </c>
      <c r="G2456" s="3564">
        <v>88.71</v>
      </c>
      <c r="H2456" s="3564">
        <v>71</v>
      </c>
      <c r="I2456" s="3564">
        <v>17.71</v>
      </c>
      <c r="J2456" s="3565">
        <v>919706</v>
      </c>
      <c r="K2456" s="3565">
        <v>10367.56</v>
      </c>
      <c r="L2456" s="3565">
        <v>12953.61</v>
      </c>
      <c r="M2456" s="3565">
        <v>0</v>
      </c>
      <c r="N2456" s="3565">
        <v>0</v>
      </c>
      <c r="O2456" s="3563" t="s">
        <v>3453</v>
      </c>
    </row>
    <row r="2457" spans="1:15">
      <c r="A2457" s="3563" t="s">
        <v>6679</v>
      </c>
      <c r="B2457" s="3563" t="s">
        <v>4196</v>
      </c>
      <c r="C2457" s="3563" t="s">
        <v>4197</v>
      </c>
      <c r="D2457" s="3563" t="s">
        <v>6429</v>
      </c>
      <c r="E2457" s="3563" t="s">
        <v>4378</v>
      </c>
      <c r="F2457" s="3563" t="s">
        <v>4797</v>
      </c>
      <c r="G2457" s="3564">
        <v>90.93</v>
      </c>
      <c r="H2457" s="3564">
        <v>72.78</v>
      </c>
      <c r="I2457" s="3564">
        <v>18.149999999999999</v>
      </c>
      <c r="J2457" s="3565">
        <v>889519</v>
      </c>
      <c r="K2457" s="3565">
        <v>9782.4599999999991</v>
      </c>
      <c r="L2457" s="3565">
        <v>12222.03</v>
      </c>
      <c r="M2457" s="3565">
        <v>0</v>
      </c>
      <c r="N2457" s="3565">
        <v>0</v>
      </c>
      <c r="O2457" s="3563" t="s">
        <v>3453</v>
      </c>
    </row>
    <row r="2458" spans="1:15">
      <c r="A2458" s="3563" t="s">
        <v>6680</v>
      </c>
      <c r="B2458" s="3563" t="s">
        <v>4196</v>
      </c>
      <c r="C2458" s="3563" t="s">
        <v>4197</v>
      </c>
      <c r="D2458" s="3563" t="s">
        <v>6429</v>
      </c>
      <c r="E2458" s="3563" t="s">
        <v>4378</v>
      </c>
      <c r="F2458" s="3563" t="s">
        <v>4797</v>
      </c>
      <c r="G2458" s="3564">
        <v>88.71</v>
      </c>
      <c r="H2458" s="3564">
        <v>71</v>
      </c>
      <c r="I2458" s="3564">
        <v>17.71</v>
      </c>
      <c r="J2458" s="3565">
        <v>867802</v>
      </c>
      <c r="K2458" s="3565">
        <v>9782.4599999999991</v>
      </c>
      <c r="L2458" s="3565">
        <v>12222.56</v>
      </c>
      <c r="M2458" s="3565">
        <v>0</v>
      </c>
      <c r="N2458" s="3565">
        <v>0</v>
      </c>
      <c r="O2458" s="3563" t="s">
        <v>3453</v>
      </c>
    </row>
    <row r="2459" spans="1:15">
      <c r="A2459" s="3563" t="s">
        <v>6681</v>
      </c>
      <c r="B2459" s="3563" t="s">
        <v>4196</v>
      </c>
      <c r="C2459" s="3563" t="s">
        <v>4197</v>
      </c>
      <c r="D2459" s="3563" t="s">
        <v>6429</v>
      </c>
      <c r="E2459" s="3563" t="s">
        <v>4378</v>
      </c>
      <c r="F2459" s="3563" t="s">
        <v>4797</v>
      </c>
      <c r="G2459" s="3564">
        <v>88.71</v>
      </c>
      <c r="H2459" s="3564">
        <v>71</v>
      </c>
      <c r="I2459" s="3564">
        <v>17.71</v>
      </c>
      <c r="J2459" s="3565">
        <v>867802</v>
      </c>
      <c r="K2459" s="3565">
        <v>9782.4599999999991</v>
      </c>
      <c r="L2459" s="3565">
        <v>12222.56</v>
      </c>
      <c r="M2459" s="3565">
        <v>0</v>
      </c>
      <c r="N2459" s="3565">
        <v>0</v>
      </c>
      <c r="O2459" s="3563" t="s">
        <v>3453</v>
      </c>
    </row>
    <row r="2460" spans="1:15">
      <c r="A2460" s="3563" t="s">
        <v>6682</v>
      </c>
      <c r="B2460" s="3563" t="s">
        <v>4196</v>
      </c>
      <c r="C2460" s="3563" t="s">
        <v>4197</v>
      </c>
      <c r="D2460" s="3563" t="s">
        <v>6429</v>
      </c>
      <c r="E2460" s="3563" t="s">
        <v>4378</v>
      </c>
      <c r="F2460" s="3563" t="s">
        <v>4797</v>
      </c>
      <c r="G2460" s="3564">
        <v>102.46</v>
      </c>
      <c r="H2460" s="3564">
        <v>82.01</v>
      </c>
      <c r="I2460" s="3564">
        <v>20.45</v>
      </c>
      <c r="J2460" s="3565">
        <v>1040460</v>
      </c>
      <c r="K2460" s="3565">
        <v>10154.790000000001</v>
      </c>
      <c r="L2460" s="3565">
        <v>12686.99</v>
      </c>
      <c r="M2460" s="3565">
        <v>0</v>
      </c>
      <c r="N2460" s="3565">
        <v>0</v>
      </c>
      <c r="O2460" s="3563" t="s">
        <v>3453</v>
      </c>
    </row>
    <row r="2461" spans="1:15">
      <c r="A2461" s="3563" t="s">
        <v>6683</v>
      </c>
      <c r="B2461" s="3563" t="s">
        <v>4196</v>
      </c>
      <c r="C2461" s="3563" t="s">
        <v>4197</v>
      </c>
      <c r="D2461" s="3563" t="s">
        <v>6429</v>
      </c>
      <c r="E2461" s="3563" t="s">
        <v>4378</v>
      </c>
      <c r="F2461" s="3563" t="s">
        <v>4797</v>
      </c>
      <c r="G2461" s="3564">
        <v>88.71</v>
      </c>
      <c r="H2461" s="3564">
        <v>71</v>
      </c>
      <c r="I2461" s="3564">
        <v>17.71</v>
      </c>
      <c r="J2461" s="3565">
        <v>907438</v>
      </c>
      <c r="K2461" s="3565">
        <v>10229.26</v>
      </c>
      <c r="L2461" s="3565">
        <v>12780.82</v>
      </c>
      <c r="M2461" s="3565">
        <v>0</v>
      </c>
      <c r="N2461" s="3565">
        <v>0</v>
      </c>
      <c r="O2461" s="3563" t="s">
        <v>3453</v>
      </c>
    </row>
    <row r="2462" spans="1:15">
      <c r="A2462" s="3563" t="s">
        <v>6684</v>
      </c>
      <c r="B2462" s="3563" t="s">
        <v>4196</v>
      </c>
      <c r="C2462" s="3563" t="s">
        <v>4197</v>
      </c>
      <c r="D2462" s="3563" t="s">
        <v>6429</v>
      </c>
      <c r="E2462" s="3563" t="s">
        <v>4378</v>
      </c>
      <c r="F2462" s="3563" t="s">
        <v>4797</v>
      </c>
      <c r="G2462" s="3564">
        <v>88.71</v>
      </c>
      <c r="H2462" s="3564">
        <v>71</v>
      </c>
      <c r="I2462" s="3564">
        <v>17.71</v>
      </c>
      <c r="J2462" s="3565">
        <v>907438</v>
      </c>
      <c r="K2462" s="3565">
        <v>10229.26</v>
      </c>
      <c r="L2462" s="3565">
        <v>12780.82</v>
      </c>
      <c r="M2462" s="3565">
        <v>0</v>
      </c>
      <c r="N2462" s="3565">
        <v>0</v>
      </c>
      <c r="O2462" s="3563" t="s">
        <v>3453</v>
      </c>
    </row>
    <row r="2463" spans="1:15">
      <c r="A2463" s="3563" t="s">
        <v>6685</v>
      </c>
      <c r="B2463" s="3563" t="s">
        <v>4196</v>
      </c>
      <c r="C2463" s="3563" t="s">
        <v>4197</v>
      </c>
      <c r="D2463" s="3563" t="s">
        <v>6429</v>
      </c>
      <c r="E2463" s="3563" t="s">
        <v>4378</v>
      </c>
      <c r="F2463" s="3563" t="s">
        <v>4797</v>
      </c>
      <c r="G2463" s="3564">
        <v>90.93</v>
      </c>
      <c r="H2463" s="3564">
        <v>72.78</v>
      </c>
      <c r="I2463" s="3564">
        <v>18.149999999999999</v>
      </c>
      <c r="J2463" s="3565">
        <v>889519</v>
      </c>
      <c r="K2463" s="3565">
        <v>9782.4599999999991</v>
      </c>
      <c r="L2463" s="3565">
        <v>12222.03</v>
      </c>
      <c r="M2463" s="3565">
        <v>0</v>
      </c>
      <c r="N2463" s="3565">
        <v>0</v>
      </c>
      <c r="O2463" s="3563" t="s">
        <v>3453</v>
      </c>
    </row>
    <row r="2464" spans="1:15">
      <c r="A2464" s="3563" t="s">
        <v>6686</v>
      </c>
      <c r="B2464" s="3563" t="s">
        <v>4196</v>
      </c>
      <c r="C2464" s="3563" t="s">
        <v>4197</v>
      </c>
      <c r="D2464" s="3563" t="s">
        <v>6429</v>
      </c>
      <c r="E2464" s="3563" t="s">
        <v>4378</v>
      </c>
      <c r="F2464" s="3563" t="s">
        <v>4797</v>
      </c>
      <c r="G2464" s="3564">
        <v>88.71</v>
      </c>
      <c r="H2464" s="3564">
        <v>71</v>
      </c>
      <c r="I2464" s="3564">
        <v>17.71</v>
      </c>
      <c r="J2464" s="3565">
        <v>867802</v>
      </c>
      <c r="K2464" s="3565">
        <v>9782.4599999999991</v>
      </c>
      <c r="L2464" s="3565">
        <v>12222.56</v>
      </c>
      <c r="M2464" s="3565">
        <v>0</v>
      </c>
      <c r="N2464" s="3565">
        <v>0</v>
      </c>
      <c r="O2464" s="3563" t="s">
        <v>3453</v>
      </c>
    </row>
    <row r="2465" spans="1:15">
      <c r="A2465" s="3563" t="s">
        <v>6687</v>
      </c>
      <c r="B2465" s="3563" t="s">
        <v>4196</v>
      </c>
      <c r="C2465" s="3563" t="s">
        <v>4197</v>
      </c>
      <c r="D2465" s="3563" t="s">
        <v>6429</v>
      </c>
      <c r="E2465" s="3563" t="s">
        <v>4378</v>
      </c>
      <c r="F2465" s="3563" t="s">
        <v>4797</v>
      </c>
      <c r="G2465" s="3564">
        <v>88.71</v>
      </c>
      <c r="H2465" s="3564">
        <v>71</v>
      </c>
      <c r="I2465" s="3564">
        <v>17.71</v>
      </c>
      <c r="J2465" s="3565">
        <v>867802</v>
      </c>
      <c r="K2465" s="3565">
        <v>9782.4599999999991</v>
      </c>
      <c r="L2465" s="3565">
        <v>12222.56</v>
      </c>
      <c r="M2465" s="3565">
        <v>0</v>
      </c>
      <c r="N2465" s="3565">
        <v>0</v>
      </c>
      <c r="O2465" s="3563" t="s">
        <v>3453</v>
      </c>
    </row>
    <row r="2466" spans="1:15">
      <c r="A2466" s="3563" t="s">
        <v>6688</v>
      </c>
      <c r="B2466" s="3563" t="s">
        <v>4196</v>
      </c>
      <c r="C2466" s="3563" t="s">
        <v>4197</v>
      </c>
      <c r="D2466" s="3563" t="s">
        <v>6429</v>
      </c>
      <c r="E2466" s="3563" t="s">
        <v>4378</v>
      </c>
      <c r="F2466" s="3563" t="s">
        <v>4797</v>
      </c>
      <c r="G2466" s="3564">
        <v>102.46</v>
      </c>
      <c r="H2466" s="3564">
        <v>82.01</v>
      </c>
      <c r="I2466" s="3564">
        <v>20.45</v>
      </c>
      <c r="J2466" s="3565">
        <v>1048090</v>
      </c>
      <c r="K2466" s="3565">
        <v>10229.26</v>
      </c>
      <c r="L2466" s="3565">
        <v>12780.03</v>
      </c>
      <c r="M2466" s="3565">
        <v>0</v>
      </c>
      <c r="N2466" s="3565">
        <v>0</v>
      </c>
      <c r="O2466" s="3563" t="s">
        <v>3453</v>
      </c>
    </row>
    <row r="2467" spans="1:15">
      <c r="A2467" s="3563" t="s">
        <v>6689</v>
      </c>
      <c r="B2467" s="3563" t="s">
        <v>4196</v>
      </c>
      <c r="C2467" s="3563" t="s">
        <v>4197</v>
      </c>
      <c r="D2467" s="3563" t="s">
        <v>6429</v>
      </c>
      <c r="E2467" s="3563" t="s">
        <v>4378</v>
      </c>
      <c r="F2467" s="3563" t="s">
        <v>4797</v>
      </c>
      <c r="G2467" s="3564">
        <v>88.71</v>
      </c>
      <c r="H2467" s="3564">
        <v>71</v>
      </c>
      <c r="I2467" s="3564">
        <v>17.71</v>
      </c>
      <c r="J2467" s="3565">
        <v>918762</v>
      </c>
      <c r="K2467" s="3565">
        <v>10356.92</v>
      </c>
      <c r="L2467" s="3565">
        <v>12940.31</v>
      </c>
      <c r="M2467" s="3565">
        <v>0</v>
      </c>
      <c r="N2467" s="3565">
        <v>0</v>
      </c>
      <c r="O2467" s="3563" t="s">
        <v>3453</v>
      </c>
    </row>
    <row r="2468" spans="1:15">
      <c r="A2468" s="3563" t="s">
        <v>6690</v>
      </c>
      <c r="B2468" s="3563" t="s">
        <v>4196</v>
      </c>
      <c r="C2468" s="3563" t="s">
        <v>4197</v>
      </c>
      <c r="D2468" s="3563" t="s">
        <v>6429</v>
      </c>
      <c r="E2468" s="3563" t="s">
        <v>4378</v>
      </c>
      <c r="F2468" s="3563" t="s">
        <v>4797</v>
      </c>
      <c r="G2468" s="3564">
        <v>88.71</v>
      </c>
      <c r="H2468" s="3564">
        <v>71</v>
      </c>
      <c r="I2468" s="3564">
        <v>17.71</v>
      </c>
      <c r="J2468" s="3565">
        <v>918762</v>
      </c>
      <c r="K2468" s="3565">
        <v>10356.92</v>
      </c>
      <c r="L2468" s="3565">
        <v>12940.31</v>
      </c>
      <c r="M2468" s="3565">
        <v>0</v>
      </c>
      <c r="N2468" s="3565">
        <v>0</v>
      </c>
      <c r="O2468" s="3563" t="s">
        <v>3453</v>
      </c>
    </row>
    <row r="2469" spans="1:15">
      <c r="A2469" s="3563" t="s">
        <v>6691</v>
      </c>
      <c r="B2469" s="3563" t="s">
        <v>4196</v>
      </c>
      <c r="C2469" s="3563" t="s">
        <v>4197</v>
      </c>
      <c r="D2469" s="3563" t="s">
        <v>6429</v>
      </c>
      <c r="E2469" s="3563" t="s">
        <v>4378</v>
      </c>
      <c r="F2469" s="3563" t="s">
        <v>4797</v>
      </c>
      <c r="G2469" s="3564">
        <v>90.93</v>
      </c>
      <c r="H2469" s="3564">
        <v>72.78</v>
      </c>
      <c r="I2469" s="3564">
        <v>18.149999999999999</v>
      </c>
      <c r="J2469" s="3565">
        <v>889519</v>
      </c>
      <c r="K2469" s="3565">
        <v>9782.4599999999991</v>
      </c>
      <c r="L2469" s="3565">
        <v>12222.03</v>
      </c>
      <c r="M2469" s="3565">
        <v>0</v>
      </c>
      <c r="N2469" s="3565">
        <v>0</v>
      </c>
      <c r="O2469" s="3563" t="s">
        <v>3453</v>
      </c>
    </row>
    <row r="2470" spans="1:15">
      <c r="A2470" s="3563" t="s">
        <v>6692</v>
      </c>
      <c r="B2470" s="3563" t="s">
        <v>4196</v>
      </c>
      <c r="C2470" s="3563" t="s">
        <v>4197</v>
      </c>
      <c r="D2470" s="3563" t="s">
        <v>6429</v>
      </c>
      <c r="E2470" s="3563" t="s">
        <v>4378</v>
      </c>
      <c r="F2470" s="3563" t="s">
        <v>4797</v>
      </c>
      <c r="G2470" s="3564">
        <v>88.71</v>
      </c>
      <c r="H2470" s="3564">
        <v>71</v>
      </c>
      <c r="I2470" s="3564">
        <v>17.71</v>
      </c>
      <c r="J2470" s="3565">
        <v>876295</v>
      </c>
      <c r="K2470" s="3565">
        <v>9878.2000000000007</v>
      </c>
      <c r="L2470" s="3565">
        <v>12342.18</v>
      </c>
      <c r="M2470" s="3565">
        <v>0</v>
      </c>
      <c r="N2470" s="3565">
        <v>0</v>
      </c>
      <c r="O2470" s="3563" t="s">
        <v>3453</v>
      </c>
    </row>
    <row r="2471" spans="1:15">
      <c r="A2471" s="3563" t="s">
        <v>6693</v>
      </c>
      <c r="B2471" s="3563" t="s">
        <v>4196</v>
      </c>
      <c r="C2471" s="3563" t="s">
        <v>4197</v>
      </c>
      <c r="D2471" s="3563" t="s">
        <v>6429</v>
      </c>
      <c r="E2471" s="3563" t="s">
        <v>4378</v>
      </c>
      <c r="F2471" s="3563" t="s">
        <v>4797</v>
      </c>
      <c r="G2471" s="3564">
        <v>88.71</v>
      </c>
      <c r="H2471" s="3564">
        <v>71</v>
      </c>
      <c r="I2471" s="3564">
        <v>17.71</v>
      </c>
      <c r="J2471" s="3565">
        <v>876295</v>
      </c>
      <c r="K2471" s="3565">
        <v>9878.2000000000007</v>
      </c>
      <c r="L2471" s="3565">
        <v>12342.18</v>
      </c>
      <c r="M2471" s="3565">
        <v>0</v>
      </c>
      <c r="N2471" s="3565">
        <v>0</v>
      </c>
      <c r="O2471" s="3563" t="s">
        <v>3453</v>
      </c>
    </row>
    <row r="2472" spans="1:15">
      <c r="A2472" s="3563" t="s">
        <v>6694</v>
      </c>
      <c r="B2472" s="3563" t="s">
        <v>4196</v>
      </c>
      <c r="C2472" s="3563" t="s">
        <v>4197</v>
      </c>
      <c r="D2472" s="3563" t="s">
        <v>6429</v>
      </c>
      <c r="E2472" s="3563" t="s">
        <v>4378</v>
      </c>
      <c r="F2472" s="3563" t="s">
        <v>4797</v>
      </c>
      <c r="G2472" s="3564">
        <v>102.46</v>
      </c>
      <c r="H2472" s="3564">
        <v>82.01</v>
      </c>
      <c r="I2472" s="3564">
        <v>20.45</v>
      </c>
      <c r="J2472" s="3565">
        <v>1061170</v>
      </c>
      <c r="K2472" s="3565">
        <v>10356.92</v>
      </c>
      <c r="L2472" s="3565">
        <v>12939.52</v>
      </c>
      <c r="M2472" s="3565">
        <v>0</v>
      </c>
      <c r="N2472" s="3565">
        <v>0</v>
      </c>
      <c r="O2472" s="3563" t="s">
        <v>3453</v>
      </c>
    </row>
    <row r="2473" spans="1:15">
      <c r="A2473" s="3563" t="s">
        <v>6695</v>
      </c>
      <c r="B2473" s="3563" t="s">
        <v>4196</v>
      </c>
      <c r="C2473" s="3563" t="s">
        <v>4197</v>
      </c>
      <c r="D2473" s="3563" t="s">
        <v>6429</v>
      </c>
      <c r="E2473" s="3563" t="s">
        <v>4378</v>
      </c>
      <c r="F2473" s="3563" t="s">
        <v>4797</v>
      </c>
      <c r="G2473" s="3564">
        <v>88.71</v>
      </c>
      <c r="H2473" s="3564">
        <v>71</v>
      </c>
      <c r="I2473" s="3564">
        <v>17.71</v>
      </c>
      <c r="J2473" s="3565">
        <v>930087</v>
      </c>
      <c r="K2473" s="3565">
        <v>10484.58</v>
      </c>
      <c r="L2473" s="3565">
        <v>13099.82</v>
      </c>
      <c r="M2473" s="3565">
        <v>0</v>
      </c>
      <c r="N2473" s="3565">
        <v>0</v>
      </c>
      <c r="O2473" s="3563" t="s">
        <v>3453</v>
      </c>
    </row>
    <row r="2474" spans="1:15">
      <c r="A2474" s="3563" t="s">
        <v>6696</v>
      </c>
      <c r="B2474" s="3563" t="s">
        <v>4196</v>
      </c>
      <c r="C2474" s="3563" t="s">
        <v>4197</v>
      </c>
      <c r="D2474" s="3563" t="s">
        <v>6429</v>
      </c>
      <c r="E2474" s="3563" t="s">
        <v>4378</v>
      </c>
      <c r="F2474" s="3563" t="s">
        <v>4797</v>
      </c>
      <c r="G2474" s="3564">
        <v>88.71</v>
      </c>
      <c r="H2474" s="3564">
        <v>71</v>
      </c>
      <c r="I2474" s="3564">
        <v>17.71</v>
      </c>
      <c r="J2474" s="3565">
        <v>930087</v>
      </c>
      <c r="K2474" s="3565">
        <v>10484.58</v>
      </c>
      <c r="L2474" s="3565">
        <v>13099.82</v>
      </c>
      <c r="M2474" s="3565">
        <v>0</v>
      </c>
      <c r="N2474" s="3565">
        <v>0</v>
      </c>
      <c r="O2474" s="3563" t="s">
        <v>3453</v>
      </c>
    </row>
    <row r="2475" spans="1:15">
      <c r="A2475" s="3563" t="s">
        <v>6697</v>
      </c>
      <c r="B2475" s="3563" t="s">
        <v>4196</v>
      </c>
      <c r="C2475" s="3563" t="s">
        <v>4197</v>
      </c>
      <c r="D2475" s="3563" t="s">
        <v>6429</v>
      </c>
      <c r="E2475" s="3563" t="s">
        <v>4378</v>
      </c>
      <c r="F2475" s="3563" t="s">
        <v>4797</v>
      </c>
      <c r="G2475" s="3564">
        <v>90.93</v>
      </c>
      <c r="H2475" s="3564">
        <v>72.78</v>
      </c>
      <c r="I2475" s="3564">
        <v>18.149999999999999</v>
      </c>
      <c r="J2475" s="3565">
        <v>889519</v>
      </c>
      <c r="K2475" s="3565">
        <v>9782.4599999999991</v>
      </c>
      <c r="L2475" s="3565">
        <v>12222.03</v>
      </c>
      <c r="M2475" s="3565">
        <v>0</v>
      </c>
      <c r="N2475" s="3565">
        <v>0</v>
      </c>
      <c r="O2475" s="3563" t="s">
        <v>3453</v>
      </c>
    </row>
    <row r="2476" spans="1:15">
      <c r="A2476" s="3563" t="s">
        <v>6698</v>
      </c>
      <c r="B2476" s="3563" t="s">
        <v>4196</v>
      </c>
      <c r="C2476" s="3563" t="s">
        <v>4197</v>
      </c>
      <c r="D2476" s="3563" t="s">
        <v>6429</v>
      </c>
      <c r="E2476" s="3563" t="s">
        <v>4378</v>
      </c>
      <c r="F2476" s="3563" t="s">
        <v>4797</v>
      </c>
      <c r="G2476" s="3564">
        <v>88.71</v>
      </c>
      <c r="H2476" s="3564">
        <v>71</v>
      </c>
      <c r="I2476" s="3564">
        <v>17.71</v>
      </c>
      <c r="J2476" s="3565">
        <v>887620</v>
      </c>
      <c r="K2476" s="3565">
        <v>10005.86</v>
      </c>
      <c r="L2476" s="3565">
        <v>12501.69</v>
      </c>
      <c r="M2476" s="3565">
        <v>0</v>
      </c>
      <c r="N2476" s="3565">
        <v>0</v>
      </c>
      <c r="O2476" s="3563" t="s">
        <v>3453</v>
      </c>
    </row>
    <row r="2477" spans="1:15">
      <c r="A2477" s="3563" t="s">
        <v>6699</v>
      </c>
      <c r="B2477" s="3563" t="s">
        <v>4196</v>
      </c>
      <c r="C2477" s="3563" t="s">
        <v>4197</v>
      </c>
      <c r="D2477" s="3563" t="s">
        <v>6429</v>
      </c>
      <c r="E2477" s="3563" t="s">
        <v>4378</v>
      </c>
      <c r="F2477" s="3563" t="s">
        <v>4797</v>
      </c>
      <c r="G2477" s="3564">
        <v>88.71</v>
      </c>
      <c r="H2477" s="3564">
        <v>71</v>
      </c>
      <c r="I2477" s="3564">
        <v>17.71</v>
      </c>
      <c r="J2477" s="3565">
        <v>887620</v>
      </c>
      <c r="K2477" s="3565">
        <v>10005.86</v>
      </c>
      <c r="L2477" s="3565">
        <v>12501.69</v>
      </c>
      <c r="M2477" s="3565">
        <v>0</v>
      </c>
      <c r="N2477" s="3565">
        <v>0</v>
      </c>
      <c r="O2477" s="3563" t="s">
        <v>3453</v>
      </c>
    </row>
    <row r="2478" spans="1:15">
      <c r="A2478" s="3563" t="s">
        <v>6700</v>
      </c>
      <c r="B2478" s="3563" t="s">
        <v>4196</v>
      </c>
      <c r="C2478" s="3563" t="s">
        <v>4197</v>
      </c>
      <c r="D2478" s="3563" t="s">
        <v>6429</v>
      </c>
      <c r="E2478" s="3563" t="s">
        <v>4378</v>
      </c>
      <c r="F2478" s="3563" t="s">
        <v>4797</v>
      </c>
      <c r="G2478" s="3564">
        <v>102.46</v>
      </c>
      <c r="H2478" s="3564">
        <v>82.01</v>
      </c>
      <c r="I2478" s="3564">
        <v>20.45</v>
      </c>
      <c r="J2478" s="3565">
        <v>1074250</v>
      </c>
      <c r="K2478" s="3565">
        <v>10484.58</v>
      </c>
      <c r="L2478" s="3565">
        <v>13099.01</v>
      </c>
      <c r="M2478" s="3565">
        <v>0</v>
      </c>
      <c r="N2478" s="3565">
        <v>0</v>
      </c>
      <c r="O2478" s="3563" t="s">
        <v>3453</v>
      </c>
    </row>
    <row r="2479" spans="1:15">
      <c r="A2479" s="3563" t="s">
        <v>6701</v>
      </c>
      <c r="B2479" s="3563" t="s">
        <v>4196</v>
      </c>
      <c r="C2479" s="3563" t="s">
        <v>4197</v>
      </c>
      <c r="D2479" s="3563" t="s">
        <v>6429</v>
      </c>
      <c r="E2479" s="3563" t="s">
        <v>4378</v>
      </c>
      <c r="F2479" s="3563" t="s">
        <v>4797</v>
      </c>
      <c r="G2479" s="3564">
        <v>88.71</v>
      </c>
      <c r="H2479" s="3564">
        <v>71</v>
      </c>
      <c r="I2479" s="3564">
        <v>17.71</v>
      </c>
      <c r="J2479" s="3565">
        <v>931031</v>
      </c>
      <c r="K2479" s="3565">
        <v>10495.22</v>
      </c>
      <c r="L2479" s="3565">
        <v>13113.11</v>
      </c>
      <c r="M2479" s="3565">
        <v>0</v>
      </c>
      <c r="N2479" s="3565">
        <v>0</v>
      </c>
      <c r="O2479" s="3563" t="s">
        <v>3453</v>
      </c>
    </row>
    <row r="2480" spans="1:15">
      <c r="A2480" s="3563" t="s">
        <v>6702</v>
      </c>
      <c r="B2480" s="3563" t="s">
        <v>4196</v>
      </c>
      <c r="C2480" s="3563" t="s">
        <v>4197</v>
      </c>
      <c r="D2480" s="3563" t="s">
        <v>6429</v>
      </c>
      <c r="E2480" s="3563" t="s">
        <v>4378</v>
      </c>
      <c r="F2480" s="3563" t="s">
        <v>4797</v>
      </c>
      <c r="G2480" s="3564">
        <v>88.71</v>
      </c>
      <c r="H2480" s="3564">
        <v>71</v>
      </c>
      <c r="I2480" s="3564">
        <v>17.71</v>
      </c>
      <c r="J2480" s="3565">
        <v>931031</v>
      </c>
      <c r="K2480" s="3565">
        <v>10495.22</v>
      </c>
      <c r="L2480" s="3565">
        <v>13113.11</v>
      </c>
      <c r="M2480" s="3565">
        <v>0</v>
      </c>
      <c r="N2480" s="3565">
        <v>0</v>
      </c>
      <c r="O2480" s="3563" t="s">
        <v>3453</v>
      </c>
    </row>
    <row r="2481" spans="1:15">
      <c r="A2481" s="3563" t="s">
        <v>6703</v>
      </c>
      <c r="B2481" s="3563" t="s">
        <v>4196</v>
      </c>
      <c r="C2481" s="3563" t="s">
        <v>4197</v>
      </c>
      <c r="D2481" s="3563" t="s">
        <v>6429</v>
      </c>
      <c r="E2481" s="3563" t="s">
        <v>4378</v>
      </c>
      <c r="F2481" s="3563" t="s">
        <v>4797</v>
      </c>
      <c r="G2481" s="3564">
        <v>90.93</v>
      </c>
      <c r="H2481" s="3564">
        <v>72.78</v>
      </c>
      <c r="I2481" s="3564">
        <v>18.149999999999999</v>
      </c>
      <c r="J2481" s="3565">
        <v>889519</v>
      </c>
      <c r="K2481" s="3565">
        <v>9782.4599999999991</v>
      </c>
      <c r="L2481" s="3565">
        <v>12222.03</v>
      </c>
      <c r="M2481" s="3565">
        <v>0</v>
      </c>
      <c r="N2481" s="3565">
        <v>0</v>
      </c>
      <c r="O2481" s="3563" t="s">
        <v>3453</v>
      </c>
    </row>
    <row r="2482" spans="1:15">
      <c r="A2482" s="3563" t="s">
        <v>6704</v>
      </c>
      <c r="B2482" s="3563" t="s">
        <v>4196</v>
      </c>
      <c r="C2482" s="3563" t="s">
        <v>4197</v>
      </c>
      <c r="D2482" s="3563" t="s">
        <v>6429</v>
      </c>
      <c r="E2482" s="3563" t="s">
        <v>4378</v>
      </c>
      <c r="F2482" s="3563" t="s">
        <v>4797</v>
      </c>
      <c r="G2482" s="3564">
        <v>88.71</v>
      </c>
      <c r="H2482" s="3564">
        <v>71</v>
      </c>
      <c r="I2482" s="3564">
        <v>17.71</v>
      </c>
      <c r="J2482" s="3565">
        <v>888563</v>
      </c>
      <c r="K2482" s="3565">
        <v>10016.49</v>
      </c>
      <c r="L2482" s="3565">
        <v>12514.97</v>
      </c>
      <c r="M2482" s="3565">
        <v>0</v>
      </c>
      <c r="N2482" s="3565">
        <v>0</v>
      </c>
      <c r="O2482" s="3563" t="s">
        <v>3453</v>
      </c>
    </row>
    <row r="2483" spans="1:15">
      <c r="A2483" s="3563" t="s">
        <v>6705</v>
      </c>
      <c r="B2483" s="3563" t="s">
        <v>4196</v>
      </c>
      <c r="C2483" s="3563" t="s">
        <v>4197</v>
      </c>
      <c r="D2483" s="3563" t="s">
        <v>6429</v>
      </c>
      <c r="E2483" s="3563" t="s">
        <v>4378</v>
      </c>
      <c r="F2483" s="3563" t="s">
        <v>4797</v>
      </c>
      <c r="G2483" s="3564">
        <v>88.71</v>
      </c>
      <c r="H2483" s="3564">
        <v>71</v>
      </c>
      <c r="I2483" s="3564">
        <v>17.71</v>
      </c>
      <c r="J2483" s="3565">
        <v>888563</v>
      </c>
      <c r="K2483" s="3565">
        <v>10016.49</v>
      </c>
      <c r="L2483" s="3565">
        <v>12514.97</v>
      </c>
      <c r="M2483" s="3565">
        <v>0</v>
      </c>
      <c r="N2483" s="3565">
        <v>0</v>
      </c>
      <c r="O2483" s="3563" t="s">
        <v>3453</v>
      </c>
    </row>
    <row r="2484" spans="1:15">
      <c r="A2484" s="3563" t="s">
        <v>6706</v>
      </c>
      <c r="B2484" s="3563" t="s">
        <v>4196</v>
      </c>
      <c r="C2484" s="3563" t="s">
        <v>4197</v>
      </c>
      <c r="D2484" s="3563" t="s">
        <v>6429</v>
      </c>
      <c r="E2484" s="3563" t="s">
        <v>4378</v>
      </c>
      <c r="F2484" s="3563" t="s">
        <v>4797</v>
      </c>
      <c r="G2484" s="3564">
        <v>102.46</v>
      </c>
      <c r="H2484" s="3564">
        <v>82.01</v>
      </c>
      <c r="I2484" s="3564">
        <v>20.45</v>
      </c>
      <c r="J2484" s="3565">
        <v>1075340</v>
      </c>
      <c r="K2484" s="3565">
        <v>10495.22</v>
      </c>
      <c r="L2484" s="3565">
        <v>13112.3</v>
      </c>
      <c r="M2484" s="3565">
        <v>0</v>
      </c>
      <c r="N2484" s="3565">
        <v>0</v>
      </c>
      <c r="O2484" s="3563" t="s">
        <v>3453</v>
      </c>
    </row>
    <row r="2485" spans="1:15">
      <c r="A2485" s="3563" t="s">
        <v>6707</v>
      </c>
      <c r="B2485" s="3563" t="s">
        <v>4196</v>
      </c>
      <c r="C2485" s="3563" t="s">
        <v>4197</v>
      </c>
      <c r="D2485" s="3563" t="s">
        <v>6429</v>
      </c>
      <c r="E2485" s="3563" t="s">
        <v>4378</v>
      </c>
      <c r="F2485" s="3563" t="s">
        <v>4797</v>
      </c>
      <c r="G2485" s="3564">
        <v>88.71</v>
      </c>
      <c r="H2485" s="3564">
        <v>71</v>
      </c>
      <c r="I2485" s="3564">
        <v>17.71</v>
      </c>
      <c r="J2485" s="3565">
        <v>931975</v>
      </c>
      <c r="K2485" s="3565">
        <v>10505.86</v>
      </c>
      <c r="L2485" s="3565">
        <v>13126.41</v>
      </c>
      <c r="M2485" s="3565">
        <v>0</v>
      </c>
      <c r="N2485" s="3565">
        <v>0</v>
      </c>
      <c r="O2485" s="3563" t="s">
        <v>3453</v>
      </c>
    </row>
    <row r="2486" spans="1:15">
      <c r="A2486" s="3563" t="s">
        <v>6708</v>
      </c>
      <c r="B2486" s="3563" t="s">
        <v>4196</v>
      </c>
      <c r="C2486" s="3563" t="s">
        <v>4197</v>
      </c>
      <c r="D2486" s="3563" t="s">
        <v>6429</v>
      </c>
      <c r="E2486" s="3563" t="s">
        <v>4378</v>
      </c>
      <c r="F2486" s="3563" t="s">
        <v>4797</v>
      </c>
      <c r="G2486" s="3564">
        <v>88.71</v>
      </c>
      <c r="H2486" s="3564">
        <v>71</v>
      </c>
      <c r="I2486" s="3564">
        <v>17.71</v>
      </c>
      <c r="J2486" s="3565">
        <v>931975</v>
      </c>
      <c r="K2486" s="3565">
        <v>10505.86</v>
      </c>
      <c r="L2486" s="3565">
        <v>13126.41</v>
      </c>
      <c r="M2486" s="3565">
        <v>0</v>
      </c>
      <c r="N2486" s="3565">
        <v>0</v>
      </c>
      <c r="O2486" s="3563" t="s">
        <v>3453</v>
      </c>
    </row>
    <row r="2487" spans="1:15">
      <c r="A2487" s="3563" t="s">
        <v>6709</v>
      </c>
      <c r="B2487" s="3563" t="s">
        <v>4196</v>
      </c>
      <c r="C2487" s="3563" t="s">
        <v>4197</v>
      </c>
      <c r="D2487" s="3563" t="s">
        <v>6429</v>
      </c>
      <c r="E2487" s="3563" t="s">
        <v>4378</v>
      </c>
      <c r="F2487" s="3563" t="s">
        <v>4797</v>
      </c>
      <c r="G2487" s="3564">
        <v>90.93</v>
      </c>
      <c r="H2487" s="3564">
        <v>72.78</v>
      </c>
      <c r="I2487" s="3564">
        <v>18.149999999999999</v>
      </c>
      <c r="J2487" s="3565">
        <v>892421</v>
      </c>
      <c r="K2487" s="3565">
        <v>9814.3700000000008</v>
      </c>
      <c r="L2487" s="3565">
        <v>12261.9</v>
      </c>
      <c r="M2487" s="3565">
        <v>0</v>
      </c>
      <c r="N2487" s="3565">
        <v>0</v>
      </c>
      <c r="O2487" s="3563" t="s">
        <v>3453</v>
      </c>
    </row>
    <row r="2488" spans="1:15">
      <c r="A2488" s="3563" t="s">
        <v>6710</v>
      </c>
      <c r="B2488" s="3563" t="s">
        <v>4196</v>
      </c>
      <c r="C2488" s="3563" t="s">
        <v>4197</v>
      </c>
      <c r="D2488" s="3563" t="s">
        <v>6429</v>
      </c>
      <c r="E2488" s="3563" t="s">
        <v>4378</v>
      </c>
      <c r="F2488" s="3563" t="s">
        <v>4797</v>
      </c>
      <c r="G2488" s="3564">
        <v>88.71</v>
      </c>
      <c r="H2488" s="3564">
        <v>71</v>
      </c>
      <c r="I2488" s="3564">
        <v>17.71</v>
      </c>
      <c r="J2488" s="3565">
        <v>898944</v>
      </c>
      <c r="K2488" s="3565">
        <v>10133.51</v>
      </c>
      <c r="L2488" s="3565">
        <v>12661.18</v>
      </c>
      <c r="M2488" s="3565">
        <v>0</v>
      </c>
      <c r="N2488" s="3565">
        <v>0</v>
      </c>
      <c r="O2488" s="3563" t="s">
        <v>3453</v>
      </c>
    </row>
    <row r="2489" spans="1:15">
      <c r="A2489" s="3563" t="s">
        <v>6711</v>
      </c>
      <c r="B2489" s="3563" t="s">
        <v>4196</v>
      </c>
      <c r="C2489" s="3563" t="s">
        <v>4197</v>
      </c>
      <c r="D2489" s="3563" t="s">
        <v>6429</v>
      </c>
      <c r="E2489" s="3563" t="s">
        <v>4378</v>
      </c>
      <c r="F2489" s="3563" t="s">
        <v>4797</v>
      </c>
      <c r="G2489" s="3564">
        <v>88.71</v>
      </c>
      <c r="H2489" s="3564">
        <v>71</v>
      </c>
      <c r="I2489" s="3564">
        <v>17.71</v>
      </c>
      <c r="J2489" s="3565">
        <v>898944</v>
      </c>
      <c r="K2489" s="3565">
        <v>10133.51</v>
      </c>
      <c r="L2489" s="3565">
        <v>12661.18</v>
      </c>
      <c r="M2489" s="3565">
        <v>0</v>
      </c>
      <c r="N2489" s="3565">
        <v>0</v>
      </c>
      <c r="O2489" s="3563" t="s">
        <v>3453</v>
      </c>
    </row>
    <row r="2490" spans="1:15">
      <c r="A2490" s="3563" t="s">
        <v>6712</v>
      </c>
      <c r="B2490" s="3563" t="s">
        <v>4196</v>
      </c>
      <c r="C2490" s="3563" t="s">
        <v>4197</v>
      </c>
      <c r="D2490" s="3563" t="s">
        <v>6429</v>
      </c>
      <c r="E2490" s="3563" t="s">
        <v>4378</v>
      </c>
      <c r="F2490" s="3563" t="s">
        <v>4797</v>
      </c>
      <c r="G2490" s="3564">
        <v>102.46</v>
      </c>
      <c r="H2490" s="3564">
        <v>82.01</v>
      </c>
      <c r="I2490" s="3564">
        <v>20.45</v>
      </c>
      <c r="J2490" s="3565">
        <v>1076430</v>
      </c>
      <c r="K2490" s="3565">
        <v>10505.86</v>
      </c>
      <c r="L2490" s="3565">
        <v>13125.59</v>
      </c>
      <c r="M2490" s="3565">
        <v>0</v>
      </c>
      <c r="N2490" s="3565">
        <v>0</v>
      </c>
      <c r="O2490" s="3563" t="s">
        <v>3453</v>
      </c>
    </row>
    <row r="2491" spans="1:15">
      <c r="A2491" s="3563" t="s">
        <v>6713</v>
      </c>
      <c r="B2491" s="3563" t="s">
        <v>4196</v>
      </c>
      <c r="C2491" s="3563" t="s">
        <v>4197</v>
      </c>
      <c r="D2491" s="3563" t="s">
        <v>6429</v>
      </c>
      <c r="E2491" s="3563" t="s">
        <v>4378</v>
      </c>
      <c r="F2491" s="3563" t="s">
        <v>4797</v>
      </c>
      <c r="G2491" s="3564">
        <v>88.71</v>
      </c>
      <c r="H2491" s="3564">
        <v>71</v>
      </c>
      <c r="I2491" s="3564">
        <v>17.71</v>
      </c>
      <c r="J2491" s="3565">
        <v>932919</v>
      </c>
      <c r="K2491" s="3565">
        <v>10516.5</v>
      </c>
      <c r="L2491" s="3565">
        <v>13139.7</v>
      </c>
      <c r="M2491" s="3565">
        <v>0</v>
      </c>
      <c r="N2491" s="3565">
        <v>0</v>
      </c>
      <c r="O2491" s="3563" t="s">
        <v>3453</v>
      </c>
    </row>
    <row r="2492" spans="1:15">
      <c r="A2492" s="3563" t="s">
        <v>6714</v>
      </c>
      <c r="B2492" s="3563" t="s">
        <v>4196</v>
      </c>
      <c r="C2492" s="3563" t="s">
        <v>4197</v>
      </c>
      <c r="D2492" s="3563" t="s">
        <v>6429</v>
      </c>
      <c r="E2492" s="3563" t="s">
        <v>4378</v>
      </c>
      <c r="F2492" s="3563" t="s">
        <v>4797</v>
      </c>
      <c r="G2492" s="3564">
        <v>88.71</v>
      </c>
      <c r="H2492" s="3564">
        <v>71</v>
      </c>
      <c r="I2492" s="3564">
        <v>17.71</v>
      </c>
      <c r="J2492" s="3565">
        <v>932919</v>
      </c>
      <c r="K2492" s="3565">
        <v>10516.5</v>
      </c>
      <c r="L2492" s="3565">
        <v>13139.7</v>
      </c>
      <c r="M2492" s="3565">
        <v>0</v>
      </c>
      <c r="N2492" s="3565">
        <v>0</v>
      </c>
      <c r="O2492" s="3563" t="s">
        <v>3453</v>
      </c>
    </row>
    <row r="2493" spans="1:15">
      <c r="A2493" s="3563" t="s">
        <v>6715</v>
      </c>
      <c r="B2493" s="3563" t="s">
        <v>4196</v>
      </c>
      <c r="C2493" s="3563" t="s">
        <v>4197</v>
      </c>
      <c r="D2493" s="3563" t="s">
        <v>6429</v>
      </c>
      <c r="E2493" s="3563" t="s">
        <v>4378</v>
      </c>
      <c r="F2493" s="3563" t="s">
        <v>4797</v>
      </c>
      <c r="G2493" s="3564">
        <v>90.93</v>
      </c>
      <c r="H2493" s="3564">
        <v>72.78</v>
      </c>
      <c r="I2493" s="3564">
        <v>18.149999999999999</v>
      </c>
      <c r="J2493" s="3565">
        <v>893388</v>
      </c>
      <c r="K2493" s="3565">
        <v>9825.01</v>
      </c>
      <c r="L2493" s="3565">
        <v>12275.19</v>
      </c>
      <c r="M2493" s="3565">
        <v>0</v>
      </c>
      <c r="N2493" s="3565">
        <v>0</v>
      </c>
      <c r="O2493" s="3563" t="s">
        <v>3453</v>
      </c>
    </row>
    <row r="2494" spans="1:15">
      <c r="A2494" s="3563" t="s">
        <v>6716</v>
      </c>
      <c r="B2494" s="3563" t="s">
        <v>4196</v>
      </c>
      <c r="C2494" s="3563" t="s">
        <v>4197</v>
      </c>
      <c r="D2494" s="3563" t="s">
        <v>6429</v>
      </c>
      <c r="E2494" s="3563" t="s">
        <v>4378</v>
      </c>
      <c r="F2494" s="3563" t="s">
        <v>4797</v>
      </c>
      <c r="G2494" s="3564">
        <v>88.71</v>
      </c>
      <c r="H2494" s="3564">
        <v>71</v>
      </c>
      <c r="I2494" s="3564">
        <v>17.71</v>
      </c>
      <c r="J2494" s="3565">
        <v>899888</v>
      </c>
      <c r="K2494" s="3565">
        <v>10144.16</v>
      </c>
      <c r="L2494" s="3565">
        <v>12674.48</v>
      </c>
      <c r="M2494" s="3565">
        <v>0</v>
      </c>
      <c r="N2494" s="3565">
        <v>0</v>
      </c>
      <c r="O2494" s="3563" t="s">
        <v>3453</v>
      </c>
    </row>
    <row r="2495" spans="1:15">
      <c r="A2495" s="3563" t="s">
        <v>6717</v>
      </c>
      <c r="B2495" s="3563" t="s">
        <v>4196</v>
      </c>
      <c r="C2495" s="3563" t="s">
        <v>4197</v>
      </c>
      <c r="D2495" s="3563" t="s">
        <v>6429</v>
      </c>
      <c r="E2495" s="3563" t="s">
        <v>4378</v>
      </c>
      <c r="F2495" s="3563" t="s">
        <v>4797</v>
      </c>
      <c r="G2495" s="3564">
        <v>88.71</v>
      </c>
      <c r="H2495" s="3564">
        <v>71</v>
      </c>
      <c r="I2495" s="3564">
        <v>17.71</v>
      </c>
      <c r="J2495" s="3565">
        <v>899888</v>
      </c>
      <c r="K2495" s="3565">
        <v>10144.16</v>
      </c>
      <c r="L2495" s="3565">
        <v>12674.48</v>
      </c>
      <c r="M2495" s="3565">
        <v>0</v>
      </c>
      <c r="N2495" s="3565">
        <v>0</v>
      </c>
      <c r="O2495" s="3563" t="s">
        <v>3453</v>
      </c>
    </row>
    <row r="2496" spans="1:15">
      <c r="A2496" s="3563" t="s">
        <v>6718</v>
      </c>
      <c r="B2496" s="3563" t="s">
        <v>4196</v>
      </c>
      <c r="C2496" s="3563" t="s">
        <v>4197</v>
      </c>
      <c r="D2496" s="3563" t="s">
        <v>6429</v>
      </c>
      <c r="E2496" s="3563" t="s">
        <v>4378</v>
      </c>
      <c r="F2496" s="3563" t="s">
        <v>4797</v>
      </c>
      <c r="G2496" s="3564">
        <v>102.46</v>
      </c>
      <c r="H2496" s="3564">
        <v>82.01</v>
      </c>
      <c r="I2496" s="3564">
        <v>20.45</v>
      </c>
      <c r="J2496" s="3565">
        <v>1077520</v>
      </c>
      <c r="K2496" s="3565">
        <v>10516.49</v>
      </c>
      <c r="L2496" s="3565">
        <v>13138.89</v>
      </c>
      <c r="M2496" s="3565">
        <v>0</v>
      </c>
      <c r="N2496" s="3565">
        <v>0</v>
      </c>
      <c r="O2496" s="3563" t="s">
        <v>3453</v>
      </c>
    </row>
    <row r="2497" spans="1:15">
      <c r="A2497" s="3563" t="s">
        <v>6719</v>
      </c>
      <c r="B2497" s="3563" t="s">
        <v>4196</v>
      </c>
      <c r="C2497" s="3563" t="s">
        <v>4197</v>
      </c>
      <c r="D2497" s="3563" t="s">
        <v>6429</v>
      </c>
      <c r="E2497" s="3563" t="s">
        <v>4378</v>
      </c>
      <c r="F2497" s="3563" t="s">
        <v>4797</v>
      </c>
      <c r="G2497" s="3564">
        <v>88.71</v>
      </c>
      <c r="H2497" s="3564">
        <v>71</v>
      </c>
      <c r="I2497" s="3564">
        <v>17.71</v>
      </c>
      <c r="J2497" s="3565">
        <v>933862</v>
      </c>
      <c r="K2497" s="3565">
        <v>10527.13</v>
      </c>
      <c r="L2497" s="3565">
        <v>13152.99</v>
      </c>
      <c r="M2497" s="3565">
        <v>0</v>
      </c>
      <c r="N2497" s="3565">
        <v>0</v>
      </c>
      <c r="O2497" s="3563" t="s">
        <v>3453</v>
      </c>
    </row>
    <row r="2498" spans="1:15">
      <c r="A2498" s="3563" t="s">
        <v>6720</v>
      </c>
      <c r="B2498" s="3563" t="s">
        <v>4196</v>
      </c>
      <c r="C2498" s="3563" t="s">
        <v>4197</v>
      </c>
      <c r="D2498" s="3563" t="s">
        <v>6429</v>
      </c>
      <c r="E2498" s="3563" t="s">
        <v>4378</v>
      </c>
      <c r="F2498" s="3563" t="s">
        <v>4797</v>
      </c>
      <c r="G2498" s="3564">
        <v>88.71</v>
      </c>
      <c r="H2498" s="3564">
        <v>71</v>
      </c>
      <c r="I2498" s="3564">
        <v>17.71</v>
      </c>
      <c r="J2498" s="3565">
        <v>933862</v>
      </c>
      <c r="K2498" s="3565">
        <v>10527.13</v>
      </c>
      <c r="L2498" s="3565">
        <v>13152.99</v>
      </c>
      <c r="M2498" s="3565">
        <v>0</v>
      </c>
      <c r="N2498" s="3565">
        <v>0</v>
      </c>
      <c r="O2498" s="3563" t="s">
        <v>3453</v>
      </c>
    </row>
    <row r="2499" spans="1:15">
      <c r="A2499" s="3563" t="s">
        <v>6721</v>
      </c>
      <c r="B2499" s="3563" t="s">
        <v>4196</v>
      </c>
      <c r="C2499" s="3563" t="s">
        <v>4197</v>
      </c>
      <c r="D2499" s="3563" t="s">
        <v>6429</v>
      </c>
      <c r="E2499" s="3563" t="s">
        <v>4378</v>
      </c>
      <c r="F2499" s="3563" t="s">
        <v>4797</v>
      </c>
      <c r="G2499" s="3564">
        <v>90.93</v>
      </c>
      <c r="H2499" s="3564">
        <v>72.78</v>
      </c>
      <c r="I2499" s="3564">
        <v>18.149999999999999</v>
      </c>
      <c r="J2499" s="3565">
        <v>894355</v>
      </c>
      <c r="K2499" s="3565">
        <v>9835.64</v>
      </c>
      <c r="L2499" s="3565">
        <v>12288.47</v>
      </c>
      <c r="M2499" s="3565">
        <v>0</v>
      </c>
      <c r="N2499" s="3565">
        <v>0</v>
      </c>
      <c r="O2499" s="3563" t="s">
        <v>3453</v>
      </c>
    </row>
    <row r="2500" spans="1:15">
      <c r="A2500" s="3563" t="s">
        <v>6722</v>
      </c>
      <c r="B2500" s="3563" t="s">
        <v>4196</v>
      </c>
      <c r="C2500" s="3563" t="s">
        <v>4197</v>
      </c>
      <c r="D2500" s="3563" t="s">
        <v>6429</v>
      </c>
      <c r="E2500" s="3563" t="s">
        <v>4378</v>
      </c>
      <c r="F2500" s="3563" t="s">
        <v>4797</v>
      </c>
      <c r="G2500" s="3564">
        <v>88.71</v>
      </c>
      <c r="H2500" s="3564">
        <v>71</v>
      </c>
      <c r="I2500" s="3564">
        <v>17.71</v>
      </c>
      <c r="J2500" s="3565">
        <v>900831</v>
      </c>
      <c r="K2500" s="3565">
        <v>10154.790000000001</v>
      </c>
      <c r="L2500" s="3565">
        <v>12687.76</v>
      </c>
      <c r="M2500" s="3565">
        <v>0</v>
      </c>
      <c r="N2500" s="3565">
        <v>0</v>
      </c>
      <c r="O2500" s="3563" t="s">
        <v>3453</v>
      </c>
    </row>
    <row r="2501" spans="1:15">
      <c r="A2501" s="3563" t="s">
        <v>6723</v>
      </c>
      <c r="B2501" s="3563" t="s">
        <v>4196</v>
      </c>
      <c r="C2501" s="3563" t="s">
        <v>4197</v>
      </c>
      <c r="D2501" s="3563" t="s">
        <v>6429</v>
      </c>
      <c r="E2501" s="3563" t="s">
        <v>4378</v>
      </c>
      <c r="F2501" s="3563" t="s">
        <v>4797</v>
      </c>
      <c r="G2501" s="3564">
        <v>88.71</v>
      </c>
      <c r="H2501" s="3564">
        <v>71</v>
      </c>
      <c r="I2501" s="3564">
        <v>17.71</v>
      </c>
      <c r="J2501" s="3565">
        <v>900831</v>
      </c>
      <c r="K2501" s="3565">
        <v>10154.790000000001</v>
      </c>
      <c r="L2501" s="3565">
        <v>12687.76</v>
      </c>
      <c r="M2501" s="3565">
        <v>0</v>
      </c>
      <c r="N2501" s="3565">
        <v>0</v>
      </c>
      <c r="O2501" s="3563" t="s">
        <v>3453</v>
      </c>
    </row>
    <row r="2502" spans="1:15">
      <c r="A2502" s="3563" t="s">
        <v>6724</v>
      </c>
      <c r="B2502" s="3563" t="s">
        <v>4196</v>
      </c>
      <c r="C2502" s="3563" t="s">
        <v>4197</v>
      </c>
      <c r="D2502" s="3563" t="s">
        <v>6429</v>
      </c>
      <c r="E2502" s="3563" t="s">
        <v>4378</v>
      </c>
      <c r="F2502" s="3563" t="s">
        <v>4797</v>
      </c>
      <c r="G2502" s="3564">
        <v>102.46</v>
      </c>
      <c r="H2502" s="3564">
        <v>82.01</v>
      </c>
      <c r="I2502" s="3564">
        <v>20.45</v>
      </c>
      <c r="J2502" s="3565">
        <v>1078610</v>
      </c>
      <c r="K2502" s="3565">
        <v>10527.13</v>
      </c>
      <c r="L2502" s="3565">
        <v>13152.18</v>
      </c>
      <c r="M2502" s="3565">
        <v>0</v>
      </c>
      <c r="N2502" s="3565">
        <v>0</v>
      </c>
      <c r="O2502" s="3563" t="s">
        <v>3453</v>
      </c>
    </row>
    <row r="2503" spans="1:15">
      <c r="A2503" s="3563" t="s">
        <v>6725</v>
      </c>
      <c r="B2503" s="3563" t="s">
        <v>4196</v>
      </c>
      <c r="C2503" s="3563" t="s">
        <v>4197</v>
      </c>
      <c r="D2503" s="3563" t="s">
        <v>6429</v>
      </c>
      <c r="E2503" s="3563" t="s">
        <v>4297</v>
      </c>
      <c r="F2503" s="3563" t="s">
        <v>4797</v>
      </c>
      <c r="G2503" s="3564">
        <v>88.8</v>
      </c>
      <c r="H2503" s="3564">
        <v>71</v>
      </c>
      <c r="I2503" s="3564">
        <v>17.8</v>
      </c>
      <c r="J2503" s="3565">
        <v>921583</v>
      </c>
      <c r="K2503" s="3565">
        <v>10378.19</v>
      </c>
      <c r="L2503" s="3565">
        <v>12980.04</v>
      </c>
      <c r="M2503" s="3565">
        <v>0</v>
      </c>
      <c r="N2503" s="3565">
        <v>0</v>
      </c>
      <c r="O2503" s="3563" t="s">
        <v>3453</v>
      </c>
    </row>
    <row r="2504" spans="1:15">
      <c r="A2504" s="3563" t="s">
        <v>6726</v>
      </c>
      <c r="B2504" s="3563" t="s">
        <v>4196</v>
      </c>
      <c r="C2504" s="3563" t="s">
        <v>4197</v>
      </c>
      <c r="D2504" s="3563" t="s">
        <v>6429</v>
      </c>
      <c r="E2504" s="3563" t="s">
        <v>4297</v>
      </c>
      <c r="F2504" s="3563" t="s">
        <v>4797</v>
      </c>
      <c r="G2504" s="3564">
        <v>88.8</v>
      </c>
      <c r="H2504" s="3564">
        <v>71</v>
      </c>
      <c r="I2504" s="3564">
        <v>17.8</v>
      </c>
      <c r="J2504" s="3565">
        <v>921583</v>
      </c>
      <c r="K2504" s="3565">
        <v>10378.19</v>
      </c>
      <c r="L2504" s="3565">
        <v>12980.04</v>
      </c>
      <c r="M2504" s="3565">
        <v>0</v>
      </c>
      <c r="N2504" s="3565">
        <v>0</v>
      </c>
      <c r="O2504" s="3563" t="s">
        <v>3453</v>
      </c>
    </row>
    <row r="2505" spans="1:15">
      <c r="A2505" s="3563" t="s">
        <v>6727</v>
      </c>
      <c r="B2505" s="3563" t="s">
        <v>4196</v>
      </c>
      <c r="C2505" s="3563" t="s">
        <v>4197</v>
      </c>
      <c r="D2505" s="3563" t="s">
        <v>6429</v>
      </c>
      <c r="E2505" s="3563" t="s">
        <v>4297</v>
      </c>
      <c r="F2505" s="3563" t="s">
        <v>4797</v>
      </c>
      <c r="G2505" s="3564">
        <v>91.02</v>
      </c>
      <c r="H2505" s="3564">
        <v>72.78</v>
      </c>
      <c r="I2505" s="3564">
        <v>18.239999999999998</v>
      </c>
      <c r="J2505" s="3565">
        <v>930099</v>
      </c>
      <c r="K2505" s="3565">
        <v>10218.620000000001</v>
      </c>
      <c r="L2505" s="3565">
        <v>12779.6</v>
      </c>
      <c r="M2505" s="3565">
        <v>0</v>
      </c>
      <c r="N2505" s="3565">
        <v>0</v>
      </c>
      <c r="O2505" s="3563" t="s">
        <v>3453</v>
      </c>
    </row>
    <row r="2506" spans="1:15">
      <c r="A2506" s="3563" t="s">
        <v>6728</v>
      </c>
      <c r="B2506" s="3563" t="s">
        <v>4196</v>
      </c>
      <c r="C2506" s="3563" t="s">
        <v>4197</v>
      </c>
      <c r="D2506" s="3563" t="s">
        <v>6429</v>
      </c>
      <c r="E2506" s="3563" t="s">
        <v>4297</v>
      </c>
      <c r="F2506" s="3563" t="s">
        <v>4797</v>
      </c>
      <c r="G2506" s="3564">
        <v>88.8</v>
      </c>
      <c r="H2506" s="3564">
        <v>71</v>
      </c>
      <c r="I2506" s="3564">
        <v>17.8</v>
      </c>
      <c r="J2506" s="3565">
        <v>907413</v>
      </c>
      <c r="K2506" s="3565">
        <v>10218.61</v>
      </c>
      <c r="L2506" s="3565">
        <v>12780.46</v>
      </c>
      <c r="M2506" s="3565">
        <v>0</v>
      </c>
      <c r="N2506" s="3565">
        <v>0</v>
      </c>
      <c r="O2506" s="3563" t="s">
        <v>3453</v>
      </c>
    </row>
    <row r="2507" spans="1:15">
      <c r="A2507" s="3563" t="s">
        <v>6729</v>
      </c>
      <c r="B2507" s="3563" t="s">
        <v>4196</v>
      </c>
      <c r="C2507" s="3563" t="s">
        <v>4197</v>
      </c>
      <c r="D2507" s="3563" t="s">
        <v>6429</v>
      </c>
      <c r="E2507" s="3563" t="s">
        <v>4297</v>
      </c>
      <c r="F2507" s="3563" t="s">
        <v>4797</v>
      </c>
      <c r="G2507" s="3564">
        <v>88.8</v>
      </c>
      <c r="H2507" s="3564">
        <v>71</v>
      </c>
      <c r="I2507" s="3564">
        <v>17.8</v>
      </c>
      <c r="J2507" s="3565">
        <v>907413</v>
      </c>
      <c r="K2507" s="3565">
        <v>10218.61</v>
      </c>
      <c r="L2507" s="3565">
        <v>12780.46</v>
      </c>
      <c r="M2507" s="3565">
        <v>0</v>
      </c>
      <c r="N2507" s="3565">
        <v>0</v>
      </c>
      <c r="O2507" s="3563" t="s">
        <v>3453</v>
      </c>
    </row>
    <row r="2508" spans="1:15">
      <c r="A2508" s="3563" t="s">
        <v>6730</v>
      </c>
      <c r="B2508" s="3563" t="s">
        <v>4196</v>
      </c>
      <c r="C2508" s="3563" t="s">
        <v>4197</v>
      </c>
      <c r="D2508" s="3563" t="s">
        <v>6429</v>
      </c>
      <c r="E2508" s="3563" t="s">
        <v>4297</v>
      </c>
      <c r="F2508" s="3563" t="s">
        <v>4797</v>
      </c>
      <c r="G2508" s="3564">
        <v>102.57</v>
      </c>
      <c r="H2508" s="3564">
        <v>82.01</v>
      </c>
      <c r="I2508" s="3564">
        <v>20.56</v>
      </c>
      <c r="J2508" s="3565">
        <v>1075404</v>
      </c>
      <c r="K2508" s="3565">
        <v>10484.59</v>
      </c>
      <c r="L2508" s="3565">
        <v>13113.08</v>
      </c>
      <c r="M2508" s="3565">
        <v>0</v>
      </c>
      <c r="N2508" s="3565">
        <v>0</v>
      </c>
      <c r="O2508" s="3563" t="s">
        <v>3453</v>
      </c>
    </row>
    <row r="2509" spans="1:15">
      <c r="A2509" s="3563" t="s">
        <v>6731</v>
      </c>
      <c r="B2509" s="3563" t="s">
        <v>4196</v>
      </c>
      <c r="C2509" s="3563" t="s">
        <v>4197</v>
      </c>
      <c r="D2509" s="3563" t="s">
        <v>6429</v>
      </c>
      <c r="E2509" s="3563" t="s">
        <v>4297</v>
      </c>
      <c r="F2509" s="3563" t="s">
        <v>4797</v>
      </c>
      <c r="G2509" s="3564">
        <v>88.8</v>
      </c>
      <c r="H2509" s="3564">
        <v>71</v>
      </c>
      <c r="I2509" s="3564">
        <v>17.8</v>
      </c>
      <c r="J2509" s="3565">
        <v>922528</v>
      </c>
      <c r="K2509" s="3565">
        <v>10388.83</v>
      </c>
      <c r="L2509" s="3565">
        <v>12993.35</v>
      </c>
      <c r="M2509" s="3565">
        <v>0</v>
      </c>
      <c r="N2509" s="3565">
        <v>0</v>
      </c>
      <c r="O2509" s="3563" t="s">
        <v>3453</v>
      </c>
    </row>
    <row r="2510" spans="1:15">
      <c r="A2510" s="3563" t="s">
        <v>6732</v>
      </c>
      <c r="B2510" s="3563" t="s">
        <v>4196</v>
      </c>
      <c r="C2510" s="3563" t="s">
        <v>4197</v>
      </c>
      <c r="D2510" s="3563" t="s">
        <v>6429</v>
      </c>
      <c r="E2510" s="3563" t="s">
        <v>4297</v>
      </c>
      <c r="F2510" s="3563" t="s">
        <v>4797</v>
      </c>
      <c r="G2510" s="3564">
        <v>88.8</v>
      </c>
      <c r="H2510" s="3564">
        <v>71</v>
      </c>
      <c r="I2510" s="3564">
        <v>17.8</v>
      </c>
      <c r="J2510" s="3565">
        <v>922528</v>
      </c>
      <c r="K2510" s="3565">
        <v>10388.83</v>
      </c>
      <c r="L2510" s="3565">
        <v>12993.35</v>
      </c>
      <c r="M2510" s="3565">
        <v>0</v>
      </c>
      <c r="N2510" s="3565">
        <v>0</v>
      </c>
      <c r="O2510" s="3563" t="s">
        <v>3453</v>
      </c>
    </row>
    <row r="2511" spans="1:15">
      <c r="A2511" s="3563" t="s">
        <v>6733</v>
      </c>
      <c r="B2511" s="3563" t="s">
        <v>4196</v>
      </c>
      <c r="C2511" s="3563" t="s">
        <v>4197</v>
      </c>
      <c r="D2511" s="3563" t="s">
        <v>6429</v>
      </c>
      <c r="E2511" s="3563" t="s">
        <v>4297</v>
      </c>
      <c r="F2511" s="3563" t="s">
        <v>4797</v>
      </c>
      <c r="G2511" s="3564">
        <v>91.02</v>
      </c>
      <c r="H2511" s="3564">
        <v>72.78</v>
      </c>
      <c r="I2511" s="3564">
        <v>18.239999999999998</v>
      </c>
      <c r="J2511" s="3565">
        <v>931068</v>
      </c>
      <c r="K2511" s="3565">
        <v>10229.27</v>
      </c>
      <c r="L2511" s="3565">
        <v>12792.91</v>
      </c>
      <c r="M2511" s="3565">
        <v>0</v>
      </c>
      <c r="N2511" s="3565">
        <v>0</v>
      </c>
      <c r="O2511" s="3563" t="s">
        <v>3453</v>
      </c>
    </row>
    <row r="2512" spans="1:15">
      <c r="A2512" s="3563" t="s">
        <v>6734</v>
      </c>
      <c r="B2512" s="3563" t="s">
        <v>4196</v>
      </c>
      <c r="C2512" s="3563" t="s">
        <v>4197</v>
      </c>
      <c r="D2512" s="3563" t="s">
        <v>6429</v>
      </c>
      <c r="E2512" s="3563" t="s">
        <v>4297</v>
      </c>
      <c r="F2512" s="3563" t="s">
        <v>4797</v>
      </c>
      <c r="G2512" s="3564">
        <v>88.8</v>
      </c>
      <c r="H2512" s="3564">
        <v>71</v>
      </c>
      <c r="I2512" s="3564">
        <v>17.8</v>
      </c>
      <c r="J2512" s="3565">
        <v>908358</v>
      </c>
      <c r="K2512" s="3565">
        <v>10229.26</v>
      </c>
      <c r="L2512" s="3565">
        <v>12793.77</v>
      </c>
      <c r="M2512" s="3565">
        <v>0</v>
      </c>
      <c r="N2512" s="3565">
        <v>0</v>
      </c>
      <c r="O2512" s="3563" t="s">
        <v>3453</v>
      </c>
    </row>
    <row r="2513" spans="1:15">
      <c r="A2513" s="3563" t="s">
        <v>6735</v>
      </c>
      <c r="B2513" s="3563" t="s">
        <v>4196</v>
      </c>
      <c r="C2513" s="3563" t="s">
        <v>4197</v>
      </c>
      <c r="D2513" s="3563" t="s">
        <v>6429</v>
      </c>
      <c r="E2513" s="3563" t="s">
        <v>4297</v>
      </c>
      <c r="F2513" s="3563" t="s">
        <v>4797</v>
      </c>
      <c r="G2513" s="3564">
        <v>88.8</v>
      </c>
      <c r="H2513" s="3564">
        <v>71</v>
      </c>
      <c r="I2513" s="3564">
        <v>17.8</v>
      </c>
      <c r="J2513" s="3565">
        <v>908358</v>
      </c>
      <c r="K2513" s="3565">
        <v>10229.26</v>
      </c>
      <c r="L2513" s="3565">
        <v>12793.77</v>
      </c>
      <c r="M2513" s="3565">
        <v>0</v>
      </c>
      <c r="N2513" s="3565">
        <v>0</v>
      </c>
      <c r="O2513" s="3563" t="s">
        <v>3453</v>
      </c>
    </row>
    <row r="2514" spans="1:15">
      <c r="A2514" s="3563" t="s">
        <v>6736</v>
      </c>
      <c r="B2514" s="3563" t="s">
        <v>4196</v>
      </c>
      <c r="C2514" s="3563" t="s">
        <v>4197</v>
      </c>
      <c r="D2514" s="3563" t="s">
        <v>6429</v>
      </c>
      <c r="E2514" s="3563" t="s">
        <v>4297</v>
      </c>
      <c r="F2514" s="3563" t="s">
        <v>4797</v>
      </c>
      <c r="G2514" s="3564">
        <v>102.57</v>
      </c>
      <c r="H2514" s="3564">
        <v>82.01</v>
      </c>
      <c r="I2514" s="3564">
        <v>20.56</v>
      </c>
      <c r="J2514" s="3565">
        <v>1076494</v>
      </c>
      <c r="K2514" s="3565">
        <v>10495.21</v>
      </c>
      <c r="L2514" s="3565">
        <v>13126.37</v>
      </c>
      <c r="M2514" s="3565">
        <v>0</v>
      </c>
      <c r="N2514" s="3565">
        <v>0</v>
      </c>
      <c r="O2514" s="3563" t="s">
        <v>3453</v>
      </c>
    </row>
    <row r="2515" spans="1:15">
      <c r="A2515" s="3563" t="s">
        <v>6737</v>
      </c>
      <c r="B2515" s="3563" t="s">
        <v>4196</v>
      </c>
      <c r="C2515" s="3563" t="s">
        <v>4197</v>
      </c>
      <c r="D2515" s="3563" t="s">
        <v>6429</v>
      </c>
      <c r="E2515" s="3563" t="s">
        <v>4297</v>
      </c>
      <c r="F2515" s="3563" t="s">
        <v>4797</v>
      </c>
      <c r="G2515" s="3564">
        <v>88.8</v>
      </c>
      <c r="H2515" s="3564">
        <v>71</v>
      </c>
      <c r="I2515" s="3564">
        <v>17.8</v>
      </c>
      <c r="J2515" s="3565">
        <v>923473</v>
      </c>
      <c r="K2515" s="3565">
        <v>10399.469999999999</v>
      </c>
      <c r="L2515" s="3565">
        <v>13006.66</v>
      </c>
      <c r="M2515" s="3565">
        <v>0</v>
      </c>
      <c r="N2515" s="3565">
        <v>0</v>
      </c>
      <c r="O2515" s="3563" t="s">
        <v>3453</v>
      </c>
    </row>
    <row r="2516" spans="1:15">
      <c r="A2516" s="3563" t="s">
        <v>6738</v>
      </c>
      <c r="B2516" s="3563" t="s">
        <v>4196</v>
      </c>
      <c r="C2516" s="3563" t="s">
        <v>4197</v>
      </c>
      <c r="D2516" s="3563" t="s">
        <v>6429</v>
      </c>
      <c r="E2516" s="3563" t="s">
        <v>4297</v>
      </c>
      <c r="F2516" s="3563" t="s">
        <v>4797</v>
      </c>
      <c r="G2516" s="3564">
        <v>88.8</v>
      </c>
      <c r="H2516" s="3564">
        <v>71</v>
      </c>
      <c r="I2516" s="3564">
        <v>17.8</v>
      </c>
      <c r="J2516" s="3565">
        <v>923473</v>
      </c>
      <c r="K2516" s="3565">
        <v>10399.469999999999</v>
      </c>
      <c r="L2516" s="3565">
        <v>13006.66</v>
      </c>
      <c r="M2516" s="3565">
        <v>0</v>
      </c>
      <c r="N2516" s="3565">
        <v>0</v>
      </c>
      <c r="O2516" s="3563" t="s">
        <v>3453</v>
      </c>
    </row>
    <row r="2517" spans="1:15">
      <c r="A2517" s="3563" t="s">
        <v>6739</v>
      </c>
      <c r="B2517" s="3563" t="s">
        <v>4196</v>
      </c>
      <c r="C2517" s="3563" t="s">
        <v>4197</v>
      </c>
      <c r="D2517" s="3563" t="s">
        <v>6429</v>
      </c>
      <c r="E2517" s="3563" t="s">
        <v>4297</v>
      </c>
      <c r="F2517" s="3563" t="s">
        <v>4797</v>
      </c>
      <c r="G2517" s="3564">
        <v>91.02</v>
      </c>
      <c r="H2517" s="3564">
        <v>72.78</v>
      </c>
      <c r="I2517" s="3564">
        <v>18.239999999999998</v>
      </c>
      <c r="J2517" s="3565">
        <v>932036</v>
      </c>
      <c r="K2517" s="3565">
        <v>10239.9</v>
      </c>
      <c r="L2517" s="3565">
        <v>12806.21</v>
      </c>
      <c r="M2517" s="3565">
        <v>0</v>
      </c>
      <c r="N2517" s="3565">
        <v>0</v>
      </c>
      <c r="O2517" s="3563" t="s">
        <v>3453</v>
      </c>
    </row>
    <row r="2518" spans="1:15">
      <c r="A2518" s="3563" t="s">
        <v>6740</v>
      </c>
      <c r="B2518" s="3563" t="s">
        <v>4196</v>
      </c>
      <c r="C2518" s="3563" t="s">
        <v>4197</v>
      </c>
      <c r="D2518" s="3563" t="s">
        <v>6429</v>
      </c>
      <c r="E2518" s="3563" t="s">
        <v>4297</v>
      </c>
      <c r="F2518" s="3563" t="s">
        <v>4797</v>
      </c>
      <c r="G2518" s="3564">
        <v>88.8</v>
      </c>
      <c r="H2518" s="3564">
        <v>71</v>
      </c>
      <c r="I2518" s="3564">
        <v>17.8</v>
      </c>
      <c r="J2518" s="3565">
        <v>909303</v>
      </c>
      <c r="K2518" s="3565">
        <v>10239.9</v>
      </c>
      <c r="L2518" s="3565">
        <v>12807.08</v>
      </c>
      <c r="M2518" s="3565">
        <v>0</v>
      </c>
      <c r="N2518" s="3565">
        <v>0</v>
      </c>
      <c r="O2518" s="3563" t="s">
        <v>3453</v>
      </c>
    </row>
    <row r="2519" spans="1:15">
      <c r="A2519" s="3563" t="s">
        <v>6741</v>
      </c>
      <c r="B2519" s="3563" t="s">
        <v>4196</v>
      </c>
      <c r="C2519" s="3563" t="s">
        <v>4197</v>
      </c>
      <c r="D2519" s="3563" t="s">
        <v>6429</v>
      </c>
      <c r="E2519" s="3563" t="s">
        <v>4297</v>
      </c>
      <c r="F2519" s="3563" t="s">
        <v>4797</v>
      </c>
      <c r="G2519" s="3564">
        <v>88.8</v>
      </c>
      <c r="H2519" s="3564">
        <v>71</v>
      </c>
      <c r="I2519" s="3564">
        <v>17.8</v>
      </c>
      <c r="J2519" s="3565">
        <v>909303</v>
      </c>
      <c r="K2519" s="3565">
        <v>10239.9</v>
      </c>
      <c r="L2519" s="3565">
        <v>12807.08</v>
      </c>
      <c r="M2519" s="3565">
        <v>0</v>
      </c>
      <c r="N2519" s="3565">
        <v>0</v>
      </c>
      <c r="O2519" s="3563" t="s">
        <v>3453</v>
      </c>
    </row>
    <row r="2520" spans="1:15">
      <c r="A2520" s="3563" t="s">
        <v>6742</v>
      </c>
      <c r="B2520" s="3563" t="s">
        <v>4196</v>
      </c>
      <c r="C2520" s="3563" t="s">
        <v>4197</v>
      </c>
      <c r="D2520" s="3563" t="s">
        <v>6429</v>
      </c>
      <c r="E2520" s="3563" t="s">
        <v>4297</v>
      </c>
      <c r="F2520" s="3563" t="s">
        <v>4797</v>
      </c>
      <c r="G2520" s="3564">
        <v>102.57</v>
      </c>
      <c r="H2520" s="3564">
        <v>82.01</v>
      </c>
      <c r="I2520" s="3564">
        <v>20.56</v>
      </c>
      <c r="J2520" s="3565">
        <v>1077586</v>
      </c>
      <c r="K2520" s="3565">
        <v>10505.86</v>
      </c>
      <c r="L2520" s="3565">
        <v>13139.69</v>
      </c>
      <c r="M2520" s="3565">
        <v>0</v>
      </c>
      <c r="N2520" s="3565">
        <v>0</v>
      </c>
      <c r="O2520" s="3563" t="s">
        <v>3453</v>
      </c>
    </row>
    <row r="2521" spans="1:15">
      <c r="A2521" s="3563" t="s">
        <v>6743</v>
      </c>
      <c r="B2521" s="3563" t="s">
        <v>4196</v>
      </c>
      <c r="C2521" s="3563" t="s">
        <v>4197</v>
      </c>
      <c r="D2521" s="3563" t="s">
        <v>6429</v>
      </c>
      <c r="E2521" s="3563" t="s">
        <v>4297</v>
      </c>
      <c r="F2521" s="3563" t="s">
        <v>4797</v>
      </c>
      <c r="G2521" s="3564">
        <v>88.8</v>
      </c>
      <c r="H2521" s="3564">
        <v>71</v>
      </c>
      <c r="I2521" s="3564">
        <v>17.8</v>
      </c>
      <c r="J2521" s="3565">
        <v>924418</v>
      </c>
      <c r="K2521" s="3565">
        <v>10410.11</v>
      </c>
      <c r="L2521" s="3565">
        <v>13019.97</v>
      </c>
      <c r="M2521" s="3565">
        <v>0</v>
      </c>
      <c r="N2521" s="3565">
        <v>0</v>
      </c>
      <c r="O2521" s="3563" t="s">
        <v>3453</v>
      </c>
    </row>
    <row r="2522" spans="1:15">
      <c r="A2522" s="3563" t="s">
        <v>6744</v>
      </c>
      <c r="B2522" s="3563" t="s">
        <v>4196</v>
      </c>
      <c r="C2522" s="3563" t="s">
        <v>4197</v>
      </c>
      <c r="D2522" s="3563" t="s">
        <v>6429</v>
      </c>
      <c r="E2522" s="3563" t="s">
        <v>4297</v>
      </c>
      <c r="F2522" s="3563" t="s">
        <v>4797</v>
      </c>
      <c r="G2522" s="3564">
        <v>88.8</v>
      </c>
      <c r="H2522" s="3564">
        <v>71</v>
      </c>
      <c r="I2522" s="3564">
        <v>17.8</v>
      </c>
      <c r="J2522" s="3565">
        <v>924418</v>
      </c>
      <c r="K2522" s="3565">
        <v>10410.11</v>
      </c>
      <c r="L2522" s="3565">
        <v>13019.97</v>
      </c>
      <c r="M2522" s="3565">
        <v>0</v>
      </c>
      <c r="N2522" s="3565">
        <v>0</v>
      </c>
      <c r="O2522" s="3563" t="s">
        <v>3453</v>
      </c>
    </row>
    <row r="2523" spans="1:15">
      <c r="A2523" s="3563" t="s">
        <v>6745</v>
      </c>
      <c r="B2523" s="3563" t="s">
        <v>4196</v>
      </c>
      <c r="C2523" s="3563" t="s">
        <v>4197</v>
      </c>
      <c r="D2523" s="3563" t="s">
        <v>6429</v>
      </c>
      <c r="E2523" s="3563" t="s">
        <v>4297</v>
      </c>
      <c r="F2523" s="3563" t="s">
        <v>4797</v>
      </c>
      <c r="G2523" s="3564">
        <v>91.02</v>
      </c>
      <c r="H2523" s="3564">
        <v>72.78</v>
      </c>
      <c r="I2523" s="3564">
        <v>18.239999999999998</v>
      </c>
      <c r="J2523" s="3565">
        <v>933004</v>
      </c>
      <c r="K2523" s="3565">
        <v>10250.540000000001</v>
      </c>
      <c r="L2523" s="3565">
        <v>12819.51</v>
      </c>
      <c r="M2523" s="3565">
        <v>0</v>
      </c>
      <c r="N2523" s="3565">
        <v>0</v>
      </c>
      <c r="O2523" s="3563" t="s">
        <v>3453</v>
      </c>
    </row>
    <row r="2524" spans="1:15">
      <c r="A2524" s="3563" t="s">
        <v>6746</v>
      </c>
      <c r="B2524" s="3563" t="s">
        <v>4196</v>
      </c>
      <c r="C2524" s="3563" t="s">
        <v>4197</v>
      </c>
      <c r="D2524" s="3563" t="s">
        <v>6429</v>
      </c>
      <c r="E2524" s="3563" t="s">
        <v>4297</v>
      </c>
      <c r="F2524" s="3563" t="s">
        <v>4797</v>
      </c>
      <c r="G2524" s="3564">
        <v>88.8</v>
      </c>
      <c r="H2524" s="3564">
        <v>71</v>
      </c>
      <c r="I2524" s="3564">
        <v>17.8</v>
      </c>
      <c r="J2524" s="3565">
        <v>910247</v>
      </c>
      <c r="K2524" s="3565">
        <v>10250.530000000001</v>
      </c>
      <c r="L2524" s="3565">
        <v>12820.38</v>
      </c>
      <c r="M2524" s="3565">
        <v>0</v>
      </c>
      <c r="N2524" s="3565">
        <v>0</v>
      </c>
      <c r="O2524" s="3563" t="s">
        <v>3453</v>
      </c>
    </row>
    <row r="2525" spans="1:15">
      <c r="A2525" s="3563" t="s">
        <v>6747</v>
      </c>
      <c r="B2525" s="3563" t="s">
        <v>4196</v>
      </c>
      <c r="C2525" s="3563" t="s">
        <v>4197</v>
      </c>
      <c r="D2525" s="3563" t="s">
        <v>6429</v>
      </c>
      <c r="E2525" s="3563" t="s">
        <v>4297</v>
      </c>
      <c r="F2525" s="3563" t="s">
        <v>4797</v>
      </c>
      <c r="G2525" s="3564">
        <v>88.8</v>
      </c>
      <c r="H2525" s="3564">
        <v>71</v>
      </c>
      <c r="I2525" s="3564">
        <v>17.8</v>
      </c>
      <c r="J2525" s="3565">
        <v>910247</v>
      </c>
      <c r="K2525" s="3565">
        <v>10250.530000000001</v>
      </c>
      <c r="L2525" s="3565">
        <v>12820.38</v>
      </c>
      <c r="M2525" s="3565">
        <v>0</v>
      </c>
      <c r="N2525" s="3565">
        <v>0</v>
      </c>
      <c r="O2525" s="3563" t="s">
        <v>3453</v>
      </c>
    </row>
    <row r="2526" spans="1:15">
      <c r="A2526" s="3563" t="s">
        <v>6748</v>
      </c>
      <c r="B2526" s="3563" t="s">
        <v>4196</v>
      </c>
      <c r="C2526" s="3563" t="s">
        <v>4197</v>
      </c>
      <c r="D2526" s="3563" t="s">
        <v>6429</v>
      </c>
      <c r="E2526" s="3563" t="s">
        <v>4297</v>
      </c>
      <c r="F2526" s="3563" t="s">
        <v>4797</v>
      </c>
      <c r="G2526" s="3564">
        <v>102.57</v>
      </c>
      <c r="H2526" s="3564">
        <v>82.01</v>
      </c>
      <c r="I2526" s="3564">
        <v>20.56</v>
      </c>
      <c r="J2526" s="3565">
        <v>1078677</v>
      </c>
      <c r="K2526" s="3565">
        <v>10516.5</v>
      </c>
      <c r="L2526" s="3565">
        <v>13152.99</v>
      </c>
      <c r="M2526" s="3565">
        <v>0</v>
      </c>
      <c r="N2526" s="3565">
        <v>0</v>
      </c>
      <c r="O2526" s="3563" t="s">
        <v>3453</v>
      </c>
    </row>
    <row r="2527" spans="1:15">
      <c r="A2527" s="3563" t="s">
        <v>6749</v>
      </c>
      <c r="B2527" s="3563" t="s">
        <v>4196</v>
      </c>
      <c r="C2527" s="3563" t="s">
        <v>4197</v>
      </c>
      <c r="D2527" s="3563" t="s">
        <v>6429</v>
      </c>
      <c r="E2527" s="3563" t="s">
        <v>4297</v>
      </c>
      <c r="F2527" s="3563" t="s">
        <v>4797</v>
      </c>
      <c r="G2527" s="3564">
        <v>88.8</v>
      </c>
      <c r="H2527" s="3564">
        <v>71</v>
      </c>
      <c r="I2527" s="3564">
        <v>17.8</v>
      </c>
      <c r="J2527" s="3565">
        <v>915915</v>
      </c>
      <c r="K2527" s="3565">
        <v>10314.36</v>
      </c>
      <c r="L2527" s="3565">
        <v>12900.21</v>
      </c>
      <c r="M2527" s="3565">
        <v>0</v>
      </c>
      <c r="N2527" s="3565">
        <v>0</v>
      </c>
      <c r="O2527" s="3563" t="s">
        <v>3453</v>
      </c>
    </row>
    <row r="2528" spans="1:15">
      <c r="A2528" s="3563" t="s">
        <v>6750</v>
      </c>
      <c r="B2528" s="3563" t="s">
        <v>4196</v>
      </c>
      <c r="C2528" s="3563" t="s">
        <v>4197</v>
      </c>
      <c r="D2528" s="3563" t="s">
        <v>6429</v>
      </c>
      <c r="E2528" s="3563" t="s">
        <v>4297</v>
      </c>
      <c r="F2528" s="3563" t="s">
        <v>4797</v>
      </c>
      <c r="G2528" s="3564">
        <v>88.8</v>
      </c>
      <c r="H2528" s="3564">
        <v>71</v>
      </c>
      <c r="I2528" s="3564">
        <v>17.8</v>
      </c>
      <c r="J2528" s="3565">
        <v>915915</v>
      </c>
      <c r="K2528" s="3565">
        <v>10314.36</v>
      </c>
      <c r="L2528" s="3565">
        <v>12900.21</v>
      </c>
      <c r="M2528" s="3565">
        <v>0</v>
      </c>
      <c r="N2528" s="3565">
        <v>0</v>
      </c>
      <c r="O2528" s="3563" t="s">
        <v>3453</v>
      </c>
    </row>
    <row r="2529" spans="1:15">
      <c r="A2529" s="3563" t="s">
        <v>6751</v>
      </c>
      <c r="B2529" s="3563" t="s">
        <v>4196</v>
      </c>
      <c r="C2529" s="3563" t="s">
        <v>4197</v>
      </c>
      <c r="D2529" s="3563" t="s">
        <v>6429</v>
      </c>
      <c r="E2529" s="3563" t="s">
        <v>4297</v>
      </c>
      <c r="F2529" s="3563" t="s">
        <v>4797</v>
      </c>
      <c r="G2529" s="3564">
        <v>91.02</v>
      </c>
      <c r="H2529" s="3564">
        <v>72.78</v>
      </c>
      <c r="I2529" s="3564">
        <v>18.239999999999998</v>
      </c>
      <c r="J2529" s="3565">
        <v>924289</v>
      </c>
      <c r="K2529" s="3565">
        <v>10154.790000000001</v>
      </c>
      <c r="L2529" s="3565">
        <v>12699.77</v>
      </c>
      <c r="M2529" s="3565">
        <v>0</v>
      </c>
      <c r="N2529" s="3565">
        <v>0</v>
      </c>
      <c r="O2529" s="3563" t="s">
        <v>3453</v>
      </c>
    </row>
    <row r="2530" spans="1:15">
      <c r="A2530" s="3563" t="s">
        <v>6752</v>
      </c>
      <c r="B2530" s="3563" t="s">
        <v>4196</v>
      </c>
      <c r="C2530" s="3563" t="s">
        <v>4197</v>
      </c>
      <c r="D2530" s="3563" t="s">
        <v>6429</v>
      </c>
      <c r="E2530" s="3563" t="s">
        <v>4297</v>
      </c>
      <c r="F2530" s="3563" t="s">
        <v>4797</v>
      </c>
      <c r="G2530" s="3564">
        <v>88.8</v>
      </c>
      <c r="H2530" s="3564">
        <v>71</v>
      </c>
      <c r="I2530" s="3564">
        <v>17.8</v>
      </c>
      <c r="J2530" s="3565">
        <v>901745</v>
      </c>
      <c r="K2530" s="3565">
        <v>10154.790000000001</v>
      </c>
      <c r="L2530" s="3565">
        <v>12700.63</v>
      </c>
      <c r="M2530" s="3565">
        <v>0</v>
      </c>
      <c r="N2530" s="3565">
        <v>0</v>
      </c>
      <c r="O2530" s="3563" t="s">
        <v>3453</v>
      </c>
    </row>
    <row r="2531" spans="1:15">
      <c r="A2531" s="3563" t="s">
        <v>6753</v>
      </c>
      <c r="B2531" s="3563" t="s">
        <v>4196</v>
      </c>
      <c r="C2531" s="3563" t="s">
        <v>4197</v>
      </c>
      <c r="D2531" s="3563" t="s">
        <v>6429</v>
      </c>
      <c r="E2531" s="3563" t="s">
        <v>4297</v>
      </c>
      <c r="F2531" s="3563" t="s">
        <v>4797</v>
      </c>
      <c r="G2531" s="3564">
        <v>88.8</v>
      </c>
      <c r="H2531" s="3564">
        <v>71</v>
      </c>
      <c r="I2531" s="3564">
        <v>17.8</v>
      </c>
      <c r="J2531" s="3565">
        <v>901745</v>
      </c>
      <c r="K2531" s="3565">
        <v>10154.790000000001</v>
      </c>
      <c r="L2531" s="3565">
        <v>12700.63</v>
      </c>
      <c r="M2531" s="3565">
        <v>0</v>
      </c>
      <c r="N2531" s="3565">
        <v>0</v>
      </c>
      <c r="O2531" s="3563" t="s">
        <v>3453</v>
      </c>
    </row>
    <row r="2532" spans="1:15">
      <c r="A2532" s="3563" t="s">
        <v>6754</v>
      </c>
      <c r="B2532" s="3563" t="s">
        <v>4196</v>
      </c>
      <c r="C2532" s="3563" t="s">
        <v>4197</v>
      </c>
      <c r="D2532" s="3563" t="s">
        <v>6429</v>
      </c>
      <c r="E2532" s="3563" t="s">
        <v>4297</v>
      </c>
      <c r="F2532" s="3563" t="s">
        <v>4797</v>
      </c>
      <c r="G2532" s="3564">
        <v>102.57</v>
      </c>
      <c r="H2532" s="3564">
        <v>82.01</v>
      </c>
      <c r="I2532" s="3564">
        <v>20.56</v>
      </c>
      <c r="J2532" s="3565">
        <v>1068856</v>
      </c>
      <c r="K2532" s="3565">
        <v>10420.75</v>
      </c>
      <c r="L2532" s="3565">
        <v>13033.24</v>
      </c>
      <c r="M2532" s="3565">
        <v>0</v>
      </c>
      <c r="N2532" s="3565">
        <v>0</v>
      </c>
      <c r="O2532" s="3563" t="s">
        <v>3453</v>
      </c>
    </row>
    <row r="2533" spans="1:15">
      <c r="A2533" s="3563" t="s">
        <v>6755</v>
      </c>
      <c r="B2533" s="3563" t="s">
        <v>4196</v>
      </c>
      <c r="C2533" s="3563" t="s">
        <v>4197</v>
      </c>
      <c r="D2533" s="3563" t="s">
        <v>6429</v>
      </c>
      <c r="E2533" s="3563" t="s">
        <v>4297</v>
      </c>
      <c r="F2533" s="3563" t="s">
        <v>4797</v>
      </c>
      <c r="G2533" s="3564">
        <v>88.8</v>
      </c>
      <c r="H2533" s="3564">
        <v>71</v>
      </c>
      <c r="I2533" s="3564">
        <v>17.8</v>
      </c>
      <c r="J2533" s="3565">
        <v>926307</v>
      </c>
      <c r="K2533" s="3565">
        <v>10431.39</v>
      </c>
      <c r="L2533" s="3565">
        <v>13046.58</v>
      </c>
      <c r="M2533" s="3565">
        <v>0</v>
      </c>
      <c r="N2533" s="3565">
        <v>0</v>
      </c>
      <c r="O2533" s="3563" t="s">
        <v>3453</v>
      </c>
    </row>
    <row r="2534" spans="1:15">
      <c r="A2534" s="3563" t="s">
        <v>6756</v>
      </c>
      <c r="B2534" s="3563" t="s">
        <v>4196</v>
      </c>
      <c r="C2534" s="3563" t="s">
        <v>4197</v>
      </c>
      <c r="D2534" s="3563" t="s">
        <v>6429</v>
      </c>
      <c r="E2534" s="3563" t="s">
        <v>4297</v>
      </c>
      <c r="F2534" s="3563" t="s">
        <v>4797</v>
      </c>
      <c r="G2534" s="3564">
        <v>88.8</v>
      </c>
      <c r="H2534" s="3564">
        <v>71</v>
      </c>
      <c r="I2534" s="3564">
        <v>17.8</v>
      </c>
      <c r="J2534" s="3565">
        <v>926307</v>
      </c>
      <c r="K2534" s="3565">
        <v>10431.39</v>
      </c>
      <c r="L2534" s="3565">
        <v>13046.58</v>
      </c>
      <c r="M2534" s="3565">
        <v>0</v>
      </c>
      <c r="N2534" s="3565">
        <v>0</v>
      </c>
      <c r="O2534" s="3563" t="s">
        <v>3453</v>
      </c>
    </row>
    <row r="2535" spans="1:15">
      <c r="A2535" s="3563" t="s">
        <v>6757</v>
      </c>
      <c r="B2535" s="3563" t="s">
        <v>4196</v>
      </c>
      <c r="C2535" s="3563" t="s">
        <v>4197</v>
      </c>
      <c r="D2535" s="3563" t="s">
        <v>6429</v>
      </c>
      <c r="E2535" s="3563" t="s">
        <v>4297</v>
      </c>
      <c r="F2535" s="3563" t="s">
        <v>4797</v>
      </c>
      <c r="G2535" s="3564">
        <v>91.02</v>
      </c>
      <c r="H2535" s="3564">
        <v>72.78</v>
      </c>
      <c r="I2535" s="3564">
        <v>18.239999999999998</v>
      </c>
      <c r="J2535" s="3565">
        <v>934941</v>
      </c>
      <c r="K2535" s="3565">
        <v>10271.82</v>
      </c>
      <c r="L2535" s="3565">
        <v>12846.13</v>
      </c>
      <c r="M2535" s="3565">
        <v>0</v>
      </c>
      <c r="N2535" s="3565">
        <v>0</v>
      </c>
      <c r="O2535" s="3563" t="s">
        <v>3453</v>
      </c>
    </row>
    <row r="2536" spans="1:15">
      <c r="A2536" s="3563" t="s">
        <v>6758</v>
      </c>
      <c r="B2536" s="3563" t="s">
        <v>4196</v>
      </c>
      <c r="C2536" s="3563" t="s">
        <v>4197</v>
      </c>
      <c r="D2536" s="3563" t="s">
        <v>6429</v>
      </c>
      <c r="E2536" s="3563" t="s">
        <v>4297</v>
      </c>
      <c r="F2536" s="3563" t="s">
        <v>4797</v>
      </c>
      <c r="G2536" s="3564">
        <v>88.8</v>
      </c>
      <c r="H2536" s="3564">
        <v>71</v>
      </c>
      <c r="I2536" s="3564">
        <v>17.8</v>
      </c>
      <c r="J2536" s="3565">
        <v>912137</v>
      </c>
      <c r="K2536" s="3565">
        <v>10271.81</v>
      </c>
      <c r="L2536" s="3565">
        <v>12847</v>
      </c>
      <c r="M2536" s="3565">
        <v>0</v>
      </c>
      <c r="N2536" s="3565">
        <v>0</v>
      </c>
      <c r="O2536" s="3563" t="s">
        <v>3453</v>
      </c>
    </row>
    <row r="2537" spans="1:15">
      <c r="A2537" s="3563" t="s">
        <v>6759</v>
      </c>
      <c r="B2537" s="3563" t="s">
        <v>4196</v>
      </c>
      <c r="C2537" s="3563" t="s">
        <v>4197</v>
      </c>
      <c r="D2537" s="3563" t="s">
        <v>6429</v>
      </c>
      <c r="E2537" s="3563" t="s">
        <v>4297</v>
      </c>
      <c r="F2537" s="3563" t="s">
        <v>4797</v>
      </c>
      <c r="G2537" s="3564">
        <v>88.8</v>
      </c>
      <c r="H2537" s="3564">
        <v>71</v>
      </c>
      <c r="I2537" s="3564">
        <v>17.8</v>
      </c>
      <c r="J2537" s="3565">
        <v>912137</v>
      </c>
      <c r="K2537" s="3565">
        <v>10271.81</v>
      </c>
      <c r="L2537" s="3565">
        <v>12847</v>
      </c>
      <c r="M2537" s="3565">
        <v>0</v>
      </c>
      <c r="N2537" s="3565">
        <v>0</v>
      </c>
      <c r="O2537" s="3563" t="s">
        <v>3453</v>
      </c>
    </row>
    <row r="2538" spans="1:15">
      <c r="A2538" s="3563" t="s">
        <v>6760</v>
      </c>
      <c r="B2538" s="3563" t="s">
        <v>4196</v>
      </c>
      <c r="C2538" s="3563" t="s">
        <v>4197</v>
      </c>
      <c r="D2538" s="3563" t="s">
        <v>6429</v>
      </c>
      <c r="E2538" s="3563" t="s">
        <v>4297</v>
      </c>
      <c r="F2538" s="3563" t="s">
        <v>4797</v>
      </c>
      <c r="G2538" s="3564">
        <v>102.57</v>
      </c>
      <c r="H2538" s="3564">
        <v>82.01</v>
      </c>
      <c r="I2538" s="3564">
        <v>20.56</v>
      </c>
      <c r="J2538" s="3565">
        <v>1080859</v>
      </c>
      <c r="K2538" s="3565">
        <v>10537.77</v>
      </c>
      <c r="L2538" s="3565">
        <v>13179.6</v>
      </c>
      <c r="M2538" s="3565">
        <v>0</v>
      </c>
      <c r="N2538" s="3565">
        <v>0</v>
      </c>
      <c r="O2538" s="3563" t="s">
        <v>3453</v>
      </c>
    </row>
    <row r="2539" spans="1:15">
      <c r="A2539" s="3563" t="s">
        <v>6761</v>
      </c>
      <c r="B2539" s="3563" t="s">
        <v>4196</v>
      </c>
      <c r="C2539" s="3563" t="s">
        <v>4197</v>
      </c>
      <c r="D2539" s="3563" t="s">
        <v>6429</v>
      </c>
      <c r="E2539" s="3563" t="s">
        <v>4297</v>
      </c>
      <c r="F2539" s="3563" t="s">
        <v>4797</v>
      </c>
      <c r="G2539" s="3564">
        <v>88.8</v>
      </c>
      <c r="H2539" s="3564">
        <v>71</v>
      </c>
      <c r="I2539" s="3564">
        <v>17.8</v>
      </c>
      <c r="J2539" s="3565">
        <v>925362</v>
      </c>
      <c r="K2539" s="3565">
        <v>10420.74</v>
      </c>
      <c r="L2539" s="3565">
        <v>13033.27</v>
      </c>
      <c r="M2539" s="3565">
        <v>0</v>
      </c>
      <c r="N2539" s="3565">
        <v>0</v>
      </c>
      <c r="O2539" s="3563" t="s">
        <v>3453</v>
      </c>
    </row>
    <row r="2540" spans="1:15">
      <c r="A2540" s="3563" t="s">
        <v>6762</v>
      </c>
      <c r="B2540" s="3563" t="s">
        <v>4196</v>
      </c>
      <c r="C2540" s="3563" t="s">
        <v>4197</v>
      </c>
      <c r="D2540" s="3563" t="s">
        <v>6429</v>
      </c>
      <c r="E2540" s="3563" t="s">
        <v>4297</v>
      </c>
      <c r="F2540" s="3563" t="s">
        <v>4797</v>
      </c>
      <c r="G2540" s="3564">
        <v>88.8</v>
      </c>
      <c r="H2540" s="3564">
        <v>71</v>
      </c>
      <c r="I2540" s="3564">
        <v>17.8</v>
      </c>
      <c r="J2540" s="3565">
        <v>925362</v>
      </c>
      <c r="K2540" s="3565">
        <v>10420.74</v>
      </c>
      <c r="L2540" s="3565">
        <v>13033.27</v>
      </c>
      <c r="M2540" s="3565">
        <v>0</v>
      </c>
      <c r="N2540" s="3565">
        <v>0</v>
      </c>
      <c r="O2540" s="3563" t="s">
        <v>3453</v>
      </c>
    </row>
    <row r="2541" spans="1:15">
      <c r="A2541" s="3563" t="s">
        <v>6763</v>
      </c>
      <c r="B2541" s="3563" t="s">
        <v>4196</v>
      </c>
      <c r="C2541" s="3563" t="s">
        <v>4197</v>
      </c>
      <c r="D2541" s="3563" t="s">
        <v>6429</v>
      </c>
      <c r="E2541" s="3563" t="s">
        <v>4297</v>
      </c>
      <c r="F2541" s="3563" t="s">
        <v>4797</v>
      </c>
      <c r="G2541" s="3564">
        <v>91.02</v>
      </c>
      <c r="H2541" s="3564">
        <v>72.78</v>
      </c>
      <c r="I2541" s="3564">
        <v>18.239999999999998</v>
      </c>
      <c r="J2541" s="3565">
        <v>933972</v>
      </c>
      <c r="K2541" s="3565">
        <v>10261.17</v>
      </c>
      <c r="L2541" s="3565">
        <v>12832.81</v>
      </c>
      <c r="M2541" s="3565">
        <v>0</v>
      </c>
      <c r="N2541" s="3565">
        <v>0</v>
      </c>
      <c r="O2541" s="3563" t="s">
        <v>3453</v>
      </c>
    </row>
    <row r="2542" spans="1:15">
      <c r="A2542" s="3563" t="s">
        <v>6764</v>
      </c>
      <c r="B2542" s="3563" t="s">
        <v>4196</v>
      </c>
      <c r="C2542" s="3563" t="s">
        <v>4197</v>
      </c>
      <c r="D2542" s="3563" t="s">
        <v>6429</v>
      </c>
      <c r="E2542" s="3563" t="s">
        <v>4297</v>
      </c>
      <c r="F2542" s="3563" t="s">
        <v>4797</v>
      </c>
      <c r="G2542" s="3564">
        <v>88.8</v>
      </c>
      <c r="H2542" s="3564">
        <v>71</v>
      </c>
      <c r="I2542" s="3564">
        <v>17.8</v>
      </c>
      <c r="J2542" s="3565">
        <v>911192</v>
      </c>
      <c r="K2542" s="3565">
        <v>10261.17</v>
      </c>
      <c r="L2542" s="3565">
        <v>12833.69</v>
      </c>
      <c r="M2542" s="3565">
        <v>0</v>
      </c>
      <c r="N2542" s="3565">
        <v>0</v>
      </c>
      <c r="O2542" s="3563" t="s">
        <v>3453</v>
      </c>
    </row>
    <row r="2543" spans="1:15">
      <c r="A2543" s="3563" t="s">
        <v>6765</v>
      </c>
      <c r="B2543" s="3563" t="s">
        <v>4196</v>
      </c>
      <c r="C2543" s="3563" t="s">
        <v>4197</v>
      </c>
      <c r="D2543" s="3563" t="s">
        <v>6429</v>
      </c>
      <c r="E2543" s="3563" t="s">
        <v>4297</v>
      </c>
      <c r="F2543" s="3563" t="s">
        <v>4797</v>
      </c>
      <c r="G2543" s="3564">
        <v>88.8</v>
      </c>
      <c r="H2543" s="3564">
        <v>71</v>
      </c>
      <c r="I2543" s="3564">
        <v>17.8</v>
      </c>
      <c r="J2543" s="3565">
        <v>911192</v>
      </c>
      <c r="K2543" s="3565">
        <v>10261.17</v>
      </c>
      <c r="L2543" s="3565">
        <v>12833.69</v>
      </c>
      <c r="M2543" s="3565">
        <v>0</v>
      </c>
      <c r="N2543" s="3565">
        <v>0</v>
      </c>
      <c r="O2543" s="3563" t="s">
        <v>3453</v>
      </c>
    </row>
    <row r="2544" spans="1:15">
      <c r="A2544" s="3563" t="s">
        <v>6766</v>
      </c>
      <c r="B2544" s="3563" t="s">
        <v>4196</v>
      </c>
      <c r="C2544" s="3563" t="s">
        <v>4197</v>
      </c>
      <c r="D2544" s="3563" t="s">
        <v>6429</v>
      </c>
      <c r="E2544" s="3563" t="s">
        <v>4297</v>
      </c>
      <c r="F2544" s="3563" t="s">
        <v>4797</v>
      </c>
      <c r="G2544" s="3564">
        <v>102.57</v>
      </c>
      <c r="H2544" s="3564">
        <v>82.01</v>
      </c>
      <c r="I2544" s="3564">
        <v>20.56</v>
      </c>
      <c r="J2544" s="3565">
        <v>1079768</v>
      </c>
      <c r="K2544" s="3565">
        <v>10527.13</v>
      </c>
      <c r="L2544" s="3565">
        <v>13166.3</v>
      </c>
      <c r="M2544" s="3565">
        <v>0</v>
      </c>
      <c r="N2544" s="3565">
        <v>0</v>
      </c>
      <c r="O2544" s="3563" t="s">
        <v>3453</v>
      </c>
    </row>
    <row r="2545" spans="1:15">
      <c r="A2545" s="3563" t="s">
        <v>6767</v>
      </c>
      <c r="B2545" s="3563" t="s">
        <v>4196</v>
      </c>
      <c r="C2545" s="3563" t="s">
        <v>4197</v>
      </c>
      <c r="D2545" s="3563" t="s">
        <v>6429</v>
      </c>
      <c r="E2545" s="3563" t="s">
        <v>4297</v>
      </c>
      <c r="F2545" s="3563" t="s">
        <v>4797</v>
      </c>
      <c r="G2545" s="3564">
        <v>88.8</v>
      </c>
      <c r="H2545" s="3564">
        <v>71</v>
      </c>
      <c r="I2545" s="3564">
        <v>17.8</v>
      </c>
      <c r="J2545" s="3565">
        <v>924418</v>
      </c>
      <c r="K2545" s="3565">
        <v>10410.11</v>
      </c>
      <c r="L2545" s="3565">
        <v>13019.97</v>
      </c>
      <c r="M2545" s="3565">
        <v>0</v>
      </c>
      <c r="N2545" s="3565">
        <v>0</v>
      </c>
      <c r="O2545" s="3563" t="s">
        <v>3453</v>
      </c>
    </row>
    <row r="2546" spans="1:15">
      <c r="A2546" s="3563" t="s">
        <v>6768</v>
      </c>
      <c r="B2546" s="3563" t="s">
        <v>4196</v>
      </c>
      <c r="C2546" s="3563" t="s">
        <v>4197</v>
      </c>
      <c r="D2546" s="3563" t="s">
        <v>6429</v>
      </c>
      <c r="E2546" s="3563" t="s">
        <v>4297</v>
      </c>
      <c r="F2546" s="3563" t="s">
        <v>4797</v>
      </c>
      <c r="G2546" s="3564">
        <v>88.8</v>
      </c>
      <c r="H2546" s="3564">
        <v>71</v>
      </c>
      <c r="I2546" s="3564">
        <v>17.8</v>
      </c>
      <c r="J2546" s="3565">
        <v>924418</v>
      </c>
      <c r="K2546" s="3565">
        <v>10410.11</v>
      </c>
      <c r="L2546" s="3565">
        <v>13019.97</v>
      </c>
      <c r="M2546" s="3565">
        <v>0</v>
      </c>
      <c r="N2546" s="3565">
        <v>0</v>
      </c>
      <c r="O2546" s="3563" t="s">
        <v>3453</v>
      </c>
    </row>
    <row r="2547" spans="1:15">
      <c r="A2547" s="3563" t="s">
        <v>6769</v>
      </c>
      <c r="B2547" s="3563" t="s">
        <v>4196</v>
      </c>
      <c r="C2547" s="3563" t="s">
        <v>4197</v>
      </c>
      <c r="D2547" s="3563" t="s">
        <v>6429</v>
      </c>
      <c r="E2547" s="3563" t="s">
        <v>4297</v>
      </c>
      <c r="F2547" s="3563" t="s">
        <v>4797</v>
      </c>
      <c r="G2547" s="3564">
        <v>91.02</v>
      </c>
      <c r="H2547" s="3564">
        <v>72.78</v>
      </c>
      <c r="I2547" s="3564">
        <v>18.239999999999998</v>
      </c>
      <c r="J2547" s="3565">
        <v>933004</v>
      </c>
      <c r="K2547" s="3565">
        <v>10250.540000000001</v>
      </c>
      <c r="L2547" s="3565">
        <v>12819.51</v>
      </c>
      <c r="M2547" s="3565">
        <v>0</v>
      </c>
      <c r="N2547" s="3565">
        <v>0</v>
      </c>
      <c r="O2547" s="3563" t="s">
        <v>3453</v>
      </c>
    </row>
    <row r="2548" spans="1:15">
      <c r="A2548" s="3563" t="s">
        <v>6770</v>
      </c>
      <c r="B2548" s="3563" t="s">
        <v>4196</v>
      </c>
      <c r="C2548" s="3563" t="s">
        <v>4197</v>
      </c>
      <c r="D2548" s="3563" t="s">
        <v>6429</v>
      </c>
      <c r="E2548" s="3563" t="s">
        <v>4297</v>
      </c>
      <c r="F2548" s="3563" t="s">
        <v>4797</v>
      </c>
      <c r="G2548" s="3564">
        <v>88.8</v>
      </c>
      <c r="H2548" s="3564">
        <v>71</v>
      </c>
      <c r="I2548" s="3564">
        <v>17.8</v>
      </c>
      <c r="J2548" s="3565">
        <v>910247</v>
      </c>
      <c r="K2548" s="3565">
        <v>10250.530000000001</v>
      </c>
      <c r="L2548" s="3565">
        <v>12820.38</v>
      </c>
      <c r="M2548" s="3565">
        <v>0</v>
      </c>
      <c r="N2548" s="3565">
        <v>0</v>
      </c>
      <c r="O2548" s="3563" t="s">
        <v>3453</v>
      </c>
    </row>
    <row r="2549" spans="1:15">
      <c r="A2549" s="3563" t="s">
        <v>6771</v>
      </c>
      <c r="B2549" s="3563" t="s">
        <v>4196</v>
      </c>
      <c r="C2549" s="3563" t="s">
        <v>4197</v>
      </c>
      <c r="D2549" s="3563" t="s">
        <v>6429</v>
      </c>
      <c r="E2549" s="3563" t="s">
        <v>4297</v>
      </c>
      <c r="F2549" s="3563" t="s">
        <v>4797</v>
      </c>
      <c r="G2549" s="3564">
        <v>88.8</v>
      </c>
      <c r="H2549" s="3564">
        <v>71</v>
      </c>
      <c r="I2549" s="3564">
        <v>17.8</v>
      </c>
      <c r="J2549" s="3565">
        <v>910247</v>
      </c>
      <c r="K2549" s="3565">
        <v>10250.530000000001</v>
      </c>
      <c r="L2549" s="3565">
        <v>12820.38</v>
      </c>
      <c r="M2549" s="3565">
        <v>0</v>
      </c>
      <c r="N2549" s="3565">
        <v>0</v>
      </c>
      <c r="O2549" s="3563" t="s">
        <v>3453</v>
      </c>
    </row>
    <row r="2550" spans="1:15">
      <c r="A2550" s="3563" t="s">
        <v>6772</v>
      </c>
      <c r="B2550" s="3563" t="s">
        <v>4196</v>
      </c>
      <c r="C2550" s="3563" t="s">
        <v>4197</v>
      </c>
      <c r="D2550" s="3563" t="s">
        <v>6429</v>
      </c>
      <c r="E2550" s="3563" t="s">
        <v>4297</v>
      </c>
      <c r="F2550" s="3563" t="s">
        <v>4797</v>
      </c>
      <c r="G2550" s="3564">
        <v>102.57</v>
      </c>
      <c r="H2550" s="3564">
        <v>82.01</v>
      </c>
      <c r="I2550" s="3564">
        <v>20.56</v>
      </c>
      <c r="J2550" s="3565">
        <v>1078677</v>
      </c>
      <c r="K2550" s="3565">
        <v>10516.5</v>
      </c>
      <c r="L2550" s="3565">
        <v>13152.99</v>
      </c>
      <c r="M2550" s="3565">
        <v>0</v>
      </c>
      <c r="N2550" s="3565">
        <v>0</v>
      </c>
      <c r="O2550" s="3563" t="s">
        <v>3453</v>
      </c>
    </row>
    <row r="2551" spans="1:15">
      <c r="A2551" s="3563" t="s">
        <v>6773</v>
      </c>
      <c r="B2551" s="3563" t="s">
        <v>4196</v>
      </c>
      <c r="C2551" s="3563" t="s">
        <v>4197</v>
      </c>
      <c r="D2551" s="3563" t="s">
        <v>6429</v>
      </c>
      <c r="E2551" s="3563" t="s">
        <v>4297</v>
      </c>
      <c r="F2551" s="3563" t="s">
        <v>4797</v>
      </c>
      <c r="G2551" s="3564">
        <v>88.8</v>
      </c>
      <c r="H2551" s="3564">
        <v>71</v>
      </c>
      <c r="I2551" s="3564">
        <v>17.8</v>
      </c>
      <c r="J2551" s="3565">
        <v>914026</v>
      </c>
      <c r="K2551" s="3565">
        <v>10293.09</v>
      </c>
      <c r="L2551" s="3565">
        <v>12873.61</v>
      </c>
      <c r="M2551" s="3565">
        <v>0</v>
      </c>
      <c r="N2551" s="3565">
        <v>0</v>
      </c>
      <c r="O2551" s="3563" t="s">
        <v>3453</v>
      </c>
    </row>
    <row r="2552" spans="1:15">
      <c r="A2552" s="3563" t="s">
        <v>6774</v>
      </c>
      <c r="B2552" s="3563" t="s">
        <v>4196</v>
      </c>
      <c r="C2552" s="3563" t="s">
        <v>4197</v>
      </c>
      <c r="D2552" s="3563" t="s">
        <v>6429</v>
      </c>
      <c r="E2552" s="3563" t="s">
        <v>4297</v>
      </c>
      <c r="F2552" s="3563" t="s">
        <v>4797</v>
      </c>
      <c r="G2552" s="3564">
        <v>88.8</v>
      </c>
      <c r="H2552" s="3564">
        <v>71</v>
      </c>
      <c r="I2552" s="3564">
        <v>17.8</v>
      </c>
      <c r="J2552" s="3565">
        <v>914026</v>
      </c>
      <c r="K2552" s="3565">
        <v>10293.09</v>
      </c>
      <c r="L2552" s="3565">
        <v>12873.61</v>
      </c>
      <c r="M2552" s="3565">
        <v>0</v>
      </c>
      <c r="N2552" s="3565">
        <v>0</v>
      </c>
      <c r="O2552" s="3563" t="s">
        <v>3453</v>
      </c>
    </row>
    <row r="2553" spans="1:15">
      <c r="A2553" s="3563" t="s">
        <v>6775</v>
      </c>
      <c r="B2553" s="3563" t="s">
        <v>4196</v>
      </c>
      <c r="C2553" s="3563" t="s">
        <v>4197</v>
      </c>
      <c r="D2553" s="3563" t="s">
        <v>6429</v>
      </c>
      <c r="E2553" s="3563" t="s">
        <v>4297</v>
      </c>
      <c r="F2553" s="3563" t="s">
        <v>4797</v>
      </c>
      <c r="G2553" s="3564">
        <v>91.02</v>
      </c>
      <c r="H2553" s="3564">
        <v>72.78</v>
      </c>
      <c r="I2553" s="3564">
        <v>18.239999999999998</v>
      </c>
      <c r="J2553" s="3565">
        <v>922353</v>
      </c>
      <c r="K2553" s="3565">
        <v>10133.52</v>
      </c>
      <c r="L2553" s="3565">
        <v>12673.17</v>
      </c>
      <c r="M2553" s="3565">
        <v>0</v>
      </c>
      <c r="N2553" s="3565">
        <v>0</v>
      </c>
      <c r="O2553" s="3563" t="s">
        <v>3453</v>
      </c>
    </row>
    <row r="2554" spans="1:15">
      <c r="A2554" s="3563" t="s">
        <v>6776</v>
      </c>
      <c r="B2554" s="3563" t="s">
        <v>4196</v>
      </c>
      <c r="C2554" s="3563" t="s">
        <v>4197</v>
      </c>
      <c r="D2554" s="3563" t="s">
        <v>6429</v>
      </c>
      <c r="E2554" s="3563" t="s">
        <v>4297</v>
      </c>
      <c r="F2554" s="3563" t="s">
        <v>4797</v>
      </c>
      <c r="G2554" s="3564">
        <v>88.8</v>
      </c>
      <c r="H2554" s="3564">
        <v>71</v>
      </c>
      <c r="I2554" s="3564">
        <v>17.8</v>
      </c>
      <c r="J2554" s="3565">
        <v>899856</v>
      </c>
      <c r="K2554" s="3565">
        <v>10133.51</v>
      </c>
      <c r="L2554" s="3565">
        <v>12674.03</v>
      </c>
      <c r="M2554" s="3565">
        <v>0</v>
      </c>
      <c r="N2554" s="3565">
        <v>0</v>
      </c>
      <c r="O2554" s="3563" t="s">
        <v>3453</v>
      </c>
    </row>
    <row r="2555" spans="1:15">
      <c r="A2555" s="3563" t="s">
        <v>6777</v>
      </c>
      <c r="B2555" s="3563" t="s">
        <v>4196</v>
      </c>
      <c r="C2555" s="3563" t="s">
        <v>4197</v>
      </c>
      <c r="D2555" s="3563" t="s">
        <v>6429</v>
      </c>
      <c r="E2555" s="3563" t="s">
        <v>4297</v>
      </c>
      <c r="F2555" s="3563" t="s">
        <v>4797</v>
      </c>
      <c r="G2555" s="3564">
        <v>88.8</v>
      </c>
      <c r="H2555" s="3564">
        <v>71</v>
      </c>
      <c r="I2555" s="3564">
        <v>17.8</v>
      </c>
      <c r="J2555" s="3565">
        <v>899856</v>
      </c>
      <c r="K2555" s="3565">
        <v>10133.51</v>
      </c>
      <c r="L2555" s="3565">
        <v>12674.03</v>
      </c>
      <c r="M2555" s="3565">
        <v>0</v>
      </c>
      <c r="N2555" s="3565">
        <v>0</v>
      </c>
      <c r="O2555" s="3563" t="s">
        <v>3453</v>
      </c>
    </row>
    <row r="2556" spans="1:15">
      <c r="A2556" s="3563" t="s">
        <v>6778</v>
      </c>
      <c r="B2556" s="3563" t="s">
        <v>4196</v>
      </c>
      <c r="C2556" s="3563" t="s">
        <v>4197</v>
      </c>
      <c r="D2556" s="3563" t="s">
        <v>6429</v>
      </c>
      <c r="E2556" s="3563" t="s">
        <v>4297</v>
      </c>
      <c r="F2556" s="3563" t="s">
        <v>4797</v>
      </c>
      <c r="G2556" s="3564">
        <v>102.57</v>
      </c>
      <c r="H2556" s="3564">
        <v>82.01</v>
      </c>
      <c r="I2556" s="3564">
        <v>20.56</v>
      </c>
      <c r="J2556" s="3565">
        <v>1066674</v>
      </c>
      <c r="K2556" s="3565">
        <v>10399.469999999999</v>
      </c>
      <c r="L2556" s="3565">
        <v>13006.63</v>
      </c>
      <c r="M2556" s="3565">
        <v>0</v>
      </c>
      <c r="N2556" s="3565">
        <v>0</v>
      </c>
      <c r="O2556" s="3563" t="s">
        <v>3453</v>
      </c>
    </row>
    <row r="2557" spans="1:15">
      <c r="A2557" s="3563" t="s">
        <v>6779</v>
      </c>
      <c r="B2557" s="3563" t="s">
        <v>4196</v>
      </c>
      <c r="C2557" s="3563" t="s">
        <v>4197</v>
      </c>
      <c r="D2557" s="3563" t="s">
        <v>6429</v>
      </c>
      <c r="E2557" s="3563" t="s">
        <v>4297</v>
      </c>
      <c r="F2557" s="3563" t="s">
        <v>4797</v>
      </c>
      <c r="G2557" s="3564">
        <v>88.8</v>
      </c>
      <c r="H2557" s="3564">
        <v>71</v>
      </c>
      <c r="I2557" s="3564">
        <v>17.8</v>
      </c>
      <c r="J2557" s="3565">
        <v>922528</v>
      </c>
      <c r="K2557" s="3565">
        <v>10388.83</v>
      </c>
      <c r="L2557" s="3565">
        <v>12993.35</v>
      </c>
      <c r="M2557" s="3565">
        <v>0</v>
      </c>
      <c r="N2557" s="3565">
        <v>0</v>
      </c>
      <c r="O2557" s="3563" t="s">
        <v>3453</v>
      </c>
    </row>
    <row r="2558" spans="1:15">
      <c r="A2558" s="3563" t="s">
        <v>6780</v>
      </c>
      <c r="B2558" s="3563" t="s">
        <v>4196</v>
      </c>
      <c r="C2558" s="3563" t="s">
        <v>4197</v>
      </c>
      <c r="D2558" s="3563" t="s">
        <v>6429</v>
      </c>
      <c r="E2558" s="3563" t="s">
        <v>4297</v>
      </c>
      <c r="F2558" s="3563" t="s">
        <v>4797</v>
      </c>
      <c r="G2558" s="3564">
        <v>88.8</v>
      </c>
      <c r="H2558" s="3564">
        <v>71</v>
      </c>
      <c r="I2558" s="3564">
        <v>17.8</v>
      </c>
      <c r="J2558" s="3565">
        <v>922528</v>
      </c>
      <c r="K2558" s="3565">
        <v>10388.83</v>
      </c>
      <c r="L2558" s="3565">
        <v>12993.35</v>
      </c>
      <c r="M2558" s="3565">
        <v>0</v>
      </c>
      <c r="N2558" s="3565">
        <v>0</v>
      </c>
      <c r="O2558" s="3563" t="s">
        <v>3453</v>
      </c>
    </row>
    <row r="2559" spans="1:15">
      <c r="A2559" s="3563" t="s">
        <v>6781</v>
      </c>
      <c r="B2559" s="3563" t="s">
        <v>4196</v>
      </c>
      <c r="C2559" s="3563" t="s">
        <v>4197</v>
      </c>
      <c r="D2559" s="3563" t="s">
        <v>6429</v>
      </c>
      <c r="E2559" s="3563" t="s">
        <v>4297</v>
      </c>
      <c r="F2559" s="3563" t="s">
        <v>4797</v>
      </c>
      <c r="G2559" s="3564">
        <v>91.02</v>
      </c>
      <c r="H2559" s="3564">
        <v>72.78</v>
      </c>
      <c r="I2559" s="3564">
        <v>18.239999999999998</v>
      </c>
      <c r="J2559" s="3565">
        <v>931068</v>
      </c>
      <c r="K2559" s="3565">
        <v>10229.27</v>
      </c>
      <c r="L2559" s="3565">
        <v>12792.91</v>
      </c>
      <c r="M2559" s="3565">
        <v>0</v>
      </c>
      <c r="N2559" s="3565">
        <v>0</v>
      </c>
      <c r="O2559" s="3563" t="s">
        <v>3453</v>
      </c>
    </row>
    <row r="2560" spans="1:15">
      <c r="A2560" s="3563" t="s">
        <v>6782</v>
      </c>
      <c r="B2560" s="3563" t="s">
        <v>4196</v>
      </c>
      <c r="C2560" s="3563" t="s">
        <v>4197</v>
      </c>
      <c r="D2560" s="3563" t="s">
        <v>6429</v>
      </c>
      <c r="E2560" s="3563" t="s">
        <v>4297</v>
      </c>
      <c r="F2560" s="3563" t="s">
        <v>4797</v>
      </c>
      <c r="G2560" s="3564">
        <v>88.8</v>
      </c>
      <c r="H2560" s="3564">
        <v>71</v>
      </c>
      <c r="I2560" s="3564">
        <v>17.8</v>
      </c>
      <c r="J2560" s="3565">
        <v>908358</v>
      </c>
      <c r="K2560" s="3565">
        <v>10229.26</v>
      </c>
      <c r="L2560" s="3565">
        <v>12793.77</v>
      </c>
      <c r="M2560" s="3565">
        <v>0</v>
      </c>
      <c r="N2560" s="3565">
        <v>0</v>
      </c>
      <c r="O2560" s="3563" t="s">
        <v>3453</v>
      </c>
    </row>
    <row r="2561" spans="1:15">
      <c r="A2561" s="3563" t="s">
        <v>6783</v>
      </c>
      <c r="B2561" s="3563" t="s">
        <v>4196</v>
      </c>
      <c r="C2561" s="3563" t="s">
        <v>4197</v>
      </c>
      <c r="D2561" s="3563" t="s">
        <v>6429</v>
      </c>
      <c r="E2561" s="3563" t="s">
        <v>4297</v>
      </c>
      <c r="F2561" s="3563" t="s">
        <v>4797</v>
      </c>
      <c r="G2561" s="3564">
        <v>88.8</v>
      </c>
      <c r="H2561" s="3564">
        <v>71</v>
      </c>
      <c r="I2561" s="3564">
        <v>17.8</v>
      </c>
      <c r="J2561" s="3565">
        <v>908358</v>
      </c>
      <c r="K2561" s="3565">
        <v>10229.26</v>
      </c>
      <c r="L2561" s="3565">
        <v>12793.77</v>
      </c>
      <c r="M2561" s="3565">
        <v>0</v>
      </c>
      <c r="N2561" s="3565">
        <v>0</v>
      </c>
      <c r="O2561" s="3563" t="s">
        <v>3453</v>
      </c>
    </row>
    <row r="2562" spans="1:15">
      <c r="A2562" s="3563" t="s">
        <v>6784</v>
      </c>
      <c r="B2562" s="3563" t="s">
        <v>4196</v>
      </c>
      <c r="C2562" s="3563" t="s">
        <v>4197</v>
      </c>
      <c r="D2562" s="3563" t="s">
        <v>6429</v>
      </c>
      <c r="E2562" s="3563" t="s">
        <v>4297</v>
      </c>
      <c r="F2562" s="3563" t="s">
        <v>4797</v>
      </c>
      <c r="G2562" s="3564">
        <v>102.57</v>
      </c>
      <c r="H2562" s="3564">
        <v>82.01</v>
      </c>
      <c r="I2562" s="3564">
        <v>20.56</v>
      </c>
      <c r="J2562" s="3565">
        <v>1076494</v>
      </c>
      <c r="K2562" s="3565">
        <v>10495.21</v>
      </c>
      <c r="L2562" s="3565">
        <v>13126.37</v>
      </c>
      <c r="M2562" s="3565">
        <v>0</v>
      </c>
      <c r="N2562" s="3565">
        <v>0</v>
      </c>
      <c r="O2562" s="3563" t="s">
        <v>3453</v>
      </c>
    </row>
    <row r="2563" spans="1:15">
      <c r="A2563" s="3563" t="s">
        <v>6785</v>
      </c>
      <c r="B2563" s="3563" t="s">
        <v>4196</v>
      </c>
      <c r="C2563" s="3563" t="s">
        <v>4197</v>
      </c>
      <c r="D2563" s="3563" t="s">
        <v>6429</v>
      </c>
      <c r="E2563" s="3563" t="s">
        <v>4297</v>
      </c>
      <c r="F2563" s="3563" t="s">
        <v>4797</v>
      </c>
      <c r="G2563" s="3564">
        <v>90.13</v>
      </c>
      <c r="H2563" s="3564">
        <v>71</v>
      </c>
      <c r="I2563" s="3564">
        <v>19.13</v>
      </c>
      <c r="J2563" s="3565">
        <v>896075</v>
      </c>
      <c r="K2563" s="3565">
        <v>9942.0300000000007</v>
      </c>
      <c r="L2563" s="3565">
        <v>12620.77</v>
      </c>
      <c r="M2563" s="3565">
        <v>0</v>
      </c>
      <c r="N2563" s="3565">
        <v>0</v>
      </c>
      <c r="O2563" s="3563" t="s">
        <v>3453</v>
      </c>
    </row>
    <row r="2564" spans="1:15">
      <c r="A2564" s="3563" t="s">
        <v>6786</v>
      </c>
      <c r="B2564" s="3563" t="s">
        <v>4196</v>
      </c>
      <c r="C2564" s="3563" t="s">
        <v>4197</v>
      </c>
      <c r="D2564" s="3563" t="s">
        <v>6429</v>
      </c>
      <c r="E2564" s="3563" t="s">
        <v>4297</v>
      </c>
      <c r="F2564" s="3563" t="s">
        <v>4797</v>
      </c>
      <c r="G2564" s="3564">
        <v>90.13</v>
      </c>
      <c r="H2564" s="3564">
        <v>71</v>
      </c>
      <c r="I2564" s="3564">
        <v>19.13</v>
      </c>
      <c r="J2564" s="3565">
        <v>896075</v>
      </c>
      <c r="K2564" s="3565">
        <v>9942.0300000000007</v>
      </c>
      <c r="L2564" s="3565">
        <v>12620.77</v>
      </c>
      <c r="M2564" s="3565">
        <v>0</v>
      </c>
      <c r="N2564" s="3565">
        <v>0</v>
      </c>
      <c r="O2564" s="3563" t="s">
        <v>3453</v>
      </c>
    </row>
    <row r="2565" spans="1:15">
      <c r="A2565" s="3563" t="s">
        <v>6787</v>
      </c>
      <c r="B2565" s="3563" t="s">
        <v>4196</v>
      </c>
      <c r="C2565" s="3563" t="s">
        <v>4197</v>
      </c>
      <c r="D2565" s="3563" t="s">
        <v>6429</v>
      </c>
      <c r="E2565" s="3563" t="s">
        <v>4297</v>
      </c>
      <c r="F2565" s="3563" t="s">
        <v>4797</v>
      </c>
      <c r="G2565" s="3564">
        <v>92.39</v>
      </c>
      <c r="H2565" s="3564">
        <v>72.78</v>
      </c>
      <c r="I2565" s="3564">
        <v>19.61</v>
      </c>
      <c r="J2565" s="3565">
        <v>893972</v>
      </c>
      <c r="K2565" s="3565">
        <v>9676.07</v>
      </c>
      <c r="L2565" s="3565">
        <v>12283.21</v>
      </c>
      <c r="M2565" s="3565">
        <v>0</v>
      </c>
      <c r="N2565" s="3565">
        <v>0</v>
      </c>
      <c r="O2565" s="3563" t="s">
        <v>3453</v>
      </c>
    </row>
    <row r="2566" spans="1:15">
      <c r="A2566" s="3563" t="s">
        <v>6788</v>
      </c>
      <c r="B2566" s="3563" t="s">
        <v>4196</v>
      </c>
      <c r="C2566" s="3563" t="s">
        <v>4197</v>
      </c>
      <c r="D2566" s="3563" t="s">
        <v>6429</v>
      </c>
      <c r="E2566" s="3563" t="s">
        <v>4297</v>
      </c>
      <c r="F2566" s="3563" t="s">
        <v>4797</v>
      </c>
      <c r="G2566" s="3564">
        <v>90.13</v>
      </c>
      <c r="H2566" s="3564">
        <v>71</v>
      </c>
      <c r="I2566" s="3564">
        <v>19.13</v>
      </c>
      <c r="J2566" s="3565">
        <v>872104</v>
      </c>
      <c r="K2566" s="3565">
        <v>9676.07</v>
      </c>
      <c r="L2566" s="3565">
        <v>12283.15</v>
      </c>
      <c r="M2566" s="3565">
        <v>0</v>
      </c>
      <c r="N2566" s="3565">
        <v>0</v>
      </c>
      <c r="O2566" s="3563" t="s">
        <v>3453</v>
      </c>
    </row>
    <row r="2567" spans="1:15">
      <c r="A2567" s="3563" t="s">
        <v>6789</v>
      </c>
      <c r="B2567" s="3563" t="s">
        <v>4196</v>
      </c>
      <c r="C2567" s="3563" t="s">
        <v>4197</v>
      </c>
      <c r="D2567" s="3563" t="s">
        <v>6429</v>
      </c>
      <c r="E2567" s="3563" t="s">
        <v>4297</v>
      </c>
      <c r="F2567" s="3563" t="s">
        <v>4797</v>
      </c>
      <c r="G2567" s="3564">
        <v>90.13</v>
      </c>
      <c r="H2567" s="3564">
        <v>71</v>
      </c>
      <c r="I2567" s="3564">
        <v>19.13</v>
      </c>
      <c r="J2567" s="3565">
        <v>872104</v>
      </c>
      <c r="K2567" s="3565">
        <v>9676.07</v>
      </c>
      <c r="L2567" s="3565">
        <v>12283.15</v>
      </c>
      <c r="M2567" s="3565">
        <v>0</v>
      </c>
      <c r="N2567" s="3565">
        <v>0</v>
      </c>
      <c r="O2567" s="3563" t="s">
        <v>3453</v>
      </c>
    </row>
    <row r="2568" spans="1:15">
      <c r="A2568" s="3563" t="s">
        <v>6790</v>
      </c>
      <c r="B2568" s="3563" t="s">
        <v>4196</v>
      </c>
      <c r="C2568" s="3563" t="s">
        <v>4197</v>
      </c>
      <c r="D2568" s="3563" t="s">
        <v>6429</v>
      </c>
      <c r="E2568" s="3563" t="s">
        <v>4297</v>
      </c>
      <c r="F2568" s="3563" t="s">
        <v>4797</v>
      </c>
      <c r="G2568" s="3564">
        <v>88.8</v>
      </c>
      <c r="H2568" s="3564">
        <v>71</v>
      </c>
      <c r="I2568" s="3564">
        <v>17.8</v>
      </c>
      <c r="J2568" s="3565">
        <v>921583</v>
      </c>
      <c r="K2568" s="3565">
        <v>10378.19</v>
      </c>
      <c r="L2568" s="3565">
        <v>12980.04</v>
      </c>
      <c r="M2568" s="3565">
        <v>0</v>
      </c>
      <c r="N2568" s="3565">
        <v>0</v>
      </c>
      <c r="O2568" s="3563" t="s">
        <v>3453</v>
      </c>
    </row>
    <row r="2569" spans="1:15">
      <c r="A2569" s="3563" t="s">
        <v>6791</v>
      </c>
      <c r="B2569" s="3563" t="s">
        <v>4196</v>
      </c>
      <c r="C2569" s="3563" t="s">
        <v>4197</v>
      </c>
      <c r="D2569" s="3563" t="s">
        <v>6429</v>
      </c>
      <c r="E2569" s="3563" t="s">
        <v>4297</v>
      </c>
      <c r="F2569" s="3563" t="s">
        <v>4797</v>
      </c>
      <c r="G2569" s="3564">
        <v>88.8</v>
      </c>
      <c r="H2569" s="3564">
        <v>71</v>
      </c>
      <c r="I2569" s="3564">
        <v>17.8</v>
      </c>
      <c r="J2569" s="3565">
        <v>921583</v>
      </c>
      <c r="K2569" s="3565">
        <v>10378.19</v>
      </c>
      <c r="L2569" s="3565">
        <v>12980.04</v>
      </c>
      <c r="M2569" s="3565">
        <v>0</v>
      </c>
      <c r="N2569" s="3565">
        <v>0</v>
      </c>
      <c r="O2569" s="3563" t="s">
        <v>3453</v>
      </c>
    </row>
    <row r="2570" spans="1:15">
      <c r="A2570" s="3563" t="s">
        <v>6792</v>
      </c>
      <c r="B2570" s="3563" t="s">
        <v>4196</v>
      </c>
      <c r="C2570" s="3563" t="s">
        <v>4197</v>
      </c>
      <c r="D2570" s="3563" t="s">
        <v>6429</v>
      </c>
      <c r="E2570" s="3563" t="s">
        <v>4297</v>
      </c>
      <c r="F2570" s="3563" t="s">
        <v>4797</v>
      </c>
      <c r="G2570" s="3564">
        <v>91.02</v>
      </c>
      <c r="H2570" s="3564">
        <v>72.78</v>
      </c>
      <c r="I2570" s="3564">
        <v>18.239999999999998</v>
      </c>
      <c r="J2570" s="3565">
        <v>930099</v>
      </c>
      <c r="K2570" s="3565">
        <v>10218.620000000001</v>
      </c>
      <c r="L2570" s="3565">
        <v>12779.6</v>
      </c>
      <c r="M2570" s="3565">
        <v>0</v>
      </c>
      <c r="N2570" s="3565">
        <v>0</v>
      </c>
      <c r="O2570" s="3563" t="s">
        <v>3453</v>
      </c>
    </row>
    <row r="2571" spans="1:15">
      <c r="A2571" s="3563" t="s">
        <v>6793</v>
      </c>
      <c r="B2571" s="3563" t="s">
        <v>4196</v>
      </c>
      <c r="C2571" s="3563" t="s">
        <v>4197</v>
      </c>
      <c r="D2571" s="3563" t="s">
        <v>6429</v>
      </c>
      <c r="E2571" s="3563" t="s">
        <v>4297</v>
      </c>
      <c r="F2571" s="3563" t="s">
        <v>4797</v>
      </c>
      <c r="G2571" s="3564">
        <v>88.8</v>
      </c>
      <c r="H2571" s="3564">
        <v>71</v>
      </c>
      <c r="I2571" s="3564">
        <v>17.8</v>
      </c>
      <c r="J2571" s="3565">
        <v>907413</v>
      </c>
      <c r="K2571" s="3565">
        <v>10218.61</v>
      </c>
      <c r="L2571" s="3565">
        <v>12780.46</v>
      </c>
      <c r="M2571" s="3565">
        <v>0</v>
      </c>
      <c r="N2571" s="3565">
        <v>0</v>
      </c>
      <c r="O2571" s="3563" t="s">
        <v>3453</v>
      </c>
    </row>
    <row r="2572" spans="1:15">
      <c r="A2572" s="3563" t="s">
        <v>6794</v>
      </c>
      <c r="B2572" s="3563" t="s">
        <v>4196</v>
      </c>
      <c r="C2572" s="3563" t="s">
        <v>4197</v>
      </c>
      <c r="D2572" s="3563" t="s">
        <v>6429</v>
      </c>
      <c r="E2572" s="3563" t="s">
        <v>4297</v>
      </c>
      <c r="F2572" s="3563" t="s">
        <v>4797</v>
      </c>
      <c r="G2572" s="3564">
        <v>88.8</v>
      </c>
      <c r="H2572" s="3564">
        <v>71</v>
      </c>
      <c r="I2572" s="3564">
        <v>17.8</v>
      </c>
      <c r="J2572" s="3565">
        <v>907413</v>
      </c>
      <c r="K2572" s="3565">
        <v>10218.61</v>
      </c>
      <c r="L2572" s="3565">
        <v>12780.46</v>
      </c>
      <c r="M2572" s="3565">
        <v>0</v>
      </c>
      <c r="N2572" s="3565">
        <v>0</v>
      </c>
      <c r="O2572" s="3563" t="s">
        <v>3453</v>
      </c>
    </row>
    <row r="2573" spans="1:15">
      <c r="A2573" s="3563" t="s">
        <v>6795</v>
      </c>
      <c r="B2573" s="3563" t="s">
        <v>4196</v>
      </c>
      <c r="C2573" s="3563" t="s">
        <v>4197</v>
      </c>
      <c r="D2573" s="3563" t="s">
        <v>6429</v>
      </c>
      <c r="E2573" s="3563" t="s">
        <v>4297</v>
      </c>
      <c r="F2573" s="3563" t="s">
        <v>4797</v>
      </c>
      <c r="G2573" s="3564">
        <v>102.57</v>
      </c>
      <c r="H2573" s="3564">
        <v>82.01</v>
      </c>
      <c r="I2573" s="3564">
        <v>20.56</v>
      </c>
      <c r="J2573" s="3565">
        <v>1075404</v>
      </c>
      <c r="K2573" s="3565">
        <v>10484.59</v>
      </c>
      <c r="L2573" s="3565">
        <v>13113.08</v>
      </c>
      <c r="M2573" s="3565">
        <v>0</v>
      </c>
      <c r="N2573" s="3565">
        <v>0</v>
      </c>
      <c r="O2573" s="3563" t="s">
        <v>3453</v>
      </c>
    </row>
    <row r="2574" spans="1:15">
      <c r="A2574" s="3563" t="s">
        <v>6796</v>
      </c>
      <c r="B2574" s="3563" t="s">
        <v>4196</v>
      </c>
      <c r="C2574" s="3563" t="s">
        <v>4197</v>
      </c>
      <c r="D2574" s="3563" t="s">
        <v>6429</v>
      </c>
      <c r="E2574" s="3563" t="s">
        <v>4297</v>
      </c>
      <c r="F2574" s="3563" t="s">
        <v>4797</v>
      </c>
      <c r="G2574" s="3564">
        <v>88.8</v>
      </c>
      <c r="H2574" s="3564">
        <v>71</v>
      </c>
      <c r="I2574" s="3564">
        <v>17.8</v>
      </c>
      <c r="J2574" s="3565">
        <v>920639</v>
      </c>
      <c r="K2574" s="3565">
        <v>10367.56</v>
      </c>
      <c r="L2574" s="3565">
        <v>12966.75</v>
      </c>
      <c r="M2574" s="3565">
        <v>0</v>
      </c>
      <c r="N2574" s="3565">
        <v>0</v>
      </c>
      <c r="O2574" s="3563" t="s">
        <v>3453</v>
      </c>
    </row>
    <row r="2575" spans="1:15">
      <c r="A2575" s="3563" t="s">
        <v>6797</v>
      </c>
      <c r="B2575" s="3563" t="s">
        <v>4196</v>
      </c>
      <c r="C2575" s="3563" t="s">
        <v>4197</v>
      </c>
      <c r="D2575" s="3563" t="s">
        <v>6429</v>
      </c>
      <c r="E2575" s="3563" t="s">
        <v>4297</v>
      </c>
      <c r="F2575" s="3563" t="s">
        <v>4797</v>
      </c>
      <c r="G2575" s="3564">
        <v>88.8</v>
      </c>
      <c r="H2575" s="3564">
        <v>71</v>
      </c>
      <c r="I2575" s="3564">
        <v>17.8</v>
      </c>
      <c r="J2575" s="3565">
        <v>920639</v>
      </c>
      <c r="K2575" s="3565">
        <v>10367.56</v>
      </c>
      <c r="L2575" s="3565">
        <v>12966.75</v>
      </c>
      <c r="M2575" s="3565">
        <v>0</v>
      </c>
      <c r="N2575" s="3565">
        <v>0</v>
      </c>
      <c r="O2575" s="3563" t="s">
        <v>3453</v>
      </c>
    </row>
    <row r="2576" spans="1:15">
      <c r="A2576" s="3563" t="s">
        <v>6798</v>
      </c>
      <c r="B2576" s="3563" t="s">
        <v>4196</v>
      </c>
      <c r="C2576" s="3563" t="s">
        <v>4197</v>
      </c>
      <c r="D2576" s="3563" t="s">
        <v>6429</v>
      </c>
      <c r="E2576" s="3563" t="s">
        <v>4297</v>
      </c>
      <c r="F2576" s="3563" t="s">
        <v>4797</v>
      </c>
      <c r="G2576" s="3564">
        <v>91.02</v>
      </c>
      <c r="H2576" s="3564">
        <v>72.78</v>
      </c>
      <c r="I2576" s="3564">
        <v>18.239999999999998</v>
      </c>
      <c r="J2576" s="3565">
        <v>929130</v>
      </c>
      <c r="K2576" s="3565">
        <v>10207.98</v>
      </c>
      <c r="L2576" s="3565">
        <v>12766.28</v>
      </c>
      <c r="M2576" s="3565">
        <v>0</v>
      </c>
      <c r="N2576" s="3565">
        <v>0</v>
      </c>
      <c r="O2576" s="3563" t="s">
        <v>3453</v>
      </c>
    </row>
    <row r="2577" spans="1:15">
      <c r="A2577" s="3563" t="s">
        <v>6799</v>
      </c>
      <c r="B2577" s="3563" t="s">
        <v>4196</v>
      </c>
      <c r="C2577" s="3563" t="s">
        <v>4197</v>
      </c>
      <c r="D2577" s="3563" t="s">
        <v>6429</v>
      </c>
      <c r="E2577" s="3563" t="s">
        <v>4297</v>
      </c>
      <c r="F2577" s="3563" t="s">
        <v>4797</v>
      </c>
      <c r="G2577" s="3564">
        <v>88.8</v>
      </c>
      <c r="H2577" s="3564">
        <v>71</v>
      </c>
      <c r="I2577" s="3564">
        <v>17.8</v>
      </c>
      <c r="J2577" s="3565">
        <v>906469</v>
      </c>
      <c r="K2577" s="3565">
        <v>10207.98</v>
      </c>
      <c r="L2577" s="3565">
        <v>12767.17</v>
      </c>
      <c r="M2577" s="3565">
        <v>0</v>
      </c>
      <c r="N2577" s="3565">
        <v>0</v>
      </c>
      <c r="O2577" s="3563" t="s">
        <v>3453</v>
      </c>
    </row>
    <row r="2578" spans="1:15">
      <c r="A2578" s="3563" t="s">
        <v>6800</v>
      </c>
      <c r="B2578" s="3563" t="s">
        <v>4196</v>
      </c>
      <c r="C2578" s="3563" t="s">
        <v>4197</v>
      </c>
      <c r="D2578" s="3563" t="s">
        <v>6429</v>
      </c>
      <c r="E2578" s="3563" t="s">
        <v>4297</v>
      </c>
      <c r="F2578" s="3563" t="s">
        <v>4797</v>
      </c>
      <c r="G2578" s="3564">
        <v>88.8</v>
      </c>
      <c r="H2578" s="3564">
        <v>71</v>
      </c>
      <c r="I2578" s="3564">
        <v>17.8</v>
      </c>
      <c r="J2578" s="3565">
        <v>906469</v>
      </c>
      <c r="K2578" s="3565">
        <v>10207.98</v>
      </c>
      <c r="L2578" s="3565">
        <v>12767.17</v>
      </c>
      <c r="M2578" s="3565">
        <v>0</v>
      </c>
      <c r="N2578" s="3565">
        <v>0</v>
      </c>
      <c r="O2578" s="3563" t="s">
        <v>3453</v>
      </c>
    </row>
    <row r="2579" spans="1:15">
      <c r="A2579" s="3563" t="s">
        <v>6801</v>
      </c>
      <c r="B2579" s="3563" t="s">
        <v>4196</v>
      </c>
      <c r="C2579" s="3563" t="s">
        <v>4197</v>
      </c>
      <c r="D2579" s="3563" t="s">
        <v>6429</v>
      </c>
      <c r="E2579" s="3563" t="s">
        <v>4297</v>
      </c>
      <c r="F2579" s="3563" t="s">
        <v>4797</v>
      </c>
      <c r="G2579" s="3564">
        <v>102.57</v>
      </c>
      <c r="H2579" s="3564">
        <v>82.01</v>
      </c>
      <c r="I2579" s="3564">
        <v>20.56</v>
      </c>
      <c r="J2579" s="3565">
        <v>1074312</v>
      </c>
      <c r="K2579" s="3565">
        <v>10473.94</v>
      </c>
      <c r="L2579" s="3565">
        <v>13099.77</v>
      </c>
      <c r="M2579" s="3565">
        <v>0</v>
      </c>
      <c r="N2579" s="3565">
        <v>0</v>
      </c>
      <c r="O2579" s="3563" t="s">
        <v>3453</v>
      </c>
    </row>
    <row r="2580" spans="1:15">
      <c r="A2580" s="3563" t="s">
        <v>6802</v>
      </c>
      <c r="B2580" s="3563" t="s">
        <v>4196</v>
      </c>
      <c r="C2580" s="3563" t="s">
        <v>4197</v>
      </c>
      <c r="D2580" s="3563" t="s">
        <v>6429</v>
      </c>
      <c r="E2580" s="3563" t="s">
        <v>4297</v>
      </c>
      <c r="F2580" s="3563" t="s">
        <v>4797</v>
      </c>
      <c r="G2580" s="3564">
        <v>88.8</v>
      </c>
      <c r="H2580" s="3564">
        <v>71</v>
      </c>
      <c r="I2580" s="3564">
        <v>17.8</v>
      </c>
      <c r="J2580" s="3565">
        <v>919694</v>
      </c>
      <c r="K2580" s="3565">
        <v>10356.91</v>
      </c>
      <c r="L2580" s="3565">
        <v>12953.44</v>
      </c>
      <c r="M2580" s="3565">
        <v>0</v>
      </c>
      <c r="N2580" s="3565">
        <v>0</v>
      </c>
      <c r="O2580" s="3563" t="s">
        <v>3453</v>
      </c>
    </row>
    <row r="2581" spans="1:15">
      <c r="A2581" s="3563" t="s">
        <v>6803</v>
      </c>
      <c r="B2581" s="3563" t="s">
        <v>4196</v>
      </c>
      <c r="C2581" s="3563" t="s">
        <v>4197</v>
      </c>
      <c r="D2581" s="3563" t="s">
        <v>6429</v>
      </c>
      <c r="E2581" s="3563" t="s">
        <v>4297</v>
      </c>
      <c r="F2581" s="3563" t="s">
        <v>4797</v>
      </c>
      <c r="G2581" s="3564">
        <v>88.8</v>
      </c>
      <c r="H2581" s="3564">
        <v>71</v>
      </c>
      <c r="I2581" s="3564">
        <v>17.8</v>
      </c>
      <c r="J2581" s="3565">
        <v>919694</v>
      </c>
      <c r="K2581" s="3565">
        <v>10356.91</v>
      </c>
      <c r="L2581" s="3565">
        <v>12953.44</v>
      </c>
      <c r="M2581" s="3565">
        <v>0</v>
      </c>
      <c r="N2581" s="3565">
        <v>0</v>
      </c>
      <c r="O2581" s="3563" t="s">
        <v>3453</v>
      </c>
    </row>
    <row r="2582" spans="1:15">
      <c r="A2582" s="3563" t="s">
        <v>6804</v>
      </c>
      <c r="B2582" s="3563" t="s">
        <v>4196</v>
      </c>
      <c r="C2582" s="3563" t="s">
        <v>4197</v>
      </c>
      <c r="D2582" s="3563" t="s">
        <v>6429</v>
      </c>
      <c r="E2582" s="3563" t="s">
        <v>4297</v>
      </c>
      <c r="F2582" s="3563" t="s">
        <v>4797</v>
      </c>
      <c r="G2582" s="3564">
        <v>91.02</v>
      </c>
      <c r="H2582" s="3564">
        <v>72.78</v>
      </c>
      <c r="I2582" s="3564">
        <v>18.239999999999998</v>
      </c>
      <c r="J2582" s="3565">
        <v>928162</v>
      </c>
      <c r="K2582" s="3565">
        <v>10197.34</v>
      </c>
      <c r="L2582" s="3565">
        <v>12752.98</v>
      </c>
      <c r="M2582" s="3565">
        <v>0</v>
      </c>
      <c r="N2582" s="3565">
        <v>0</v>
      </c>
      <c r="O2582" s="3563" t="s">
        <v>3453</v>
      </c>
    </row>
    <row r="2583" spans="1:15">
      <c r="A2583" s="3563" t="s">
        <v>6805</v>
      </c>
      <c r="B2583" s="3563" t="s">
        <v>4196</v>
      </c>
      <c r="C2583" s="3563" t="s">
        <v>4197</v>
      </c>
      <c r="D2583" s="3563" t="s">
        <v>6429</v>
      </c>
      <c r="E2583" s="3563" t="s">
        <v>4297</v>
      </c>
      <c r="F2583" s="3563" t="s">
        <v>4797</v>
      </c>
      <c r="G2583" s="3564">
        <v>88.8</v>
      </c>
      <c r="H2583" s="3564">
        <v>71</v>
      </c>
      <c r="I2583" s="3564">
        <v>17.8</v>
      </c>
      <c r="J2583" s="3565">
        <v>905524</v>
      </c>
      <c r="K2583" s="3565">
        <v>10197.34</v>
      </c>
      <c r="L2583" s="3565">
        <v>12753.86</v>
      </c>
      <c r="M2583" s="3565">
        <v>0</v>
      </c>
      <c r="N2583" s="3565">
        <v>0</v>
      </c>
      <c r="O2583" s="3563" t="s">
        <v>3453</v>
      </c>
    </row>
    <row r="2584" spans="1:15">
      <c r="A2584" s="3563" t="s">
        <v>6806</v>
      </c>
      <c r="B2584" s="3563" t="s">
        <v>4196</v>
      </c>
      <c r="C2584" s="3563" t="s">
        <v>4197</v>
      </c>
      <c r="D2584" s="3563" t="s">
        <v>6429</v>
      </c>
      <c r="E2584" s="3563" t="s">
        <v>4297</v>
      </c>
      <c r="F2584" s="3563" t="s">
        <v>4797</v>
      </c>
      <c r="G2584" s="3564">
        <v>88.8</v>
      </c>
      <c r="H2584" s="3564">
        <v>71</v>
      </c>
      <c r="I2584" s="3564">
        <v>17.8</v>
      </c>
      <c r="J2584" s="3565">
        <v>905524</v>
      </c>
      <c r="K2584" s="3565">
        <v>10197.34</v>
      </c>
      <c r="L2584" s="3565">
        <v>12753.86</v>
      </c>
      <c r="M2584" s="3565">
        <v>0</v>
      </c>
      <c r="N2584" s="3565">
        <v>0</v>
      </c>
      <c r="O2584" s="3563" t="s">
        <v>3453</v>
      </c>
    </row>
    <row r="2585" spans="1:15">
      <c r="A2585" s="3563" t="s">
        <v>6807</v>
      </c>
      <c r="B2585" s="3563" t="s">
        <v>4196</v>
      </c>
      <c r="C2585" s="3563" t="s">
        <v>4197</v>
      </c>
      <c r="D2585" s="3563" t="s">
        <v>6429</v>
      </c>
      <c r="E2585" s="3563" t="s">
        <v>4297</v>
      </c>
      <c r="F2585" s="3563" t="s">
        <v>4797</v>
      </c>
      <c r="G2585" s="3564">
        <v>102.57</v>
      </c>
      <c r="H2585" s="3564">
        <v>82.01</v>
      </c>
      <c r="I2585" s="3564">
        <v>20.56</v>
      </c>
      <c r="J2585" s="3565">
        <v>1073221</v>
      </c>
      <c r="K2585" s="3565">
        <v>10463.299999999999</v>
      </c>
      <c r="L2585" s="3565">
        <v>13086.47</v>
      </c>
      <c r="M2585" s="3565">
        <v>0</v>
      </c>
      <c r="N2585" s="3565">
        <v>0</v>
      </c>
      <c r="O2585" s="3563" t="s">
        <v>3453</v>
      </c>
    </row>
    <row r="2586" spans="1:15">
      <c r="A2586" s="3563" t="s">
        <v>6808</v>
      </c>
      <c r="B2586" s="3563" t="s">
        <v>4196</v>
      </c>
      <c r="C2586" s="3563" t="s">
        <v>4197</v>
      </c>
      <c r="D2586" s="3563" t="s">
        <v>6429</v>
      </c>
      <c r="E2586" s="3563" t="s">
        <v>4297</v>
      </c>
      <c r="F2586" s="3563" t="s">
        <v>4797</v>
      </c>
      <c r="G2586" s="3564">
        <v>88.8</v>
      </c>
      <c r="H2586" s="3564">
        <v>71</v>
      </c>
      <c r="I2586" s="3564">
        <v>17.8</v>
      </c>
      <c r="J2586" s="3565">
        <v>918749</v>
      </c>
      <c r="K2586" s="3565">
        <v>10346.27</v>
      </c>
      <c r="L2586" s="3565">
        <v>12940.13</v>
      </c>
      <c r="M2586" s="3565">
        <v>0</v>
      </c>
      <c r="N2586" s="3565">
        <v>0</v>
      </c>
      <c r="O2586" s="3563" t="s">
        <v>3453</v>
      </c>
    </row>
    <row r="2587" spans="1:15">
      <c r="A2587" s="3563" t="s">
        <v>6809</v>
      </c>
      <c r="B2587" s="3563" t="s">
        <v>4196</v>
      </c>
      <c r="C2587" s="3563" t="s">
        <v>4197</v>
      </c>
      <c r="D2587" s="3563" t="s">
        <v>6429</v>
      </c>
      <c r="E2587" s="3563" t="s">
        <v>4297</v>
      </c>
      <c r="F2587" s="3563" t="s">
        <v>4797</v>
      </c>
      <c r="G2587" s="3564">
        <v>88.8</v>
      </c>
      <c r="H2587" s="3564">
        <v>71</v>
      </c>
      <c r="I2587" s="3564">
        <v>17.8</v>
      </c>
      <c r="J2587" s="3565">
        <v>918749</v>
      </c>
      <c r="K2587" s="3565">
        <v>10346.27</v>
      </c>
      <c r="L2587" s="3565">
        <v>12940.13</v>
      </c>
      <c r="M2587" s="3565">
        <v>0</v>
      </c>
      <c r="N2587" s="3565">
        <v>0</v>
      </c>
      <c r="O2587" s="3563" t="s">
        <v>3453</v>
      </c>
    </row>
    <row r="2588" spans="1:15">
      <c r="A2588" s="3563" t="s">
        <v>6810</v>
      </c>
      <c r="B2588" s="3563" t="s">
        <v>4196</v>
      </c>
      <c r="C2588" s="3563" t="s">
        <v>4197</v>
      </c>
      <c r="D2588" s="3563" t="s">
        <v>6429</v>
      </c>
      <c r="E2588" s="3563" t="s">
        <v>4297</v>
      </c>
      <c r="F2588" s="3563" t="s">
        <v>4797</v>
      </c>
      <c r="G2588" s="3564">
        <v>91.02</v>
      </c>
      <c r="H2588" s="3564">
        <v>72.78</v>
      </c>
      <c r="I2588" s="3564">
        <v>18.239999999999998</v>
      </c>
      <c r="J2588" s="3565">
        <v>927194</v>
      </c>
      <c r="K2588" s="3565">
        <v>10186.709999999999</v>
      </c>
      <c r="L2588" s="3565">
        <v>12739.68</v>
      </c>
      <c r="M2588" s="3565">
        <v>0</v>
      </c>
      <c r="N2588" s="3565">
        <v>0</v>
      </c>
      <c r="O2588" s="3563" t="s">
        <v>3453</v>
      </c>
    </row>
    <row r="2589" spans="1:15">
      <c r="A2589" s="3563" t="s">
        <v>6811</v>
      </c>
      <c r="B2589" s="3563" t="s">
        <v>4196</v>
      </c>
      <c r="C2589" s="3563" t="s">
        <v>4197</v>
      </c>
      <c r="D2589" s="3563" t="s">
        <v>6429</v>
      </c>
      <c r="E2589" s="3563" t="s">
        <v>4297</v>
      </c>
      <c r="F2589" s="3563" t="s">
        <v>4797</v>
      </c>
      <c r="G2589" s="3564">
        <v>88.8</v>
      </c>
      <c r="H2589" s="3564">
        <v>71</v>
      </c>
      <c r="I2589" s="3564">
        <v>17.8</v>
      </c>
      <c r="J2589" s="3565">
        <v>904579</v>
      </c>
      <c r="K2589" s="3565">
        <v>10186.700000000001</v>
      </c>
      <c r="L2589" s="3565">
        <v>12740.55</v>
      </c>
      <c r="M2589" s="3565">
        <v>0</v>
      </c>
      <c r="N2589" s="3565">
        <v>0</v>
      </c>
      <c r="O2589" s="3563" t="s">
        <v>3453</v>
      </c>
    </row>
    <row r="2590" spans="1:15">
      <c r="A2590" s="3563" t="s">
        <v>6812</v>
      </c>
      <c r="B2590" s="3563" t="s">
        <v>4196</v>
      </c>
      <c r="C2590" s="3563" t="s">
        <v>4197</v>
      </c>
      <c r="D2590" s="3563" t="s">
        <v>6429</v>
      </c>
      <c r="E2590" s="3563" t="s">
        <v>4297</v>
      </c>
      <c r="F2590" s="3563" t="s">
        <v>4797</v>
      </c>
      <c r="G2590" s="3564">
        <v>88.8</v>
      </c>
      <c r="H2590" s="3564">
        <v>71</v>
      </c>
      <c r="I2590" s="3564">
        <v>17.8</v>
      </c>
      <c r="J2590" s="3565">
        <v>904579</v>
      </c>
      <c r="K2590" s="3565">
        <v>10186.700000000001</v>
      </c>
      <c r="L2590" s="3565">
        <v>12740.55</v>
      </c>
      <c r="M2590" s="3565">
        <v>0</v>
      </c>
      <c r="N2590" s="3565">
        <v>0</v>
      </c>
      <c r="O2590" s="3563" t="s">
        <v>3453</v>
      </c>
    </row>
    <row r="2591" spans="1:15">
      <c r="A2591" s="3563" t="s">
        <v>6813</v>
      </c>
      <c r="B2591" s="3563" t="s">
        <v>4196</v>
      </c>
      <c r="C2591" s="3563" t="s">
        <v>4197</v>
      </c>
      <c r="D2591" s="3563" t="s">
        <v>6429</v>
      </c>
      <c r="E2591" s="3563" t="s">
        <v>4297</v>
      </c>
      <c r="F2591" s="3563" t="s">
        <v>4797</v>
      </c>
      <c r="G2591" s="3564">
        <v>102.57</v>
      </c>
      <c r="H2591" s="3564">
        <v>82.01</v>
      </c>
      <c r="I2591" s="3564">
        <v>20.56</v>
      </c>
      <c r="J2591" s="3565">
        <v>1072130</v>
      </c>
      <c r="K2591" s="3565">
        <v>10452.67</v>
      </c>
      <c r="L2591" s="3565">
        <v>13073.16</v>
      </c>
      <c r="M2591" s="3565">
        <v>0</v>
      </c>
      <c r="N2591" s="3565">
        <v>0</v>
      </c>
      <c r="O2591" s="3563" t="s">
        <v>3453</v>
      </c>
    </row>
    <row r="2592" spans="1:15">
      <c r="A2592" s="3563" t="s">
        <v>6814</v>
      </c>
      <c r="B2592" s="3563" t="s">
        <v>4196</v>
      </c>
      <c r="C2592" s="3563" t="s">
        <v>4197</v>
      </c>
      <c r="D2592" s="3563" t="s">
        <v>6429</v>
      </c>
      <c r="E2592" s="3563" t="s">
        <v>4297</v>
      </c>
      <c r="F2592" s="3563" t="s">
        <v>4797</v>
      </c>
      <c r="G2592" s="3564">
        <v>88.8</v>
      </c>
      <c r="H2592" s="3564">
        <v>71</v>
      </c>
      <c r="I2592" s="3564">
        <v>17.8</v>
      </c>
      <c r="J2592" s="3565">
        <v>917805</v>
      </c>
      <c r="K2592" s="3565">
        <v>10335.64</v>
      </c>
      <c r="L2592" s="3565">
        <v>12926.83</v>
      </c>
      <c r="M2592" s="3565">
        <v>0</v>
      </c>
      <c r="N2592" s="3565">
        <v>0</v>
      </c>
      <c r="O2592" s="3563" t="s">
        <v>3453</v>
      </c>
    </row>
    <row r="2593" spans="1:15">
      <c r="A2593" s="3563" t="s">
        <v>6815</v>
      </c>
      <c r="B2593" s="3563" t="s">
        <v>4196</v>
      </c>
      <c r="C2593" s="3563" t="s">
        <v>4197</v>
      </c>
      <c r="D2593" s="3563" t="s">
        <v>6429</v>
      </c>
      <c r="E2593" s="3563" t="s">
        <v>4297</v>
      </c>
      <c r="F2593" s="3563" t="s">
        <v>4797</v>
      </c>
      <c r="G2593" s="3564">
        <v>88.8</v>
      </c>
      <c r="H2593" s="3564">
        <v>71</v>
      </c>
      <c r="I2593" s="3564">
        <v>17.8</v>
      </c>
      <c r="J2593" s="3565">
        <v>917805</v>
      </c>
      <c r="K2593" s="3565">
        <v>10335.64</v>
      </c>
      <c r="L2593" s="3565">
        <v>12926.83</v>
      </c>
      <c r="M2593" s="3565">
        <v>0</v>
      </c>
      <c r="N2593" s="3565">
        <v>0</v>
      </c>
      <c r="O2593" s="3563" t="s">
        <v>3453</v>
      </c>
    </row>
    <row r="2594" spans="1:15">
      <c r="A2594" s="3563" t="s">
        <v>6816</v>
      </c>
      <c r="B2594" s="3563" t="s">
        <v>4196</v>
      </c>
      <c r="C2594" s="3563" t="s">
        <v>4197</v>
      </c>
      <c r="D2594" s="3563" t="s">
        <v>6429</v>
      </c>
      <c r="E2594" s="3563" t="s">
        <v>4297</v>
      </c>
      <c r="F2594" s="3563" t="s">
        <v>4797</v>
      </c>
      <c r="G2594" s="3564">
        <v>91.02</v>
      </c>
      <c r="H2594" s="3564">
        <v>72.78</v>
      </c>
      <c r="I2594" s="3564">
        <v>18.239999999999998</v>
      </c>
      <c r="J2594" s="3565">
        <v>926226</v>
      </c>
      <c r="K2594" s="3565">
        <v>10176.07</v>
      </c>
      <c r="L2594" s="3565">
        <v>12726.38</v>
      </c>
      <c r="M2594" s="3565">
        <v>0</v>
      </c>
      <c r="N2594" s="3565">
        <v>0</v>
      </c>
      <c r="O2594" s="3563" t="s">
        <v>3453</v>
      </c>
    </row>
    <row r="2595" spans="1:15">
      <c r="A2595" s="3563" t="s">
        <v>6817</v>
      </c>
      <c r="B2595" s="3563" t="s">
        <v>4196</v>
      </c>
      <c r="C2595" s="3563" t="s">
        <v>4197</v>
      </c>
      <c r="D2595" s="3563" t="s">
        <v>6429</v>
      </c>
      <c r="E2595" s="3563" t="s">
        <v>4297</v>
      </c>
      <c r="F2595" s="3563" t="s">
        <v>4797</v>
      </c>
      <c r="G2595" s="3564">
        <v>88.8</v>
      </c>
      <c r="H2595" s="3564">
        <v>71</v>
      </c>
      <c r="I2595" s="3564">
        <v>17.8</v>
      </c>
      <c r="J2595" s="3565">
        <v>903635</v>
      </c>
      <c r="K2595" s="3565">
        <v>10176.07</v>
      </c>
      <c r="L2595" s="3565">
        <v>12727.25</v>
      </c>
      <c r="M2595" s="3565">
        <v>0</v>
      </c>
      <c r="N2595" s="3565">
        <v>0</v>
      </c>
      <c r="O2595" s="3563" t="s">
        <v>3453</v>
      </c>
    </row>
    <row r="2596" spans="1:15">
      <c r="A2596" s="3563" t="s">
        <v>6818</v>
      </c>
      <c r="B2596" s="3563" t="s">
        <v>4196</v>
      </c>
      <c r="C2596" s="3563" t="s">
        <v>4197</v>
      </c>
      <c r="D2596" s="3563" t="s">
        <v>6429</v>
      </c>
      <c r="E2596" s="3563" t="s">
        <v>4297</v>
      </c>
      <c r="F2596" s="3563" t="s">
        <v>4797</v>
      </c>
      <c r="G2596" s="3564">
        <v>88.8</v>
      </c>
      <c r="H2596" s="3564">
        <v>71</v>
      </c>
      <c r="I2596" s="3564">
        <v>17.8</v>
      </c>
      <c r="J2596" s="3565">
        <v>903635</v>
      </c>
      <c r="K2596" s="3565">
        <v>10176.07</v>
      </c>
      <c r="L2596" s="3565">
        <v>12727.25</v>
      </c>
      <c r="M2596" s="3565">
        <v>0</v>
      </c>
      <c r="N2596" s="3565">
        <v>0</v>
      </c>
      <c r="O2596" s="3563" t="s">
        <v>3453</v>
      </c>
    </row>
    <row r="2597" spans="1:15">
      <c r="A2597" s="3563" t="s">
        <v>6819</v>
      </c>
      <c r="B2597" s="3563" t="s">
        <v>4196</v>
      </c>
      <c r="C2597" s="3563" t="s">
        <v>4197</v>
      </c>
      <c r="D2597" s="3563" t="s">
        <v>6429</v>
      </c>
      <c r="E2597" s="3563" t="s">
        <v>4297</v>
      </c>
      <c r="F2597" s="3563" t="s">
        <v>4797</v>
      </c>
      <c r="G2597" s="3564">
        <v>102.57</v>
      </c>
      <c r="H2597" s="3564">
        <v>82.01</v>
      </c>
      <c r="I2597" s="3564">
        <v>20.56</v>
      </c>
      <c r="J2597" s="3565">
        <v>1071039</v>
      </c>
      <c r="K2597" s="3565">
        <v>10442.030000000001</v>
      </c>
      <c r="L2597" s="3565">
        <v>13059.86</v>
      </c>
      <c r="M2597" s="3565">
        <v>0</v>
      </c>
      <c r="N2597" s="3565">
        <v>0</v>
      </c>
      <c r="O2597" s="3563" t="s">
        <v>3453</v>
      </c>
    </row>
    <row r="2598" spans="1:15">
      <c r="A2598" s="3563" t="s">
        <v>6820</v>
      </c>
      <c r="B2598" s="3563" t="s">
        <v>4196</v>
      </c>
      <c r="C2598" s="3563" t="s">
        <v>4197</v>
      </c>
      <c r="D2598" s="3563" t="s">
        <v>6429</v>
      </c>
      <c r="E2598" s="3563" t="s">
        <v>4297</v>
      </c>
      <c r="F2598" s="3563" t="s">
        <v>4797</v>
      </c>
      <c r="G2598" s="3564">
        <v>88.8</v>
      </c>
      <c r="H2598" s="3564">
        <v>71</v>
      </c>
      <c r="I2598" s="3564">
        <v>17.8</v>
      </c>
      <c r="J2598" s="3565">
        <v>916860</v>
      </c>
      <c r="K2598" s="3565">
        <v>10325</v>
      </c>
      <c r="L2598" s="3565">
        <v>12913.52</v>
      </c>
      <c r="M2598" s="3565">
        <v>0</v>
      </c>
      <c r="N2598" s="3565">
        <v>0</v>
      </c>
      <c r="O2598" s="3563" t="s">
        <v>3453</v>
      </c>
    </row>
    <row r="2599" spans="1:15">
      <c r="A2599" s="3563" t="s">
        <v>6821</v>
      </c>
      <c r="B2599" s="3563" t="s">
        <v>4196</v>
      </c>
      <c r="C2599" s="3563" t="s">
        <v>4197</v>
      </c>
      <c r="D2599" s="3563" t="s">
        <v>6429</v>
      </c>
      <c r="E2599" s="3563" t="s">
        <v>4297</v>
      </c>
      <c r="F2599" s="3563" t="s">
        <v>4797</v>
      </c>
      <c r="G2599" s="3564">
        <v>88.8</v>
      </c>
      <c r="H2599" s="3564">
        <v>71</v>
      </c>
      <c r="I2599" s="3564">
        <v>17.8</v>
      </c>
      <c r="J2599" s="3565">
        <v>916860</v>
      </c>
      <c r="K2599" s="3565">
        <v>10325</v>
      </c>
      <c r="L2599" s="3565">
        <v>12913.52</v>
      </c>
      <c r="M2599" s="3565">
        <v>0</v>
      </c>
      <c r="N2599" s="3565">
        <v>0</v>
      </c>
      <c r="O2599" s="3563" t="s">
        <v>3453</v>
      </c>
    </row>
    <row r="2600" spans="1:15">
      <c r="A2600" s="3563" t="s">
        <v>6822</v>
      </c>
      <c r="B2600" s="3563" t="s">
        <v>4196</v>
      </c>
      <c r="C2600" s="3563" t="s">
        <v>4197</v>
      </c>
      <c r="D2600" s="3563" t="s">
        <v>6429</v>
      </c>
      <c r="E2600" s="3563" t="s">
        <v>4297</v>
      </c>
      <c r="F2600" s="3563" t="s">
        <v>4797</v>
      </c>
      <c r="G2600" s="3564">
        <v>91.02</v>
      </c>
      <c r="H2600" s="3564">
        <v>72.78</v>
      </c>
      <c r="I2600" s="3564">
        <v>18.239999999999998</v>
      </c>
      <c r="J2600" s="3565">
        <v>925258</v>
      </c>
      <c r="K2600" s="3565">
        <v>10165.44</v>
      </c>
      <c r="L2600" s="3565">
        <v>12713.08</v>
      </c>
      <c r="M2600" s="3565">
        <v>0</v>
      </c>
      <c r="N2600" s="3565">
        <v>0</v>
      </c>
      <c r="O2600" s="3563" t="s">
        <v>3453</v>
      </c>
    </row>
    <row r="2601" spans="1:15">
      <c r="A2601" s="3563" t="s">
        <v>6823</v>
      </c>
      <c r="B2601" s="3563" t="s">
        <v>4196</v>
      </c>
      <c r="C2601" s="3563" t="s">
        <v>4197</v>
      </c>
      <c r="D2601" s="3563" t="s">
        <v>6429</v>
      </c>
      <c r="E2601" s="3563" t="s">
        <v>4297</v>
      </c>
      <c r="F2601" s="3563" t="s">
        <v>4797</v>
      </c>
      <c r="G2601" s="3564">
        <v>88.8</v>
      </c>
      <c r="H2601" s="3564">
        <v>71</v>
      </c>
      <c r="I2601" s="3564">
        <v>17.8</v>
      </c>
      <c r="J2601" s="3565">
        <v>902690</v>
      </c>
      <c r="K2601" s="3565">
        <v>10165.43</v>
      </c>
      <c r="L2601" s="3565">
        <v>12713.94</v>
      </c>
      <c r="M2601" s="3565">
        <v>0</v>
      </c>
      <c r="N2601" s="3565">
        <v>0</v>
      </c>
      <c r="O2601" s="3563" t="s">
        <v>3453</v>
      </c>
    </row>
    <row r="2602" spans="1:15">
      <c r="A2602" s="3563" t="s">
        <v>6824</v>
      </c>
      <c r="B2602" s="3563" t="s">
        <v>4196</v>
      </c>
      <c r="C2602" s="3563" t="s">
        <v>4197</v>
      </c>
      <c r="D2602" s="3563" t="s">
        <v>6429</v>
      </c>
      <c r="E2602" s="3563" t="s">
        <v>4297</v>
      </c>
      <c r="F2602" s="3563" t="s">
        <v>4797</v>
      </c>
      <c r="G2602" s="3564">
        <v>88.8</v>
      </c>
      <c r="H2602" s="3564">
        <v>71</v>
      </c>
      <c r="I2602" s="3564">
        <v>17.8</v>
      </c>
      <c r="J2602" s="3565">
        <v>902690</v>
      </c>
      <c r="K2602" s="3565">
        <v>10165.43</v>
      </c>
      <c r="L2602" s="3565">
        <v>12713.94</v>
      </c>
      <c r="M2602" s="3565">
        <v>0</v>
      </c>
      <c r="N2602" s="3565">
        <v>0</v>
      </c>
      <c r="O2602" s="3563" t="s">
        <v>3453</v>
      </c>
    </row>
    <row r="2603" spans="1:15">
      <c r="A2603" s="3563" t="s">
        <v>6825</v>
      </c>
      <c r="B2603" s="3563" t="s">
        <v>4196</v>
      </c>
      <c r="C2603" s="3563" t="s">
        <v>4197</v>
      </c>
      <c r="D2603" s="3563" t="s">
        <v>6429</v>
      </c>
      <c r="E2603" s="3563" t="s">
        <v>4297</v>
      </c>
      <c r="F2603" s="3563" t="s">
        <v>4797</v>
      </c>
      <c r="G2603" s="3564">
        <v>102.57</v>
      </c>
      <c r="H2603" s="3564">
        <v>82.01</v>
      </c>
      <c r="I2603" s="3564">
        <v>20.56</v>
      </c>
      <c r="J2603" s="3565">
        <v>1069947</v>
      </c>
      <c r="K2603" s="3565">
        <v>10431.379999999999</v>
      </c>
      <c r="L2603" s="3565">
        <v>13046.54</v>
      </c>
      <c r="M2603" s="3565">
        <v>0</v>
      </c>
      <c r="N2603" s="3565">
        <v>0</v>
      </c>
      <c r="O2603" s="3563" t="s">
        <v>3453</v>
      </c>
    </row>
    <row r="2604" spans="1:15">
      <c r="A2604" s="3563" t="s">
        <v>6826</v>
      </c>
      <c r="B2604" s="3563" t="s">
        <v>4196</v>
      </c>
      <c r="C2604" s="3563" t="s">
        <v>4197</v>
      </c>
      <c r="D2604" s="3563" t="s">
        <v>6429</v>
      </c>
      <c r="E2604" s="3563" t="s">
        <v>4297</v>
      </c>
      <c r="F2604" s="3563" t="s">
        <v>4797</v>
      </c>
      <c r="G2604" s="3564">
        <v>88.8</v>
      </c>
      <c r="H2604" s="3564">
        <v>71</v>
      </c>
      <c r="I2604" s="3564">
        <v>17.8</v>
      </c>
      <c r="J2604" s="3565">
        <v>906469</v>
      </c>
      <c r="K2604" s="3565">
        <v>10207.98</v>
      </c>
      <c r="L2604" s="3565">
        <v>12767.17</v>
      </c>
      <c r="M2604" s="3565">
        <v>0</v>
      </c>
      <c r="N2604" s="3565">
        <v>0</v>
      </c>
      <c r="O2604" s="3563" t="s">
        <v>3453</v>
      </c>
    </row>
    <row r="2605" spans="1:15">
      <c r="A2605" s="3563" t="s">
        <v>6827</v>
      </c>
      <c r="B2605" s="3563" t="s">
        <v>4196</v>
      </c>
      <c r="C2605" s="3563" t="s">
        <v>4197</v>
      </c>
      <c r="D2605" s="3563" t="s">
        <v>6429</v>
      </c>
      <c r="E2605" s="3563" t="s">
        <v>4297</v>
      </c>
      <c r="F2605" s="3563" t="s">
        <v>4797</v>
      </c>
      <c r="G2605" s="3564">
        <v>88.8</v>
      </c>
      <c r="H2605" s="3564">
        <v>71</v>
      </c>
      <c r="I2605" s="3564">
        <v>17.8</v>
      </c>
      <c r="J2605" s="3565">
        <v>906469</v>
      </c>
      <c r="K2605" s="3565">
        <v>10207.98</v>
      </c>
      <c r="L2605" s="3565">
        <v>12767.17</v>
      </c>
      <c r="M2605" s="3565">
        <v>0</v>
      </c>
      <c r="N2605" s="3565">
        <v>0</v>
      </c>
      <c r="O2605" s="3563" t="s">
        <v>3453</v>
      </c>
    </row>
    <row r="2606" spans="1:15">
      <c r="A2606" s="3563" t="s">
        <v>6828</v>
      </c>
      <c r="B2606" s="3563" t="s">
        <v>4196</v>
      </c>
      <c r="C2606" s="3563" t="s">
        <v>4197</v>
      </c>
      <c r="D2606" s="3563" t="s">
        <v>6429</v>
      </c>
      <c r="E2606" s="3563" t="s">
        <v>4297</v>
      </c>
      <c r="F2606" s="3563" t="s">
        <v>4797</v>
      </c>
      <c r="G2606" s="3564">
        <v>91.02</v>
      </c>
      <c r="H2606" s="3564">
        <v>72.78</v>
      </c>
      <c r="I2606" s="3564">
        <v>18.239999999999998</v>
      </c>
      <c r="J2606" s="3565">
        <v>895240</v>
      </c>
      <c r="K2606" s="3565">
        <v>9835.64</v>
      </c>
      <c r="L2606" s="3565">
        <v>12300.63</v>
      </c>
      <c r="M2606" s="3565">
        <v>0</v>
      </c>
      <c r="N2606" s="3565">
        <v>0</v>
      </c>
      <c r="O2606" s="3563" t="s">
        <v>3453</v>
      </c>
    </row>
    <row r="2607" spans="1:15">
      <c r="A2607" s="3563" t="s">
        <v>6829</v>
      </c>
      <c r="B2607" s="3563" t="s">
        <v>4196</v>
      </c>
      <c r="C2607" s="3563" t="s">
        <v>4197</v>
      </c>
      <c r="D2607" s="3563" t="s">
        <v>6429</v>
      </c>
      <c r="E2607" s="3563" t="s">
        <v>4297</v>
      </c>
      <c r="F2607" s="3563" t="s">
        <v>4797</v>
      </c>
      <c r="G2607" s="3564">
        <v>88.8</v>
      </c>
      <c r="H2607" s="3564">
        <v>71</v>
      </c>
      <c r="I2607" s="3564">
        <v>17.8</v>
      </c>
      <c r="J2607" s="3565">
        <v>873405</v>
      </c>
      <c r="K2607" s="3565">
        <v>9835.64</v>
      </c>
      <c r="L2607" s="3565">
        <v>12301.48</v>
      </c>
      <c r="M2607" s="3565">
        <v>0</v>
      </c>
      <c r="N2607" s="3565">
        <v>0</v>
      </c>
      <c r="O2607" s="3563" t="s">
        <v>3453</v>
      </c>
    </row>
    <row r="2608" spans="1:15">
      <c r="A2608" s="3563" t="s">
        <v>6830</v>
      </c>
      <c r="B2608" s="3563" t="s">
        <v>4196</v>
      </c>
      <c r="C2608" s="3563" t="s">
        <v>4197</v>
      </c>
      <c r="D2608" s="3563" t="s">
        <v>6429</v>
      </c>
      <c r="E2608" s="3563" t="s">
        <v>4297</v>
      </c>
      <c r="F2608" s="3563" t="s">
        <v>4797</v>
      </c>
      <c r="G2608" s="3564">
        <v>88.8</v>
      </c>
      <c r="H2608" s="3564">
        <v>71</v>
      </c>
      <c r="I2608" s="3564">
        <v>17.8</v>
      </c>
      <c r="J2608" s="3565">
        <v>873405</v>
      </c>
      <c r="K2608" s="3565">
        <v>9835.64</v>
      </c>
      <c r="L2608" s="3565">
        <v>12301.48</v>
      </c>
      <c r="M2608" s="3565">
        <v>0</v>
      </c>
      <c r="N2608" s="3565">
        <v>0</v>
      </c>
      <c r="O2608" s="3563" t="s">
        <v>3453</v>
      </c>
    </row>
    <row r="2609" spans="1:15">
      <c r="A2609" s="3563" t="s">
        <v>6831</v>
      </c>
      <c r="B2609" s="3563" t="s">
        <v>4196</v>
      </c>
      <c r="C2609" s="3563" t="s">
        <v>4197</v>
      </c>
      <c r="D2609" s="3563" t="s">
        <v>6429</v>
      </c>
      <c r="E2609" s="3563" t="s">
        <v>4297</v>
      </c>
      <c r="F2609" s="3563" t="s">
        <v>4797</v>
      </c>
      <c r="G2609" s="3564">
        <v>102.57</v>
      </c>
      <c r="H2609" s="3564">
        <v>82.01</v>
      </c>
      <c r="I2609" s="3564">
        <v>20.56</v>
      </c>
      <c r="J2609" s="3565">
        <v>1036121</v>
      </c>
      <c r="K2609" s="3565">
        <v>10101.6</v>
      </c>
      <c r="L2609" s="3565">
        <v>12634.08</v>
      </c>
      <c r="M2609" s="3565">
        <v>0</v>
      </c>
      <c r="N2609" s="3565">
        <v>0</v>
      </c>
      <c r="O2609" s="3563" t="s">
        <v>3453</v>
      </c>
    </row>
    <row r="2610" spans="1:15">
      <c r="A2610" s="3563" t="s">
        <v>6832</v>
      </c>
      <c r="B2610" s="3563" t="s">
        <v>4196</v>
      </c>
      <c r="C2610" s="3563" t="s">
        <v>4197</v>
      </c>
      <c r="D2610" s="3563" t="s">
        <v>6429</v>
      </c>
      <c r="E2610" s="3563" t="s">
        <v>4297</v>
      </c>
      <c r="F2610" s="3563" t="s">
        <v>4797</v>
      </c>
      <c r="G2610" s="3564">
        <v>88.8</v>
      </c>
      <c r="H2610" s="3564">
        <v>71</v>
      </c>
      <c r="I2610" s="3564">
        <v>17.8</v>
      </c>
      <c r="J2610" s="3565">
        <v>894188</v>
      </c>
      <c r="K2610" s="3565">
        <v>10069.68</v>
      </c>
      <c r="L2610" s="3565">
        <v>12594.2</v>
      </c>
      <c r="M2610" s="3565">
        <v>0</v>
      </c>
      <c r="N2610" s="3565">
        <v>0</v>
      </c>
      <c r="O2610" s="3563" t="s">
        <v>3453</v>
      </c>
    </row>
    <row r="2611" spans="1:15">
      <c r="A2611" s="3563" t="s">
        <v>6833</v>
      </c>
      <c r="B2611" s="3563" t="s">
        <v>4196</v>
      </c>
      <c r="C2611" s="3563" t="s">
        <v>4197</v>
      </c>
      <c r="D2611" s="3563" t="s">
        <v>6429</v>
      </c>
      <c r="E2611" s="3563" t="s">
        <v>4297</v>
      </c>
      <c r="F2611" s="3563" t="s">
        <v>4797</v>
      </c>
      <c r="G2611" s="3564">
        <v>88.8</v>
      </c>
      <c r="H2611" s="3564">
        <v>71</v>
      </c>
      <c r="I2611" s="3564">
        <v>17.8</v>
      </c>
      <c r="J2611" s="3565">
        <v>894188</v>
      </c>
      <c r="K2611" s="3565">
        <v>10069.68</v>
      </c>
      <c r="L2611" s="3565">
        <v>12594.2</v>
      </c>
      <c r="M2611" s="3565">
        <v>0</v>
      </c>
      <c r="N2611" s="3565">
        <v>0</v>
      </c>
      <c r="O2611" s="3563" t="s">
        <v>3453</v>
      </c>
    </row>
    <row r="2612" spans="1:15">
      <c r="A2612" s="3563" t="s">
        <v>6834</v>
      </c>
      <c r="B2612" s="3563" t="s">
        <v>4196</v>
      </c>
      <c r="C2612" s="3563" t="s">
        <v>4197</v>
      </c>
      <c r="D2612" s="3563" t="s">
        <v>6429</v>
      </c>
      <c r="E2612" s="3563" t="s">
        <v>4297</v>
      </c>
      <c r="F2612" s="3563" t="s">
        <v>4797</v>
      </c>
      <c r="G2612" s="3564">
        <v>91.02</v>
      </c>
      <c r="H2612" s="3564">
        <v>72.78</v>
      </c>
      <c r="I2612" s="3564">
        <v>18.239999999999998</v>
      </c>
      <c r="J2612" s="3565">
        <v>892336</v>
      </c>
      <c r="K2612" s="3565">
        <v>9803.74</v>
      </c>
      <c r="L2612" s="3565">
        <v>12260.73</v>
      </c>
      <c r="M2612" s="3565">
        <v>0</v>
      </c>
      <c r="N2612" s="3565">
        <v>0</v>
      </c>
      <c r="O2612" s="3563" t="s">
        <v>3453</v>
      </c>
    </row>
    <row r="2613" spans="1:15">
      <c r="A2613" s="3563" t="s">
        <v>6835</v>
      </c>
      <c r="B2613" s="3563" t="s">
        <v>4196</v>
      </c>
      <c r="C2613" s="3563" t="s">
        <v>4197</v>
      </c>
      <c r="D2613" s="3563" t="s">
        <v>6429</v>
      </c>
      <c r="E2613" s="3563" t="s">
        <v>4297</v>
      </c>
      <c r="F2613" s="3563" t="s">
        <v>4797</v>
      </c>
      <c r="G2613" s="3564">
        <v>88.8</v>
      </c>
      <c r="H2613" s="3564">
        <v>71</v>
      </c>
      <c r="I2613" s="3564">
        <v>17.8</v>
      </c>
      <c r="J2613" s="3565">
        <v>870571</v>
      </c>
      <c r="K2613" s="3565">
        <v>9803.73</v>
      </c>
      <c r="L2613" s="3565">
        <v>12261.56</v>
      </c>
      <c r="M2613" s="3565">
        <v>0</v>
      </c>
      <c r="N2613" s="3565">
        <v>0</v>
      </c>
      <c r="O2613" s="3563" t="s">
        <v>3453</v>
      </c>
    </row>
    <row r="2614" spans="1:15">
      <c r="A2614" s="3563" t="s">
        <v>6836</v>
      </c>
      <c r="B2614" s="3563" t="s">
        <v>4196</v>
      </c>
      <c r="C2614" s="3563" t="s">
        <v>4197</v>
      </c>
      <c r="D2614" s="3563" t="s">
        <v>6429</v>
      </c>
      <c r="E2614" s="3563" t="s">
        <v>4297</v>
      </c>
      <c r="F2614" s="3563" t="s">
        <v>4797</v>
      </c>
      <c r="G2614" s="3564">
        <v>88.8</v>
      </c>
      <c r="H2614" s="3564">
        <v>71</v>
      </c>
      <c r="I2614" s="3564">
        <v>17.8</v>
      </c>
      <c r="J2614" s="3565">
        <v>870571</v>
      </c>
      <c r="K2614" s="3565">
        <v>9803.73</v>
      </c>
      <c r="L2614" s="3565">
        <v>12261.56</v>
      </c>
      <c r="M2614" s="3565">
        <v>0</v>
      </c>
      <c r="N2614" s="3565">
        <v>0</v>
      </c>
      <c r="O2614" s="3563" t="s">
        <v>3453</v>
      </c>
    </row>
    <row r="2615" spans="1:15">
      <c r="A2615" s="3563" t="s">
        <v>6837</v>
      </c>
      <c r="B2615" s="3563" t="s">
        <v>4196</v>
      </c>
      <c r="C2615" s="3563" t="s">
        <v>4197</v>
      </c>
      <c r="D2615" s="3563" t="s">
        <v>6429</v>
      </c>
      <c r="E2615" s="3563" t="s">
        <v>4297</v>
      </c>
      <c r="F2615" s="3563" t="s">
        <v>4797</v>
      </c>
      <c r="G2615" s="3564">
        <v>102.57</v>
      </c>
      <c r="H2615" s="3564">
        <v>82.01</v>
      </c>
      <c r="I2615" s="3564">
        <v>20.56</v>
      </c>
      <c r="J2615" s="3565">
        <v>1043759</v>
      </c>
      <c r="K2615" s="3565">
        <v>10176.07</v>
      </c>
      <c r="L2615" s="3565">
        <v>12727.22</v>
      </c>
      <c r="M2615" s="3565">
        <v>0</v>
      </c>
      <c r="N2615" s="3565">
        <v>0</v>
      </c>
      <c r="O2615" s="3563" t="s">
        <v>3453</v>
      </c>
    </row>
    <row r="2616" spans="1:15">
      <c r="A2616" s="3563" t="s">
        <v>6838</v>
      </c>
      <c r="B2616" s="3563" t="s">
        <v>4196</v>
      </c>
      <c r="C2616" s="3563" t="s">
        <v>4197</v>
      </c>
      <c r="D2616" s="3563" t="s">
        <v>6429</v>
      </c>
      <c r="E2616" s="3563" t="s">
        <v>4297</v>
      </c>
      <c r="F2616" s="3563" t="s">
        <v>4797</v>
      </c>
      <c r="G2616" s="3564">
        <v>88.8</v>
      </c>
      <c r="H2616" s="3564">
        <v>71</v>
      </c>
      <c r="I2616" s="3564">
        <v>17.8</v>
      </c>
      <c r="J2616" s="3565">
        <v>905524</v>
      </c>
      <c r="K2616" s="3565">
        <v>10197.34</v>
      </c>
      <c r="L2616" s="3565">
        <v>12753.86</v>
      </c>
      <c r="M2616" s="3565">
        <v>0</v>
      </c>
      <c r="N2616" s="3565">
        <v>0</v>
      </c>
      <c r="O2616" s="3563" t="s">
        <v>3453</v>
      </c>
    </row>
    <row r="2617" spans="1:15">
      <c r="A2617" s="3563" t="s">
        <v>6839</v>
      </c>
      <c r="B2617" s="3563" t="s">
        <v>4196</v>
      </c>
      <c r="C2617" s="3563" t="s">
        <v>4197</v>
      </c>
      <c r="D2617" s="3563" t="s">
        <v>6429</v>
      </c>
      <c r="E2617" s="3563" t="s">
        <v>4297</v>
      </c>
      <c r="F2617" s="3563" t="s">
        <v>4797</v>
      </c>
      <c r="G2617" s="3564">
        <v>88.8</v>
      </c>
      <c r="H2617" s="3564">
        <v>71</v>
      </c>
      <c r="I2617" s="3564">
        <v>17.8</v>
      </c>
      <c r="J2617" s="3565">
        <v>905524</v>
      </c>
      <c r="K2617" s="3565">
        <v>10197.34</v>
      </c>
      <c r="L2617" s="3565">
        <v>12753.86</v>
      </c>
      <c r="M2617" s="3565">
        <v>0</v>
      </c>
      <c r="N2617" s="3565">
        <v>0</v>
      </c>
      <c r="O2617" s="3563" t="s">
        <v>3453</v>
      </c>
    </row>
    <row r="2618" spans="1:15">
      <c r="A2618" s="3563" t="s">
        <v>6840</v>
      </c>
      <c r="B2618" s="3563" t="s">
        <v>4196</v>
      </c>
      <c r="C2618" s="3563" t="s">
        <v>4197</v>
      </c>
      <c r="D2618" s="3563" t="s">
        <v>6429</v>
      </c>
      <c r="E2618" s="3563" t="s">
        <v>4297</v>
      </c>
      <c r="F2618" s="3563" t="s">
        <v>4797</v>
      </c>
      <c r="G2618" s="3564">
        <v>91.02</v>
      </c>
      <c r="H2618" s="3564">
        <v>72.78</v>
      </c>
      <c r="I2618" s="3564">
        <v>18.239999999999998</v>
      </c>
      <c r="J2618" s="3565">
        <v>903955</v>
      </c>
      <c r="K2618" s="3565">
        <v>9931.39</v>
      </c>
      <c r="L2618" s="3565">
        <v>12420.38</v>
      </c>
      <c r="M2618" s="3565">
        <v>0</v>
      </c>
      <c r="N2618" s="3565">
        <v>0</v>
      </c>
      <c r="O2618" s="3563" t="s">
        <v>3453</v>
      </c>
    </row>
    <row r="2619" spans="1:15">
      <c r="A2619" s="3563" t="s">
        <v>6841</v>
      </c>
      <c r="B2619" s="3563" t="s">
        <v>4196</v>
      </c>
      <c r="C2619" s="3563" t="s">
        <v>4197</v>
      </c>
      <c r="D2619" s="3563" t="s">
        <v>6429</v>
      </c>
      <c r="E2619" s="3563" t="s">
        <v>4297</v>
      </c>
      <c r="F2619" s="3563" t="s">
        <v>4797</v>
      </c>
      <c r="G2619" s="3564">
        <v>88.8</v>
      </c>
      <c r="H2619" s="3564">
        <v>71</v>
      </c>
      <c r="I2619" s="3564">
        <v>17.8</v>
      </c>
      <c r="J2619" s="3565">
        <v>881907</v>
      </c>
      <c r="K2619" s="3565">
        <v>9931.39</v>
      </c>
      <c r="L2619" s="3565">
        <v>12421.23</v>
      </c>
      <c r="M2619" s="3565">
        <v>0</v>
      </c>
      <c r="N2619" s="3565">
        <v>0</v>
      </c>
      <c r="O2619" s="3563" t="s">
        <v>3453</v>
      </c>
    </row>
    <row r="2620" spans="1:15">
      <c r="A2620" s="3563" t="s">
        <v>6842</v>
      </c>
      <c r="B2620" s="3563" t="s">
        <v>4196</v>
      </c>
      <c r="C2620" s="3563" t="s">
        <v>4197</v>
      </c>
      <c r="D2620" s="3563" t="s">
        <v>6429</v>
      </c>
      <c r="E2620" s="3563" t="s">
        <v>4297</v>
      </c>
      <c r="F2620" s="3563" t="s">
        <v>4797</v>
      </c>
      <c r="G2620" s="3564">
        <v>88.8</v>
      </c>
      <c r="H2620" s="3564">
        <v>71</v>
      </c>
      <c r="I2620" s="3564">
        <v>17.8</v>
      </c>
      <c r="J2620" s="3565">
        <v>881907</v>
      </c>
      <c r="K2620" s="3565">
        <v>9931.39</v>
      </c>
      <c r="L2620" s="3565">
        <v>12421.23</v>
      </c>
      <c r="M2620" s="3565">
        <v>0</v>
      </c>
      <c r="N2620" s="3565">
        <v>0</v>
      </c>
      <c r="O2620" s="3563" t="s">
        <v>3453</v>
      </c>
    </row>
    <row r="2621" spans="1:15">
      <c r="A2621" s="3563" t="s">
        <v>6843</v>
      </c>
      <c r="B2621" s="3563" t="s">
        <v>4196</v>
      </c>
      <c r="C2621" s="3563" t="s">
        <v>4197</v>
      </c>
      <c r="D2621" s="3563" t="s">
        <v>6429</v>
      </c>
      <c r="E2621" s="3563" t="s">
        <v>4297</v>
      </c>
      <c r="F2621" s="3563" t="s">
        <v>4797</v>
      </c>
      <c r="G2621" s="3564">
        <v>102.57</v>
      </c>
      <c r="H2621" s="3564">
        <v>82.01</v>
      </c>
      <c r="I2621" s="3564">
        <v>20.56</v>
      </c>
      <c r="J2621" s="3565">
        <v>1056854</v>
      </c>
      <c r="K2621" s="3565">
        <v>10303.73</v>
      </c>
      <c r="L2621" s="3565">
        <v>12886.89</v>
      </c>
      <c r="M2621" s="3565">
        <v>0</v>
      </c>
      <c r="N2621" s="3565">
        <v>0</v>
      </c>
      <c r="O2621" s="3563" t="s">
        <v>3453</v>
      </c>
    </row>
    <row r="2622" spans="1:15">
      <c r="A2622" s="3563" t="s">
        <v>6844</v>
      </c>
      <c r="B2622" s="3563" t="s">
        <v>4196</v>
      </c>
      <c r="C2622" s="3563" t="s">
        <v>4197</v>
      </c>
      <c r="D2622" s="3563" t="s">
        <v>6429</v>
      </c>
      <c r="E2622" s="3563" t="s">
        <v>4297</v>
      </c>
      <c r="F2622" s="3563" t="s">
        <v>4797</v>
      </c>
      <c r="G2622" s="3564">
        <v>88.8</v>
      </c>
      <c r="H2622" s="3564">
        <v>71</v>
      </c>
      <c r="I2622" s="3564">
        <v>17.8</v>
      </c>
      <c r="J2622" s="3565">
        <v>916860</v>
      </c>
      <c r="K2622" s="3565">
        <v>10325</v>
      </c>
      <c r="L2622" s="3565">
        <v>12913.52</v>
      </c>
      <c r="M2622" s="3565">
        <v>0</v>
      </c>
      <c r="N2622" s="3565">
        <v>0</v>
      </c>
      <c r="O2622" s="3563" t="s">
        <v>3453</v>
      </c>
    </row>
    <row r="2623" spans="1:15">
      <c r="A2623" s="3563" t="s">
        <v>6845</v>
      </c>
      <c r="B2623" s="3563" t="s">
        <v>4196</v>
      </c>
      <c r="C2623" s="3563" t="s">
        <v>4197</v>
      </c>
      <c r="D2623" s="3563" t="s">
        <v>6429</v>
      </c>
      <c r="E2623" s="3563" t="s">
        <v>4297</v>
      </c>
      <c r="F2623" s="3563" t="s">
        <v>4797</v>
      </c>
      <c r="G2623" s="3564">
        <v>88.8</v>
      </c>
      <c r="H2623" s="3564">
        <v>71</v>
      </c>
      <c r="I2623" s="3564">
        <v>17.8</v>
      </c>
      <c r="J2623" s="3565">
        <v>916860</v>
      </c>
      <c r="K2623" s="3565">
        <v>10325</v>
      </c>
      <c r="L2623" s="3565">
        <v>12913.52</v>
      </c>
      <c r="M2623" s="3565">
        <v>0</v>
      </c>
      <c r="N2623" s="3565">
        <v>0</v>
      </c>
      <c r="O2623" s="3563" t="s">
        <v>3453</v>
      </c>
    </row>
    <row r="2624" spans="1:15">
      <c r="A2624" s="3563" t="s">
        <v>6846</v>
      </c>
      <c r="B2624" s="3563" t="s">
        <v>4196</v>
      </c>
      <c r="C2624" s="3563" t="s">
        <v>4197</v>
      </c>
      <c r="D2624" s="3563" t="s">
        <v>6429</v>
      </c>
      <c r="E2624" s="3563" t="s">
        <v>4297</v>
      </c>
      <c r="F2624" s="3563" t="s">
        <v>4797</v>
      </c>
      <c r="G2624" s="3564">
        <v>91.02</v>
      </c>
      <c r="H2624" s="3564">
        <v>72.78</v>
      </c>
      <c r="I2624" s="3564">
        <v>18.239999999999998</v>
      </c>
      <c r="J2624" s="3565">
        <v>915575</v>
      </c>
      <c r="K2624" s="3565">
        <v>10059.049999999999</v>
      </c>
      <c r="L2624" s="3565">
        <v>12580.04</v>
      </c>
      <c r="M2624" s="3565">
        <v>0</v>
      </c>
      <c r="N2624" s="3565">
        <v>0</v>
      </c>
      <c r="O2624" s="3563" t="s">
        <v>3453</v>
      </c>
    </row>
    <row r="2625" spans="1:15">
      <c r="A2625" s="3563" t="s">
        <v>6847</v>
      </c>
      <c r="B2625" s="3563" t="s">
        <v>4196</v>
      </c>
      <c r="C2625" s="3563" t="s">
        <v>4197</v>
      </c>
      <c r="D2625" s="3563" t="s">
        <v>6429</v>
      </c>
      <c r="E2625" s="3563" t="s">
        <v>4297</v>
      </c>
      <c r="F2625" s="3563" t="s">
        <v>4797</v>
      </c>
      <c r="G2625" s="3564">
        <v>88.8</v>
      </c>
      <c r="H2625" s="3564">
        <v>71</v>
      </c>
      <c r="I2625" s="3564">
        <v>17.8</v>
      </c>
      <c r="J2625" s="3565">
        <v>893243</v>
      </c>
      <c r="K2625" s="3565">
        <v>10059.040000000001</v>
      </c>
      <c r="L2625" s="3565">
        <v>12580.89</v>
      </c>
      <c r="M2625" s="3565">
        <v>0</v>
      </c>
      <c r="N2625" s="3565">
        <v>0</v>
      </c>
      <c r="O2625" s="3563" t="s">
        <v>3453</v>
      </c>
    </row>
    <row r="2626" spans="1:15">
      <c r="A2626" s="3563" t="s">
        <v>6848</v>
      </c>
      <c r="B2626" s="3563" t="s">
        <v>4196</v>
      </c>
      <c r="C2626" s="3563" t="s">
        <v>4197</v>
      </c>
      <c r="D2626" s="3563" t="s">
        <v>6429</v>
      </c>
      <c r="E2626" s="3563" t="s">
        <v>4297</v>
      </c>
      <c r="F2626" s="3563" t="s">
        <v>4797</v>
      </c>
      <c r="G2626" s="3564">
        <v>88.8</v>
      </c>
      <c r="H2626" s="3564">
        <v>71</v>
      </c>
      <c r="I2626" s="3564">
        <v>17.8</v>
      </c>
      <c r="J2626" s="3565">
        <v>893243</v>
      </c>
      <c r="K2626" s="3565">
        <v>10059.040000000001</v>
      </c>
      <c r="L2626" s="3565">
        <v>12580.89</v>
      </c>
      <c r="M2626" s="3565">
        <v>0</v>
      </c>
      <c r="N2626" s="3565">
        <v>0</v>
      </c>
      <c r="O2626" s="3563" t="s">
        <v>3453</v>
      </c>
    </row>
    <row r="2627" spans="1:15">
      <c r="A2627" s="3563" t="s">
        <v>6849</v>
      </c>
      <c r="B2627" s="3563" t="s">
        <v>4196</v>
      </c>
      <c r="C2627" s="3563" t="s">
        <v>4197</v>
      </c>
      <c r="D2627" s="3563" t="s">
        <v>6429</v>
      </c>
      <c r="E2627" s="3563" t="s">
        <v>4297</v>
      </c>
      <c r="F2627" s="3563" t="s">
        <v>4797</v>
      </c>
      <c r="G2627" s="3564">
        <v>102.57</v>
      </c>
      <c r="H2627" s="3564">
        <v>82.01</v>
      </c>
      <c r="I2627" s="3564">
        <v>20.56</v>
      </c>
      <c r="J2627" s="3565">
        <v>1069947</v>
      </c>
      <c r="K2627" s="3565">
        <v>10431.379999999999</v>
      </c>
      <c r="L2627" s="3565">
        <v>13046.54</v>
      </c>
      <c r="M2627" s="3565">
        <v>0</v>
      </c>
      <c r="N2627" s="3565">
        <v>0</v>
      </c>
      <c r="O2627" s="3563" t="s">
        <v>3453</v>
      </c>
    </row>
    <row r="2628" spans="1:15">
      <c r="A2628" s="3563" t="s">
        <v>6850</v>
      </c>
      <c r="B2628" s="3563" t="s">
        <v>4196</v>
      </c>
      <c r="C2628" s="3563" t="s">
        <v>4197</v>
      </c>
      <c r="D2628" s="3563" t="s">
        <v>6429</v>
      </c>
      <c r="E2628" s="3563" t="s">
        <v>4297</v>
      </c>
      <c r="F2628" s="3563" t="s">
        <v>4797</v>
      </c>
      <c r="G2628" s="3564">
        <v>88.8</v>
      </c>
      <c r="H2628" s="3564">
        <v>71</v>
      </c>
      <c r="I2628" s="3564">
        <v>17.8</v>
      </c>
      <c r="J2628" s="3565">
        <v>917805</v>
      </c>
      <c r="K2628" s="3565">
        <v>10335.64</v>
      </c>
      <c r="L2628" s="3565">
        <v>12926.83</v>
      </c>
      <c r="M2628" s="3565">
        <v>0</v>
      </c>
      <c r="N2628" s="3565">
        <v>0</v>
      </c>
      <c r="O2628" s="3563" t="s">
        <v>3453</v>
      </c>
    </row>
    <row r="2629" spans="1:15">
      <c r="A2629" s="3563" t="s">
        <v>6851</v>
      </c>
      <c r="B2629" s="3563" t="s">
        <v>4196</v>
      </c>
      <c r="C2629" s="3563" t="s">
        <v>4197</v>
      </c>
      <c r="D2629" s="3563" t="s">
        <v>6429</v>
      </c>
      <c r="E2629" s="3563" t="s">
        <v>4297</v>
      </c>
      <c r="F2629" s="3563" t="s">
        <v>4797</v>
      </c>
      <c r="G2629" s="3564">
        <v>88.8</v>
      </c>
      <c r="H2629" s="3564">
        <v>71</v>
      </c>
      <c r="I2629" s="3564">
        <v>17.8</v>
      </c>
      <c r="J2629" s="3565">
        <v>917805</v>
      </c>
      <c r="K2629" s="3565">
        <v>10335.64</v>
      </c>
      <c r="L2629" s="3565">
        <v>12926.83</v>
      </c>
      <c r="M2629" s="3565">
        <v>0</v>
      </c>
      <c r="N2629" s="3565">
        <v>0</v>
      </c>
      <c r="O2629" s="3563" t="s">
        <v>3453</v>
      </c>
    </row>
    <row r="2630" spans="1:15">
      <c r="A2630" s="3563" t="s">
        <v>6852</v>
      </c>
      <c r="B2630" s="3563" t="s">
        <v>4196</v>
      </c>
      <c r="C2630" s="3563" t="s">
        <v>4197</v>
      </c>
      <c r="D2630" s="3563" t="s">
        <v>6429</v>
      </c>
      <c r="E2630" s="3563" t="s">
        <v>4297</v>
      </c>
      <c r="F2630" s="3563" t="s">
        <v>4797</v>
      </c>
      <c r="G2630" s="3564">
        <v>91.02</v>
      </c>
      <c r="H2630" s="3564">
        <v>72.78</v>
      </c>
      <c r="I2630" s="3564">
        <v>18.239999999999998</v>
      </c>
      <c r="J2630" s="3565">
        <v>916543</v>
      </c>
      <c r="K2630" s="3565">
        <v>10069.69</v>
      </c>
      <c r="L2630" s="3565">
        <v>12593.34</v>
      </c>
      <c r="M2630" s="3565">
        <v>0</v>
      </c>
      <c r="N2630" s="3565">
        <v>0</v>
      </c>
      <c r="O2630" s="3563" t="s">
        <v>3453</v>
      </c>
    </row>
    <row r="2631" spans="1:15">
      <c r="A2631" s="3563" t="s">
        <v>6853</v>
      </c>
      <c r="B2631" s="3563" t="s">
        <v>4196</v>
      </c>
      <c r="C2631" s="3563" t="s">
        <v>4197</v>
      </c>
      <c r="D2631" s="3563" t="s">
        <v>6429</v>
      </c>
      <c r="E2631" s="3563" t="s">
        <v>4297</v>
      </c>
      <c r="F2631" s="3563" t="s">
        <v>4797</v>
      </c>
      <c r="G2631" s="3564">
        <v>88.8</v>
      </c>
      <c r="H2631" s="3564">
        <v>71</v>
      </c>
      <c r="I2631" s="3564">
        <v>17.8</v>
      </c>
      <c r="J2631" s="3565">
        <v>894188</v>
      </c>
      <c r="K2631" s="3565">
        <v>10069.68</v>
      </c>
      <c r="L2631" s="3565">
        <v>12594.2</v>
      </c>
      <c r="M2631" s="3565">
        <v>0</v>
      </c>
      <c r="N2631" s="3565">
        <v>0</v>
      </c>
      <c r="O2631" s="3563" t="s">
        <v>3453</v>
      </c>
    </row>
    <row r="2632" spans="1:15">
      <c r="A2632" s="3563" t="s">
        <v>6854</v>
      </c>
      <c r="B2632" s="3563" t="s">
        <v>4196</v>
      </c>
      <c r="C2632" s="3563" t="s">
        <v>4197</v>
      </c>
      <c r="D2632" s="3563" t="s">
        <v>6429</v>
      </c>
      <c r="E2632" s="3563" t="s">
        <v>4297</v>
      </c>
      <c r="F2632" s="3563" t="s">
        <v>4797</v>
      </c>
      <c r="G2632" s="3564">
        <v>88.8</v>
      </c>
      <c r="H2632" s="3564">
        <v>71</v>
      </c>
      <c r="I2632" s="3564">
        <v>17.8</v>
      </c>
      <c r="J2632" s="3565">
        <v>894188</v>
      </c>
      <c r="K2632" s="3565">
        <v>10069.68</v>
      </c>
      <c r="L2632" s="3565">
        <v>12594.2</v>
      </c>
      <c r="M2632" s="3565">
        <v>0</v>
      </c>
      <c r="N2632" s="3565">
        <v>0</v>
      </c>
      <c r="O2632" s="3563" t="s">
        <v>3453</v>
      </c>
    </row>
    <row r="2633" spans="1:15">
      <c r="A2633" s="3563" t="s">
        <v>6855</v>
      </c>
      <c r="B2633" s="3563" t="s">
        <v>4196</v>
      </c>
      <c r="C2633" s="3563" t="s">
        <v>4197</v>
      </c>
      <c r="D2633" s="3563" t="s">
        <v>6429</v>
      </c>
      <c r="E2633" s="3563" t="s">
        <v>4297</v>
      </c>
      <c r="F2633" s="3563" t="s">
        <v>4797</v>
      </c>
      <c r="G2633" s="3564">
        <v>102.57</v>
      </c>
      <c r="H2633" s="3564">
        <v>82.01</v>
      </c>
      <c r="I2633" s="3564">
        <v>20.56</v>
      </c>
      <c r="J2633" s="3565">
        <v>1071039</v>
      </c>
      <c r="K2633" s="3565">
        <v>10442.030000000001</v>
      </c>
      <c r="L2633" s="3565">
        <v>13059.86</v>
      </c>
      <c r="M2633" s="3565">
        <v>0</v>
      </c>
      <c r="N2633" s="3565">
        <v>0</v>
      </c>
      <c r="O2633" s="3563" t="s">
        <v>3453</v>
      </c>
    </row>
    <row r="2634" spans="1:15">
      <c r="A2634" s="3563" t="s">
        <v>6856</v>
      </c>
      <c r="B2634" s="3563" t="s">
        <v>4196</v>
      </c>
      <c r="C2634" s="3563" t="s">
        <v>4197</v>
      </c>
      <c r="D2634" s="3563" t="s">
        <v>6429</v>
      </c>
      <c r="E2634" s="3563" t="s">
        <v>4297</v>
      </c>
      <c r="F2634" s="3563" t="s">
        <v>4797</v>
      </c>
      <c r="G2634" s="3564">
        <v>88.8</v>
      </c>
      <c r="H2634" s="3564">
        <v>71</v>
      </c>
      <c r="I2634" s="3564">
        <v>17.8</v>
      </c>
      <c r="J2634" s="3565">
        <v>918749</v>
      </c>
      <c r="K2634" s="3565">
        <v>10346.27</v>
      </c>
      <c r="L2634" s="3565">
        <v>12940.13</v>
      </c>
      <c r="M2634" s="3565">
        <v>0</v>
      </c>
      <c r="N2634" s="3565">
        <v>0</v>
      </c>
      <c r="O2634" s="3563" t="s">
        <v>3453</v>
      </c>
    </row>
    <row r="2635" spans="1:15">
      <c r="A2635" s="3563" t="s">
        <v>6857</v>
      </c>
      <c r="B2635" s="3563" t="s">
        <v>4196</v>
      </c>
      <c r="C2635" s="3563" t="s">
        <v>4197</v>
      </c>
      <c r="D2635" s="3563" t="s">
        <v>6429</v>
      </c>
      <c r="E2635" s="3563" t="s">
        <v>4297</v>
      </c>
      <c r="F2635" s="3563" t="s">
        <v>4797</v>
      </c>
      <c r="G2635" s="3564">
        <v>88.8</v>
      </c>
      <c r="H2635" s="3564">
        <v>71</v>
      </c>
      <c r="I2635" s="3564">
        <v>17.8</v>
      </c>
      <c r="J2635" s="3565">
        <v>918749</v>
      </c>
      <c r="K2635" s="3565">
        <v>10346.27</v>
      </c>
      <c r="L2635" s="3565">
        <v>12940.13</v>
      </c>
      <c r="M2635" s="3565">
        <v>0</v>
      </c>
      <c r="N2635" s="3565">
        <v>0</v>
      </c>
      <c r="O2635" s="3563" t="s">
        <v>3453</v>
      </c>
    </row>
    <row r="2636" spans="1:15">
      <c r="A2636" s="3563" t="s">
        <v>6858</v>
      </c>
      <c r="B2636" s="3563" t="s">
        <v>4196</v>
      </c>
      <c r="C2636" s="3563" t="s">
        <v>4197</v>
      </c>
      <c r="D2636" s="3563" t="s">
        <v>6429</v>
      </c>
      <c r="E2636" s="3563" t="s">
        <v>4297</v>
      </c>
      <c r="F2636" s="3563" t="s">
        <v>4797</v>
      </c>
      <c r="G2636" s="3564">
        <v>91.02</v>
      </c>
      <c r="H2636" s="3564">
        <v>72.78</v>
      </c>
      <c r="I2636" s="3564">
        <v>18.239999999999998</v>
      </c>
      <c r="J2636" s="3565">
        <v>927194</v>
      </c>
      <c r="K2636" s="3565">
        <v>10186.709999999999</v>
      </c>
      <c r="L2636" s="3565">
        <v>12739.68</v>
      </c>
      <c r="M2636" s="3565">
        <v>0</v>
      </c>
      <c r="N2636" s="3565">
        <v>0</v>
      </c>
      <c r="O2636" s="3563" t="s">
        <v>3453</v>
      </c>
    </row>
    <row r="2637" spans="1:15">
      <c r="A2637" s="3563" t="s">
        <v>6859</v>
      </c>
      <c r="B2637" s="3563" t="s">
        <v>4196</v>
      </c>
      <c r="C2637" s="3563" t="s">
        <v>4197</v>
      </c>
      <c r="D2637" s="3563" t="s">
        <v>6429</v>
      </c>
      <c r="E2637" s="3563" t="s">
        <v>4297</v>
      </c>
      <c r="F2637" s="3563" t="s">
        <v>4797</v>
      </c>
      <c r="G2637" s="3564">
        <v>88.8</v>
      </c>
      <c r="H2637" s="3564">
        <v>71</v>
      </c>
      <c r="I2637" s="3564">
        <v>17.8</v>
      </c>
      <c r="J2637" s="3565">
        <v>904579</v>
      </c>
      <c r="K2637" s="3565">
        <v>10186.700000000001</v>
      </c>
      <c r="L2637" s="3565">
        <v>12740.55</v>
      </c>
      <c r="M2637" s="3565">
        <v>0</v>
      </c>
      <c r="N2637" s="3565">
        <v>0</v>
      </c>
      <c r="O2637" s="3563" t="s">
        <v>3453</v>
      </c>
    </row>
    <row r="2638" spans="1:15">
      <c r="A2638" s="3563" t="s">
        <v>6860</v>
      </c>
      <c r="B2638" s="3563" t="s">
        <v>4196</v>
      </c>
      <c r="C2638" s="3563" t="s">
        <v>4197</v>
      </c>
      <c r="D2638" s="3563" t="s">
        <v>6429</v>
      </c>
      <c r="E2638" s="3563" t="s">
        <v>4297</v>
      </c>
      <c r="F2638" s="3563" t="s">
        <v>4797</v>
      </c>
      <c r="G2638" s="3564">
        <v>88.8</v>
      </c>
      <c r="H2638" s="3564">
        <v>71</v>
      </c>
      <c r="I2638" s="3564">
        <v>17.8</v>
      </c>
      <c r="J2638" s="3565">
        <v>904579</v>
      </c>
      <c r="K2638" s="3565">
        <v>10186.700000000001</v>
      </c>
      <c r="L2638" s="3565">
        <v>12740.55</v>
      </c>
      <c r="M2638" s="3565">
        <v>0</v>
      </c>
      <c r="N2638" s="3565">
        <v>0</v>
      </c>
      <c r="O2638" s="3563" t="s">
        <v>3453</v>
      </c>
    </row>
    <row r="2639" spans="1:15">
      <c r="A2639" s="3563" t="s">
        <v>6861</v>
      </c>
      <c r="B2639" s="3563" t="s">
        <v>4196</v>
      </c>
      <c r="C2639" s="3563" t="s">
        <v>4197</v>
      </c>
      <c r="D2639" s="3563" t="s">
        <v>6429</v>
      </c>
      <c r="E2639" s="3563" t="s">
        <v>4297</v>
      </c>
      <c r="F2639" s="3563" t="s">
        <v>4797</v>
      </c>
      <c r="G2639" s="3564">
        <v>102.57</v>
      </c>
      <c r="H2639" s="3564">
        <v>82.01</v>
      </c>
      <c r="I2639" s="3564">
        <v>20.56</v>
      </c>
      <c r="J2639" s="3565">
        <v>1072130</v>
      </c>
      <c r="K2639" s="3565">
        <v>10452.67</v>
      </c>
      <c r="L2639" s="3565">
        <v>13073.16</v>
      </c>
      <c r="M2639" s="3565">
        <v>0</v>
      </c>
      <c r="N2639" s="3565">
        <v>0</v>
      </c>
      <c r="O2639" s="3563" t="s">
        <v>3453</v>
      </c>
    </row>
    <row r="2640" spans="1:15">
      <c r="A2640" s="3563" t="s">
        <v>6862</v>
      </c>
      <c r="B2640" s="3563" t="s">
        <v>4196</v>
      </c>
      <c r="C2640" s="3563" t="s">
        <v>4197</v>
      </c>
      <c r="D2640" s="3563" t="s">
        <v>6429</v>
      </c>
      <c r="E2640" s="3563" t="s">
        <v>4297</v>
      </c>
      <c r="F2640" s="3563" t="s">
        <v>4797</v>
      </c>
      <c r="G2640" s="3564">
        <v>88.8</v>
      </c>
      <c r="H2640" s="3564">
        <v>71</v>
      </c>
      <c r="I2640" s="3564">
        <v>17.8</v>
      </c>
      <c r="J2640" s="3565">
        <v>919694</v>
      </c>
      <c r="K2640" s="3565">
        <v>10356.91</v>
      </c>
      <c r="L2640" s="3565">
        <v>12953.44</v>
      </c>
      <c r="M2640" s="3565">
        <v>0</v>
      </c>
      <c r="N2640" s="3565">
        <v>0</v>
      </c>
      <c r="O2640" s="3563" t="s">
        <v>3453</v>
      </c>
    </row>
    <row r="2641" spans="1:15">
      <c r="A2641" s="3563" t="s">
        <v>6863</v>
      </c>
      <c r="B2641" s="3563" t="s">
        <v>4196</v>
      </c>
      <c r="C2641" s="3563" t="s">
        <v>4197</v>
      </c>
      <c r="D2641" s="3563" t="s">
        <v>6429</v>
      </c>
      <c r="E2641" s="3563" t="s">
        <v>4297</v>
      </c>
      <c r="F2641" s="3563" t="s">
        <v>4797</v>
      </c>
      <c r="G2641" s="3564">
        <v>88.8</v>
      </c>
      <c r="H2641" s="3564">
        <v>71</v>
      </c>
      <c r="I2641" s="3564">
        <v>17.8</v>
      </c>
      <c r="J2641" s="3565">
        <v>919694</v>
      </c>
      <c r="K2641" s="3565">
        <v>10356.91</v>
      </c>
      <c r="L2641" s="3565">
        <v>12953.44</v>
      </c>
      <c r="M2641" s="3565">
        <v>0</v>
      </c>
      <c r="N2641" s="3565">
        <v>0</v>
      </c>
      <c r="O2641" s="3563" t="s">
        <v>3453</v>
      </c>
    </row>
    <row r="2642" spans="1:15">
      <c r="A2642" s="3563" t="s">
        <v>6864</v>
      </c>
      <c r="B2642" s="3563" t="s">
        <v>4196</v>
      </c>
      <c r="C2642" s="3563" t="s">
        <v>4197</v>
      </c>
      <c r="D2642" s="3563" t="s">
        <v>6429</v>
      </c>
      <c r="E2642" s="3563" t="s">
        <v>4297</v>
      </c>
      <c r="F2642" s="3563" t="s">
        <v>4797</v>
      </c>
      <c r="G2642" s="3564">
        <v>91.02</v>
      </c>
      <c r="H2642" s="3564">
        <v>72.78</v>
      </c>
      <c r="I2642" s="3564">
        <v>18.239999999999998</v>
      </c>
      <c r="J2642" s="3565">
        <v>928162</v>
      </c>
      <c r="K2642" s="3565">
        <v>10197.34</v>
      </c>
      <c r="L2642" s="3565">
        <v>12752.98</v>
      </c>
      <c r="M2642" s="3565">
        <v>0</v>
      </c>
      <c r="N2642" s="3565">
        <v>0</v>
      </c>
      <c r="O2642" s="3563" t="s">
        <v>3453</v>
      </c>
    </row>
    <row r="2643" spans="1:15">
      <c r="A2643" s="3563" t="s">
        <v>6865</v>
      </c>
      <c r="B2643" s="3563" t="s">
        <v>4196</v>
      </c>
      <c r="C2643" s="3563" t="s">
        <v>4197</v>
      </c>
      <c r="D2643" s="3563" t="s">
        <v>6429</v>
      </c>
      <c r="E2643" s="3563" t="s">
        <v>4297</v>
      </c>
      <c r="F2643" s="3563" t="s">
        <v>4797</v>
      </c>
      <c r="G2643" s="3564">
        <v>88.8</v>
      </c>
      <c r="H2643" s="3564">
        <v>71</v>
      </c>
      <c r="I2643" s="3564">
        <v>17.8</v>
      </c>
      <c r="J2643" s="3565">
        <v>905524</v>
      </c>
      <c r="K2643" s="3565">
        <v>10197.34</v>
      </c>
      <c r="L2643" s="3565">
        <v>12753.86</v>
      </c>
      <c r="M2643" s="3565">
        <v>0</v>
      </c>
      <c r="N2643" s="3565">
        <v>0</v>
      </c>
      <c r="O2643" s="3563" t="s">
        <v>3453</v>
      </c>
    </row>
    <row r="2644" spans="1:15">
      <c r="A2644" s="3563" t="s">
        <v>6866</v>
      </c>
      <c r="B2644" s="3563" t="s">
        <v>4196</v>
      </c>
      <c r="C2644" s="3563" t="s">
        <v>4197</v>
      </c>
      <c r="D2644" s="3563" t="s">
        <v>6429</v>
      </c>
      <c r="E2644" s="3563" t="s">
        <v>4297</v>
      </c>
      <c r="F2644" s="3563" t="s">
        <v>4797</v>
      </c>
      <c r="G2644" s="3564">
        <v>88.8</v>
      </c>
      <c r="H2644" s="3564">
        <v>71</v>
      </c>
      <c r="I2644" s="3564">
        <v>17.8</v>
      </c>
      <c r="J2644" s="3565">
        <v>905524</v>
      </c>
      <c r="K2644" s="3565">
        <v>10197.34</v>
      </c>
      <c r="L2644" s="3565">
        <v>12753.86</v>
      </c>
      <c r="M2644" s="3565">
        <v>0</v>
      </c>
      <c r="N2644" s="3565">
        <v>0</v>
      </c>
      <c r="O2644" s="3563" t="s">
        <v>3453</v>
      </c>
    </row>
    <row r="2645" spans="1:15">
      <c r="A2645" s="3563" t="s">
        <v>6867</v>
      </c>
      <c r="B2645" s="3563" t="s">
        <v>4196</v>
      </c>
      <c r="C2645" s="3563" t="s">
        <v>4197</v>
      </c>
      <c r="D2645" s="3563" t="s">
        <v>6429</v>
      </c>
      <c r="E2645" s="3563" t="s">
        <v>4297</v>
      </c>
      <c r="F2645" s="3563" t="s">
        <v>4797</v>
      </c>
      <c r="G2645" s="3564">
        <v>102.57</v>
      </c>
      <c r="H2645" s="3564">
        <v>82.01</v>
      </c>
      <c r="I2645" s="3564">
        <v>20.56</v>
      </c>
      <c r="J2645" s="3565">
        <v>1073221</v>
      </c>
      <c r="K2645" s="3565">
        <v>10463.299999999999</v>
      </c>
      <c r="L2645" s="3565">
        <v>13086.47</v>
      </c>
      <c r="M2645" s="3565">
        <v>0</v>
      </c>
      <c r="N2645" s="3565">
        <v>0</v>
      </c>
      <c r="O2645" s="3563" t="s">
        <v>3453</v>
      </c>
    </row>
    <row r="2646" spans="1:15">
      <c r="A2646" s="3563" t="s">
        <v>6868</v>
      </c>
      <c r="B2646" s="3563" t="s">
        <v>4196</v>
      </c>
      <c r="C2646" s="3563" t="s">
        <v>4197</v>
      </c>
      <c r="D2646" s="3563" t="s">
        <v>6429</v>
      </c>
      <c r="E2646" s="3563" t="s">
        <v>4297</v>
      </c>
      <c r="F2646" s="3563" t="s">
        <v>4797</v>
      </c>
      <c r="G2646" s="3564">
        <v>88.8</v>
      </c>
      <c r="H2646" s="3564">
        <v>71</v>
      </c>
      <c r="I2646" s="3564">
        <v>17.8</v>
      </c>
      <c r="J2646" s="3565">
        <v>920639</v>
      </c>
      <c r="K2646" s="3565">
        <v>10367.56</v>
      </c>
      <c r="L2646" s="3565">
        <v>12966.75</v>
      </c>
      <c r="M2646" s="3565">
        <v>0</v>
      </c>
      <c r="N2646" s="3565">
        <v>0</v>
      </c>
      <c r="O2646" s="3563" t="s">
        <v>3453</v>
      </c>
    </row>
    <row r="2647" spans="1:15">
      <c r="A2647" s="3563" t="s">
        <v>6869</v>
      </c>
      <c r="B2647" s="3563" t="s">
        <v>4196</v>
      </c>
      <c r="C2647" s="3563" t="s">
        <v>4197</v>
      </c>
      <c r="D2647" s="3563" t="s">
        <v>6429</v>
      </c>
      <c r="E2647" s="3563" t="s">
        <v>4297</v>
      </c>
      <c r="F2647" s="3563" t="s">
        <v>4797</v>
      </c>
      <c r="G2647" s="3564">
        <v>88.8</v>
      </c>
      <c r="H2647" s="3564">
        <v>71</v>
      </c>
      <c r="I2647" s="3564">
        <v>17.8</v>
      </c>
      <c r="J2647" s="3565">
        <v>920639</v>
      </c>
      <c r="K2647" s="3565">
        <v>10367.56</v>
      </c>
      <c r="L2647" s="3565">
        <v>12966.75</v>
      </c>
      <c r="M2647" s="3565">
        <v>0</v>
      </c>
      <c r="N2647" s="3565">
        <v>0</v>
      </c>
      <c r="O2647" s="3563" t="s">
        <v>3453</v>
      </c>
    </row>
    <row r="2648" spans="1:15">
      <c r="A2648" s="3563" t="s">
        <v>6870</v>
      </c>
      <c r="B2648" s="3563" t="s">
        <v>4196</v>
      </c>
      <c r="C2648" s="3563" t="s">
        <v>4197</v>
      </c>
      <c r="D2648" s="3563" t="s">
        <v>6429</v>
      </c>
      <c r="E2648" s="3563" t="s">
        <v>4297</v>
      </c>
      <c r="F2648" s="3563" t="s">
        <v>4797</v>
      </c>
      <c r="G2648" s="3564">
        <v>91.02</v>
      </c>
      <c r="H2648" s="3564">
        <v>72.78</v>
      </c>
      <c r="I2648" s="3564">
        <v>18.239999999999998</v>
      </c>
      <c r="J2648" s="3565">
        <v>929130</v>
      </c>
      <c r="K2648" s="3565">
        <v>10207.98</v>
      </c>
      <c r="L2648" s="3565">
        <v>12766.28</v>
      </c>
      <c r="M2648" s="3565">
        <v>0</v>
      </c>
      <c r="N2648" s="3565">
        <v>0</v>
      </c>
      <c r="O2648" s="3563" t="s">
        <v>3453</v>
      </c>
    </row>
    <row r="2649" spans="1:15">
      <c r="A2649" s="3563" t="s">
        <v>6871</v>
      </c>
      <c r="B2649" s="3563" t="s">
        <v>4196</v>
      </c>
      <c r="C2649" s="3563" t="s">
        <v>4197</v>
      </c>
      <c r="D2649" s="3563" t="s">
        <v>6429</v>
      </c>
      <c r="E2649" s="3563" t="s">
        <v>4297</v>
      </c>
      <c r="F2649" s="3563" t="s">
        <v>4797</v>
      </c>
      <c r="G2649" s="3564">
        <v>88.8</v>
      </c>
      <c r="H2649" s="3564">
        <v>71</v>
      </c>
      <c r="I2649" s="3564">
        <v>17.8</v>
      </c>
      <c r="J2649" s="3565">
        <v>906469</v>
      </c>
      <c r="K2649" s="3565">
        <v>10207.98</v>
      </c>
      <c r="L2649" s="3565">
        <v>12767.17</v>
      </c>
      <c r="M2649" s="3565">
        <v>0</v>
      </c>
      <c r="N2649" s="3565">
        <v>0</v>
      </c>
      <c r="O2649" s="3563" t="s">
        <v>3453</v>
      </c>
    </row>
    <row r="2650" spans="1:15">
      <c r="A2650" s="3563" t="s">
        <v>6872</v>
      </c>
      <c r="B2650" s="3563" t="s">
        <v>4196</v>
      </c>
      <c r="C2650" s="3563" t="s">
        <v>4197</v>
      </c>
      <c r="D2650" s="3563" t="s">
        <v>6429</v>
      </c>
      <c r="E2650" s="3563" t="s">
        <v>4297</v>
      </c>
      <c r="F2650" s="3563" t="s">
        <v>4797</v>
      </c>
      <c r="G2650" s="3564">
        <v>88.8</v>
      </c>
      <c r="H2650" s="3564">
        <v>71</v>
      </c>
      <c r="I2650" s="3564">
        <v>17.8</v>
      </c>
      <c r="J2650" s="3565">
        <v>906469</v>
      </c>
      <c r="K2650" s="3565">
        <v>10207.98</v>
      </c>
      <c r="L2650" s="3565">
        <v>12767.17</v>
      </c>
      <c r="M2650" s="3565">
        <v>0</v>
      </c>
      <c r="N2650" s="3565">
        <v>0</v>
      </c>
      <c r="O2650" s="3563" t="s">
        <v>3453</v>
      </c>
    </row>
    <row r="2651" spans="1:15">
      <c r="A2651" s="3563" t="s">
        <v>6873</v>
      </c>
      <c r="B2651" s="3563" t="s">
        <v>4196</v>
      </c>
      <c r="C2651" s="3563" t="s">
        <v>4197</v>
      </c>
      <c r="D2651" s="3563" t="s">
        <v>6429</v>
      </c>
      <c r="E2651" s="3563" t="s">
        <v>4297</v>
      </c>
      <c r="F2651" s="3563" t="s">
        <v>4797</v>
      </c>
      <c r="G2651" s="3564">
        <v>102.57</v>
      </c>
      <c r="H2651" s="3564">
        <v>82.01</v>
      </c>
      <c r="I2651" s="3564">
        <v>20.56</v>
      </c>
      <c r="J2651" s="3565">
        <v>1074312</v>
      </c>
      <c r="K2651" s="3565">
        <v>10473.94</v>
      </c>
      <c r="L2651" s="3565">
        <v>13099.77</v>
      </c>
      <c r="M2651" s="3565">
        <v>0</v>
      </c>
      <c r="N2651" s="3565">
        <v>0</v>
      </c>
      <c r="O2651" s="3563" t="s">
        <v>3453</v>
      </c>
    </row>
    <row r="2652" spans="1:15">
      <c r="A2652" s="3563" t="s">
        <v>6874</v>
      </c>
      <c r="B2652" s="3563" t="s">
        <v>4196</v>
      </c>
      <c r="C2652" s="3563" t="s">
        <v>4197</v>
      </c>
      <c r="D2652" s="3563" t="s">
        <v>6429</v>
      </c>
      <c r="E2652" s="3563" t="s">
        <v>4423</v>
      </c>
      <c r="F2652" s="3563" t="s">
        <v>4797</v>
      </c>
      <c r="G2652" s="3564">
        <v>89.05</v>
      </c>
      <c r="H2652" s="3564">
        <v>71</v>
      </c>
      <c r="I2652" s="3564">
        <v>18.05</v>
      </c>
      <c r="J2652" s="3565">
        <v>924785</v>
      </c>
      <c r="K2652" s="3565">
        <v>10385.01</v>
      </c>
      <c r="L2652" s="3565">
        <v>13025.14</v>
      </c>
      <c r="M2652" s="3565">
        <v>0</v>
      </c>
      <c r="N2652" s="3565">
        <v>0</v>
      </c>
      <c r="O2652" s="3563" t="s">
        <v>3453</v>
      </c>
    </row>
    <row r="2653" spans="1:15">
      <c r="A2653" s="3563" t="s">
        <v>6875</v>
      </c>
      <c r="B2653" s="3563" t="s">
        <v>4196</v>
      </c>
      <c r="C2653" s="3563" t="s">
        <v>4197</v>
      </c>
      <c r="D2653" s="3563" t="s">
        <v>6429</v>
      </c>
      <c r="E2653" s="3563" t="s">
        <v>4423</v>
      </c>
      <c r="F2653" s="3563" t="s">
        <v>4797</v>
      </c>
      <c r="G2653" s="3564">
        <v>89.05</v>
      </c>
      <c r="H2653" s="3564">
        <v>71</v>
      </c>
      <c r="I2653" s="3564">
        <v>18.05</v>
      </c>
      <c r="J2653" s="3565">
        <v>943732</v>
      </c>
      <c r="K2653" s="3565">
        <v>10597.78</v>
      </c>
      <c r="L2653" s="3565">
        <v>13292</v>
      </c>
      <c r="M2653" s="3565">
        <v>0</v>
      </c>
      <c r="N2653" s="3565">
        <v>0</v>
      </c>
      <c r="O2653" s="3563" t="s">
        <v>3453</v>
      </c>
    </row>
    <row r="2654" spans="1:15">
      <c r="A2654" s="3563" t="s">
        <v>6876</v>
      </c>
      <c r="B2654" s="3563" t="s">
        <v>5277</v>
      </c>
      <c r="C2654" s="3563" t="s">
        <v>4197</v>
      </c>
      <c r="D2654" s="3563" t="s">
        <v>6429</v>
      </c>
      <c r="E2654" s="3563" t="s">
        <v>4423</v>
      </c>
      <c r="F2654" s="3563" t="s">
        <v>4797</v>
      </c>
      <c r="G2654" s="3564">
        <v>91.28</v>
      </c>
      <c r="H2654" s="3564">
        <v>72.78</v>
      </c>
      <c r="I2654" s="3564">
        <v>18.5</v>
      </c>
      <c r="J2654" s="3565">
        <v>933377</v>
      </c>
      <c r="K2654" s="3565">
        <v>10225.43</v>
      </c>
      <c r="L2654" s="3565">
        <v>12824.64</v>
      </c>
      <c r="M2654" s="3565">
        <v>933377</v>
      </c>
      <c r="N2654" s="3565">
        <v>10225.43</v>
      </c>
      <c r="O2654" s="3566">
        <v>44177</v>
      </c>
    </row>
    <row r="2655" spans="1:15">
      <c r="A2655" s="3563" t="s">
        <v>6877</v>
      </c>
      <c r="B2655" s="3563" t="s">
        <v>6422</v>
      </c>
      <c r="C2655" s="3563" t="s">
        <v>4197</v>
      </c>
      <c r="D2655" s="3563" t="s">
        <v>6429</v>
      </c>
      <c r="E2655" s="3563" t="s">
        <v>4423</v>
      </c>
      <c r="F2655" s="3563" t="s">
        <v>4797</v>
      </c>
      <c r="G2655" s="3564">
        <v>89.05</v>
      </c>
      <c r="H2655" s="3564">
        <v>71</v>
      </c>
      <c r="I2655" s="3564">
        <v>18.05</v>
      </c>
      <c r="J2655" s="3565">
        <v>910575</v>
      </c>
      <c r="K2655" s="3565">
        <v>10225.44</v>
      </c>
      <c r="L2655" s="3565">
        <v>12825</v>
      </c>
      <c r="M2655" s="3565">
        <v>874152</v>
      </c>
      <c r="N2655" s="3565">
        <v>9816.42</v>
      </c>
      <c r="O2655" s="3566">
        <v>44177</v>
      </c>
    </row>
    <row r="2656" spans="1:15">
      <c r="A2656" s="3563" t="s">
        <v>6878</v>
      </c>
      <c r="B2656" s="3563" t="s">
        <v>5277</v>
      </c>
      <c r="C2656" s="3563" t="s">
        <v>4197</v>
      </c>
      <c r="D2656" s="3563" t="s">
        <v>6429</v>
      </c>
      <c r="E2656" s="3563" t="s">
        <v>4423</v>
      </c>
      <c r="F2656" s="3563" t="s">
        <v>4797</v>
      </c>
      <c r="G2656" s="3564">
        <v>89.05</v>
      </c>
      <c r="H2656" s="3564">
        <v>71</v>
      </c>
      <c r="I2656" s="3564">
        <v>18.05</v>
      </c>
      <c r="J2656" s="3565">
        <v>910575</v>
      </c>
      <c r="K2656" s="3565">
        <v>10225.44</v>
      </c>
      <c r="L2656" s="3565">
        <v>12825</v>
      </c>
      <c r="M2656" s="3565">
        <v>864047</v>
      </c>
      <c r="N2656" s="3565">
        <v>9702.94</v>
      </c>
      <c r="O2656" s="3566">
        <v>44178</v>
      </c>
    </row>
    <row r="2657" spans="1:15">
      <c r="A2657" s="3563" t="s">
        <v>6879</v>
      </c>
      <c r="B2657" s="3563" t="s">
        <v>6422</v>
      </c>
      <c r="C2657" s="3563" t="s">
        <v>4197</v>
      </c>
      <c r="D2657" s="3563" t="s">
        <v>6429</v>
      </c>
      <c r="E2657" s="3563" t="s">
        <v>4423</v>
      </c>
      <c r="F2657" s="3563" t="s">
        <v>4797</v>
      </c>
      <c r="G2657" s="3564">
        <v>102.86</v>
      </c>
      <c r="H2657" s="3564">
        <v>82.01</v>
      </c>
      <c r="I2657" s="3564">
        <v>20.85</v>
      </c>
      <c r="J2657" s="3565">
        <v>1046316</v>
      </c>
      <c r="K2657" s="3565">
        <v>10172.23</v>
      </c>
      <c r="L2657" s="3565">
        <v>12758.4</v>
      </c>
      <c r="M2657" s="3565">
        <v>951148</v>
      </c>
      <c r="N2657" s="3565">
        <v>9247.02</v>
      </c>
      <c r="O2657" s="3566">
        <v>44177</v>
      </c>
    </row>
    <row r="2658" spans="1:15">
      <c r="A2658" s="3563" t="s">
        <v>6880</v>
      </c>
      <c r="B2658" s="3563" t="s">
        <v>5277</v>
      </c>
      <c r="C2658" s="3563" t="s">
        <v>4197</v>
      </c>
      <c r="D2658" s="3563" t="s">
        <v>6429</v>
      </c>
      <c r="E2658" s="3563" t="s">
        <v>4423</v>
      </c>
      <c r="F2658" s="3563" t="s">
        <v>4797</v>
      </c>
      <c r="G2658" s="3564">
        <v>89.05</v>
      </c>
      <c r="H2658" s="3564">
        <v>71</v>
      </c>
      <c r="I2658" s="3564">
        <v>18.05</v>
      </c>
      <c r="J2658" s="3565">
        <v>925732</v>
      </c>
      <c r="K2658" s="3565">
        <v>10395.64</v>
      </c>
      <c r="L2658" s="3565">
        <v>13038.48</v>
      </c>
      <c r="M2658" s="3565">
        <v>879446</v>
      </c>
      <c r="N2658" s="3565">
        <v>9875.8700000000008</v>
      </c>
      <c r="O2658" s="3566">
        <v>44187</v>
      </c>
    </row>
    <row r="2659" spans="1:15">
      <c r="A2659" s="3563" t="s">
        <v>6881</v>
      </c>
      <c r="B2659" s="3563" t="s">
        <v>6422</v>
      </c>
      <c r="C2659" s="3563" t="s">
        <v>4197</v>
      </c>
      <c r="D2659" s="3563" t="s">
        <v>6429</v>
      </c>
      <c r="E2659" s="3563" t="s">
        <v>4423</v>
      </c>
      <c r="F2659" s="3563" t="s">
        <v>4797</v>
      </c>
      <c r="G2659" s="3564">
        <v>89.05</v>
      </c>
      <c r="H2659" s="3564">
        <v>71</v>
      </c>
      <c r="I2659" s="3564">
        <v>18.05</v>
      </c>
      <c r="J2659" s="3565">
        <v>944679</v>
      </c>
      <c r="K2659" s="3565">
        <v>10608.41</v>
      </c>
      <c r="L2659" s="3565">
        <v>13305.34</v>
      </c>
      <c r="M2659" s="3565">
        <v>897446</v>
      </c>
      <c r="N2659" s="3565">
        <v>10078</v>
      </c>
      <c r="O2659" s="3566">
        <v>44184</v>
      </c>
    </row>
    <row r="2660" spans="1:15">
      <c r="A2660" s="3563" t="s">
        <v>6882</v>
      </c>
      <c r="B2660" s="3563" t="s">
        <v>6422</v>
      </c>
      <c r="C2660" s="3563" t="s">
        <v>4197</v>
      </c>
      <c r="D2660" s="3563" t="s">
        <v>6429</v>
      </c>
      <c r="E2660" s="3563" t="s">
        <v>4423</v>
      </c>
      <c r="F2660" s="3563" t="s">
        <v>4797</v>
      </c>
      <c r="G2660" s="3564">
        <v>91.28</v>
      </c>
      <c r="H2660" s="3564">
        <v>72.78</v>
      </c>
      <c r="I2660" s="3564">
        <v>18.5</v>
      </c>
      <c r="J2660" s="3565">
        <v>934348</v>
      </c>
      <c r="K2660" s="3565">
        <v>10236.06</v>
      </c>
      <c r="L2660" s="3565">
        <v>12837.98</v>
      </c>
      <c r="M2660" s="3565">
        <v>850257</v>
      </c>
      <c r="N2660" s="3565">
        <v>9314.82</v>
      </c>
      <c r="O2660" s="3566">
        <v>44177</v>
      </c>
    </row>
    <row r="2661" spans="1:15">
      <c r="A2661" s="3563" t="s">
        <v>6883</v>
      </c>
      <c r="B2661" s="3563" t="s">
        <v>4811</v>
      </c>
      <c r="C2661" s="3563" t="s">
        <v>4197</v>
      </c>
      <c r="D2661" s="3563" t="s">
        <v>6429</v>
      </c>
      <c r="E2661" s="3563" t="s">
        <v>4423</v>
      </c>
      <c r="F2661" s="3563" t="s">
        <v>4797</v>
      </c>
      <c r="G2661" s="3564">
        <v>89.05</v>
      </c>
      <c r="H2661" s="3564">
        <v>71</v>
      </c>
      <c r="I2661" s="3564">
        <v>18.05</v>
      </c>
      <c r="J2661" s="3565">
        <v>911522</v>
      </c>
      <c r="K2661" s="3565">
        <v>10236.07</v>
      </c>
      <c r="L2661" s="3565">
        <v>12838.34</v>
      </c>
      <c r="M2661" s="3565">
        <v>911522</v>
      </c>
      <c r="N2661" s="3565">
        <v>10236.07</v>
      </c>
      <c r="O2661" s="3566">
        <v>44178</v>
      </c>
    </row>
    <row r="2662" spans="1:15">
      <c r="A2662" s="3563" t="s">
        <v>6884</v>
      </c>
      <c r="B2662" s="3563" t="s">
        <v>5277</v>
      </c>
      <c r="C2662" s="3563" t="s">
        <v>4197</v>
      </c>
      <c r="D2662" s="3563" t="s">
        <v>6429</v>
      </c>
      <c r="E2662" s="3563" t="s">
        <v>4423</v>
      </c>
      <c r="F2662" s="3563" t="s">
        <v>4797</v>
      </c>
      <c r="G2662" s="3564">
        <v>89.05</v>
      </c>
      <c r="H2662" s="3564">
        <v>71</v>
      </c>
      <c r="I2662" s="3564">
        <v>18.05</v>
      </c>
      <c r="J2662" s="3565">
        <v>911522</v>
      </c>
      <c r="K2662" s="3565">
        <v>10236.07</v>
      </c>
      <c r="L2662" s="3565">
        <v>12838.34</v>
      </c>
      <c r="M2662" s="3565">
        <v>829486</v>
      </c>
      <c r="N2662" s="3565">
        <v>9314.83</v>
      </c>
      <c r="O2662" s="3566">
        <v>44177</v>
      </c>
    </row>
    <row r="2663" spans="1:15">
      <c r="A2663" s="3563" t="s">
        <v>6885</v>
      </c>
      <c r="B2663" s="3563" t="s">
        <v>6422</v>
      </c>
      <c r="C2663" s="3563" t="s">
        <v>4197</v>
      </c>
      <c r="D2663" s="3563" t="s">
        <v>6429</v>
      </c>
      <c r="E2663" s="3563" t="s">
        <v>4423</v>
      </c>
      <c r="F2663" s="3563" t="s">
        <v>4797</v>
      </c>
      <c r="G2663" s="3564">
        <v>102.86</v>
      </c>
      <c r="H2663" s="3564">
        <v>82.01</v>
      </c>
      <c r="I2663" s="3564">
        <v>20.85</v>
      </c>
      <c r="J2663" s="3565">
        <v>1047411</v>
      </c>
      <c r="K2663" s="3565">
        <v>10182.879999999999</v>
      </c>
      <c r="L2663" s="3565">
        <v>12771.75</v>
      </c>
      <c r="M2663" s="3565">
        <v>953145</v>
      </c>
      <c r="N2663" s="3565">
        <v>9266.43</v>
      </c>
      <c r="O2663" s="3566">
        <v>44177</v>
      </c>
    </row>
    <row r="2664" spans="1:15">
      <c r="A2664" s="3563" t="s">
        <v>6886</v>
      </c>
      <c r="B2664" s="3563" t="s">
        <v>5277</v>
      </c>
      <c r="C2664" s="3563" t="s">
        <v>4197</v>
      </c>
      <c r="D2664" s="3563" t="s">
        <v>6429</v>
      </c>
      <c r="E2664" s="3563" t="s">
        <v>4423</v>
      </c>
      <c r="F2664" s="3563" t="s">
        <v>4797</v>
      </c>
      <c r="G2664" s="3564">
        <v>89.05</v>
      </c>
      <c r="H2664" s="3564">
        <v>71</v>
      </c>
      <c r="I2664" s="3564">
        <v>18.05</v>
      </c>
      <c r="J2664" s="3565">
        <v>926679</v>
      </c>
      <c r="K2664" s="3565">
        <v>10406.280000000001</v>
      </c>
      <c r="L2664" s="3565">
        <v>13051.82</v>
      </c>
      <c r="M2664" s="3565">
        <v>880346</v>
      </c>
      <c r="N2664" s="3565">
        <v>9885.9699999999993</v>
      </c>
      <c r="O2664" s="3566">
        <v>44185</v>
      </c>
    </row>
    <row r="2665" spans="1:15">
      <c r="A2665" s="3563" t="s">
        <v>6887</v>
      </c>
      <c r="B2665" s="3563" t="s">
        <v>4811</v>
      </c>
      <c r="C2665" s="3563" t="s">
        <v>4197</v>
      </c>
      <c r="D2665" s="3563" t="s">
        <v>6429</v>
      </c>
      <c r="E2665" s="3563" t="s">
        <v>4423</v>
      </c>
      <c r="F2665" s="3563" t="s">
        <v>4797</v>
      </c>
      <c r="G2665" s="3564">
        <v>89.05</v>
      </c>
      <c r="H2665" s="3564">
        <v>71</v>
      </c>
      <c r="I2665" s="3564">
        <v>18.05</v>
      </c>
      <c r="J2665" s="3565">
        <v>945626</v>
      </c>
      <c r="K2665" s="3565">
        <v>10619.05</v>
      </c>
      <c r="L2665" s="3565">
        <v>13318.68</v>
      </c>
      <c r="M2665" s="3565">
        <v>907801</v>
      </c>
      <c r="N2665" s="3565">
        <v>10194.280000000001</v>
      </c>
      <c r="O2665" s="3566">
        <v>44183</v>
      </c>
    </row>
    <row r="2666" spans="1:15">
      <c r="A2666" s="3563" t="s">
        <v>6888</v>
      </c>
      <c r="B2666" s="3563" t="s">
        <v>6422</v>
      </c>
      <c r="C2666" s="3563" t="s">
        <v>4197</v>
      </c>
      <c r="D2666" s="3563" t="s">
        <v>6429</v>
      </c>
      <c r="E2666" s="3563" t="s">
        <v>4423</v>
      </c>
      <c r="F2666" s="3563" t="s">
        <v>4797</v>
      </c>
      <c r="G2666" s="3564">
        <v>91.28</v>
      </c>
      <c r="H2666" s="3564">
        <v>72.78</v>
      </c>
      <c r="I2666" s="3564">
        <v>18.5</v>
      </c>
      <c r="J2666" s="3565">
        <v>935319</v>
      </c>
      <c r="K2666" s="3565">
        <v>10246.700000000001</v>
      </c>
      <c r="L2666" s="3565">
        <v>12851.32</v>
      </c>
      <c r="M2666" s="3565">
        <v>888554</v>
      </c>
      <c r="N2666" s="3565">
        <v>9734.3799999999992</v>
      </c>
      <c r="O2666" s="3566">
        <v>44177</v>
      </c>
    </row>
    <row r="2667" spans="1:15">
      <c r="A2667" s="3563" t="s">
        <v>6889</v>
      </c>
      <c r="B2667" s="3563" t="s">
        <v>5277</v>
      </c>
      <c r="C2667" s="3563" t="s">
        <v>4197</v>
      </c>
      <c r="D2667" s="3563" t="s">
        <v>6429</v>
      </c>
      <c r="E2667" s="3563" t="s">
        <v>4423</v>
      </c>
      <c r="F2667" s="3563" t="s">
        <v>4797</v>
      </c>
      <c r="G2667" s="3564">
        <v>89.05</v>
      </c>
      <c r="H2667" s="3564">
        <v>71</v>
      </c>
      <c r="I2667" s="3564">
        <v>18.05</v>
      </c>
      <c r="J2667" s="3565">
        <v>912469</v>
      </c>
      <c r="K2667" s="3565">
        <v>10246.700000000001</v>
      </c>
      <c r="L2667" s="3565">
        <v>12851.68</v>
      </c>
      <c r="M2667" s="3565">
        <v>875971</v>
      </c>
      <c r="N2667" s="3565">
        <v>9836.84</v>
      </c>
      <c r="O2667" s="3566">
        <v>44177</v>
      </c>
    </row>
    <row r="2668" spans="1:15">
      <c r="A2668" s="3563" t="s">
        <v>6890</v>
      </c>
      <c r="B2668" s="3563" t="s">
        <v>5277</v>
      </c>
      <c r="C2668" s="3563" t="s">
        <v>4197</v>
      </c>
      <c r="D2668" s="3563" t="s">
        <v>6429</v>
      </c>
      <c r="E2668" s="3563" t="s">
        <v>4423</v>
      </c>
      <c r="F2668" s="3563" t="s">
        <v>4797</v>
      </c>
      <c r="G2668" s="3564">
        <v>89.05</v>
      </c>
      <c r="H2668" s="3564">
        <v>71</v>
      </c>
      <c r="I2668" s="3564">
        <v>18.05</v>
      </c>
      <c r="J2668" s="3565">
        <v>912469</v>
      </c>
      <c r="K2668" s="3565">
        <v>10246.700000000001</v>
      </c>
      <c r="L2668" s="3565">
        <v>12851.68</v>
      </c>
      <c r="M2668" s="3565">
        <v>874971</v>
      </c>
      <c r="N2668" s="3565">
        <v>9825.61</v>
      </c>
      <c r="O2668" s="3566">
        <v>44177</v>
      </c>
    </row>
    <row r="2669" spans="1:15">
      <c r="A2669" s="3563" t="s">
        <v>6891</v>
      </c>
      <c r="B2669" s="3563" t="s">
        <v>6422</v>
      </c>
      <c r="C2669" s="3563" t="s">
        <v>4197</v>
      </c>
      <c r="D2669" s="3563" t="s">
        <v>6429</v>
      </c>
      <c r="E2669" s="3563" t="s">
        <v>4423</v>
      </c>
      <c r="F2669" s="3563" t="s">
        <v>4797</v>
      </c>
      <c r="G2669" s="3564">
        <v>102.86</v>
      </c>
      <c r="H2669" s="3564">
        <v>82.01</v>
      </c>
      <c r="I2669" s="3564">
        <v>20.85</v>
      </c>
      <c r="J2669" s="3565">
        <v>1048505</v>
      </c>
      <c r="K2669" s="3565">
        <v>10193.52</v>
      </c>
      <c r="L2669" s="3565">
        <v>12785.09</v>
      </c>
      <c r="M2669" s="3565">
        <v>954140</v>
      </c>
      <c r="N2669" s="3565">
        <v>9276.1</v>
      </c>
      <c r="O2669" s="3566">
        <v>44177</v>
      </c>
    </row>
    <row r="2670" spans="1:15">
      <c r="A2670" s="3563" t="s">
        <v>6892</v>
      </c>
      <c r="B2670" s="3563" t="s">
        <v>5277</v>
      </c>
      <c r="C2670" s="3563" t="s">
        <v>4197</v>
      </c>
      <c r="D2670" s="3563" t="s">
        <v>6429</v>
      </c>
      <c r="E2670" s="3563" t="s">
        <v>4423</v>
      </c>
      <c r="F2670" s="3563" t="s">
        <v>4797</v>
      </c>
      <c r="G2670" s="3564">
        <v>89.05</v>
      </c>
      <c r="H2670" s="3564">
        <v>71</v>
      </c>
      <c r="I2670" s="3564">
        <v>18.05</v>
      </c>
      <c r="J2670" s="3565">
        <v>927627</v>
      </c>
      <c r="K2670" s="3565">
        <v>10416.92</v>
      </c>
      <c r="L2670" s="3565">
        <v>13065.17</v>
      </c>
      <c r="M2670" s="3565">
        <v>890522</v>
      </c>
      <c r="N2670" s="3565">
        <v>10000.25</v>
      </c>
      <c r="O2670" s="3566">
        <v>44184</v>
      </c>
    </row>
    <row r="2671" spans="1:15">
      <c r="A2671" s="3563" t="s">
        <v>6893</v>
      </c>
      <c r="B2671" s="3563" t="s">
        <v>4811</v>
      </c>
      <c r="C2671" s="3563" t="s">
        <v>4197</v>
      </c>
      <c r="D2671" s="3563" t="s">
        <v>6429</v>
      </c>
      <c r="E2671" s="3563" t="s">
        <v>4423</v>
      </c>
      <c r="F2671" s="3563" t="s">
        <v>4797</v>
      </c>
      <c r="G2671" s="3564">
        <v>89.05</v>
      </c>
      <c r="H2671" s="3564">
        <v>71</v>
      </c>
      <c r="I2671" s="3564">
        <v>18.05</v>
      </c>
      <c r="J2671" s="3565">
        <v>946574</v>
      </c>
      <c r="K2671" s="3565">
        <v>10629.69</v>
      </c>
      <c r="L2671" s="3565">
        <v>13332.03</v>
      </c>
      <c r="M2671" s="3565">
        <v>908711</v>
      </c>
      <c r="N2671" s="3565">
        <v>10204.5</v>
      </c>
      <c r="O2671" s="3566">
        <v>44187</v>
      </c>
    </row>
    <row r="2672" spans="1:15">
      <c r="A2672" s="3563" t="s">
        <v>6894</v>
      </c>
      <c r="B2672" s="3563" t="s">
        <v>6422</v>
      </c>
      <c r="C2672" s="3563" t="s">
        <v>4197</v>
      </c>
      <c r="D2672" s="3563" t="s">
        <v>6429</v>
      </c>
      <c r="E2672" s="3563" t="s">
        <v>4423</v>
      </c>
      <c r="F2672" s="3563" t="s">
        <v>4797</v>
      </c>
      <c r="G2672" s="3564">
        <v>91.28</v>
      </c>
      <c r="H2672" s="3564">
        <v>72.78</v>
      </c>
      <c r="I2672" s="3564">
        <v>18.5</v>
      </c>
      <c r="J2672" s="3565">
        <v>936291</v>
      </c>
      <c r="K2672" s="3565">
        <v>10257.35</v>
      </c>
      <c r="L2672" s="3565">
        <v>12864.67</v>
      </c>
      <c r="M2672" s="3565">
        <v>889477</v>
      </c>
      <c r="N2672" s="3565">
        <v>9744.49</v>
      </c>
      <c r="O2672" s="3566">
        <v>44178</v>
      </c>
    </row>
    <row r="2673" spans="1:15">
      <c r="A2673" s="3563" t="s">
        <v>6895</v>
      </c>
      <c r="B2673" s="3563" t="s">
        <v>5277</v>
      </c>
      <c r="C2673" s="3563" t="s">
        <v>4197</v>
      </c>
      <c r="D2673" s="3563" t="s">
        <v>6429</v>
      </c>
      <c r="E2673" s="3563" t="s">
        <v>4423</v>
      </c>
      <c r="F2673" s="3563" t="s">
        <v>4797</v>
      </c>
      <c r="G2673" s="3564">
        <v>89.05</v>
      </c>
      <c r="H2673" s="3564">
        <v>71</v>
      </c>
      <c r="I2673" s="3564">
        <v>18.05</v>
      </c>
      <c r="J2673" s="3565">
        <v>913417</v>
      </c>
      <c r="K2673" s="3565">
        <v>10257.35</v>
      </c>
      <c r="L2673" s="3565">
        <v>12865.03</v>
      </c>
      <c r="M2673" s="3565">
        <v>831210</v>
      </c>
      <c r="N2673" s="3565">
        <v>9334.19</v>
      </c>
      <c r="O2673" s="3566">
        <v>44177</v>
      </c>
    </row>
    <row r="2674" spans="1:15">
      <c r="A2674" s="3563" t="s">
        <v>6896</v>
      </c>
      <c r="B2674" s="3563" t="s">
        <v>6422</v>
      </c>
      <c r="C2674" s="3563" t="s">
        <v>4197</v>
      </c>
      <c r="D2674" s="3563" t="s">
        <v>6429</v>
      </c>
      <c r="E2674" s="3563" t="s">
        <v>4423</v>
      </c>
      <c r="F2674" s="3563" t="s">
        <v>4797</v>
      </c>
      <c r="G2674" s="3564">
        <v>89.05</v>
      </c>
      <c r="H2674" s="3564">
        <v>71</v>
      </c>
      <c r="I2674" s="3564">
        <v>18.05</v>
      </c>
      <c r="J2674" s="3565">
        <v>913417</v>
      </c>
      <c r="K2674" s="3565">
        <v>10257.35</v>
      </c>
      <c r="L2674" s="3565">
        <v>12865.03</v>
      </c>
      <c r="M2674" s="3565">
        <v>875881</v>
      </c>
      <c r="N2674" s="3565">
        <v>9835.83</v>
      </c>
      <c r="O2674" s="3566">
        <v>44177</v>
      </c>
    </row>
    <row r="2675" spans="1:15">
      <c r="A2675" s="3563" t="s">
        <v>6897</v>
      </c>
      <c r="B2675" s="3563" t="s">
        <v>5277</v>
      </c>
      <c r="C2675" s="3563" t="s">
        <v>4197</v>
      </c>
      <c r="D2675" s="3563" t="s">
        <v>6429</v>
      </c>
      <c r="E2675" s="3563" t="s">
        <v>4423</v>
      </c>
      <c r="F2675" s="3563" t="s">
        <v>4797</v>
      </c>
      <c r="G2675" s="3564">
        <v>102.86</v>
      </c>
      <c r="H2675" s="3564">
        <v>82.01</v>
      </c>
      <c r="I2675" s="3564">
        <v>20.85</v>
      </c>
      <c r="J2675" s="3565">
        <v>1049599</v>
      </c>
      <c r="K2675" s="3565">
        <v>10204.15</v>
      </c>
      <c r="L2675" s="3565">
        <v>12798.43</v>
      </c>
      <c r="M2675" s="3565">
        <v>955136</v>
      </c>
      <c r="N2675" s="3565">
        <v>9285.7900000000009</v>
      </c>
      <c r="O2675" s="3566">
        <v>44177</v>
      </c>
    </row>
    <row r="2676" spans="1:15">
      <c r="A2676" s="3563" t="s">
        <v>6898</v>
      </c>
      <c r="B2676" s="3563" t="s">
        <v>6422</v>
      </c>
      <c r="C2676" s="3563" t="s">
        <v>4197</v>
      </c>
      <c r="D2676" s="3563" t="s">
        <v>6429</v>
      </c>
      <c r="E2676" s="3563" t="s">
        <v>4423</v>
      </c>
      <c r="F2676" s="3563" t="s">
        <v>4797</v>
      </c>
      <c r="G2676" s="3564">
        <v>89.05</v>
      </c>
      <c r="H2676" s="3564">
        <v>71</v>
      </c>
      <c r="I2676" s="3564">
        <v>18.05</v>
      </c>
      <c r="J2676" s="3565">
        <v>919101</v>
      </c>
      <c r="K2676" s="3565">
        <v>10321.18</v>
      </c>
      <c r="L2676" s="3565">
        <v>12945.08</v>
      </c>
      <c r="M2676" s="3565">
        <v>873146</v>
      </c>
      <c r="N2676" s="3565">
        <v>9805.1200000000008</v>
      </c>
      <c r="O2676" s="3566">
        <v>44179</v>
      </c>
    </row>
    <row r="2677" spans="1:15">
      <c r="A2677" s="3563" t="s">
        <v>6899</v>
      </c>
      <c r="B2677" s="3563" t="s">
        <v>4811</v>
      </c>
      <c r="C2677" s="3563" t="s">
        <v>4197</v>
      </c>
      <c r="D2677" s="3563" t="s">
        <v>6429</v>
      </c>
      <c r="E2677" s="3563" t="s">
        <v>4423</v>
      </c>
      <c r="F2677" s="3563" t="s">
        <v>4797</v>
      </c>
      <c r="G2677" s="3564">
        <v>89.05</v>
      </c>
      <c r="H2677" s="3564">
        <v>71</v>
      </c>
      <c r="I2677" s="3564">
        <v>18.05</v>
      </c>
      <c r="J2677" s="3565">
        <v>938048</v>
      </c>
      <c r="K2677" s="3565">
        <v>10533.95</v>
      </c>
      <c r="L2677" s="3565">
        <v>13211.94</v>
      </c>
      <c r="M2677" s="3565">
        <v>900527</v>
      </c>
      <c r="N2677" s="3565">
        <v>10112.6</v>
      </c>
      <c r="O2677" s="3566">
        <v>44188</v>
      </c>
    </row>
    <row r="2678" spans="1:15">
      <c r="A2678" s="3563" t="s">
        <v>6900</v>
      </c>
      <c r="B2678" s="3563" t="s">
        <v>6422</v>
      </c>
      <c r="C2678" s="3563" t="s">
        <v>4197</v>
      </c>
      <c r="D2678" s="3563" t="s">
        <v>6429</v>
      </c>
      <c r="E2678" s="3563" t="s">
        <v>4423</v>
      </c>
      <c r="F2678" s="3563" t="s">
        <v>4797</v>
      </c>
      <c r="G2678" s="3564">
        <v>91.28</v>
      </c>
      <c r="H2678" s="3564">
        <v>72.78</v>
      </c>
      <c r="I2678" s="3564">
        <v>18.5</v>
      </c>
      <c r="J2678" s="3565">
        <v>927551</v>
      </c>
      <c r="K2678" s="3565">
        <v>10161.6</v>
      </c>
      <c r="L2678" s="3565">
        <v>12744.59</v>
      </c>
      <c r="M2678" s="3565">
        <v>890449</v>
      </c>
      <c r="N2678" s="3565">
        <v>9755.14</v>
      </c>
      <c r="O2678" s="3566">
        <v>44177</v>
      </c>
    </row>
    <row r="2679" spans="1:15">
      <c r="A2679" s="3563" t="s">
        <v>6901</v>
      </c>
      <c r="B2679" s="3563" t="s">
        <v>5277</v>
      </c>
      <c r="C2679" s="3563" t="s">
        <v>4197</v>
      </c>
      <c r="D2679" s="3563" t="s">
        <v>6429</v>
      </c>
      <c r="E2679" s="3563" t="s">
        <v>4423</v>
      </c>
      <c r="F2679" s="3563" t="s">
        <v>4797</v>
      </c>
      <c r="G2679" s="3564">
        <v>89.05</v>
      </c>
      <c r="H2679" s="3564">
        <v>71</v>
      </c>
      <c r="I2679" s="3564">
        <v>18.05</v>
      </c>
      <c r="J2679" s="3565">
        <v>904891</v>
      </c>
      <c r="K2679" s="3565">
        <v>10161.61</v>
      </c>
      <c r="L2679" s="3565">
        <v>12744.94</v>
      </c>
      <c r="M2679" s="3565">
        <v>868696</v>
      </c>
      <c r="N2679" s="3565">
        <v>9755.15</v>
      </c>
      <c r="O2679" s="3566">
        <v>44177</v>
      </c>
    </row>
    <row r="2680" spans="1:15">
      <c r="A2680" s="3563" t="s">
        <v>6902</v>
      </c>
      <c r="B2680" s="3563" t="s">
        <v>6422</v>
      </c>
      <c r="C2680" s="3563" t="s">
        <v>4197</v>
      </c>
      <c r="D2680" s="3563" t="s">
        <v>6429</v>
      </c>
      <c r="E2680" s="3563" t="s">
        <v>4423</v>
      </c>
      <c r="F2680" s="3563" t="s">
        <v>4797</v>
      </c>
      <c r="G2680" s="3564">
        <v>89.05</v>
      </c>
      <c r="H2680" s="3564">
        <v>71</v>
      </c>
      <c r="I2680" s="3564">
        <v>18.05</v>
      </c>
      <c r="J2680" s="3565">
        <v>904891</v>
      </c>
      <c r="K2680" s="3565">
        <v>10161.61</v>
      </c>
      <c r="L2680" s="3565">
        <v>12744.94</v>
      </c>
      <c r="M2680" s="3565">
        <v>868696</v>
      </c>
      <c r="N2680" s="3565">
        <v>9755.15</v>
      </c>
      <c r="O2680" s="3566">
        <v>44177</v>
      </c>
    </row>
    <row r="2681" spans="1:15">
      <c r="A2681" s="3563" t="s">
        <v>6903</v>
      </c>
      <c r="B2681" s="3563" t="s">
        <v>5277</v>
      </c>
      <c r="C2681" s="3563" t="s">
        <v>4197</v>
      </c>
      <c r="D2681" s="3563" t="s">
        <v>6429</v>
      </c>
      <c r="E2681" s="3563" t="s">
        <v>4423</v>
      </c>
      <c r="F2681" s="3563" t="s">
        <v>4797</v>
      </c>
      <c r="G2681" s="3564">
        <v>102.86</v>
      </c>
      <c r="H2681" s="3564">
        <v>82.01</v>
      </c>
      <c r="I2681" s="3564">
        <v>20.85</v>
      </c>
      <c r="J2681" s="3565">
        <v>1039751</v>
      </c>
      <c r="K2681" s="3565">
        <v>10108.41</v>
      </c>
      <c r="L2681" s="3565">
        <v>12678.34</v>
      </c>
      <c r="M2681" s="3565">
        <v>946174</v>
      </c>
      <c r="N2681" s="3565">
        <v>9198.66</v>
      </c>
      <c r="O2681" s="3566">
        <v>44177</v>
      </c>
    </row>
    <row r="2682" spans="1:15">
      <c r="A2682" s="3563" t="s">
        <v>6904</v>
      </c>
      <c r="B2682" s="3563" t="s">
        <v>6422</v>
      </c>
      <c r="C2682" s="3563" t="s">
        <v>4197</v>
      </c>
      <c r="D2682" s="3563" t="s">
        <v>6429</v>
      </c>
      <c r="E2682" s="3563" t="s">
        <v>4423</v>
      </c>
      <c r="F2682" s="3563" t="s">
        <v>4797</v>
      </c>
      <c r="G2682" s="3564">
        <v>89.05</v>
      </c>
      <c r="H2682" s="3564">
        <v>71</v>
      </c>
      <c r="I2682" s="3564">
        <v>18.05</v>
      </c>
      <c r="J2682" s="3565">
        <v>929521</v>
      </c>
      <c r="K2682" s="3565">
        <v>10438.19</v>
      </c>
      <c r="L2682" s="3565">
        <v>13091.85</v>
      </c>
      <c r="M2682" s="3565">
        <v>892340</v>
      </c>
      <c r="N2682" s="3565">
        <v>10020.66</v>
      </c>
      <c r="O2682" s="3566">
        <v>44179</v>
      </c>
    </row>
    <row r="2683" spans="1:15">
      <c r="A2683" s="3563" t="s">
        <v>6905</v>
      </c>
      <c r="B2683" s="3563" t="s">
        <v>6422</v>
      </c>
      <c r="C2683" s="3563" t="s">
        <v>4197</v>
      </c>
      <c r="D2683" s="3563" t="s">
        <v>6429</v>
      </c>
      <c r="E2683" s="3563" t="s">
        <v>4423</v>
      </c>
      <c r="F2683" s="3563" t="s">
        <v>4797</v>
      </c>
      <c r="G2683" s="3564">
        <v>89.05</v>
      </c>
      <c r="H2683" s="3564">
        <v>71</v>
      </c>
      <c r="I2683" s="3564">
        <v>18.05</v>
      </c>
      <c r="J2683" s="3565">
        <v>948468</v>
      </c>
      <c r="K2683" s="3565">
        <v>10650.96</v>
      </c>
      <c r="L2683" s="3565">
        <v>13358.7</v>
      </c>
      <c r="M2683" s="3565">
        <v>863106</v>
      </c>
      <c r="N2683" s="3565">
        <v>9692.3799999999992</v>
      </c>
      <c r="O2683" s="3566">
        <v>44182</v>
      </c>
    </row>
    <row r="2684" spans="1:15">
      <c r="A2684" s="3563" t="s">
        <v>6906</v>
      </c>
      <c r="B2684" s="3563" t="s">
        <v>5277</v>
      </c>
      <c r="C2684" s="3563" t="s">
        <v>4197</v>
      </c>
      <c r="D2684" s="3563" t="s">
        <v>6429</v>
      </c>
      <c r="E2684" s="3563" t="s">
        <v>4423</v>
      </c>
      <c r="F2684" s="3563" t="s">
        <v>4797</v>
      </c>
      <c r="G2684" s="3564">
        <v>91.28</v>
      </c>
      <c r="H2684" s="3564">
        <v>72.78</v>
      </c>
      <c r="I2684" s="3564">
        <v>18.5</v>
      </c>
      <c r="J2684" s="3565">
        <v>938233</v>
      </c>
      <c r="K2684" s="3565">
        <v>10278.629999999999</v>
      </c>
      <c r="L2684" s="3565">
        <v>12891.36</v>
      </c>
      <c r="M2684" s="3565">
        <v>899704</v>
      </c>
      <c r="N2684" s="3565">
        <v>9856.5300000000007</v>
      </c>
      <c r="O2684" s="3566">
        <v>44177</v>
      </c>
    </row>
    <row r="2685" spans="1:15">
      <c r="A2685" s="3563" t="s">
        <v>6907</v>
      </c>
      <c r="B2685" s="3563" t="s">
        <v>6422</v>
      </c>
      <c r="C2685" s="3563" t="s">
        <v>4197</v>
      </c>
      <c r="D2685" s="3563" t="s">
        <v>6429</v>
      </c>
      <c r="E2685" s="3563" t="s">
        <v>4423</v>
      </c>
      <c r="F2685" s="3563" t="s">
        <v>4797</v>
      </c>
      <c r="G2685" s="3564">
        <v>89.05</v>
      </c>
      <c r="H2685" s="3564">
        <v>71</v>
      </c>
      <c r="I2685" s="3564">
        <v>18.05</v>
      </c>
      <c r="J2685" s="3565">
        <v>915311</v>
      </c>
      <c r="K2685" s="3565">
        <v>10278.620000000001</v>
      </c>
      <c r="L2685" s="3565">
        <v>12891.7</v>
      </c>
      <c r="M2685" s="3565">
        <v>832934</v>
      </c>
      <c r="N2685" s="3565">
        <v>9353.5499999999993</v>
      </c>
      <c r="O2685" s="3566">
        <v>44178</v>
      </c>
    </row>
    <row r="2686" spans="1:15">
      <c r="A2686" s="3563" t="s">
        <v>6908</v>
      </c>
      <c r="B2686" s="3563" t="s">
        <v>4811</v>
      </c>
      <c r="C2686" s="3563" t="s">
        <v>4197</v>
      </c>
      <c r="D2686" s="3563" t="s">
        <v>6429</v>
      </c>
      <c r="E2686" s="3563" t="s">
        <v>4423</v>
      </c>
      <c r="F2686" s="3563" t="s">
        <v>4797</v>
      </c>
      <c r="G2686" s="3564">
        <v>89.05</v>
      </c>
      <c r="H2686" s="3564">
        <v>71</v>
      </c>
      <c r="I2686" s="3564">
        <v>18.05</v>
      </c>
      <c r="J2686" s="3565">
        <v>915311</v>
      </c>
      <c r="K2686" s="3565">
        <v>10278.620000000001</v>
      </c>
      <c r="L2686" s="3565">
        <v>12891.7</v>
      </c>
      <c r="M2686" s="3565">
        <v>915311</v>
      </c>
      <c r="N2686" s="3565">
        <v>10278.620000000001</v>
      </c>
      <c r="O2686" s="3566">
        <v>44177</v>
      </c>
    </row>
    <row r="2687" spans="1:15">
      <c r="A2687" s="3563" t="s">
        <v>6909</v>
      </c>
      <c r="B2687" s="3563" t="s">
        <v>5277</v>
      </c>
      <c r="C2687" s="3563" t="s">
        <v>4197</v>
      </c>
      <c r="D2687" s="3563" t="s">
        <v>6429</v>
      </c>
      <c r="E2687" s="3563" t="s">
        <v>4423</v>
      </c>
      <c r="F2687" s="3563" t="s">
        <v>4797</v>
      </c>
      <c r="G2687" s="3564">
        <v>102.86</v>
      </c>
      <c r="H2687" s="3564">
        <v>82.01</v>
      </c>
      <c r="I2687" s="3564">
        <v>20.85</v>
      </c>
      <c r="J2687" s="3565">
        <v>1051788</v>
      </c>
      <c r="K2687" s="3565">
        <v>10225.43</v>
      </c>
      <c r="L2687" s="3565">
        <v>12825.12</v>
      </c>
      <c r="M2687" s="3565">
        <v>957128</v>
      </c>
      <c r="N2687" s="3565">
        <v>9305.15</v>
      </c>
      <c r="O2687" s="3566">
        <v>44177</v>
      </c>
    </row>
    <row r="2688" spans="1:15">
      <c r="A2688" s="3563" t="s">
        <v>6910</v>
      </c>
      <c r="B2688" s="3563" t="s">
        <v>5277</v>
      </c>
      <c r="C2688" s="3563" t="s">
        <v>4197</v>
      </c>
      <c r="D2688" s="3563" t="s">
        <v>6429</v>
      </c>
      <c r="E2688" s="3563" t="s">
        <v>4423</v>
      </c>
      <c r="F2688" s="3563" t="s">
        <v>4797</v>
      </c>
      <c r="G2688" s="3564">
        <v>89.05</v>
      </c>
      <c r="H2688" s="3564">
        <v>71</v>
      </c>
      <c r="I2688" s="3564">
        <v>18.05</v>
      </c>
      <c r="J2688" s="3565">
        <v>928574</v>
      </c>
      <c r="K2688" s="3565">
        <v>10427.56</v>
      </c>
      <c r="L2688" s="3565">
        <v>13078.51</v>
      </c>
      <c r="M2688" s="3565">
        <v>845003</v>
      </c>
      <c r="N2688" s="3565">
        <v>9489.08</v>
      </c>
      <c r="O2688" s="3566">
        <v>44187</v>
      </c>
    </row>
    <row r="2689" spans="1:15">
      <c r="A2689" s="3563" t="s">
        <v>6911</v>
      </c>
      <c r="B2689" s="3563" t="s">
        <v>6422</v>
      </c>
      <c r="C2689" s="3563" t="s">
        <v>4197</v>
      </c>
      <c r="D2689" s="3563" t="s">
        <v>6429</v>
      </c>
      <c r="E2689" s="3563" t="s">
        <v>4423</v>
      </c>
      <c r="F2689" s="3563" t="s">
        <v>4797</v>
      </c>
      <c r="G2689" s="3564">
        <v>89.05</v>
      </c>
      <c r="H2689" s="3564">
        <v>71</v>
      </c>
      <c r="I2689" s="3564">
        <v>18.05</v>
      </c>
      <c r="J2689" s="3565">
        <v>947521</v>
      </c>
      <c r="K2689" s="3565">
        <v>10640.33</v>
      </c>
      <c r="L2689" s="3565">
        <v>13345.37</v>
      </c>
      <c r="M2689" s="3565">
        <v>862245</v>
      </c>
      <c r="N2689" s="3565">
        <v>9682.7099999999991</v>
      </c>
      <c r="O2689" s="3566">
        <v>44182</v>
      </c>
    </row>
    <row r="2690" spans="1:15">
      <c r="A2690" s="3563" t="s">
        <v>6912</v>
      </c>
      <c r="B2690" s="3563" t="s">
        <v>4811</v>
      </c>
      <c r="C2690" s="3563" t="s">
        <v>4197</v>
      </c>
      <c r="D2690" s="3563" t="s">
        <v>6429</v>
      </c>
      <c r="E2690" s="3563" t="s">
        <v>4423</v>
      </c>
      <c r="F2690" s="3563" t="s">
        <v>4797</v>
      </c>
      <c r="G2690" s="3564">
        <v>91.28</v>
      </c>
      <c r="H2690" s="3564">
        <v>72.78</v>
      </c>
      <c r="I2690" s="3564">
        <v>18.5</v>
      </c>
      <c r="J2690" s="3565">
        <v>937262</v>
      </c>
      <c r="K2690" s="3565">
        <v>10267.99</v>
      </c>
      <c r="L2690" s="3565">
        <v>12878.02</v>
      </c>
      <c r="M2690" s="3565">
        <v>937262</v>
      </c>
      <c r="N2690" s="3565">
        <v>10267.99</v>
      </c>
      <c r="O2690" s="3566">
        <v>44177</v>
      </c>
    </row>
    <row r="2691" spans="1:15">
      <c r="A2691" s="3563" t="s">
        <v>6913</v>
      </c>
      <c r="B2691" s="3563" t="s">
        <v>5277</v>
      </c>
      <c r="C2691" s="3563" t="s">
        <v>4197</v>
      </c>
      <c r="D2691" s="3563" t="s">
        <v>6429</v>
      </c>
      <c r="E2691" s="3563" t="s">
        <v>4423</v>
      </c>
      <c r="F2691" s="3563" t="s">
        <v>4797</v>
      </c>
      <c r="G2691" s="3564">
        <v>89.05</v>
      </c>
      <c r="H2691" s="3564">
        <v>71</v>
      </c>
      <c r="I2691" s="3564">
        <v>18.05</v>
      </c>
      <c r="J2691" s="3565">
        <v>914364</v>
      </c>
      <c r="K2691" s="3565">
        <v>10267.98</v>
      </c>
      <c r="L2691" s="3565">
        <v>12878.37</v>
      </c>
      <c r="M2691" s="3565">
        <v>914364</v>
      </c>
      <c r="N2691" s="3565">
        <v>10267.98</v>
      </c>
      <c r="O2691" s="3566">
        <v>44177</v>
      </c>
    </row>
    <row r="2692" spans="1:15">
      <c r="A2692" s="3563" t="s">
        <v>6914</v>
      </c>
      <c r="B2692" s="3563" t="s">
        <v>5277</v>
      </c>
      <c r="C2692" s="3563" t="s">
        <v>4197</v>
      </c>
      <c r="D2692" s="3563" t="s">
        <v>6429</v>
      </c>
      <c r="E2692" s="3563" t="s">
        <v>4423</v>
      </c>
      <c r="F2692" s="3563" t="s">
        <v>4797</v>
      </c>
      <c r="G2692" s="3564">
        <v>89.05</v>
      </c>
      <c r="H2692" s="3564">
        <v>71</v>
      </c>
      <c r="I2692" s="3564">
        <v>18.05</v>
      </c>
      <c r="J2692" s="3565">
        <v>914364</v>
      </c>
      <c r="K2692" s="3565">
        <v>10267.98</v>
      </c>
      <c r="L2692" s="3565">
        <v>12878.37</v>
      </c>
      <c r="M2692" s="3565">
        <v>876790</v>
      </c>
      <c r="N2692" s="3565">
        <v>9846.0400000000009</v>
      </c>
      <c r="O2692" s="3566">
        <v>44177</v>
      </c>
    </row>
    <row r="2693" spans="1:15">
      <c r="A2693" s="3563" t="s">
        <v>6915</v>
      </c>
      <c r="B2693" s="3563" t="s">
        <v>5277</v>
      </c>
      <c r="C2693" s="3563" t="s">
        <v>4197</v>
      </c>
      <c r="D2693" s="3563" t="s">
        <v>6429</v>
      </c>
      <c r="E2693" s="3563" t="s">
        <v>4423</v>
      </c>
      <c r="F2693" s="3563" t="s">
        <v>4797</v>
      </c>
      <c r="G2693" s="3564">
        <v>102.86</v>
      </c>
      <c r="H2693" s="3564">
        <v>82.01</v>
      </c>
      <c r="I2693" s="3564">
        <v>20.85</v>
      </c>
      <c r="J2693" s="3565">
        <v>1050694</v>
      </c>
      <c r="K2693" s="3565">
        <v>10214.799999999999</v>
      </c>
      <c r="L2693" s="3565">
        <v>12811.78</v>
      </c>
      <c r="M2693" s="3565">
        <v>1008667</v>
      </c>
      <c r="N2693" s="3565">
        <v>9806.2099999999991</v>
      </c>
      <c r="O2693" s="3566">
        <v>44177</v>
      </c>
    </row>
    <row r="2694" spans="1:15">
      <c r="A2694" s="3563" t="s">
        <v>6916</v>
      </c>
      <c r="B2694" s="3563" t="s">
        <v>6422</v>
      </c>
      <c r="C2694" s="3563" t="s">
        <v>4197</v>
      </c>
      <c r="D2694" s="3563" t="s">
        <v>6429</v>
      </c>
      <c r="E2694" s="3563" t="s">
        <v>4423</v>
      </c>
      <c r="F2694" s="3563" t="s">
        <v>4797</v>
      </c>
      <c r="G2694" s="3564">
        <v>89.05</v>
      </c>
      <c r="H2694" s="3564">
        <v>71</v>
      </c>
      <c r="I2694" s="3564">
        <v>18.05</v>
      </c>
      <c r="J2694" s="3565">
        <v>927627</v>
      </c>
      <c r="K2694" s="3565">
        <v>10416.92</v>
      </c>
      <c r="L2694" s="3565">
        <v>13065.17</v>
      </c>
      <c r="M2694" s="3565">
        <v>890522</v>
      </c>
      <c r="N2694" s="3565">
        <v>10000.25</v>
      </c>
      <c r="O2694" s="3566">
        <v>44187</v>
      </c>
    </row>
    <row r="2695" spans="1:15">
      <c r="A2695" s="3563" t="s">
        <v>6917</v>
      </c>
      <c r="B2695" s="3563" t="s">
        <v>6422</v>
      </c>
      <c r="C2695" s="3563" t="s">
        <v>4197</v>
      </c>
      <c r="D2695" s="3563" t="s">
        <v>6429</v>
      </c>
      <c r="E2695" s="3563" t="s">
        <v>4423</v>
      </c>
      <c r="F2695" s="3563" t="s">
        <v>4797</v>
      </c>
      <c r="G2695" s="3564">
        <v>89.05</v>
      </c>
      <c r="H2695" s="3564">
        <v>71</v>
      </c>
      <c r="I2695" s="3564">
        <v>18.05</v>
      </c>
      <c r="J2695" s="3565">
        <v>946574</v>
      </c>
      <c r="K2695" s="3565">
        <v>10629.69</v>
      </c>
      <c r="L2695" s="3565">
        <v>13332.03</v>
      </c>
      <c r="M2695" s="3565">
        <v>908712</v>
      </c>
      <c r="N2695" s="3565">
        <v>10204.51</v>
      </c>
      <c r="O2695" s="3566">
        <v>44183</v>
      </c>
    </row>
    <row r="2696" spans="1:15">
      <c r="A2696" s="3563" t="s">
        <v>6918</v>
      </c>
      <c r="B2696" s="3563" t="s">
        <v>6422</v>
      </c>
      <c r="C2696" s="3563" t="s">
        <v>4197</v>
      </c>
      <c r="D2696" s="3563" t="s">
        <v>6429</v>
      </c>
      <c r="E2696" s="3563" t="s">
        <v>4423</v>
      </c>
      <c r="F2696" s="3563" t="s">
        <v>4797</v>
      </c>
      <c r="G2696" s="3564">
        <v>91.28</v>
      </c>
      <c r="H2696" s="3564">
        <v>72.78</v>
      </c>
      <c r="I2696" s="3564">
        <v>18.5</v>
      </c>
      <c r="J2696" s="3565">
        <v>936291</v>
      </c>
      <c r="K2696" s="3565">
        <v>10257.35</v>
      </c>
      <c r="L2696" s="3565">
        <v>12864.67</v>
      </c>
      <c r="M2696" s="3565">
        <v>851025</v>
      </c>
      <c r="N2696" s="3565">
        <v>9323.24</v>
      </c>
      <c r="O2696" s="3566">
        <v>44177</v>
      </c>
    </row>
    <row r="2697" spans="1:15">
      <c r="A2697" s="3563" t="s">
        <v>6919</v>
      </c>
      <c r="B2697" s="3563" t="s">
        <v>6422</v>
      </c>
      <c r="C2697" s="3563" t="s">
        <v>4197</v>
      </c>
      <c r="D2697" s="3563" t="s">
        <v>6429</v>
      </c>
      <c r="E2697" s="3563" t="s">
        <v>4423</v>
      </c>
      <c r="F2697" s="3563" t="s">
        <v>4797</v>
      </c>
      <c r="G2697" s="3564">
        <v>89.05</v>
      </c>
      <c r="H2697" s="3564">
        <v>71</v>
      </c>
      <c r="I2697" s="3564">
        <v>18.05</v>
      </c>
      <c r="J2697" s="3565">
        <v>913417</v>
      </c>
      <c r="K2697" s="3565">
        <v>10257.35</v>
      </c>
      <c r="L2697" s="3565">
        <v>12865.03</v>
      </c>
      <c r="M2697" s="3565">
        <v>876881</v>
      </c>
      <c r="N2697" s="3565">
        <v>9847.06</v>
      </c>
      <c r="O2697" s="3566">
        <v>44177</v>
      </c>
    </row>
    <row r="2698" spans="1:15">
      <c r="A2698" s="3563" t="s">
        <v>6920</v>
      </c>
      <c r="B2698" s="3563" t="s">
        <v>4811</v>
      </c>
      <c r="C2698" s="3563" t="s">
        <v>4197</v>
      </c>
      <c r="D2698" s="3563" t="s">
        <v>6429</v>
      </c>
      <c r="E2698" s="3563" t="s">
        <v>4423</v>
      </c>
      <c r="F2698" s="3563" t="s">
        <v>4797</v>
      </c>
      <c r="G2698" s="3564">
        <v>89.05</v>
      </c>
      <c r="H2698" s="3564">
        <v>71</v>
      </c>
      <c r="I2698" s="3564">
        <v>18.05</v>
      </c>
      <c r="J2698" s="3565">
        <v>913417</v>
      </c>
      <c r="K2698" s="3565">
        <v>10257.35</v>
      </c>
      <c r="L2698" s="3565">
        <v>12865.03</v>
      </c>
      <c r="M2698" s="3565">
        <v>913417</v>
      </c>
      <c r="N2698" s="3565">
        <v>10257.35</v>
      </c>
      <c r="O2698" s="3566">
        <v>44177</v>
      </c>
    </row>
    <row r="2699" spans="1:15">
      <c r="A2699" s="3563" t="s">
        <v>6921</v>
      </c>
      <c r="B2699" s="3563" t="s">
        <v>6422</v>
      </c>
      <c r="C2699" s="3563" t="s">
        <v>4197</v>
      </c>
      <c r="D2699" s="3563" t="s">
        <v>6429</v>
      </c>
      <c r="E2699" s="3563" t="s">
        <v>4423</v>
      </c>
      <c r="F2699" s="3563" t="s">
        <v>4797</v>
      </c>
      <c r="G2699" s="3564">
        <v>102.86</v>
      </c>
      <c r="H2699" s="3564">
        <v>82.01</v>
      </c>
      <c r="I2699" s="3564">
        <v>20.85</v>
      </c>
      <c r="J2699" s="3565">
        <v>1049599</v>
      </c>
      <c r="K2699" s="3565">
        <v>10204.15</v>
      </c>
      <c r="L2699" s="3565">
        <v>12798.43</v>
      </c>
      <c r="M2699" s="3565">
        <v>955136</v>
      </c>
      <c r="N2699" s="3565">
        <v>9285.7900000000009</v>
      </c>
      <c r="O2699" s="3566">
        <v>44177</v>
      </c>
    </row>
    <row r="2700" spans="1:15">
      <c r="A2700" s="3563" t="s">
        <v>6922</v>
      </c>
      <c r="B2700" s="3563" t="s">
        <v>4196</v>
      </c>
      <c r="C2700" s="3563" t="s">
        <v>4197</v>
      </c>
      <c r="D2700" s="3563" t="s">
        <v>6429</v>
      </c>
      <c r="E2700" s="3563" t="s">
        <v>4423</v>
      </c>
      <c r="F2700" s="3563" t="s">
        <v>4797</v>
      </c>
      <c r="G2700" s="3564">
        <v>89.05</v>
      </c>
      <c r="H2700" s="3564">
        <v>71</v>
      </c>
      <c r="I2700" s="3564">
        <v>18.05</v>
      </c>
      <c r="J2700" s="3565">
        <v>917206</v>
      </c>
      <c r="K2700" s="3565">
        <v>10299.9</v>
      </c>
      <c r="L2700" s="3565">
        <v>12918.39</v>
      </c>
      <c r="M2700" s="3565">
        <v>0</v>
      </c>
      <c r="N2700" s="3565">
        <v>0</v>
      </c>
      <c r="O2700" s="3563" t="s">
        <v>3453</v>
      </c>
    </row>
    <row r="2701" spans="1:15">
      <c r="A2701" s="3563" t="s">
        <v>6923</v>
      </c>
      <c r="B2701" s="3563" t="s">
        <v>5277</v>
      </c>
      <c r="C2701" s="3563" t="s">
        <v>4197</v>
      </c>
      <c r="D2701" s="3563" t="s">
        <v>6429</v>
      </c>
      <c r="E2701" s="3563" t="s">
        <v>4423</v>
      </c>
      <c r="F2701" s="3563" t="s">
        <v>4797</v>
      </c>
      <c r="G2701" s="3564">
        <v>89.05</v>
      </c>
      <c r="H2701" s="3564">
        <v>71</v>
      </c>
      <c r="I2701" s="3564">
        <v>18.05</v>
      </c>
      <c r="J2701" s="3565">
        <v>936153</v>
      </c>
      <c r="K2701" s="3565">
        <v>10512.67</v>
      </c>
      <c r="L2701" s="3565">
        <v>13185.25</v>
      </c>
      <c r="M2701" s="3565">
        <v>898707</v>
      </c>
      <c r="N2701" s="3565">
        <v>10092.16</v>
      </c>
      <c r="O2701" s="3566">
        <v>44188</v>
      </c>
    </row>
    <row r="2702" spans="1:15">
      <c r="A2702" s="3563" t="s">
        <v>6924</v>
      </c>
      <c r="B2702" s="3563" t="s">
        <v>6422</v>
      </c>
      <c r="C2702" s="3563" t="s">
        <v>4197</v>
      </c>
      <c r="D2702" s="3563" t="s">
        <v>6429</v>
      </c>
      <c r="E2702" s="3563" t="s">
        <v>4423</v>
      </c>
      <c r="F2702" s="3563" t="s">
        <v>4797</v>
      </c>
      <c r="G2702" s="3564">
        <v>91.28</v>
      </c>
      <c r="H2702" s="3564">
        <v>72.78</v>
      </c>
      <c r="I2702" s="3564">
        <v>18.5</v>
      </c>
      <c r="J2702" s="3565">
        <v>925609</v>
      </c>
      <c r="K2702" s="3565">
        <v>10140.33</v>
      </c>
      <c r="L2702" s="3565">
        <v>12717.9</v>
      </c>
      <c r="M2702" s="3565">
        <v>888585</v>
      </c>
      <c r="N2702" s="3565">
        <v>9734.7199999999993</v>
      </c>
      <c r="O2702" s="3566">
        <v>44177</v>
      </c>
    </row>
    <row r="2703" spans="1:15">
      <c r="A2703" s="3563" t="s">
        <v>6925</v>
      </c>
      <c r="B2703" s="3563" t="s">
        <v>5277</v>
      </c>
      <c r="C2703" s="3563" t="s">
        <v>4197</v>
      </c>
      <c r="D2703" s="3563" t="s">
        <v>6429</v>
      </c>
      <c r="E2703" s="3563" t="s">
        <v>4423</v>
      </c>
      <c r="F2703" s="3563" t="s">
        <v>4797</v>
      </c>
      <c r="G2703" s="3564">
        <v>89.05</v>
      </c>
      <c r="H2703" s="3564">
        <v>71</v>
      </c>
      <c r="I2703" s="3564">
        <v>18.05</v>
      </c>
      <c r="J2703" s="3565">
        <v>902996</v>
      </c>
      <c r="K2703" s="3565">
        <v>10140.33</v>
      </c>
      <c r="L2703" s="3565">
        <v>12718.25</v>
      </c>
      <c r="M2703" s="3565">
        <v>856847</v>
      </c>
      <c r="N2703" s="3565">
        <v>9622.09</v>
      </c>
      <c r="O2703" s="3566">
        <v>44177</v>
      </c>
    </row>
    <row r="2704" spans="1:15">
      <c r="A2704" s="3563" t="s">
        <v>6926</v>
      </c>
      <c r="B2704" s="3563" t="s">
        <v>6422</v>
      </c>
      <c r="C2704" s="3563" t="s">
        <v>4197</v>
      </c>
      <c r="D2704" s="3563" t="s">
        <v>6429</v>
      </c>
      <c r="E2704" s="3563" t="s">
        <v>4423</v>
      </c>
      <c r="F2704" s="3563" t="s">
        <v>4797</v>
      </c>
      <c r="G2704" s="3564">
        <v>89.05</v>
      </c>
      <c r="H2704" s="3564">
        <v>71</v>
      </c>
      <c r="I2704" s="3564">
        <v>18.05</v>
      </c>
      <c r="J2704" s="3565">
        <v>902996</v>
      </c>
      <c r="K2704" s="3565">
        <v>10140.33</v>
      </c>
      <c r="L2704" s="3565">
        <v>12718.25</v>
      </c>
      <c r="M2704" s="3565">
        <v>866877</v>
      </c>
      <c r="N2704" s="3565">
        <v>9734.7199999999993</v>
      </c>
      <c r="O2704" s="3566">
        <v>44177</v>
      </c>
    </row>
    <row r="2705" spans="1:15">
      <c r="A2705" s="3563" t="s">
        <v>6927</v>
      </c>
      <c r="B2705" s="3563" t="s">
        <v>5277</v>
      </c>
      <c r="C2705" s="3563" t="s">
        <v>4197</v>
      </c>
      <c r="D2705" s="3563" t="s">
        <v>6429</v>
      </c>
      <c r="E2705" s="3563" t="s">
        <v>4423</v>
      </c>
      <c r="F2705" s="3563" t="s">
        <v>4797</v>
      </c>
      <c r="G2705" s="3564">
        <v>102.86</v>
      </c>
      <c r="H2705" s="3564">
        <v>82.01</v>
      </c>
      <c r="I2705" s="3564">
        <v>20.85</v>
      </c>
      <c r="J2705" s="3565">
        <v>1037562</v>
      </c>
      <c r="K2705" s="3565">
        <v>10087.129999999999</v>
      </c>
      <c r="L2705" s="3565">
        <v>12651.65</v>
      </c>
      <c r="M2705" s="3565">
        <v>984684</v>
      </c>
      <c r="N2705" s="3565">
        <v>9573.0499999999993</v>
      </c>
      <c r="O2705" s="3566">
        <v>44178</v>
      </c>
    </row>
    <row r="2706" spans="1:15">
      <c r="A2706" s="3563" t="s">
        <v>6928</v>
      </c>
      <c r="B2706" s="3563" t="s">
        <v>4811</v>
      </c>
      <c r="C2706" s="3563" t="s">
        <v>4197</v>
      </c>
      <c r="D2706" s="3563" t="s">
        <v>6429</v>
      </c>
      <c r="E2706" s="3563" t="s">
        <v>4423</v>
      </c>
      <c r="F2706" s="3563" t="s">
        <v>4797</v>
      </c>
      <c r="G2706" s="3564">
        <v>89.05</v>
      </c>
      <c r="H2706" s="3564">
        <v>71</v>
      </c>
      <c r="I2706" s="3564">
        <v>18.05</v>
      </c>
      <c r="J2706" s="3565">
        <v>925732</v>
      </c>
      <c r="K2706" s="3565">
        <v>10395.64</v>
      </c>
      <c r="L2706" s="3565">
        <v>13038.48</v>
      </c>
      <c r="M2706" s="3565">
        <v>888703</v>
      </c>
      <c r="N2706" s="3565">
        <v>9979.82</v>
      </c>
      <c r="O2706" s="3566">
        <v>44187</v>
      </c>
    </row>
    <row r="2707" spans="1:15">
      <c r="A2707" s="3563" t="s">
        <v>6929</v>
      </c>
      <c r="B2707" s="3563" t="s">
        <v>4811</v>
      </c>
      <c r="C2707" s="3563" t="s">
        <v>4197</v>
      </c>
      <c r="D2707" s="3563" t="s">
        <v>6429</v>
      </c>
      <c r="E2707" s="3563" t="s">
        <v>4423</v>
      </c>
      <c r="F2707" s="3563" t="s">
        <v>4797</v>
      </c>
      <c r="G2707" s="3564">
        <v>89.05</v>
      </c>
      <c r="H2707" s="3564">
        <v>71</v>
      </c>
      <c r="I2707" s="3564">
        <v>18.05</v>
      </c>
      <c r="J2707" s="3565">
        <v>944679</v>
      </c>
      <c r="K2707" s="3565">
        <v>10608.41</v>
      </c>
      <c r="L2707" s="3565">
        <v>13305.34</v>
      </c>
      <c r="M2707" s="3565">
        <v>944679</v>
      </c>
      <c r="N2707" s="3565">
        <v>10608.41</v>
      </c>
      <c r="O2707" s="3566">
        <v>44179</v>
      </c>
    </row>
    <row r="2708" spans="1:15">
      <c r="A2708" s="3563" t="s">
        <v>6930</v>
      </c>
      <c r="B2708" s="3563" t="s">
        <v>6422</v>
      </c>
      <c r="C2708" s="3563" t="s">
        <v>4197</v>
      </c>
      <c r="D2708" s="3563" t="s">
        <v>6429</v>
      </c>
      <c r="E2708" s="3563" t="s">
        <v>4423</v>
      </c>
      <c r="F2708" s="3563" t="s">
        <v>4797</v>
      </c>
      <c r="G2708" s="3564">
        <v>91.28</v>
      </c>
      <c r="H2708" s="3564">
        <v>72.78</v>
      </c>
      <c r="I2708" s="3564">
        <v>18.5</v>
      </c>
      <c r="J2708" s="3565">
        <v>934348</v>
      </c>
      <c r="K2708" s="3565">
        <v>10236.06</v>
      </c>
      <c r="L2708" s="3565">
        <v>12837.98</v>
      </c>
      <c r="M2708" s="3565">
        <v>849257</v>
      </c>
      <c r="N2708" s="3565">
        <v>9303.8700000000008</v>
      </c>
      <c r="O2708" s="3566">
        <v>44177</v>
      </c>
    </row>
    <row r="2709" spans="1:15">
      <c r="A2709" s="3563" t="s">
        <v>6931</v>
      </c>
      <c r="B2709" s="3563" t="s">
        <v>6422</v>
      </c>
      <c r="C2709" s="3563" t="s">
        <v>4197</v>
      </c>
      <c r="D2709" s="3563" t="s">
        <v>6429</v>
      </c>
      <c r="E2709" s="3563" t="s">
        <v>4423</v>
      </c>
      <c r="F2709" s="3563" t="s">
        <v>4797</v>
      </c>
      <c r="G2709" s="3564">
        <v>89.05</v>
      </c>
      <c r="H2709" s="3564">
        <v>71</v>
      </c>
      <c r="I2709" s="3564">
        <v>18.05</v>
      </c>
      <c r="J2709" s="3565">
        <v>911522</v>
      </c>
      <c r="K2709" s="3565">
        <v>10236.07</v>
      </c>
      <c r="L2709" s="3565">
        <v>12838.34</v>
      </c>
      <c r="M2709" s="3565">
        <v>864946</v>
      </c>
      <c r="N2709" s="3565">
        <v>9713.0400000000009</v>
      </c>
      <c r="O2709" s="3566">
        <v>44177</v>
      </c>
    </row>
    <row r="2710" spans="1:15">
      <c r="A2710" s="3563" t="s">
        <v>6932</v>
      </c>
      <c r="B2710" s="3563" t="s">
        <v>6422</v>
      </c>
      <c r="C2710" s="3563" t="s">
        <v>4197</v>
      </c>
      <c r="D2710" s="3563" t="s">
        <v>6429</v>
      </c>
      <c r="E2710" s="3563" t="s">
        <v>4423</v>
      </c>
      <c r="F2710" s="3563" t="s">
        <v>4797</v>
      </c>
      <c r="G2710" s="3564">
        <v>89.05</v>
      </c>
      <c r="H2710" s="3564">
        <v>71</v>
      </c>
      <c r="I2710" s="3564">
        <v>18.05</v>
      </c>
      <c r="J2710" s="3565">
        <v>911522</v>
      </c>
      <c r="K2710" s="3565">
        <v>10236.07</v>
      </c>
      <c r="L2710" s="3565">
        <v>12838.34</v>
      </c>
      <c r="M2710" s="3565">
        <v>874062</v>
      </c>
      <c r="N2710" s="3565">
        <v>9815.41</v>
      </c>
      <c r="O2710" s="3566">
        <v>44177</v>
      </c>
    </row>
    <row r="2711" spans="1:15">
      <c r="A2711" s="3563" t="s">
        <v>6933</v>
      </c>
      <c r="B2711" s="3563" t="s">
        <v>6422</v>
      </c>
      <c r="C2711" s="3563" t="s">
        <v>4197</v>
      </c>
      <c r="D2711" s="3563" t="s">
        <v>6429</v>
      </c>
      <c r="E2711" s="3563" t="s">
        <v>4423</v>
      </c>
      <c r="F2711" s="3563" t="s">
        <v>4797</v>
      </c>
      <c r="G2711" s="3564">
        <v>102.86</v>
      </c>
      <c r="H2711" s="3564">
        <v>82.01</v>
      </c>
      <c r="I2711" s="3564">
        <v>20.85</v>
      </c>
      <c r="J2711" s="3565">
        <v>1047411</v>
      </c>
      <c r="K2711" s="3565">
        <v>10182.879999999999</v>
      </c>
      <c r="L2711" s="3565">
        <v>12771.75</v>
      </c>
      <c r="M2711" s="3565">
        <v>1005515</v>
      </c>
      <c r="N2711" s="3565">
        <v>9775.57</v>
      </c>
      <c r="O2711" s="3566">
        <v>44177</v>
      </c>
    </row>
    <row r="2712" spans="1:15">
      <c r="A2712" s="3563" t="s">
        <v>6934</v>
      </c>
      <c r="B2712" s="3563" t="s">
        <v>6422</v>
      </c>
      <c r="C2712" s="3563" t="s">
        <v>4197</v>
      </c>
      <c r="D2712" s="3563" t="s">
        <v>6429</v>
      </c>
      <c r="E2712" s="3563" t="s">
        <v>4423</v>
      </c>
      <c r="F2712" s="3563" t="s">
        <v>4797</v>
      </c>
      <c r="G2712" s="3564">
        <v>90.38</v>
      </c>
      <c r="H2712" s="3564">
        <v>71</v>
      </c>
      <c r="I2712" s="3564">
        <v>19.38</v>
      </c>
      <c r="J2712" s="3565">
        <v>899176</v>
      </c>
      <c r="K2712" s="3565">
        <v>9948.84</v>
      </c>
      <c r="L2712" s="3565">
        <v>12664.45</v>
      </c>
      <c r="M2712" s="3565">
        <v>818251</v>
      </c>
      <c r="N2712" s="3565">
        <v>9053.4500000000007</v>
      </c>
      <c r="O2712" s="3566">
        <v>44189</v>
      </c>
    </row>
    <row r="2713" spans="1:15">
      <c r="A2713" s="3563" t="s">
        <v>6935</v>
      </c>
      <c r="B2713" s="3563" t="s">
        <v>4196</v>
      </c>
      <c r="C2713" s="3563" t="s">
        <v>4197</v>
      </c>
      <c r="D2713" s="3563" t="s">
        <v>6429</v>
      </c>
      <c r="E2713" s="3563" t="s">
        <v>4423</v>
      </c>
      <c r="F2713" s="3563" t="s">
        <v>4797</v>
      </c>
      <c r="G2713" s="3564">
        <v>90.38</v>
      </c>
      <c r="H2713" s="3564">
        <v>71</v>
      </c>
      <c r="I2713" s="3564">
        <v>19.38</v>
      </c>
      <c r="J2713" s="3565">
        <v>918406</v>
      </c>
      <c r="K2713" s="3565">
        <v>10161.61</v>
      </c>
      <c r="L2713" s="3565">
        <v>12935.3</v>
      </c>
      <c r="M2713" s="3565">
        <v>0</v>
      </c>
      <c r="N2713" s="3565">
        <v>0</v>
      </c>
      <c r="O2713" s="3563" t="s">
        <v>3453</v>
      </c>
    </row>
    <row r="2714" spans="1:15">
      <c r="A2714" s="3563" t="s">
        <v>6936</v>
      </c>
      <c r="B2714" s="3563" t="s">
        <v>4811</v>
      </c>
      <c r="C2714" s="3563" t="s">
        <v>4197</v>
      </c>
      <c r="D2714" s="3563" t="s">
        <v>6429</v>
      </c>
      <c r="E2714" s="3563" t="s">
        <v>4423</v>
      </c>
      <c r="F2714" s="3563" t="s">
        <v>4797</v>
      </c>
      <c r="G2714" s="3564">
        <v>92.65</v>
      </c>
      <c r="H2714" s="3564">
        <v>72.78</v>
      </c>
      <c r="I2714" s="3564">
        <v>19.87</v>
      </c>
      <c r="J2714" s="3565">
        <v>897119</v>
      </c>
      <c r="K2714" s="3565">
        <v>9682.8799999999992</v>
      </c>
      <c r="L2714" s="3565">
        <v>12326.45</v>
      </c>
      <c r="M2714" s="3565">
        <v>897119</v>
      </c>
      <c r="N2714" s="3565">
        <v>9682.8799999999992</v>
      </c>
      <c r="O2714" s="3566">
        <v>44188</v>
      </c>
    </row>
    <row r="2715" spans="1:15">
      <c r="A2715" s="3563" t="s">
        <v>6937</v>
      </c>
      <c r="B2715" s="3563" t="s">
        <v>6422</v>
      </c>
      <c r="C2715" s="3563" t="s">
        <v>4197</v>
      </c>
      <c r="D2715" s="3563" t="s">
        <v>6429</v>
      </c>
      <c r="E2715" s="3563" t="s">
        <v>4423</v>
      </c>
      <c r="F2715" s="3563" t="s">
        <v>4797</v>
      </c>
      <c r="G2715" s="3564">
        <v>90.38</v>
      </c>
      <c r="H2715" s="3564">
        <v>71</v>
      </c>
      <c r="I2715" s="3564">
        <v>19.38</v>
      </c>
      <c r="J2715" s="3565">
        <v>875139</v>
      </c>
      <c r="K2715" s="3565">
        <v>9682.8799999999992</v>
      </c>
      <c r="L2715" s="3565">
        <v>12325.9</v>
      </c>
      <c r="M2715" s="3565">
        <v>840134</v>
      </c>
      <c r="N2715" s="3565">
        <v>9295.57</v>
      </c>
      <c r="O2715" s="3566">
        <v>44186</v>
      </c>
    </row>
    <row r="2716" spans="1:15">
      <c r="A2716" s="3563" t="s">
        <v>6938</v>
      </c>
      <c r="B2716" s="3563" t="s">
        <v>4811</v>
      </c>
      <c r="C2716" s="3563" t="s">
        <v>4197</v>
      </c>
      <c r="D2716" s="3563" t="s">
        <v>6429</v>
      </c>
      <c r="E2716" s="3563" t="s">
        <v>4423</v>
      </c>
      <c r="F2716" s="3563" t="s">
        <v>4797</v>
      </c>
      <c r="G2716" s="3564">
        <v>90.38</v>
      </c>
      <c r="H2716" s="3564">
        <v>71</v>
      </c>
      <c r="I2716" s="3564">
        <v>19.38</v>
      </c>
      <c r="J2716" s="3565">
        <v>875139</v>
      </c>
      <c r="K2716" s="3565">
        <v>9682.8799999999992</v>
      </c>
      <c r="L2716" s="3565">
        <v>12325.9</v>
      </c>
      <c r="M2716" s="3565">
        <v>840134</v>
      </c>
      <c r="N2716" s="3565">
        <v>9295.57</v>
      </c>
      <c r="O2716" s="3566">
        <v>44190</v>
      </c>
    </row>
    <row r="2717" spans="1:15">
      <c r="A2717" s="3563" t="s">
        <v>6939</v>
      </c>
      <c r="B2717" s="3563" t="s">
        <v>4196</v>
      </c>
      <c r="C2717" s="3563" t="s">
        <v>4197</v>
      </c>
      <c r="D2717" s="3563" t="s">
        <v>6429</v>
      </c>
      <c r="E2717" s="3563" t="s">
        <v>4423</v>
      </c>
      <c r="F2717" s="3563" t="s">
        <v>4797</v>
      </c>
      <c r="G2717" s="3564">
        <v>89.05</v>
      </c>
      <c r="H2717" s="3564">
        <v>71</v>
      </c>
      <c r="I2717" s="3564">
        <v>18.05</v>
      </c>
      <c r="J2717" s="3565">
        <v>943732</v>
      </c>
      <c r="K2717" s="3565">
        <v>10597.78</v>
      </c>
      <c r="L2717" s="3565">
        <v>13292</v>
      </c>
      <c r="M2717" s="3565">
        <v>0</v>
      </c>
      <c r="N2717" s="3565">
        <v>0</v>
      </c>
      <c r="O2717" s="3563" t="s">
        <v>3453</v>
      </c>
    </row>
    <row r="2718" spans="1:15">
      <c r="A2718" s="3563" t="s">
        <v>6940</v>
      </c>
      <c r="B2718" s="3563" t="s">
        <v>4196</v>
      </c>
      <c r="C2718" s="3563" t="s">
        <v>4197</v>
      </c>
      <c r="D2718" s="3563" t="s">
        <v>6429</v>
      </c>
      <c r="E2718" s="3563" t="s">
        <v>4423</v>
      </c>
      <c r="F2718" s="3563" t="s">
        <v>4797</v>
      </c>
      <c r="G2718" s="3564">
        <v>89.05</v>
      </c>
      <c r="H2718" s="3564">
        <v>71</v>
      </c>
      <c r="I2718" s="3564">
        <v>18.05</v>
      </c>
      <c r="J2718" s="3565">
        <v>943732</v>
      </c>
      <c r="K2718" s="3565">
        <v>10597.78</v>
      </c>
      <c r="L2718" s="3565">
        <v>13292</v>
      </c>
      <c r="M2718" s="3565">
        <v>0</v>
      </c>
      <c r="N2718" s="3565">
        <v>0</v>
      </c>
      <c r="O2718" s="3563" t="s">
        <v>3453</v>
      </c>
    </row>
    <row r="2719" spans="1:15">
      <c r="A2719" s="3563" t="s">
        <v>6941</v>
      </c>
      <c r="B2719" s="3563" t="s">
        <v>4196</v>
      </c>
      <c r="C2719" s="3563" t="s">
        <v>4197</v>
      </c>
      <c r="D2719" s="3563" t="s">
        <v>6429</v>
      </c>
      <c r="E2719" s="3563" t="s">
        <v>4423</v>
      </c>
      <c r="F2719" s="3563" t="s">
        <v>4797</v>
      </c>
      <c r="G2719" s="3564">
        <v>91.28</v>
      </c>
      <c r="H2719" s="3564">
        <v>72.78</v>
      </c>
      <c r="I2719" s="3564">
        <v>18.5</v>
      </c>
      <c r="J2719" s="3565">
        <v>933377</v>
      </c>
      <c r="K2719" s="3565">
        <v>10225.43</v>
      </c>
      <c r="L2719" s="3565">
        <v>12824.64</v>
      </c>
      <c r="M2719" s="3565">
        <v>0</v>
      </c>
      <c r="N2719" s="3565">
        <v>0</v>
      </c>
      <c r="O2719" s="3563" t="s">
        <v>3453</v>
      </c>
    </row>
    <row r="2720" spans="1:15">
      <c r="A2720" s="3563" t="s">
        <v>6942</v>
      </c>
      <c r="B2720" s="3563" t="s">
        <v>5277</v>
      </c>
      <c r="C2720" s="3563" t="s">
        <v>4197</v>
      </c>
      <c r="D2720" s="3563" t="s">
        <v>6429</v>
      </c>
      <c r="E2720" s="3563" t="s">
        <v>4423</v>
      </c>
      <c r="F2720" s="3563" t="s">
        <v>4797</v>
      </c>
      <c r="G2720" s="3564">
        <v>89.05</v>
      </c>
      <c r="H2720" s="3564">
        <v>71</v>
      </c>
      <c r="I2720" s="3564">
        <v>18.05</v>
      </c>
      <c r="J2720" s="3565">
        <v>910575</v>
      </c>
      <c r="K2720" s="3565">
        <v>10225.44</v>
      </c>
      <c r="L2720" s="3565">
        <v>12825</v>
      </c>
      <c r="M2720" s="3565">
        <v>827624</v>
      </c>
      <c r="N2720" s="3565">
        <v>9293.92</v>
      </c>
      <c r="O2720" s="3566">
        <v>44177</v>
      </c>
    </row>
    <row r="2721" spans="1:15">
      <c r="A2721" s="3563" t="s">
        <v>6943</v>
      </c>
      <c r="B2721" s="3563" t="s">
        <v>4811</v>
      </c>
      <c r="C2721" s="3563" t="s">
        <v>4197</v>
      </c>
      <c r="D2721" s="3563" t="s">
        <v>6429</v>
      </c>
      <c r="E2721" s="3563" t="s">
        <v>4423</v>
      </c>
      <c r="F2721" s="3563" t="s">
        <v>4797</v>
      </c>
      <c r="G2721" s="3564">
        <v>89.05</v>
      </c>
      <c r="H2721" s="3564">
        <v>71</v>
      </c>
      <c r="I2721" s="3564">
        <v>18.05</v>
      </c>
      <c r="J2721" s="3565">
        <v>910575</v>
      </c>
      <c r="K2721" s="3565">
        <v>10225.44</v>
      </c>
      <c r="L2721" s="3565">
        <v>12825</v>
      </c>
      <c r="M2721" s="3565">
        <v>910575</v>
      </c>
      <c r="N2721" s="3565">
        <v>10225.44</v>
      </c>
      <c r="O2721" s="3566">
        <v>44177</v>
      </c>
    </row>
    <row r="2722" spans="1:15">
      <c r="A2722" s="3563" t="s">
        <v>6944</v>
      </c>
      <c r="B2722" s="3563" t="s">
        <v>5277</v>
      </c>
      <c r="C2722" s="3563" t="s">
        <v>4197</v>
      </c>
      <c r="D2722" s="3563" t="s">
        <v>6429</v>
      </c>
      <c r="E2722" s="3563" t="s">
        <v>4423</v>
      </c>
      <c r="F2722" s="3563" t="s">
        <v>4797</v>
      </c>
      <c r="G2722" s="3564">
        <v>102.86</v>
      </c>
      <c r="H2722" s="3564">
        <v>82.01</v>
      </c>
      <c r="I2722" s="3564">
        <v>20.85</v>
      </c>
      <c r="J2722" s="3565">
        <v>1046316</v>
      </c>
      <c r="K2722" s="3565">
        <v>10172.23</v>
      </c>
      <c r="L2722" s="3565">
        <v>12758.4</v>
      </c>
      <c r="M2722" s="3565">
        <v>1004465</v>
      </c>
      <c r="N2722" s="3565">
        <v>9765.36</v>
      </c>
      <c r="O2722" s="3566">
        <v>44177</v>
      </c>
    </row>
    <row r="2723" spans="1:15">
      <c r="A2723" s="3563" t="s">
        <v>6945</v>
      </c>
      <c r="B2723" s="3563" t="s">
        <v>4196</v>
      </c>
      <c r="C2723" s="3563" t="s">
        <v>4197</v>
      </c>
      <c r="D2723" s="3563" t="s">
        <v>6429</v>
      </c>
      <c r="E2723" s="3563" t="s">
        <v>4423</v>
      </c>
      <c r="F2723" s="3563" t="s">
        <v>4797</v>
      </c>
      <c r="G2723" s="3564">
        <v>89.05</v>
      </c>
      <c r="H2723" s="3564">
        <v>71</v>
      </c>
      <c r="I2723" s="3564">
        <v>18.05</v>
      </c>
      <c r="J2723" s="3565">
        <v>914364</v>
      </c>
      <c r="K2723" s="3565">
        <v>10267.98</v>
      </c>
      <c r="L2723" s="3565">
        <v>12878.37</v>
      </c>
      <c r="M2723" s="3565">
        <v>0</v>
      </c>
      <c r="N2723" s="3565">
        <v>0</v>
      </c>
      <c r="O2723" s="3563" t="s">
        <v>3453</v>
      </c>
    </row>
    <row r="2724" spans="1:15">
      <c r="A2724" s="3563" t="s">
        <v>6946</v>
      </c>
      <c r="B2724" s="3563" t="s">
        <v>6422</v>
      </c>
      <c r="C2724" s="3563" t="s">
        <v>4197</v>
      </c>
      <c r="D2724" s="3563" t="s">
        <v>6429</v>
      </c>
      <c r="E2724" s="3563" t="s">
        <v>4423</v>
      </c>
      <c r="F2724" s="3563" t="s">
        <v>4797</v>
      </c>
      <c r="G2724" s="3564">
        <v>89.05</v>
      </c>
      <c r="H2724" s="3564">
        <v>71</v>
      </c>
      <c r="I2724" s="3564">
        <v>18.05</v>
      </c>
      <c r="J2724" s="3565">
        <v>914364</v>
      </c>
      <c r="K2724" s="3565">
        <v>10267.98</v>
      </c>
      <c r="L2724" s="3565">
        <v>12878.37</v>
      </c>
      <c r="M2724" s="3565">
        <v>877790</v>
      </c>
      <c r="N2724" s="3565">
        <v>9857.27</v>
      </c>
      <c r="O2724" s="3566">
        <v>44179</v>
      </c>
    </row>
    <row r="2725" spans="1:15">
      <c r="A2725" s="3563" t="s">
        <v>6947</v>
      </c>
      <c r="B2725" s="3563" t="s">
        <v>5277</v>
      </c>
      <c r="C2725" s="3563" t="s">
        <v>4197</v>
      </c>
      <c r="D2725" s="3563" t="s">
        <v>6429</v>
      </c>
      <c r="E2725" s="3563" t="s">
        <v>4423</v>
      </c>
      <c r="F2725" s="3563" t="s">
        <v>4797</v>
      </c>
      <c r="G2725" s="3564">
        <v>91.28</v>
      </c>
      <c r="H2725" s="3564">
        <v>72.78</v>
      </c>
      <c r="I2725" s="3564">
        <v>18.5</v>
      </c>
      <c r="J2725" s="3565">
        <v>903274</v>
      </c>
      <c r="K2725" s="3565">
        <v>9895.64</v>
      </c>
      <c r="L2725" s="3565">
        <v>12411.02</v>
      </c>
      <c r="M2725" s="3565">
        <v>857111</v>
      </c>
      <c r="N2725" s="3565">
        <v>9389.91</v>
      </c>
      <c r="O2725" s="3566">
        <v>44177</v>
      </c>
    </row>
    <row r="2726" spans="1:15">
      <c r="A2726" s="3563" t="s">
        <v>6948</v>
      </c>
      <c r="B2726" s="3563" t="s">
        <v>4811</v>
      </c>
      <c r="C2726" s="3563" t="s">
        <v>4197</v>
      </c>
      <c r="D2726" s="3563" t="s">
        <v>6429</v>
      </c>
      <c r="E2726" s="3563" t="s">
        <v>4423</v>
      </c>
      <c r="F2726" s="3563" t="s">
        <v>4797</v>
      </c>
      <c r="G2726" s="3564">
        <v>89.05</v>
      </c>
      <c r="H2726" s="3564">
        <v>71</v>
      </c>
      <c r="I2726" s="3564">
        <v>18.05</v>
      </c>
      <c r="J2726" s="3565">
        <v>881207</v>
      </c>
      <c r="K2726" s="3565">
        <v>9895.64</v>
      </c>
      <c r="L2726" s="3565">
        <v>12411.37</v>
      </c>
      <c r="M2726" s="3565">
        <v>881207</v>
      </c>
      <c r="N2726" s="3565">
        <v>9895.64</v>
      </c>
      <c r="O2726" s="3566">
        <v>44177</v>
      </c>
    </row>
    <row r="2727" spans="1:15">
      <c r="A2727" s="3563" t="s">
        <v>6949</v>
      </c>
      <c r="B2727" s="3563" t="s">
        <v>5277</v>
      </c>
      <c r="C2727" s="3563" t="s">
        <v>4197</v>
      </c>
      <c r="D2727" s="3563" t="s">
        <v>6429</v>
      </c>
      <c r="E2727" s="3563" t="s">
        <v>4423</v>
      </c>
      <c r="F2727" s="3563" t="s">
        <v>4797</v>
      </c>
      <c r="G2727" s="3564">
        <v>89.05</v>
      </c>
      <c r="H2727" s="3564">
        <v>71</v>
      </c>
      <c r="I2727" s="3564">
        <v>18.05</v>
      </c>
      <c r="J2727" s="3565">
        <v>881207</v>
      </c>
      <c r="K2727" s="3565">
        <v>9895.64</v>
      </c>
      <c r="L2727" s="3565">
        <v>12411.37</v>
      </c>
      <c r="M2727" s="3565">
        <v>845959</v>
      </c>
      <c r="N2727" s="3565">
        <v>9499.82</v>
      </c>
      <c r="O2727" s="3566">
        <v>44177</v>
      </c>
    </row>
    <row r="2728" spans="1:15">
      <c r="A2728" s="3563" t="s">
        <v>6950</v>
      </c>
      <c r="B2728" s="3563" t="s">
        <v>5277</v>
      </c>
      <c r="C2728" s="3563" t="s">
        <v>4197</v>
      </c>
      <c r="D2728" s="3563" t="s">
        <v>6429</v>
      </c>
      <c r="E2728" s="3563" t="s">
        <v>4423</v>
      </c>
      <c r="F2728" s="3563" t="s">
        <v>4797</v>
      </c>
      <c r="G2728" s="3564">
        <v>102.86</v>
      </c>
      <c r="H2728" s="3564">
        <v>82.01</v>
      </c>
      <c r="I2728" s="3564">
        <v>20.85</v>
      </c>
      <c r="J2728" s="3565">
        <v>1012395</v>
      </c>
      <c r="K2728" s="3565">
        <v>9842.4599999999991</v>
      </c>
      <c r="L2728" s="3565">
        <v>12344.78</v>
      </c>
      <c r="M2728" s="3565">
        <v>971900</v>
      </c>
      <c r="N2728" s="3565">
        <v>9448.77</v>
      </c>
      <c r="O2728" s="3566">
        <v>44180</v>
      </c>
    </row>
    <row r="2729" spans="1:15">
      <c r="A2729" s="3563" t="s">
        <v>6951</v>
      </c>
      <c r="B2729" s="3563" t="s">
        <v>5277</v>
      </c>
      <c r="C2729" s="3563" t="s">
        <v>4197</v>
      </c>
      <c r="D2729" s="3563" t="s">
        <v>6429</v>
      </c>
      <c r="E2729" s="3563" t="s">
        <v>4423</v>
      </c>
      <c r="F2729" s="3563" t="s">
        <v>4797</v>
      </c>
      <c r="G2729" s="3564">
        <v>89.05</v>
      </c>
      <c r="H2729" s="3564">
        <v>71</v>
      </c>
      <c r="I2729" s="3564">
        <v>18.05</v>
      </c>
      <c r="J2729" s="3565">
        <v>897312</v>
      </c>
      <c r="K2729" s="3565">
        <v>10076.5</v>
      </c>
      <c r="L2729" s="3565">
        <v>12638.2</v>
      </c>
      <c r="M2729" s="3565">
        <v>861420</v>
      </c>
      <c r="N2729" s="3565">
        <v>9673.44</v>
      </c>
      <c r="O2729" s="3566">
        <v>44187</v>
      </c>
    </row>
    <row r="2730" spans="1:15">
      <c r="A2730" s="3563" t="s">
        <v>6952</v>
      </c>
      <c r="B2730" s="3563" t="s">
        <v>6422</v>
      </c>
      <c r="C2730" s="3563" t="s">
        <v>4197</v>
      </c>
      <c r="D2730" s="3563" t="s">
        <v>6429</v>
      </c>
      <c r="E2730" s="3563" t="s">
        <v>4423</v>
      </c>
      <c r="F2730" s="3563" t="s">
        <v>4797</v>
      </c>
      <c r="G2730" s="3564">
        <v>89.05</v>
      </c>
      <c r="H2730" s="3564">
        <v>71</v>
      </c>
      <c r="I2730" s="3564">
        <v>18.05</v>
      </c>
      <c r="J2730" s="3565">
        <v>916259</v>
      </c>
      <c r="K2730" s="3565">
        <v>10289.26</v>
      </c>
      <c r="L2730" s="3565">
        <v>12905.06</v>
      </c>
      <c r="M2730" s="3565">
        <v>833796</v>
      </c>
      <c r="N2730" s="3565">
        <v>9363.23</v>
      </c>
      <c r="O2730" s="3566">
        <v>44178</v>
      </c>
    </row>
    <row r="2731" spans="1:15">
      <c r="A2731" s="3563" t="s">
        <v>6953</v>
      </c>
      <c r="B2731" s="3563" t="s">
        <v>4811</v>
      </c>
      <c r="C2731" s="3563" t="s">
        <v>4197</v>
      </c>
      <c r="D2731" s="3563" t="s">
        <v>6429</v>
      </c>
      <c r="E2731" s="3563" t="s">
        <v>4423</v>
      </c>
      <c r="F2731" s="3563" t="s">
        <v>4797</v>
      </c>
      <c r="G2731" s="3564">
        <v>91.28</v>
      </c>
      <c r="H2731" s="3564">
        <v>72.78</v>
      </c>
      <c r="I2731" s="3564">
        <v>18.5</v>
      </c>
      <c r="J2731" s="3565">
        <v>895506</v>
      </c>
      <c r="K2731" s="3565">
        <v>9810.5400000000009</v>
      </c>
      <c r="L2731" s="3565">
        <v>12304.29</v>
      </c>
      <c r="M2731" s="3565">
        <v>859686</v>
      </c>
      <c r="N2731" s="3565">
        <v>9418.1200000000008</v>
      </c>
      <c r="O2731" s="3566">
        <v>44181</v>
      </c>
    </row>
    <row r="2732" spans="1:15">
      <c r="A2732" s="3563" t="s">
        <v>6954</v>
      </c>
      <c r="B2732" s="3563" t="s">
        <v>6422</v>
      </c>
      <c r="C2732" s="3563" t="s">
        <v>4197</v>
      </c>
      <c r="D2732" s="3563" t="s">
        <v>6429</v>
      </c>
      <c r="E2732" s="3563" t="s">
        <v>4423</v>
      </c>
      <c r="F2732" s="3563" t="s">
        <v>4797</v>
      </c>
      <c r="G2732" s="3564">
        <v>89.05</v>
      </c>
      <c r="H2732" s="3564">
        <v>71</v>
      </c>
      <c r="I2732" s="3564">
        <v>18.05</v>
      </c>
      <c r="J2732" s="3565">
        <v>873628</v>
      </c>
      <c r="K2732" s="3565">
        <v>9810.5300000000007</v>
      </c>
      <c r="L2732" s="3565">
        <v>12304.62</v>
      </c>
      <c r="M2732" s="3565">
        <v>795002</v>
      </c>
      <c r="N2732" s="3565">
        <v>8927.59</v>
      </c>
      <c r="O2732" s="3566">
        <v>44183</v>
      </c>
    </row>
    <row r="2733" spans="1:15">
      <c r="A2733" s="3563" t="s">
        <v>6955</v>
      </c>
      <c r="B2733" s="3563" t="s">
        <v>4811</v>
      </c>
      <c r="C2733" s="3563" t="s">
        <v>4197</v>
      </c>
      <c r="D2733" s="3563" t="s">
        <v>6429</v>
      </c>
      <c r="E2733" s="3563" t="s">
        <v>4423</v>
      </c>
      <c r="F2733" s="3563" t="s">
        <v>4797</v>
      </c>
      <c r="G2733" s="3564">
        <v>89.05</v>
      </c>
      <c r="H2733" s="3564">
        <v>71</v>
      </c>
      <c r="I2733" s="3564">
        <v>18.05</v>
      </c>
      <c r="J2733" s="3565">
        <v>873628</v>
      </c>
      <c r="K2733" s="3565">
        <v>9810.5300000000007</v>
      </c>
      <c r="L2733" s="3565">
        <v>12304.62</v>
      </c>
      <c r="M2733" s="3565">
        <v>838683</v>
      </c>
      <c r="N2733" s="3565">
        <v>9418.11</v>
      </c>
      <c r="O2733" s="3566">
        <v>44181</v>
      </c>
    </row>
    <row r="2734" spans="1:15">
      <c r="A2734" s="3563" t="s">
        <v>6956</v>
      </c>
      <c r="B2734" s="3563" t="s">
        <v>6422</v>
      </c>
      <c r="C2734" s="3563" t="s">
        <v>4197</v>
      </c>
      <c r="D2734" s="3563" t="s">
        <v>6429</v>
      </c>
      <c r="E2734" s="3563" t="s">
        <v>4423</v>
      </c>
      <c r="F2734" s="3563" t="s">
        <v>4797</v>
      </c>
      <c r="G2734" s="3564">
        <v>102.86</v>
      </c>
      <c r="H2734" s="3564">
        <v>82.01</v>
      </c>
      <c r="I2734" s="3564">
        <v>20.85</v>
      </c>
      <c r="J2734" s="3565">
        <v>1014583</v>
      </c>
      <c r="K2734" s="3565">
        <v>9863.73</v>
      </c>
      <c r="L2734" s="3565">
        <v>12371.45</v>
      </c>
      <c r="M2734" s="3565">
        <v>923271</v>
      </c>
      <c r="N2734" s="3565">
        <v>8976</v>
      </c>
      <c r="O2734" s="3566">
        <v>44177</v>
      </c>
    </row>
    <row r="2735" spans="1:15">
      <c r="A2735" s="3563" t="s">
        <v>6957</v>
      </c>
      <c r="B2735" s="3563" t="s">
        <v>5277</v>
      </c>
      <c r="C2735" s="3563" t="s">
        <v>4197</v>
      </c>
      <c r="D2735" s="3563" t="s">
        <v>6429</v>
      </c>
      <c r="E2735" s="3563" t="s">
        <v>4423</v>
      </c>
      <c r="F2735" s="3563" t="s">
        <v>4797</v>
      </c>
      <c r="G2735" s="3564">
        <v>89.05</v>
      </c>
      <c r="H2735" s="3564">
        <v>71</v>
      </c>
      <c r="I2735" s="3564">
        <v>18.05</v>
      </c>
      <c r="J2735" s="3565">
        <v>908680</v>
      </c>
      <c r="K2735" s="3565">
        <v>10204.15</v>
      </c>
      <c r="L2735" s="3565">
        <v>12798.31</v>
      </c>
      <c r="M2735" s="3565">
        <v>881420</v>
      </c>
      <c r="N2735" s="3565">
        <v>9898.0300000000007</v>
      </c>
      <c r="O2735" s="3566">
        <v>44188</v>
      </c>
    </row>
    <row r="2736" spans="1:15">
      <c r="A2736" s="3563" t="s">
        <v>6958</v>
      </c>
      <c r="B2736" s="3563" t="s">
        <v>4196</v>
      </c>
      <c r="C2736" s="3563" t="s">
        <v>4197</v>
      </c>
      <c r="D2736" s="3563" t="s">
        <v>6429</v>
      </c>
      <c r="E2736" s="3563" t="s">
        <v>4423</v>
      </c>
      <c r="F2736" s="3563" t="s">
        <v>4797</v>
      </c>
      <c r="G2736" s="3564">
        <v>89.05</v>
      </c>
      <c r="H2736" s="3564">
        <v>71</v>
      </c>
      <c r="I2736" s="3564">
        <v>18.05</v>
      </c>
      <c r="J2736" s="3565">
        <v>927627</v>
      </c>
      <c r="K2736" s="3565">
        <v>10416.92</v>
      </c>
      <c r="L2736" s="3565">
        <v>13065.17</v>
      </c>
      <c r="M2736" s="3565">
        <v>0</v>
      </c>
      <c r="N2736" s="3565">
        <v>0</v>
      </c>
      <c r="O2736" s="3563" t="s">
        <v>3453</v>
      </c>
    </row>
    <row r="2737" spans="1:15">
      <c r="A2737" s="3563" t="s">
        <v>6959</v>
      </c>
      <c r="B2737" s="3563" t="s">
        <v>6422</v>
      </c>
      <c r="C2737" s="3563" t="s">
        <v>4197</v>
      </c>
      <c r="D2737" s="3563" t="s">
        <v>6429</v>
      </c>
      <c r="E2737" s="3563" t="s">
        <v>4423</v>
      </c>
      <c r="F2737" s="3563" t="s">
        <v>4797</v>
      </c>
      <c r="G2737" s="3564">
        <v>91.28</v>
      </c>
      <c r="H2737" s="3564">
        <v>72.78</v>
      </c>
      <c r="I2737" s="3564">
        <v>18.5</v>
      </c>
      <c r="J2737" s="3565">
        <v>907159</v>
      </c>
      <c r="K2737" s="3565">
        <v>9938.2000000000007</v>
      </c>
      <c r="L2737" s="3565">
        <v>12464.4</v>
      </c>
      <c r="M2737" s="3565">
        <v>870873</v>
      </c>
      <c r="N2737" s="3565">
        <v>9540.68</v>
      </c>
      <c r="O2737" s="3566">
        <v>44184</v>
      </c>
    </row>
    <row r="2738" spans="1:15">
      <c r="A2738" s="3563" t="s">
        <v>6960</v>
      </c>
      <c r="B2738" s="3563" t="s">
        <v>6422</v>
      </c>
      <c r="C2738" s="3563" t="s">
        <v>4197</v>
      </c>
      <c r="D2738" s="3563" t="s">
        <v>6429</v>
      </c>
      <c r="E2738" s="3563" t="s">
        <v>4423</v>
      </c>
      <c r="F2738" s="3563" t="s">
        <v>4797</v>
      </c>
      <c r="G2738" s="3564">
        <v>89.05</v>
      </c>
      <c r="H2738" s="3564">
        <v>71</v>
      </c>
      <c r="I2738" s="3564">
        <v>18.05</v>
      </c>
      <c r="J2738" s="3565">
        <v>884996</v>
      </c>
      <c r="K2738" s="3565">
        <v>9938.19</v>
      </c>
      <c r="L2738" s="3565">
        <v>12464.73</v>
      </c>
      <c r="M2738" s="3565">
        <v>840747</v>
      </c>
      <c r="N2738" s="3565">
        <v>9441.2900000000009</v>
      </c>
      <c r="O2738" s="3566">
        <v>44185</v>
      </c>
    </row>
    <row r="2739" spans="1:15">
      <c r="A2739" s="3563" t="s">
        <v>6961</v>
      </c>
      <c r="B2739" s="3563" t="s">
        <v>4811</v>
      </c>
      <c r="C2739" s="3563" t="s">
        <v>4197</v>
      </c>
      <c r="D2739" s="3563" t="s">
        <v>6429</v>
      </c>
      <c r="E2739" s="3563" t="s">
        <v>4423</v>
      </c>
      <c r="F2739" s="3563" t="s">
        <v>4797</v>
      </c>
      <c r="G2739" s="3564">
        <v>89.05</v>
      </c>
      <c r="H2739" s="3564">
        <v>71</v>
      </c>
      <c r="I2739" s="3564">
        <v>18.05</v>
      </c>
      <c r="J2739" s="3565">
        <v>884996</v>
      </c>
      <c r="K2739" s="3565">
        <v>9938.19</v>
      </c>
      <c r="L2739" s="3565">
        <v>12464.73</v>
      </c>
      <c r="M2739" s="3565">
        <v>849597</v>
      </c>
      <c r="N2739" s="3565">
        <v>9540.67</v>
      </c>
      <c r="O2739" s="3566">
        <v>44187</v>
      </c>
    </row>
    <row r="2740" spans="1:15">
      <c r="A2740" s="3563" t="s">
        <v>6962</v>
      </c>
      <c r="B2740" s="3563" t="s">
        <v>5277</v>
      </c>
      <c r="C2740" s="3563" t="s">
        <v>4197</v>
      </c>
      <c r="D2740" s="3563" t="s">
        <v>6429</v>
      </c>
      <c r="E2740" s="3563" t="s">
        <v>4423</v>
      </c>
      <c r="F2740" s="3563" t="s">
        <v>4797</v>
      </c>
      <c r="G2740" s="3564">
        <v>102.86</v>
      </c>
      <c r="H2740" s="3564">
        <v>82.01</v>
      </c>
      <c r="I2740" s="3564">
        <v>20.85</v>
      </c>
      <c r="J2740" s="3565">
        <v>1027714</v>
      </c>
      <c r="K2740" s="3565">
        <v>9991.39</v>
      </c>
      <c r="L2740" s="3565">
        <v>12531.57</v>
      </c>
      <c r="M2740" s="3565">
        <v>986606</v>
      </c>
      <c r="N2740" s="3565">
        <v>9591.74</v>
      </c>
      <c r="O2740" s="3566">
        <v>44182</v>
      </c>
    </row>
    <row r="2741" spans="1:15">
      <c r="A2741" s="3563" t="s">
        <v>6963</v>
      </c>
      <c r="B2741" s="3563" t="s">
        <v>4196</v>
      </c>
      <c r="C2741" s="3563" t="s">
        <v>4197</v>
      </c>
      <c r="D2741" s="3563" t="s">
        <v>6429</v>
      </c>
      <c r="E2741" s="3563" t="s">
        <v>4423</v>
      </c>
      <c r="F2741" s="3563" t="s">
        <v>4797</v>
      </c>
      <c r="G2741" s="3564">
        <v>89.05</v>
      </c>
      <c r="H2741" s="3564">
        <v>71</v>
      </c>
      <c r="I2741" s="3564">
        <v>18.05</v>
      </c>
      <c r="J2741" s="3565">
        <v>920048</v>
      </c>
      <c r="K2741" s="3565">
        <v>10331.81</v>
      </c>
      <c r="L2741" s="3565">
        <v>12958.42</v>
      </c>
      <c r="M2741" s="3565">
        <v>0</v>
      </c>
      <c r="N2741" s="3565">
        <v>0</v>
      </c>
      <c r="O2741" s="3563" t="s">
        <v>3453</v>
      </c>
    </row>
    <row r="2742" spans="1:15">
      <c r="A2742" s="3563" t="s">
        <v>6964</v>
      </c>
      <c r="B2742" s="3563" t="s">
        <v>4196</v>
      </c>
      <c r="C2742" s="3563" t="s">
        <v>4197</v>
      </c>
      <c r="D2742" s="3563" t="s">
        <v>6429</v>
      </c>
      <c r="E2742" s="3563" t="s">
        <v>4423</v>
      </c>
      <c r="F2742" s="3563" t="s">
        <v>4797</v>
      </c>
      <c r="G2742" s="3564">
        <v>89.05</v>
      </c>
      <c r="H2742" s="3564">
        <v>71</v>
      </c>
      <c r="I2742" s="3564">
        <v>18.05</v>
      </c>
      <c r="J2742" s="3565">
        <v>938995</v>
      </c>
      <c r="K2742" s="3565">
        <v>10544.58</v>
      </c>
      <c r="L2742" s="3565">
        <v>13225.28</v>
      </c>
      <c r="M2742" s="3565">
        <v>0</v>
      </c>
      <c r="N2742" s="3565">
        <v>0</v>
      </c>
      <c r="O2742" s="3563" t="s">
        <v>3453</v>
      </c>
    </row>
    <row r="2743" spans="1:15">
      <c r="A2743" s="3563" t="s">
        <v>6965</v>
      </c>
      <c r="B2743" s="3563" t="s">
        <v>5277</v>
      </c>
      <c r="C2743" s="3563" t="s">
        <v>4197</v>
      </c>
      <c r="D2743" s="3563" t="s">
        <v>6429</v>
      </c>
      <c r="E2743" s="3563" t="s">
        <v>4423</v>
      </c>
      <c r="F2743" s="3563" t="s">
        <v>4797</v>
      </c>
      <c r="G2743" s="3564">
        <v>91.28</v>
      </c>
      <c r="H2743" s="3564">
        <v>72.78</v>
      </c>
      <c r="I2743" s="3564">
        <v>18.5</v>
      </c>
      <c r="J2743" s="3565">
        <v>918811</v>
      </c>
      <c r="K2743" s="3565">
        <v>10065.85</v>
      </c>
      <c r="L2743" s="3565">
        <v>12624.5</v>
      </c>
      <c r="M2743" s="3565">
        <v>863683</v>
      </c>
      <c r="N2743" s="3565">
        <v>9461.91</v>
      </c>
      <c r="O2743" s="3566">
        <v>44178</v>
      </c>
    </row>
    <row r="2744" spans="1:15">
      <c r="A2744" s="3563" t="s">
        <v>6966</v>
      </c>
      <c r="B2744" s="3563" t="s">
        <v>5277</v>
      </c>
      <c r="C2744" s="3563" t="s">
        <v>4197</v>
      </c>
      <c r="D2744" s="3563" t="s">
        <v>6429</v>
      </c>
      <c r="E2744" s="3563" t="s">
        <v>4423</v>
      </c>
      <c r="F2744" s="3563" t="s">
        <v>4797</v>
      </c>
      <c r="G2744" s="3564">
        <v>89.05</v>
      </c>
      <c r="H2744" s="3564">
        <v>71</v>
      </c>
      <c r="I2744" s="3564">
        <v>18.05</v>
      </c>
      <c r="J2744" s="3565">
        <v>896365</v>
      </c>
      <c r="K2744" s="3565">
        <v>10065.86</v>
      </c>
      <c r="L2744" s="3565">
        <v>12624.86</v>
      </c>
      <c r="M2744" s="3565">
        <v>851547</v>
      </c>
      <c r="N2744" s="3565">
        <v>9562.57</v>
      </c>
      <c r="O2744" s="3566">
        <v>44179</v>
      </c>
    </row>
    <row r="2745" spans="1:15">
      <c r="A2745" s="3563" t="s">
        <v>6967</v>
      </c>
      <c r="B2745" s="3563" t="s">
        <v>5277</v>
      </c>
      <c r="C2745" s="3563" t="s">
        <v>4197</v>
      </c>
      <c r="D2745" s="3563" t="s">
        <v>6429</v>
      </c>
      <c r="E2745" s="3563" t="s">
        <v>4423</v>
      </c>
      <c r="F2745" s="3563" t="s">
        <v>4797</v>
      </c>
      <c r="G2745" s="3564">
        <v>89.05</v>
      </c>
      <c r="H2745" s="3564">
        <v>71</v>
      </c>
      <c r="I2745" s="3564">
        <v>18.05</v>
      </c>
      <c r="J2745" s="3565">
        <v>896365</v>
      </c>
      <c r="K2745" s="3565">
        <v>10065.86</v>
      </c>
      <c r="L2745" s="3565">
        <v>12624.86</v>
      </c>
      <c r="M2745" s="3565">
        <v>860511</v>
      </c>
      <c r="N2745" s="3565">
        <v>9663.23</v>
      </c>
      <c r="O2745" s="3566">
        <v>44178</v>
      </c>
    </row>
    <row r="2746" spans="1:15">
      <c r="A2746" s="3563" t="s">
        <v>6968</v>
      </c>
      <c r="B2746" s="3563" t="s">
        <v>5277</v>
      </c>
      <c r="C2746" s="3563" t="s">
        <v>4197</v>
      </c>
      <c r="D2746" s="3563" t="s">
        <v>6429</v>
      </c>
      <c r="E2746" s="3563" t="s">
        <v>4423</v>
      </c>
      <c r="F2746" s="3563" t="s">
        <v>4797</v>
      </c>
      <c r="G2746" s="3564">
        <v>102.86</v>
      </c>
      <c r="H2746" s="3564">
        <v>82.01</v>
      </c>
      <c r="I2746" s="3564">
        <v>20.85</v>
      </c>
      <c r="J2746" s="3565">
        <v>1040845</v>
      </c>
      <c r="K2746" s="3565">
        <v>10119.049999999999</v>
      </c>
      <c r="L2746" s="3565">
        <v>12691.68</v>
      </c>
      <c r="M2746" s="3565">
        <v>999212</v>
      </c>
      <c r="N2746" s="3565">
        <v>9714.2900000000009</v>
      </c>
      <c r="O2746" s="3566">
        <v>44180</v>
      </c>
    </row>
    <row r="2747" spans="1:15">
      <c r="A2747" s="3563" t="s">
        <v>6969</v>
      </c>
      <c r="B2747" s="3563" t="s">
        <v>4196</v>
      </c>
      <c r="C2747" s="3563" t="s">
        <v>4197</v>
      </c>
      <c r="D2747" s="3563" t="s">
        <v>6429</v>
      </c>
      <c r="E2747" s="3563" t="s">
        <v>4423</v>
      </c>
      <c r="F2747" s="3563" t="s">
        <v>4797</v>
      </c>
      <c r="G2747" s="3564">
        <v>89.05</v>
      </c>
      <c r="H2747" s="3564">
        <v>71</v>
      </c>
      <c r="I2747" s="3564">
        <v>18.05</v>
      </c>
      <c r="J2747" s="3565">
        <v>920995</v>
      </c>
      <c r="K2747" s="3565">
        <v>10342.450000000001</v>
      </c>
      <c r="L2747" s="3565">
        <v>12971.76</v>
      </c>
      <c r="M2747" s="3565">
        <v>0</v>
      </c>
      <c r="N2747" s="3565">
        <v>0</v>
      </c>
      <c r="O2747" s="3563" t="s">
        <v>3453</v>
      </c>
    </row>
    <row r="2748" spans="1:15">
      <c r="A2748" s="3563" t="s">
        <v>6970</v>
      </c>
      <c r="B2748" s="3563" t="s">
        <v>4811</v>
      </c>
      <c r="C2748" s="3563" t="s">
        <v>4197</v>
      </c>
      <c r="D2748" s="3563" t="s">
        <v>6429</v>
      </c>
      <c r="E2748" s="3563" t="s">
        <v>4423</v>
      </c>
      <c r="F2748" s="3563" t="s">
        <v>4797</v>
      </c>
      <c r="G2748" s="3564">
        <v>89.05</v>
      </c>
      <c r="H2748" s="3564">
        <v>71</v>
      </c>
      <c r="I2748" s="3564">
        <v>18.05</v>
      </c>
      <c r="J2748" s="3565">
        <v>939942</v>
      </c>
      <c r="K2748" s="3565">
        <v>10555.22</v>
      </c>
      <c r="L2748" s="3565">
        <v>13238.62</v>
      </c>
      <c r="M2748" s="3565">
        <v>902345</v>
      </c>
      <c r="N2748" s="3565">
        <v>10133.02</v>
      </c>
      <c r="O2748" s="3566">
        <v>44187</v>
      </c>
    </row>
    <row r="2749" spans="1:15">
      <c r="A2749" s="3563" t="s">
        <v>6971</v>
      </c>
      <c r="B2749" s="3563" t="s">
        <v>6422</v>
      </c>
      <c r="C2749" s="3563" t="s">
        <v>4197</v>
      </c>
      <c r="D2749" s="3563" t="s">
        <v>6429</v>
      </c>
      <c r="E2749" s="3563" t="s">
        <v>4423</v>
      </c>
      <c r="F2749" s="3563" t="s">
        <v>4797</v>
      </c>
      <c r="G2749" s="3564">
        <v>91.28</v>
      </c>
      <c r="H2749" s="3564">
        <v>72.78</v>
      </c>
      <c r="I2749" s="3564">
        <v>18.5</v>
      </c>
      <c r="J2749" s="3565">
        <v>919782</v>
      </c>
      <c r="K2749" s="3565">
        <v>10076.49</v>
      </c>
      <c r="L2749" s="3565">
        <v>12637.84</v>
      </c>
      <c r="M2749" s="3565">
        <v>864596</v>
      </c>
      <c r="N2749" s="3565">
        <v>9471.91</v>
      </c>
      <c r="O2749" s="3566">
        <v>44179</v>
      </c>
    </row>
    <row r="2750" spans="1:15">
      <c r="A2750" s="3563" t="s">
        <v>6972</v>
      </c>
      <c r="B2750" s="3563" t="s">
        <v>5277</v>
      </c>
      <c r="C2750" s="3563" t="s">
        <v>4197</v>
      </c>
      <c r="D2750" s="3563" t="s">
        <v>6429</v>
      </c>
      <c r="E2750" s="3563" t="s">
        <v>4423</v>
      </c>
      <c r="F2750" s="3563" t="s">
        <v>4797</v>
      </c>
      <c r="G2750" s="3564">
        <v>89.05</v>
      </c>
      <c r="H2750" s="3564">
        <v>71</v>
      </c>
      <c r="I2750" s="3564">
        <v>18.05</v>
      </c>
      <c r="J2750" s="3565">
        <v>897312</v>
      </c>
      <c r="K2750" s="3565">
        <v>10076.5</v>
      </c>
      <c r="L2750" s="3565">
        <v>12638.2</v>
      </c>
      <c r="M2750" s="3565">
        <v>843474</v>
      </c>
      <c r="N2750" s="3565">
        <v>9471.91</v>
      </c>
      <c r="O2750" s="3566">
        <v>44178</v>
      </c>
    </row>
    <row r="2751" spans="1:15">
      <c r="A2751" s="3563" t="s">
        <v>6973</v>
      </c>
      <c r="B2751" s="3563" t="s">
        <v>6422</v>
      </c>
      <c r="C2751" s="3563" t="s">
        <v>4197</v>
      </c>
      <c r="D2751" s="3563" t="s">
        <v>6429</v>
      </c>
      <c r="E2751" s="3563" t="s">
        <v>4423</v>
      </c>
      <c r="F2751" s="3563" t="s">
        <v>4797</v>
      </c>
      <c r="G2751" s="3564">
        <v>89.05</v>
      </c>
      <c r="H2751" s="3564">
        <v>71</v>
      </c>
      <c r="I2751" s="3564">
        <v>18.05</v>
      </c>
      <c r="J2751" s="3565">
        <v>897312</v>
      </c>
      <c r="K2751" s="3565">
        <v>10076.5</v>
      </c>
      <c r="L2751" s="3565">
        <v>12638.2</v>
      </c>
      <c r="M2751" s="3565">
        <v>860420</v>
      </c>
      <c r="N2751" s="3565">
        <v>9662.2099999999991</v>
      </c>
      <c r="O2751" s="3566">
        <v>44177</v>
      </c>
    </row>
    <row r="2752" spans="1:15">
      <c r="A2752" s="3563" t="s">
        <v>6974</v>
      </c>
      <c r="B2752" s="3563" t="s">
        <v>5277</v>
      </c>
      <c r="C2752" s="3563" t="s">
        <v>4197</v>
      </c>
      <c r="D2752" s="3563" t="s">
        <v>6429</v>
      </c>
      <c r="E2752" s="3563" t="s">
        <v>4423</v>
      </c>
      <c r="F2752" s="3563" t="s">
        <v>4797</v>
      </c>
      <c r="G2752" s="3564">
        <v>102.86</v>
      </c>
      <c r="H2752" s="3564">
        <v>82.01</v>
      </c>
      <c r="I2752" s="3564">
        <v>20.85</v>
      </c>
      <c r="J2752" s="3565">
        <v>1041939</v>
      </c>
      <c r="K2752" s="3565">
        <v>10129.68</v>
      </c>
      <c r="L2752" s="3565">
        <v>12705.02</v>
      </c>
      <c r="M2752" s="3565">
        <v>1041939</v>
      </c>
      <c r="N2752" s="3565">
        <v>10129.68</v>
      </c>
      <c r="O2752" s="3566">
        <v>44178</v>
      </c>
    </row>
    <row r="2753" spans="1:15">
      <c r="A2753" s="3563" t="s">
        <v>6975</v>
      </c>
      <c r="B2753" s="3563" t="s">
        <v>5277</v>
      </c>
      <c r="C2753" s="3563" t="s">
        <v>4197</v>
      </c>
      <c r="D2753" s="3563" t="s">
        <v>6429</v>
      </c>
      <c r="E2753" s="3563" t="s">
        <v>4423</v>
      </c>
      <c r="F2753" s="3563" t="s">
        <v>4797</v>
      </c>
      <c r="G2753" s="3564">
        <v>89.05</v>
      </c>
      <c r="H2753" s="3564">
        <v>71</v>
      </c>
      <c r="I2753" s="3564">
        <v>18.05</v>
      </c>
      <c r="J2753" s="3565">
        <v>921943</v>
      </c>
      <c r="K2753" s="3565">
        <v>10353.09</v>
      </c>
      <c r="L2753" s="3565">
        <v>12985.11</v>
      </c>
      <c r="M2753" s="3565">
        <v>875846</v>
      </c>
      <c r="N2753" s="3565">
        <v>9835.44</v>
      </c>
      <c r="O2753" s="3566">
        <v>44187</v>
      </c>
    </row>
    <row r="2754" spans="1:15">
      <c r="A2754" s="3563" t="s">
        <v>6976</v>
      </c>
      <c r="B2754" s="3563" t="s">
        <v>4811</v>
      </c>
      <c r="C2754" s="3563" t="s">
        <v>4197</v>
      </c>
      <c r="D2754" s="3563" t="s">
        <v>6429</v>
      </c>
      <c r="E2754" s="3563" t="s">
        <v>4423</v>
      </c>
      <c r="F2754" s="3563" t="s">
        <v>4797</v>
      </c>
      <c r="G2754" s="3564">
        <v>89.05</v>
      </c>
      <c r="H2754" s="3564">
        <v>71</v>
      </c>
      <c r="I2754" s="3564">
        <v>18.05</v>
      </c>
      <c r="J2754" s="3565">
        <v>940890</v>
      </c>
      <c r="K2754" s="3565">
        <v>10565.86</v>
      </c>
      <c r="L2754" s="3565">
        <v>13251.97</v>
      </c>
      <c r="M2754" s="3565">
        <v>856210</v>
      </c>
      <c r="N2754" s="3565">
        <v>9614.94</v>
      </c>
      <c r="O2754" s="3566">
        <v>44187</v>
      </c>
    </row>
    <row r="2755" spans="1:15">
      <c r="A2755" s="3563" t="s">
        <v>6977</v>
      </c>
      <c r="B2755" s="3563" t="s">
        <v>6422</v>
      </c>
      <c r="C2755" s="3563" t="s">
        <v>4197</v>
      </c>
      <c r="D2755" s="3563" t="s">
        <v>6429</v>
      </c>
      <c r="E2755" s="3563" t="s">
        <v>4423</v>
      </c>
      <c r="F2755" s="3563" t="s">
        <v>4797</v>
      </c>
      <c r="G2755" s="3564">
        <v>91.28</v>
      </c>
      <c r="H2755" s="3564">
        <v>72.78</v>
      </c>
      <c r="I2755" s="3564">
        <v>18.5</v>
      </c>
      <c r="J2755" s="3565">
        <v>930464</v>
      </c>
      <c r="K2755" s="3565">
        <v>10193.51</v>
      </c>
      <c r="L2755" s="3565">
        <v>12784.61</v>
      </c>
      <c r="M2755" s="3565">
        <v>846723</v>
      </c>
      <c r="N2755" s="3565">
        <v>9276.11</v>
      </c>
      <c r="O2755" s="3566">
        <v>44177</v>
      </c>
    </row>
    <row r="2756" spans="1:15">
      <c r="A2756" s="3563" t="s">
        <v>6978</v>
      </c>
      <c r="B2756" s="3563" t="s">
        <v>6422</v>
      </c>
      <c r="C2756" s="3563" t="s">
        <v>4197</v>
      </c>
      <c r="D2756" s="3563" t="s">
        <v>6429</v>
      </c>
      <c r="E2756" s="3563" t="s">
        <v>4423</v>
      </c>
      <c r="F2756" s="3563" t="s">
        <v>4797</v>
      </c>
      <c r="G2756" s="3564">
        <v>89.05</v>
      </c>
      <c r="H2756" s="3564">
        <v>71</v>
      </c>
      <c r="I2756" s="3564">
        <v>18.05</v>
      </c>
      <c r="J2756" s="3565">
        <v>907733</v>
      </c>
      <c r="K2756" s="3565">
        <v>10193.52</v>
      </c>
      <c r="L2756" s="3565">
        <v>12784.97</v>
      </c>
      <c r="M2756" s="3565">
        <v>871424</v>
      </c>
      <c r="N2756" s="3565">
        <v>9785.7800000000007</v>
      </c>
      <c r="O2756" s="3566">
        <v>44178</v>
      </c>
    </row>
    <row r="2757" spans="1:15">
      <c r="A2757" s="3563" t="s">
        <v>6979</v>
      </c>
      <c r="B2757" s="3563" t="s">
        <v>6422</v>
      </c>
      <c r="C2757" s="3563" t="s">
        <v>4197</v>
      </c>
      <c r="D2757" s="3563" t="s">
        <v>6429</v>
      </c>
      <c r="E2757" s="3563" t="s">
        <v>4423</v>
      </c>
      <c r="F2757" s="3563" t="s">
        <v>4797</v>
      </c>
      <c r="G2757" s="3564">
        <v>89.05</v>
      </c>
      <c r="H2757" s="3564">
        <v>71</v>
      </c>
      <c r="I2757" s="3564">
        <v>18.05</v>
      </c>
      <c r="J2757" s="3565">
        <v>907733</v>
      </c>
      <c r="K2757" s="3565">
        <v>10193.52</v>
      </c>
      <c r="L2757" s="3565">
        <v>12784.97</v>
      </c>
      <c r="M2757" s="3565">
        <v>862347</v>
      </c>
      <c r="N2757" s="3565">
        <v>9683.85</v>
      </c>
      <c r="O2757" s="3566">
        <v>44178</v>
      </c>
    </row>
    <row r="2758" spans="1:15">
      <c r="A2758" s="3563" t="s">
        <v>6980</v>
      </c>
      <c r="B2758" s="3563" t="s">
        <v>6422</v>
      </c>
      <c r="C2758" s="3563" t="s">
        <v>4197</v>
      </c>
      <c r="D2758" s="3563" t="s">
        <v>6429</v>
      </c>
      <c r="E2758" s="3563" t="s">
        <v>4423</v>
      </c>
      <c r="F2758" s="3563" t="s">
        <v>4797</v>
      </c>
      <c r="G2758" s="3564">
        <v>102.86</v>
      </c>
      <c r="H2758" s="3564">
        <v>82.01</v>
      </c>
      <c r="I2758" s="3564">
        <v>20.85</v>
      </c>
      <c r="J2758" s="3565">
        <v>1043034</v>
      </c>
      <c r="K2758" s="3565">
        <v>10140.33</v>
      </c>
      <c r="L2758" s="3565">
        <v>12718.38</v>
      </c>
      <c r="M2758" s="3565">
        <v>1001313</v>
      </c>
      <c r="N2758" s="3565">
        <v>9734.7199999999993</v>
      </c>
      <c r="O2758" s="3566">
        <v>44177</v>
      </c>
    </row>
    <row r="2759" spans="1:15">
      <c r="A2759" s="3563" t="s">
        <v>6981</v>
      </c>
      <c r="B2759" s="3563" t="s">
        <v>4196</v>
      </c>
      <c r="C2759" s="3563" t="s">
        <v>4197</v>
      </c>
      <c r="D2759" s="3563" t="s">
        <v>6429</v>
      </c>
      <c r="E2759" s="3563" t="s">
        <v>4423</v>
      </c>
      <c r="F2759" s="3563" t="s">
        <v>4797</v>
      </c>
      <c r="G2759" s="3564">
        <v>89.05</v>
      </c>
      <c r="H2759" s="3564">
        <v>71</v>
      </c>
      <c r="I2759" s="3564">
        <v>18.05</v>
      </c>
      <c r="J2759" s="3565">
        <v>922890</v>
      </c>
      <c r="K2759" s="3565">
        <v>10363.73</v>
      </c>
      <c r="L2759" s="3565">
        <v>12998.45</v>
      </c>
      <c r="M2759" s="3565">
        <v>0</v>
      </c>
      <c r="N2759" s="3565">
        <v>0</v>
      </c>
      <c r="O2759" s="3563" t="s">
        <v>3453</v>
      </c>
    </row>
    <row r="2760" spans="1:15">
      <c r="A2760" s="3563" t="s">
        <v>6982</v>
      </c>
      <c r="B2760" s="3563" t="s">
        <v>4196</v>
      </c>
      <c r="C2760" s="3563" t="s">
        <v>4197</v>
      </c>
      <c r="D2760" s="3563" t="s">
        <v>6429</v>
      </c>
      <c r="E2760" s="3563" t="s">
        <v>4423</v>
      </c>
      <c r="F2760" s="3563" t="s">
        <v>4797</v>
      </c>
      <c r="G2760" s="3564">
        <v>89.05</v>
      </c>
      <c r="H2760" s="3564">
        <v>71</v>
      </c>
      <c r="I2760" s="3564">
        <v>18.05</v>
      </c>
      <c r="J2760" s="3565">
        <v>941837</v>
      </c>
      <c r="K2760" s="3565">
        <v>10576.5</v>
      </c>
      <c r="L2760" s="3565">
        <v>13265.31</v>
      </c>
      <c r="M2760" s="3565">
        <v>0</v>
      </c>
      <c r="N2760" s="3565">
        <v>0</v>
      </c>
      <c r="O2760" s="3563" t="s">
        <v>3453</v>
      </c>
    </row>
    <row r="2761" spans="1:15">
      <c r="A2761" s="3563" t="s">
        <v>6983</v>
      </c>
      <c r="B2761" s="3563" t="s">
        <v>4811</v>
      </c>
      <c r="C2761" s="3563" t="s">
        <v>4197</v>
      </c>
      <c r="D2761" s="3563" t="s">
        <v>6429</v>
      </c>
      <c r="E2761" s="3563" t="s">
        <v>4423</v>
      </c>
      <c r="F2761" s="3563" t="s">
        <v>4797</v>
      </c>
      <c r="G2761" s="3564">
        <v>91.28</v>
      </c>
      <c r="H2761" s="3564">
        <v>72.78</v>
      </c>
      <c r="I2761" s="3564">
        <v>18.5</v>
      </c>
      <c r="J2761" s="3565">
        <v>931435</v>
      </c>
      <c r="K2761" s="3565">
        <v>10204.15</v>
      </c>
      <c r="L2761" s="3565">
        <v>12797.95</v>
      </c>
      <c r="M2761" s="3565">
        <v>931435</v>
      </c>
      <c r="N2761" s="3565">
        <v>10204.15</v>
      </c>
      <c r="O2761" s="3566">
        <v>44178</v>
      </c>
    </row>
    <row r="2762" spans="1:15">
      <c r="A2762" s="3563" t="s">
        <v>6984</v>
      </c>
      <c r="B2762" s="3563" t="s">
        <v>5277</v>
      </c>
      <c r="C2762" s="3563" t="s">
        <v>4197</v>
      </c>
      <c r="D2762" s="3563" t="s">
        <v>6429</v>
      </c>
      <c r="E2762" s="3563" t="s">
        <v>4423</v>
      </c>
      <c r="F2762" s="3563" t="s">
        <v>4797</v>
      </c>
      <c r="G2762" s="3564">
        <v>89.05</v>
      </c>
      <c r="H2762" s="3564">
        <v>71</v>
      </c>
      <c r="I2762" s="3564">
        <v>18.05</v>
      </c>
      <c r="J2762" s="3565">
        <v>908680</v>
      </c>
      <c r="K2762" s="3565">
        <v>10204.15</v>
      </c>
      <c r="L2762" s="3565">
        <v>12798.31</v>
      </c>
      <c r="M2762" s="3565">
        <v>872333</v>
      </c>
      <c r="N2762" s="3565">
        <v>9795.99</v>
      </c>
      <c r="O2762" s="3566">
        <v>44179</v>
      </c>
    </row>
    <row r="2763" spans="1:15">
      <c r="A2763" s="3563" t="s">
        <v>6985</v>
      </c>
      <c r="B2763" s="3563" t="s">
        <v>6422</v>
      </c>
      <c r="C2763" s="3563" t="s">
        <v>4197</v>
      </c>
      <c r="D2763" s="3563" t="s">
        <v>6429</v>
      </c>
      <c r="E2763" s="3563" t="s">
        <v>4423</v>
      </c>
      <c r="F2763" s="3563" t="s">
        <v>4797</v>
      </c>
      <c r="G2763" s="3564">
        <v>89.05</v>
      </c>
      <c r="H2763" s="3564">
        <v>71</v>
      </c>
      <c r="I2763" s="3564">
        <v>18.05</v>
      </c>
      <c r="J2763" s="3565">
        <v>908680</v>
      </c>
      <c r="K2763" s="3565">
        <v>10204.15</v>
      </c>
      <c r="L2763" s="3565">
        <v>12798.31</v>
      </c>
      <c r="M2763" s="3565">
        <v>863246</v>
      </c>
      <c r="N2763" s="3565">
        <v>9693.9500000000007</v>
      </c>
      <c r="O2763" s="3566">
        <v>44177</v>
      </c>
    </row>
    <row r="2764" spans="1:15">
      <c r="A2764" s="3563" t="s">
        <v>6986</v>
      </c>
      <c r="B2764" s="3563" t="s">
        <v>6422</v>
      </c>
      <c r="C2764" s="3563" t="s">
        <v>4197</v>
      </c>
      <c r="D2764" s="3563" t="s">
        <v>6429</v>
      </c>
      <c r="E2764" s="3563" t="s">
        <v>4423</v>
      </c>
      <c r="F2764" s="3563" t="s">
        <v>4797</v>
      </c>
      <c r="G2764" s="3564">
        <v>102.86</v>
      </c>
      <c r="H2764" s="3564">
        <v>82.01</v>
      </c>
      <c r="I2764" s="3564">
        <v>20.85</v>
      </c>
      <c r="J2764" s="3565">
        <v>1044128</v>
      </c>
      <c r="K2764" s="3565">
        <v>10150.959999999999</v>
      </c>
      <c r="L2764" s="3565">
        <v>12731.72</v>
      </c>
      <c r="M2764" s="3565">
        <v>1002363</v>
      </c>
      <c r="N2764" s="3565">
        <v>9744.93</v>
      </c>
      <c r="O2764" s="3566">
        <v>44177</v>
      </c>
    </row>
    <row r="2765" spans="1:15">
      <c r="A2765" s="3563" t="s">
        <v>6987</v>
      </c>
      <c r="B2765" s="3563" t="s">
        <v>4196</v>
      </c>
      <c r="C2765" s="3563" t="s">
        <v>4197</v>
      </c>
      <c r="D2765" s="3563" t="s">
        <v>6429</v>
      </c>
      <c r="E2765" s="3563" t="s">
        <v>4423</v>
      </c>
      <c r="F2765" s="3563" t="s">
        <v>4797</v>
      </c>
      <c r="G2765" s="3564">
        <v>89.05</v>
      </c>
      <c r="H2765" s="3564">
        <v>71</v>
      </c>
      <c r="I2765" s="3564">
        <v>18.05</v>
      </c>
      <c r="J2765" s="3565">
        <v>923837</v>
      </c>
      <c r="K2765" s="3565">
        <v>10374.36</v>
      </c>
      <c r="L2765" s="3565">
        <v>13011.79</v>
      </c>
      <c r="M2765" s="3565">
        <v>0</v>
      </c>
      <c r="N2765" s="3565">
        <v>0</v>
      </c>
      <c r="O2765" s="3563" t="s">
        <v>3453</v>
      </c>
    </row>
    <row r="2766" spans="1:15">
      <c r="A2766" s="3563" t="s">
        <v>6988</v>
      </c>
      <c r="B2766" s="3563" t="s">
        <v>5277</v>
      </c>
      <c r="C2766" s="3563" t="s">
        <v>4197</v>
      </c>
      <c r="D2766" s="3563" t="s">
        <v>6429</v>
      </c>
      <c r="E2766" s="3563" t="s">
        <v>4423</v>
      </c>
      <c r="F2766" s="3563" t="s">
        <v>4797</v>
      </c>
      <c r="G2766" s="3564">
        <v>89.05</v>
      </c>
      <c r="H2766" s="3564">
        <v>71</v>
      </c>
      <c r="I2766" s="3564">
        <v>18.05</v>
      </c>
      <c r="J2766" s="3565">
        <v>942784</v>
      </c>
      <c r="K2766" s="3565">
        <v>10587.13</v>
      </c>
      <c r="L2766" s="3565">
        <v>13278.65</v>
      </c>
      <c r="M2766" s="3565">
        <v>905073</v>
      </c>
      <c r="N2766" s="3565">
        <v>10163.65</v>
      </c>
      <c r="O2766" s="3566">
        <v>44187</v>
      </c>
    </row>
    <row r="2767" spans="1:15">
      <c r="A2767" s="3563" t="s">
        <v>6989</v>
      </c>
      <c r="B2767" s="3563" t="s">
        <v>4811</v>
      </c>
      <c r="C2767" s="3563" t="s">
        <v>4197</v>
      </c>
      <c r="D2767" s="3563" t="s">
        <v>6429</v>
      </c>
      <c r="E2767" s="3563" t="s">
        <v>4423</v>
      </c>
      <c r="F2767" s="3563" t="s">
        <v>4797</v>
      </c>
      <c r="G2767" s="3564">
        <v>91.28</v>
      </c>
      <c r="H2767" s="3564">
        <v>72.78</v>
      </c>
      <c r="I2767" s="3564">
        <v>18.5</v>
      </c>
      <c r="J2767" s="3565">
        <v>932406</v>
      </c>
      <c r="K2767" s="3565">
        <v>10214.790000000001</v>
      </c>
      <c r="L2767" s="3565">
        <v>12811.29</v>
      </c>
      <c r="M2767" s="3565">
        <v>932406</v>
      </c>
      <c r="N2767" s="3565">
        <v>10214.790000000001</v>
      </c>
      <c r="O2767" s="3566">
        <v>44178</v>
      </c>
    </row>
    <row r="2768" spans="1:15">
      <c r="A2768" s="3563" t="s">
        <v>6990</v>
      </c>
      <c r="B2768" s="3563" t="s">
        <v>6422</v>
      </c>
      <c r="C2768" s="3563" t="s">
        <v>4197</v>
      </c>
      <c r="D2768" s="3563" t="s">
        <v>6429</v>
      </c>
      <c r="E2768" s="3563" t="s">
        <v>4423</v>
      </c>
      <c r="F2768" s="3563" t="s">
        <v>4797</v>
      </c>
      <c r="G2768" s="3564">
        <v>89.05</v>
      </c>
      <c r="H2768" s="3564">
        <v>71</v>
      </c>
      <c r="I2768" s="3564">
        <v>18.05</v>
      </c>
      <c r="J2768" s="3565">
        <v>909627</v>
      </c>
      <c r="K2768" s="3565">
        <v>10214.790000000001</v>
      </c>
      <c r="L2768" s="3565">
        <v>12811.65</v>
      </c>
      <c r="M2768" s="3565">
        <v>873242</v>
      </c>
      <c r="N2768" s="3565">
        <v>9806.2000000000007</v>
      </c>
      <c r="O2768" s="3566">
        <v>44178</v>
      </c>
    </row>
    <row r="2769" spans="1:15">
      <c r="A2769" s="3563" t="s">
        <v>6991</v>
      </c>
      <c r="B2769" s="3563" t="s">
        <v>4811</v>
      </c>
      <c r="C2769" s="3563" t="s">
        <v>4197</v>
      </c>
      <c r="D2769" s="3563" t="s">
        <v>6429</v>
      </c>
      <c r="E2769" s="3563" t="s">
        <v>4423</v>
      </c>
      <c r="F2769" s="3563" t="s">
        <v>4797</v>
      </c>
      <c r="G2769" s="3564">
        <v>89.05</v>
      </c>
      <c r="H2769" s="3564">
        <v>71</v>
      </c>
      <c r="I2769" s="3564">
        <v>18.05</v>
      </c>
      <c r="J2769" s="3565">
        <v>909627</v>
      </c>
      <c r="K2769" s="3565">
        <v>10214.790000000001</v>
      </c>
      <c r="L2769" s="3565">
        <v>12811.65</v>
      </c>
      <c r="M2769" s="3565">
        <v>909627</v>
      </c>
      <c r="N2769" s="3565">
        <v>10214.790000000001</v>
      </c>
      <c r="O2769" s="3566">
        <v>44177</v>
      </c>
    </row>
    <row r="2770" spans="1:15">
      <c r="A2770" s="3563" t="s">
        <v>6992</v>
      </c>
      <c r="B2770" s="3563" t="s">
        <v>6422</v>
      </c>
      <c r="C2770" s="3563" t="s">
        <v>4197</v>
      </c>
      <c r="D2770" s="3563" t="s">
        <v>6429</v>
      </c>
      <c r="E2770" s="3563" t="s">
        <v>4423</v>
      </c>
      <c r="F2770" s="3563" t="s">
        <v>4797</v>
      </c>
      <c r="G2770" s="3564">
        <v>102.86</v>
      </c>
      <c r="H2770" s="3564">
        <v>82.01</v>
      </c>
      <c r="I2770" s="3564">
        <v>20.85</v>
      </c>
      <c r="J2770" s="3565">
        <v>1045222</v>
      </c>
      <c r="K2770" s="3565">
        <v>10161.6</v>
      </c>
      <c r="L2770" s="3565">
        <v>12745.06</v>
      </c>
      <c r="M2770" s="3565">
        <v>992961</v>
      </c>
      <c r="N2770" s="3565">
        <v>9653.52</v>
      </c>
      <c r="O2770" s="3566">
        <v>44177</v>
      </c>
    </row>
    <row r="2771" spans="1:15">
      <c r="A2771" s="3563" t="s">
        <v>6993</v>
      </c>
      <c r="B2771" s="3563" t="s">
        <v>4196</v>
      </c>
      <c r="C2771" s="3563" t="s">
        <v>4197</v>
      </c>
      <c r="D2771" s="3563" t="s">
        <v>6429</v>
      </c>
      <c r="E2771" s="3563" t="s">
        <v>4699</v>
      </c>
      <c r="F2771" s="3563" t="s">
        <v>4797</v>
      </c>
      <c r="G2771" s="3564">
        <v>87.87</v>
      </c>
      <c r="H2771" s="3564">
        <v>71</v>
      </c>
      <c r="I2771" s="3564">
        <v>16.87</v>
      </c>
      <c r="J2771" s="3565">
        <v>862389</v>
      </c>
      <c r="K2771" s="3565">
        <v>9814.3700000000008</v>
      </c>
      <c r="L2771" s="3565">
        <v>12146.32</v>
      </c>
      <c r="M2771" s="3565">
        <v>0</v>
      </c>
      <c r="N2771" s="3565">
        <v>0</v>
      </c>
      <c r="O2771" s="3563" t="s">
        <v>3453</v>
      </c>
    </row>
    <row r="2772" spans="1:15">
      <c r="A2772" s="3563" t="s">
        <v>6994</v>
      </c>
      <c r="B2772" s="3563" t="s">
        <v>4196</v>
      </c>
      <c r="C2772" s="3563" t="s">
        <v>4197</v>
      </c>
      <c r="D2772" s="3563" t="s">
        <v>6429</v>
      </c>
      <c r="E2772" s="3563" t="s">
        <v>4699</v>
      </c>
      <c r="F2772" s="3563" t="s">
        <v>4797</v>
      </c>
      <c r="G2772" s="3564">
        <v>87.87</v>
      </c>
      <c r="H2772" s="3564">
        <v>71</v>
      </c>
      <c r="I2772" s="3564">
        <v>16.87</v>
      </c>
      <c r="J2772" s="3565">
        <v>862389</v>
      </c>
      <c r="K2772" s="3565">
        <v>9814.3700000000008</v>
      </c>
      <c r="L2772" s="3565">
        <v>12146.32</v>
      </c>
      <c r="M2772" s="3565">
        <v>0</v>
      </c>
      <c r="N2772" s="3565">
        <v>0</v>
      </c>
      <c r="O2772" s="3563" t="s">
        <v>3453</v>
      </c>
    </row>
    <row r="2773" spans="1:15">
      <c r="A2773" s="3563" t="s">
        <v>6995</v>
      </c>
      <c r="B2773" s="3563" t="s">
        <v>4196</v>
      </c>
      <c r="C2773" s="3563" t="s">
        <v>4197</v>
      </c>
      <c r="D2773" s="3563" t="s">
        <v>6429</v>
      </c>
      <c r="E2773" s="3563" t="s">
        <v>4699</v>
      </c>
      <c r="F2773" s="3563" t="s">
        <v>4797</v>
      </c>
      <c r="G2773" s="3564">
        <v>88.9</v>
      </c>
      <c r="H2773" s="3564">
        <v>71</v>
      </c>
      <c r="I2773" s="3564">
        <v>17.899999999999999</v>
      </c>
      <c r="J2773" s="3565">
        <v>922622</v>
      </c>
      <c r="K2773" s="3565">
        <v>10378.200000000001</v>
      </c>
      <c r="L2773" s="3565">
        <v>12994.68</v>
      </c>
      <c r="M2773" s="3565">
        <v>0</v>
      </c>
      <c r="N2773" s="3565">
        <v>0</v>
      </c>
      <c r="O2773" s="3563" t="s">
        <v>3453</v>
      </c>
    </row>
    <row r="2774" spans="1:15">
      <c r="A2774" s="3563" t="s">
        <v>6996</v>
      </c>
      <c r="B2774" s="3563" t="s">
        <v>3453</v>
      </c>
      <c r="C2774" s="3563" t="s">
        <v>4197</v>
      </c>
      <c r="D2774" s="3563" t="s">
        <v>6429</v>
      </c>
      <c r="E2774" s="3563" t="s">
        <v>4699</v>
      </c>
      <c r="F2774" s="3563" t="s">
        <v>4797</v>
      </c>
      <c r="G2774" s="3564">
        <v>88.9</v>
      </c>
      <c r="H2774" s="3564">
        <v>71</v>
      </c>
      <c r="I2774" s="3564">
        <v>17.899999999999999</v>
      </c>
      <c r="J2774" s="3565">
        <v>922622</v>
      </c>
      <c r="K2774" s="3565">
        <v>10378.200000000001</v>
      </c>
      <c r="L2774" s="3565">
        <v>12994.68</v>
      </c>
      <c r="M2774" s="3565">
        <v>0</v>
      </c>
      <c r="N2774" s="3565">
        <v>0</v>
      </c>
      <c r="O2774" s="3563" t="s">
        <v>3453</v>
      </c>
    </row>
    <row r="2775" spans="1:15">
      <c r="A2775" s="3563" t="s">
        <v>6997</v>
      </c>
      <c r="B2775" s="3563" t="s">
        <v>4196</v>
      </c>
      <c r="C2775" s="3563" t="s">
        <v>4197</v>
      </c>
      <c r="D2775" s="3563" t="s">
        <v>6429</v>
      </c>
      <c r="E2775" s="3563" t="s">
        <v>4699</v>
      </c>
      <c r="F2775" s="3563" t="s">
        <v>4797</v>
      </c>
      <c r="G2775" s="3564">
        <v>91.13</v>
      </c>
      <c r="H2775" s="3564">
        <v>72.78</v>
      </c>
      <c r="I2775" s="3564">
        <v>18.350000000000001</v>
      </c>
      <c r="J2775" s="3565">
        <v>931223</v>
      </c>
      <c r="K2775" s="3565">
        <v>10218.620000000001</v>
      </c>
      <c r="L2775" s="3565">
        <v>12795.04</v>
      </c>
      <c r="M2775" s="3565">
        <v>0</v>
      </c>
      <c r="N2775" s="3565">
        <v>0</v>
      </c>
      <c r="O2775" s="3563" t="s">
        <v>3453</v>
      </c>
    </row>
    <row r="2776" spans="1:15">
      <c r="A2776" s="3563" t="s">
        <v>6998</v>
      </c>
      <c r="B2776" s="3563" t="s">
        <v>4196</v>
      </c>
      <c r="C2776" s="3563" t="s">
        <v>4197</v>
      </c>
      <c r="D2776" s="3563" t="s">
        <v>6429</v>
      </c>
      <c r="E2776" s="3563" t="s">
        <v>4699</v>
      </c>
      <c r="F2776" s="3563" t="s">
        <v>4797</v>
      </c>
      <c r="G2776" s="3564">
        <v>88.9</v>
      </c>
      <c r="H2776" s="3564">
        <v>71</v>
      </c>
      <c r="I2776" s="3564">
        <v>17.899999999999999</v>
      </c>
      <c r="J2776" s="3565">
        <v>908436</v>
      </c>
      <c r="K2776" s="3565">
        <v>10218.629999999999</v>
      </c>
      <c r="L2776" s="3565">
        <v>12794.87</v>
      </c>
      <c r="M2776" s="3565">
        <v>0</v>
      </c>
      <c r="N2776" s="3565">
        <v>0</v>
      </c>
      <c r="O2776" s="3563" t="s">
        <v>3453</v>
      </c>
    </row>
    <row r="2777" spans="1:15">
      <c r="A2777" s="3563" t="s">
        <v>6999</v>
      </c>
      <c r="B2777" s="3563" t="s">
        <v>4196</v>
      </c>
      <c r="C2777" s="3563" t="s">
        <v>4197</v>
      </c>
      <c r="D2777" s="3563" t="s">
        <v>6429</v>
      </c>
      <c r="E2777" s="3563" t="s">
        <v>4699</v>
      </c>
      <c r="F2777" s="3563" t="s">
        <v>4797</v>
      </c>
      <c r="G2777" s="3564">
        <v>88.9</v>
      </c>
      <c r="H2777" s="3564">
        <v>71</v>
      </c>
      <c r="I2777" s="3564">
        <v>17.899999999999999</v>
      </c>
      <c r="J2777" s="3565">
        <v>908436</v>
      </c>
      <c r="K2777" s="3565">
        <v>10218.629999999999</v>
      </c>
      <c r="L2777" s="3565">
        <v>12794.87</v>
      </c>
      <c r="M2777" s="3565">
        <v>0</v>
      </c>
      <c r="N2777" s="3565">
        <v>0</v>
      </c>
      <c r="O2777" s="3563" t="s">
        <v>3453</v>
      </c>
    </row>
    <row r="2778" spans="1:15">
      <c r="A2778" s="3563" t="s">
        <v>7000</v>
      </c>
      <c r="B2778" s="3563" t="s">
        <v>4196</v>
      </c>
      <c r="C2778" s="3563" t="s">
        <v>4197</v>
      </c>
      <c r="D2778" s="3563" t="s">
        <v>6429</v>
      </c>
      <c r="E2778" s="3563" t="s">
        <v>4699</v>
      </c>
      <c r="F2778" s="3563" t="s">
        <v>4797</v>
      </c>
      <c r="G2778" s="3564">
        <v>102.69</v>
      </c>
      <c r="H2778" s="3564">
        <v>82.01</v>
      </c>
      <c r="I2778" s="3564">
        <v>20.68</v>
      </c>
      <c r="J2778" s="3565">
        <v>1076661</v>
      </c>
      <c r="K2778" s="3565">
        <v>10484.57</v>
      </c>
      <c r="L2778" s="3565">
        <v>13128.41</v>
      </c>
      <c r="M2778" s="3565">
        <v>0</v>
      </c>
      <c r="N2778" s="3565">
        <v>0</v>
      </c>
      <c r="O2778" s="3563" t="s">
        <v>3453</v>
      </c>
    </row>
    <row r="2779" spans="1:15">
      <c r="A2779" s="3563" t="s">
        <v>7001</v>
      </c>
      <c r="B2779" s="3563" t="s">
        <v>4196</v>
      </c>
      <c r="C2779" s="3563" t="s">
        <v>4197</v>
      </c>
      <c r="D2779" s="3563" t="s">
        <v>6429</v>
      </c>
      <c r="E2779" s="3563" t="s">
        <v>4699</v>
      </c>
      <c r="F2779" s="3563" t="s">
        <v>4797</v>
      </c>
      <c r="G2779" s="3564">
        <v>88.9</v>
      </c>
      <c r="H2779" s="3564">
        <v>71</v>
      </c>
      <c r="I2779" s="3564">
        <v>17.899999999999999</v>
      </c>
      <c r="J2779" s="3565">
        <v>923568</v>
      </c>
      <c r="K2779" s="3565">
        <v>10388.84</v>
      </c>
      <c r="L2779" s="3565">
        <v>13008</v>
      </c>
      <c r="M2779" s="3565">
        <v>0</v>
      </c>
      <c r="N2779" s="3565">
        <v>0</v>
      </c>
      <c r="O2779" s="3563" t="s">
        <v>3453</v>
      </c>
    </row>
    <row r="2780" spans="1:15">
      <c r="A2780" s="3563" t="s">
        <v>7002</v>
      </c>
      <c r="B2780" s="3563" t="s">
        <v>4196</v>
      </c>
      <c r="C2780" s="3563" t="s">
        <v>4197</v>
      </c>
      <c r="D2780" s="3563" t="s">
        <v>6429</v>
      </c>
      <c r="E2780" s="3563" t="s">
        <v>4699</v>
      </c>
      <c r="F2780" s="3563" t="s">
        <v>4797</v>
      </c>
      <c r="G2780" s="3564">
        <v>88.9</v>
      </c>
      <c r="H2780" s="3564">
        <v>71</v>
      </c>
      <c r="I2780" s="3564">
        <v>17.899999999999999</v>
      </c>
      <c r="J2780" s="3565">
        <v>923568</v>
      </c>
      <c r="K2780" s="3565">
        <v>10388.84</v>
      </c>
      <c r="L2780" s="3565">
        <v>13008</v>
      </c>
      <c r="M2780" s="3565">
        <v>0</v>
      </c>
      <c r="N2780" s="3565">
        <v>0</v>
      </c>
      <c r="O2780" s="3563" t="s">
        <v>3453</v>
      </c>
    </row>
    <row r="2781" spans="1:15">
      <c r="A2781" s="3563" t="s">
        <v>7003</v>
      </c>
      <c r="B2781" s="3563" t="s">
        <v>3453</v>
      </c>
      <c r="C2781" s="3563" t="s">
        <v>4197</v>
      </c>
      <c r="D2781" s="3563" t="s">
        <v>6429</v>
      </c>
      <c r="E2781" s="3563" t="s">
        <v>4699</v>
      </c>
      <c r="F2781" s="3563" t="s">
        <v>4797</v>
      </c>
      <c r="G2781" s="3564">
        <v>91.13</v>
      </c>
      <c r="H2781" s="3564">
        <v>72.78</v>
      </c>
      <c r="I2781" s="3564">
        <v>18.350000000000001</v>
      </c>
      <c r="J2781" s="3565">
        <v>932193</v>
      </c>
      <c r="K2781" s="3565">
        <v>10229.27</v>
      </c>
      <c r="L2781" s="3565">
        <v>12808.37</v>
      </c>
      <c r="M2781" s="3565">
        <v>0</v>
      </c>
      <c r="N2781" s="3565">
        <v>0</v>
      </c>
      <c r="O2781" s="3563" t="s">
        <v>3453</v>
      </c>
    </row>
    <row r="2782" spans="1:15">
      <c r="A2782" s="3563" t="s">
        <v>7004</v>
      </c>
      <c r="B2782" s="3563" t="s">
        <v>3453</v>
      </c>
      <c r="C2782" s="3563" t="s">
        <v>4197</v>
      </c>
      <c r="D2782" s="3563" t="s">
        <v>6429</v>
      </c>
      <c r="E2782" s="3563" t="s">
        <v>4699</v>
      </c>
      <c r="F2782" s="3563" t="s">
        <v>4797</v>
      </c>
      <c r="G2782" s="3564">
        <v>88.9</v>
      </c>
      <c r="H2782" s="3564">
        <v>71</v>
      </c>
      <c r="I2782" s="3564">
        <v>17.899999999999999</v>
      </c>
      <c r="J2782" s="3565">
        <v>909381</v>
      </c>
      <c r="K2782" s="3565">
        <v>10229.26</v>
      </c>
      <c r="L2782" s="3565">
        <v>12808.18</v>
      </c>
      <c r="M2782" s="3565">
        <v>0</v>
      </c>
      <c r="N2782" s="3565">
        <v>0</v>
      </c>
      <c r="O2782" s="3563" t="s">
        <v>3453</v>
      </c>
    </row>
    <row r="2783" spans="1:15">
      <c r="A2783" s="3563" t="s">
        <v>7005</v>
      </c>
      <c r="B2783" s="3563" t="s">
        <v>4196</v>
      </c>
      <c r="C2783" s="3563" t="s">
        <v>4197</v>
      </c>
      <c r="D2783" s="3563" t="s">
        <v>6429</v>
      </c>
      <c r="E2783" s="3563" t="s">
        <v>4699</v>
      </c>
      <c r="F2783" s="3563" t="s">
        <v>4797</v>
      </c>
      <c r="G2783" s="3564">
        <v>88.9</v>
      </c>
      <c r="H2783" s="3564">
        <v>71</v>
      </c>
      <c r="I2783" s="3564">
        <v>17.899999999999999</v>
      </c>
      <c r="J2783" s="3565">
        <v>909381</v>
      </c>
      <c r="K2783" s="3565">
        <v>10229.26</v>
      </c>
      <c r="L2783" s="3565">
        <v>12808.18</v>
      </c>
      <c r="M2783" s="3565">
        <v>0</v>
      </c>
      <c r="N2783" s="3565">
        <v>0</v>
      </c>
      <c r="O2783" s="3563" t="s">
        <v>3453</v>
      </c>
    </row>
    <row r="2784" spans="1:15">
      <c r="A2784" s="3563" t="s">
        <v>7006</v>
      </c>
      <c r="B2784" s="3563" t="s">
        <v>4196</v>
      </c>
      <c r="C2784" s="3563" t="s">
        <v>4197</v>
      </c>
      <c r="D2784" s="3563" t="s">
        <v>6429</v>
      </c>
      <c r="E2784" s="3563" t="s">
        <v>4699</v>
      </c>
      <c r="F2784" s="3563" t="s">
        <v>4797</v>
      </c>
      <c r="G2784" s="3564">
        <v>102.69</v>
      </c>
      <c r="H2784" s="3564">
        <v>82.01</v>
      </c>
      <c r="I2784" s="3564">
        <v>20.68</v>
      </c>
      <c r="J2784" s="3565">
        <v>1077754</v>
      </c>
      <c r="K2784" s="3565">
        <v>10495.22</v>
      </c>
      <c r="L2784" s="3565">
        <v>13141.74</v>
      </c>
      <c r="M2784" s="3565">
        <v>0</v>
      </c>
      <c r="N2784" s="3565">
        <v>0</v>
      </c>
      <c r="O2784" s="3563" t="s">
        <v>3453</v>
      </c>
    </row>
    <row r="2785" spans="1:15">
      <c r="A2785" s="3563" t="s">
        <v>7007</v>
      </c>
      <c r="B2785" s="3563" t="s">
        <v>3453</v>
      </c>
      <c r="C2785" s="3563" t="s">
        <v>4197</v>
      </c>
      <c r="D2785" s="3563" t="s">
        <v>6429</v>
      </c>
      <c r="E2785" s="3563" t="s">
        <v>4699</v>
      </c>
      <c r="F2785" s="3563" t="s">
        <v>4797</v>
      </c>
      <c r="G2785" s="3564">
        <v>88.9</v>
      </c>
      <c r="H2785" s="3564">
        <v>71</v>
      </c>
      <c r="I2785" s="3564">
        <v>17.899999999999999</v>
      </c>
      <c r="J2785" s="3565">
        <v>924513</v>
      </c>
      <c r="K2785" s="3565">
        <v>10399.469999999999</v>
      </c>
      <c r="L2785" s="3565">
        <v>13021.31</v>
      </c>
      <c r="M2785" s="3565">
        <v>0</v>
      </c>
      <c r="N2785" s="3565">
        <v>0</v>
      </c>
      <c r="O2785" s="3563" t="s">
        <v>3453</v>
      </c>
    </row>
    <row r="2786" spans="1:15">
      <c r="A2786" s="3563" t="s">
        <v>7008</v>
      </c>
      <c r="B2786" s="3563" t="s">
        <v>4196</v>
      </c>
      <c r="C2786" s="3563" t="s">
        <v>4197</v>
      </c>
      <c r="D2786" s="3563" t="s">
        <v>6429</v>
      </c>
      <c r="E2786" s="3563" t="s">
        <v>4699</v>
      </c>
      <c r="F2786" s="3563" t="s">
        <v>4797</v>
      </c>
      <c r="G2786" s="3564">
        <v>88.9</v>
      </c>
      <c r="H2786" s="3564">
        <v>71</v>
      </c>
      <c r="I2786" s="3564">
        <v>17.899999999999999</v>
      </c>
      <c r="J2786" s="3565">
        <v>924513</v>
      </c>
      <c r="K2786" s="3565">
        <v>10399.469999999999</v>
      </c>
      <c r="L2786" s="3565">
        <v>13021.31</v>
      </c>
      <c r="M2786" s="3565">
        <v>0</v>
      </c>
      <c r="N2786" s="3565">
        <v>0</v>
      </c>
      <c r="O2786" s="3563" t="s">
        <v>3453</v>
      </c>
    </row>
    <row r="2787" spans="1:15">
      <c r="A2787" s="3563" t="s">
        <v>7009</v>
      </c>
      <c r="B2787" s="3563" t="s">
        <v>3453</v>
      </c>
      <c r="C2787" s="3563" t="s">
        <v>4197</v>
      </c>
      <c r="D2787" s="3563" t="s">
        <v>6429</v>
      </c>
      <c r="E2787" s="3563" t="s">
        <v>4699</v>
      </c>
      <c r="F2787" s="3563" t="s">
        <v>4797</v>
      </c>
      <c r="G2787" s="3564">
        <v>91.13</v>
      </c>
      <c r="H2787" s="3564">
        <v>72.78</v>
      </c>
      <c r="I2787" s="3564">
        <v>18.350000000000001</v>
      </c>
      <c r="J2787" s="3565">
        <v>933162</v>
      </c>
      <c r="K2787" s="3565">
        <v>10239.9</v>
      </c>
      <c r="L2787" s="3565">
        <v>12821.68</v>
      </c>
      <c r="M2787" s="3565">
        <v>0</v>
      </c>
      <c r="N2787" s="3565">
        <v>0</v>
      </c>
      <c r="O2787" s="3563" t="s">
        <v>3453</v>
      </c>
    </row>
    <row r="2788" spans="1:15">
      <c r="A2788" s="3563" t="s">
        <v>7010</v>
      </c>
      <c r="B2788" s="3563" t="s">
        <v>4196</v>
      </c>
      <c r="C2788" s="3563" t="s">
        <v>4197</v>
      </c>
      <c r="D2788" s="3563" t="s">
        <v>6429</v>
      </c>
      <c r="E2788" s="3563" t="s">
        <v>4699</v>
      </c>
      <c r="F2788" s="3563" t="s">
        <v>4797</v>
      </c>
      <c r="G2788" s="3564">
        <v>88.9</v>
      </c>
      <c r="H2788" s="3564">
        <v>71</v>
      </c>
      <c r="I2788" s="3564">
        <v>17.899999999999999</v>
      </c>
      <c r="J2788" s="3565">
        <v>910327</v>
      </c>
      <c r="K2788" s="3565">
        <v>10239.9</v>
      </c>
      <c r="L2788" s="3565">
        <v>12821.51</v>
      </c>
      <c r="M2788" s="3565">
        <v>0</v>
      </c>
      <c r="N2788" s="3565">
        <v>0</v>
      </c>
      <c r="O2788" s="3563" t="s">
        <v>3453</v>
      </c>
    </row>
    <row r="2789" spans="1:15">
      <c r="A2789" s="3563" t="s">
        <v>7011</v>
      </c>
      <c r="B2789" s="3563" t="s">
        <v>4196</v>
      </c>
      <c r="C2789" s="3563" t="s">
        <v>4197</v>
      </c>
      <c r="D2789" s="3563" t="s">
        <v>6429</v>
      </c>
      <c r="E2789" s="3563" t="s">
        <v>4699</v>
      </c>
      <c r="F2789" s="3563" t="s">
        <v>4797</v>
      </c>
      <c r="G2789" s="3564">
        <v>88.9</v>
      </c>
      <c r="H2789" s="3564">
        <v>71</v>
      </c>
      <c r="I2789" s="3564">
        <v>17.899999999999999</v>
      </c>
      <c r="J2789" s="3565">
        <v>910327</v>
      </c>
      <c r="K2789" s="3565">
        <v>10239.9</v>
      </c>
      <c r="L2789" s="3565">
        <v>12821.51</v>
      </c>
      <c r="M2789" s="3565">
        <v>0</v>
      </c>
      <c r="N2789" s="3565">
        <v>0</v>
      </c>
      <c r="O2789" s="3563" t="s">
        <v>3453</v>
      </c>
    </row>
    <row r="2790" spans="1:15">
      <c r="A2790" s="3563" t="s">
        <v>7012</v>
      </c>
      <c r="B2790" s="3563" t="s">
        <v>4196</v>
      </c>
      <c r="C2790" s="3563" t="s">
        <v>4197</v>
      </c>
      <c r="D2790" s="3563" t="s">
        <v>6429</v>
      </c>
      <c r="E2790" s="3563" t="s">
        <v>4699</v>
      </c>
      <c r="F2790" s="3563" t="s">
        <v>4797</v>
      </c>
      <c r="G2790" s="3564">
        <v>102.69</v>
      </c>
      <c r="H2790" s="3564">
        <v>82.01</v>
      </c>
      <c r="I2790" s="3564">
        <v>20.68</v>
      </c>
      <c r="J2790" s="3565">
        <v>1078846</v>
      </c>
      <c r="K2790" s="3565">
        <v>10505.85</v>
      </c>
      <c r="L2790" s="3565">
        <v>13155.05</v>
      </c>
      <c r="M2790" s="3565">
        <v>0</v>
      </c>
      <c r="N2790" s="3565">
        <v>0</v>
      </c>
      <c r="O2790" s="3563" t="s">
        <v>3453</v>
      </c>
    </row>
    <row r="2791" spans="1:15">
      <c r="A2791" s="3563" t="s">
        <v>7013</v>
      </c>
      <c r="B2791" s="3563" t="s">
        <v>3453</v>
      </c>
      <c r="C2791" s="3563" t="s">
        <v>4197</v>
      </c>
      <c r="D2791" s="3563" t="s">
        <v>6429</v>
      </c>
      <c r="E2791" s="3563" t="s">
        <v>4699</v>
      </c>
      <c r="F2791" s="3563" t="s">
        <v>4797</v>
      </c>
      <c r="G2791" s="3564">
        <v>88.9</v>
      </c>
      <c r="H2791" s="3564">
        <v>71</v>
      </c>
      <c r="I2791" s="3564">
        <v>17.899999999999999</v>
      </c>
      <c r="J2791" s="3565">
        <v>925459</v>
      </c>
      <c r="K2791" s="3565">
        <v>10410.11</v>
      </c>
      <c r="L2791" s="3565">
        <v>13034.63</v>
      </c>
      <c r="M2791" s="3565">
        <v>0</v>
      </c>
      <c r="N2791" s="3565">
        <v>0</v>
      </c>
      <c r="O2791" s="3563" t="s">
        <v>3453</v>
      </c>
    </row>
    <row r="2792" spans="1:15">
      <c r="A2792" s="3563" t="s">
        <v>7014</v>
      </c>
      <c r="B2792" s="3563" t="s">
        <v>4196</v>
      </c>
      <c r="C2792" s="3563" t="s">
        <v>4197</v>
      </c>
      <c r="D2792" s="3563" t="s">
        <v>6429</v>
      </c>
      <c r="E2792" s="3563" t="s">
        <v>4699</v>
      </c>
      <c r="F2792" s="3563" t="s">
        <v>4797</v>
      </c>
      <c r="G2792" s="3564">
        <v>88.9</v>
      </c>
      <c r="H2792" s="3564">
        <v>71</v>
      </c>
      <c r="I2792" s="3564">
        <v>17.899999999999999</v>
      </c>
      <c r="J2792" s="3565">
        <v>925459</v>
      </c>
      <c r="K2792" s="3565">
        <v>10410.11</v>
      </c>
      <c r="L2792" s="3565">
        <v>13034.63</v>
      </c>
      <c r="M2792" s="3565">
        <v>0</v>
      </c>
      <c r="N2792" s="3565">
        <v>0</v>
      </c>
      <c r="O2792" s="3563" t="s">
        <v>3453</v>
      </c>
    </row>
    <row r="2793" spans="1:15">
      <c r="A2793" s="3563" t="s">
        <v>7015</v>
      </c>
      <c r="B2793" s="3563" t="s">
        <v>4196</v>
      </c>
      <c r="C2793" s="3563" t="s">
        <v>4197</v>
      </c>
      <c r="D2793" s="3563" t="s">
        <v>6429</v>
      </c>
      <c r="E2793" s="3563" t="s">
        <v>4699</v>
      </c>
      <c r="F2793" s="3563" t="s">
        <v>4797</v>
      </c>
      <c r="G2793" s="3564">
        <v>91.13</v>
      </c>
      <c r="H2793" s="3564">
        <v>72.78</v>
      </c>
      <c r="I2793" s="3564">
        <v>18.350000000000001</v>
      </c>
      <c r="J2793" s="3565">
        <v>934131</v>
      </c>
      <c r="K2793" s="3565">
        <v>10250.530000000001</v>
      </c>
      <c r="L2793" s="3565">
        <v>12835</v>
      </c>
      <c r="M2793" s="3565">
        <v>0</v>
      </c>
      <c r="N2793" s="3565">
        <v>0</v>
      </c>
      <c r="O2793" s="3563" t="s">
        <v>3453</v>
      </c>
    </row>
    <row r="2794" spans="1:15">
      <c r="A2794" s="3563" t="s">
        <v>7016</v>
      </c>
      <c r="B2794" s="3563" t="s">
        <v>4196</v>
      </c>
      <c r="C2794" s="3563" t="s">
        <v>4197</v>
      </c>
      <c r="D2794" s="3563" t="s">
        <v>6429</v>
      </c>
      <c r="E2794" s="3563" t="s">
        <v>4699</v>
      </c>
      <c r="F2794" s="3563" t="s">
        <v>4797</v>
      </c>
      <c r="G2794" s="3564">
        <v>88.9</v>
      </c>
      <c r="H2794" s="3564">
        <v>71</v>
      </c>
      <c r="I2794" s="3564">
        <v>17.899999999999999</v>
      </c>
      <c r="J2794" s="3565">
        <v>911273</v>
      </c>
      <c r="K2794" s="3565">
        <v>10250.540000000001</v>
      </c>
      <c r="L2794" s="3565">
        <v>12834.83</v>
      </c>
      <c r="M2794" s="3565">
        <v>0</v>
      </c>
      <c r="N2794" s="3565">
        <v>0</v>
      </c>
      <c r="O2794" s="3563" t="s">
        <v>3453</v>
      </c>
    </row>
    <row r="2795" spans="1:15">
      <c r="A2795" s="3563" t="s">
        <v>7017</v>
      </c>
      <c r="B2795" s="3563" t="s">
        <v>4196</v>
      </c>
      <c r="C2795" s="3563" t="s">
        <v>4197</v>
      </c>
      <c r="D2795" s="3563" t="s">
        <v>6429</v>
      </c>
      <c r="E2795" s="3563" t="s">
        <v>4699</v>
      </c>
      <c r="F2795" s="3563" t="s">
        <v>4797</v>
      </c>
      <c r="G2795" s="3564">
        <v>88.9</v>
      </c>
      <c r="H2795" s="3564">
        <v>71</v>
      </c>
      <c r="I2795" s="3564">
        <v>17.899999999999999</v>
      </c>
      <c r="J2795" s="3565">
        <v>911273</v>
      </c>
      <c r="K2795" s="3565">
        <v>10250.540000000001</v>
      </c>
      <c r="L2795" s="3565">
        <v>12834.83</v>
      </c>
      <c r="M2795" s="3565">
        <v>0</v>
      </c>
      <c r="N2795" s="3565">
        <v>0</v>
      </c>
      <c r="O2795" s="3563" t="s">
        <v>3453</v>
      </c>
    </row>
    <row r="2796" spans="1:15">
      <c r="A2796" s="3563" t="s">
        <v>7018</v>
      </c>
      <c r="B2796" s="3563" t="s">
        <v>4196</v>
      </c>
      <c r="C2796" s="3563" t="s">
        <v>4197</v>
      </c>
      <c r="D2796" s="3563" t="s">
        <v>6429</v>
      </c>
      <c r="E2796" s="3563" t="s">
        <v>4699</v>
      </c>
      <c r="F2796" s="3563" t="s">
        <v>4797</v>
      </c>
      <c r="G2796" s="3564">
        <v>102.69</v>
      </c>
      <c r="H2796" s="3564">
        <v>82.01</v>
      </c>
      <c r="I2796" s="3564">
        <v>20.68</v>
      </c>
      <c r="J2796" s="3565">
        <v>1079939</v>
      </c>
      <c r="K2796" s="3565">
        <v>10516.5</v>
      </c>
      <c r="L2796" s="3565">
        <v>13168.38</v>
      </c>
      <c r="M2796" s="3565">
        <v>0</v>
      </c>
      <c r="N2796" s="3565">
        <v>0</v>
      </c>
      <c r="O2796" s="3563" t="s">
        <v>3453</v>
      </c>
    </row>
    <row r="2797" spans="1:15">
      <c r="A2797" s="3563" t="s">
        <v>7019</v>
      </c>
      <c r="B2797" s="3563" t="s">
        <v>4196</v>
      </c>
      <c r="C2797" s="3563" t="s">
        <v>4197</v>
      </c>
      <c r="D2797" s="3563" t="s">
        <v>6429</v>
      </c>
      <c r="E2797" s="3563" t="s">
        <v>4699</v>
      </c>
      <c r="F2797" s="3563" t="s">
        <v>4797</v>
      </c>
      <c r="G2797" s="3564">
        <v>88.9</v>
      </c>
      <c r="H2797" s="3564">
        <v>71</v>
      </c>
      <c r="I2797" s="3564">
        <v>17.899999999999999</v>
      </c>
      <c r="J2797" s="3565">
        <v>916947</v>
      </c>
      <c r="K2797" s="3565">
        <v>10314.36</v>
      </c>
      <c r="L2797" s="3565">
        <v>12914.75</v>
      </c>
      <c r="M2797" s="3565">
        <v>0</v>
      </c>
      <c r="N2797" s="3565">
        <v>0</v>
      </c>
      <c r="O2797" s="3563" t="s">
        <v>3453</v>
      </c>
    </row>
    <row r="2798" spans="1:15">
      <c r="A2798" s="3563" t="s">
        <v>7020</v>
      </c>
      <c r="B2798" s="3563" t="s">
        <v>4196</v>
      </c>
      <c r="C2798" s="3563" t="s">
        <v>4197</v>
      </c>
      <c r="D2798" s="3563" t="s">
        <v>6429</v>
      </c>
      <c r="E2798" s="3563" t="s">
        <v>4699</v>
      </c>
      <c r="F2798" s="3563" t="s">
        <v>4797</v>
      </c>
      <c r="G2798" s="3564">
        <v>88.9</v>
      </c>
      <c r="H2798" s="3564">
        <v>71</v>
      </c>
      <c r="I2798" s="3564">
        <v>17.899999999999999</v>
      </c>
      <c r="J2798" s="3565">
        <v>916947</v>
      </c>
      <c r="K2798" s="3565">
        <v>10314.36</v>
      </c>
      <c r="L2798" s="3565">
        <v>12914.75</v>
      </c>
      <c r="M2798" s="3565">
        <v>0</v>
      </c>
      <c r="N2798" s="3565">
        <v>0</v>
      </c>
      <c r="O2798" s="3563" t="s">
        <v>3453</v>
      </c>
    </row>
    <row r="2799" spans="1:15">
      <c r="A2799" s="3563" t="s">
        <v>7021</v>
      </c>
      <c r="B2799" s="3563" t="s">
        <v>4196</v>
      </c>
      <c r="C2799" s="3563" t="s">
        <v>4197</v>
      </c>
      <c r="D2799" s="3563" t="s">
        <v>6429</v>
      </c>
      <c r="E2799" s="3563" t="s">
        <v>4699</v>
      </c>
      <c r="F2799" s="3563" t="s">
        <v>4797</v>
      </c>
      <c r="G2799" s="3564">
        <v>91.13</v>
      </c>
      <c r="H2799" s="3564">
        <v>72.78</v>
      </c>
      <c r="I2799" s="3564">
        <v>18.350000000000001</v>
      </c>
      <c r="J2799" s="3565">
        <v>925406</v>
      </c>
      <c r="K2799" s="3565">
        <v>10154.790000000001</v>
      </c>
      <c r="L2799" s="3565">
        <v>12715.11</v>
      </c>
      <c r="M2799" s="3565">
        <v>0</v>
      </c>
      <c r="N2799" s="3565">
        <v>0</v>
      </c>
      <c r="O2799" s="3563" t="s">
        <v>3453</v>
      </c>
    </row>
    <row r="2800" spans="1:15">
      <c r="A2800" s="3563" t="s">
        <v>7022</v>
      </c>
      <c r="B2800" s="3563" t="s">
        <v>3453</v>
      </c>
      <c r="C2800" s="3563" t="s">
        <v>4197</v>
      </c>
      <c r="D2800" s="3563" t="s">
        <v>6429</v>
      </c>
      <c r="E2800" s="3563" t="s">
        <v>4699</v>
      </c>
      <c r="F2800" s="3563" t="s">
        <v>4797</v>
      </c>
      <c r="G2800" s="3564">
        <v>88.9</v>
      </c>
      <c r="H2800" s="3564">
        <v>71</v>
      </c>
      <c r="I2800" s="3564">
        <v>17.899999999999999</v>
      </c>
      <c r="J2800" s="3565">
        <v>902761</v>
      </c>
      <c r="K2800" s="3565">
        <v>10154.790000000001</v>
      </c>
      <c r="L2800" s="3565">
        <v>12714.94</v>
      </c>
      <c r="M2800" s="3565">
        <v>0</v>
      </c>
      <c r="N2800" s="3565">
        <v>0</v>
      </c>
      <c r="O2800" s="3563" t="s">
        <v>3453</v>
      </c>
    </row>
    <row r="2801" spans="1:15">
      <c r="A2801" s="3563" t="s">
        <v>7023</v>
      </c>
      <c r="B2801" s="3563" t="s">
        <v>4196</v>
      </c>
      <c r="C2801" s="3563" t="s">
        <v>4197</v>
      </c>
      <c r="D2801" s="3563" t="s">
        <v>6429</v>
      </c>
      <c r="E2801" s="3563" t="s">
        <v>4699</v>
      </c>
      <c r="F2801" s="3563" t="s">
        <v>4797</v>
      </c>
      <c r="G2801" s="3564">
        <v>88.9</v>
      </c>
      <c r="H2801" s="3564">
        <v>71</v>
      </c>
      <c r="I2801" s="3564">
        <v>17.899999999999999</v>
      </c>
      <c r="J2801" s="3565">
        <v>902761</v>
      </c>
      <c r="K2801" s="3565">
        <v>10154.790000000001</v>
      </c>
      <c r="L2801" s="3565">
        <v>12714.94</v>
      </c>
      <c r="M2801" s="3565">
        <v>0</v>
      </c>
      <c r="N2801" s="3565">
        <v>0</v>
      </c>
      <c r="O2801" s="3563" t="s">
        <v>3453</v>
      </c>
    </row>
    <row r="2802" spans="1:15">
      <c r="A2802" s="3563" t="s">
        <v>7024</v>
      </c>
      <c r="B2802" s="3563" t="s">
        <v>4196</v>
      </c>
      <c r="C2802" s="3563" t="s">
        <v>4197</v>
      </c>
      <c r="D2802" s="3563" t="s">
        <v>6429</v>
      </c>
      <c r="E2802" s="3563" t="s">
        <v>4699</v>
      </c>
      <c r="F2802" s="3563" t="s">
        <v>4797</v>
      </c>
      <c r="G2802" s="3564">
        <v>102.69</v>
      </c>
      <c r="H2802" s="3564">
        <v>82.01</v>
      </c>
      <c r="I2802" s="3564">
        <v>20.68</v>
      </c>
      <c r="J2802" s="3565">
        <v>1070107</v>
      </c>
      <c r="K2802" s="3565">
        <v>10420.75</v>
      </c>
      <c r="L2802" s="3565">
        <v>13048.49</v>
      </c>
      <c r="M2802" s="3565">
        <v>0</v>
      </c>
      <c r="N2802" s="3565">
        <v>0</v>
      </c>
      <c r="O2802" s="3563" t="s">
        <v>3453</v>
      </c>
    </row>
    <row r="2803" spans="1:15">
      <c r="A2803" s="3563" t="s">
        <v>7025</v>
      </c>
      <c r="B2803" s="3563" t="s">
        <v>3453</v>
      </c>
      <c r="C2803" s="3563" t="s">
        <v>4197</v>
      </c>
      <c r="D2803" s="3563" t="s">
        <v>6429</v>
      </c>
      <c r="E2803" s="3563" t="s">
        <v>4699</v>
      </c>
      <c r="F2803" s="3563" t="s">
        <v>4797</v>
      </c>
      <c r="G2803" s="3564">
        <v>88.9</v>
      </c>
      <c r="H2803" s="3564">
        <v>71</v>
      </c>
      <c r="I2803" s="3564">
        <v>17.899999999999999</v>
      </c>
      <c r="J2803" s="3565">
        <v>927350</v>
      </c>
      <c r="K2803" s="3565">
        <v>10431.379999999999</v>
      </c>
      <c r="L2803" s="3565">
        <v>13061.27</v>
      </c>
      <c r="M2803" s="3565">
        <v>0</v>
      </c>
      <c r="N2803" s="3565">
        <v>0</v>
      </c>
      <c r="O2803" s="3563" t="s">
        <v>3453</v>
      </c>
    </row>
    <row r="2804" spans="1:15">
      <c r="A2804" s="3563" t="s">
        <v>7026</v>
      </c>
      <c r="B2804" s="3563" t="s">
        <v>4196</v>
      </c>
      <c r="C2804" s="3563" t="s">
        <v>4197</v>
      </c>
      <c r="D2804" s="3563" t="s">
        <v>6429</v>
      </c>
      <c r="E2804" s="3563" t="s">
        <v>4699</v>
      </c>
      <c r="F2804" s="3563" t="s">
        <v>4797</v>
      </c>
      <c r="G2804" s="3564">
        <v>88.9</v>
      </c>
      <c r="H2804" s="3564">
        <v>71</v>
      </c>
      <c r="I2804" s="3564">
        <v>17.899999999999999</v>
      </c>
      <c r="J2804" s="3565">
        <v>927350</v>
      </c>
      <c r="K2804" s="3565">
        <v>10431.379999999999</v>
      </c>
      <c r="L2804" s="3565">
        <v>13061.27</v>
      </c>
      <c r="M2804" s="3565">
        <v>0</v>
      </c>
      <c r="N2804" s="3565">
        <v>0</v>
      </c>
      <c r="O2804" s="3563" t="s">
        <v>3453</v>
      </c>
    </row>
    <row r="2805" spans="1:15">
      <c r="A2805" s="3563" t="s">
        <v>7027</v>
      </c>
      <c r="B2805" s="3563" t="s">
        <v>4196</v>
      </c>
      <c r="C2805" s="3563" t="s">
        <v>4197</v>
      </c>
      <c r="D2805" s="3563" t="s">
        <v>6429</v>
      </c>
      <c r="E2805" s="3563" t="s">
        <v>4699</v>
      </c>
      <c r="F2805" s="3563" t="s">
        <v>4797</v>
      </c>
      <c r="G2805" s="3564">
        <v>91.13</v>
      </c>
      <c r="H2805" s="3564">
        <v>72.78</v>
      </c>
      <c r="I2805" s="3564">
        <v>18.350000000000001</v>
      </c>
      <c r="J2805" s="3565">
        <v>936071</v>
      </c>
      <c r="K2805" s="3565">
        <v>10271.82</v>
      </c>
      <c r="L2805" s="3565">
        <v>12861.65</v>
      </c>
      <c r="M2805" s="3565">
        <v>0</v>
      </c>
      <c r="N2805" s="3565">
        <v>0</v>
      </c>
      <c r="O2805" s="3563" t="s">
        <v>3453</v>
      </c>
    </row>
    <row r="2806" spans="1:15">
      <c r="A2806" s="3563" t="s">
        <v>7028</v>
      </c>
      <c r="B2806" s="3563" t="s">
        <v>4196</v>
      </c>
      <c r="C2806" s="3563" t="s">
        <v>4197</v>
      </c>
      <c r="D2806" s="3563" t="s">
        <v>6429</v>
      </c>
      <c r="E2806" s="3563" t="s">
        <v>4699</v>
      </c>
      <c r="F2806" s="3563" t="s">
        <v>4797</v>
      </c>
      <c r="G2806" s="3564">
        <v>88.9</v>
      </c>
      <c r="H2806" s="3564">
        <v>71</v>
      </c>
      <c r="I2806" s="3564">
        <v>17.899999999999999</v>
      </c>
      <c r="J2806" s="3565">
        <v>913164</v>
      </c>
      <c r="K2806" s="3565">
        <v>10271.81</v>
      </c>
      <c r="L2806" s="3565">
        <v>12861.46</v>
      </c>
      <c r="M2806" s="3565">
        <v>0</v>
      </c>
      <c r="N2806" s="3565">
        <v>0</v>
      </c>
      <c r="O2806" s="3563" t="s">
        <v>3453</v>
      </c>
    </row>
    <row r="2807" spans="1:15">
      <c r="A2807" s="3563" t="s">
        <v>7029</v>
      </c>
      <c r="B2807" s="3563" t="s">
        <v>3453</v>
      </c>
      <c r="C2807" s="3563" t="s">
        <v>4197</v>
      </c>
      <c r="D2807" s="3563" t="s">
        <v>6429</v>
      </c>
      <c r="E2807" s="3563" t="s">
        <v>4699</v>
      </c>
      <c r="F2807" s="3563" t="s">
        <v>4797</v>
      </c>
      <c r="G2807" s="3564">
        <v>88.9</v>
      </c>
      <c r="H2807" s="3564">
        <v>71</v>
      </c>
      <c r="I2807" s="3564">
        <v>17.899999999999999</v>
      </c>
      <c r="J2807" s="3565">
        <v>913164</v>
      </c>
      <c r="K2807" s="3565">
        <v>10271.81</v>
      </c>
      <c r="L2807" s="3565">
        <v>12861.46</v>
      </c>
      <c r="M2807" s="3565">
        <v>0</v>
      </c>
      <c r="N2807" s="3565">
        <v>0</v>
      </c>
      <c r="O2807" s="3563" t="s">
        <v>3453</v>
      </c>
    </row>
    <row r="2808" spans="1:15">
      <c r="A2808" s="3563" t="s">
        <v>7030</v>
      </c>
      <c r="B2808" s="3563" t="s">
        <v>3453</v>
      </c>
      <c r="C2808" s="3563" t="s">
        <v>4197</v>
      </c>
      <c r="D2808" s="3563" t="s">
        <v>6429</v>
      </c>
      <c r="E2808" s="3563" t="s">
        <v>4699</v>
      </c>
      <c r="F2808" s="3563" t="s">
        <v>4797</v>
      </c>
      <c r="G2808" s="3564">
        <v>102.69</v>
      </c>
      <c r="H2808" s="3564">
        <v>82.01</v>
      </c>
      <c r="I2808" s="3564">
        <v>20.68</v>
      </c>
      <c r="J2808" s="3565">
        <v>1082124</v>
      </c>
      <c r="K2808" s="3565">
        <v>10537.77</v>
      </c>
      <c r="L2808" s="3565">
        <v>13195.02</v>
      </c>
      <c r="M2808" s="3565">
        <v>0</v>
      </c>
      <c r="N2808" s="3565">
        <v>0</v>
      </c>
      <c r="O2808" s="3563" t="s">
        <v>3453</v>
      </c>
    </row>
    <row r="2809" spans="1:15">
      <c r="A2809" s="3563" t="s">
        <v>7031</v>
      </c>
      <c r="B2809" s="3563" t="s">
        <v>4196</v>
      </c>
      <c r="C2809" s="3563" t="s">
        <v>4197</v>
      </c>
      <c r="D2809" s="3563" t="s">
        <v>6429</v>
      </c>
      <c r="E2809" s="3563" t="s">
        <v>4699</v>
      </c>
      <c r="F2809" s="3563" t="s">
        <v>4797</v>
      </c>
      <c r="G2809" s="3564">
        <v>88.9</v>
      </c>
      <c r="H2809" s="3564">
        <v>71</v>
      </c>
      <c r="I2809" s="3564">
        <v>17.899999999999999</v>
      </c>
      <c r="J2809" s="3565">
        <v>926405</v>
      </c>
      <c r="K2809" s="3565">
        <v>10420.75</v>
      </c>
      <c r="L2809" s="3565">
        <v>13047.96</v>
      </c>
      <c r="M2809" s="3565">
        <v>0</v>
      </c>
      <c r="N2809" s="3565">
        <v>0</v>
      </c>
      <c r="O2809" s="3563" t="s">
        <v>3453</v>
      </c>
    </row>
    <row r="2810" spans="1:15">
      <c r="A2810" s="3563" t="s">
        <v>7032</v>
      </c>
      <c r="B2810" s="3563" t="s">
        <v>4196</v>
      </c>
      <c r="C2810" s="3563" t="s">
        <v>4197</v>
      </c>
      <c r="D2810" s="3563" t="s">
        <v>6429</v>
      </c>
      <c r="E2810" s="3563" t="s">
        <v>4699</v>
      </c>
      <c r="F2810" s="3563" t="s">
        <v>4797</v>
      </c>
      <c r="G2810" s="3564">
        <v>88.9</v>
      </c>
      <c r="H2810" s="3564">
        <v>71</v>
      </c>
      <c r="I2810" s="3564">
        <v>17.899999999999999</v>
      </c>
      <c r="J2810" s="3565">
        <v>926405</v>
      </c>
      <c r="K2810" s="3565">
        <v>10420.75</v>
      </c>
      <c r="L2810" s="3565">
        <v>13047.96</v>
      </c>
      <c r="M2810" s="3565">
        <v>0</v>
      </c>
      <c r="N2810" s="3565">
        <v>0</v>
      </c>
      <c r="O2810" s="3563" t="s">
        <v>3453</v>
      </c>
    </row>
    <row r="2811" spans="1:15">
      <c r="A2811" s="3563" t="s">
        <v>7033</v>
      </c>
      <c r="B2811" s="3563" t="s">
        <v>4196</v>
      </c>
      <c r="C2811" s="3563" t="s">
        <v>4197</v>
      </c>
      <c r="D2811" s="3563" t="s">
        <v>6429</v>
      </c>
      <c r="E2811" s="3563" t="s">
        <v>4699</v>
      </c>
      <c r="F2811" s="3563" t="s">
        <v>4797</v>
      </c>
      <c r="G2811" s="3564">
        <v>91.13</v>
      </c>
      <c r="H2811" s="3564">
        <v>72.78</v>
      </c>
      <c r="I2811" s="3564">
        <v>18.350000000000001</v>
      </c>
      <c r="J2811" s="3565">
        <v>935100</v>
      </c>
      <c r="K2811" s="3565">
        <v>10261.17</v>
      </c>
      <c r="L2811" s="3565">
        <v>12848.31</v>
      </c>
      <c r="M2811" s="3565">
        <v>0</v>
      </c>
      <c r="N2811" s="3565">
        <v>0</v>
      </c>
      <c r="O2811" s="3563" t="s">
        <v>3453</v>
      </c>
    </row>
    <row r="2812" spans="1:15">
      <c r="A2812" s="3563" t="s">
        <v>7034</v>
      </c>
      <c r="B2812" s="3563" t="s">
        <v>4196</v>
      </c>
      <c r="C2812" s="3563" t="s">
        <v>4197</v>
      </c>
      <c r="D2812" s="3563" t="s">
        <v>6429</v>
      </c>
      <c r="E2812" s="3563" t="s">
        <v>4699</v>
      </c>
      <c r="F2812" s="3563" t="s">
        <v>4797</v>
      </c>
      <c r="G2812" s="3564">
        <v>88.9</v>
      </c>
      <c r="H2812" s="3564">
        <v>71</v>
      </c>
      <c r="I2812" s="3564">
        <v>17.899999999999999</v>
      </c>
      <c r="J2812" s="3565">
        <v>912219</v>
      </c>
      <c r="K2812" s="3565">
        <v>10261.18</v>
      </c>
      <c r="L2812" s="3565">
        <v>12848.15</v>
      </c>
      <c r="M2812" s="3565">
        <v>0</v>
      </c>
      <c r="N2812" s="3565">
        <v>0</v>
      </c>
      <c r="O2812" s="3563" t="s">
        <v>3453</v>
      </c>
    </row>
    <row r="2813" spans="1:15">
      <c r="A2813" s="3563" t="s">
        <v>7035</v>
      </c>
      <c r="B2813" s="3563" t="s">
        <v>4196</v>
      </c>
      <c r="C2813" s="3563" t="s">
        <v>4197</v>
      </c>
      <c r="D2813" s="3563" t="s">
        <v>6429</v>
      </c>
      <c r="E2813" s="3563" t="s">
        <v>4699</v>
      </c>
      <c r="F2813" s="3563" t="s">
        <v>4797</v>
      </c>
      <c r="G2813" s="3564">
        <v>88.9</v>
      </c>
      <c r="H2813" s="3564">
        <v>71</v>
      </c>
      <c r="I2813" s="3564">
        <v>17.899999999999999</v>
      </c>
      <c r="J2813" s="3565">
        <v>912219</v>
      </c>
      <c r="K2813" s="3565">
        <v>10261.18</v>
      </c>
      <c r="L2813" s="3565">
        <v>12848.15</v>
      </c>
      <c r="M2813" s="3565">
        <v>0</v>
      </c>
      <c r="N2813" s="3565">
        <v>0</v>
      </c>
      <c r="O2813" s="3563" t="s">
        <v>3453</v>
      </c>
    </row>
    <row r="2814" spans="1:15">
      <c r="A2814" s="3563" t="s">
        <v>7036</v>
      </c>
      <c r="B2814" s="3563" t="s">
        <v>4196</v>
      </c>
      <c r="C2814" s="3563" t="s">
        <v>4197</v>
      </c>
      <c r="D2814" s="3563" t="s">
        <v>6429</v>
      </c>
      <c r="E2814" s="3563" t="s">
        <v>4699</v>
      </c>
      <c r="F2814" s="3563" t="s">
        <v>4797</v>
      </c>
      <c r="G2814" s="3564">
        <v>102.69</v>
      </c>
      <c r="H2814" s="3564">
        <v>82.01</v>
      </c>
      <c r="I2814" s="3564">
        <v>20.68</v>
      </c>
      <c r="J2814" s="3565">
        <v>1081031</v>
      </c>
      <c r="K2814" s="3565">
        <v>10527.13</v>
      </c>
      <c r="L2814" s="3565">
        <v>13181.7</v>
      </c>
      <c r="M2814" s="3565">
        <v>0</v>
      </c>
      <c r="N2814" s="3565">
        <v>0</v>
      </c>
      <c r="O2814" s="3563" t="s">
        <v>3453</v>
      </c>
    </row>
    <row r="2815" spans="1:15">
      <c r="A2815" s="3563" t="s">
        <v>7037</v>
      </c>
      <c r="B2815" s="3563" t="s">
        <v>4196</v>
      </c>
      <c r="C2815" s="3563" t="s">
        <v>4197</v>
      </c>
      <c r="D2815" s="3563" t="s">
        <v>6429</v>
      </c>
      <c r="E2815" s="3563" t="s">
        <v>4699</v>
      </c>
      <c r="F2815" s="3563" t="s">
        <v>4797</v>
      </c>
      <c r="G2815" s="3564">
        <v>88.9</v>
      </c>
      <c r="H2815" s="3564">
        <v>71</v>
      </c>
      <c r="I2815" s="3564">
        <v>17.899999999999999</v>
      </c>
      <c r="J2815" s="3565">
        <v>925459</v>
      </c>
      <c r="K2815" s="3565">
        <v>10410.11</v>
      </c>
      <c r="L2815" s="3565">
        <v>13034.63</v>
      </c>
      <c r="M2815" s="3565">
        <v>0</v>
      </c>
      <c r="N2815" s="3565">
        <v>0</v>
      </c>
      <c r="O2815" s="3563" t="s">
        <v>3453</v>
      </c>
    </row>
    <row r="2816" spans="1:15">
      <c r="A2816" s="3563" t="s">
        <v>7038</v>
      </c>
      <c r="B2816" s="3563" t="s">
        <v>4196</v>
      </c>
      <c r="C2816" s="3563" t="s">
        <v>4197</v>
      </c>
      <c r="D2816" s="3563" t="s">
        <v>6429</v>
      </c>
      <c r="E2816" s="3563" t="s">
        <v>4699</v>
      </c>
      <c r="F2816" s="3563" t="s">
        <v>4797</v>
      </c>
      <c r="G2816" s="3564">
        <v>88.9</v>
      </c>
      <c r="H2816" s="3564">
        <v>71</v>
      </c>
      <c r="I2816" s="3564">
        <v>17.899999999999999</v>
      </c>
      <c r="J2816" s="3565">
        <v>925459</v>
      </c>
      <c r="K2816" s="3565">
        <v>10410.11</v>
      </c>
      <c r="L2816" s="3565">
        <v>13034.63</v>
      </c>
      <c r="M2816" s="3565">
        <v>0</v>
      </c>
      <c r="N2816" s="3565">
        <v>0</v>
      </c>
      <c r="O2816" s="3563" t="s">
        <v>3453</v>
      </c>
    </row>
    <row r="2817" spans="1:15">
      <c r="A2817" s="3563" t="s">
        <v>7039</v>
      </c>
      <c r="B2817" s="3563" t="s">
        <v>4196</v>
      </c>
      <c r="C2817" s="3563" t="s">
        <v>4197</v>
      </c>
      <c r="D2817" s="3563" t="s">
        <v>6429</v>
      </c>
      <c r="E2817" s="3563" t="s">
        <v>4699</v>
      </c>
      <c r="F2817" s="3563" t="s">
        <v>4797</v>
      </c>
      <c r="G2817" s="3564">
        <v>91.13</v>
      </c>
      <c r="H2817" s="3564">
        <v>72.78</v>
      </c>
      <c r="I2817" s="3564">
        <v>18.350000000000001</v>
      </c>
      <c r="J2817" s="3565">
        <v>934131</v>
      </c>
      <c r="K2817" s="3565">
        <v>10250.530000000001</v>
      </c>
      <c r="L2817" s="3565">
        <v>12835</v>
      </c>
      <c r="M2817" s="3565">
        <v>0</v>
      </c>
      <c r="N2817" s="3565">
        <v>0</v>
      </c>
      <c r="O2817" s="3563" t="s">
        <v>3453</v>
      </c>
    </row>
    <row r="2818" spans="1:15">
      <c r="A2818" s="3563" t="s">
        <v>7040</v>
      </c>
      <c r="B2818" s="3563" t="s">
        <v>3453</v>
      </c>
      <c r="C2818" s="3563" t="s">
        <v>4197</v>
      </c>
      <c r="D2818" s="3563" t="s">
        <v>6429</v>
      </c>
      <c r="E2818" s="3563" t="s">
        <v>4699</v>
      </c>
      <c r="F2818" s="3563" t="s">
        <v>4797</v>
      </c>
      <c r="G2818" s="3564">
        <v>88.9</v>
      </c>
      <c r="H2818" s="3564">
        <v>71</v>
      </c>
      <c r="I2818" s="3564">
        <v>17.899999999999999</v>
      </c>
      <c r="J2818" s="3565">
        <v>911273</v>
      </c>
      <c r="K2818" s="3565">
        <v>10250.540000000001</v>
      </c>
      <c r="L2818" s="3565">
        <v>12834.83</v>
      </c>
      <c r="M2818" s="3565">
        <v>0</v>
      </c>
      <c r="N2818" s="3565">
        <v>0</v>
      </c>
      <c r="O2818" s="3563" t="s">
        <v>3453</v>
      </c>
    </row>
    <row r="2819" spans="1:15">
      <c r="A2819" s="3563" t="s">
        <v>7041</v>
      </c>
      <c r="B2819" s="3563" t="s">
        <v>3453</v>
      </c>
      <c r="C2819" s="3563" t="s">
        <v>4197</v>
      </c>
      <c r="D2819" s="3563" t="s">
        <v>6429</v>
      </c>
      <c r="E2819" s="3563" t="s">
        <v>4699</v>
      </c>
      <c r="F2819" s="3563" t="s">
        <v>4797</v>
      </c>
      <c r="G2819" s="3564">
        <v>88.9</v>
      </c>
      <c r="H2819" s="3564">
        <v>71</v>
      </c>
      <c r="I2819" s="3564">
        <v>17.899999999999999</v>
      </c>
      <c r="J2819" s="3565">
        <v>911273</v>
      </c>
      <c r="K2819" s="3565">
        <v>10250.540000000001</v>
      </c>
      <c r="L2819" s="3565">
        <v>12834.83</v>
      </c>
      <c r="M2819" s="3565">
        <v>0</v>
      </c>
      <c r="N2819" s="3565">
        <v>0</v>
      </c>
      <c r="O2819" s="3563" t="s">
        <v>3453</v>
      </c>
    </row>
    <row r="2820" spans="1:15">
      <c r="A2820" s="3563" t="s">
        <v>7042</v>
      </c>
      <c r="B2820" s="3563" t="s">
        <v>4196</v>
      </c>
      <c r="C2820" s="3563" t="s">
        <v>4197</v>
      </c>
      <c r="D2820" s="3563" t="s">
        <v>6429</v>
      </c>
      <c r="E2820" s="3563" t="s">
        <v>4699</v>
      </c>
      <c r="F2820" s="3563" t="s">
        <v>4797</v>
      </c>
      <c r="G2820" s="3564">
        <v>102.69</v>
      </c>
      <c r="H2820" s="3564">
        <v>82.01</v>
      </c>
      <c r="I2820" s="3564">
        <v>20.68</v>
      </c>
      <c r="J2820" s="3565">
        <v>1079939</v>
      </c>
      <c r="K2820" s="3565">
        <v>10516.5</v>
      </c>
      <c r="L2820" s="3565">
        <v>13168.38</v>
      </c>
      <c r="M2820" s="3565">
        <v>0</v>
      </c>
      <c r="N2820" s="3565">
        <v>0</v>
      </c>
      <c r="O2820" s="3563" t="s">
        <v>3453</v>
      </c>
    </row>
    <row r="2821" spans="1:15">
      <c r="A2821" s="3563" t="s">
        <v>7043</v>
      </c>
      <c r="B2821" s="3563" t="s">
        <v>4196</v>
      </c>
      <c r="C2821" s="3563" t="s">
        <v>4197</v>
      </c>
      <c r="D2821" s="3563" t="s">
        <v>6429</v>
      </c>
      <c r="E2821" s="3563" t="s">
        <v>4699</v>
      </c>
      <c r="F2821" s="3563" t="s">
        <v>4797</v>
      </c>
      <c r="G2821" s="3564">
        <v>88.9</v>
      </c>
      <c r="H2821" s="3564">
        <v>71</v>
      </c>
      <c r="I2821" s="3564">
        <v>17.899999999999999</v>
      </c>
      <c r="J2821" s="3565">
        <v>915056</v>
      </c>
      <c r="K2821" s="3565">
        <v>10293.09</v>
      </c>
      <c r="L2821" s="3565">
        <v>12888.11</v>
      </c>
      <c r="M2821" s="3565">
        <v>0</v>
      </c>
      <c r="N2821" s="3565">
        <v>0</v>
      </c>
      <c r="O2821" s="3563" t="s">
        <v>3453</v>
      </c>
    </row>
    <row r="2822" spans="1:15">
      <c r="A2822" s="3563" t="s">
        <v>7044</v>
      </c>
      <c r="B2822" s="3563" t="s">
        <v>4196</v>
      </c>
      <c r="C2822" s="3563" t="s">
        <v>4197</v>
      </c>
      <c r="D2822" s="3563" t="s">
        <v>6429</v>
      </c>
      <c r="E2822" s="3563" t="s">
        <v>4699</v>
      </c>
      <c r="F2822" s="3563" t="s">
        <v>4797</v>
      </c>
      <c r="G2822" s="3564">
        <v>88.9</v>
      </c>
      <c r="H2822" s="3564">
        <v>71</v>
      </c>
      <c r="I2822" s="3564">
        <v>17.899999999999999</v>
      </c>
      <c r="J2822" s="3565">
        <v>915056</v>
      </c>
      <c r="K2822" s="3565">
        <v>10293.09</v>
      </c>
      <c r="L2822" s="3565">
        <v>12888.11</v>
      </c>
      <c r="M2822" s="3565">
        <v>0</v>
      </c>
      <c r="N2822" s="3565">
        <v>0</v>
      </c>
      <c r="O2822" s="3563" t="s">
        <v>3453</v>
      </c>
    </row>
    <row r="2823" spans="1:15">
      <c r="A2823" s="3563" t="s">
        <v>7045</v>
      </c>
      <c r="B2823" s="3563" t="s">
        <v>3453</v>
      </c>
      <c r="C2823" s="3563" t="s">
        <v>4197</v>
      </c>
      <c r="D2823" s="3563" t="s">
        <v>6429</v>
      </c>
      <c r="E2823" s="3563" t="s">
        <v>4699</v>
      </c>
      <c r="F2823" s="3563" t="s">
        <v>4797</v>
      </c>
      <c r="G2823" s="3564">
        <v>91.13</v>
      </c>
      <c r="H2823" s="3564">
        <v>72.78</v>
      </c>
      <c r="I2823" s="3564">
        <v>18.350000000000001</v>
      </c>
      <c r="J2823" s="3565">
        <v>923468</v>
      </c>
      <c r="K2823" s="3565">
        <v>10133.52</v>
      </c>
      <c r="L2823" s="3565">
        <v>12688.49</v>
      </c>
      <c r="M2823" s="3565">
        <v>0</v>
      </c>
      <c r="N2823" s="3565">
        <v>0</v>
      </c>
      <c r="O2823" s="3563" t="s">
        <v>3453</v>
      </c>
    </row>
    <row r="2824" spans="1:15">
      <c r="A2824" s="3563" t="s">
        <v>7046</v>
      </c>
      <c r="B2824" s="3563" t="s">
        <v>4196</v>
      </c>
      <c r="C2824" s="3563" t="s">
        <v>4197</v>
      </c>
      <c r="D2824" s="3563" t="s">
        <v>6429</v>
      </c>
      <c r="E2824" s="3563" t="s">
        <v>4699</v>
      </c>
      <c r="F2824" s="3563" t="s">
        <v>4797</v>
      </c>
      <c r="G2824" s="3564">
        <v>88.9</v>
      </c>
      <c r="H2824" s="3564">
        <v>71</v>
      </c>
      <c r="I2824" s="3564">
        <v>17.899999999999999</v>
      </c>
      <c r="J2824" s="3565">
        <v>900870</v>
      </c>
      <c r="K2824" s="3565">
        <v>10133.52</v>
      </c>
      <c r="L2824" s="3565">
        <v>12688.31</v>
      </c>
      <c r="M2824" s="3565">
        <v>0</v>
      </c>
      <c r="N2824" s="3565">
        <v>0</v>
      </c>
      <c r="O2824" s="3563" t="s">
        <v>3453</v>
      </c>
    </row>
    <row r="2825" spans="1:15">
      <c r="A2825" s="3563" t="s">
        <v>7047</v>
      </c>
      <c r="B2825" s="3563" t="s">
        <v>4196</v>
      </c>
      <c r="C2825" s="3563" t="s">
        <v>4197</v>
      </c>
      <c r="D2825" s="3563" t="s">
        <v>6429</v>
      </c>
      <c r="E2825" s="3563" t="s">
        <v>4699</v>
      </c>
      <c r="F2825" s="3563" t="s">
        <v>4797</v>
      </c>
      <c r="G2825" s="3564">
        <v>88.9</v>
      </c>
      <c r="H2825" s="3564">
        <v>71</v>
      </c>
      <c r="I2825" s="3564">
        <v>17.899999999999999</v>
      </c>
      <c r="J2825" s="3565">
        <v>900870</v>
      </c>
      <c r="K2825" s="3565">
        <v>10133.52</v>
      </c>
      <c r="L2825" s="3565">
        <v>12688.31</v>
      </c>
      <c r="M2825" s="3565">
        <v>0</v>
      </c>
      <c r="N2825" s="3565">
        <v>0</v>
      </c>
      <c r="O2825" s="3563" t="s">
        <v>3453</v>
      </c>
    </row>
    <row r="2826" spans="1:15">
      <c r="A2826" s="3563" t="s">
        <v>7048</v>
      </c>
      <c r="B2826" s="3563" t="s">
        <v>4196</v>
      </c>
      <c r="C2826" s="3563" t="s">
        <v>4197</v>
      </c>
      <c r="D2826" s="3563" t="s">
        <v>6429</v>
      </c>
      <c r="E2826" s="3563" t="s">
        <v>4699</v>
      </c>
      <c r="F2826" s="3563" t="s">
        <v>4797</v>
      </c>
      <c r="G2826" s="3564">
        <v>102.69</v>
      </c>
      <c r="H2826" s="3564">
        <v>82.01</v>
      </c>
      <c r="I2826" s="3564">
        <v>20.68</v>
      </c>
      <c r="J2826" s="3565">
        <v>1067922</v>
      </c>
      <c r="K2826" s="3565">
        <v>10399.469999999999</v>
      </c>
      <c r="L2826" s="3565">
        <v>13021.85</v>
      </c>
      <c r="M2826" s="3565">
        <v>0</v>
      </c>
      <c r="N2826" s="3565">
        <v>0</v>
      </c>
      <c r="O2826" s="3563" t="s">
        <v>3453</v>
      </c>
    </row>
    <row r="2827" spans="1:15">
      <c r="A2827" s="3563" t="s">
        <v>7049</v>
      </c>
      <c r="B2827" s="3563" t="s">
        <v>4196</v>
      </c>
      <c r="C2827" s="3563" t="s">
        <v>4197</v>
      </c>
      <c r="D2827" s="3563" t="s">
        <v>6429</v>
      </c>
      <c r="E2827" s="3563" t="s">
        <v>4699</v>
      </c>
      <c r="F2827" s="3563" t="s">
        <v>4797</v>
      </c>
      <c r="G2827" s="3564">
        <v>88.9</v>
      </c>
      <c r="H2827" s="3564">
        <v>71</v>
      </c>
      <c r="I2827" s="3564">
        <v>17.899999999999999</v>
      </c>
      <c r="J2827" s="3565">
        <v>942482</v>
      </c>
      <c r="K2827" s="3565">
        <v>10601.6</v>
      </c>
      <c r="L2827" s="3565">
        <v>13274.39</v>
      </c>
      <c r="M2827" s="3565">
        <v>0</v>
      </c>
      <c r="N2827" s="3565">
        <v>0</v>
      </c>
      <c r="O2827" s="3563" t="s">
        <v>3453</v>
      </c>
    </row>
    <row r="2828" spans="1:15">
      <c r="A2828" s="3563" t="s">
        <v>7050</v>
      </c>
      <c r="B2828" s="3563" t="s">
        <v>4196</v>
      </c>
      <c r="C2828" s="3563" t="s">
        <v>4197</v>
      </c>
      <c r="D2828" s="3563" t="s">
        <v>6429</v>
      </c>
      <c r="E2828" s="3563" t="s">
        <v>4699</v>
      </c>
      <c r="F2828" s="3563" t="s">
        <v>4797</v>
      </c>
      <c r="G2828" s="3564">
        <v>88.9</v>
      </c>
      <c r="H2828" s="3564">
        <v>71</v>
      </c>
      <c r="I2828" s="3564">
        <v>17.899999999999999</v>
      </c>
      <c r="J2828" s="3565">
        <v>942482</v>
      </c>
      <c r="K2828" s="3565">
        <v>10601.6</v>
      </c>
      <c r="L2828" s="3565">
        <v>13274.39</v>
      </c>
      <c r="M2828" s="3565">
        <v>0</v>
      </c>
      <c r="N2828" s="3565">
        <v>0</v>
      </c>
      <c r="O2828" s="3563" t="s">
        <v>3453</v>
      </c>
    </row>
    <row r="2829" spans="1:15">
      <c r="A2829" s="3563" t="s">
        <v>7051</v>
      </c>
      <c r="B2829" s="3563" t="s">
        <v>3453</v>
      </c>
      <c r="C2829" s="3563" t="s">
        <v>4197</v>
      </c>
      <c r="D2829" s="3563" t="s">
        <v>6429</v>
      </c>
      <c r="E2829" s="3563" t="s">
        <v>4699</v>
      </c>
      <c r="F2829" s="3563" t="s">
        <v>4797</v>
      </c>
      <c r="G2829" s="3564">
        <v>91.13</v>
      </c>
      <c r="H2829" s="3564">
        <v>72.78</v>
      </c>
      <c r="I2829" s="3564">
        <v>18.350000000000001</v>
      </c>
      <c r="J2829" s="3565">
        <v>932193</v>
      </c>
      <c r="K2829" s="3565">
        <v>10229.27</v>
      </c>
      <c r="L2829" s="3565">
        <v>12808.37</v>
      </c>
      <c r="M2829" s="3565">
        <v>0</v>
      </c>
      <c r="N2829" s="3565">
        <v>0</v>
      </c>
      <c r="O2829" s="3563" t="s">
        <v>3453</v>
      </c>
    </row>
    <row r="2830" spans="1:15">
      <c r="A2830" s="3563" t="s">
        <v>7052</v>
      </c>
      <c r="B2830" s="3563" t="s">
        <v>3453</v>
      </c>
      <c r="C2830" s="3563" t="s">
        <v>4197</v>
      </c>
      <c r="D2830" s="3563" t="s">
        <v>6429</v>
      </c>
      <c r="E2830" s="3563" t="s">
        <v>4699</v>
      </c>
      <c r="F2830" s="3563" t="s">
        <v>4797</v>
      </c>
      <c r="G2830" s="3564">
        <v>88.9</v>
      </c>
      <c r="H2830" s="3564">
        <v>71</v>
      </c>
      <c r="I2830" s="3564">
        <v>17.899999999999999</v>
      </c>
      <c r="J2830" s="3565">
        <v>909381</v>
      </c>
      <c r="K2830" s="3565">
        <v>10229.26</v>
      </c>
      <c r="L2830" s="3565">
        <v>12808.18</v>
      </c>
      <c r="M2830" s="3565">
        <v>0</v>
      </c>
      <c r="N2830" s="3565">
        <v>0</v>
      </c>
      <c r="O2830" s="3563" t="s">
        <v>3453</v>
      </c>
    </row>
    <row r="2831" spans="1:15">
      <c r="A2831" s="3563" t="s">
        <v>7053</v>
      </c>
      <c r="B2831" s="3563" t="s">
        <v>3453</v>
      </c>
      <c r="C2831" s="3563" t="s">
        <v>4197</v>
      </c>
      <c r="D2831" s="3563" t="s">
        <v>6429</v>
      </c>
      <c r="E2831" s="3563" t="s">
        <v>4699</v>
      </c>
      <c r="F2831" s="3563" t="s">
        <v>4797</v>
      </c>
      <c r="G2831" s="3564">
        <v>88.9</v>
      </c>
      <c r="H2831" s="3564">
        <v>71</v>
      </c>
      <c r="I2831" s="3564">
        <v>17.899999999999999</v>
      </c>
      <c r="J2831" s="3565">
        <v>909381</v>
      </c>
      <c r="K2831" s="3565">
        <v>10229.26</v>
      </c>
      <c r="L2831" s="3565">
        <v>12808.18</v>
      </c>
      <c r="M2831" s="3565">
        <v>0</v>
      </c>
      <c r="N2831" s="3565">
        <v>0</v>
      </c>
      <c r="O2831" s="3563" t="s">
        <v>3453</v>
      </c>
    </row>
    <row r="2832" spans="1:15">
      <c r="A2832" s="3563" t="s">
        <v>7054</v>
      </c>
      <c r="B2832" s="3563" t="s">
        <v>3453</v>
      </c>
      <c r="C2832" s="3563" t="s">
        <v>4197</v>
      </c>
      <c r="D2832" s="3563" t="s">
        <v>6429</v>
      </c>
      <c r="E2832" s="3563" t="s">
        <v>4699</v>
      </c>
      <c r="F2832" s="3563" t="s">
        <v>4797</v>
      </c>
      <c r="G2832" s="3564">
        <v>102.69</v>
      </c>
      <c r="H2832" s="3564">
        <v>82.01</v>
      </c>
      <c r="I2832" s="3564">
        <v>20.68</v>
      </c>
      <c r="J2832" s="3565">
        <v>1077754</v>
      </c>
      <c r="K2832" s="3565">
        <v>10495.22</v>
      </c>
      <c r="L2832" s="3565">
        <v>13141.74</v>
      </c>
      <c r="M2832" s="3565">
        <v>0</v>
      </c>
      <c r="N2832" s="3565">
        <v>0</v>
      </c>
      <c r="O2832" s="3563" t="s">
        <v>3453</v>
      </c>
    </row>
    <row r="2833" spans="1:15">
      <c r="A2833" s="3563" t="s">
        <v>7055</v>
      </c>
      <c r="B2833" s="3563" t="s">
        <v>4196</v>
      </c>
      <c r="C2833" s="3563" t="s">
        <v>4197</v>
      </c>
      <c r="D2833" s="3563" t="s">
        <v>6429</v>
      </c>
      <c r="E2833" s="3563" t="s">
        <v>4699</v>
      </c>
      <c r="F2833" s="3563" t="s">
        <v>4797</v>
      </c>
      <c r="G2833" s="3564">
        <v>90.23</v>
      </c>
      <c r="H2833" s="3564">
        <v>71</v>
      </c>
      <c r="I2833" s="3564">
        <v>19.23</v>
      </c>
      <c r="J2833" s="3565">
        <v>897069</v>
      </c>
      <c r="K2833" s="3565">
        <v>9942.0300000000007</v>
      </c>
      <c r="L2833" s="3565">
        <v>12634.77</v>
      </c>
      <c r="M2833" s="3565">
        <v>0</v>
      </c>
      <c r="N2833" s="3565">
        <v>0</v>
      </c>
      <c r="O2833" s="3563" t="s">
        <v>3453</v>
      </c>
    </row>
    <row r="2834" spans="1:15">
      <c r="A2834" s="3563" t="s">
        <v>7056</v>
      </c>
      <c r="B2834" s="3563" t="s">
        <v>4196</v>
      </c>
      <c r="C2834" s="3563" t="s">
        <v>4197</v>
      </c>
      <c r="D2834" s="3563" t="s">
        <v>6429</v>
      </c>
      <c r="E2834" s="3563" t="s">
        <v>4699</v>
      </c>
      <c r="F2834" s="3563" t="s">
        <v>4797</v>
      </c>
      <c r="G2834" s="3564">
        <v>90.23</v>
      </c>
      <c r="H2834" s="3564">
        <v>71</v>
      </c>
      <c r="I2834" s="3564">
        <v>19.23</v>
      </c>
      <c r="J2834" s="3565">
        <v>897069</v>
      </c>
      <c r="K2834" s="3565">
        <v>9942.0300000000007</v>
      </c>
      <c r="L2834" s="3565">
        <v>12634.77</v>
      </c>
      <c r="M2834" s="3565">
        <v>0</v>
      </c>
      <c r="N2834" s="3565">
        <v>0</v>
      </c>
      <c r="O2834" s="3563" t="s">
        <v>3453</v>
      </c>
    </row>
    <row r="2835" spans="1:15">
      <c r="A2835" s="3563" t="s">
        <v>7057</v>
      </c>
      <c r="B2835" s="3563" t="s">
        <v>4196</v>
      </c>
      <c r="C2835" s="3563" t="s">
        <v>4197</v>
      </c>
      <c r="D2835" s="3563" t="s">
        <v>6429</v>
      </c>
      <c r="E2835" s="3563" t="s">
        <v>4699</v>
      </c>
      <c r="F2835" s="3563" t="s">
        <v>4797</v>
      </c>
      <c r="G2835" s="3564">
        <v>92.49</v>
      </c>
      <c r="H2835" s="3564">
        <v>72.78</v>
      </c>
      <c r="I2835" s="3564">
        <v>19.71</v>
      </c>
      <c r="J2835" s="3565">
        <v>894940</v>
      </c>
      <c r="K2835" s="3565">
        <v>9676.07</v>
      </c>
      <c r="L2835" s="3565">
        <v>12296.51</v>
      </c>
      <c r="M2835" s="3565">
        <v>0</v>
      </c>
      <c r="N2835" s="3565">
        <v>0</v>
      </c>
      <c r="O2835" s="3563" t="s">
        <v>3453</v>
      </c>
    </row>
    <row r="2836" spans="1:15">
      <c r="A2836" s="3563" t="s">
        <v>7058</v>
      </c>
      <c r="B2836" s="3563" t="s">
        <v>4196</v>
      </c>
      <c r="C2836" s="3563" t="s">
        <v>4197</v>
      </c>
      <c r="D2836" s="3563" t="s">
        <v>6429</v>
      </c>
      <c r="E2836" s="3563" t="s">
        <v>4699</v>
      </c>
      <c r="F2836" s="3563" t="s">
        <v>4797</v>
      </c>
      <c r="G2836" s="3564">
        <v>90.23</v>
      </c>
      <c r="H2836" s="3564">
        <v>71</v>
      </c>
      <c r="I2836" s="3564">
        <v>19.23</v>
      </c>
      <c r="J2836" s="3565">
        <v>873072</v>
      </c>
      <c r="K2836" s="3565">
        <v>9676.07</v>
      </c>
      <c r="L2836" s="3565">
        <v>12296.79</v>
      </c>
      <c r="M2836" s="3565">
        <v>0</v>
      </c>
      <c r="N2836" s="3565">
        <v>0</v>
      </c>
      <c r="O2836" s="3563" t="s">
        <v>3453</v>
      </c>
    </row>
    <row r="2837" spans="1:15">
      <c r="A2837" s="3563" t="s">
        <v>7059</v>
      </c>
      <c r="B2837" s="3563" t="s">
        <v>4196</v>
      </c>
      <c r="C2837" s="3563" t="s">
        <v>4197</v>
      </c>
      <c r="D2837" s="3563" t="s">
        <v>6429</v>
      </c>
      <c r="E2837" s="3563" t="s">
        <v>4699</v>
      </c>
      <c r="F2837" s="3563" t="s">
        <v>4797</v>
      </c>
      <c r="G2837" s="3564">
        <v>90.23</v>
      </c>
      <c r="H2837" s="3564">
        <v>71</v>
      </c>
      <c r="I2837" s="3564">
        <v>19.23</v>
      </c>
      <c r="J2837" s="3565">
        <v>873072</v>
      </c>
      <c r="K2837" s="3565">
        <v>9676.07</v>
      </c>
      <c r="L2837" s="3565">
        <v>12296.79</v>
      </c>
      <c r="M2837" s="3565">
        <v>0</v>
      </c>
      <c r="N2837" s="3565">
        <v>0</v>
      </c>
      <c r="O2837" s="3563" t="s">
        <v>3453</v>
      </c>
    </row>
    <row r="2838" spans="1:15">
      <c r="A2838" s="3563" t="s">
        <v>7060</v>
      </c>
      <c r="B2838" s="3563" t="s">
        <v>4196</v>
      </c>
      <c r="C2838" s="3563" t="s">
        <v>4197</v>
      </c>
      <c r="D2838" s="3563" t="s">
        <v>6429</v>
      </c>
      <c r="E2838" s="3563" t="s">
        <v>4699</v>
      </c>
      <c r="F2838" s="3563" t="s">
        <v>4797</v>
      </c>
      <c r="G2838" s="3564">
        <v>88.9</v>
      </c>
      <c r="H2838" s="3564">
        <v>71</v>
      </c>
      <c r="I2838" s="3564">
        <v>17.899999999999999</v>
      </c>
      <c r="J2838" s="3565">
        <v>941537</v>
      </c>
      <c r="K2838" s="3565">
        <v>10590.97</v>
      </c>
      <c r="L2838" s="3565">
        <v>13261.08</v>
      </c>
      <c r="M2838" s="3565">
        <v>0</v>
      </c>
      <c r="N2838" s="3565">
        <v>0</v>
      </c>
      <c r="O2838" s="3563" t="s">
        <v>3453</v>
      </c>
    </row>
    <row r="2839" spans="1:15">
      <c r="A2839" s="3563" t="s">
        <v>7061</v>
      </c>
      <c r="B2839" s="3563" t="s">
        <v>4196</v>
      </c>
      <c r="C2839" s="3563" t="s">
        <v>4197</v>
      </c>
      <c r="D2839" s="3563" t="s">
        <v>6429</v>
      </c>
      <c r="E2839" s="3563" t="s">
        <v>4699</v>
      </c>
      <c r="F2839" s="3563" t="s">
        <v>4797</v>
      </c>
      <c r="G2839" s="3564">
        <v>88.9</v>
      </c>
      <c r="H2839" s="3564">
        <v>71</v>
      </c>
      <c r="I2839" s="3564">
        <v>17.899999999999999</v>
      </c>
      <c r="J2839" s="3565">
        <v>941537</v>
      </c>
      <c r="K2839" s="3565">
        <v>10590.97</v>
      </c>
      <c r="L2839" s="3565">
        <v>13261.08</v>
      </c>
      <c r="M2839" s="3565">
        <v>0</v>
      </c>
      <c r="N2839" s="3565">
        <v>0</v>
      </c>
      <c r="O2839" s="3563" t="s">
        <v>3453</v>
      </c>
    </row>
    <row r="2840" spans="1:15">
      <c r="A2840" s="3563" t="s">
        <v>7062</v>
      </c>
      <c r="B2840" s="3563" t="s">
        <v>3453</v>
      </c>
      <c r="C2840" s="3563" t="s">
        <v>4197</v>
      </c>
      <c r="D2840" s="3563" t="s">
        <v>6429</v>
      </c>
      <c r="E2840" s="3563" t="s">
        <v>4699</v>
      </c>
      <c r="F2840" s="3563" t="s">
        <v>4797</v>
      </c>
      <c r="G2840" s="3564">
        <v>91.13</v>
      </c>
      <c r="H2840" s="3564">
        <v>72.78</v>
      </c>
      <c r="I2840" s="3564">
        <v>18.350000000000001</v>
      </c>
      <c r="J2840" s="3565">
        <v>931223</v>
      </c>
      <c r="K2840" s="3565">
        <v>10218.620000000001</v>
      </c>
      <c r="L2840" s="3565">
        <v>12795.04</v>
      </c>
      <c r="M2840" s="3565">
        <v>0</v>
      </c>
      <c r="N2840" s="3565">
        <v>0</v>
      </c>
      <c r="O2840" s="3563" t="s">
        <v>3453</v>
      </c>
    </row>
    <row r="2841" spans="1:15">
      <c r="A2841" s="3563" t="s">
        <v>7063</v>
      </c>
      <c r="B2841" s="3563" t="s">
        <v>4196</v>
      </c>
      <c r="C2841" s="3563" t="s">
        <v>4197</v>
      </c>
      <c r="D2841" s="3563" t="s">
        <v>6429</v>
      </c>
      <c r="E2841" s="3563" t="s">
        <v>4699</v>
      </c>
      <c r="F2841" s="3563" t="s">
        <v>4797</v>
      </c>
      <c r="G2841" s="3564">
        <v>88.9</v>
      </c>
      <c r="H2841" s="3564">
        <v>71</v>
      </c>
      <c r="I2841" s="3564">
        <v>17.899999999999999</v>
      </c>
      <c r="J2841" s="3565">
        <v>908436</v>
      </c>
      <c r="K2841" s="3565">
        <v>10218.629999999999</v>
      </c>
      <c r="L2841" s="3565">
        <v>12794.87</v>
      </c>
      <c r="M2841" s="3565">
        <v>0</v>
      </c>
      <c r="N2841" s="3565">
        <v>0</v>
      </c>
      <c r="O2841" s="3563" t="s">
        <v>3453</v>
      </c>
    </row>
    <row r="2842" spans="1:15">
      <c r="A2842" s="3563" t="s">
        <v>7064</v>
      </c>
      <c r="B2842" s="3563" t="s">
        <v>4196</v>
      </c>
      <c r="C2842" s="3563" t="s">
        <v>4197</v>
      </c>
      <c r="D2842" s="3563" t="s">
        <v>6429</v>
      </c>
      <c r="E2842" s="3563" t="s">
        <v>4699</v>
      </c>
      <c r="F2842" s="3563" t="s">
        <v>4797</v>
      </c>
      <c r="G2842" s="3564">
        <v>88.9</v>
      </c>
      <c r="H2842" s="3564">
        <v>71</v>
      </c>
      <c r="I2842" s="3564">
        <v>17.899999999999999</v>
      </c>
      <c r="J2842" s="3565">
        <v>908436</v>
      </c>
      <c r="K2842" s="3565">
        <v>10218.629999999999</v>
      </c>
      <c r="L2842" s="3565">
        <v>12794.87</v>
      </c>
      <c r="M2842" s="3565">
        <v>0</v>
      </c>
      <c r="N2842" s="3565">
        <v>0</v>
      </c>
      <c r="O2842" s="3563" t="s">
        <v>3453</v>
      </c>
    </row>
    <row r="2843" spans="1:15">
      <c r="A2843" s="3563" t="s">
        <v>7065</v>
      </c>
      <c r="B2843" s="3563" t="s">
        <v>4196</v>
      </c>
      <c r="C2843" s="3563" t="s">
        <v>4197</v>
      </c>
      <c r="D2843" s="3563" t="s">
        <v>6429</v>
      </c>
      <c r="E2843" s="3563" t="s">
        <v>4699</v>
      </c>
      <c r="F2843" s="3563" t="s">
        <v>4797</v>
      </c>
      <c r="G2843" s="3564">
        <v>102.69</v>
      </c>
      <c r="H2843" s="3564">
        <v>82.01</v>
      </c>
      <c r="I2843" s="3564">
        <v>20.68</v>
      </c>
      <c r="J2843" s="3565">
        <v>1076661</v>
      </c>
      <c r="K2843" s="3565">
        <v>10484.57</v>
      </c>
      <c r="L2843" s="3565">
        <v>13128.41</v>
      </c>
      <c r="M2843" s="3565">
        <v>0</v>
      </c>
      <c r="N2843" s="3565">
        <v>0</v>
      </c>
      <c r="O2843" s="3563" t="s">
        <v>3453</v>
      </c>
    </row>
    <row r="2844" spans="1:15">
      <c r="A2844" s="3563" t="s">
        <v>7066</v>
      </c>
      <c r="B2844" s="3563" t="s">
        <v>4196</v>
      </c>
      <c r="C2844" s="3563" t="s">
        <v>4197</v>
      </c>
      <c r="D2844" s="3563" t="s">
        <v>6429</v>
      </c>
      <c r="E2844" s="3563" t="s">
        <v>4699</v>
      </c>
      <c r="F2844" s="3563" t="s">
        <v>4797</v>
      </c>
      <c r="G2844" s="3564">
        <v>88.9</v>
      </c>
      <c r="H2844" s="3564">
        <v>71</v>
      </c>
      <c r="I2844" s="3564">
        <v>17.899999999999999</v>
      </c>
      <c r="J2844" s="3565">
        <v>912219</v>
      </c>
      <c r="K2844" s="3565">
        <v>10261.18</v>
      </c>
      <c r="L2844" s="3565">
        <v>12848.15</v>
      </c>
      <c r="M2844" s="3565">
        <v>0</v>
      </c>
      <c r="N2844" s="3565">
        <v>0</v>
      </c>
      <c r="O2844" s="3563" t="s">
        <v>3453</v>
      </c>
    </row>
    <row r="2845" spans="1:15">
      <c r="A2845" s="3563" t="s">
        <v>7067</v>
      </c>
      <c r="B2845" s="3563" t="s">
        <v>4196</v>
      </c>
      <c r="C2845" s="3563" t="s">
        <v>4197</v>
      </c>
      <c r="D2845" s="3563" t="s">
        <v>6429</v>
      </c>
      <c r="E2845" s="3563" t="s">
        <v>4699</v>
      </c>
      <c r="F2845" s="3563" t="s">
        <v>4797</v>
      </c>
      <c r="G2845" s="3564">
        <v>88.9</v>
      </c>
      <c r="H2845" s="3564">
        <v>71</v>
      </c>
      <c r="I2845" s="3564">
        <v>17.899999999999999</v>
      </c>
      <c r="J2845" s="3565">
        <v>912219</v>
      </c>
      <c r="K2845" s="3565">
        <v>10261.18</v>
      </c>
      <c r="L2845" s="3565">
        <v>12848.15</v>
      </c>
      <c r="M2845" s="3565">
        <v>0</v>
      </c>
      <c r="N2845" s="3565">
        <v>0</v>
      </c>
      <c r="O2845" s="3563" t="s">
        <v>3453</v>
      </c>
    </row>
    <row r="2846" spans="1:15">
      <c r="A2846" s="3563" t="s">
        <v>7068</v>
      </c>
      <c r="B2846" s="3563" t="s">
        <v>3453</v>
      </c>
      <c r="C2846" s="3563" t="s">
        <v>4197</v>
      </c>
      <c r="D2846" s="3563" t="s">
        <v>6429</v>
      </c>
      <c r="E2846" s="3563" t="s">
        <v>4699</v>
      </c>
      <c r="F2846" s="3563" t="s">
        <v>4797</v>
      </c>
      <c r="G2846" s="3564">
        <v>91.13</v>
      </c>
      <c r="H2846" s="3564">
        <v>72.78</v>
      </c>
      <c r="I2846" s="3564">
        <v>18.350000000000001</v>
      </c>
      <c r="J2846" s="3565">
        <v>901170</v>
      </c>
      <c r="K2846" s="3565">
        <v>9888.84</v>
      </c>
      <c r="L2846" s="3565">
        <v>12382.11</v>
      </c>
      <c r="M2846" s="3565">
        <v>0</v>
      </c>
      <c r="N2846" s="3565">
        <v>0</v>
      </c>
      <c r="O2846" s="3563" t="s">
        <v>3453</v>
      </c>
    </row>
    <row r="2847" spans="1:15">
      <c r="A2847" s="3563" t="s">
        <v>7069</v>
      </c>
      <c r="B2847" s="3563" t="s">
        <v>4196</v>
      </c>
      <c r="C2847" s="3563" t="s">
        <v>4197</v>
      </c>
      <c r="D2847" s="3563" t="s">
        <v>6429</v>
      </c>
      <c r="E2847" s="3563" t="s">
        <v>4699</v>
      </c>
      <c r="F2847" s="3563" t="s">
        <v>4797</v>
      </c>
      <c r="G2847" s="3564">
        <v>88.9</v>
      </c>
      <c r="H2847" s="3564">
        <v>71</v>
      </c>
      <c r="I2847" s="3564">
        <v>17.899999999999999</v>
      </c>
      <c r="J2847" s="3565">
        <v>879118</v>
      </c>
      <c r="K2847" s="3565">
        <v>9888.84</v>
      </c>
      <c r="L2847" s="3565">
        <v>12381.94</v>
      </c>
      <c r="M2847" s="3565">
        <v>0</v>
      </c>
      <c r="N2847" s="3565">
        <v>0</v>
      </c>
      <c r="O2847" s="3563" t="s">
        <v>3453</v>
      </c>
    </row>
    <row r="2848" spans="1:15">
      <c r="A2848" s="3563" t="s">
        <v>7070</v>
      </c>
      <c r="B2848" s="3563" t="s">
        <v>4196</v>
      </c>
      <c r="C2848" s="3563" t="s">
        <v>4197</v>
      </c>
      <c r="D2848" s="3563" t="s">
        <v>6429</v>
      </c>
      <c r="E2848" s="3563" t="s">
        <v>4699</v>
      </c>
      <c r="F2848" s="3563" t="s">
        <v>4797</v>
      </c>
      <c r="G2848" s="3564">
        <v>88.9</v>
      </c>
      <c r="H2848" s="3564">
        <v>71</v>
      </c>
      <c r="I2848" s="3564">
        <v>17.899999999999999</v>
      </c>
      <c r="J2848" s="3565">
        <v>879118</v>
      </c>
      <c r="K2848" s="3565">
        <v>9888.84</v>
      </c>
      <c r="L2848" s="3565">
        <v>12381.94</v>
      </c>
      <c r="M2848" s="3565">
        <v>0</v>
      </c>
      <c r="N2848" s="3565">
        <v>0</v>
      </c>
      <c r="O2848" s="3563" t="s">
        <v>3453</v>
      </c>
    </row>
    <row r="2849" spans="1:15">
      <c r="A2849" s="3563" t="s">
        <v>7071</v>
      </c>
      <c r="B2849" s="3563" t="s">
        <v>4196</v>
      </c>
      <c r="C2849" s="3563" t="s">
        <v>4197</v>
      </c>
      <c r="D2849" s="3563" t="s">
        <v>6429</v>
      </c>
      <c r="E2849" s="3563" t="s">
        <v>4699</v>
      </c>
      <c r="F2849" s="3563" t="s">
        <v>4797</v>
      </c>
      <c r="G2849" s="3564">
        <v>102.69</v>
      </c>
      <c r="H2849" s="3564">
        <v>82.01</v>
      </c>
      <c r="I2849" s="3564">
        <v>20.68</v>
      </c>
      <c r="J2849" s="3565">
        <v>1042795</v>
      </c>
      <c r="K2849" s="3565">
        <v>10154.790000000001</v>
      </c>
      <c r="L2849" s="3565">
        <v>12715.46</v>
      </c>
      <c r="M2849" s="3565">
        <v>0</v>
      </c>
      <c r="N2849" s="3565">
        <v>0</v>
      </c>
      <c r="O2849" s="3563" t="s">
        <v>3453</v>
      </c>
    </row>
    <row r="2850" spans="1:15">
      <c r="A2850" s="3563" t="s">
        <v>7072</v>
      </c>
      <c r="B2850" s="3563" t="s">
        <v>4196</v>
      </c>
      <c r="C2850" s="3563" t="s">
        <v>4197</v>
      </c>
      <c r="D2850" s="3563" t="s">
        <v>6429</v>
      </c>
      <c r="E2850" s="3563" t="s">
        <v>4699</v>
      </c>
      <c r="F2850" s="3563" t="s">
        <v>4797</v>
      </c>
      <c r="G2850" s="3564">
        <v>88.9</v>
      </c>
      <c r="H2850" s="3564">
        <v>71</v>
      </c>
      <c r="I2850" s="3564">
        <v>17.899999999999999</v>
      </c>
      <c r="J2850" s="3565">
        <v>895195</v>
      </c>
      <c r="K2850" s="3565">
        <v>10069.69</v>
      </c>
      <c r="L2850" s="3565">
        <v>12608.38</v>
      </c>
      <c r="M2850" s="3565">
        <v>0</v>
      </c>
      <c r="N2850" s="3565">
        <v>0</v>
      </c>
      <c r="O2850" s="3563" t="s">
        <v>3453</v>
      </c>
    </row>
    <row r="2851" spans="1:15">
      <c r="A2851" s="3563" t="s">
        <v>7073</v>
      </c>
      <c r="B2851" s="3563" t="s">
        <v>4196</v>
      </c>
      <c r="C2851" s="3563" t="s">
        <v>4197</v>
      </c>
      <c r="D2851" s="3563" t="s">
        <v>6429</v>
      </c>
      <c r="E2851" s="3563" t="s">
        <v>4699</v>
      </c>
      <c r="F2851" s="3563" t="s">
        <v>4797</v>
      </c>
      <c r="G2851" s="3564">
        <v>88.9</v>
      </c>
      <c r="H2851" s="3564">
        <v>71</v>
      </c>
      <c r="I2851" s="3564">
        <v>17.899999999999999</v>
      </c>
      <c r="J2851" s="3565">
        <v>895195</v>
      </c>
      <c r="K2851" s="3565">
        <v>10069.69</v>
      </c>
      <c r="L2851" s="3565">
        <v>12608.38</v>
      </c>
      <c r="M2851" s="3565">
        <v>0</v>
      </c>
      <c r="N2851" s="3565">
        <v>0</v>
      </c>
      <c r="O2851" s="3563" t="s">
        <v>3453</v>
      </c>
    </row>
    <row r="2852" spans="1:15">
      <c r="A2852" s="3563" t="s">
        <v>7074</v>
      </c>
      <c r="B2852" s="3563" t="s">
        <v>4196</v>
      </c>
      <c r="C2852" s="3563" t="s">
        <v>4197</v>
      </c>
      <c r="D2852" s="3563" t="s">
        <v>6429</v>
      </c>
      <c r="E2852" s="3563" t="s">
        <v>4699</v>
      </c>
      <c r="F2852" s="3563" t="s">
        <v>4797</v>
      </c>
      <c r="G2852" s="3564">
        <v>91.13</v>
      </c>
      <c r="H2852" s="3564">
        <v>72.78</v>
      </c>
      <c r="I2852" s="3564">
        <v>18.350000000000001</v>
      </c>
      <c r="J2852" s="3565">
        <v>893414</v>
      </c>
      <c r="K2852" s="3565">
        <v>9803.73</v>
      </c>
      <c r="L2852" s="3565">
        <v>12275.54</v>
      </c>
      <c r="M2852" s="3565">
        <v>0</v>
      </c>
      <c r="N2852" s="3565">
        <v>0</v>
      </c>
      <c r="O2852" s="3563" t="s">
        <v>3453</v>
      </c>
    </row>
    <row r="2853" spans="1:15">
      <c r="A2853" s="3563" t="s">
        <v>7075</v>
      </c>
      <c r="B2853" s="3563" t="s">
        <v>4196</v>
      </c>
      <c r="C2853" s="3563" t="s">
        <v>4197</v>
      </c>
      <c r="D2853" s="3563" t="s">
        <v>6429</v>
      </c>
      <c r="E2853" s="3563" t="s">
        <v>4699</v>
      </c>
      <c r="F2853" s="3563" t="s">
        <v>4797</v>
      </c>
      <c r="G2853" s="3564">
        <v>88.9</v>
      </c>
      <c r="H2853" s="3564">
        <v>71</v>
      </c>
      <c r="I2853" s="3564">
        <v>17.899999999999999</v>
      </c>
      <c r="J2853" s="3565">
        <v>871552</v>
      </c>
      <c r="K2853" s="3565">
        <v>9803.73</v>
      </c>
      <c r="L2853" s="3565">
        <v>12275.38</v>
      </c>
      <c r="M2853" s="3565">
        <v>0</v>
      </c>
      <c r="N2853" s="3565">
        <v>0</v>
      </c>
      <c r="O2853" s="3563" t="s">
        <v>3453</v>
      </c>
    </row>
    <row r="2854" spans="1:15">
      <c r="A2854" s="3563" t="s">
        <v>7076</v>
      </c>
      <c r="B2854" s="3563" t="s">
        <v>4196</v>
      </c>
      <c r="C2854" s="3563" t="s">
        <v>4197</v>
      </c>
      <c r="D2854" s="3563" t="s">
        <v>6429</v>
      </c>
      <c r="E2854" s="3563" t="s">
        <v>4699</v>
      </c>
      <c r="F2854" s="3563" t="s">
        <v>4797</v>
      </c>
      <c r="G2854" s="3564">
        <v>88.9</v>
      </c>
      <c r="H2854" s="3564">
        <v>71</v>
      </c>
      <c r="I2854" s="3564">
        <v>17.899999999999999</v>
      </c>
      <c r="J2854" s="3565">
        <v>871552</v>
      </c>
      <c r="K2854" s="3565">
        <v>9803.73</v>
      </c>
      <c r="L2854" s="3565">
        <v>12275.38</v>
      </c>
      <c r="M2854" s="3565">
        <v>0</v>
      </c>
      <c r="N2854" s="3565">
        <v>0</v>
      </c>
      <c r="O2854" s="3563" t="s">
        <v>3453</v>
      </c>
    </row>
    <row r="2855" spans="1:15">
      <c r="A2855" s="3563" t="s">
        <v>7077</v>
      </c>
      <c r="B2855" s="3563" t="s">
        <v>4196</v>
      </c>
      <c r="C2855" s="3563" t="s">
        <v>4197</v>
      </c>
      <c r="D2855" s="3563" t="s">
        <v>6429</v>
      </c>
      <c r="E2855" s="3563" t="s">
        <v>4699</v>
      </c>
      <c r="F2855" s="3563" t="s">
        <v>4797</v>
      </c>
      <c r="G2855" s="3564">
        <v>102.69</v>
      </c>
      <c r="H2855" s="3564">
        <v>82.01</v>
      </c>
      <c r="I2855" s="3564">
        <v>20.68</v>
      </c>
      <c r="J2855" s="3565">
        <v>1044980</v>
      </c>
      <c r="K2855" s="3565">
        <v>10176.06</v>
      </c>
      <c r="L2855" s="3565">
        <v>12742.1</v>
      </c>
      <c r="M2855" s="3565">
        <v>0</v>
      </c>
      <c r="N2855" s="3565">
        <v>0</v>
      </c>
      <c r="O2855" s="3563" t="s">
        <v>3453</v>
      </c>
    </row>
    <row r="2856" spans="1:15">
      <c r="A2856" s="3563" t="s">
        <v>7078</v>
      </c>
      <c r="B2856" s="3563" t="s">
        <v>4196</v>
      </c>
      <c r="C2856" s="3563" t="s">
        <v>4197</v>
      </c>
      <c r="D2856" s="3563" t="s">
        <v>6429</v>
      </c>
      <c r="E2856" s="3563" t="s">
        <v>4699</v>
      </c>
      <c r="F2856" s="3563" t="s">
        <v>4797</v>
      </c>
      <c r="G2856" s="3564">
        <v>88.9</v>
      </c>
      <c r="H2856" s="3564">
        <v>71</v>
      </c>
      <c r="I2856" s="3564">
        <v>17.899999999999999</v>
      </c>
      <c r="J2856" s="3565">
        <v>906544</v>
      </c>
      <c r="K2856" s="3565">
        <v>10197.35</v>
      </c>
      <c r="L2856" s="3565">
        <v>12768.23</v>
      </c>
      <c r="M2856" s="3565">
        <v>0</v>
      </c>
      <c r="N2856" s="3565">
        <v>0</v>
      </c>
      <c r="O2856" s="3563" t="s">
        <v>3453</v>
      </c>
    </row>
    <row r="2857" spans="1:15">
      <c r="A2857" s="3563" t="s">
        <v>7079</v>
      </c>
      <c r="B2857" s="3563" t="s">
        <v>4196</v>
      </c>
      <c r="C2857" s="3563" t="s">
        <v>4197</v>
      </c>
      <c r="D2857" s="3563" t="s">
        <v>6429</v>
      </c>
      <c r="E2857" s="3563" t="s">
        <v>4699</v>
      </c>
      <c r="F2857" s="3563" t="s">
        <v>4797</v>
      </c>
      <c r="G2857" s="3564">
        <v>88.9</v>
      </c>
      <c r="H2857" s="3564">
        <v>71</v>
      </c>
      <c r="I2857" s="3564">
        <v>17.899999999999999</v>
      </c>
      <c r="J2857" s="3565">
        <v>906544</v>
      </c>
      <c r="K2857" s="3565">
        <v>10197.35</v>
      </c>
      <c r="L2857" s="3565">
        <v>12768.23</v>
      </c>
      <c r="M2857" s="3565">
        <v>0</v>
      </c>
      <c r="N2857" s="3565">
        <v>0</v>
      </c>
      <c r="O2857" s="3563" t="s">
        <v>3453</v>
      </c>
    </row>
    <row r="2858" spans="1:15">
      <c r="A2858" s="3563" t="s">
        <v>7080</v>
      </c>
      <c r="B2858" s="3563" t="s">
        <v>4196</v>
      </c>
      <c r="C2858" s="3563" t="s">
        <v>4197</v>
      </c>
      <c r="D2858" s="3563" t="s">
        <v>6429</v>
      </c>
      <c r="E2858" s="3563" t="s">
        <v>4699</v>
      </c>
      <c r="F2858" s="3563" t="s">
        <v>4797</v>
      </c>
      <c r="G2858" s="3564">
        <v>91.13</v>
      </c>
      <c r="H2858" s="3564">
        <v>72.78</v>
      </c>
      <c r="I2858" s="3564">
        <v>18.350000000000001</v>
      </c>
      <c r="J2858" s="3565">
        <v>905047</v>
      </c>
      <c r="K2858" s="3565">
        <v>9931.3799999999992</v>
      </c>
      <c r="L2858" s="3565">
        <v>12435.38</v>
      </c>
      <c r="M2858" s="3565">
        <v>0</v>
      </c>
      <c r="N2858" s="3565">
        <v>0</v>
      </c>
      <c r="O2858" s="3563" t="s">
        <v>3453</v>
      </c>
    </row>
    <row r="2859" spans="1:15">
      <c r="A2859" s="3563" t="s">
        <v>7081</v>
      </c>
      <c r="B2859" s="3563" t="s">
        <v>4196</v>
      </c>
      <c r="C2859" s="3563" t="s">
        <v>4197</v>
      </c>
      <c r="D2859" s="3563" t="s">
        <v>6429</v>
      </c>
      <c r="E2859" s="3563" t="s">
        <v>4699</v>
      </c>
      <c r="F2859" s="3563" t="s">
        <v>4797</v>
      </c>
      <c r="G2859" s="3564">
        <v>88.9</v>
      </c>
      <c r="H2859" s="3564">
        <v>71</v>
      </c>
      <c r="I2859" s="3564">
        <v>17.899999999999999</v>
      </c>
      <c r="J2859" s="3565">
        <v>882900</v>
      </c>
      <c r="K2859" s="3565">
        <v>9931.3799999999992</v>
      </c>
      <c r="L2859" s="3565">
        <v>12435.21</v>
      </c>
      <c r="M2859" s="3565">
        <v>0</v>
      </c>
      <c r="N2859" s="3565">
        <v>0</v>
      </c>
      <c r="O2859" s="3563" t="s">
        <v>3453</v>
      </c>
    </row>
    <row r="2860" spans="1:15">
      <c r="A2860" s="3563" t="s">
        <v>7082</v>
      </c>
      <c r="B2860" s="3563" t="s">
        <v>4196</v>
      </c>
      <c r="C2860" s="3563" t="s">
        <v>4197</v>
      </c>
      <c r="D2860" s="3563" t="s">
        <v>6429</v>
      </c>
      <c r="E2860" s="3563" t="s">
        <v>4699</v>
      </c>
      <c r="F2860" s="3563" t="s">
        <v>4797</v>
      </c>
      <c r="G2860" s="3564">
        <v>88.9</v>
      </c>
      <c r="H2860" s="3564">
        <v>71</v>
      </c>
      <c r="I2860" s="3564">
        <v>17.899999999999999</v>
      </c>
      <c r="J2860" s="3565">
        <v>882900</v>
      </c>
      <c r="K2860" s="3565">
        <v>9931.3799999999992</v>
      </c>
      <c r="L2860" s="3565">
        <v>12435.21</v>
      </c>
      <c r="M2860" s="3565">
        <v>0</v>
      </c>
      <c r="N2860" s="3565">
        <v>0</v>
      </c>
      <c r="O2860" s="3563" t="s">
        <v>3453</v>
      </c>
    </row>
    <row r="2861" spans="1:15">
      <c r="A2861" s="3563" t="s">
        <v>7083</v>
      </c>
      <c r="B2861" s="3563" t="s">
        <v>4196</v>
      </c>
      <c r="C2861" s="3563" t="s">
        <v>4197</v>
      </c>
      <c r="D2861" s="3563" t="s">
        <v>6429</v>
      </c>
      <c r="E2861" s="3563" t="s">
        <v>4699</v>
      </c>
      <c r="F2861" s="3563" t="s">
        <v>4797</v>
      </c>
      <c r="G2861" s="3564">
        <v>102.69</v>
      </c>
      <c r="H2861" s="3564">
        <v>82.01</v>
      </c>
      <c r="I2861" s="3564">
        <v>20.68</v>
      </c>
      <c r="J2861" s="3565">
        <v>1058090</v>
      </c>
      <c r="K2861" s="3565">
        <v>10303.73</v>
      </c>
      <c r="L2861" s="3565">
        <v>12901.96</v>
      </c>
      <c r="M2861" s="3565">
        <v>0</v>
      </c>
      <c r="N2861" s="3565">
        <v>0</v>
      </c>
      <c r="O2861" s="3563" t="s">
        <v>3453</v>
      </c>
    </row>
    <row r="2862" spans="1:15">
      <c r="A2862" s="3563" t="s">
        <v>7084</v>
      </c>
      <c r="B2862" s="3563" t="s">
        <v>4196</v>
      </c>
      <c r="C2862" s="3563" t="s">
        <v>4197</v>
      </c>
      <c r="D2862" s="3563" t="s">
        <v>6429</v>
      </c>
      <c r="E2862" s="3563" t="s">
        <v>4699</v>
      </c>
      <c r="F2862" s="3563" t="s">
        <v>4797</v>
      </c>
      <c r="G2862" s="3564">
        <v>88.9</v>
      </c>
      <c r="H2862" s="3564">
        <v>71</v>
      </c>
      <c r="I2862" s="3564">
        <v>17.899999999999999</v>
      </c>
      <c r="J2862" s="3565">
        <v>917893</v>
      </c>
      <c r="K2862" s="3565">
        <v>10325.01</v>
      </c>
      <c r="L2862" s="3565">
        <v>12928.07</v>
      </c>
      <c r="M2862" s="3565">
        <v>0</v>
      </c>
      <c r="N2862" s="3565">
        <v>0</v>
      </c>
      <c r="O2862" s="3563" t="s">
        <v>3453</v>
      </c>
    </row>
    <row r="2863" spans="1:15">
      <c r="A2863" s="3563" t="s">
        <v>7085</v>
      </c>
      <c r="B2863" s="3563" t="s">
        <v>4196</v>
      </c>
      <c r="C2863" s="3563" t="s">
        <v>4197</v>
      </c>
      <c r="D2863" s="3563" t="s">
        <v>6429</v>
      </c>
      <c r="E2863" s="3563" t="s">
        <v>4699</v>
      </c>
      <c r="F2863" s="3563" t="s">
        <v>4797</v>
      </c>
      <c r="G2863" s="3564">
        <v>88.9</v>
      </c>
      <c r="H2863" s="3564">
        <v>71</v>
      </c>
      <c r="I2863" s="3564">
        <v>17.899999999999999</v>
      </c>
      <c r="J2863" s="3565">
        <v>917893</v>
      </c>
      <c r="K2863" s="3565">
        <v>10325.01</v>
      </c>
      <c r="L2863" s="3565">
        <v>12928.07</v>
      </c>
      <c r="M2863" s="3565">
        <v>0</v>
      </c>
      <c r="N2863" s="3565">
        <v>0</v>
      </c>
      <c r="O2863" s="3563" t="s">
        <v>3453</v>
      </c>
    </row>
    <row r="2864" spans="1:15">
      <c r="A2864" s="3563" t="s">
        <v>7086</v>
      </c>
      <c r="B2864" s="3563" t="s">
        <v>4196</v>
      </c>
      <c r="C2864" s="3563" t="s">
        <v>4197</v>
      </c>
      <c r="D2864" s="3563" t="s">
        <v>6429</v>
      </c>
      <c r="E2864" s="3563" t="s">
        <v>4699</v>
      </c>
      <c r="F2864" s="3563" t="s">
        <v>4797</v>
      </c>
      <c r="G2864" s="3564">
        <v>91.13</v>
      </c>
      <c r="H2864" s="3564">
        <v>72.78</v>
      </c>
      <c r="I2864" s="3564">
        <v>18.350000000000001</v>
      </c>
      <c r="J2864" s="3565">
        <v>916681</v>
      </c>
      <c r="K2864" s="3565">
        <v>10059.049999999999</v>
      </c>
      <c r="L2864" s="3565">
        <v>12595.23</v>
      </c>
      <c r="M2864" s="3565">
        <v>0</v>
      </c>
      <c r="N2864" s="3565">
        <v>0</v>
      </c>
      <c r="O2864" s="3563" t="s">
        <v>3453</v>
      </c>
    </row>
    <row r="2865" spans="1:15">
      <c r="A2865" s="3563" t="s">
        <v>7087</v>
      </c>
      <c r="B2865" s="3563" t="s">
        <v>4196</v>
      </c>
      <c r="C2865" s="3563" t="s">
        <v>4197</v>
      </c>
      <c r="D2865" s="3563" t="s">
        <v>6429</v>
      </c>
      <c r="E2865" s="3563" t="s">
        <v>4699</v>
      </c>
      <c r="F2865" s="3563" t="s">
        <v>4797</v>
      </c>
      <c r="G2865" s="3564">
        <v>88.9</v>
      </c>
      <c r="H2865" s="3564">
        <v>71</v>
      </c>
      <c r="I2865" s="3564">
        <v>17.899999999999999</v>
      </c>
      <c r="J2865" s="3565">
        <v>894249</v>
      </c>
      <c r="K2865" s="3565">
        <v>10059.040000000001</v>
      </c>
      <c r="L2865" s="3565">
        <v>12595.06</v>
      </c>
      <c r="M2865" s="3565">
        <v>0</v>
      </c>
      <c r="N2865" s="3565">
        <v>0</v>
      </c>
      <c r="O2865" s="3563" t="s">
        <v>3453</v>
      </c>
    </row>
    <row r="2866" spans="1:15">
      <c r="A2866" s="3563" t="s">
        <v>7088</v>
      </c>
      <c r="B2866" s="3563" t="s">
        <v>4196</v>
      </c>
      <c r="C2866" s="3563" t="s">
        <v>4197</v>
      </c>
      <c r="D2866" s="3563" t="s">
        <v>6429</v>
      </c>
      <c r="E2866" s="3563" t="s">
        <v>4699</v>
      </c>
      <c r="F2866" s="3563" t="s">
        <v>4797</v>
      </c>
      <c r="G2866" s="3564">
        <v>88.9</v>
      </c>
      <c r="H2866" s="3564">
        <v>71</v>
      </c>
      <c r="I2866" s="3564">
        <v>17.899999999999999</v>
      </c>
      <c r="J2866" s="3565">
        <v>894249</v>
      </c>
      <c r="K2866" s="3565">
        <v>10059.040000000001</v>
      </c>
      <c r="L2866" s="3565">
        <v>12595.06</v>
      </c>
      <c r="M2866" s="3565">
        <v>0</v>
      </c>
      <c r="N2866" s="3565">
        <v>0</v>
      </c>
      <c r="O2866" s="3563" t="s">
        <v>3453</v>
      </c>
    </row>
    <row r="2867" spans="1:15">
      <c r="A2867" s="3563" t="s">
        <v>7089</v>
      </c>
      <c r="B2867" s="3563" t="s">
        <v>4196</v>
      </c>
      <c r="C2867" s="3563" t="s">
        <v>4197</v>
      </c>
      <c r="D2867" s="3563" t="s">
        <v>6429</v>
      </c>
      <c r="E2867" s="3563" t="s">
        <v>4699</v>
      </c>
      <c r="F2867" s="3563" t="s">
        <v>4797</v>
      </c>
      <c r="G2867" s="3564">
        <v>102.69</v>
      </c>
      <c r="H2867" s="3564">
        <v>82.01</v>
      </c>
      <c r="I2867" s="3564">
        <v>20.68</v>
      </c>
      <c r="J2867" s="3565">
        <v>1071199</v>
      </c>
      <c r="K2867" s="3565">
        <v>10431.39</v>
      </c>
      <c r="L2867" s="3565">
        <v>13061.81</v>
      </c>
      <c r="M2867" s="3565">
        <v>0</v>
      </c>
      <c r="N2867" s="3565">
        <v>0</v>
      </c>
      <c r="O2867" s="3563" t="s">
        <v>3453</v>
      </c>
    </row>
    <row r="2868" spans="1:15">
      <c r="A2868" s="3563" t="s">
        <v>7090</v>
      </c>
      <c r="B2868" s="3563" t="s">
        <v>4196</v>
      </c>
      <c r="C2868" s="3563" t="s">
        <v>4197</v>
      </c>
      <c r="D2868" s="3563" t="s">
        <v>6429</v>
      </c>
      <c r="E2868" s="3563" t="s">
        <v>4699</v>
      </c>
      <c r="F2868" s="3563" t="s">
        <v>4797</v>
      </c>
      <c r="G2868" s="3564">
        <v>88.9</v>
      </c>
      <c r="H2868" s="3564">
        <v>71</v>
      </c>
      <c r="I2868" s="3564">
        <v>17.899999999999999</v>
      </c>
      <c r="J2868" s="3565">
        <v>918839</v>
      </c>
      <c r="K2868" s="3565">
        <v>10335.65</v>
      </c>
      <c r="L2868" s="3565">
        <v>12941.39</v>
      </c>
      <c r="M2868" s="3565">
        <v>0</v>
      </c>
      <c r="N2868" s="3565">
        <v>0</v>
      </c>
      <c r="O2868" s="3563" t="s">
        <v>3453</v>
      </c>
    </row>
    <row r="2869" spans="1:15">
      <c r="A2869" s="3563" t="s">
        <v>7091</v>
      </c>
      <c r="B2869" s="3563" t="s">
        <v>4196</v>
      </c>
      <c r="C2869" s="3563" t="s">
        <v>4197</v>
      </c>
      <c r="D2869" s="3563" t="s">
        <v>6429</v>
      </c>
      <c r="E2869" s="3563" t="s">
        <v>4699</v>
      </c>
      <c r="F2869" s="3563" t="s">
        <v>4797</v>
      </c>
      <c r="G2869" s="3564">
        <v>88.9</v>
      </c>
      <c r="H2869" s="3564">
        <v>71</v>
      </c>
      <c r="I2869" s="3564">
        <v>17.899999999999999</v>
      </c>
      <c r="J2869" s="3565">
        <v>918839</v>
      </c>
      <c r="K2869" s="3565">
        <v>10335.65</v>
      </c>
      <c r="L2869" s="3565">
        <v>12941.39</v>
      </c>
      <c r="M2869" s="3565">
        <v>0</v>
      </c>
      <c r="N2869" s="3565">
        <v>0</v>
      </c>
      <c r="O2869" s="3563" t="s">
        <v>3453</v>
      </c>
    </row>
    <row r="2870" spans="1:15">
      <c r="A2870" s="3563" t="s">
        <v>7092</v>
      </c>
      <c r="B2870" s="3563" t="s">
        <v>4196</v>
      </c>
      <c r="C2870" s="3563" t="s">
        <v>4197</v>
      </c>
      <c r="D2870" s="3563" t="s">
        <v>6429</v>
      </c>
      <c r="E2870" s="3563" t="s">
        <v>4699</v>
      </c>
      <c r="F2870" s="3563" t="s">
        <v>4797</v>
      </c>
      <c r="G2870" s="3564">
        <v>91.13</v>
      </c>
      <c r="H2870" s="3564">
        <v>72.78</v>
      </c>
      <c r="I2870" s="3564">
        <v>18.350000000000001</v>
      </c>
      <c r="J2870" s="3565">
        <v>917650</v>
      </c>
      <c r="K2870" s="3565">
        <v>10069.68</v>
      </c>
      <c r="L2870" s="3565">
        <v>12608.55</v>
      </c>
      <c r="M2870" s="3565">
        <v>0</v>
      </c>
      <c r="N2870" s="3565">
        <v>0</v>
      </c>
      <c r="O2870" s="3563" t="s">
        <v>3453</v>
      </c>
    </row>
    <row r="2871" spans="1:15">
      <c r="A2871" s="3563" t="s">
        <v>7093</v>
      </c>
      <c r="B2871" s="3563" t="s">
        <v>4196</v>
      </c>
      <c r="C2871" s="3563" t="s">
        <v>4197</v>
      </c>
      <c r="D2871" s="3563" t="s">
        <v>6429</v>
      </c>
      <c r="E2871" s="3563" t="s">
        <v>4699</v>
      </c>
      <c r="F2871" s="3563" t="s">
        <v>4797</v>
      </c>
      <c r="G2871" s="3564">
        <v>88.9</v>
      </c>
      <c r="H2871" s="3564">
        <v>71</v>
      </c>
      <c r="I2871" s="3564">
        <v>17.899999999999999</v>
      </c>
      <c r="J2871" s="3565">
        <v>895195</v>
      </c>
      <c r="K2871" s="3565">
        <v>10069.69</v>
      </c>
      <c r="L2871" s="3565">
        <v>12608.38</v>
      </c>
      <c r="M2871" s="3565">
        <v>0</v>
      </c>
      <c r="N2871" s="3565">
        <v>0</v>
      </c>
      <c r="O2871" s="3563" t="s">
        <v>3453</v>
      </c>
    </row>
    <row r="2872" spans="1:15">
      <c r="A2872" s="3563" t="s">
        <v>7094</v>
      </c>
      <c r="B2872" s="3563" t="s">
        <v>4196</v>
      </c>
      <c r="C2872" s="3563" t="s">
        <v>4197</v>
      </c>
      <c r="D2872" s="3563" t="s">
        <v>6429</v>
      </c>
      <c r="E2872" s="3563" t="s">
        <v>4699</v>
      </c>
      <c r="F2872" s="3563" t="s">
        <v>4797</v>
      </c>
      <c r="G2872" s="3564">
        <v>88.9</v>
      </c>
      <c r="H2872" s="3564">
        <v>71</v>
      </c>
      <c r="I2872" s="3564">
        <v>17.899999999999999</v>
      </c>
      <c r="J2872" s="3565">
        <v>895195</v>
      </c>
      <c r="K2872" s="3565">
        <v>10069.69</v>
      </c>
      <c r="L2872" s="3565">
        <v>12608.38</v>
      </c>
      <c r="M2872" s="3565">
        <v>0</v>
      </c>
      <c r="N2872" s="3565">
        <v>0</v>
      </c>
      <c r="O2872" s="3563" t="s">
        <v>3453</v>
      </c>
    </row>
    <row r="2873" spans="1:15">
      <c r="A2873" s="3563" t="s">
        <v>7095</v>
      </c>
      <c r="B2873" s="3563" t="s">
        <v>4196</v>
      </c>
      <c r="C2873" s="3563" t="s">
        <v>4197</v>
      </c>
      <c r="D2873" s="3563" t="s">
        <v>6429</v>
      </c>
      <c r="E2873" s="3563" t="s">
        <v>4699</v>
      </c>
      <c r="F2873" s="3563" t="s">
        <v>4797</v>
      </c>
      <c r="G2873" s="3564">
        <v>102.69</v>
      </c>
      <c r="H2873" s="3564">
        <v>82.01</v>
      </c>
      <c r="I2873" s="3564">
        <v>20.68</v>
      </c>
      <c r="J2873" s="3565">
        <v>1072292</v>
      </c>
      <c r="K2873" s="3565">
        <v>10442.030000000001</v>
      </c>
      <c r="L2873" s="3565">
        <v>13075.14</v>
      </c>
      <c r="M2873" s="3565">
        <v>0</v>
      </c>
      <c r="N2873" s="3565">
        <v>0</v>
      </c>
      <c r="O2873" s="3563" t="s">
        <v>3453</v>
      </c>
    </row>
    <row r="2874" spans="1:15">
      <c r="A2874" s="3563" t="s">
        <v>7096</v>
      </c>
      <c r="B2874" s="3563" t="s">
        <v>4196</v>
      </c>
      <c r="C2874" s="3563" t="s">
        <v>4197</v>
      </c>
      <c r="D2874" s="3563" t="s">
        <v>6429</v>
      </c>
      <c r="E2874" s="3563" t="s">
        <v>4699</v>
      </c>
      <c r="F2874" s="3563" t="s">
        <v>4797</v>
      </c>
      <c r="G2874" s="3564">
        <v>88.9</v>
      </c>
      <c r="H2874" s="3564">
        <v>71</v>
      </c>
      <c r="I2874" s="3564">
        <v>17.899999999999999</v>
      </c>
      <c r="J2874" s="3565">
        <v>919785</v>
      </c>
      <c r="K2874" s="3565">
        <v>10346.290000000001</v>
      </c>
      <c r="L2874" s="3565">
        <v>12954.72</v>
      </c>
      <c r="M2874" s="3565">
        <v>0</v>
      </c>
      <c r="N2874" s="3565">
        <v>0</v>
      </c>
      <c r="O2874" s="3563" t="s">
        <v>3453</v>
      </c>
    </row>
    <row r="2875" spans="1:15">
      <c r="A2875" s="3563" t="s">
        <v>7097</v>
      </c>
      <c r="B2875" s="3563" t="s">
        <v>4196</v>
      </c>
      <c r="C2875" s="3563" t="s">
        <v>4197</v>
      </c>
      <c r="D2875" s="3563" t="s">
        <v>6429</v>
      </c>
      <c r="E2875" s="3563" t="s">
        <v>4699</v>
      </c>
      <c r="F2875" s="3563" t="s">
        <v>4797</v>
      </c>
      <c r="G2875" s="3564">
        <v>88.9</v>
      </c>
      <c r="H2875" s="3564">
        <v>71</v>
      </c>
      <c r="I2875" s="3564">
        <v>17.899999999999999</v>
      </c>
      <c r="J2875" s="3565">
        <v>919785</v>
      </c>
      <c r="K2875" s="3565">
        <v>10346.290000000001</v>
      </c>
      <c r="L2875" s="3565">
        <v>12954.72</v>
      </c>
      <c r="M2875" s="3565">
        <v>0</v>
      </c>
      <c r="N2875" s="3565">
        <v>0</v>
      </c>
      <c r="O2875" s="3563" t="s">
        <v>3453</v>
      </c>
    </row>
    <row r="2876" spans="1:15">
      <c r="A2876" s="3563" t="s">
        <v>7098</v>
      </c>
      <c r="B2876" s="3563" t="s">
        <v>4196</v>
      </c>
      <c r="C2876" s="3563" t="s">
        <v>4197</v>
      </c>
      <c r="D2876" s="3563" t="s">
        <v>6429</v>
      </c>
      <c r="E2876" s="3563" t="s">
        <v>4699</v>
      </c>
      <c r="F2876" s="3563" t="s">
        <v>4797</v>
      </c>
      <c r="G2876" s="3564">
        <v>91.13</v>
      </c>
      <c r="H2876" s="3564">
        <v>72.78</v>
      </c>
      <c r="I2876" s="3564">
        <v>18.350000000000001</v>
      </c>
      <c r="J2876" s="3565">
        <v>928314</v>
      </c>
      <c r="K2876" s="3565">
        <v>10186.700000000001</v>
      </c>
      <c r="L2876" s="3565">
        <v>12755.07</v>
      </c>
      <c r="M2876" s="3565">
        <v>0</v>
      </c>
      <c r="N2876" s="3565">
        <v>0</v>
      </c>
      <c r="O2876" s="3563" t="s">
        <v>3453</v>
      </c>
    </row>
    <row r="2877" spans="1:15">
      <c r="A2877" s="3563" t="s">
        <v>7099</v>
      </c>
      <c r="B2877" s="3563" t="s">
        <v>4196</v>
      </c>
      <c r="C2877" s="3563" t="s">
        <v>4197</v>
      </c>
      <c r="D2877" s="3563" t="s">
        <v>6429</v>
      </c>
      <c r="E2877" s="3563" t="s">
        <v>4699</v>
      </c>
      <c r="F2877" s="3563" t="s">
        <v>4797</v>
      </c>
      <c r="G2877" s="3564">
        <v>88.9</v>
      </c>
      <c r="H2877" s="3564">
        <v>71</v>
      </c>
      <c r="I2877" s="3564">
        <v>17.899999999999999</v>
      </c>
      <c r="J2877" s="3565">
        <v>905598</v>
      </c>
      <c r="K2877" s="3565">
        <v>10186.700000000001</v>
      </c>
      <c r="L2877" s="3565">
        <v>12754.9</v>
      </c>
      <c r="M2877" s="3565">
        <v>0</v>
      </c>
      <c r="N2877" s="3565">
        <v>0</v>
      </c>
      <c r="O2877" s="3563" t="s">
        <v>3453</v>
      </c>
    </row>
    <row r="2878" spans="1:15">
      <c r="A2878" s="3563" t="s">
        <v>7100</v>
      </c>
      <c r="B2878" s="3563" t="s">
        <v>4196</v>
      </c>
      <c r="C2878" s="3563" t="s">
        <v>4197</v>
      </c>
      <c r="D2878" s="3563" t="s">
        <v>6429</v>
      </c>
      <c r="E2878" s="3563" t="s">
        <v>4699</v>
      </c>
      <c r="F2878" s="3563" t="s">
        <v>4797</v>
      </c>
      <c r="G2878" s="3564">
        <v>88.9</v>
      </c>
      <c r="H2878" s="3564">
        <v>71</v>
      </c>
      <c r="I2878" s="3564">
        <v>17.899999999999999</v>
      </c>
      <c r="J2878" s="3565">
        <v>905598</v>
      </c>
      <c r="K2878" s="3565">
        <v>10186.700000000001</v>
      </c>
      <c r="L2878" s="3565">
        <v>12754.9</v>
      </c>
      <c r="M2878" s="3565">
        <v>0</v>
      </c>
      <c r="N2878" s="3565">
        <v>0</v>
      </c>
      <c r="O2878" s="3563" t="s">
        <v>3453</v>
      </c>
    </row>
    <row r="2879" spans="1:15">
      <c r="A2879" s="3563" t="s">
        <v>7101</v>
      </c>
      <c r="B2879" s="3563" t="s">
        <v>4196</v>
      </c>
      <c r="C2879" s="3563" t="s">
        <v>4197</v>
      </c>
      <c r="D2879" s="3563" t="s">
        <v>6429</v>
      </c>
      <c r="E2879" s="3563" t="s">
        <v>4699</v>
      </c>
      <c r="F2879" s="3563" t="s">
        <v>4797</v>
      </c>
      <c r="G2879" s="3564">
        <v>102.69</v>
      </c>
      <c r="H2879" s="3564">
        <v>82.01</v>
      </c>
      <c r="I2879" s="3564">
        <v>20.68</v>
      </c>
      <c r="J2879" s="3565">
        <v>1073385</v>
      </c>
      <c r="K2879" s="3565">
        <v>10452.67</v>
      </c>
      <c r="L2879" s="3565">
        <v>13088.46</v>
      </c>
      <c r="M2879" s="3565">
        <v>0</v>
      </c>
      <c r="N2879" s="3565">
        <v>0</v>
      </c>
      <c r="O2879" s="3563" t="s">
        <v>3453</v>
      </c>
    </row>
    <row r="2880" spans="1:15">
      <c r="A2880" s="3563" t="s">
        <v>7102</v>
      </c>
      <c r="B2880" s="3563" t="s">
        <v>4196</v>
      </c>
      <c r="C2880" s="3563" t="s">
        <v>4197</v>
      </c>
      <c r="D2880" s="3563" t="s">
        <v>6429</v>
      </c>
      <c r="E2880" s="3563" t="s">
        <v>4699</v>
      </c>
      <c r="F2880" s="3563" t="s">
        <v>4797</v>
      </c>
      <c r="G2880" s="3564">
        <v>88.9</v>
      </c>
      <c r="H2880" s="3564">
        <v>71</v>
      </c>
      <c r="I2880" s="3564">
        <v>17.899999999999999</v>
      </c>
      <c r="J2880" s="3565">
        <v>920730</v>
      </c>
      <c r="K2880" s="3565">
        <v>10356.92</v>
      </c>
      <c r="L2880" s="3565">
        <v>12968.03</v>
      </c>
      <c r="M2880" s="3565">
        <v>0</v>
      </c>
      <c r="N2880" s="3565">
        <v>0</v>
      </c>
      <c r="O2880" s="3563" t="s">
        <v>3453</v>
      </c>
    </row>
    <row r="2881" spans="1:15">
      <c r="A2881" s="3563" t="s">
        <v>7103</v>
      </c>
      <c r="B2881" s="3563" t="s">
        <v>4196</v>
      </c>
      <c r="C2881" s="3563" t="s">
        <v>4197</v>
      </c>
      <c r="D2881" s="3563" t="s">
        <v>6429</v>
      </c>
      <c r="E2881" s="3563" t="s">
        <v>4699</v>
      </c>
      <c r="F2881" s="3563" t="s">
        <v>4797</v>
      </c>
      <c r="G2881" s="3564">
        <v>88.9</v>
      </c>
      <c r="H2881" s="3564">
        <v>71</v>
      </c>
      <c r="I2881" s="3564">
        <v>17.899999999999999</v>
      </c>
      <c r="J2881" s="3565">
        <v>920730</v>
      </c>
      <c r="K2881" s="3565">
        <v>10356.92</v>
      </c>
      <c r="L2881" s="3565">
        <v>12968.03</v>
      </c>
      <c r="M2881" s="3565">
        <v>0</v>
      </c>
      <c r="N2881" s="3565">
        <v>0</v>
      </c>
      <c r="O2881" s="3563" t="s">
        <v>3453</v>
      </c>
    </row>
    <row r="2882" spans="1:15">
      <c r="A2882" s="3563" t="s">
        <v>7104</v>
      </c>
      <c r="B2882" s="3563" t="s">
        <v>3453</v>
      </c>
      <c r="C2882" s="3563" t="s">
        <v>4197</v>
      </c>
      <c r="D2882" s="3563" t="s">
        <v>6429</v>
      </c>
      <c r="E2882" s="3563" t="s">
        <v>4699</v>
      </c>
      <c r="F2882" s="3563" t="s">
        <v>4797</v>
      </c>
      <c r="G2882" s="3564">
        <v>91.13</v>
      </c>
      <c r="H2882" s="3564">
        <v>72.78</v>
      </c>
      <c r="I2882" s="3564">
        <v>18.350000000000001</v>
      </c>
      <c r="J2882" s="3565">
        <v>929285</v>
      </c>
      <c r="K2882" s="3565">
        <v>10197.36</v>
      </c>
      <c r="L2882" s="3565">
        <v>12768.41</v>
      </c>
      <c r="M2882" s="3565">
        <v>0</v>
      </c>
      <c r="N2882" s="3565">
        <v>0</v>
      </c>
      <c r="O2882" s="3563" t="s">
        <v>3453</v>
      </c>
    </row>
    <row r="2883" spans="1:15">
      <c r="A2883" s="3563" t="s">
        <v>7105</v>
      </c>
      <c r="B2883" s="3563" t="s">
        <v>4196</v>
      </c>
      <c r="C2883" s="3563" t="s">
        <v>4197</v>
      </c>
      <c r="D2883" s="3563" t="s">
        <v>6429</v>
      </c>
      <c r="E2883" s="3563" t="s">
        <v>4699</v>
      </c>
      <c r="F2883" s="3563" t="s">
        <v>4797</v>
      </c>
      <c r="G2883" s="3564">
        <v>88.9</v>
      </c>
      <c r="H2883" s="3564">
        <v>71</v>
      </c>
      <c r="I2883" s="3564">
        <v>17.899999999999999</v>
      </c>
      <c r="J2883" s="3565">
        <v>906544</v>
      </c>
      <c r="K2883" s="3565">
        <v>10197.35</v>
      </c>
      <c r="L2883" s="3565">
        <v>12768.23</v>
      </c>
      <c r="M2883" s="3565">
        <v>0</v>
      </c>
      <c r="N2883" s="3565">
        <v>0</v>
      </c>
      <c r="O2883" s="3563" t="s">
        <v>3453</v>
      </c>
    </row>
    <row r="2884" spans="1:15">
      <c r="A2884" s="3563" t="s">
        <v>7106</v>
      </c>
      <c r="B2884" s="3563" t="s">
        <v>3453</v>
      </c>
      <c r="C2884" s="3563" t="s">
        <v>4197</v>
      </c>
      <c r="D2884" s="3563" t="s">
        <v>6429</v>
      </c>
      <c r="E2884" s="3563" t="s">
        <v>4699</v>
      </c>
      <c r="F2884" s="3563" t="s">
        <v>4797</v>
      </c>
      <c r="G2884" s="3564">
        <v>88.9</v>
      </c>
      <c r="H2884" s="3564">
        <v>71</v>
      </c>
      <c r="I2884" s="3564">
        <v>17.899999999999999</v>
      </c>
      <c r="J2884" s="3565">
        <v>906544</v>
      </c>
      <c r="K2884" s="3565">
        <v>10197.35</v>
      </c>
      <c r="L2884" s="3565">
        <v>12768.23</v>
      </c>
      <c r="M2884" s="3565">
        <v>0</v>
      </c>
      <c r="N2884" s="3565">
        <v>0</v>
      </c>
      <c r="O2884" s="3563" t="s">
        <v>3453</v>
      </c>
    </row>
    <row r="2885" spans="1:15">
      <c r="A2885" s="3563" t="s">
        <v>7107</v>
      </c>
      <c r="B2885" s="3563" t="s">
        <v>4196</v>
      </c>
      <c r="C2885" s="3563" t="s">
        <v>4197</v>
      </c>
      <c r="D2885" s="3563" t="s">
        <v>6429</v>
      </c>
      <c r="E2885" s="3563" t="s">
        <v>4699</v>
      </c>
      <c r="F2885" s="3563" t="s">
        <v>4797</v>
      </c>
      <c r="G2885" s="3564">
        <v>102.69</v>
      </c>
      <c r="H2885" s="3564">
        <v>82.01</v>
      </c>
      <c r="I2885" s="3564">
        <v>20.68</v>
      </c>
      <c r="J2885" s="3565">
        <v>1074476</v>
      </c>
      <c r="K2885" s="3565">
        <v>10463.299999999999</v>
      </c>
      <c r="L2885" s="3565">
        <v>13101.77</v>
      </c>
      <c r="M2885" s="3565">
        <v>0</v>
      </c>
      <c r="N2885" s="3565">
        <v>0</v>
      </c>
      <c r="O2885" s="3563" t="s">
        <v>3453</v>
      </c>
    </row>
    <row r="2886" spans="1:15">
      <c r="A2886" s="3563" t="s">
        <v>7108</v>
      </c>
      <c r="B2886" s="3563" t="s">
        <v>4196</v>
      </c>
      <c r="C2886" s="3563" t="s">
        <v>4197</v>
      </c>
      <c r="D2886" s="3563" t="s">
        <v>6429</v>
      </c>
      <c r="E2886" s="3563" t="s">
        <v>4699</v>
      </c>
      <c r="F2886" s="3563" t="s">
        <v>4797</v>
      </c>
      <c r="G2886" s="3564">
        <v>88.9</v>
      </c>
      <c r="H2886" s="3564">
        <v>71</v>
      </c>
      <c r="I2886" s="3564">
        <v>17.899999999999999</v>
      </c>
      <c r="J2886" s="3565">
        <v>921676</v>
      </c>
      <c r="K2886" s="3565">
        <v>10367.56</v>
      </c>
      <c r="L2886" s="3565">
        <v>12981.35</v>
      </c>
      <c r="M2886" s="3565">
        <v>0</v>
      </c>
      <c r="N2886" s="3565">
        <v>0</v>
      </c>
      <c r="O2886" s="3563" t="s">
        <v>3453</v>
      </c>
    </row>
    <row r="2887" spans="1:15">
      <c r="A2887" s="3563" t="s">
        <v>7109</v>
      </c>
      <c r="B2887" s="3563" t="s">
        <v>4196</v>
      </c>
      <c r="C2887" s="3563" t="s">
        <v>4197</v>
      </c>
      <c r="D2887" s="3563" t="s">
        <v>6429</v>
      </c>
      <c r="E2887" s="3563" t="s">
        <v>4699</v>
      </c>
      <c r="F2887" s="3563" t="s">
        <v>4797</v>
      </c>
      <c r="G2887" s="3564">
        <v>88.9</v>
      </c>
      <c r="H2887" s="3564">
        <v>71</v>
      </c>
      <c r="I2887" s="3564">
        <v>17.899999999999999</v>
      </c>
      <c r="J2887" s="3565">
        <v>921676</v>
      </c>
      <c r="K2887" s="3565">
        <v>10367.56</v>
      </c>
      <c r="L2887" s="3565">
        <v>12981.35</v>
      </c>
      <c r="M2887" s="3565">
        <v>0</v>
      </c>
      <c r="N2887" s="3565">
        <v>0</v>
      </c>
      <c r="O2887" s="3563" t="s">
        <v>3453</v>
      </c>
    </row>
    <row r="2888" spans="1:15">
      <c r="A2888" s="3563" t="s">
        <v>7110</v>
      </c>
      <c r="B2888" s="3563" t="s">
        <v>4196</v>
      </c>
      <c r="C2888" s="3563" t="s">
        <v>4197</v>
      </c>
      <c r="D2888" s="3563" t="s">
        <v>6429</v>
      </c>
      <c r="E2888" s="3563" t="s">
        <v>4699</v>
      </c>
      <c r="F2888" s="3563" t="s">
        <v>4797</v>
      </c>
      <c r="G2888" s="3564">
        <v>91.13</v>
      </c>
      <c r="H2888" s="3564">
        <v>72.78</v>
      </c>
      <c r="I2888" s="3564">
        <v>18.350000000000001</v>
      </c>
      <c r="J2888" s="3565">
        <v>930254</v>
      </c>
      <c r="K2888" s="3565">
        <v>10207.99</v>
      </c>
      <c r="L2888" s="3565">
        <v>12781.73</v>
      </c>
      <c r="M2888" s="3565">
        <v>0</v>
      </c>
      <c r="N2888" s="3565">
        <v>0</v>
      </c>
      <c r="O2888" s="3563" t="s">
        <v>3453</v>
      </c>
    </row>
    <row r="2889" spans="1:15">
      <c r="A2889" s="3563" t="s">
        <v>7111</v>
      </c>
      <c r="B2889" s="3563" t="s">
        <v>4196</v>
      </c>
      <c r="C2889" s="3563" t="s">
        <v>4197</v>
      </c>
      <c r="D2889" s="3563" t="s">
        <v>6429</v>
      </c>
      <c r="E2889" s="3563" t="s">
        <v>4699</v>
      </c>
      <c r="F2889" s="3563" t="s">
        <v>4797</v>
      </c>
      <c r="G2889" s="3564">
        <v>88.9</v>
      </c>
      <c r="H2889" s="3564">
        <v>71</v>
      </c>
      <c r="I2889" s="3564">
        <v>17.899999999999999</v>
      </c>
      <c r="J2889" s="3565">
        <v>907490</v>
      </c>
      <c r="K2889" s="3565">
        <v>10207.99</v>
      </c>
      <c r="L2889" s="3565">
        <v>12781.55</v>
      </c>
      <c r="M2889" s="3565">
        <v>0</v>
      </c>
      <c r="N2889" s="3565">
        <v>0</v>
      </c>
      <c r="O2889" s="3563" t="s">
        <v>3453</v>
      </c>
    </row>
    <row r="2890" spans="1:15">
      <c r="A2890" s="3563" t="s">
        <v>7112</v>
      </c>
      <c r="B2890" s="3563" t="s">
        <v>4196</v>
      </c>
      <c r="C2890" s="3563" t="s">
        <v>4197</v>
      </c>
      <c r="D2890" s="3563" t="s">
        <v>6429</v>
      </c>
      <c r="E2890" s="3563" t="s">
        <v>4699</v>
      </c>
      <c r="F2890" s="3563" t="s">
        <v>4797</v>
      </c>
      <c r="G2890" s="3564">
        <v>88.9</v>
      </c>
      <c r="H2890" s="3564">
        <v>71</v>
      </c>
      <c r="I2890" s="3564">
        <v>17.899999999999999</v>
      </c>
      <c r="J2890" s="3565">
        <v>907490</v>
      </c>
      <c r="K2890" s="3565">
        <v>10207.99</v>
      </c>
      <c r="L2890" s="3565">
        <v>12781.55</v>
      </c>
      <c r="M2890" s="3565">
        <v>0</v>
      </c>
      <c r="N2890" s="3565">
        <v>0</v>
      </c>
      <c r="O2890" s="3563" t="s">
        <v>3453</v>
      </c>
    </row>
    <row r="2891" spans="1:15">
      <c r="A2891" s="3563" t="s">
        <v>7113</v>
      </c>
      <c r="B2891" s="3563" t="s">
        <v>4196</v>
      </c>
      <c r="C2891" s="3563" t="s">
        <v>4197</v>
      </c>
      <c r="D2891" s="3563" t="s">
        <v>6429</v>
      </c>
      <c r="E2891" s="3563" t="s">
        <v>4699</v>
      </c>
      <c r="F2891" s="3563" t="s">
        <v>4797</v>
      </c>
      <c r="G2891" s="3564">
        <v>102.69</v>
      </c>
      <c r="H2891" s="3564">
        <v>82.01</v>
      </c>
      <c r="I2891" s="3564">
        <v>20.68</v>
      </c>
      <c r="J2891" s="3565">
        <v>1075569</v>
      </c>
      <c r="K2891" s="3565">
        <v>10473.94</v>
      </c>
      <c r="L2891" s="3565">
        <v>13115.1</v>
      </c>
      <c r="M2891" s="3565">
        <v>0</v>
      </c>
      <c r="N2891" s="3565">
        <v>0</v>
      </c>
      <c r="O2891" s="3563" t="s">
        <v>3453</v>
      </c>
    </row>
    <row r="2892" spans="1:15">
      <c r="A2892" s="3563" t="s">
        <v>7114</v>
      </c>
      <c r="B2892" s="3563" t="s">
        <v>4196</v>
      </c>
      <c r="C2892" s="3563" t="s">
        <v>4197</v>
      </c>
      <c r="D2892" s="3563" t="s">
        <v>6429</v>
      </c>
      <c r="E2892" s="3563" t="s">
        <v>4520</v>
      </c>
      <c r="F2892" s="3563" t="s">
        <v>4797</v>
      </c>
      <c r="G2892" s="3564">
        <v>109.05</v>
      </c>
      <c r="H2892" s="3564">
        <v>88.44</v>
      </c>
      <c r="I2892" s="3564">
        <v>20.61</v>
      </c>
      <c r="J2892" s="3565">
        <v>1126684</v>
      </c>
      <c r="K2892" s="3565">
        <v>10331.81</v>
      </c>
      <c r="L2892" s="3565">
        <v>12739.53</v>
      </c>
      <c r="M2892" s="3565">
        <v>0</v>
      </c>
      <c r="N2892" s="3565">
        <v>0</v>
      </c>
      <c r="O2892" s="3563" t="s">
        <v>3453</v>
      </c>
    </row>
    <row r="2893" spans="1:15">
      <c r="A2893" s="3563" t="s">
        <v>7115</v>
      </c>
      <c r="B2893" s="3563" t="s">
        <v>4196</v>
      </c>
      <c r="C2893" s="3563" t="s">
        <v>4197</v>
      </c>
      <c r="D2893" s="3563" t="s">
        <v>6429</v>
      </c>
      <c r="E2893" s="3563" t="s">
        <v>4520</v>
      </c>
      <c r="F2893" s="3563" t="s">
        <v>4797</v>
      </c>
      <c r="G2893" s="3564">
        <v>87.55</v>
      </c>
      <c r="H2893" s="3564">
        <v>71</v>
      </c>
      <c r="I2893" s="3564">
        <v>16.55</v>
      </c>
      <c r="J2893" s="3565">
        <v>909207</v>
      </c>
      <c r="K2893" s="3565">
        <v>10385</v>
      </c>
      <c r="L2893" s="3565">
        <v>12805.73</v>
      </c>
      <c r="M2893" s="3565">
        <v>0</v>
      </c>
      <c r="N2893" s="3565">
        <v>0</v>
      </c>
      <c r="O2893" s="3563" t="s">
        <v>3453</v>
      </c>
    </row>
    <row r="2894" spans="1:15">
      <c r="A2894" s="3563" t="s">
        <v>7116</v>
      </c>
      <c r="B2894" s="3563" t="s">
        <v>4811</v>
      </c>
      <c r="C2894" s="3563" t="s">
        <v>4197</v>
      </c>
      <c r="D2894" s="3563" t="s">
        <v>6429</v>
      </c>
      <c r="E2894" s="3563" t="s">
        <v>4520</v>
      </c>
      <c r="F2894" s="3563" t="s">
        <v>4797</v>
      </c>
      <c r="G2894" s="3564">
        <v>87.55</v>
      </c>
      <c r="H2894" s="3564">
        <v>71</v>
      </c>
      <c r="I2894" s="3564">
        <v>16.55</v>
      </c>
      <c r="J2894" s="3565">
        <v>909207</v>
      </c>
      <c r="K2894" s="3565">
        <v>10385</v>
      </c>
      <c r="L2894" s="3565">
        <v>12805.73</v>
      </c>
      <c r="M2894" s="3565">
        <v>881931</v>
      </c>
      <c r="N2894" s="3565">
        <v>10073.459999999999</v>
      </c>
      <c r="O2894" s="3566">
        <v>44190</v>
      </c>
    </row>
    <row r="2895" spans="1:15">
      <c r="A2895" s="3563" t="s">
        <v>7117</v>
      </c>
      <c r="B2895" s="3563" t="s">
        <v>4811</v>
      </c>
      <c r="C2895" s="3563" t="s">
        <v>4197</v>
      </c>
      <c r="D2895" s="3563" t="s">
        <v>6429</v>
      </c>
      <c r="E2895" s="3563" t="s">
        <v>4520</v>
      </c>
      <c r="F2895" s="3563" t="s">
        <v>4797</v>
      </c>
      <c r="G2895" s="3564">
        <v>101.12</v>
      </c>
      <c r="H2895" s="3564">
        <v>82.01</v>
      </c>
      <c r="I2895" s="3564">
        <v>19.11</v>
      </c>
      <c r="J2895" s="3565">
        <v>1039374</v>
      </c>
      <c r="K2895" s="3565">
        <v>10278.620000000001</v>
      </c>
      <c r="L2895" s="3565">
        <v>12673.75</v>
      </c>
      <c r="M2895" s="3565">
        <v>945831</v>
      </c>
      <c r="N2895" s="3565">
        <v>9353.5499999999993</v>
      </c>
      <c r="O2895" s="3566">
        <v>44190</v>
      </c>
    </row>
    <row r="2896" spans="1:15">
      <c r="A2896" s="3563" t="s">
        <v>7118</v>
      </c>
      <c r="B2896" s="3563" t="s">
        <v>4196</v>
      </c>
      <c r="C2896" s="3563" t="s">
        <v>4197</v>
      </c>
      <c r="D2896" s="3563" t="s">
        <v>6429</v>
      </c>
      <c r="E2896" s="3563" t="s">
        <v>4520</v>
      </c>
      <c r="F2896" s="3563" t="s">
        <v>4797</v>
      </c>
      <c r="G2896" s="3564">
        <v>100.79</v>
      </c>
      <c r="H2896" s="3564">
        <v>81.739999999999995</v>
      </c>
      <c r="I2896" s="3564">
        <v>19.05</v>
      </c>
      <c r="J2896" s="3565">
        <v>1084233</v>
      </c>
      <c r="K2896" s="3565">
        <v>10757.35</v>
      </c>
      <c r="L2896" s="3565">
        <v>13264.41</v>
      </c>
      <c r="M2896" s="3565">
        <v>0</v>
      </c>
      <c r="N2896" s="3565">
        <v>0</v>
      </c>
      <c r="O2896" s="3563" t="s">
        <v>3453</v>
      </c>
    </row>
    <row r="2897" spans="1:15">
      <c r="A2897" s="3563" t="s">
        <v>7119</v>
      </c>
      <c r="B2897" s="3563" t="s">
        <v>4196</v>
      </c>
      <c r="C2897" s="3563" t="s">
        <v>4197</v>
      </c>
      <c r="D2897" s="3563" t="s">
        <v>6429</v>
      </c>
      <c r="E2897" s="3563" t="s">
        <v>4520</v>
      </c>
      <c r="F2897" s="3563" t="s">
        <v>4797</v>
      </c>
      <c r="G2897" s="3564">
        <v>100.79</v>
      </c>
      <c r="H2897" s="3564">
        <v>81.739999999999995</v>
      </c>
      <c r="I2897" s="3564">
        <v>19.05</v>
      </c>
      <c r="J2897" s="3565">
        <v>1062788</v>
      </c>
      <c r="K2897" s="3565">
        <v>10544.58</v>
      </c>
      <c r="L2897" s="3565">
        <v>13002.06</v>
      </c>
      <c r="M2897" s="3565">
        <v>0</v>
      </c>
      <c r="N2897" s="3565">
        <v>0</v>
      </c>
      <c r="O2897" s="3563" t="s">
        <v>3453</v>
      </c>
    </row>
    <row r="2898" spans="1:15">
      <c r="A2898" s="3563" t="s">
        <v>7120</v>
      </c>
      <c r="B2898" s="3563" t="s">
        <v>4196</v>
      </c>
      <c r="C2898" s="3563" t="s">
        <v>4197</v>
      </c>
      <c r="D2898" s="3563" t="s">
        <v>6429</v>
      </c>
      <c r="E2898" s="3563" t="s">
        <v>4520</v>
      </c>
      <c r="F2898" s="3563" t="s">
        <v>4797</v>
      </c>
      <c r="G2898" s="3564">
        <v>109.05</v>
      </c>
      <c r="H2898" s="3564">
        <v>88.44</v>
      </c>
      <c r="I2898" s="3564">
        <v>20.61</v>
      </c>
      <c r="J2898" s="3565">
        <v>1127845</v>
      </c>
      <c r="K2898" s="3565">
        <v>10342.459999999999</v>
      </c>
      <c r="L2898" s="3565">
        <v>12752.66</v>
      </c>
      <c r="M2898" s="3565">
        <v>0</v>
      </c>
      <c r="N2898" s="3565">
        <v>0</v>
      </c>
      <c r="O2898" s="3563" t="s">
        <v>3453</v>
      </c>
    </row>
    <row r="2899" spans="1:15">
      <c r="A2899" s="3563" t="s">
        <v>7121</v>
      </c>
      <c r="B2899" s="3563" t="s">
        <v>4196</v>
      </c>
      <c r="C2899" s="3563" t="s">
        <v>4197</v>
      </c>
      <c r="D2899" s="3563" t="s">
        <v>6429</v>
      </c>
      <c r="E2899" s="3563" t="s">
        <v>4520</v>
      </c>
      <c r="F2899" s="3563" t="s">
        <v>4797</v>
      </c>
      <c r="G2899" s="3564">
        <v>87.55</v>
      </c>
      <c r="H2899" s="3564">
        <v>71</v>
      </c>
      <c r="I2899" s="3564">
        <v>16.55</v>
      </c>
      <c r="J2899" s="3565">
        <v>910138</v>
      </c>
      <c r="K2899" s="3565">
        <v>10395.64</v>
      </c>
      <c r="L2899" s="3565">
        <v>12818.85</v>
      </c>
      <c r="M2899" s="3565">
        <v>0</v>
      </c>
      <c r="N2899" s="3565">
        <v>0</v>
      </c>
      <c r="O2899" s="3563" t="s">
        <v>3453</v>
      </c>
    </row>
    <row r="2900" spans="1:15">
      <c r="A2900" s="3563" t="s">
        <v>7122</v>
      </c>
      <c r="B2900" s="3563" t="s">
        <v>4811</v>
      </c>
      <c r="C2900" s="3563" t="s">
        <v>4197</v>
      </c>
      <c r="D2900" s="3563" t="s">
        <v>6429</v>
      </c>
      <c r="E2900" s="3563" t="s">
        <v>4520</v>
      </c>
      <c r="F2900" s="3563" t="s">
        <v>4797</v>
      </c>
      <c r="G2900" s="3564">
        <v>87.55</v>
      </c>
      <c r="H2900" s="3564">
        <v>71</v>
      </c>
      <c r="I2900" s="3564">
        <v>16.55</v>
      </c>
      <c r="J2900" s="3565">
        <v>910138</v>
      </c>
      <c r="K2900" s="3565">
        <v>10395.64</v>
      </c>
      <c r="L2900" s="3565">
        <v>12818.85</v>
      </c>
      <c r="M2900" s="3565">
        <v>873733</v>
      </c>
      <c r="N2900" s="3565">
        <v>9979.82</v>
      </c>
      <c r="O2900" s="3566">
        <v>44190</v>
      </c>
    </row>
    <row r="2901" spans="1:15">
      <c r="A2901" s="3563" t="s">
        <v>7123</v>
      </c>
      <c r="B2901" s="3563" t="s">
        <v>4811</v>
      </c>
      <c r="C2901" s="3563" t="s">
        <v>4197</v>
      </c>
      <c r="D2901" s="3563" t="s">
        <v>6429</v>
      </c>
      <c r="E2901" s="3563" t="s">
        <v>4520</v>
      </c>
      <c r="F2901" s="3563" t="s">
        <v>4797</v>
      </c>
      <c r="G2901" s="3564">
        <v>101.12</v>
      </c>
      <c r="H2901" s="3564">
        <v>82.01</v>
      </c>
      <c r="I2901" s="3564">
        <v>19.11</v>
      </c>
      <c r="J2901" s="3565">
        <v>1040450</v>
      </c>
      <c r="K2901" s="3565">
        <v>10289.26</v>
      </c>
      <c r="L2901" s="3565">
        <v>12686.87</v>
      </c>
      <c r="M2901" s="3565">
        <v>988456</v>
      </c>
      <c r="N2901" s="3565">
        <v>9775.08</v>
      </c>
      <c r="O2901" s="3566">
        <v>44190</v>
      </c>
    </row>
    <row r="2902" spans="1:15">
      <c r="A2902" s="3563" t="s">
        <v>7124</v>
      </c>
      <c r="B2902" s="3563" t="s">
        <v>4196</v>
      </c>
      <c r="C2902" s="3563" t="s">
        <v>4197</v>
      </c>
      <c r="D2902" s="3563" t="s">
        <v>6429</v>
      </c>
      <c r="E2902" s="3563" t="s">
        <v>4520</v>
      </c>
      <c r="F2902" s="3563" t="s">
        <v>4797</v>
      </c>
      <c r="G2902" s="3564">
        <v>100.79</v>
      </c>
      <c r="H2902" s="3564">
        <v>81.739999999999995</v>
      </c>
      <c r="I2902" s="3564">
        <v>19.05</v>
      </c>
      <c r="J2902" s="3565">
        <v>1085305</v>
      </c>
      <c r="K2902" s="3565">
        <v>10767.98</v>
      </c>
      <c r="L2902" s="3565">
        <v>13277.53</v>
      </c>
      <c r="M2902" s="3565">
        <v>0</v>
      </c>
      <c r="N2902" s="3565">
        <v>0</v>
      </c>
      <c r="O2902" s="3563" t="s">
        <v>3453</v>
      </c>
    </row>
    <row r="2903" spans="1:15">
      <c r="A2903" s="3563" t="s">
        <v>7125</v>
      </c>
      <c r="B2903" s="3563" t="s">
        <v>4196</v>
      </c>
      <c r="C2903" s="3563" t="s">
        <v>4197</v>
      </c>
      <c r="D2903" s="3563" t="s">
        <v>6429</v>
      </c>
      <c r="E2903" s="3563" t="s">
        <v>4520</v>
      </c>
      <c r="F2903" s="3563" t="s">
        <v>4797</v>
      </c>
      <c r="G2903" s="3564">
        <v>100.79</v>
      </c>
      <c r="H2903" s="3564">
        <v>81.739999999999995</v>
      </c>
      <c r="I2903" s="3564">
        <v>19.05</v>
      </c>
      <c r="J2903" s="3565">
        <v>1063861</v>
      </c>
      <c r="K2903" s="3565">
        <v>10555.22</v>
      </c>
      <c r="L2903" s="3565">
        <v>13015.18</v>
      </c>
      <c r="M2903" s="3565">
        <v>0</v>
      </c>
      <c r="N2903" s="3565">
        <v>0</v>
      </c>
      <c r="O2903" s="3563" t="s">
        <v>3453</v>
      </c>
    </row>
    <row r="2904" spans="1:15">
      <c r="A2904" s="3563" t="s">
        <v>7126</v>
      </c>
      <c r="B2904" s="3563" t="s">
        <v>4196</v>
      </c>
      <c r="C2904" s="3563" t="s">
        <v>4197</v>
      </c>
      <c r="D2904" s="3563" t="s">
        <v>6429</v>
      </c>
      <c r="E2904" s="3563" t="s">
        <v>4520</v>
      </c>
      <c r="F2904" s="3563" t="s">
        <v>4797</v>
      </c>
      <c r="G2904" s="3564">
        <v>109.05</v>
      </c>
      <c r="H2904" s="3564">
        <v>88.44</v>
      </c>
      <c r="I2904" s="3564">
        <v>20.61</v>
      </c>
      <c r="J2904" s="3565">
        <v>1129004</v>
      </c>
      <c r="K2904" s="3565">
        <v>10353.09</v>
      </c>
      <c r="L2904" s="3565">
        <v>12765.76</v>
      </c>
      <c r="M2904" s="3565">
        <v>0</v>
      </c>
      <c r="N2904" s="3565">
        <v>0</v>
      </c>
      <c r="O2904" s="3563" t="s">
        <v>3453</v>
      </c>
    </row>
    <row r="2905" spans="1:15">
      <c r="A2905" s="3563" t="s">
        <v>7127</v>
      </c>
      <c r="B2905" s="3563" t="s">
        <v>4196</v>
      </c>
      <c r="C2905" s="3563" t="s">
        <v>4197</v>
      </c>
      <c r="D2905" s="3563" t="s">
        <v>6429</v>
      </c>
      <c r="E2905" s="3563" t="s">
        <v>4520</v>
      </c>
      <c r="F2905" s="3563" t="s">
        <v>4797</v>
      </c>
      <c r="G2905" s="3564">
        <v>87.55</v>
      </c>
      <c r="H2905" s="3564">
        <v>71</v>
      </c>
      <c r="I2905" s="3564">
        <v>16.55</v>
      </c>
      <c r="J2905" s="3565">
        <v>911070</v>
      </c>
      <c r="K2905" s="3565">
        <v>10406.280000000001</v>
      </c>
      <c r="L2905" s="3565">
        <v>12831.97</v>
      </c>
      <c r="M2905" s="3565">
        <v>0</v>
      </c>
      <c r="N2905" s="3565">
        <v>0</v>
      </c>
      <c r="O2905" s="3563" t="s">
        <v>3453</v>
      </c>
    </row>
    <row r="2906" spans="1:15">
      <c r="A2906" s="3563" t="s">
        <v>7128</v>
      </c>
      <c r="B2906" s="3563" t="s">
        <v>3453</v>
      </c>
      <c r="C2906" s="3563" t="s">
        <v>4197</v>
      </c>
      <c r="D2906" s="3563" t="s">
        <v>6429</v>
      </c>
      <c r="E2906" s="3563" t="s">
        <v>4520</v>
      </c>
      <c r="F2906" s="3563" t="s">
        <v>4797</v>
      </c>
      <c r="G2906" s="3564">
        <v>87.55</v>
      </c>
      <c r="H2906" s="3564">
        <v>71</v>
      </c>
      <c r="I2906" s="3564">
        <v>16.55</v>
      </c>
      <c r="J2906" s="3565">
        <v>911070</v>
      </c>
      <c r="K2906" s="3565">
        <v>10406.280000000001</v>
      </c>
      <c r="L2906" s="3565">
        <v>12831.97</v>
      </c>
      <c r="M2906" s="3565">
        <v>0</v>
      </c>
      <c r="N2906" s="3565">
        <v>0</v>
      </c>
      <c r="O2906" s="3563" t="s">
        <v>3453</v>
      </c>
    </row>
    <row r="2907" spans="1:15">
      <c r="A2907" s="3563" t="s">
        <v>7129</v>
      </c>
      <c r="B2907" s="3563" t="s">
        <v>4811</v>
      </c>
      <c r="C2907" s="3563" t="s">
        <v>4197</v>
      </c>
      <c r="D2907" s="3563" t="s">
        <v>6429</v>
      </c>
      <c r="E2907" s="3563" t="s">
        <v>4520</v>
      </c>
      <c r="F2907" s="3563" t="s">
        <v>4797</v>
      </c>
      <c r="G2907" s="3564">
        <v>101.12</v>
      </c>
      <c r="H2907" s="3564">
        <v>82.01</v>
      </c>
      <c r="I2907" s="3564">
        <v>19.11</v>
      </c>
      <c r="J2907" s="3565">
        <v>1041526</v>
      </c>
      <c r="K2907" s="3565">
        <v>10299.9</v>
      </c>
      <c r="L2907" s="3565">
        <v>12699.99</v>
      </c>
      <c r="M2907" s="3565">
        <v>999865</v>
      </c>
      <c r="N2907" s="3565">
        <v>9887.91</v>
      </c>
      <c r="O2907" s="3566">
        <v>44190</v>
      </c>
    </row>
    <row r="2908" spans="1:15">
      <c r="A2908" s="3563" t="s">
        <v>7130</v>
      </c>
      <c r="B2908" s="3563" t="s">
        <v>4196</v>
      </c>
      <c r="C2908" s="3563" t="s">
        <v>4197</v>
      </c>
      <c r="D2908" s="3563" t="s">
        <v>6429</v>
      </c>
      <c r="E2908" s="3563" t="s">
        <v>4520</v>
      </c>
      <c r="F2908" s="3563" t="s">
        <v>4797</v>
      </c>
      <c r="G2908" s="3564">
        <v>100.79</v>
      </c>
      <c r="H2908" s="3564">
        <v>81.739999999999995</v>
      </c>
      <c r="I2908" s="3564">
        <v>19.05</v>
      </c>
      <c r="J2908" s="3565">
        <v>1086378</v>
      </c>
      <c r="K2908" s="3565">
        <v>10778.63</v>
      </c>
      <c r="L2908" s="3565">
        <v>13290.65</v>
      </c>
      <c r="M2908" s="3565">
        <v>0</v>
      </c>
      <c r="N2908" s="3565">
        <v>0</v>
      </c>
      <c r="O2908" s="3563" t="s">
        <v>3453</v>
      </c>
    </row>
    <row r="2909" spans="1:15">
      <c r="A2909" s="3563" t="s">
        <v>7131</v>
      </c>
      <c r="B2909" s="3563" t="s">
        <v>4196</v>
      </c>
      <c r="C2909" s="3563" t="s">
        <v>4197</v>
      </c>
      <c r="D2909" s="3563" t="s">
        <v>6429</v>
      </c>
      <c r="E2909" s="3563" t="s">
        <v>4520</v>
      </c>
      <c r="F2909" s="3563" t="s">
        <v>4797</v>
      </c>
      <c r="G2909" s="3564">
        <v>100.79</v>
      </c>
      <c r="H2909" s="3564">
        <v>81.739999999999995</v>
      </c>
      <c r="I2909" s="3564">
        <v>19.05</v>
      </c>
      <c r="J2909" s="3565">
        <v>1064933</v>
      </c>
      <c r="K2909" s="3565">
        <v>10565.86</v>
      </c>
      <c r="L2909" s="3565">
        <v>13028.3</v>
      </c>
      <c r="M2909" s="3565">
        <v>0</v>
      </c>
      <c r="N2909" s="3565">
        <v>0</v>
      </c>
      <c r="O2909" s="3563" t="s">
        <v>3453</v>
      </c>
    </row>
    <row r="2910" spans="1:15">
      <c r="A2910" s="3563" t="s">
        <v>7132</v>
      </c>
      <c r="B2910" s="3563" t="s">
        <v>4196</v>
      </c>
      <c r="C2910" s="3563" t="s">
        <v>4197</v>
      </c>
      <c r="D2910" s="3563" t="s">
        <v>6429</v>
      </c>
      <c r="E2910" s="3563" t="s">
        <v>4520</v>
      </c>
      <c r="F2910" s="3563" t="s">
        <v>4797</v>
      </c>
      <c r="G2910" s="3564">
        <v>109.05</v>
      </c>
      <c r="H2910" s="3564">
        <v>88.44</v>
      </c>
      <c r="I2910" s="3564">
        <v>20.61</v>
      </c>
      <c r="J2910" s="3565">
        <v>1130165</v>
      </c>
      <c r="K2910" s="3565">
        <v>10363.73</v>
      </c>
      <c r="L2910" s="3565">
        <v>12778.89</v>
      </c>
      <c r="M2910" s="3565">
        <v>0</v>
      </c>
      <c r="N2910" s="3565">
        <v>0</v>
      </c>
      <c r="O2910" s="3563" t="s">
        <v>3453</v>
      </c>
    </row>
    <row r="2911" spans="1:15">
      <c r="A2911" s="3563" t="s">
        <v>7133</v>
      </c>
      <c r="B2911" s="3563" t="s">
        <v>4196</v>
      </c>
      <c r="C2911" s="3563" t="s">
        <v>4197</v>
      </c>
      <c r="D2911" s="3563" t="s">
        <v>6429</v>
      </c>
      <c r="E2911" s="3563" t="s">
        <v>4520</v>
      </c>
      <c r="F2911" s="3563" t="s">
        <v>4797</v>
      </c>
      <c r="G2911" s="3564">
        <v>87.55</v>
      </c>
      <c r="H2911" s="3564">
        <v>71</v>
      </c>
      <c r="I2911" s="3564">
        <v>16.55</v>
      </c>
      <c r="J2911" s="3565">
        <v>912001</v>
      </c>
      <c r="K2911" s="3565">
        <v>10416.92</v>
      </c>
      <c r="L2911" s="3565">
        <v>12845.08</v>
      </c>
      <c r="M2911" s="3565">
        <v>0</v>
      </c>
      <c r="N2911" s="3565">
        <v>0</v>
      </c>
      <c r="O2911" s="3563" t="s">
        <v>3453</v>
      </c>
    </row>
    <row r="2912" spans="1:15">
      <c r="A2912" s="3563" t="s">
        <v>7134</v>
      </c>
      <c r="B2912" s="3563" t="s">
        <v>4811</v>
      </c>
      <c r="C2912" s="3563" t="s">
        <v>4197</v>
      </c>
      <c r="D2912" s="3563" t="s">
        <v>6429</v>
      </c>
      <c r="E2912" s="3563" t="s">
        <v>4520</v>
      </c>
      <c r="F2912" s="3563" t="s">
        <v>4797</v>
      </c>
      <c r="G2912" s="3564">
        <v>87.55</v>
      </c>
      <c r="H2912" s="3564">
        <v>71</v>
      </c>
      <c r="I2912" s="3564">
        <v>16.55</v>
      </c>
      <c r="J2912" s="3565">
        <v>912001</v>
      </c>
      <c r="K2912" s="3565">
        <v>10416.92</v>
      </c>
      <c r="L2912" s="3565">
        <v>12845.08</v>
      </c>
      <c r="M2912" s="3565">
        <v>875521</v>
      </c>
      <c r="N2912" s="3565">
        <v>10000.24</v>
      </c>
      <c r="O2912" s="3566">
        <v>44190</v>
      </c>
    </row>
    <row r="2913" spans="1:15">
      <c r="A2913" s="3563" t="s">
        <v>7135</v>
      </c>
      <c r="B2913" s="3563" t="s">
        <v>4811</v>
      </c>
      <c r="C2913" s="3563" t="s">
        <v>4197</v>
      </c>
      <c r="D2913" s="3563" t="s">
        <v>6429</v>
      </c>
      <c r="E2913" s="3563" t="s">
        <v>4520</v>
      </c>
      <c r="F2913" s="3563" t="s">
        <v>4797</v>
      </c>
      <c r="G2913" s="3564">
        <v>101.12</v>
      </c>
      <c r="H2913" s="3564">
        <v>82.01</v>
      </c>
      <c r="I2913" s="3564">
        <v>19.11</v>
      </c>
      <c r="J2913" s="3565">
        <v>1042601</v>
      </c>
      <c r="K2913" s="3565">
        <v>10310.530000000001</v>
      </c>
      <c r="L2913" s="3565">
        <v>12713.1</v>
      </c>
      <c r="M2913" s="3565">
        <v>1042601</v>
      </c>
      <c r="N2913" s="3565">
        <v>10310.530000000001</v>
      </c>
      <c r="O2913" s="3566">
        <v>44191</v>
      </c>
    </row>
    <row r="2914" spans="1:15">
      <c r="A2914" s="3563" t="s">
        <v>7136</v>
      </c>
      <c r="B2914" s="3563" t="s">
        <v>4196</v>
      </c>
      <c r="C2914" s="3563" t="s">
        <v>4197</v>
      </c>
      <c r="D2914" s="3563" t="s">
        <v>6429</v>
      </c>
      <c r="E2914" s="3563" t="s">
        <v>4520</v>
      </c>
      <c r="F2914" s="3563" t="s">
        <v>4797</v>
      </c>
      <c r="G2914" s="3564">
        <v>100.79</v>
      </c>
      <c r="H2914" s="3564">
        <v>81.739999999999995</v>
      </c>
      <c r="I2914" s="3564">
        <v>19.05</v>
      </c>
      <c r="J2914" s="3565">
        <v>1087450</v>
      </c>
      <c r="K2914" s="3565">
        <v>10789.26</v>
      </c>
      <c r="L2914" s="3565">
        <v>13303.77</v>
      </c>
      <c r="M2914" s="3565">
        <v>0</v>
      </c>
      <c r="N2914" s="3565">
        <v>0</v>
      </c>
      <c r="O2914" s="3563" t="s">
        <v>3453</v>
      </c>
    </row>
    <row r="2915" spans="1:15">
      <c r="A2915" s="3563" t="s">
        <v>7137</v>
      </c>
      <c r="B2915" s="3563" t="s">
        <v>4196</v>
      </c>
      <c r="C2915" s="3563" t="s">
        <v>4197</v>
      </c>
      <c r="D2915" s="3563" t="s">
        <v>6429</v>
      </c>
      <c r="E2915" s="3563" t="s">
        <v>4520</v>
      </c>
      <c r="F2915" s="3563" t="s">
        <v>4797</v>
      </c>
      <c r="G2915" s="3564">
        <v>100.79</v>
      </c>
      <c r="H2915" s="3564">
        <v>81.739999999999995</v>
      </c>
      <c r="I2915" s="3564">
        <v>19.05</v>
      </c>
      <c r="J2915" s="3565">
        <v>1066005</v>
      </c>
      <c r="K2915" s="3565">
        <v>10576.5</v>
      </c>
      <c r="L2915" s="3565">
        <v>13041.41</v>
      </c>
      <c r="M2915" s="3565">
        <v>0</v>
      </c>
      <c r="N2915" s="3565">
        <v>0</v>
      </c>
      <c r="O2915" s="3563" t="s">
        <v>3453</v>
      </c>
    </row>
    <row r="2916" spans="1:15">
      <c r="A2916" s="3563" t="s">
        <v>7138</v>
      </c>
      <c r="B2916" s="3563" t="s">
        <v>4196</v>
      </c>
      <c r="C2916" s="3563" t="s">
        <v>4197</v>
      </c>
      <c r="D2916" s="3563" t="s">
        <v>6429</v>
      </c>
      <c r="E2916" s="3563" t="s">
        <v>4520</v>
      </c>
      <c r="F2916" s="3563" t="s">
        <v>4797</v>
      </c>
      <c r="G2916" s="3564">
        <v>109.05</v>
      </c>
      <c r="H2916" s="3564">
        <v>88.44</v>
      </c>
      <c r="I2916" s="3564">
        <v>20.61</v>
      </c>
      <c r="J2916" s="3565">
        <v>1119723</v>
      </c>
      <c r="K2916" s="3565">
        <v>10267.98</v>
      </c>
      <c r="L2916" s="3565">
        <v>12660.82</v>
      </c>
      <c r="M2916" s="3565">
        <v>0</v>
      </c>
      <c r="N2916" s="3565">
        <v>0</v>
      </c>
      <c r="O2916" s="3563" t="s">
        <v>3453</v>
      </c>
    </row>
    <row r="2917" spans="1:15">
      <c r="A2917" s="3563" t="s">
        <v>7139</v>
      </c>
      <c r="B2917" s="3563" t="s">
        <v>4196</v>
      </c>
      <c r="C2917" s="3563" t="s">
        <v>4197</v>
      </c>
      <c r="D2917" s="3563" t="s">
        <v>6429</v>
      </c>
      <c r="E2917" s="3563" t="s">
        <v>4520</v>
      </c>
      <c r="F2917" s="3563" t="s">
        <v>4797</v>
      </c>
      <c r="G2917" s="3564">
        <v>87.55</v>
      </c>
      <c r="H2917" s="3564">
        <v>71</v>
      </c>
      <c r="I2917" s="3564">
        <v>16.55</v>
      </c>
      <c r="J2917" s="3565">
        <v>903619</v>
      </c>
      <c r="K2917" s="3565">
        <v>10321.18</v>
      </c>
      <c r="L2917" s="3565">
        <v>12727.03</v>
      </c>
      <c r="M2917" s="3565">
        <v>0</v>
      </c>
      <c r="N2917" s="3565">
        <v>0</v>
      </c>
      <c r="O2917" s="3563" t="s">
        <v>3453</v>
      </c>
    </row>
    <row r="2918" spans="1:15">
      <c r="A2918" s="3563" t="s">
        <v>7140</v>
      </c>
      <c r="B2918" s="3563" t="s">
        <v>4811</v>
      </c>
      <c r="C2918" s="3563" t="s">
        <v>4197</v>
      </c>
      <c r="D2918" s="3563" t="s">
        <v>6429</v>
      </c>
      <c r="E2918" s="3563" t="s">
        <v>4520</v>
      </c>
      <c r="F2918" s="3563" t="s">
        <v>4797</v>
      </c>
      <c r="G2918" s="3564">
        <v>87.55</v>
      </c>
      <c r="H2918" s="3564">
        <v>71</v>
      </c>
      <c r="I2918" s="3564">
        <v>16.55</v>
      </c>
      <c r="J2918" s="3565">
        <v>903619</v>
      </c>
      <c r="K2918" s="3565">
        <v>10321.18</v>
      </c>
      <c r="L2918" s="3565">
        <v>12727.03</v>
      </c>
      <c r="M2918" s="3565">
        <v>867475</v>
      </c>
      <c r="N2918" s="3565">
        <v>9908.34</v>
      </c>
      <c r="O2918" s="3566">
        <v>44191</v>
      </c>
    </row>
    <row r="2919" spans="1:15">
      <c r="A2919" s="3563" t="s">
        <v>7141</v>
      </c>
      <c r="B2919" s="3563" t="s">
        <v>4196</v>
      </c>
      <c r="C2919" s="3563" t="s">
        <v>4197</v>
      </c>
      <c r="D2919" s="3563" t="s">
        <v>6429</v>
      </c>
      <c r="E2919" s="3563" t="s">
        <v>4520</v>
      </c>
      <c r="F2919" s="3563" t="s">
        <v>4797</v>
      </c>
      <c r="G2919" s="3564">
        <v>101.12</v>
      </c>
      <c r="H2919" s="3564">
        <v>82.01</v>
      </c>
      <c r="I2919" s="3564">
        <v>19.11</v>
      </c>
      <c r="J2919" s="3565">
        <v>1032920</v>
      </c>
      <c r="K2919" s="3565">
        <v>10214.790000000001</v>
      </c>
      <c r="L2919" s="3565">
        <v>12595.05</v>
      </c>
      <c r="M2919" s="3565">
        <v>0</v>
      </c>
      <c r="N2919" s="3565">
        <v>0</v>
      </c>
      <c r="O2919" s="3563" t="s">
        <v>3453</v>
      </c>
    </row>
    <row r="2920" spans="1:15">
      <c r="A2920" s="3563" t="s">
        <v>7142</v>
      </c>
      <c r="B2920" s="3563" t="s">
        <v>4196</v>
      </c>
      <c r="C2920" s="3563" t="s">
        <v>4197</v>
      </c>
      <c r="D2920" s="3563" t="s">
        <v>6429</v>
      </c>
      <c r="E2920" s="3563" t="s">
        <v>4520</v>
      </c>
      <c r="F2920" s="3563" t="s">
        <v>4797</v>
      </c>
      <c r="G2920" s="3564">
        <v>100.79</v>
      </c>
      <c r="H2920" s="3564">
        <v>81.739999999999995</v>
      </c>
      <c r="I2920" s="3564">
        <v>19.05</v>
      </c>
      <c r="J2920" s="3565">
        <v>1077800</v>
      </c>
      <c r="K2920" s="3565">
        <v>10693.52</v>
      </c>
      <c r="L2920" s="3565">
        <v>13185.71</v>
      </c>
      <c r="M2920" s="3565">
        <v>0</v>
      </c>
      <c r="N2920" s="3565">
        <v>0</v>
      </c>
      <c r="O2920" s="3563" t="s">
        <v>3453</v>
      </c>
    </row>
    <row r="2921" spans="1:15">
      <c r="A2921" s="3563" t="s">
        <v>7143</v>
      </c>
      <c r="B2921" s="3563" t="s">
        <v>4196</v>
      </c>
      <c r="C2921" s="3563" t="s">
        <v>4197</v>
      </c>
      <c r="D2921" s="3563" t="s">
        <v>6429</v>
      </c>
      <c r="E2921" s="3563" t="s">
        <v>4520</v>
      </c>
      <c r="F2921" s="3563" t="s">
        <v>4797</v>
      </c>
      <c r="G2921" s="3564">
        <v>100.79</v>
      </c>
      <c r="H2921" s="3564">
        <v>81.739999999999995</v>
      </c>
      <c r="I2921" s="3564">
        <v>19.05</v>
      </c>
      <c r="J2921" s="3565">
        <v>1056355</v>
      </c>
      <c r="K2921" s="3565">
        <v>10480.75</v>
      </c>
      <c r="L2921" s="3565">
        <v>12923.35</v>
      </c>
      <c r="M2921" s="3565">
        <v>0</v>
      </c>
      <c r="N2921" s="3565">
        <v>0</v>
      </c>
      <c r="O2921" s="3563" t="s">
        <v>3453</v>
      </c>
    </row>
    <row r="2922" spans="1:15">
      <c r="A2922" s="3563" t="s">
        <v>7144</v>
      </c>
      <c r="B2922" s="3563" t="s">
        <v>4196</v>
      </c>
      <c r="C2922" s="3563" t="s">
        <v>4197</v>
      </c>
      <c r="D2922" s="3563" t="s">
        <v>6429</v>
      </c>
      <c r="E2922" s="3563" t="s">
        <v>4520</v>
      </c>
      <c r="F2922" s="3563" t="s">
        <v>4797</v>
      </c>
      <c r="G2922" s="3564">
        <v>109.05</v>
      </c>
      <c r="H2922" s="3564">
        <v>88.44</v>
      </c>
      <c r="I2922" s="3564">
        <v>20.61</v>
      </c>
      <c r="J2922" s="3565">
        <v>1132485</v>
      </c>
      <c r="K2922" s="3565">
        <v>10385.01</v>
      </c>
      <c r="L2922" s="3565">
        <v>12805.12</v>
      </c>
      <c r="M2922" s="3565">
        <v>0</v>
      </c>
      <c r="N2922" s="3565">
        <v>0</v>
      </c>
      <c r="O2922" s="3563" t="s">
        <v>3453</v>
      </c>
    </row>
    <row r="2923" spans="1:15">
      <c r="A2923" s="3563" t="s">
        <v>7145</v>
      </c>
      <c r="B2923" s="3563" t="s">
        <v>3453</v>
      </c>
      <c r="C2923" s="3563" t="s">
        <v>4197</v>
      </c>
      <c r="D2923" s="3563" t="s">
        <v>6429</v>
      </c>
      <c r="E2923" s="3563" t="s">
        <v>4520</v>
      </c>
      <c r="F2923" s="3563" t="s">
        <v>4797</v>
      </c>
      <c r="G2923" s="3564">
        <v>87.55</v>
      </c>
      <c r="H2923" s="3564">
        <v>71</v>
      </c>
      <c r="I2923" s="3564">
        <v>16.55</v>
      </c>
      <c r="J2923" s="3565">
        <v>913864</v>
      </c>
      <c r="K2923" s="3565">
        <v>10438.200000000001</v>
      </c>
      <c r="L2923" s="3565">
        <v>12871.32</v>
      </c>
      <c r="M2923" s="3565">
        <v>0</v>
      </c>
      <c r="N2923" s="3565">
        <v>0</v>
      </c>
      <c r="O2923" s="3563" t="s">
        <v>3453</v>
      </c>
    </row>
    <row r="2924" spans="1:15">
      <c r="A2924" s="3563" t="s">
        <v>7146</v>
      </c>
      <c r="B2924" s="3563" t="s">
        <v>4811</v>
      </c>
      <c r="C2924" s="3563" t="s">
        <v>4197</v>
      </c>
      <c r="D2924" s="3563" t="s">
        <v>6429</v>
      </c>
      <c r="E2924" s="3563" t="s">
        <v>4520</v>
      </c>
      <c r="F2924" s="3563" t="s">
        <v>4797</v>
      </c>
      <c r="G2924" s="3564">
        <v>87.55</v>
      </c>
      <c r="H2924" s="3564">
        <v>71</v>
      </c>
      <c r="I2924" s="3564">
        <v>16.55</v>
      </c>
      <c r="J2924" s="3565">
        <v>913864</v>
      </c>
      <c r="K2924" s="3565">
        <v>10438.200000000001</v>
      </c>
      <c r="L2924" s="3565">
        <v>12871.32</v>
      </c>
      <c r="M2924" s="3565">
        <v>877310</v>
      </c>
      <c r="N2924" s="3565">
        <v>10020.67</v>
      </c>
      <c r="O2924" s="3566">
        <v>44190</v>
      </c>
    </row>
    <row r="2925" spans="1:15">
      <c r="A2925" s="3563" t="s">
        <v>7147</v>
      </c>
      <c r="B2925" s="3563" t="s">
        <v>4196</v>
      </c>
      <c r="C2925" s="3563" t="s">
        <v>4197</v>
      </c>
      <c r="D2925" s="3563" t="s">
        <v>6429</v>
      </c>
      <c r="E2925" s="3563" t="s">
        <v>4520</v>
      </c>
      <c r="F2925" s="3563" t="s">
        <v>4797</v>
      </c>
      <c r="G2925" s="3564">
        <v>101.12</v>
      </c>
      <c r="H2925" s="3564">
        <v>82.01</v>
      </c>
      <c r="I2925" s="3564">
        <v>19.11</v>
      </c>
      <c r="J2925" s="3565">
        <v>1044753</v>
      </c>
      <c r="K2925" s="3565">
        <v>10331.81</v>
      </c>
      <c r="L2925" s="3565">
        <v>12739.34</v>
      </c>
      <c r="M2925" s="3565">
        <v>0</v>
      </c>
      <c r="N2925" s="3565">
        <v>0</v>
      </c>
      <c r="O2925" s="3563" t="s">
        <v>3453</v>
      </c>
    </row>
    <row r="2926" spans="1:15">
      <c r="A2926" s="3563" t="s">
        <v>7148</v>
      </c>
      <c r="B2926" s="3563" t="s">
        <v>4196</v>
      </c>
      <c r="C2926" s="3563" t="s">
        <v>4197</v>
      </c>
      <c r="D2926" s="3563" t="s">
        <v>6429</v>
      </c>
      <c r="E2926" s="3563" t="s">
        <v>4520</v>
      </c>
      <c r="F2926" s="3563" t="s">
        <v>4797</v>
      </c>
      <c r="G2926" s="3564">
        <v>100.79</v>
      </c>
      <c r="H2926" s="3564">
        <v>81.739999999999995</v>
      </c>
      <c r="I2926" s="3564">
        <v>19.05</v>
      </c>
      <c r="J2926" s="3565">
        <v>1089594</v>
      </c>
      <c r="K2926" s="3565">
        <v>10810.54</v>
      </c>
      <c r="L2926" s="3565">
        <v>13330</v>
      </c>
      <c r="M2926" s="3565">
        <v>0</v>
      </c>
      <c r="N2926" s="3565">
        <v>0</v>
      </c>
      <c r="O2926" s="3563" t="s">
        <v>3453</v>
      </c>
    </row>
    <row r="2927" spans="1:15">
      <c r="A2927" s="3563" t="s">
        <v>7149</v>
      </c>
      <c r="B2927" s="3563" t="s">
        <v>4196</v>
      </c>
      <c r="C2927" s="3563" t="s">
        <v>4197</v>
      </c>
      <c r="D2927" s="3563" t="s">
        <v>6429</v>
      </c>
      <c r="E2927" s="3563" t="s">
        <v>4520</v>
      </c>
      <c r="F2927" s="3563" t="s">
        <v>4797</v>
      </c>
      <c r="G2927" s="3564">
        <v>100.79</v>
      </c>
      <c r="H2927" s="3564">
        <v>81.739999999999995</v>
      </c>
      <c r="I2927" s="3564">
        <v>19.05</v>
      </c>
      <c r="J2927" s="3565">
        <v>1068149</v>
      </c>
      <c r="K2927" s="3565">
        <v>10597.77</v>
      </c>
      <c r="L2927" s="3565">
        <v>13067.64</v>
      </c>
      <c r="M2927" s="3565">
        <v>0</v>
      </c>
      <c r="N2927" s="3565">
        <v>0</v>
      </c>
      <c r="O2927" s="3563" t="s">
        <v>3453</v>
      </c>
    </row>
    <row r="2928" spans="1:15">
      <c r="A2928" s="3563" t="s">
        <v>7150</v>
      </c>
      <c r="B2928" s="3563" t="s">
        <v>4196</v>
      </c>
      <c r="C2928" s="3563" t="s">
        <v>4197</v>
      </c>
      <c r="D2928" s="3563" t="s">
        <v>6429</v>
      </c>
      <c r="E2928" s="3563" t="s">
        <v>4520</v>
      </c>
      <c r="F2928" s="3563" t="s">
        <v>4797</v>
      </c>
      <c r="G2928" s="3564">
        <v>109.05</v>
      </c>
      <c r="H2928" s="3564">
        <v>88.44</v>
      </c>
      <c r="I2928" s="3564">
        <v>20.61</v>
      </c>
      <c r="J2928" s="3565">
        <v>1131324</v>
      </c>
      <c r="K2928" s="3565">
        <v>10374.36</v>
      </c>
      <c r="L2928" s="3565">
        <v>12791.99</v>
      </c>
      <c r="M2928" s="3565">
        <v>0</v>
      </c>
      <c r="N2928" s="3565">
        <v>0</v>
      </c>
      <c r="O2928" s="3563" t="s">
        <v>3453</v>
      </c>
    </row>
    <row r="2929" spans="1:15">
      <c r="A2929" s="3563" t="s">
        <v>7151</v>
      </c>
      <c r="B2929" s="3563" t="s">
        <v>3453</v>
      </c>
      <c r="C2929" s="3563" t="s">
        <v>4197</v>
      </c>
      <c r="D2929" s="3563" t="s">
        <v>6429</v>
      </c>
      <c r="E2929" s="3563" t="s">
        <v>4520</v>
      </c>
      <c r="F2929" s="3563" t="s">
        <v>4797</v>
      </c>
      <c r="G2929" s="3564">
        <v>87.55</v>
      </c>
      <c r="H2929" s="3564">
        <v>71</v>
      </c>
      <c r="I2929" s="3564">
        <v>16.55</v>
      </c>
      <c r="J2929" s="3565">
        <v>912933</v>
      </c>
      <c r="K2929" s="3565">
        <v>10427.56</v>
      </c>
      <c r="L2929" s="3565">
        <v>12858.21</v>
      </c>
      <c r="M2929" s="3565">
        <v>0</v>
      </c>
      <c r="N2929" s="3565">
        <v>0</v>
      </c>
      <c r="O2929" s="3563" t="s">
        <v>3453</v>
      </c>
    </row>
    <row r="2930" spans="1:15">
      <c r="A2930" s="3563" t="s">
        <v>7152</v>
      </c>
      <c r="B2930" s="3563" t="s">
        <v>3453</v>
      </c>
      <c r="C2930" s="3563" t="s">
        <v>4197</v>
      </c>
      <c r="D2930" s="3563" t="s">
        <v>6429</v>
      </c>
      <c r="E2930" s="3563" t="s">
        <v>4520</v>
      </c>
      <c r="F2930" s="3563" t="s">
        <v>4797</v>
      </c>
      <c r="G2930" s="3564">
        <v>87.55</v>
      </c>
      <c r="H2930" s="3564">
        <v>71</v>
      </c>
      <c r="I2930" s="3564">
        <v>16.55</v>
      </c>
      <c r="J2930" s="3565">
        <v>912933</v>
      </c>
      <c r="K2930" s="3565">
        <v>10427.56</v>
      </c>
      <c r="L2930" s="3565">
        <v>12858.21</v>
      </c>
      <c r="M2930" s="3565">
        <v>0</v>
      </c>
      <c r="N2930" s="3565">
        <v>0</v>
      </c>
      <c r="O2930" s="3563" t="s">
        <v>3453</v>
      </c>
    </row>
    <row r="2931" spans="1:15">
      <c r="A2931" s="3563" t="s">
        <v>7153</v>
      </c>
      <c r="B2931" s="3563" t="s">
        <v>4811</v>
      </c>
      <c r="C2931" s="3563" t="s">
        <v>4197</v>
      </c>
      <c r="D2931" s="3563" t="s">
        <v>6429</v>
      </c>
      <c r="E2931" s="3563" t="s">
        <v>4520</v>
      </c>
      <c r="F2931" s="3563" t="s">
        <v>4797</v>
      </c>
      <c r="G2931" s="3564">
        <v>101.12</v>
      </c>
      <c r="H2931" s="3564">
        <v>82.01</v>
      </c>
      <c r="I2931" s="3564">
        <v>19.11</v>
      </c>
      <c r="J2931" s="3565">
        <v>1043678</v>
      </c>
      <c r="K2931" s="3565">
        <v>10321.18</v>
      </c>
      <c r="L2931" s="3565">
        <v>12726.23</v>
      </c>
      <c r="M2931" s="3565">
        <v>949747</v>
      </c>
      <c r="N2931" s="3565">
        <v>9392.2800000000007</v>
      </c>
      <c r="O2931" s="3566">
        <v>44190</v>
      </c>
    </row>
    <row r="2932" spans="1:15">
      <c r="A2932" s="3563" t="s">
        <v>7154</v>
      </c>
      <c r="B2932" s="3563" t="s">
        <v>4811</v>
      </c>
      <c r="C2932" s="3563" t="s">
        <v>4197</v>
      </c>
      <c r="D2932" s="3563" t="s">
        <v>6429</v>
      </c>
      <c r="E2932" s="3563" t="s">
        <v>4520</v>
      </c>
      <c r="F2932" s="3563" t="s">
        <v>4797</v>
      </c>
      <c r="G2932" s="3564">
        <v>100.79</v>
      </c>
      <c r="H2932" s="3564">
        <v>81.739999999999995</v>
      </c>
      <c r="I2932" s="3564">
        <v>19.05</v>
      </c>
      <c r="J2932" s="3565">
        <v>1088522</v>
      </c>
      <c r="K2932" s="3565">
        <v>10799.9</v>
      </c>
      <c r="L2932" s="3565">
        <v>13316.88</v>
      </c>
      <c r="M2932" s="3565">
        <v>1055867</v>
      </c>
      <c r="N2932" s="3565">
        <v>10475.91</v>
      </c>
      <c r="O2932" s="3566">
        <v>44191</v>
      </c>
    </row>
    <row r="2933" spans="1:15">
      <c r="A2933" s="3563" t="s">
        <v>7155</v>
      </c>
      <c r="B2933" s="3563" t="s">
        <v>4196</v>
      </c>
      <c r="C2933" s="3563" t="s">
        <v>4197</v>
      </c>
      <c r="D2933" s="3563" t="s">
        <v>6429</v>
      </c>
      <c r="E2933" s="3563" t="s">
        <v>4520</v>
      </c>
      <c r="F2933" s="3563" t="s">
        <v>4797</v>
      </c>
      <c r="G2933" s="3564">
        <v>100.79</v>
      </c>
      <c r="H2933" s="3564">
        <v>81.739999999999995</v>
      </c>
      <c r="I2933" s="3564">
        <v>19.05</v>
      </c>
      <c r="J2933" s="3565">
        <v>1067078</v>
      </c>
      <c r="K2933" s="3565">
        <v>10587.14</v>
      </c>
      <c r="L2933" s="3565">
        <v>13054.54</v>
      </c>
      <c r="M2933" s="3565">
        <v>0</v>
      </c>
      <c r="N2933" s="3565">
        <v>0</v>
      </c>
      <c r="O2933" s="3563" t="s">
        <v>3453</v>
      </c>
    </row>
    <row r="2934" spans="1:15">
      <c r="A2934" s="3563" t="s">
        <v>7156</v>
      </c>
      <c r="B2934" s="3563" t="s">
        <v>4196</v>
      </c>
      <c r="C2934" s="3563" t="s">
        <v>4197</v>
      </c>
      <c r="D2934" s="3563" t="s">
        <v>6429</v>
      </c>
      <c r="E2934" s="3563" t="s">
        <v>4520</v>
      </c>
      <c r="F2934" s="3563" t="s">
        <v>4797</v>
      </c>
      <c r="G2934" s="3564">
        <v>109.05</v>
      </c>
      <c r="H2934" s="3564">
        <v>88.44</v>
      </c>
      <c r="I2934" s="3564">
        <v>20.61</v>
      </c>
      <c r="J2934" s="3565">
        <v>1130165</v>
      </c>
      <c r="K2934" s="3565">
        <v>10363.73</v>
      </c>
      <c r="L2934" s="3565">
        <v>12778.89</v>
      </c>
      <c r="M2934" s="3565">
        <v>0</v>
      </c>
      <c r="N2934" s="3565">
        <v>0</v>
      </c>
      <c r="O2934" s="3563" t="s">
        <v>3453</v>
      </c>
    </row>
    <row r="2935" spans="1:15">
      <c r="A2935" s="3563" t="s">
        <v>7157</v>
      </c>
      <c r="B2935" s="3563" t="s">
        <v>4196</v>
      </c>
      <c r="C2935" s="3563" t="s">
        <v>4197</v>
      </c>
      <c r="D2935" s="3563" t="s">
        <v>6429</v>
      </c>
      <c r="E2935" s="3563" t="s">
        <v>4520</v>
      </c>
      <c r="F2935" s="3563" t="s">
        <v>4797</v>
      </c>
      <c r="G2935" s="3564">
        <v>87.55</v>
      </c>
      <c r="H2935" s="3564">
        <v>71</v>
      </c>
      <c r="I2935" s="3564">
        <v>16.55</v>
      </c>
      <c r="J2935" s="3565">
        <v>912001</v>
      </c>
      <c r="K2935" s="3565">
        <v>10416.92</v>
      </c>
      <c r="L2935" s="3565">
        <v>12845.08</v>
      </c>
      <c r="M2935" s="3565">
        <v>0</v>
      </c>
      <c r="N2935" s="3565">
        <v>0</v>
      </c>
      <c r="O2935" s="3563" t="s">
        <v>3453</v>
      </c>
    </row>
    <row r="2936" spans="1:15">
      <c r="A2936" s="3563" t="s">
        <v>7158</v>
      </c>
      <c r="B2936" s="3563" t="s">
        <v>5277</v>
      </c>
      <c r="C2936" s="3563" t="s">
        <v>4197</v>
      </c>
      <c r="D2936" s="3563" t="s">
        <v>6429</v>
      </c>
      <c r="E2936" s="3563" t="s">
        <v>4520</v>
      </c>
      <c r="F2936" s="3563" t="s">
        <v>4797</v>
      </c>
      <c r="G2936" s="3564">
        <v>87.55</v>
      </c>
      <c r="H2936" s="3564">
        <v>71</v>
      </c>
      <c r="I2936" s="3564">
        <v>16.55</v>
      </c>
      <c r="J2936" s="3565">
        <v>912001</v>
      </c>
      <c r="K2936" s="3565">
        <v>10416.92</v>
      </c>
      <c r="L2936" s="3565">
        <v>12845.08</v>
      </c>
      <c r="M2936" s="3565">
        <v>875521</v>
      </c>
      <c r="N2936" s="3565">
        <v>10000.24</v>
      </c>
      <c r="O2936" s="3566">
        <v>44190</v>
      </c>
    </row>
    <row r="2937" spans="1:15">
      <c r="A2937" s="3563" t="s">
        <v>7159</v>
      </c>
      <c r="B2937" s="3563" t="s">
        <v>4196</v>
      </c>
      <c r="C2937" s="3563" t="s">
        <v>4197</v>
      </c>
      <c r="D2937" s="3563" t="s">
        <v>6429</v>
      </c>
      <c r="E2937" s="3563" t="s">
        <v>4520</v>
      </c>
      <c r="F2937" s="3563" t="s">
        <v>4797</v>
      </c>
      <c r="G2937" s="3564">
        <v>101.12</v>
      </c>
      <c r="H2937" s="3564">
        <v>82.01</v>
      </c>
      <c r="I2937" s="3564">
        <v>19.11</v>
      </c>
      <c r="J2937" s="3565">
        <v>1042601</v>
      </c>
      <c r="K2937" s="3565">
        <v>10310.530000000001</v>
      </c>
      <c r="L2937" s="3565">
        <v>12713.1</v>
      </c>
      <c r="M2937" s="3565">
        <v>0</v>
      </c>
      <c r="N2937" s="3565">
        <v>0</v>
      </c>
      <c r="O2937" s="3563" t="s">
        <v>3453</v>
      </c>
    </row>
    <row r="2938" spans="1:15">
      <c r="A2938" s="3563" t="s">
        <v>7160</v>
      </c>
      <c r="B2938" s="3563" t="s">
        <v>4196</v>
      </c>
      <c r="C2938" s="3563" t="s">
        <v>4197</v>
      </c>
      <c r="D2938" s="3563" t="s">
        <v>6429</v>
      </c>
      <c r="E2938" s="3563" t="s">
        <v>4520</v>
      </c>
      <c r="F2938" s="3563" t="s">
        <v>4797</v>
      </c>
      <c r="G2938" s="3564">
        <v>100.79</v>
      </c>
      <c r="H2938" s="3564">
        <v>81.739999999999995</v>
      </c>
      <c r="I2938" s="3564">
        <v>19.05</v>
      </c>
      <c r="J2938" s="3565">
        <v>1087450</v>
      </c>
      <c r="K2938" s="3565">
        <v>10789.26</v>
      </c>
      <c r="L2938" s="3565">
        <v>13303.77</v>
      </c>
      <c r="M2938" s="3565">
        <v>0</v>
      </c>
      <c r="N2938" s="3565">
        <v>0</v>
      </c>
      <c r="O2938" s="3563" t="s">
        <v>3453</v>
      </c>
    </row>
    <row r="2939" spans="1:15">
      <c r="A2939" s="3563" t="s">
        <v>7161</v>
      </c>
      <c r="B2939" s="3563" t="s">
        <v>4196</v>
      </c>
      <c r="C2939" s="3563" t="s">
        <v>4197</v>
      </c>
      <c r="D2939" s="3563" t="s">
        <v>6429</v>
      </c>
      <c r="E2939" s="3563" t="s">
        <v>4520</v>
      </c>
      <c r="F2939" s="3563" t="s">
        <v>4797</v>
      </c>
      <c r="G2939" s="3564">
        <v>100.79</v>
      </c>
      <c r="H2939" s="3564">
        <v>81.739999999999995</v>
      </c>
      <c r="I2939" s="3564">
        <v>19.05</v>
      </c>
      <c r="J2939" s="3565">
        <v>1066005</v>
      </c>
      <c r="K2939" s="3565">
        <v>10576.5</v>
      </c>
      <c r="L2939" s="3565">
        <v>13041.41</v>
      </c>
      <c r="M2939" s="3565">
        <v>0</v>
      </c>
      <c r="N2939" s="3565">
        <v>0</v>
      </c>
      <c r="O2939" s="3563" t="s">
        <v>3453</v>
      </c>
    </row>
    <row r="2940" spans="1:15">
      <c r="A2940" s="3563" t="s">
        <v>7162</v>
      </c>
      <c r="B2940" s="3563" t="s">
        <v>4196</v>
      </c>
      <c r="C2940" s="3563" t="s">
        <v>4197</v>
      </c>
      <c r="D2940" s="3563" t="s">
        <v>6429</v>
      </c>
      <c r="E2940" s="3563" t="s">
        <v>4520</v>
      </c>
      <c r="F2940" s="3563" t="s">
        <v>4797</v>
      </c>
      <c r="G2940" s="3564">
        <v>109.05</v>
      </c>
      <c r="H2940" s="3564">
        <v>88.44</v>
      </c>
      <c r="I2940" s="3564">
        <v>20.61</v>
      </c>
      <c r="J2940" s="3565">
        <v>1117403</v>
      </c>
      <c r="K2940" s="3565">
        <v>10246.700000000001</v>
      </c>
      <c r="L2940" s="3565">
        <v>12634.59</v>
      </c>
      <c r="M2940" s="3565">
        <v>0</v>
      </c>
      <c r="N2940" s="3565">
        <v>0</v>
      </c>
      <c r="O2940" s="3563" t="s">
        <v>3453</v>
      </c>
    </row>
    <row r="2941" spans="1:15">
      <c r="A2941" s="3563" t="s">
        <v>7163</v>
      </c>
      <c r="B2941" s="3563" t="s">
        <v>4196</v>
      </c>
      <c r="C2941" s="3563" t="s">
        <v>4197</v>
      </c>
      <c r="D2941" s="3563" t="s">
        <v>6429</v>
      </c>
      <c r="E2941" s="3563" t="s">
        <v>4520</v>
      </c>
      <c r="F2941" s="3563" t="s">
        <v>4797</v>
      </c>
      <c r="G2941" s="3564">
        <v>87.55</v>
      </c>
      <c r="H2941" s="3564">
        <v>71</v>
      </c>
      <c r="I2941" s="3564">
        <v>16.55</v>
      </c>
      <c r="J2941" s="3565">
        <v>901756</v>
      </c>
      <c r="K2941" s="3565">
        <v>10299.9</v>
      </c>
      <c r="L2941" s="3565">
        <v>12700.79</v>
      </c>
      <c r="M2941" s="3565">
        <v>0</v>
      </c>
      <c r="N2941" s="3565">
        <v>0</v>
      </c>
      <c r="O2941" s="3563" t="s">
        <v>3453</v>
      </c>
    </row>
    <row r="2942" spans="1:15">
      <c r="A2942" s="3563" t="s">
        <v>7164</v>
      </c>
      <c r="B2942" s="3563" t="s">
        <v>4196</v>
      </c>
      <c r="C2942" s="3563" t="s">
        <v>4197</v>
      </c>
      <c r="D2942" s="3563" t="s">
        <v>6429</v>
      </c>
      <c r="E2942" s="3563" t="s">
        <v>4520</v>
      </c>
      <c r="F2942" s="3563" t="s">
        <v>4797</v>
      </c>
      <c r="G2942" s="3564">
        <v>87.55</v>
      </c>
      <c r="H2942" s="3564">
        <v>71</v>
      </c>
      <c r="I2942" s="3564">
        <v>16.55</v>
      </c>
      <c r="J2942" s="3565">
        <v>901756</v>
      </c>
      <c r="K2942" s="3565">
        <v>10299.9</v>
      </c>
      <c r="L2942" s="3565">
        <v>12700.79</v>
      </c>
      <c r="M2942" s="3565">
        <v>0</v>
      </c>
      <c r="N2942" s="3565">
        <v>0</v>
      </c>
      <c r="O2942" s="3563" t="s">
        <v>3453</v>
      </c>
    </row>
    <row r="2943" spans="1:15">
      <c r="A2943" s="3563" t="s">
        <v>7165</v>
      </c>
      <c r="B2943" s="3563" t="s">
        <v>4811</v>
      </c>
      <c r="C2943" s="3563" t="s">
        <v>4197</v>
      </c>
      <c r="D2943" s="3563" t="s">
        <v>6429</v>
      </c>
      <c r="E2943" s="3563" t="s">
        <v>4520</v>
      </c>
      <c r="F2943" s="3563" t="s">
        <v>4797</v>
      </c>
      <c r="G2943" s="3564">
        <v>101.12</v>
      </c>
      <c r="H2943" s="3564">
        <v>82.01</v>
      </c>
      <c r="I2943" s="3564">
        <v>19.11</v>
      </c>
      <c r="J2943" s="3565">
        <v>1030768</v>
      </c>
      <c r="K2943" s="3565">
        <v>10193.51</v>
      </c>
      <c r="L2943" s="3565">
        <v>12568.81</v>
      </c>
      <c r="M2943" s="3565">
        <v>989538</v>
      </c>
      <c r="N2943" s="3565">
        <v>9785.7800000000007</v>
      </c>
      <c r="O2943" s="3566">
        <v>44191</v>
      </c>
    </row>
    <row r="2944" spans="1:15">
      <c r="A2944" s="3563" t="s">
        <v>7166</v>
      </c>
      <c r="B2944" s="3563" t="s">
        <v>4196</v>
      </c>
      <c r="C2944" s="3563" t="s">
        <v>4197</v>
      </c>
      <c r="D2944" s="3563" t="s">
        <v>6429</v>
      </c>
      <c r="E2944" s="3563" t="s">
        <v>4520</v>
      </c>
      <c r="F2944" s="3563" t="s">
        <v>4797</v>
      </c>
      <c r="G2944" s="3564">
        <v>100.79</v>
      </c>
      <c r="H2944" s="3564">
        <v>81.739999999999995</v>
      </c>
      <c r="I2944" s="3564">
        <v>19.05</v>
      </c>
      <c r="J2944" s="3565">
        <v>1075655</v>
      </c>
      <c r="K2944" s="3565">
        <v>10672.24</v>
      </c>
      <c r="L2944" s="3565">
        <v>13159.47</v>
      </c>
      <c r="M2944" s="3565">
        <v>0</v>
      </c>
      <c r="N2944" s="3565">
        <v>0</v>
      </c>
      <c r="O2944" s="3563" t="s">
        <v>3453</v>
      </c>
    </row>
    <row r="2945" spans="1:15">
      <c r="A2945" s="3563" t="s">
        <v>7167</v>
      </c>
      <c r="B2945" s="3563" t="s">
        <v>4196</v>
      </c>
      <c r="C2945" s="3563" t="s">
        <v>4197</v>
      </c>
      <c r="D2945" s="3563" t="s">
        <v>6429</v>
      </c>
      <c r="E2945" s="3563" t="s">
        <v>4520</v>
      </c>
      <c r="F2945" s="3563" t="s">
        <v>4797</v>
      </c>
      <c r="G2945" s="3564">
        <v>100.79</v>
      </c>
      <c r="H2945" s="3564">
        <v>81.739999999999995</v>
      </c>
      <c r="I2945" s="3564">
        <v>19.05</v>
      </c>
      <c r="J2945" s="3565">
        <v>1054211</v>
      </c>
      <c r="K2945" s="3565">
        <v>10459.48</v>
      </c>
      <c r="L2945" s="3565">
        <v>12897.13</v>
      </c>
      <c r="M2945" s="3565">
        <v>0</v>
      </c>
      <c r="N2945" s="3565">
        <v>0</v>
      </c>
      <c r="O2945" s="3563" t="s">
        <v>3453</v>
      </c>
    </row>
    <row r="2946" spans="1:15">
      <c r="A2946" s="3563" t="s">
        <v>7168</v>
      </c>
      <c r="B2946" s="3563" t="s">
        <v>4196</v>
      </c>
      <c r="C2946" s="3563" t="s">
        <v>4197</v>
      </c>
      <c r="D2946" s="3563" t="s">
        <v>6429</v>
      </c>
      <c r="E2946" s="3563" t="s">
        <v>4520</v>
      </c>
      <c r="F2946" s="3563" t="s">
        <v>4797</v>
      </c>
      <c r="G2946" s="3564">
        <v>109.05</v>
      </c>
      <c r="H2946" s="3564">
        <v>88.44</v>
      </c>
      <c r="I2946" s="3564">
        <v>20.61</v>
      </c>
      <c r="J2946" s="3565">
        <v>1127845</v>
      </c>
      <c r="K2946" s="3565">
        <v>10342.459999999999</v>
      </c>
      <c r="L2946" s="3565">
        <v>12752.66</v>
      </c>
      <c r="M2946" s="3565">
        <v>0</v>
      </c>
      <c r="N2946" s="3565">
        <v>0</v>
      </c>
      <c r="O2946" s="3563" t="s">
        <v>3453</v>
      </c>
    </row>
    <row r="2947" spans="1:15">
      <c r="A2947" s="3563" t="s">
        <v>7169</v>
      </c>
      <c r="B2947" s="3563" t="s">
        <v>4811</v>
      </c>
      <c r="C2947" s="3563" t="s">
        <v>4197</v>
      </c>
      <c r="D2947" s="3563" t="s">
        <v>6429</v>
      </c>
      <c r="E2947" s="3563" t="s">
        <v>4520</v>
      </c>
      <c r="F2947" s="3563" t="s">
        <v>4797</v>
      </c>
      <c r="G2947" s="3564">
        <v>87.55</v>
      </c>
      <c r="H2947" s="3564">
        <v>71</v>
      </c>
      <c r="I2947" s="3564">
        <v>16.55</v>
      </c>
      <c r="J2947" s="3565">
        <v>910138</v>
      </c>
      <c r="K2947" s="3565">
        <v>10395.64</v>
      </c>
      <c r="L2947" s="3565">
        <v>12818.85</v>
      </c>
      <c r="M2947" s="3565">
        <v>873733</v>
      </c>
      <c r="N2947" s="3565">
        <v>9979.82</v>
      </c>
      <c r="O2947" s="3566">
        <v>44190</v>
      </c>
    </row>
    <row r="2948" spans="1:15">
      <c r="A2948" s="3563" t="s">
        <v>7170</v>
      </c>
      <c r="B2948" s="3563" t="s">
        <v>5277</v>
      </c>
      <c r="C2948" s="3563" t="s">
        <v>4197</v>
      </c>
      <c r="D2948" s="3563" t="s">
        <v>6429</v>
      </c>
      <c r="E2948" s="3563" t="s">
        <v>4520</v>
      </c>
      <c r="F2948" s="3563" t="s">
        <v>4797</v>
      </c>
      <c r="G2948" s="3564">
        <v>87.55</v>
      </c>
      <c r="H2948" s="3564">
        <v>71</v>
      </c>
      <c r="I2948" s="3564">
        <v>16.55</v>
      </c>
      <c r="J2948" s="3565">
        <v>910138</v>
      </c>
      <c r="K2948" s="3565">
        <v>10395.64</v>
      </c>
      <c r="L2948" s="3565">
        <v>12818.85</v>
      </c>
      <c r="M2948" s="3565">
        <v>873733</v>
      </c>
      <c r="N2948" s="3565">
        <v>9979.82</v>
      </c>
      <c r="O2948" s="3566">
        <v>44190</v>
      </c>
    </row>
    <row r="2949" spans="1:15">
      <c r="A2949" s="3563" t="s">
        <v>7171</v>
      </c>
      <c r="B2949" s="3563" t="s">
        <v>4196</v>
      </c>
      <c r="C2949" s="3563" t="s">
        <v>4197</v>
      </c>
      <c r="D2949" s="3563" t="s">
        <v>6429</v>
      </c>
      <c r="E2949" s="3563" t="s">
        <v>4520</v>
      </c>
      <c r="F2949" s="3563" t="s">
        <v>4797</v>
      </c>
      <c r="G2949" s="3564">
        <v>101.12</v>
      </c>
      <c r="H2949" s="3564">
        <v>82.01</v>
      </c>
      <c r="I2949" s="3564">
        <v>19.11</v>
      </c>
      <c r="J2949" s="3565">
        <v>1040450</v>
      </c>
      <c r="K2949" s="3565">
        <v>10289.26</v>
      </c>
      <c r="L2949" s="3565">
        <v>12686.87</v>
      </c>
      <c r="M2949" s="3565">
        <v>0</v>
      </c>
      <c r="N2949" s="3565">
        <v>0</v>
      </c>
      <c r="O2949" s="3563" t="s">
        <v>3453</v>
      </c>
    </row>
    <row r="2950" spans="1:15">
      <c r="A2950" s="3563" t="s">
        <v>7172</v>
      </c>
      <c r="B2950" s="3563" t="s">
        <v>4196</v>
      </c>
      <c r="C2950" s="3563" t="s">
        <v>4197</v>
      </c>
      <c r="D2950" s="3563" t="s">
        <v>6429</v>
      </c>
      <c r="E2950" s="3563" t="s">
        <v>4520</v>
      </c>
      <c r="F2950" s="3563" t="s">
        <v>4797</v>
      </c>
      <c r="G2950" s="3564">
        <v>100.79</v>
      </c>
      <c r="H2950" s="3564">
        <v>81.739999999999995</v>
      </c>
      <c r="I2950" s="3564">
        <v>19.05</v>
      </c>
      <c r="J2950" s="3565">
        <v>1085305</v>
      </c>
      <c r="K2950" s="3565">
        <v>10767.98</v>
      </c>
      <c r="L2950" s="3565">
        <v>13277.53</v>
      </c>
      <c r="M2950" s="3565">
        <v>0</v>
      </c>
      <c r="N2950" s="3565">
        <v>0</v>
      </c>
      <c r="O2950" s="3563" t="s">
        <v>3453</v>
      </c>
    </row>
    <row r="2951" spans="1:15">
      <c r="A2951" s="3563" t="s">
        <v>7173</v>
      </c>
      <c r="B2951" s="3563" t="s">
        <v>4196</v>
      </c>
      <c r="C2951" s="3563" t="s">
        <v>4197</v>
      </c>
      <c r="D2951" s="3563" t="s">
        <v>6429</v>
      </c>
      <c r="E2951" s="3563" t="s">
        <v>4520</v>
      </c>
      <c r="F2951" s="3563" t="s">
        <v>4797</v>
      </c>
      <c r="G2951" s="3564">
        <v>100.79</v>
      </c>
      <c r="H2951" s="3564">
        <v>81.739999999999995</v>
      </c>
      <c r="I2951" s="3564">
        <v>19.05</v>
      </c>
      <c r="J2951" s="3565">
        <v>1063861</v>
      </c>
      <c r="K2951" s="3565">
        <v>10555.22</v>
      </c>
      <c r="L2951" s="3565">
        <v>13015.18</v>
      </c>
      <c r="M2951" s="3565">
        <v>0</v>
      </c>
      <c r="N2951" s="3565">
        <v>0</v>
      </c>
      <c r="O2951" s="3563" t="s">
        <v>3453</v>
      </c>
    </row>
    <row r="2952" spans="1:15">
      <c r="A2952" s="3563" t="s">
        <v>7174</v>
      </c>
      <c r="B2952" s="3563" t="s">
        <v>4811</v>
      </c>
      <c r="C2952" s="3563" t="s">
        <v>4197</v>
      </c>
      <c r="D2952" s="3563" t="s">
        <v>6429</v>
      </c>
      <c r="E2952" s="3563" t="s">
        <v>4520</v>
      </c>
      <c r="F2952" s="3563" t="s">
        <v>4797</v>
      </c>
      <c r="G2952" s="3564">
        <v>88.75</v>
      </c>
      <c r="H2952" s="3564">
        <v>71</v>
      </c>
      <c r="I2952" s="3564">
        <v>17.75</v>
      </c>
      <c r="J2952" s="3565">
        <v>882960</v>
      </c>
      <c r="K2952" s="3565">
        <v>9948.85</v>
      </c>
      <c r="L2952" s="3565">
        <v>12436.06</v>
      </c>
      <c r="M2952" s="3565">
        <v>882960</v>
      </c>
      <c r="N2952" s="3565">
        <v>9948.85</v>
      </c>
      <c r="O2952" s="3566">
        <v>44192</v>
      </c>
    </row>
    <row r="2953" spans="1:15">
      <c r="A2953" s="3563" t="s">
        <v>7175</v>
      </c>
      <c r="B2953" s="3563" t="s">
        <v>4811</v>
      </c>
      <c r="C2953" s="3563" t="s">
        <v>4197</v>
      </c>
      <c r="D2953" s="3563" t="s">
        <v>6429</v>
      </c>
      <c r="E2953" s="3563" t="s">
        <v>4520</v>
      </c>
      <c r="F2953" s="3563" t="s">
        <v>4797</v>
      </c>
      <c r="G2953" s="3564">
        <v>88.75</v>
      </c>
      <c r="H2953" s="3564">
        <v>71</v>
      </c>
      <c r="I2953" s="3564">
        <v>17.75</v>
      </c>
      <c r="J2953" s="3565">
        <v>882960</v>
      </c>
      <c r="K2953" s="3565">
        <v>9948.85</v>
      </c>
      <c r="L2953" s="3565">
        <v>12436.06</v>
      </c>
      <c r="M2953" s="3565">
        <v>882960</v>
      </c>
      <c r="N2953" s="3565">
        <v>9948.85</v>
      </c>
      <c r="O2953" s="3566">
        <v>44192</v>
      </c>
    </row>
    <row r="2954" spans="1:15">
      <c r="A2954" s="3563" t="s">
        <v>7176</v>
      </c>
      <c r="B2954" s="3563" t="s">
        <v>4196</v>
      </c>
      <c r="C2954" s="3563" t="s">
        <v>4197</v>
      </c>
      <c r="D2954" s="3563" t="s">
        <v>6429</v>
      </c>
      <c r="E2954" s="3563" t="s">
        <v>4520</v>
      </c>
      <c r="F2954" s="3563" t="s">
        <v>4797</v>
      </c>
      <c r="G2954" s="3564">
        <v>102.52</v>
      </c>
      <c r="H2954" s="3564">
        <v>82.01</v>
      </c>
      <c r="I2954" s="3564">
        <v>20.51</v>
      </c>
      <c r="J2954" s="3565">
        <v>999232</v>
      </c>
      <c r="K2954" s="3565">
        <v>9746.7000000000007</v>
      </c>
      <c r="L2954" s="3565">
        <v>12184.27</v>
      </c>
      <c r="M2954" s="3565">
        <v>0</v>
      </c>
      <c r="N2954" s="3565">
        <v>0</v>
      </c>
      <c r="O2954" s="3563" t="s">
        <v>3453</v>
      </c>
    </row>
    <row r="2955" spans="1:15">
      <c r="A2955" s="3563" t="s">
        <v>7177</v>
      </c>
      <c r="B2955" s="3563" t="s">
        <v>4196</v>
      </c>
      <c r="C2955" s="3563" t="s">
        <v>4197</v>
      </c>
      <c r="D2955" s="3563" t="s">
        <v>6429</v>
      </c>
      <c r="E2955" s="3563" t="s">
        <v>4520</v>
      </c>
      <c r="F2955" s="3563" t="s">
        <v>4797</v>
      </c>
      <c r="G2955" s="3564">
        <v>102.18</v>
      </c>
      <c r="H2955" s="3564">
        <v>81.739999999999995</v>
      </c>
      <c r="I2955" s="3564">
        <v>20.440000000000001</v>
      </c>
      <c r="J2955" s="3565">
        <v>1032878</v>
      </c>
      <c r="K2955" s="3565">
        <v>10108.42</v>
      </c>
      <c r="L2955" s="3565">
        <v>12636.14</v>
      </c>
      <c r="M2955" s="3565">
        <v>0</v>
      </c>
      <c r="N2955" s="3565">
        <v>0</v>
      </c>
      <c r="O2955" s="3563" t="s">
        <v>3453</v>
      </c>
    </row>
    <row r="2956" spans="1:15">
      <c r="A2956" s="3563" t="s">
        <v>7178</v>
      </c>
      <c r="B2956" s="3563" t="s">
        <v>4196</v>
      </c>
      <c r="C2956" s="3563" t="s">
        <v>4197</v>
      </c>
      <c r="D2956" s="3563" t="s">
        <v>6429</v>
      </c>
      <c r="E2956" s="3563" t="s">
        <v>4520</v>
      </c>
      <c r="F2956" s="3563" t="s">
        <v>4797</v>
      </c>
      <c r="G2956" s="3564">
        <v>102.18</v>
      </c>
      <c r="H2956" s="3564">
        <v>81.739999999999995</v>
      </c>
      <c r="I2956" s="3564">
        <v>20.440000000000001</v>
      </c>
      <c r="J2956" s="3565">
        <v>1011137</v>
      </c>
      <c r="K2956" s="3565">
        <v>9895.64</v>
      </c>
      <c r="L2956" s="3565">
        <v>12370.16</v>
      </c>
      <c r="M2956" s="3565">
        <v>0</v>
      </c>
      <c r="N2956" s="3565">
        <v>0</v>
      </c>
      <c r="O2956" s="3563" t="s">
        <v>3453</v>
      </c>
    </row>
    <row r="2957" spans="1:15">
      <c r="A2957" s="3563" t="s">
        <v>7179</v>
      </c>
      <c r="B2957" s="3563" t="s">
        <v>4196</v>
      </c>
      <c r="C2957" s="3563" t="s">
        <v>4197</v>
      </c>
      <c r="D2957" s="3563" t="s">
        <v>6429</v>
      </c>
      <c r="E2957" s="3563" t="s">
        <v>4520</v>
      </c>
      <c r="F2957" s="3563" t="s">
        <v>4797</v>
      </c>
      <c r="G2957" s="3564">
        <v>109.05</v>
      </c>
      <c r="H2957" s="3564">
        <v>88.44</v>
      </c>
      <c r="I2957" s="3564">
        <v>20.61</v>
      </c>
      <c r="J2957" s="3565">
        <v>1126684</v>
      </c>
      <c r="K2957" s="3565">
        <v>10331.81</v>
      </c>
      <c r="L2957" s="3565">
        <v>12739.53</v>
      </c>
      <c r="M2957" s="3565">
        <v>0</v>
      </c>
      <c r="N2957" s="3565">
        <v>0</v>
      </c>
      <c r="O2957" s="3563" t="s">
        <v>3453</v>
      </c>
    </row>
    <row r="2958" spans="1:15">
      <c r="A2958" s="3563" t="s">
        <v>7180</v>
      </c>
      <c r="B2958" s="3563" t="s">
        <v>4811</v>
      </c>
      <c r="C2958" s="3563" t="s">
        <v>4197</v>
      </c>
      <c r="D2958" s="3563" t="s">
        <v>6429</v>
      </c>
      <c r="E2958" s="3563" t="s">
        <v>4520</v>
      </c>
      <c r="F2958" s="3563" t="s">
        <v>4797</v>
      </c>
      <c r="G2958" s="3564">
        <v>87.55</v>
      </c>
      <c r="H2958" s="3564">
        <v>71</v>
      </c>
      <c r="I2958" s="3564">
        <v>16.55</v>
      </c>
      <c r="J2958" s="3565">
        <v>909207</v>
      </c>
      <c r="K2958" s="3565">
        <v>10385</v>
      </c>
      <c r="L2958" s="3565">
        <v>12805.73</v>
      </c>
      <c r="M2958" s="3565">
        <v>872839</v>
      </c>
      <c r="N2958" s="3565">
        <v>9969.61</v>
      </c>
      <c r="O2958" s="3566">
        <v>44190</v>
      </c>
    </row>
    <row r="2959" spans="1:15">
      <c r="A2959" s="3563" t="s">
        <v>7181</v>
      </c>
      <c r="B2959" s="3563" t="s">
        <v>4811</v>
      </c>
      <c r="C2959" s="3563" t="s">
        <v>4197</v>
      </c>
      <c r="D2959" s="3563" t="s">
        <v>6429</v>
      </c>
      <c r="E2959" s="3563" t="s">
        <v>4520</v>
      </c>
      <c r="F2959" s="3563" t="s">
        <v>4797</v>
      </c>
      <c r="G2959" s="3564">
        <v>87.55</v>
      </c>
      <c r="H2959" s="3564">
        <v>71</v>
      </c>
      <c r="I2959" s="3564">
        <v>16.55</v>
      </c>
      <c r="J2959" s="3565">
        <v>909207</v>
      </c>
      <c r="K2959" s="3565">
        <v>10385</v>
      </c>
      <c r="L2959" s="3565">
        <v>12805.73</v>
      </c>
      <c r="M2959" s="3565">
        <v>863747</v>
      </c>
      <c r="N2959" s="3565">
        <v>9865.76</v>
      </c>
      <c r="O2959" s="3566">
        <v>44190</v>
      </c>
    </row>
    <row r="2960" spans="1:15">
      <c r="A2960" s="3563" t="s">
        <v>7182</v>
      </c>
      <c r="B2960" s="3563" t="s">
        <v>5277</v>
      </c>
      <c r="C2960" s="3563" t="s">
        <v>4197</v>
      </c>
      <c r="D2960" s="3563" t="s">
        <v>6429</v>
      </c>
      <c r="E2960" s="3563" t="s">
        <v>4520</v>
      </c>
      <c r="F2960" s="3563" t="s">
        <v>4797</v>
      </c>
      <c r="G2960" s="3564">
        <v>101.12</v>
      </c>
      <c r="H2960" s="3564">
        <v>82.01</v>
      </c>
      <c r="I2960" s="3564">
        <v>19.11</v>
      </c>
      <c r="J2960" s="3565">
        <v>1039374</v>
      </c>
      <c r="K2960" s="3565">
        <v>10278.620000000001</v>
      </c>
      <c r="L2960" s="3565">
        <v>12673.75</v>
      </c>
      <c r="M2960" s="3565">
        <v>944831</v>
      </c>
      <c r="N2960" s="3565">
        <v>9343.66</v>
      </c>
      <c r="O2960" s="3566">
        <v>44190</v>
      </c>
    </row>
    <row r="2961" spans="1:15">
      <c r="A2961" s="3563" t="s">
        <v>7183</v>
      </c>
      <c r="B2961" s="3563" t="s">
        <v>4811</v>
      </c>
      <c r="C2961" s="3563" t="s">
        <v>4197</v>
      </c>
      <c r="D2961" s="3563" t="s">
        <v>6429</v>
      </c>
      <c r="E2961" s="3563" t="s">
        <v>4520</v>
      </c>
      <c r="F2961" s="3563" t="s">
        <v>4797</v>
      </c>
      <c r="G2961" s="3564">
        <v>100.79</v>
      </c>
      <c r="H2961" s="3564">
        <v>81.739999999999995</v>
      </c>
      <c r="I2961" s="3564">
        <v>19.05</v>
      </c>
      <c r="J2961" s="3565">
        <v>1084233</v>
      </c>
      <c r="K2961" s="3565">
        <v>10757.35</v>
      </c>
      <c r="L2961" s="3565">
        <v>13264.41</v>
      </c>
      <c r="M2961" s="3565">
        <v>1040864</v>
      </c>
      <c r="N2961" s="3565">
        <v>10327.06</v>
      </c>
      <c r="O2961" s="3566">
        <v>44190</v>
      </c>
    </row>
    <row r="2962" spans="1:15">
      <c r="A2962" s="3563" t="s">
        <v>7184</v>
      </c>
      <c r="B2962" s="3563" t="s">
        <v>4196</v>
      </c>
      <c r="C2962" s="3563" t="s">
        <v>4197</v>
      </c>
      <c r="D2962" s="3563" t="s">
        <v>6429</v>
      </c>
      <c r="E2962" s="3563" t="s">
        <v>4520</v>
      </c>
      <c r="F2962" s="3563" t="s">
        <v>4797</v>
      </c>
      <c r="G2962" s="3564">
        <v>100.79</v>
      </c>
      <c r="H2962" s="3564">
        <v>81.739999999999995</v>
      </c>
      <c r="I2962" s="3564">
        <v>19.05</v>
      </c>
      <c r="J2962" s="3565">
        <v>1062788</v>
      </c>
      <c r="K2962" s="3565">
        <v>10544.58</v>
      </c>
      <c r="L2962" s="3565">
        <v>13002.06</v>
      </c>
      <c r="M2962" s="3565">
        <v>0</v>
      </c>
      <c r="N2962" s="3565">
        <v>0</v>
      </c>
      <c r="O2962" s="3563" t="s">
        <v>3453</v>
      </c>
    </row>
    <row r="2963" spans="1:15">
      <c r="A2963" s="3563" t="s">
        <v>7185</v>
      </c>
      <c r="B2963" s="3563" t="s">
        <v>4196</v>
      </c>
      <c r="C2963" s="3563" t="s">
        <v>4197</v>
      </c>
      <c r="D2963" s="3563" t="s">
        <v>6429</v>
      </c>
      <c r="E2963" s="3563" t="s">
        <v>4520</v>
      </c>
      <c r="F2963" s="3563" t="s">
        <v>4797</v>
      </c>
      <c r="G2963" s="3564">
        <v>109.05</v>
      </c>
      <c r="H2963" s="3564">
        <v>88.44</v>
      </c>
      <c r="I2963" s="3564">
        <v>20.61</v>
      </c>
      <c r="J2963" s="3565">
        <v>1125524</v>
      </c>
      <c r="K2963" s="3565">
        <v>10321.17</v>
      </c>
      <c r="L2963" s="3565">
        <v>12726.41</v>
      </c>
      <c r="M2963" s="3565">
        <v>0</v>
      </c>
      <c r="N2963" s="3565">
        <v>0</v>
      </c>
      <c r="O2963" s="3563" t="s">
        <v>3453</v>
      </c>
    </row>
    <row r="2964" spans="1:15">
      <c r="A2964" s="3563" t="s">
        <v>7186</v>
      </c>
      <c r="B2964" s="3563" t="s">
        <v>4811</v>
      </c>
      <c r="C2964" s="3563" t="s">
        <v>4197</v>
      </c>
      <c r="D2964" s="3563" t="s">
        <v>6429</v>
      </c>
      <c r="E2964" s="3563" t="s">
        <v>4520</v>
      </c>
      <c r="F2964" s="3563" t="s">
        <v>4797</v>
      </c>
      <c r="G2964" s="3564">
        <v>87.55</v>
      </c>
      <c r="H2964" s="3564">
        <v>71</v>
      </c>
      <c r="I2964" s="3564">
        <v>16.55</v>
      </c>
      <c r="J2964" s="3565">
        <v>908276</v>
      </c>
      <c r="K2964" s="3565">
        <v>10374.370000000001</v>
      </c>
      <c r="L2964" s="3565">
        <v>12792.62</v>
      </c>
      <c r="M2964" s="3565">
        <v>881028</v>
      </c>
      <c r="N2964" s="3565">
        <v>10063.14</v>
      </c>
      <c r="O2964" s="3566">
        <v>44191</v>
      </c>
    </row>
    <row r="2965" spans="1:15">
      <c r="A2965" s="3563" t="s">
        <v>7187</v>
      </c>
      <c r="B2965" s="3563" t="s">
        <v>4811</v>
      </c>
      <c r="C2965" s="3563" t="s">
        <v>4197</v>
      </c>
      <c r="D2965" s="3563" t="s">
        <v>6429</v>
      </c>
      <c r="E2965" s="3563" t="s">
        <v>4520</v>
      </c>
      <c r="F2965" s="3563" t="s">
        <v>4797</v>
      </c>
      <c r="G2965" s="3564">
        <v>87.55</v>
      </c>
      <c r="H2965" s="3564">
        <v>71</v>
      </c>
      <c r="I2965" s="3564">
        <v>16.55</v>
      </c>
      <c r="J2965" s="3565">
        <v>908276</v>
      </c>
      <c r="K2965" s="3565">
        <v>10374.370000000001</v>
      </c>
      <c r="L2965" s="3565">
        <v>12792.62</v>
      </c>
      <c r="M2965" s="3565">
        <v>862863</v>
      </c>
      <c r="N2965" s="3565">
        <v>9855.66</v>
      </c>
      <c r="O2965" s="3566">
        <v>44191</v>
      </c>
    </row>
    <row r="2966" spans="1:15">
      <c r="A2966" s="3563" t="s">
        <v>7188</v>
      </c>
      <c r="B2966" s="3563" t="s">
        <v>3453</v>
      </c>
      <c r="C2966" s="3563" t="s">
        <v>4197</v>
      </c>
      <c r="D2966" s="3563" t="s">
        <v>6429</v>
      </c>
      <c r="E2966" s="3563" t="s">
        <v>4520</v>
      </c>
      <c r="F2966" s="3563" t="s">
        <v>4797</v>
      </c>
      <c r="G2966" s="3564">
        <v>101.12</v>
      </c>
      <c r="H2966" s="3564">
        <v>82.01</v>
      </c>
      <c r="I2966" s="3564">
        <v>19.11</v>
      </c>
      <c r="J2966" s="3565">
        <v>1038299</v>
      </c>
      <c r="K2966" s="3565">
        <v>10267.99</v>
      </c>
      <c r="L2966" s="3565">
        <v>12660.64</v>
      </c>
      <c r="M2966" s="3565">
        <v>0</v>
      </c>
      <c r="N2966" s="3565">
        <v>0</v>
      </c>
      <c r="O2966" s="3563" t="s">
        <v>3453</v>
      </c>
    </row>
    <row r="2967" spans="1:15">
      <c r="A2967" s="3563" t="s">
        <v>7189</v>
      </c>
      <c r="B2967" s="3563" t="s">
        <v>4196</v>
      </c>
      <c r="C2967" s="3563" t="s">
        <v>4197</v>
      </c>
      <c r="D2967" s="3563" t="s">
        <v>6429</v>
      </c>
      <c r="E2967" s="3563" t="s">
        <v>4520</v>
      </c>
      <c r="F2967" s="3563" t="s">
        <v>4797</v>
      </c>
      <c r="G2967" s="3564">
        <v>100.79</v>
      </c>
      <c r="H2967" s="3564">
        <v>81.739999999999995</v>
      </c>
      <c r="I2967" s="3564">
        <v>19.05</v>
      </c>
      <c r="J2967" s="3565">
        <v>1083161</v>
      </c>
      <c r="K2967" s="3565">
        <v>10746.71</v>
      </c>
      <c r="L2967" s="3565">
        <v>13251.3</v>
      </c>
      <c r="M2967" s="3565">
        <v>0</v>
      </c>
      <c r="N2967" s="3565">
        <v>0</v>
      </c>
      <c r="O2967" s="3563" t="s">
        <v>3453</v>
      </c>
    </row>
    <row r="2968" spans="1:15">
      <c r="A2968" s="3563" t="s">
        <v>7190</v>
      </c>
      <c r="B2968" s="3563" t="s">
        <v>4196</v>
      </c>
      <c r="C2968" s="3563" t="s">
        <v>4197</v>
      </c>
      <c r="D2968" s="3563" t="s">
        <v>6429</v>
      </c>
      <c r="E2968" s="3563" t="s">
        <v>4520</v>
      </c>
      <c r="F2968" s="3563" t="s">
        <v>4797</v>
      </c>
      <c r="G2968" s="3564">
        <v>100.79</v>
      </c>
      <c r="H2968" s="3564">
        <v>81.739999999999995</v>
      </c>
      <c r="I2968" s="3564">
        <v>19.05</v>
      </c>
      <c r="J2968" s="3565">
        <v>1061716</v>
      </c>
      <c r="K2968" s="3565">
        <v>10533.94</v>
      </c>
      <c r="L2968" s="3565">
        <v>12988.94</v>
      </c>
      <c r="M2968" s="3565">
        <v>0</v>
      </c>
      <c r="N2968" s="3565">
        <v>0</v>
      </c>
      <c r="O2968" s="3563" t="s">
        <v>3453</v>
      </c>
    </row>
    <row r="2969" spans="1:15">
      <c r="A2969" s="3563" t="s">
        <v>7191</v>
      </c>
      <c r="B2969" s="3563" t="s">
        <v>4196</v>
      </c>
      <c r="C2969" s="3563" t="s">
        <v>4197</v>
      </c>
      <c r="D2969" s="3563" t="s">
        <v>6429</v>
      </c>
      <c r="E2969" s="3563" t="s">
        <v>4520</v>
      </c>
      <c r="F2969" s="3563" t="s">
        <v>4797</v>
      </c>
      <c r="G2969" s="3564">
        <v>109.05</v>
      </c>
      <c r="H2969" s="3564">
        <v>88.44</v>
      </c>
      <c r="I2969" s="3564">
        <v>20.61</v>
      </c>
      <c r="J2969" s="3565">
        <v>1124364</v>
      </c>
      <c r="K2969" s="3565">
        <v>10310.540000000001</v>
      </c>
      <c r="L2969" s="3565">
        <v>12713.3</v>
      </c>
      <c r="M2969" s="3565">
        <v>0</v>
      </c>
      <c r="N2969" s="3565">
        <v>0</v>
      </c>
      <c r="O2969" s="3563" t="s">
        <v>3453</v>
      </c>
    </row>
    <row r="2970" spans="1:15">
      <c r="A2970" s="3563" t="s">
        <v>7192</v>
      </c>
      <c r="B2970" s="3563" t="s">
        <v>5277</v>
      </c>
      <c r="C2970" s="3563" t="s">
        <v>4197</v>
      </c>
      <c r="D2970" s="3563" t="s">
        <v>6429</v>
      </c>
      <c r="E2970" s="3563" t="s">
        <v>4520</v>
      </c>
      <c r="F2970" s="3563" t="s">
        <v>4797</v>
      </c>
      <c r="G2970" s="3564">
        <v>87.55</v>
      </c>
      <c r="H2970" s="3564">
        <v>71</v>
      </c>
      <c r="I2970" s="3564">
        <v>16.55</v>
      </c>
      <c r="J2970" s="3565">
        <v>907345</v>
      </c>
      <c r="K2970" s="3565">
        <v>10363.74</v>
      </c>
      <c r="L2970" s="3565">
        <v>12779.51</v>
      </c>
      <c r="M2970" s="3565">
        <v>871052</v>
      </c>
      <c r="N2970" s="3565">
        <v>9949.19</v>
      </c>
      <c r="O2970" s="3566">
        <v>44190</v>
      </c>
    </row>
    <row r="2971" spans="1:15">
      <c r="A2971" s="3563" t="s">
        <v>7193</v>
      </c>
      <c r="B2971" s="3563" t="s">
        <v>5277</v>
      </c>
      <c r="C2971" s="3563" t="s">
        <v>4197</v>
      </c>
      <c r="D2971" s="3563" t="s">
        <v>6429</v>
      </c>
      <c r="E2971" s="3563" t="s">
        <v>4520</v>
      </c>
      <c r="F2971" s="3563" t="s">
        <v>4797</v>
      </c>
      <c r="G2971" s="3564">
        <v>87.55</v>
      </c>
      <c r="H2971" s="3564">
        <v>71</v>
      </c>
      <c r="I2971" s="3564">
        <v>16.55</v>
      </c>
      <c r="J2971" s="3565">
        <v>907345</v>
      </c>
      <c r="K2971" s="3565">
        <v>10363.74</v>
      </c>
      <c r="L2971" s="3565">
        <v>12779.51</v>
      </c>
      <c r="M2971" s="3565">
        <v>861978</v>
      </c>
      <c r="N2971" s="3565">
        <v>9845.5499999999993</v>
      </c>
      <c r="O2971" s="3566">
        <v>44190</v>
      </c>
    </row>
    <row r="2972" spans="1:15">
      <c r="A2972" s="3563" t="s">
        <v>7194</v>
      </c>
      <c r="B2972" s="3563" t="s">
        <v>4196</v>
      </c>
      <c r="C2972" s="3563" t="s">
        <v>4197</v>
      </c>
      <c r="D2972" s="3563" t="s">
        <v>6429</v>
      </c>
      <c r="E2972" s="3563" t="s">
        <v>4520</v>
      </c>
      <c r="F2972" s="3563" t="s">
        <v>4797</v>
      </c>
      <c r="G2972" s="3564">
        <v>101.12</v>
      </c>
      <c r="H2972" s="3564">
        <v>82.01</v>
      </c>
      <c r="I2972" s="3564">
        <v>19.11</v>
      </c>
      <c r="J2972" s="3565">
        <v>1037222</v>
      </c>
      <c r="K2972" s="3565">
        <v>10257.34</v>
      </c>
      <c r="L2972" s="3565">
        <v>12647.51</v>
      </c>
      <c r="M2972" s="3565">
        <v>0</v>
      </c>
      <c r="N2972" s="3565">
        <v>0</v>
      </c>
      <c r="O2972" s="3563" t="s">
        <v>3453</v>
      </c>
    </row>
    <row r="2973" spans="1:15">
      <c r="A2973" s="3563" t="s">
        <v>7195</v>
      </c>
      <c r="B2973" s="3563" t="s">
        <v>4196</v>
      </c>
      <c r="C2973" s="3563" t="s">
        <v>4197</v>
      </c>
      <c r="D2973" s="3563" t="s">
        <v>6429</v>
      </c>
      <c r="E2973" s="3563" t="s">
        <v>4520</v>
      </c>
      <c r="F2973" s="3563" t="s">
        <v>4797</v>
      </c>
      <c r="G2973" s="3564">
        <v>100.79</v>
      </c>
      <c r="H2973" s="3564">
        <v>81.739999999999995</v>
      </c>
      <c r="I2973" s="3564">
        <v>19.05</v>
      </c>
      <c r="J2973" s="3565">
        <v>1082088</v>
      </c>
      <c r="K2973" s="3565">
        <v>10736.07</v>
      </c>
      <c r="L2973" s="3565">
        <v>13238.17</v>
      </c>
      <c r="M2973" s="3565">
        <v>0</v>
      </c>
      <c r="N2973" s="3565">
        <v>0</v>
      </c>
      <c r="O2973" s="3563" t="s">
        <v>3453</v>
      </c>
    </row>
    <row r="2974" spans="1:15">
      <c r="A2974" s="3563" t="s">
        <v>7196</v>
      </c>
      <c r="B2974" s="3563" t="s">
        <v>4196</v>
      </c>
      <c r="C2974" s="3563" t="s">
        <v>4197</v>
      </c>
      <c r="D2974" s="3563" t="s">
        <v>6429</v>
      </c>
      <c r="E2974" s="3563" t="s">
        <v>4520</v>
      </c>
      <c r="F2974" s="3563" t="s">
        <v>4797</v>
      </c>
      <c r="G2974" s="3564">
        <v>100.79</v>
      </c>
      <c r="H2974" s="3564">
        <v>81.739999999999995</v>
      </c>
      <c r="I2974" s="3564">
        <v>19.05</v>
      </c>
      <c r="J2974" s="3565">
        <v>1060644</v>
      </c>
      <c r="K2974" s="3565">
        <v>10523.31</v>
      </c>
      <c r="L2974" s="3565">
        <v>12975.83</v>
      </c>
      <c r="M2974" s="3565">
        <v>0</v>
      </c>
      <c r="N2974" s="3565">
        <v>0</v>
      </c>
      <c r="O2974" s="3563" t="s">
        <v>3453</v>
      </c>
    </row>
    <row r="2975" spans="1:15">
      <c r="A2975" s="3563" t="s">
        <v>7197</v>
      </c>
      <c r="B2975" s="3563" t="s">
        <v>4196</v>
      </c>
      <c r="C2975" s="3563" t="s">
        <v>4197</v>
      </c>
      <c r="D2975" s="3563" t="s">
        <v>6429</v>
      </c>
      <c r="E2975" s="3563" t="s">
        <v>4520</v>
      </c>
      <c r="F2975" s="3563" t="s">
        <v>4797</v>
      </c>
      <c r="G2975" s="3564">
        <v>109.05</v>
      </c>
      <c r="H2975" s="3564">
        <v>88.44</v>
      </c>
      <c r="I2975" s="3564">
        <v>20.61</v>
      </c>
      <c r="J2975" s="3565">
        <v>1123204</v>
      </c>
      <c r="K2975" s="3565">
        <v>10299.9</v>
      </c>
      <c r="L2975" s="3565">
        <v>12700.18</v>
      </c>
      <c r="M2975" s="3565">
        <v>0</v>
      </c>
      <c r="N2975" s="3565">
        <v>0</v>
      </c>
      <c r="O2975" s="3563" t="s">
        <v>3453</v>
      </c>
    </row>
    <row r="2976" spans="1:15">
      <c r="A2976" s="3563" t="s">
        <v>7198</v>
      </c>
      <c r="B2976" s="3563" t="s">
        <v>4811</v>
      </c>
      <c r="C2976" s="3563" t="s">
        <v>4197</v>
      </c>
      <c r="D2976" s="3563" t="s">
        <v>6429</v>
      </c>
      <c r="E2976" s="3563" t="s">
        <v>4520</v>
      </c>
      <c r="F2976" s="3563" t="s">
        <v>4797</v>
      </c>
      <c r="G2976" s="3564">
        <v>87.55</v>
      </c>
      <c r="H2976" s="3564">
        <v>71</v>
      </c>
      <c r="I2976" s="3564">
        <v>16.55</v>
      </c>
      <c r="J2976" s="3565">
        <v>906413</v>
      </c>
      <c r="K2976" s="3565">
        <v>10353.09</v>
      </c>
      <c r="L2976" s="3565">
        <v>12766.38</v>
      </c>
      <c r="M2976" s="3565">
        <v>906413</v>
      </c>
      <c r="N2976" s="3565">
        <v>10353.09</v>
      </c>
      <c r="O2976" s="3566">
        <v>44190</v>
      </c>
    </row>
    <row r="2977" spans="1:15">
      <c r="A2977" s="3563" t="s">
        <v>7199</v>
      </c>
      <c r="B2977" s="3563" t="s">
        <v>4811</v>
      </c>
      <c r="C2977" s="3563" t="s">
        <v>4197</v>
      </c>
      <c r="D2977" s="3563" t="s">
        <v>6429</v>
      </c>
      <c r="E2977" s="3563" t="s">
        <v>4520</v>
      </c>
      <c r="F2977" s="3563" t="s">
        <v>4797</v>
      </c>
      <c r="G2977" s="3564">
        <v>87.55</v>
      </c>
      <c r="H2977" s="3564">
        <v>71</v>
      </c>
      <c r="I2977" s="3564">
        <v>16.55</v>
      </c>
      <c r="J2977" s="3565">
        <v>906413</v>
      </c>
      <c r="K2977" s="3565">
        <v>10353.09</v>
      </c>
      <c r="L2977" s="3565">
        <v>12766.38</v>
      </c>
      <c r="M2977" s="3565">
        <v>861093</v>
      </c>
      <c r="N2977" s="3565">
        <v>9835.44</v>
      </c>
      <c r="O2977" s="3566">
        <v>44192</v>
      </c>
    </row>
    <row r="2978" spans="1:15">
      <c r="A2978" s="3563" t="s">
        <v>7200</v>
      </c>
      <c r="B2978" s="3563" t="s">
        <v>4811</v>
      </c>
      <c r="C2978" s="3563" t="s">
        <v>4197</v>
      </c>
      <c r="D2978" s="3563" t="s">
        <v>6429</v>
      </c>
      <c r="E2978" s="3563" t="s">
        <v>4520</v>
      </c>
      <c r="F2978" s="3563" t="s">
        <v>4797</v>
      </c>
      <c r="G2978" s="3564">
        <v>101.12</v>
      </c>
      <c r="H2978" s="3564">
        <v>82.01</v>
      </c>
      <c r="I2978" s="3564">
        <v>19.11</v>
      </c>
      <c r="J2978" s="3565">
        <v>1036147</v>
      </c>
      <c r="K2978" s="3565">
        <v>10246.709999999999</v>
      </c>
      <c r="L2978" s="3565">
        <v>12634.4</v>
      </c>
      <c r="M2978" s="3565">
        <v>993702</v>
      </c>
      <c r="N2978" s="3565">
        <v>9826.9599999999991</v>
      </c>
      <c r="O2978" s="3566">
        <v>44190</v>
      </c>
    </row>
    <row r="2979" spans="1:15">
      <c r="A2979" s="3563" t="s">
        <v>7201</v>
      </c>
      <c r="B2979" s="3563" t="s">
        <v>4196</v>
      </c>
      <c r="C2979" s="3563" t="s">
        <v>4197</v>
      </c>
      <c r="D2979" s="3563" t="s">
        <v>6429</v>
      </c>
      <c r="E2979" s="3563" t="s">
        <v>4520</v>
      </c>
      <c r="F2979" s="3563" t="s">
        <v>4797</v>
      </c>
      <c r="G2979" s="3564">
        <v>100.79</v>
      </c>
      <c r="H2979" s="3564">
        <v>81.739999999999995</v>
      </c>
      <c r="I2979" s="3564">
        <v>19.05</v>
      </c>
      <c r="J2979" s="3565">
        <v>1081016</v>
      </c>
      <c r="K2979" s="3565">
        <v>10725.43</v>
      </c>
      <c r="L2979" s="3565">
        <v>13225.06</v>
      </c>
      <c r="M2979" s="3565">
        <v>0</v>
      </c>
      <c r="N2979" s="3565">
        <v>0</v>
      </c>
      <c r="O2979" s="3563" t="s">
        <v>3453</v>
      </c>
    </row>
    <row r="2980" spans="1:15">
      <c r="A2980" s="3563" t="s">
        <v>7202</v>
      </c>
      <c r="B2980" s="3563" t="s">
        <v>4196</v>
      </c>
      <c r="C2980" s="3563" t="s">
        <v>4197</v>
      </c>
      <c r="D2980" s="3563" t="s">
        <v>6429</v>
      </c>
      <c r="E2980" s="3563" t="s">
        <v>4520</v>
      </c>
      <c r="F2980" s="3563" t="s">
        <v>4797</v>
      </c>
      <c r="G2980" s="3564">
        <v>100.79</v>
      </c>
      <c r="H2980" s="3564">
        <v>81.739999999999995</v>
      </c>
      <c r="I2980" s="3564">
        <v>19.05</v>
      </c>
      <c r="J2980" s="3565">
        <v>1059571</v>
      </c>
      <c r="K2980" s="3565">
        <v>10512.66</v>
      </c>
      <c r="L2980" s="3565">
        <v>12962.7</v>
      </c>
      <c r="M2980" s="3565">
        <v>0</v>
      </c>
      <c r="N2980" s="3565">
        <v>0</v>
      </c>
      <c r="O2980" s="3563" t="s">
        <v>3453</v>
      </c>
    </row>
    <row r="2981" spans="1:15">
      <c r="A2981" s="3563" t="s">
        <v>7203</v>
      </c>
      <c r="B2981" s="3563" t="s">
        <v>4196</v>
      </c>
      <c r="C2981" s="3563" t="s">
        <v>4197</v>
      </c>
      <c r="D2981" s="3563" t="s">
        <v>6429</v>
      </c>
      <c r="E2981" s="3563" t="s">
        <v>4520</v>
      </c>
      <c r="F2981" s="3563" t="s">
        <v>4797</v>
      </c>
      <c r="G2981" s="3564">
        <v>109.05</v>
      </c>
      <c r="H2981" s="3564">
        <v>88.44</v>
      </c>
      <c r="I2981" s="3564">
        <v>20.61</v>
      </c>
      <c r="J2981" s="3565">
        <v>1122044</v>
      </c>
      <c r="K2981" s="3565">
        <v>10289.26</v>
      </c>
      <c r="L2981" s="3565">
        <v>12687.06</v>
      </c>
      <c r="M2981" s="3565">
        <v>0</v>
      </c>
      <c r="N2981" s="3565">
        <v>0</v>
      </c>
      <c r="O2981" s="3563" t="s">
        <v>3453</v>
      </c>
    </row>
    <row r="2982" spans="1:15">
      <c r="A2982" s="3563" t="s">
        <v>7204</v>
      </c>
      <c r="B2982" s="3563" t="s">
        <v>4811</v>
      </c>
      <c r="C2982" s="3563" t="s">
        <v>4197</v>
      </c>
      <c r="D2982" s="3563" t="s">
        <v>6429</v>
      </c>
      <c r="E2982" s="3563" t="s">
        <v>4520</v>
      </c>
      <c r="F2982" s="3563" t="s">
        <v>4797</v>
      </c>
      <c r="G2982" s="3564">
        <v>87.55</v>
      </c>
      <c r="H2982" s="3564">
        <v>71</v>
      </c>
      <c r="I2982" s="3564">
        <v>16.55</v>
      </c>
      <c r="J2982" s="3565">
        <v>905482</v>
      </c>
      <c r="K2982" s="3565">
        <v>10342.459999999999</v>
      </c>
      <c r="L2982" s="3565">
        <v>12753.27</v>
      </c>
      <c r="M2982" s="3565">
        <v>878318</v>
      </c>
      <c r="N2982" s="3565">
        <v>10032.19</v>
      </c>
      <c r="O2982" s="3566">
        <v>44191</v>
      </c>
    </row>
    <row r="2983" spans="1:15">
      <c r="A2983" s="3563" t="s">
        <v>7205</v>
      </c>
      <c r="B2983" s="3563" t="s">
        <v>4196</v>
      </c>
      <c r="C2983" s="3563" t="s">
        <v>4197</v>
      </c>
      <c r="D2983" s="3563" t="s">
        <v>6429</v>
      </c>
      <c r="E2983" s="3563" t="s">
        <v>4520</v>
      </c>
      <c r="F2983" s="3563" t="s">
        <v>4797</v>
      </c>
      <c r="G2983" s="3564">
        <v>87.55</v>
      </c>
      <c r="H2983" s="3564">
        <v>71</v>
      </c>
      <c r="I2983" s="3564">
        <v>16.55</v>
      </c>
      <c r="J2983" s="3565">
        <v>905482</v>
      </c>
      <c r="K2983" s="3565">
        <v>10342.459999999999</v>
      </c>
      <c r="L2983" s="3565">
        <v>12753.27</v>
      </c>
      <c r="M2983" s="3565">
        <v>0</v>
      </c>
      <c r="N2983" s="3565">
        <v>0</v>
      </c>
      <c r="O2983" s="3563" t="s">
        <v>3453</v>
      </c>
    </row>
    <row r="2984" spans="1:15">
      <c r="A2984" s="3563" t="s">
        <v>7206</v>
      </c>
      <c r="B2984" s="3563" t="s">
        <v>4811</v>
      </c>
      <c r="C2984" s="3563" t="s">
        <v>4197</v>
      </c>
      <c r="D2984" s="3563" t="s">
        <v>6429</v>
      </c>
      <c r="E2984" s="3563" t="s">
        <v>4520</v>
      </c>
      <c r="F2984" s="3563" t="s">
        <v>4797</v>
      </c>
      <c r="G2984" s="3564">
        <v>101.12</v>
      </c>
      <c r="H2984" s="3564">
        <v>82.01</v>
      </c>
      <c r="I2984" s="3564">
        <v>19.11</v>
      </c>
      <c r="J2984" s="3565">
        <v>1035071</v>
      </c>
      <c r="K2984" s="3565">
        <v>10236.07</v>
      </c>
      <c r="L2984" s="3565">
        <v>12621.28</v>
      </c>
      <c r="M2984" s="3565">
        <v>993669</v>
      </c>
      <c r="N2984" s="3565">
        <v>9826.6299999999992</v>
      </c>
      <c r="O2984" s="3566">
        <v>44192</v>
      </c>
    </row>
    <row r="2985" spans="1:15">
      <c r="A2985" s="3563" t="s">
        <v>7207</v>
      </c>
      <c r="B2985" s="3563" t="s">
        <v>4196</v>
      </c>
      <c r="C2985" s="3563" t="s">
        <v>4197</v>
      </c>
      <c r="D2985" s="3563" t="s">
        <v>6429</v>
      </c>
      <c r="E2985" s="3563" t="s">
        <v>4520</v>
      </c>
      <c r="F2985" s="3563" t="s">
        <v>4797</v>
      </c>
      <c r="G2985" s="3564">
        <v>100.79</v>
      </c>
      <c r="H2985" s="3564">
        <v>81.739999999999995</v>
      </c>
      <c r="I2985" s="3564">
        <v>19.05</v>
      </c>
      <c r="J2985" s="3565">
        <v>1079944</v>
      </c>
      <c r="K2985" s="3565">
        <v>10714.79</v>
      </c>
      <c r="L2985" s="3565">
        <v>13211.94</v>
      </c>
      <c r="M2985" s="3565">
        <v>0</v>
      </c>
      <c r="N2985" s="3565">
        <v>0</v>
      </c>
      <c r="O2985" s="3563" t="s">
        <v>3453</v>
      </c>
    </row>
    <row r="2986" spans="1:15">
      <c r="A2986" s="3563" t="s">
        <v>7208</v>
      </c>
      <c r="B2986" s="3563" t="s">
        <v>4196</v>
      </c>
      <c r="C2986" s="3563" t="s">
        <v>4197</v>
      </c>
      <c r="D2986" s="3563" t="s">
        <v>6429</v>
      </c>
      <c r="E2986" s="3563" t="s">
        <v>4520</v>
      </c>
      <c r="F2986" s="3563" t="s">
        <v>4797</v>
      </c>
      <c r="G2986" s="3564">
        <v>100.79</v>
      </c>
      <c r="H2986" s="3564">
        <v>81.739999999999995</v>
      </c>
      <c r="I2986" s="3564">
        <v>19.05</v>
      </c>
      <c r="J2986" s="3565">
        <v>1079944</v>
      </c>
      <c r="K2986" s="3565">
        <v>10714.79</v>
      </c>
      <c r="L2986" s="3565">
        <v>13211.94</v>
      </c>
      <c r="M2986" s="3565">
        <v>0</v>
      </c>
      <c r="N2986" s="3565">
        <v>0</v>
      </c>
      <c r="O2986" s="3563" t="s">
        <v>3453</v>
      </c>
    </row>
    <row r="2987" spans="1:15">
      <c r="A2987" s="3563" t="s">
        <v>7209</v>
      </c>
      <c r="B2987" s="3563" t="s">
        <v>4196</v>
      </c>
      <c r="C2987" s="3563" t="s">
        <v>4197</v>
      </c>
      <c r="D2987" s="3563" t="s">
        <v>6429</v>
      </c>
      <c r="E2987" s="3563" t="s">
        <v>4520</v>
      </c>
      <c r="F2987" s="3563" t="s">
        <v>4797</v>
      </c>
      <c r="G2987" s="3564">
        <v>109.05</v>
      </c>
      <c r="H2987" s="3564">
        <v>88.44</v>
      </c>
      <c r="I2987" s="3564">
        <v>20.61</v>
      </c>
      <c r="J2987" s="3565">
        <v>1120884</v>
      </c>
      <c r="K2987" s="3565">
        <v>10278.620000000001</v>
      </c>
      <c r="L2987" s="3565">
        <v>12673.95</v>
      </c>
      <c r="M2987" s="3565">
        <v>0</v>
      </c>
      <c r="N2987" s="3565">
        <v>0</v>
      </c>
      <c r="O2987" s="3563" t="s">
        <v>3453</v>
      </c>
    </row>
    <row r="2988" spans="1:15">
      <c r="A2988" s="3563" t="s">
        <v>7210</v>
      </c>
      <c r="B2988" s="3563" t="s">
        <v>4811</v>
      </c>
      <c r="C2988" s="3563" t="s">
        <v>4197</v>
      </c>
      <c r="D2988" s="3563" t="s">
        <v>6429</v>
      </c>
      <c r="E2988" s="3563" t="s">
        <v>4520</v>
      </c>
      <c r="F2988" s="3563" t="s">
        <v>4797</v>
      </c>
      <c r="G2988" s="3564">
        <v>87.55</v>
      </c>
      <c r="H2988" s="3564">
        <v>71</v>
      </c>
      <c r="I2988" s="3564">
        <v>16.55</v>
      </c>
      <c r="J2988" s="3565">
        <v>904550</v>
      </c>
      <c r="K2988" s="3565">
        <v>10331.81</v>
      </c>
      <c r="L2988" s="3565">
        <v>12740.14</v>
      </c>
      <c r="M2988" s="3565">
        <v>868368</v>
      </c>
      <c r="N2988" s="3565">
        <v>9918.5400000000009</v>
      </c>
      <c r="O2988" s="3566">
        <v>44191</v>
      </c>
    </row>
    <row r="2989" spans="1:15">
      <c r="A2989" s="3563" t="s">
        <v>7211</v>
      </c>
      <c r="B2989" s="3563" t="s">
        <v>4811</v>
      </c>
      <c r="C2989" s="3563" t="s">
        <v>4197</v>
      </c>
      <c r="D2989" s="3563" t="s">
        <v>6429</v>
      </c>
      <c r="E2989" s="3563" t="s">
        <v>4520</v>
      </c>
      <c r="F2989" s="3563" t="s">
        <v>4797</v>
      </c>
      <c r="G2989" s="3564">
        <v>87.55</v>
      </c>
      <c r="H2989" s="3564">
        <v>71</v>
      </c>
      <c r="I2989" s="3564">
        <v>16.55</v>
      </c>
      <c r="J2989" s="3565">
        <v>904550</v>
      </c>
      <c r="K2989" s="3565">
        <v>10331.81</v>
      </c>
      <c r="L2989" s="3565">
        <v>12740.14</v>
      </c>
      <c r="M2989" s="3565">
        <v>877414</v>
      </c>
      <c r="N2989" s="3565">
        <v>10021.86</v>
      </c>
      <c r="O2989" s="3566">
        <v>44191</v>
      </c>
    </row>
    <row r="2990" spans="1:15">
      <c r="A2990" s="3563" t="s">
        <v>7212</v>
      </c>
      <c r="B2990" s="3563" t="s">
        <v>4811</v>
      </c>
      <c r="C2990" s="3563" t="s">
        <v>4197</v>
      </c>
      <c r="D2990" s="3563" t="s">
        <v>6429</v>
      </c>
      <c r="E2990" s="3563" t="s">
        <v>4520</v>
      </c>
      <c r="F2990" s="3563" t="s">
        <v>4797</v>
      </c>
      <c r="G2990" s="3564">
        <v>101.12</v>
      </c>
      <c r="H2990" s="3564">
        <v>82.01</v>
      </c>
      <c r="I2990" s="3564">
        <v>19.11</v>
      </c>
      <c r="J2990" s="3565">
        <v>1033996</v>
      </c>
      <c r="K2990" s="3565">
        <v>10225.44</v>
      </c>
      <c r="L2990" s="3565">
        <v>12608.17</v>
      </c>
      <c r="M2990" s="3565">
        <v>940937</v>
      </c>
      <c r="N2990" s="3565">
        <v>9305.15</v>
      </c>
      <c r="O2990" s="3566">
        <v>44190</v>
      </c>
    </row>
    <row r="2991" spans="1:15">
      <c r="A2991" s="3563" t="s">
        <v>7213</v>
      </c>
      <c r="B2991" s="3563" t="s">
        <v>4196</v>
      </c>
      <c r="C2991" s="3563" t="s">
        <v>4197</v>
      </c>
      <c r="D2991" s="3563" t="s">
        <v>6429</v>
      </c>
      <c r="E2991" s="3563" t="s">
        <v>4520</v>
      </c>
      <c r="F2991" s="3563" t="s">
        <v>4797</v>
      </c>
      <c r="G2991" s="3564">
        <v>100.79</v>
      </c>
      <c r="H2991" s="3564">
        <v>81.739999999999995</v>
      </c>
      <c r="I2991" s="3564">
        <v>19.05</v>
      </c>
      <c r="J2991" s="3565">
        <v>1078871</v>
      </c>
      <c r="K2991" s="3565">
        <v>10704.15</v>
      </c>
      <c r="L2991" s="3565">
        <v>13198.81</v>
      </c>
      <c r="M2991" s="3565">
        <v>0</v>
      </c>
      <c r="N2991" s="3565">
        <v>0</v>
      </c>
      <c r="O2991" s="3563" t="s">
        <v>3453</v>
      </c>
    </row>
    <row r="2992" spans="1:15">
      <c r="A2992" s="3563" t="s">
        <v>7214</v>
      </c>
      <c r="B2992" s="3563" t="s">
        <v>4196</v>
      </c>
      <c r="C2992" s="3563" t="s">
        <v>4197</v>
      </c>
      <c r="D2992" s="3563" t="s">
        <v>6429</v>
      </c>
      <c r="E2992" s="3563" t="s">
        <v>4520</v>
      </c>
      <c r="F2992" s="3563" t="s">
        <v>4797</v>
      </c>
      <c r="G2992" s="3564">
        <v>100.79</v>
      </c>
      <c r="H2992" s="3564">
        <v>81.739999999999995</v>
      </c>
      <c r="I2992" s="3564">
        <v>19.05</v>
      </c>
      <c r="J2992" s="3565">
        <v>1078871</v>
      </c>
      <c r="K2992" s="3565">
        <v>10704.15</v>
      </c>
      <c r="L2992" s="3565">
        <v>13198.81</v>
      </c>
      <c r="M2992" s="3565">
        <v>0</v>
      </c>
      <c r="N2992" s="3565">
        <v>0</v>
      </c>
      <c r="O2992" s="3563" t="s">
        <v>3453</v>
      </c>
    </row>
    <row r="2993" spans="1:15">
      <c r="A2993" s="3563" t="s">
        <v>7215</v>
      </c>
      <c r="B2993" s="3563" t="s">
        <v>4196</v>
      </c>
      <c r="C2993" s="3563" t="s">
        <v>4197</v>
      </c>
      <c r="D2993" s="3563" t="s">
        <v>6429</v>
      </c>
      <c r="E2993" s="3563" t="s">
        <v>4520</v>
      </c>
      <c r="F2993" s="3563" t="s">
        <v>4797</v>
      </c>
      <c r="G2993" s="3564">
        <v>109.05</v>
      </c>
      <c r="H2993" s="3564">
        <v>88.44</v>
      </c>
      <c r="I2993" s="3564">
        <v>20.61</v>
      </c>
      <c r="J2993" s="3565">
        <v>1108122</v>
      </c>
      <c r="K2993" s="3565">
        <v>10161.6</v>
      </c>
      <c r="L2993" s="3565">
        <v>12529.65</v>
      </c>
      <c r="M2993" s="3565">
        <v>0</v>
      </c>
      <c r="N2993" s="3565">
        <v>0</v>
      </c>
      <c r="O2993" s="3563" t="s">
        <v>3453</v>
      </c>
    </row>
    <row r="2994" spans="1:15">
      <c r="A2994" s="3563" t="s">
        <v>7216</v>
      </c>
      <c r="B2994" s="3563" t="s">
        <v>4811</v>
      </c>
      <c r="C2994" s="3563" t="s">
        <v>4197</v>
      </c>
      <c r="D2994" s="3563" t="s">
        <v>6429</v>
      </c>
      <c r="E2994" s="3563" t="s">
        <v>4520</v>
      </c>
      <c r="F2994" s="3563" t="s">
        <v>4797</v>
      </c>
      <c r="G2994" s="3564">
        <v>87.55</v>
      </c>
      <c r="H2994" s="3564">
        <v>71</v>
      </c>
      <c r="I2994" s="3564">
        <v>16.55</v>
      </c>
      <c r="J2994" s="3565">
        <v>875678</v>
      </c>
      <c r="K2994" s="3565">
        <v>10002.030000000001</v>
      </c>
      <c r="L2994" s="3565">
        <v>12333.49</v>
      </c>
      <c r="M2994" s="3565">
        <v>849408</v>
      </c>
      <c r="N2994" s="3565">
        <v>9701.98</v>
      </c>
      <c r="O2994" s="3566">
        <v>44191</v>
      </c>
    </row>
    <row r="2995" spans="1:15">
      <c r="A2995" s="3563" t="s">
        <v>7217</v>
      </c>
      <c r="B2995" s="3563" t="s">
        <v>4811</v>
      </c>
      <c r="C2995" s="3563" t="s">
        <v>4197</v>
      </c>
      <c r="D2995" s="3563" t="s">
        <v>6429</v>
      </c>
      <c r="E2995" s="3563" t="s">
        <v>4520</v>
      </c>
      <c r="F2995" s="3563" t="s">
        <v>4797</v>
      </c>
      <c r="G2995" s="3564">
        <v>87.55</v>
      </c>
      <c r="H2995" s="3564">
        <v>71</v>
      </c>
      <c r="I2995" s="3564">
        <v>16.55</v>
      </c>
      <c r="J2995" s="3565">
        <v>875678</v>
      </c>
      <c r="K2995" s="3565">
        <v>10002.030000000001</v>
      </c>
      <c r="L2995" s="3565">
        <v>12333.49</v>
      </c>
      <c r="M2995" s="3565">
        <v>840651</v>
      </c>
      <c r="N2995" s="3565">
        <v>9601.9500000000007</v>
      </c>
      <c r="O2995" s="3566">
        <v>44191</v>
      </c>
    </row>
    <row r="2996" spans="1:15">
      <c r="A2996" s="3563" t="s">
        <v>7218</v>
      </c>
      <c r="B2996" s="3563" t="s">
        <v>5277</v>
      </c>
      <c r="C2996" s="3563" t="s">
        <v>4197</v>
      </c>
      <c r="D2996" s="3563" t="s">
        <v>6429</v>
      </c>
      <c r="E2996" s="3563" t="s">
        <v>4520</v>
      </c>
      <c r="F2996" s="3563" t="s">
        <v>4797</v>
      </c>
      <c r="G2996" s="3564">
        <v>101.12</v>
      </c>
      <c r="H2996" s="3564">
        <v>82.01</v>
      </c>
      <c r="I2996" s="3564">
        <v>19.11</v>
      </c>
      <c r="J2996" s="3565">
        <v>1000648</v>
      </c>
      <c r="K2996" s="3565">
        <v>9895.65</v>
      </c>
      <c r="L2996" s="3565">
        <v>12201.54</v>
      </c>
      <c r="M2996" s="3565">
        <v>910590</v>
      </c>
      <c r="N2996" s="3565">
        <v>9005.0400000000009</v>
      </c>
      <c r="O2996" s="3566">
        <v>44191</v>
      </c>
    </row>
    <row r="2997" spans="1:15">
      <c r="A2997" s="3563" t="s">
        <v>7219</v>
      </c>
      <c r="B2997" s="3563" t="s">
        <v>4196</v>
      </c>
      <c r="C2997" s="3563" t="s">
        <v>4197</v>
      </c>
      <c r="D2997" s="3563" t="s">
        <v>6429</v>
      </c>
      <c r="E2997" s="3563" t="s">
        <v>4520</v>
      </c>
      <c r="F2997" s="3563" t="s">
        <v>4797</v>
      </c>
      <c r="G2997" s="3564">
        <v>100.79</v>
      </c>
      <c r="H2997" s="3564">
        <v>81.739999999999995</v>
      </c>
      <c r="I2997" s="3564">
        <v>19.05</v>
      </c>
      <c r="J2997" s="3565">
        <v>1045633</v>
      </c>
      <c r="K2997" s="3565">
        <v>10374.370000000001</v>
      </c>
      <c r="L2997" s="3565">
        <v>12792.18</v>
      </c>
      <c r="M2997" s="3565">
        <v>0</v>
      </c>
      <c r="N2997" s="3565">
        <v>0</v>
      </c>
      <c r="O2997" s="3563" t="s">
        <v>3453</v>
      </c>
    </row>
    <row r="2998" spans="1:15">
      <c r="A2998" s="3563" t="s">
        <v>7220</v>
      </c>
      <c r="B2998" s="3563" t="s">
        <v>4196</v>
      </c>
      <c r="C2998" s="3563" t="s">
        <v>4197</v>
      </c>
      <c r="D2998" s="3563" t="s">
        <v>6429</v>
      </c>
      <c r="E2998" s="3563" t="s">
        <v>4520</v>
      </c>
      <c r="F2998" s="3563" t="s">
        <v>4797</v>
      </c>
      <c r="G2998" s="3564">
        <v>100.79</v>
      </c>
      <c r="H2998" s="3564">
        <v>81.739999999999995</v>
      </c>
      <c r="I2998" s="3564">
        <v>19.05</v>
      </c>
      <c r="J2998" s="3565">
        <v>1045633</v>
      </c>
      <c r="K2998" s="3565">
        <v>10374.370000000001</v>
      </c>
      <c r="L2998" s="3565">
        <v>12792.18</v>
      </c>
      <c r="M2998" s="3565">
        <v>0</v>
      </c>
      <c r="N2998" s="3565">
        <v>0</v>
      </c>
      <c r="O2998" s="3563" t="s">
        <v>3453</v>
      </c>
    </row>
    <row r="2999" spans="1:15">
      <c r="A2999" s="3563" t="s">
        <v>7221</v>
      </c>
      <c r="B2999" s="3563" t="s">
        <v>4196</v>
      </c>
      <c r="C2999" s="3563" t="s">
        <v>4197</v>
      </c>
      <c r="D2999" s="3563" t="s">
        <v>6429</v>
      </c>
      <c r="E2999" s="3563" t="s">
        <v>4520</v>
      </c>
      <c r="F2999" s="3563" t="s">
        <v>4797</v>
      </c>
      <c r="G2999" s="3564">
        <v>109.05</v>
      </c>
      <c r="H2999" s="3564">
        <v>88.44</v>
      </c>
      <c r="I2999" s="3564">
        <v>20.61</v>
      </c>
      <c r="J2999" s="3565">
        <v>1069839</v>
      </c>
      <c r="K2999" s="3565">
        <v>9810.5400000000009</v>
      </c>
      <c r="L2999" s="3565">
        <v>12096.78</v>
      </c>
      <c r="M2999" s="3565">
        <v>0</v>
      </c>
      <c r="N2999" s="3565">
        <v>0</v>
      </c>
      <c r="O2999" s="3563" t="s">
        <v>3453</v>
      </c>
    </row>
    <row r="3000" spans="1:15">
      <c r="A3000" s="3563" t="s">
        <v>7222</v>
      </c>
      <c r="B3000" s="3563" t="s">
        <v>4196</v>
      </c>
      <c r="C3000" s="3563" t="s">
        <v>4197</v>
      </c>
      <c r="D3000" s="3563" t="s">
        <v>6429</v>
      </c>
      <c r="E3000" s="3563" t="s">
        <v>4520</v>
      </c>
      <c r="F3000" s="3563" t="s">
        <v>4797</v>
      </c>
      <c r="G3000" s="3564">
        <v>87.55</v>
      </c>
      <c r="H3000" s="3564">
        <v>71</v>
      </c>
      <c r="I3000" s="3564">
        <v>16.55</v>
      </c>
      <c r="J3000" s="3565">
        <v>882197</v>
      </c>
      <c r="K3000" s="3565">
        <v>10076.49</v>
      </c>
      <c r="L3000" s="3565">
        <v>12425.31</v>
      </c>
      <c r="M3000" s="3565">
        <v>0</v>
      </c>
      <c r="N3000" s="3565">
        <v>0</v>
      </c>
      <c r="O3000" s="3563" t="s">
        <v>3453</v>
      </c>
    </row>
    <row r="3001" spans="1:15">
      <c r="A3001" s="3563" t="s">
        <v>7223</v>
      </c>
      <c r="B3001" s="3563" t="s">
        <v>4196</v>
      </c>
      <c r="C3001" s="3563" t="s">
        <v>4197</v>
      </c>
      <c r="D3001" s="3563" t="s">
        <v>6429</v>
      </c>
      <c r="E3001" s="3563" t="s">
        <v>4520</v>
      </c>
      <c r="F3001" s="3563" t="s">
        <v>4797</v>
      </c>
      <c r="G3001" s="3564">
        <v>87.55</v>
      </c>
      <c r="H3001" s="3564">
        <v>71</v>
      </c>
      <c r="I3001" s="3564">
        <v>16.55</v>
      </c>
      <c r="J3001" s="3565">
        <v>882197</v>
      </c>
      <c r="K3001" s="3565">
        <v>10076.49</v>
      </c>
      <c r="L3001" s="3565">
        <v>12425.31</v>
      </c>
      <c r="M3001" s="3565">
        <v>0</v>
      </c>
      <c r="N3001" s="3565">
        <v>0</v>
      </c>
      <c r="O3001" s="3563" t="s">
        <v>3453</v>
      </c>
    </row>
    <row r="3002" spans="1:15">
      <c r="A3002" s="3563" t="s">
        <v>7224</v>
      </c>
      <c r="B3002" s="3563" t="s">
        <v>4196</v>
      </c>
      <c r="C3002" s="3563" t="s">
        <v>4197</v>
      </c>
      <c r="D3002" s="3563" t="s">
        <v>6429</v>
      </c>
      <c r="E3002" s="3563" t="s">
        <v>4520</v>
      </c>
      <c r="F3002" s="3563" t="s">
        <v>4797</v>
      </c>
      <c r="G3002" s="3564">
        <v>101.12</v>
      </c>
      <c r="H3002" s="3564">
        <v>82.01</v>
      </c>
      <c r="I3002" s="3564">
        <v>19.11</v>
      </c>
      <c r="J3002" s="3565">
        <v>997420</v>
      </c>
      <c r="K3002" s="3565">
        <v>9863.73</v>
      </c>
      <c r="L3002" s="3565">
        <v>12162.18</v>
      </c>
      <c r="M3002" s="3565">
        <v>0</v>
      </c>
      <c r="N3002" s="3565">
        <v>0</v>
      </c>
      <c r="O3002" s="3563" t="s">
        <v>3453</v>
      </c>
    </row>
    <row r="3003" spans="1:15">
      <c r="A3003" s="3563" t="s">
        <v>7225</v>
      </c>
      <c r="B3003" s="3563" t="s">
        <v>4196</v>
      </c>
      <c r="C3003" s="3563" t="s">
        <v>4197</v>
      </c>
      <c r="D3003" s="3563" t="s">
        <v>6429</v>
      </c>
      <c r="E3003" s="3563" t="s">
        <v>4520</v>
      </c>
      <c r="F3003" s="3563" t="s">
        <v>4797</v>
      </c>
      <c r="G3003" s="3564">
        <v>100.79</v>
      </c>
      <c r="H3003" s="3564">
        <v>81.739999999999995</v>
      </c>
      <c r="I3003" s="3564">
        <v>19.05</v>
      </c>
      <c r="J3003" s="3565">
        <v>1031694</v>
      </c>
      <c r="K3003" s="3565">
        <v>10236.08</v>
      </c>
      <c r="L3003" s="3565">
        <v>12621.65</v>
      </c>
      <c r="M3003" s="3565">
        <v>0</v>
      </c>
      <c r="N3003" s="3565">
        <v>0</v>
      </c>
      <c r="O3003" s="3563" t="s">
        <v>3453</v>
      </c>
    </row>
    <row r="3004" spans="1:15">
      <c r="A3004" s="3563" t="s">
        <v>7226</v>
      </c>
      <c r="B3004" s="3563" t="s">
        <v>4196</v>
      </c>
      <c r="C3004" s="3563" t="s">
        <v>4197</v>
      </c>
      <c r="D3004" s="3563" t="s">
        <v>6429</v>
      </c>
      <c r="E3004" s="3563" t="s">
        <v>4520</v>
      </c>
      <c r="F3004" s="3563" t="s">
        <v>4797</v>
      </c>
      <c r="G3004" s="3564">
        <v>100.79</v>
      </c>
      <c r="H3004" s="3564">
        <v>81.739999999999995</v>
      </c>
      <c r="I3004" s="3564">
        <v>19.05</v>
      </c>
      <c r="J3004" s="3565">
        <v>1010249</v>
      </c>
      <c r="K3004" s="3565">
        <v>10023.31</v>
      </c>
      <c r="L3004" s="3565">
        <v>12359.3</v>
      </c>
      <c r="M3004" s="3565">
        <v>0</v>
      </c>
      <c r="N3004" s="3565">
        <v>0</v>
      </c>
      <c r="O3004" s="3563" t="s">
        <v>3453</v>
      </c>
    </row>
    <row r="3005" spans="1:15">
      <c r="A3005" s="3563" t="s">
        <v>7227</v>
      </c>
      <c r="B3005" s="3563" t="s">
        <v>4196</v>
      </c>
      <c r="C3005" s="3563" t="s">
        <v>4197</v>
      </c>
      <c r="D3005" s="3563" t="s">
        <v>6429</v>
      </c>
      <c r="E3005" s="3563" t="s">
        <v>4520</v>
      </c>
      <c r="F3005" s="3563" t="s">
        <v>4797</v>
      </c>
      <c r="G3005" s="3564">
        <v>109.05</v>
      </c>
      <c r="H3005" s="3564">
        <v>88.44</v>
      </c>
      <c r="I3005" s="3564">
        <v>20.61</v>
      </c>
      <c r="J3005" s="3565">
        <v>1083761</v>
      </c>
      <c r="K3005" s="3565">
        <v>9938.2000000000007</v>
      </c>
      <c r="L3005" s="3565">
        <v>12254.19</v>
      </c>
      <c r="M3005" s="3565">
        <v>0</v>
      </c>
      <c r="N3005" s="3565">
        <v>0</v>
      </c>
      <c r="O3005" s="3563" t="s">
        <v>3453</v>
      </c>
    </row>
    <row r="3006" spans="1:15">
      <c r="A3006" s="3563" t="s">
        <v>7228</v>
      </c>
      <c r="B3006" s="3563" t="s">
        <v>4196</v>
      </c>
      <c r="C3006" s="3563" t="s">
        <v>4197</v>
      </c>
      <c r="D3006" s="3563" t="s">
        <v>6429</v>
      </c>
      <c r="E3006" s="3563" t="s">
        <v>4520</v>
      </c>
      <c r="F3006" s="3563" t="s">
        <v>4797</v>
      </c>
      <c r="G3006" s="3564">
        <v>87.55</v>
      </c>
      <c r="H3006" s="3564">
        <v>71</v>
      </c>
      <c r="I3006" s="3564">
        <v>16.55</v>
      </c>
      <c r="J3006" s="3565">
        <v>893373</v>
      </c>
      <c r="K3006" s="3565">
        <v>10204.15</v>
      </c>
      <c r="L3006" s="3565">
        <v>12582.72</v>
      </c>
      <c r="M3006" s="3565">
        <v>0</v>
      </c>
      <c r="N3006" s="3565">
        <v>0</v>
      </c>
      <c r="O3006" s="3563" t="s">
        <v>3453</v>
      </c>
    </row>
    <row r="3007" spans="1:15">
      <c r="A3007" s="3563" t="s">
        <v>7229</v>
      </c>
      <c r="B3007" s="3563" t="s">
        <v>4811</v>
      </c>
      <c r="C3007" s="3563" t="s">
        <v>4197</v>
      </c>
      <c r="D3007" s="3563" t="s">
        <v>6429</v>
      </c>
      <c r="E3007" s="3563" t="s">
        <v>4520</v>
      </c>
      <c r="F3007" s="3563" t="s">
        <v>4797</v>
      </c>
      <c r="G3007" s="3564">
        <v>87.55</v>
      </c>
      <c r="H3007" s="3564">
        <v>71</v>
      </c>
      <c r="I3007" s="3564">
        <v>16.55</v>
      </c>
      <c r="J3007" s="3565">
        <v>893373</v>
      </c>
      <c r="K3007" s="3565">
        <v>10204.15</v>
      </c>
      <c r="L3007" s="3565">
        <v>12582.72</v>
      </c>
      <c r="M3007" s="3565">
        <v>848705</v>
      </c>
      <c r="N3007" s="3565">
        <v>9693.9500000000007</v>
      </c>
      <c r="O3007" s="3566">
        <v>44192</v>
      </c>
    </row>
    <row r="3008" spans="1:15">
      <c r="A3008" s="3563" t="s">
        <v>7230</v>
      </c>
      <c r="B3008" s="3563" t="s">
        <v>4196</v>
      </c>
      <c r="C3008" s="3563" t="s">
        <v>4197</v>
      </c>
      <c r="D3008" s="3563" t="s">
        <v>6429</v>
      </c>
      <c r="E3008" s="3563" t="s">
        <v>4520</v>
      </c>
      <c r="F3008" s="3563" t="s">
        <v>4797</v>
      </c>
      <c r="G3008" s="3564">
        <v>101.12</v>
      </c>
      <c r="H3008" s="3564">
        <v>82.01</v>
      </c>
      <c r="I3008" s="3564">
        <v>19.11</v>
      </c>
      <c r="J3008" s="3565">
        <v>1010329</v>
      </c>
      <c r="K3008" s="3565">
        <v>9991.39</v>
      </c>
      <c r="L3008" s="3565">
        <v>12319.58</v>
      </c>
      <c r="M3008" s="3565">
        <v>0</v>
      </c>
      <c r="N3008" s="3565">
        <v>0</v>
      </c>
      <c r="O3008" s="3563" t="s">
        <v>3453</v>
      </c>
    </row>
    <row r="3009" spans="1:15">
      <c r="A3009" s="3563" t="s">
        <v>7231</v>
      </c>
      <c r="B3009" s="3563" t="s">
        <v>4811</v>
      </c>
      <c r="C3009" s="3563" t="s">
        <v>4197</v>
      </c>
      <c r="D3009" s="3563" t="s">
        <v>6429</v>
      </c>
      <c r="E3009" s="3563" t="s">
        <v>4520</v>
      </c>
      <c r="F3009" s="3563" t="s">
        <v>4797</v>
      </c>
      <c r="G3009" s="3564">
        <v>100.79</v>
      </c>
      <c r="H3009" s="3564">
        <v>81.739999999999995</v>
      </c>
      <c r="I3009" s="3564">
        <v>19.05</v>
      </c>
      <c r="J3009" s="3565">
        <v>1044561</v>
      </c>
      <c r="K3009" s="3565">
        <v>10363.74</v>
      </c>
      <c r="L3009" s="3565">
        <v>12779.07</v>
      </c>
      <c r="M3009" s="3565">
        <v>1044561</v>
      </c>
      <c r="N3009" s="3565">
        <v>10363.74</v>
      </c>
      <c r="O3009" s="3566">
        <v>44192</v>
      </c>
    </row>
    <row r="3010" spans="1:15">
      <c r="A3010" s="3563" t="s">
        <v>7232</v>
      </c>
      <c r="B3010" s="3563" t="s">
        <v>4196</v>
      </c>
      <c r="C3010" s="3563" t="s">
        <v>4197</v>
      </c>
      <c r="D3010" s="3563" t="s">
        <v>6429</v>
      </c>
      <c r="E3010" s="3563" t="s">
        <v>4520</v>
      </c>
      <c r="F3010" s="3563" t="s">
        <v>4797</v>
      </c>
      <c r="G3010" s="3564">
        <v>100.79</v>
      </c>
      <c r="H3010" s="3564">
        <v>81.739999999999995</v>
      </c>
      <c r="I3010" s="3564">
        <v>19.05</v>
      </c>
      <c r="J3010" s="3565">
        <v>1023116</v>
      </c>
      <c r="K3010" s="3565">
        <v>10150.969999999999</v>
      </c>
      <c r="L3010" s="3565">
        <v>12516.71</v>
      </c>
      <c r="M3010" s="3565">
        <v>0</v>
      </c>
      <c r="N3010" s="3565">
        <v>0</v>
      </c>
      <c r="O3010" s="3563" t="s">
        <v>3453</v>
      </c>
    </row>
    <row r="3011" spans="1:15">
      <c r="A3011" s="3563" t="s">
        <v>7233</v>
      </c>
      <c r="B3011" s="3563" t="s">
        <v>4196</v>
      </c>
      <c r="C3011" s="3563" t="s">
        <v>4197</v>
      </c>
      <c r="D3011" s="3563" t="s">
        <v>6429</v>
      </c>
      <c r="E3011" s="3563" t="s">
        <v>4520</v>
      </c>
      <c r="F3011" s="3563" t="s">
        <v>4797</v>
      </c>
      <c r="G3011" s="3564">
        <v>109.05</v>
      </c>
      <c r="H3011" s="3564">
        <v>88.44</v>
      </c>
      <c r="I3011" s="3564">
        <v>20.61</v>
      </c>
      <c r="J3011" s="3565">
        <v>1097682</v>
      </c>
      <c r="K3011" s="3565">
        <v>10065.86</v>
      </c>
      <c r="L3011" s="3565">
        <v>12411.6</v>
      </c>
      <c r="M3011" s="3565">
        <v>0</v>
      </c>
      <c r="N3011" s="3565">
        <v>0</v>
      </c>
      <c r="O3011" s="3563" t="s">
        <v>3453</v>
      </c>
    </row>
    <row r="3012" spans="1:15">
      <c r="A3012" s="3563" t="s">
        <v>7234</v>
      </c>
      <c r="B3012" s="3563" t="s">
        <v>4196</v>
      </c>
      <c r="C3012" s="3563" t="s">
        <v>4197</v>
      </c>
      <c r="D3012" s="3563" t="s">
        <v>6429</v>
      </c>
      <c r="E3012" s="3563" t="s">
        <v>4520</v>
      </c>
      <c r="F3012" s="3563" t="s">
        <v>4797</v>
      </c>
      <c r="G3012" s="3564">
        <v>87.55</v>
      </c>
      <c r="H3012" s="3564">
        <v>71</v>
      </c>
      <c r="I3012" s="3564">
        <v>16.55</v>
      </c>
      <c r="J3012" s="3565">
        <v>904550</v>
      </c>
      <c r="K3012" s="3565">
        <v>10331.81</v>
      </c>
      <c r="L3012" s="3565">
        <v>12740.14</v>
      </c>
      <c r="M3012" s="3565">
        <v>0</v>
      </c>
      <c r="N3012" s="3565">
        <v>0</v>
      </c>
      <c r="O3012" s="3563" t="s">
        <v>3453</v>
      </c>
    </row>
    <row r="3013" spans="1:15">
      <c r="A3013" s="3563" t="s">
        <v>7235</v>
      </c>
      <c r="B3013" s="3563" t="s">
        <v>4196</v>
      </c>
      <c r="C3013" s="3563" t="s">
        <v>4197</v>
      </c>
      <c r="D3013" s="3563" t="s">
        <v>6429</v>
      </c>
      <c r="E3013" s="3563" t="s">
        <v>4520</v>
      </c>
      <c r="F3013" s="3563" t="s">
        <v>4797</v>
      </c>
      <c r="G3013" s="3564">
        <v>87.55</v>
      </c>
      <c r="H3013" s="3564">
        <v>71</v>
      </c>
      <c r="I3013" s="3564">
        <v>16.55</v>
      </c>
      <c r="J3013" s="3565">
        <v>904550</v>
      </c>
      <c r="K3013" s="3565">
        <v>10331.81</v>
      </c>
      <c r="L3013" s="3565">
        <v>12740.14</v>
      </c>
      <c r="M3013" s="3565">
        <v>0</v>
      </c>
      <c r="N3013" s="3565">
        <v>0</v>
      </c>
      <c r="O3013" s="3563" t="s">
        <v>3453</v>
      </c>
    </row>
    <row r="3014" spans="1:15">
      <c r="A3014" s="3563" t="s">
        <v>7236</v>
      </c>
      <c r="B3014" s="3563" t="s">
        <v>4811</v>
      </c>
      <c r="C3014" s="3563" t="s">
        <v>4197</v>
      </c>
      <c r="D3014" s="3563" t="s">
        <v>6429</v>
      </c>
      <c r="E3014" s="3563" t="s">
        <v>4520</v>
      </c>
      <c r="F3014" s="3563" t="s">
        <v>4797</v>
      </c>
      <c r="G3014" s="3564">
        <v>101.12</v>
      </c>
      <c r="H3014" s="3564">
        <v>82.01</v>
      </c>
      <c r="I3014" s="3564">
        <v>19.11</v>
      </c>
      <c r="J3014" s="3565">
        <v>1023238</v>
      </c>
      <c r="K3014" s="3565">
        <v>10119.049999999999</v>
      </c>
      <c r="L3014" s="3565">
        <v>12476.99</v>
      </c>
      <c r="M3014" s="3565">
        <v>1002774</v>
      </c>
      <c r="N3014" s="3565">
        <v>9916.67</v>
      </c>
      <c r="O3014" s="3566">
        <v>44190</v>
      </c>
    </row>
    <row r="3015" spans="1:15">
      <c r="A3015" s="3563" t="s">
        <v>7237</v>
      </c>
      <c r="B3015" s="3563" t="s">
        <v>4196</v>
      </c>
      <c r="C3015" s="3563" t="s">
        <v>4197</v>
      </c>
      <c r="D3015" s="3563" t="s">
        <v>6429</v>
      </c>
      <c r="E3015" s="3563" t="s">
        <v>4520</v>
      </c>
      <c r="F3015" s="3563" t="s">
        <v>4797</v>
      </c>
      <c r="G3015" s="3564">
        <v>100.79</v>
      </c>
      <c r="H3015" s="3564">
        <v>81.739999999999995</v>
      </c>
      <c r="I3015" s="3564">
        <v>19.05</v>
      </c>
      <c r="J3015" s="3565">
        <v>1057427</v>
      </c>
      <c r="K3015" s="3565">
        <v>10491.39</v>
      </c>
      <c r="L3015" s="3565">
        <v>12936.47</v>
      </c>
      <c r="M3015" s="3565">
        <v>0</v>
      </c>
      <c r="N3015" s="3565">
        <v>0</v>
      </c>
      <c r="O3015" s="3563" t="s">
        <v>3453</v>
      </c>
    </row>
    <row r="3016" spans="1:15">
      <c r="A3016" s="3563" t="s">
        <v>7238</v>
      </c>
      <c r="B3016" s="3563" t="s">
        <v>4196</v>
      </c>
      <c r="C3016" s="3563" t="s">
        <v>4197</v>
      </c>
      <c r="D3016" s="3563" t="s">
        <v>6429</v>
      </c>
      <c r="E3016" s="3563" t="s">
        <v>4520</v>
      </c>
      <c r="F3016" s="3563" t="s">
        <v>4797</v>
      </c>
      <c r="G3016" s="3564">
        <v>100.79</v>
      </c>
      <c r="H3016" s="3564">
        <v>81.739999999999995</v>
      </c>
      <c r="I3016" s="3564">
        <v>19.05</v>
      </c>
      <c r="J3016" s="3565">
        <v>1035982</v>
      </c>
      <c r="K3016" s="3565">
        <v>10278.620000000001</v>
      </c>
      <c r="L3016" s="3565">
        <v>12674.11</v>
      </c>
      <c r="M3016" s="3565">
        <v>0</v>
      </c>
      <c r="N3016" s="3565">
        <v>0</v>
      </c>
      <c r="O3016" s="3563" t="s">
        <v>3453</v>
      </c>
    </row>
    <row r="3017" spans="1:15">
      <c r="A3017" s="3563" t="s">
        <v>7239</v>
      </c>
      <c r="B3017" s="3563" t="s">
        <v>4196</v>
      </c>
      <c r="C3017" s="3563" t="s">
        <v>4197</v>
      </c>
      <c r="D3017" s="3563" t="s">
        <v>6429</v>
      </c>
      <c r="E3017" s="3563" t="s">
        <v>4520</v>
      </c>
      <c r="F3017" s="3563" t="s">
        <v>4797</v>
      </c>
      <c r="G3017" s="3564">
        <v>109.05</v>
      </c>
      <c r="H3017" s="3564">
        <v>88.44</v>
      </c>
      <c r="I3017" s="3564">
        <v>20.61</v>
      </c>
      <c r="J3017" s="3565">
        <v>1098841</v>
      </c>
      <c r="K3017" s="3565">
        <v>10076.49</v>
      </c>
      <c r="L3017" s="3565">
        <v>12424.71</v>
      </c>
      <c r="M3017" s="3565">
        <v>0</v>
      </c>
      <c r="N3017" s="3565">
        <v>0</v>
      </c>
      <c r="O3017" s="3563" t="s">
        <v>3453</v>
      </c>
    </row>
    <row r="3018" spans="1:15">
      <c r="A3018" s="3563" t="s">
        <v>7240</v>
      </c>
      <c r="B3018" s="3563" t="s">
        <v>4196</v>
      </c>
      <c r="C3018" s="3563" t="s">
        <v>4197</v>
      </c>
      <c r="D3018" s="3563" t="s">
        <v>6429</v>
      </c>
      <c r="E3018" s="3563" t="s">
        <v>4520</v>
      </c>
      <c r="F3018" s="3563" t="s">
        <v>4797</v>
      </c>
      <c r="G3018" s="3564">
        <v>87.55</v>
      </c>
      <c r="H3018" s="3564">
        <v>71</v>
      </c>
      <c r="I3018" s="3564">
        <v>16.55</v>
      </c>
      <c r="J3018" s="3565">
        <v>905482</v>
      </c>
      <c r="K3018" s="3565">
        <v>10342.459999999999</v>
      </c>
      <c r="L3018" s="3565">
        <v>12753.27</v>
      </c>
      <c r="M3018" s="3565">
        <v>0</v>
      </c>
      <c r="N3018" s="3565">
        <v>0</v>
      </c>
      <c r="O3018" s="3563" t="s">
        <v>3453</v>
      </c>
    </row>
    <row r="3019" spans="1:15">
      <c r="A3019" s="3563" t="s">
        <v>7241</v>
      </c>
      <c r="B3019" s="3563" t="s">
        <v>4811</v>
      </c>
      <c r="C3019" s="3563" t="s">
        <v>4197</v>
      </c>
      <c r="D3019" s="3563" t="s">
        <v>6429</v>
      </c>
      <c r="E3019" s="3563" t="s">
        <v>4520</v>
      </c>
      <c r="F3019" s="3563" t="s">
        <v>4797</v>
      </c>
      <c r="G3019" s="3564">
        <v>87.55</v>
      </c>
      <c r="H3019" s="3564">
        <v>71</v>
      </c>
      <c r="I3019" s="3564">
        <v>16.55</v>
      </c>
      <c r="J3019" s="3565">
        <v>905482</v>
      </c>
      <c r="K3019" s="3565">
        <v>10342.459999999999</v>
      </c>
      <c r="L3019" s="3565">
        <v>12753.27</v>
      </c>
      <c r="M3019" s="3565">
        <v>878318</v>
      </c>
      <c r="N3019" s="3565">
        <v>10032.19</v>
      </c>
      <c r="O3019" s="3566">
        <v>44190</v>
      </c>
    </row>
    <row r="3020" spans="1:15">
      <c r="A3020" s="3563" t="s">
        <v>7242</v>
      </c>
      <c r="B3020" s="3563" t="s">
        <v>4811</v>
      </c>
      <c r="C3020" s="3563" t="s">
        <v>4197</v>
      </c>
      <c r="D3020" s="3563" t="s">
        <v>6429</v>
      </c>
      <c r="E3020" s="3563" t="s">
        <v>4520</v>
      </c>
      <c r="F3020" s="3563" t="s">
        <v>4797</v>
      </c>
      <c r="G3020" s="3564">
        <v>101.12</v>
      </c>
      <c r="H3020" s="3564">
        <v>82.01</v>
      </c>
      <c r="I3020" s="3564">
        <v>19.11</v>
      </c>
      <c r="J3020" s="3565">
        <v>1024314</v>
      </c>
      <c r="K3020" s="3565">
        <v>10129.69</v>
      </c>
      <c r="L3020" s="3565">
        <v>12490.11</v>
      </c>
      <c r="M3020" s="3565">
        <v>983342</v>
      </c>
      <c r="N3020" s="3565">
        <v>9724.51</v>
      </c>
      <c r="O3020" s="3566">
        <v>44191</v>
      </c>
    </row>
    <row r="3021" spans="1:15">
      <c r="A3021" s="3563" t="s">
        <v>7243</v>
      </c>
      <c r="B3021" s="3563" t="s">
        <v>4196</v>
      </c>
      <c r="C3021" s="3563" t="s">
        <v>4197</v>
      </c>
      <c r="D3021" s="3563" t="s">
        <v>6429</v>
      </c>
      <c r="E3021" s="3563" t="s">
        <v>4520</v>
      </c>
      <c r="F3021" s="3563" t="s">
        <v>4797</v>
      </c>
      <c r="G3021" s="3564">
        <v>100.79</v>
      </c>
      <c r="H3021" s="3564">
        <v>81.739999999999995</v>
      </c>
      <c r="I3021" s="3564">
        <v>19.05</v>
      </c>
      <c r="J3021" s="3565">
        <v>1058499</v>
      </c>
      <c r="K3021" s="3565">
        <v>10502.02</v>
      </c>
      <c r="L3021" s="3565">
        <v>12949.58</v>
      </c>
      <c r="M3021" s="3565">
        <v>0</v>
      </c>
      <c r="N3021" s="3565">
        <v>0</v>
      </c>
      <c r="O3021" s="3563" t="s">
        <v>3453</v>
      </c>
    </row>
    <row r="3022" spans="1:15">
      <c r="A3022" s="3563" t="s">
        <v>7244</v>
      </c>
      <c r="B3022" s="3563" t="s">
        <v>4196</v>
      </c>
      <c r="C3022" s="3563" t="s">
        <v>4197</v>
      </c>
      <c r="D3022" s="3563" t="s">
        <v>6429</v>
      </c>
      <c r="E3022" s="3563" t="s">
        <v>4520</v>
      </c>
      <c r="F3022" s="3563" t="s">
        <v>4797</v>
      </c>
      <c r="G3022" s="3564">
        <v>100.79</v>
      </c>
      <c r="H3022" s="3564">
        <v>81.739999999999995</v>
      </c>
      <c r="I3022" s="3564">
        <v>19.05</v>
      </c>
      <c r="J3022" s="3565">
        <v>1037054</v>
      </c>
      <c r="K3022" s="3565">
        <v>10289.25</v>
      </c>
      <c r="L3022" s="3565">
        <v>12687.23</v>
      </c>
      <c r="M3022" s="3565">
        <v>0</v>
      </c>
      <c r="N3022" s="3565">
        <v>0</v>
      </c>
      <c r="O3022" s="3563" t="s">
        <v>3453</v>
      </c>
    </row>
    <row r="3023" spans="1:15">
      <c r="A3023" s="3563" t="s">
        <v>7245</v>
      </c>
      <c r="B3023" s="3563" t="s">
        <v>4196</v>
      </c>
      <c r="C3023" s="3563" t="s">
        <v>4197</v>
      </c>
      <c r="D3023" s="3563" t="s">
        <v>6429</v>
      </c>
      <c r="E3023" s="3563" t="s">
        <v>4520</v>
      </c>
      <c r="F3023" s="3563" t="s">
        <v>4797</v>
      </c>
      <c r="G3023" s="3564">
        <v>109.05</v>
      </c>
      <c r="H3023" s="3564">
        <v>88.44</v>
      </c>
      <c r="I3023" s="3564">
        <v>20.61</v>
      </c>
      <c r="J3023" s="3565">
        <v>1123204</v>
      </c>
      <c r="K3023" s="3565">
        <v>10299.9</v>
      </c>
      <c r="L3023" s="3565">
        <v>12700.18</v>
      </c>
      <c r="M3023" s="3565">
        <v>0</v>
      </c>
      <c r="N3023" s="3565">
        <v>0</v>
      </c>
      <c r="O3023" s="3563" t="s">
        <v>3453</v>
      </c>
    </row>
    <row r="3024" spans="1:15">
      <c r="A3024" s="3563" t="s">
        <v>7246</v>
      </c>
      <c r="B3024" s="3563" t="s">
        <v>4196</v>
      </c>
      <c r="C3024" s="3563" t="s">
        <v>4197</v>
      </c>
      <c r="D3024" s="3563" t="s">
        <v>6429</v>
      </c>
      <c r="E3024" s="3563" t="s">
        <v>4520</v>
      </c>
      <c r="F3024" s="3563" t="s">
        <v>4797</v>
      </c>
      <c r="G3024" s="3564">
        <v>87.55</v>
      </c>
      <c r="H3024" s="3564">
        <v>71</v>
      </c>
      <c r="I3024" s="3564">
        <v>16.55</v>
      </c>
      <c r="J3024" s="3565">
        <v>906413</v>
      </c>
      <c r="K3024" s="3565">
        <v>10353.09</v>
      </c>
      <c r="L3024" s="3565">
        <v>12766.38</v>
      </c>
      <c r="M3024" s="3565">
        <v>0</v>
      </c>
      <c r="N3024" s="3565">
        <v>0</v>
      </c>
      <c r="O3024" s="3563" t="s">
        <v>3453</v>
      </c>
    </row>
    <row r="3025" spans="1:15">
      <c r="A3025" s="3563" t="s">
        <v>7247</v>
      </c>
      <c r="B3025" s="3563" t="s">
        <v>4811</v>
      </c>
      <c r="C3025" s="3563" t="s">
        <v>4197</v>
      </c>
      <c r="D3025" s="3563" t="s">
        <v>6429</v>
      </c>
      <c r="E3025" s="3563" t="s">
        <v>4520</v>
      </c>
      <c r="F3025" s="3563" t="s">
        <v>4797</v>
      </c>
      <c r="G3025" s="3564">
        <v>87.55</v>
      </c>
      <c r="H3025" s="3564">
        <v>71</v>
      </c>
      <c r="I3025" s="3564">
        <v>16.55</v>
      </c>
      <c r="J3025" s="3565">
        <v>906413</v>
      </c>
      <c r="K3025" s="3565">
        <v>10353.09</v>
      </c>
      <c r="L3025" s="3565">
        <v>12766.38</v>
      </c>
      <c r="M3025" s="3565">
        <v>824836</v>
      </c>
      <c r="N3025" s="3565">
        <v>9421.31</v>
      </c>
      <c r="O3025" s="3566">
        <v>44190</v>
      </c>
    </row>
    <row r="3026" spans="1:15">
      <c r="A3026" s="3563" t="s">
        <v>7248</v>
      </c>
      <c r="B3026" s="3563" t="s">
        <v>4811</v>
      </c>
      <c r="C3026" s="3563" t="s">
        <v>4197</v>
      </c>
      <c r="D3026" s="3563" t="s">
        <v>6429</v>
      </c>
      <c r="E3026" s="3563" t="s">
        <v>4520</v>
      </c>
      <c r="F3026" s="3563" t="s">
        <v>4797</v>
      </c>
      <c r="G3026" s="3564">
        <v>101.12</v>
      </c>
      <c r="H3026" s="3564">
        <v>82.01</v>
      </c>
      <c r="I3026" s="3564">
        <v>19.11</v>
      </c>
      <c r="J3026" s="3565">
        <v>1036147</v>
      </c>
      <c r="K3026" s="3565">
        <v>10246.709999999999</v>
      </c>
      <c r="L3026" s="3565">
        <v>12634.4</v>
      </c>
      <c r="M3026" s="3565">
        <v>1005063</v>
      </c>
      <c r="N3026" s="3565">
        <v>9939.31</v>
      </c>
      <c r="O3026" s="3566">
        <v>44191</v>
      </c>
    </row>
    <row r="3027" spans="1:15">
      <c r="A3027" s="3563" t="s">
        <v>7249</v>
      </c>
      <c r="B3027" s="3563" t="s">
        <v>4196</v>
      </c>
      <c r="C3027" s="3563" t="s">
        <v>4197</v>
      </c>
      <c r="D3027" s="3563" t="s">
        <v>6429</v>
      </c>
      <c r="E3027" s="3563" t="s">
        <v>4520</v>
      </c>
      <c r="F3027" s="3563" t="s">
        <v>4797</v>
      </c>
      <c r="G3027" s="3564">
        <v>100.79</v>
      </c>
      <c r="H3027" s="3564">
        <v>81.739999999999995</v>
      </c>
      <c r="I3027" s="3564">
        <v>19.05</v>
      </c>
      <c r="J3027" s="3565">
        <v>1081016</v>
      </c>
      <c r="K3027" s="3565">
        <v>10725.43</v>
      </c>
      <c r="L3027" s="3565">
        <v>13225.06</v>
      </c>
      <c r="M3027" s="3565">
        <v>0</v>
      </c>
      <c r="N3027" s="3565">
        <v>0</v>
      </c>
      <c r="O3027" s="3563" t="s">
        <v>3453</v>
      </c>
    </row>
    <row r="3028" spans="1:15">
      <c r="A3028" s="3563" t="s">
        <v>7250</v>
      </c>
      <c r="B3028" s="3563" t="s">
        <v>4196</v>
      </c>
      <c r="C3028" s="3563" t="s">
        <v>4197</v>
      </c>
      <c r="D3028" s="3563" t="s">
        <v>6429</v>
      </c>
      <c r="E3028" s="3563" t="s">
        <v>4520</v>
      </c>
      <c r="F3028" s="3563" t="s">
        <v>4797</v>
      </c>
      <c r="G3028" s="3564">
        <v>100.79</v>
      </c>
      <c r="H3028" s="3564">
        <v>81.739999999999995</v>
      </c>
      <c r="I3028" s="3564">
        <v>19.05</v>
      </c>
      <c r="J3028" s="3565">
        <v>1059571</v>
      </c>
      <c r="K3028" s="3565">
        <v>10512.66</v>
      </c>
      <c r="L3028" s="3565">
        <v>12962.7</v>
      </c>
      <c r="M3028" s="3565">
        <v>0</v>
      </c>
      <c r="N3028" s="3565">
        <v>0</v>
      </c>
      <c r="O3028" s="3563" t="s">
        <v>3453</v>
      </c>
    </row>
    <row r="3029" spans="1:15">
      <c r="A3029" s="3563" t="s">
        <v>7251</v>
      </c>
      <c r="B3029" s="3563" t="s">
        <v>4196</v>
      </c>
      <c r="C3029" s="3563" t="s">
        <v>4197</v>
      </c>
      <c r="D3029" s="3563" t="s">
        <v>6429</v>
      </c>
      <c r="E3029" s="3563" t="s">
        <v>4520</v>
      </c>
      <c r="F3029" s="3563" t="s">
        <v>4797</v>
      </c>
      <c r="G3029" s="3564">
        <v>109.05</v>
      </c>
      <c r="H3029" s="3564">
        <v>88.44</v>
      </c>
      <c r="I3029" s="3564">
        <v>20.61</v>
      </c>
      <c r="J3029" s="3565">
        <v>1124364</v>
      </c>
      <c r="K3029" s="3565">
        <v>10310.540000000001</v>
      </c>
      <c r="L3029" s="3565">
        <v>12713.3</v>
      </c>
      <c r="M3029" s="3565">
        <v>0</v>
      </c>
      <c r="N3029" s="3565">
        <v>0</v>
      </c>
      <c r="O3029" s="3563" t="s">
        <v>3453</v>
      </c>
    </row>
    <row r="3030" spans="1:15">
      <c r="A3030" s="3563" t="s">
        <v>7252</v>
      </c>
      <c r="B3030" s="3563" t="s">
        <v>4196</v>
      </c>
      <c r="C3030" s="3563" t="s">
        <v>4197</v>
      </c>
      <c r="D3030" s="3563" t="s">
        <v>6429</v>
      </c>
      <c r="E3030" s="3563" t="s">
        <v>4520</v>
      </c>
      <c r="F3030" s="3563" t="s">
        <v>4797</v>
      </c>
      <c r="G3030" s="3564">
        <v>87.55</v>
      </c>
      <c r="H3030" s="3564">
        <v>71</v>
      </c>
      <c r="I3030" s="3564">
        <v>16.55</v>
      </c>
      <c r="J3030" s="3565">
        <v>907345</v>
      </c>
      <c r="K3030" s="3565">
        <v>10363.74</v>
      </c>
      <c r="L3030" s="3565">
        <v>12779.51</v>
      </c>
      <c r="M3030" s="3565">
        <v>0</v>
      </c>
      <c r="N3030" s="3565">
        <v>0</v>
      </c>
      <c r="O3030" s="3563" t="s">
        <v>3453</v>
      </c>
    </row>
    <row r="3031" spans="1:15">
      <c r="A3031" s="3563" t="s">
        <v>7253</v>
      </c>
      <c r="B3031" s="3563" t="s">
        <v>4811</v>
      </c>
      <c r="C3031" s="3563" t="s">
        <v>4197</v>
      </c>
      <c r="D3031" s="3563" t="s">
        <v>6429</v>
      </c>
      <c r="E3031" s="3563" t="s">
        <v>4520</v>
      </c>
      <c r="F3031" s="3563" t="s">
        <v>4797</v>
      </c>
      <c r="G3031" s="3564">
        <v>87.55</v>
      </c>
      <c r="H3031" s="3564">
        <v>71</v>
      </c>
      <c r="I3031" s="3564">
        <v>16.55</v>
      </c>
      <c r="J3031" s="3565">
        <v>907345</v>
      </c>
      <c r="K3031" s="3565">
        <v>10363.74</v>
      </c>
      <c r="L3031" s="3565">
        <v>12779.51</v>
      </c>
      <c r="M3031" s="3565">
        <v>861978</v>
      </c>
      <c r="N3031" s="3565">
        <v>9845.5499999999993</v>
      </c>
      <c r="O3031" s="3566">
        <v>44191</v>
      </c>
    </row>
    <row r="3032" spans="1:15">
      <c r="A3032" s="3563" t="s">
        <v>7254</v>
      </c>
      <c r="B3032" s="3563" t="s">
        <v>4811</v>
      </c>
      <c r="C3032" s="3563" t="s">
        <v>4197</v>
      </c>
      <c r="D3032" s="3563" t="s">
        <v>6429</v>
      </c>
      <c r="E3032" s="3563" t="s">
        <v>4520</v>
      </c>
      <c r="F3032" s="3563" t="s">
        <v>4797</v>
      </c>
      <c r="G3032" s="3564">
        <v>101.12</v>
      </c>
      <c r="H3032" s="3564">
        <v>82.01</v>
      </c>
      <c r="I3032" s="3564">
        <v>19.11</v>
      </c>
      <c r="J3032" s="3565">
        <v>1037222</v>
      </c>
      <c r="K3032" s="3565">
        <v>10257.34</v>
      </c>
      <c r="L3032" s="3565">
        <v>12647.51</v>
      </c>
      <c r="M3032" s="3565">
        <v>1006106</v>
      </c>
      <c r="N3032" s="3565">
        <v>9949.6200000000008</v>
      </c>
      <c r="O3032" s="3566">
        <v>44191</v>
      </c>
    </row>
    <row r="3033" spans="1:15">
      <c r="A3033" s="3563" t="s">
        <v>7255</v>
      </c>
      <c r="B3033" s="3563" t="s">
        <v>3453</v>
      </c>
      <c r="C3033" s="3563" t="s">
        <v>4197</v>
      </c>
      <c r="D3033" s="3563" t="s">
        <v>6429</v>
      </c>
      <c r="E3033" s="3563" t="s">
        <v>4520</v>
      </c>
      <c r="F3033" s="3563" t="s">
        <v>4797</v>
      </c>
      <c r="G3033" s="3564">
        <v>100.79</v>
      </c>
      <c r="H3033" s="3564">
        <v>81.739999999999995</v>
      </c>
      <c r="I3033" s="3564">
        <v>19.05</v>
      </c>
      <c r="J3033" s="3565">
        <v>1082088</v>
      </c>
      <c r="K3033" s="3565">
        <v>10736.07</v>
      </c>
      <c r="L3033" s="3565">
        <v>13238.17</v>
      </c>
      <c r="M3033" s="3565">
        <v>0</v>
      </c>
      <c r="N3033" s="3565">
        <v>0</v>
      </c>
      <c r="O3033" s="3563" t="s">
        <v>3453</v>
      </c>
    </row>
    <row r="3034" spans="1:15">
      <c r="A3034" s="3563" t="s">
        <v>7256</v>
      </c>
      <c r="B3034" s="3563" t="s">
        <v>4196</v>
      </c>
      <c r="C3034" s="3563" t="s">
        <v>4197</v>
      </c>
      <c r="D3034" s="3563" t="s">
        <v>6429</v>
      </c>
      <c r="E3034" s="3563" t="s">
        <v>4520</v>
      </c>
      <c r="F3034" s="3563" t="s">
        <v>4797</v>
      </c>
      <c r="G3034" s="3564">
        <v>100.79</v>
      </c>
      <c r="H3034" s="3564">
        <v>81.739999999999995</v>
      </c>
      <c r="I3034" s="3564">
        <v>19.05</v>
      </c>
      <c r="J3034" s="3565">
        <v>1060644</v>
      </c>
      <c r="K3034" s="3565">
        <v>10523.31</v>
      </c>
      <c r="L3034" s="3565">
        <v>12975.83</v>
      </c>
      <c r="M3034" s="3565">
        <v>0</v>
      </c>
      <c r="N3034" s="3565">
        <v>0</v>
      </c>
      <c r="O3034" s="3563" t="s">
        <v>3453</v>
      </c>
    </row>
    <row r="3035" spans="1:15">
      <c r="A3035" s="3563" t="s">
        <v>7257</v>
      </c>
      <c r="B3035" s="3563" t="s">
        <v>4196</v>
      </c>
      <c r="C3035" s="3563" t="s">
        <v>4197</v>
      </c>
      <c r="D3035" s="3563" t="s">
        <v>6429</v>
      </c>
      <c r="E3035" s="3563" t="s">
        <v>4520</v>
      </c>
      <c r="F3035" s="3563" t="s">
        <v>4797</v>
      </c>
      <c r="G3035" s="3564">
        <v>109.05</v>
      </c>
      <c r="H3035" s="3564">
        <v>88.44</v>
      </c>
      <c r="I3035" s="3564">
        <v>20.61</v>
      </c>
      <c r="J3035" s="3565">
        <v>1125524</v>
      </c>
      <c r="K3035" s="3565">
        <v>10321.17</v>
      </c>
      <c r="L3035" s="3565">
        <v>12726.41</v>
      </c>
      <c r="M3035" s="3565">
        <v>0</v>
      </c>
      <c r="N3035" s="3565">
        <v>0</v>
      </c>
      <c r="O3035" s="3563" t="s">
        <v>3453</v>
      </c>
    </row>
    <row r="3036" spans="1:15">
      <c r="A3036" s="3563" t="s">
        <v>7258</v>
      </c>
      <c r="B3036" s="3563" t="s">
        <v>4196</v>
      </c>
      <c r="C3036" s="3563" t="s">
        <v>4197</v>
      </c>
      <c r="D3036" s="3563" t="s">
        <v>6429</v>
      </c>
      <c r="E3036" s="3563" t="s">
        <v>4520</v>
      </c>
      <c r="F3036" s="3563" t="s">
        <v>4797</v>
      </c>
      <c r="G3036" s="3564">
        <v>87.55</v>
      </c>
      <c r="H3036" s="3564">
        <v>71</v>
      </c>
      <c r="I3036" s="3564">
        <v>16.55</v>
      </c>
      <c r="J3036" s="3565">
        <v>908276</v>
      </c>
      <c r="K3036" s="3565">
        <v>10374.370000000001</v>
      </c>
      <c r="L3036" s="3565">
        <v>12792.62</v>
      </c>
      <c r="M3036" s="3565">
        <v>0</v>
      </c>
      <c r="N3036" s="3565">
        <v>0</v>
      </c>
      <c r="O3036" s="3563" t="s">
        <v>3453</v>
      </c>
    </row>
    <row r="3037" spans="1:15">
      <c r="A3037" s="3563" t="s">
        <v>7259</v>
      </c>
      <c r="B3037" s="3563" t="s">
        <v>5277</v>
      </c>
      <c r="C3037" s="3563" t="s">
        <v>4197</v>
      </c>
      <c r="D3037" s="3563" t="s">
        <v>6429</v>
      </c>
      <c r="E3037" s="3563" t="s">
        <v>4520</v>
      </c>
      <c r="F3037" s="3563" t="s">
        <v>4797</v>
      </c>
      <c r="G3037" s="3564">
        <v>87.55</v>
      </c>
      <c r="H3037" s="3564">
        <v>71</v>
      </c>
      <c r="I3037" s="3564">
        <v>16.55</v>
      </c>
      <c r="J3037" s="3565">
        <v>908276</v>
      </c>
      <c r="K3037" s="3565">
        <v>10374.370000000001</v>
      </c>
      <c r="L3037" s="3565">
        <v>12792.62</v>
      </c>
      <c r="M3037" s="3565">
        <v>862863</v>
      </c>
      <c r="N3037" s="3565">
        <v>9855.66</v>
      </c>
      <c r="O3037" s="3566">
        <v>44191</v>
      </c>
    </row>
    <row r="3038" spans="1:15">
      <c r="A3038" s="3563" t="s">
        <v>7260</v>
      </c>
      <c r="B3038" s="3563" t="s">
        <v>4811</v>
      </c>
      <c r="C3038" s="3563" t="s">
        <v>4197</v>
      </c>
      <c r="D3038" s="3563" t="s">
        <v>6429</v>
      </c>
      <c r="E3038" s="3563" t="s">
        <v>4520</v>
      </c>
      <c r="F3038" s="3563" t="s">
        <v>4797</v>
      </c>
      <c r="G3038" s="3564">
        <v>101.12</v>
      </c>
      <c r="H3038" s="3564">
        <v>82.01</v>
      </c>
      <c r="I3038" s="3564">
        <v>19.11</v>
      </c>
      <c r="J3038" s="3565">
        <v>1038299</v>
      </c>
      <c r="K3038" s="3565">
        <v>10267.99</v>
      </c>
      <c r="L3038" s="3565">
        <v>12660.64</v>
      </c>
      <c r="M3038" s="3565">
        <v>1007151</v>
      </c>
      <c r="N3038" s="3565">
        <v>9959.9599999999991</v>
      </c>
      <c r="O3038" s="3566">
        <v>44191</v>
      </c>
    </row>
    <row r="3039" spans="1:15">
      <c r="A3039" s="3563" t="s">
        <v>7261</v>
      </c>
      <c r="B3039" s="3563" t="s">
        <v>4196</v>
      </c>
      <c r="C3039" s="3563" t="s">
        <v>4197</v>
      </c>
      <c r="D3039" s="3563" t="s">
        <v>6429</v>
      </c>
      <c r="E3039" s="3563" t="s">
        <v>4520</v>
      </c>
      <c r="F3039" s="3563" t="s">
        <v>4797</v>
      </c>
      <c r="G3039" s="3564">
        <v>100.79</v>
      </c>
      <c r="H3039" s="3564">
        <v>81.739999999999995</v>
      </c>
      <c r="I3039" s="3564">
        <v>19.05</v>
      </c>
      <c r="J3039" s="3565">
        <v>1083161</v>
      </c>
      <c r="K3039" s="3565">
        <v>10746.71</v>
      </c>
      <c r="L3039" s="3565">
        <v>13251.3</v>
      </c>
      <c r="M3039" s="3565">
        <v>0</v>
      </c>
      <c r="N3039" s="3565">
        <v>0</v>
      </c>
      <c r="O3039" s="3563" t="s">
        <v>3453</v>
      </c>
    </row>
    <row r="3040" spans="1:15">
      <c r="A3040" s="3563" t="s">
        <v>7262</v>
      </c>
      <c r="B3040" s="3563" t="s">
        <v>4196</v>
      </c>
      <c r="C3040" s="3563" t="s">
        <v>4197</v>
      </c>
      <c r="D3040" s="3563" t="s">
        <v>6429</v>
      </c>
      <c r="E3040" s="3563" t="s">
        <v>4520</v>
      </c>
      <c r="F3040" s="3563" t="s">
        <v>4797</v>
      </c>
      <c r="G3040" s="3564">
        <v>100.79</v>
      </c>
      <c r="H3040" s="3564">
        <v>81.739999999999995</v>
      </c>
      <c r="I3040" s="3564">
        <v>19.05</v>
      </c>
      <c r="J3040" s="3565">
        <v>1061716</v>
      </c>
      <c r="K3040" s="3565">
        <v>10533.94</v>
      </c>
      <c r="L3040" s="3565">
        <v>12988.94</v>
      </c>
      <c r="M3040" s="3565">
        <v>0</v>
      </c>
      <c r="N3040" s="3565">
        <v>0</v>
      </c>
      <c r="O3040" s="3563" t="s">
        <v>3453</v>
      </c>
    </row>
    <row r="3041" spans="1:15">
      <c r="A3041" s="3563" t="s">
        <v>7263</v>
      </c>
      <c r="B3041" s="3563" t="s">
        <v>4196</v>
      </c>
      <c r="C3041" s="3563" t="s">
        <v>4197</v>
      </c>
      <c r="D3041" s="3563" t="s">
        <v>6429</v>
      </c>
      <c r="E3041" s="3563" t="s">
        <v>4609</v>
      </c>
      <c r="F3041" s="3563" t="s">
        <v>4797</v>
      </c>
      <c r="G3041" s="3564">
        <v>82.19</v>
      </c>
      <c r="H3041" s="3564">
        <v>71</v>
      </c>
      <c r="I3041" s="3564">
        <v>11.19</v>
      </c>
      <c r="J3041" s="3565">
        <v>787407</v>
      </c>
      <c r="K3041" s="3565">
        <v>9580.33</v>
      </c>
      <c r="L3041" s="3565">
        <v>11090.24</v>
      </c>
      <c r="M3041" s="3565">
        <v>0</v>
      </c>
      <c r="N3041" s="3565">
        <v>0</v>
      </c>
      <c r="O3041" s="3563" t="s">
        <v>3453</v>
      </c>
    </row>
    <row r="3042" spans="1:15">
      <c r="A3042" s="3563" t="s">
        <v>7264</v>
      </c>
      <c r="B3042" s="3563" t="s">
        <v>4196</v>
      </c>
      <c r="C3042" s="3563" t="s">
        <v>4197</v>
      </c>
      <c r="D3042" s="3563" t="s">
        <v>6429</v>
      </c>
      <c r="E3042" s="3563" t="s">
        <v>4609</v>
      </c>
      <c r="F3042" s="3563" t="s">
        <v>4797</v>
      </c>
      <c r="G3042" s="3564">
        <v>82.19</v>
      </c>
      <c r="H3042" s="3564">
        <v>71</v>
      </c>
      <c r="I3042" s="3564">
        <v>11.19</v>
      </c>
      <c r="J3042" s="3565">
        <v>787407</v>
      </c>
      <c r="K3042" s="3565">
        <v>9580.33</v>
      </c>
      <c r="L3042" s="3565">
        <v>11090.24</v>
      </c>
      <c r="M3042" s="3565">
        <v>0</v>
      </c>
      <c r="N3042" s="3565">
        <v>0</v>
      </c>
      <c r="O3042" s="3563" t="s">
        <v>3453</v>
      </c>
    </row>
    <row r="3043" spans="1:15">
      <c r="A3043" s="3563" t="s">
        <v>7265</v>
      </c>
      <c r="B3043" s="3563" t="s">
        <v>4196</v>
      </c>
      <c r="C3043" s="3563" t="s">
        <v>4197</v>
      </c>
      <c r="D3043" s="3563" t="s">
        <v>6429</v>
      </c>
      <c r="E3043" s="3563" t="s">
        <v>4609</v>
      </c>
      <c r="F3043" s="3563" t="s">
        <v>4797</v>
      </c>
      <c r="G3043" s="3564">
        <v>99.33</v>
      </c>
      <c r="H3043" s="3564">
        <v>81.739999999999995</v>
      </c>
      <c r="I3043" s="3564">
        <v>17.59</v>
      </c>
      <c r="J3043" s="3565">
        <v>964294</v>
      </c>
      <c r="K3043" s="3565">
        <v>9707.98</v>
      </c>
      <c r="L3043" s="3565">
        <v>11797.09</v>
      </c>
      <c r="M3043" s="3565">
        <v>0</v>
      </c>
      <c r="N3043" s="3565">
        <v>0</v>
      </c>
      <c r="O3043" s="3563" t="s">
        <v>3453</v>
      </c>
    </row>
    <row r="3044" spans="1:15">
      <c r="A3044" s="3563" t="s">
        <v>7266</v>
      </c>
      <c r="B3044" s="3563" t="s">
        <v>4196</v>
      </c>
      <c r="C3044" s="3563" t="s">
        <v>4197</v>
      </c>
      <c r="D3044" s="3563" t="s">
        <v>6429</v>
      </c>
      <c r="E3044" s="3563" t="s">
        <v>4609</v>
      </c>
      <c r="F3044" s="3563" t="s">
        <v>4797</v>
      </c>
      <c r="G3044" s="3564">
        <v>99.33</v>
      </c>
      <c r="H3044" s="3564">
        <v>81.739999999999995</v>
      </c>
      <c r="I3044" s="3564">
        <v>17.59</v>
      </c>
      <c r="J3044" s="3565">
        <v>964294</v>
      </c>
      <c r="K3044" s="3565">
        <v>9707.98</v>
      </c>
      <c r="L3044" s="3565">
        <v>11797.09</v>
      </c>
      <c r="M3044" s="3565">
        <v>0</v>
      </c>
      <c r="N3044" s="3565">
        <v>0</v>
      </c>
      <c r="O3044" s="3563" t="s">
        <v>3453</v>
      </c>
    </row>
    <row r="3045" spans="1:15">
      <c r="A3045" s="3563" t="s">
        <v>7267</v>
      </c>
      <c r="B3045" s="3563" t="s">
        <v>4196</v>
      </c>
      <c r="C3045" s="3563" t="s">
        <v>4197</v>
      </c>
      <c r="D3045" s="3563" t="s">
        <v>6429</v>
      </c>
      <c r="E3045" s="3563" t="s">
        <v>4609</v>
      </c>
      <c r="F3045" s="3563" t="s">
        <v>4797</v>
      </c>
      <c r="G3045" s="3564">
        <v>108.96</v>
      </c>
      <c r="H3045" s="3564">
        <v>88.44</v>
      </c>
      <c r="I3045" s="3564">
        <v>20.52</v>
      </c>
      <c r="J3045" s="3565">
        <v>1130808</v>
      </c>
      <c r="K3045" s="3565">
        <v>10378.19</v>
      </c>
      <c r="L3045" s="3565">
        <v>12786.16</v>
      </c>
      <c r="M3045" s="3565">
        <v>0</v>
      </c>
      <c r="N3045" s="3565">
        <v>0</v>
      </c>
      <c r="O3045" s="3563" t="s">
        <v>3453</v>
      </c>
    </row>
    <row r="3046" spans="1:15">
      <c r="A3046" s="3563" t="s">
        <v>7268</v>
      </c>
      <c r="B3046" s="3563" t="s">
        <v>4196</v>
      </c>
      <c r="C3046" s="3563" t="s">
        <v>4197</v>
      </c>
      <c r="D3046" s="3563" t="s">
        <v>6429</v>
      </c>
      <c r="E3046" s="3563" t="s">
        <v>4609</v>
      </c>
      <c r="F3046" s="3563" t="s">
        <v>4797</v>
      </c>
      <c r="G3046" s="3564">
        <v>87.47</v>
      </c>
      <c r="H3046" s="3564">
        <v>71</v>
      </c>
      <c r="I3046" s="3564">
        <v>16.47</v>
      </c>
      <c r="J3046" s="3565">
        <v>893823</v>
      </c>
      <c r="K3046" s="3565">
        <v>10218.620000000001</v>
      </c>
      <c r="L3046" s="3565">
        <v>12589.06</v>
      </c>
      <c r="M3046" s="3565">
        <v>0</v>
      </c>
      <c r="N3046" s="3565">
        <v>0</v>
      </c>
      <c r="O3046" s="3563" t="s">
        <v>3453</v>
      </c>
    </row>
    <row r="3047" spans="1:15">
      <c r="A3047" s="3563" t="s">
        <v>7269</v>
      </c>
      <c r="B3047" s="3563" t="s">
        <v>4196</v>
      </c>
      <c r="C3047" s="3563" t="s">
        <v>4197</v>
      </c>
      <c r="D3047" s="3563" t="s">
        <v>6429</v>
      </c>
      <c r="E3047" s="3563" t="s">
        <v>4609</v>
      </c>
      <c r="F3047" s="3563" t="s">
        <v>4797</v>
      </c>
      <c r="G3047" s="3564">
        <v>87.47</v>
      </c>
      <c r="H3047" s="3564">
        <v>71</v>
      </c>
      <c r="I3047" s="3564">
        <v>16.47</v>
      </c>
      <c r="J3047" s="3565">
        <v>893823</v>
      </c>
      <c r="K3047" s="3565">
        <v>10218.620000000001</v>
      </c>
      <c r="L3047" s="3565">
        <v>12589.06</v>
      </c>
      <c r="M3047" s="3565">
        <v>0</v>
      </c>
      <c r="N3047" s="3565">
        <v>0</v>
      </c>
      <c r="O3047" s="3563" t="s">
        <v>3453</v>
      </c>
    </row>
    <row r="3048" spans="1:15">
      <c r="A3048" s="3563" t="s">
        <v>7270</v>
      </c>
      <c r="B3048" s="3563" t="s">
        <v>4196</v>
      </c>
      <c r="C3048" s="3563" t="s">
        <v>4197</v>
      </c>
      <c r="D3048" s="3563" t="s">
        <v>6429</v>
      </c>
      <c r="E3048" s="3563" t="s">
        <v>4609</v>
      </c>
      <c r="F3048" s="3563" t="s">
        <v>4797</v>
      </c>
      <c r="G3048" s="3564">
        <v>101.04</v>
      </c>
      <c r="H3048" s="3564">
        <v>82.01</v>
      </c>
      <c r="I3048" s="3564">
        <v>19.03</v>
      </c>
      <c r="J3048" s="3565">
        <v>1021741</v>
      </c>
      <c r="K3048" s="3565">
        <v>10112.24</v>
      </c>
      <c r="L3048" s="3565">
        <v>12458.74</v>
      </c>
      <c r="M3048" s="3565">
        <v>0</v>
      </c>
      <c r="N3048" s="3565">
        <v>0</v>
      </c>
      <c r="O3048" s="3563" t="s">
        <v>3453</v>
      </c>
    </row>
    <row r="3049" spans="1:15">
      <c r="A3049" s="3563" t="s">
        <v>7271</v>
      </c>
      <c r="B3049" s="3563" t="s">
        <v>4196</v>
      </c>
      <c r="C3049" s="3563" t="s">
        <v>4197</v>
      </c>
      <c r="D3049" s="3563" t="s">
        <v>6429</v>
      </c>
      <c r="E3049" s="3563" t="s">
        <v>4609</v>
      </c>
      <c r="F3049" s="3563" t="s">
        <v>4797</v>
      </c>
      <c r="G3049" s="3564">
        <v>100.71</v>
      </c>
      <c r="H3049" s="3564">
        <v>81.739999999999995</v>
      </c>
      <c r="I3049" s="3564">
        <v>18.97</v>
      </c>
      <c r="J3049" s="3565">
        <v>1055902</v>
      </c>
      <c r="K3049" s="3565">
        <v>10484.58</v>
      </c>
      <c r="L3049" s="3565">
        <v>12917.81</v>
      </c>
      <c r="M3049" s="3565">
        <v>0</v>
      </c>
      <c r="N3049" s="3565">
        <v>0</v>
      </c>
      <c r="O3049" s="3563" t="s">
        <v>3453</v>
      </c>
    </row>
    <row r="3050" spans="1:15">
      <c r="A3050" s="3563" t="s">
        <v>7272</v>
      </c>
      <c r="B3050" s="3563" t="s">
        <v>4196</v>
      </c>
      <c r="C3050" s="3563" t="s">
        <v>4197</v>
      </c>
      <c r="D3050" s="3563" t="s">
        <v>6429</v>
      </c>
      <c r="E3050" s="3563" t="s">
        <v>4609</v>
      </c>
      <c r="F3050" s="3563" t="s">
        <v>4797</v>
      </c>
      <c r="G3050" s="3564">
        <v>100.71</v>
      </c>
      <c r="H3050" s="3564">
        <v>81.739999999999995</v>
      </c>
      <c r="I3050" s="3564">
        <v>18.97</v>
      </c>
      <c r="J3050" s="3565">
        <v>1034474</v>
      </c>
      <c r="K3050" s="3565">
        <v>10271.81</v>
      </c>
      <c r="L3050" s="3565">
        <v>12655.66</v>
      </c>
      <c r="M3050" s="3565">
        <v>0</v>
      </c>
      <c r="N3050" s="3565">
        <v>0</v>
      </c>
      <c r="O3050" s="3563" t="s">
        <v>3453</v>
      </c>
    </row>
    <row r="3051" spans="1:15">
      <c r="A3051" s="3563" t="s">
        <v>7273</v>
      </c>
      <c r="B3051" s="3563" t="s">
        <v>4196</v>
      </c>
      <c r="C3051" s="3563" t="s">
        <v>4197</v>
      </c>
      <c r="D3051" s="3563" t="s">
        <v>6429</v>
      </c>
      <c r="E3051" s="3563" t="s">
        <v>4609</v>
      </c>
      <c r="F3051" s="3563" t="s">
        <v>4797</v>
      </c>
      <c r="G3051" s="3564">
        <v>108.96</v>
      </c>
      <c r="H3051" s="3564">
        <v>88.44</v>
      </c>
      <c r="I3051" s="3564">
        <v>20.52</v>
      </c>
      <c r="J3051" s="3565">
        <v>1131968</v>
      </c>
      <c r="K3051" s="3565">
        <v>10388.84</v>
      </c>
      <c r="L3051" s="3565">
        <v>12799.28</v>
      </c>
      <c r="M3051" s="3565">
        <v>0</v>
      </c>
      <c r="N3051" s="3565">
        <v>0</v>
      </c>
      <c r="O3051" s="3563" t="s">
        <v>3453</v>
      </c>
    </row>
    <row r="3052" spans="1:15">
      <c r="A3052" s="3563" t="s">
        <v>7274</v>
      </c>
      <c r="B3052" s="3563" t="s">
        <v>4196</v>
      </c>
      <c r="C3052" s="3563" t="s">
        <v>4197</v>
      </c>
      <c r="D3052" s="3563" t="s">
        <v>6429</v>
      </c>
      <c r="E3052" s="3563" t="s">
        <v>4609</v>
      </c>
      <c r="F3052" s="3563" t="s">
        <v>4797</v>
      </c>
      <c r="G3052" s="3564">
        <v>87.47</v>
      </c>
      <c r="H3052" s="3564">
        <v>71</v>
      </c>
      <c r="I3052" s="3564">
        <v>16.47</v>
      </c>
      <c r="J3052" s="3565">
        <v>894754</v>
      </c>
      <c r="K3052" s="3565">
        <v>10229.27</v>
      </c>
      <c r="L3052" s="3565">
        <v>12602.17</v>
      </c>
      <c r="M3052" s="3565">
        <v>0</v>
      </c>
      <c r="N3052" s="3565">
        <v>0</v>
      </c>
      <c r="O3052" s="3563" t="s">
        <v>3453</v>
      </c>
    </row>
    <row r="3053" spans="1:15">
      <c r="A3053" s="3563" t="s">
        <v>7275</v>
      </c>
      <c r="B3053" s="3563" t="s">
        <v>4196</v>
      </c>
      <c r="C3053" s="3563" t="s">
        <v>4197</v>
      </c>
      <c r="D3053" s="3563" t="s">
        <v>6429</v>
      </c>
      <c r="E3053" s="3563" t="s">
        <v>4609</v>
      </c>
      <c r="F3053" s="3563" t="s">
        <v>4797</v>
      </c>
      <c r="G3053" s="3564">
        <v>87.47</v>
      </c>
      <c r="H3053" s="3564">
        <v>71</v>
      </c>
      <c r="I3053" s="3564">
        <v>16.47</v>
      </c>
      <c r="J3053" s="3565">
        <v>894754</v>
      </c>
      <c r="K3053" s="3565">
        <v>10229.27</v>
      </c>
      <c r="L3053" s="3565">
        <v>12602.17</v>
      </c>
      <c r="M3053" s="3565">
        <v>0</v>
      </c>
      <c r="N3053" s="3565">
        <v>0</v>
      </c>
      <c r="O3053" s="3563" t="s">
        <v>3453</v>
      </c>
    </row>
    <row r="3054" spans="1:15">
      <c r="A3054" s="3563" t="s">
        <v>7276</v>
      </c>
      <c r="B3054" s="3563" t="s">
        <v>4196</v>
      </c>
      <c r="C3054" s="3563" t="s">
        <v>4197</v>
      </c>
      <c r="D3054" s="3563" t="s">
        <v>6429</v>
      </c>
      <c r="E3054" s="3563" t="s">
        <v>4609</v>
      </c>
      <c r="F3054" s="3563" t="s">
        <v>4797</v>
      </c>
      <c r="G3054" s="3564">
        <v>101.04</v>
      </c>
      <c r="H3054" s="3564">
        <v>82.01</v>
      </c>
      <c r="I3054" s="3564">
        <v>19.03</v>
      </c>
      <c r="J3054" s="3565">
        <v>1022815</v>
      </c>
      <c r="K3054" s="3565">
        <v>10122.870000000001</v>
      </c>
      <c r="L3054" s="3565">
        <v>12471.83</v>
      </c>
      <c r="M3054" s="3565">
        <v>0</v>
      </c>
      <c r="N3054" s="3565">
        <v>0</v>
      </c>
      <c r="O3054" s="3563" t="s">
        <v>3453</v>
      </c>
    </row>
    <row r="3055" spans="1:15">
      <c r="A3055" s="3563" t="s">
        <v>7277</v>
      </c>
      <c r="B3055" s="3563" t="s">
        <v>4196</v>
      </c>
      <c r="C3055" s="3563" t="s">
        <v>4197</v>
      </c>
      <c r="D3055" s="3563" t="s">
        <v>6429</v>
      </c>
      <c r="E3055" s="3563" t="s">
        <v>4609</v>
      </c>
      <c r="F3055" s="3563" t="s">
        <v>4797</v>
      </c>
      <c r="G3055" s="3564">
        <v>100.71</v>
      </c>
      <c r="H3055" s="3564">
        <v>81.739999999999995</v>
      </c>
      <c r="I3055" s="3564">
        <v>18.97</v>
      </c>
      <c r="J3055" s="3565">
        <v>1056974</v>
      </c>
      <c r="K3055" s="3565">
        <v>10495.22</v>
      </c>
      <c r="L3055" s="3565">
        <v>12930.93</v>
      </c>
      <c r="M3055" s="3565">
        <v>0</v>
      </c>
      <c r="N3055" s="3565">
        <v>0</v>
      </c>
      <c r="O3055" s="3563" t="s">
        <v>3453</v>
      </c>
    </row>
    <row r="3056" spans="1:15">
      <c r="A3056" s="3563" t="s">
        <v>7278</v>
      </c>
      <c r="B3056" s="3563" t="s">
        <v>4196</v>
      </c>
      <c r="C3056" s="3563" t="s">
        <v>4197</v>
      </c>
      <c r="D3056" s="3563" t="s">
        <v>6429</v>
      </c>
      <c r="E3056" s="3563" t="s">
        <v>4609</v>
      </c>
      <c r="F3056" s="3563" t="s">
        <v>4797</v>
      </c>
      <c r="G3056" s="3564">
        <v>100.71</v>
      </c>
      <c r="H3056" s="3564">
        <v>81.739999999999995</v>
      </c>
      <c r="I3056" s="3564">
        <v>18.97</v>
      </c>
      <c r="J3056" s="3565">
        <v>1035546</v>
      </c>
      <c r="K3056" s="3565">
        <v>10282.450000000001</v>
      </c>
      <c r="L3056" s="3565">
        <v>12668.78</v>
      </c>
      <c r="M3056" s="3565">
        <v>0</v>
      </c>
      <c r="N3056" s="3565">
        <v>0</v>
      </c>
      <c r="O3056" s="3563" t="s">
        <v>3453</v>
      </c>
    </row>
    <row r="3057" spans="1:15">
      <c r="A3057" s="3563" t="s">
        <v>7279</v>
      </c>
      <c r="B3057" s="3563" t="s">
        <v>4196</v>
      </c>
      <c r="C3057" s="3563" t="s">
        <v>4197</v>
      </c>
      <c r="D3057" s="3563" t="s">
        <v>6429</v>
      </c>
      <c r="E3057" s="3563" t="s">
        <v>4609</v>
      </c>
      <c r="F3057" s="3563" t="s">
        <v>4797</v>
      </c>
      <c r="G3057" s="3564">
        <v>108.96</v>
      </c>
      <c r="H3057" s="3564">
        <v>88.44</v>
      </c>
      <c r="I3057" s="3564">
        <v>20.52</v>
      </c>
      <c r="J3057" s="3565">
        <v>1133126</v>
      </c>
      <c r="K3057" s="3565">
        <v>10399.469999999999</v>
      </c>
      <c r="L3057" s="3565">
        <v>12812.37</v>
      </c>
      <c r="M3057" s="3565">
        <v>0</v>
      </c>
      <c r="N3057" s="3565">
        <v>0</v>
      </c>
      <c r="O3057" s="3563" t="s">
        <v>3453</v>
      </c>
    </row>
    <row r="3058" spans="1:15">
      <c r="A3058" s="3563" t="s">
        <v>7280</v>
      </c>
      <c r="B3058" s="3563" t="s">
        <v>4196</v>
      </c>
      <c r="C3058" s="3563" t="s">
        <v>4197</v>
      </c>
      <c r="D3058" s="3563" t="s">
        <v>6429</v>
      </c>
      <c r="E3058" s="3563" t="s">
        <v>4609</v>
      </c>
      <c r="F3058" s="3563" t="s">
        <v>4797</v>
      </c>
      <c r="G3058" s="3564">
        <v>87.47</v>
      </c>
      <c r="H3058" s="3564">
        <v>71</v>
      </c>
      <c r="I3058" s="3564">
        <v>16.47</v>
      </c>
      <c r="J3058" s="3565">
        <v>895683</v>
      </c>
      <c r="K3058" s="3565">
        <v>10239.89</v>
      </c>
      <c r="L3058" s="3565">
        <v>12615.25</v>
      </c>
      <c r="M3058" s="3565">
        <v>0</v>
      </c>
      <c r="N3058" s="3565">
        <v>0</v>
      </c>
      <c r="O3058" s="3563" t="s">
        <v>3453</v>
      </c>
    </row>
    <row r="3059" spans="1:15">
      <c r="A3059" s="3563" t="s">
        <v>7281</v>
      </c>
      <c r="B3059" s="3563" t="s">
        <v>4196</v>
      </c>
      <c r="C3059" s="3563" t="s">
        <v>4197</v>
      </c>
      <c r="D3059" s="3563" t="s">
        <v>6429</v>
      </c>
      <c r="E3059" s="3563" t="s">
        <v>4609</v>
      </c>
      <c r="F3059" s="3563" t="s">
        <v>4797</v>
      </c>
      <c r="G3059" s="3564">
        <v>87.47</v>
      </c>
      <c r="H3059" s="3564">
        <v>71</v>
      </c>
      <c r="I3059" s="3564">
        <v>16.47</v>
      </c>
      <c r="J3059" s="3565">
        <v>895683</v>
      </c>
      <c r="K3059" s="3565">
        <v>10239.89</v>
      </c>
      <c r="L3059" s="3565">
        <v>12615.25</v>
      </c>
      <c r="M3059" s="3565">
        <v>0</v>
      </c>
      <c r="N3059" s="3565">
        <v>0</v>
      </c>
      <c r="O3059" s="3563" t="s">
        <v>3453</v>
      </c>
    </row>
    <row r="3060" spans="1:15">
      <c r="A3060" s="3563" t="s">
        <v>7282</v>
      </c>
      <c r="B3060" s="3563" t="s">
        <v>4196</v>
      </c>
      <c r="C3060" s="3563" t="s">
        <v>4197</v>
      </c>
      <c r="D3060" s="3563" t="s">
        <v>6429</v>
      </c>
      <c r="E3060" s="3563" t="s">
        <v>4609</v>
      </c>
      <c r="F3060" s="3563" t="s">
        <v>4797</v>
      </c>
      <c r="G3060" s="3564">
        <v>101.04</v>
      </c>
      <c r="H3060" s="3564">
        <v>82.01</v>
      </c>
      <c r="I3060" s="3564">
        <v>19.03</v>
      </c>
      <c r="J3060" s="3565">
        <v>1023891</v>
      </c>
      <c r="K3060" s="3565">
        <v>10133.52</v>
      </c>
      <c r="L3060" s="3565">
        <v>12484.95</v>
      </c>
      <c r="M3060" s="3565">
        <v>0</v>
      </c>
      <c r="N3060" s="3565">
        <v>0</v>
      </c>
      <c r="O3060" s="3563" t="s">
        <v>3453</v>
      </c>
    </row>
    <row r="3061" spans="1:15">
      <c r="A3061" s="3563" t="s">
        <v>7283</v>
      </c>
      <c r="B3061" s="3563" t="s">
        <v>4196</v>
      </c>
      <c r="C3061" s="3563" t="s">
        <v>4197</v>
      </c>
      <c r="D3061" s="3563" t="s">
        <v>6429</v>
      </c>
      <c r="E3061" s="3563" t="s">
        <v>4609</v>
      </c>
      <c r="F3061" s="3563" t="s">
        <v>4797</v>
      </c>
      <c r="G3061" s="3564">
        <v>100.71</v>
      </c>
      <c r="H3061" s="3564">
        <v>81.739999999999995</v>
      </c>
      <c r="I3061" s="3564">
        <v>18.97</v>
      </c>
      <c r="J3061" s="3565">
        <v>1058045</v>
      </c>
      <c r="K3061" s="3565">
        <v>10505.86</v>
      </c>
      <c r="L3061" s="3565">
        <v>12944.03</v>
      </c>
      <c r="M3061" s="3565">
        <v>0</v>
      </c>
      <c r="N3061" s="3565">
        <v>0</v>
      </c>
      <c r="O3061" s="3563" t="s">
        <v>3453</v>
      </c>
    </row>
    <row r="3062" spans="1:15">
      <c r="A3062" s="3563" t="s">
        <v>7284</v>
      </c>
      <c r="B3062" s="3563" t="s">
        <v>4196</v>
      </c>
      <c r="C3062" s="3563" t="s">
        <v>4197</v>
      </c>
      <c r="D3062" s="3563" t="s">
        <v>6429</v>
      </c>
      <c r="E3062" s="3563" t="s">
        <v>4609</v>
      </c>
      <c r="F3062" s="3563" t="s">
        <v>4797</v>
      </c>
      <c r="G3062" s="3564">
        <v>100.71</v>
      </c>
      <c r="H3062" s="3564">
        <v>81.739999999999995</v>
      </c>
      <c r="I3062" s="3564">
        <v>18.97</v>
      </c>
      <c r="J3062" s="3565">
        <v>1036618</v>
      </c>
      <c r="K3062" s="3565">
        <v>10293.1</v>
      </c>
      <c r="L3062" s="3565">
        <v>12681.89</v>
      </c>
      <c r="M3062" s="3565">
        <v>0</v>
      </c>
      <c r="N3062" s="3565">
        <v>0</v>
      </c>
      <c r="O3062" s="3563" t="s">
        <v>3453</v>
      </c>
    </row>
    <row r="3063" spans="1:15">
      <c r="A3063" s="3563" t="s">
        <v>7285</v>
      </c>
      <c r="B3063" s="3563" t="s">
        <v>4196</v>
      </c>
      <c r="C3063" s="3563" t="s">
        <v>4197</v>
      </c>
      <c r="D3063" s="3563" t="s">
        <v>6429</v>
      </c>
      <c r="E3063" s="3563" t="s">
        <v>4609</v>
      </c>
      <c r="F3063" s="3563" t="s">
        <v>4797</v>
      </c>
      <c r="G3063" s="3564">
        <v>108.96</v>
      </c>
      <c r="H3063" s="3564">
        <v>88.44</v>
      </c>
      <c r="I3063" s="3564">
        <v>20.52</v>
      </c>
      <c r="J3063" s="3565">
        <v>1134286</v>
      </c>
      <c r="K3063" s="3565">
        <v>10410.11</v>
      </c>
      <c r="L3063" s="3565">
        <v>12825.49</v>
      </c>
      <c r="M3063" s="3565">
        <v>0</v>
      </c>
      <c r="N3063" s="3565">
        <v>0</v>
      </c>
      <c r="O3063" s="3563" t="s">
        <v>3453</v>
      </c>
    </row>
    <row r="3064" spans="1:15">
      <c r="A3064" s="3563" t="s">
        <v>7286</v>
      </c>
      <c r="B3064" s="3563" t="s">
        <v>4196</v>
      </c>
      <c r="C3064" s="3563" t="s">
        <v>4197</v>
      </c>
      <c r="D3064" s="3563" t="s">
        <v>6429</v>
      </c>
      <c r="E3064" s="3563" t="s">
        <v>4609</v>
      </c>
      <c r="F3064" s="3563" t="s">
        <v>4797</v>
      </c>
      <c r="G3064" s="3564">
        <v>87.47</v>
      </c>
      <c r="H3064" s="3564">
        <v>71</v>
      </c>
      <c r="I3064" s="3564">
        <v>16.47</v>
      </c>
      <c r="J3064" s="3565">
        <v>896614</v>
      </c>
      <c r="K3064" s="3565">
        <v>10250.530000000001</v>
      </c>
      <c r="L3064" s="3565">
        <v>12628.37</v>
      </c>
      <c r="M3064" s="3565">
        <v>0</v>
      </c>
      <c r="N3064" s="3565">
        <v>0</v>
      </c>
      <c r="O3064" s="3563" t="s">
        <v>3453</v>
      </c>
    </row>
    <row r="3065" spans="1:15">
      <c r="A3065" s="3563" t="s">
        <v>7287</v>
      </c>
      <c r="B3065" s="3563" t="s">
        <v>4196</v>
      </c>
      <c r="C3065" s="3563" t="s">
        <v>4197</v>
      </c>
      <c r="D3065" s="3563" t="s">
        <v>6429</v>
      </c>
      <c r="E3065" s="3563" t="s">
        <v>4609</v>
      </c>
      <c r="F3065" s="3563" t="s">
        <v>4797</v>
      </c>
      <c r="G3065" s="3564">
        <v>87.47</v>
      </c>
      <c r="H3065" s="3564">
        <v>71</v>
      </c>
      <c r="I3065" s="3564">
        <v>16.47</v>
      </c>
      <c r="J3065" s="3565">
        <v>896614</v>
      </c>
      <c r="K3065" s="3565">
        <v>10250.530000000001</v>
      </c>
      <c r="L3065" s="3565">
        <v>12628.37</v>
      </c>
      <c r="M3065" s="3565">
        <v>0</v>
      </c>
      <c r="N3065" s="3565">
        <v>0</v>
      </c>
      <c r="O3065" s="3563" t="s">
        <v>3453</v>
      </c>
    </row>
    <row r="3066" spans="1:15">
      <c r="A3066" s="3563" t="s">
        <v>7288</v>
      </c>
      <c r="B3066" s="3563" t="s">
        <v>4196</v>
      </c>
      <c r="C3066" s="3563" t="s">
        <v>4197</v>
      </c>
      <c r="D3066" s="3563" t="s">
        <v>6429</v>
      </c>
      <c r="E3066" s="3563" t="s">
        <v>4609</v>
      </c>
      <c r="F3066" s="3563" t="s">
        <v>4797</v>
      </c>
      <c r="G3066" s="3564">
        <v>101.04</v>
      </c>
      <c r="H3066" s="3564">
        <v>82.01</v>
      </c>
      <c r="I3066" s="3564">
        <v>19.03</v>
      </c>
      <c r="J3066" s="3565">
        <v>1024965</v>
      </c>
      <c r="K3066" s="3565">
        <v>10144.15</v>
      </c>
      <c r="L3066" s="3565">
        <v>12498.05</v>
      </c>
      <c r="M3066" s="3565">
        <v>0</v>
      </c>
      <c r="N3066" s="3565">
        <v>0</v>
      </c>
      <c r="O3066" s="3563" t="s">
        <v>3453</v>
      </c>
    </row>
    <row r="3067" spans="1:15">
      <c r="A3067" s="3563" t="s">
        <v>7289</v>
      </c>
      <c r="B3067" s="3563" t="s">
        <v>4196</v>
      </c>
      <c r="C3067" s="3563" t="s">
        <v>4197</v>
      </c>
      <c r="D3067" s="3563" t="s">
        <v>6429</v>
      </c>
      <c r="E3067" s="3563" t="s">
        <v>4609</v>
      </c>
      <c r="F3067" s="3563" t="s">
        <v>4797</v>
      </c>
      <c r="G3067" s="3564">
        <v>100.71</v>
      </c>
      <c r="H3067" s="3564">
        <v>81.739999999999995</v>
      </c>
      <c r="I3067" s="3564">
        <v>18.97</v>
      </c>
      <c r="J3067" s="3565">
        <v>1059116</v>
      </c>
      <c r="K3067" s="3565">
        <v>10516.49</v>
      </c>
      <c r="L3067" s="3565">
        <v>12957.13</v>
      </c>
      <c r="M3067" s="3565">
        <v>0</v>
      </c>
      <c r="N3067" s="3565">
        <v>0</v>
      </c>
      <c r="O3067" s="3563" t="s">
        <v>3453</v>
      </c>
    </row>
    <row r="3068" spans="1:15">
      <c r="A3068" s="3563" t="s">
        <v>7290</v>
      </c>
      <c r="B3068" s="3563" t="s">
        <v>4196</v>
      </c>
      <c r="C3068" s="3563" t="s">
        <v>4197</v>
      </c>
      <c r="D3068" s="3563" t="s">
        <v>6429</v>
      </c>
      <c r="E3068" s="3563" t="s">
        <v>4609</v>
      </c>
      <c r="F3068" s="3563" t="s">
        <v>4797</v>
      </c>
      <c r="G3068" s="3564">
        <v>100.71</v>
      </c>
      <c r="H3068" s="3564">
        <v>81.739999999999995</v>
      </c>
      <c r="I3068" s="3564">
        <v>18.97</v>
      </c>
      <c r="J3068" s="3565">
        <v>1037689</v>
      </c>
      <c r="K3068" s="3565">
        <v>10303.73</v>
      </c>
      <c r="L3068" s="3565">
        <v>12695</v>
      </c>
      <c r="M3068" s="3565">
        <v>0</v>
      </c>
      <c r="N3068" s="3565">
        <v>0</v>
      </c>
      <c r="O3068" s="3563" t="s">
        <v>3453</v>
      </c>
    </row>
    <row r="3069" spans="1:15">
      <c r="A3069" s="3563" t="s">
        <v>7291</v>
      </c>
      <c r="B3069" s="3563" t="s">
        <v>4196</v>
      </c>
      <c r="C3069" s="3563" t="s">
        <v>4197</v>
      </c>
      <c r="D3069" s="3563" t="s">
        <v>6429</v>
      </c>
      <c r="E3069" s="3563" t="s">
        <v>4609</v>
      </c>
      <c r="F3069" s="3563" t="s">
        <v>4797</v>
      </c>
      <c r="G3069" s="3564">
        <v>108.96</v>
      </c>
      <c r="H3069" s="3564">
        <v>88.44</v>
      </c>
      <c r="I3069" s="3564">
        <v>20.52</v>
      </c>
      <c r="J3069" s="3565">
        <v>1123854</v>
      </c>
      <c r="K3069" s="3565">
        <v>10314.370000000001</v>
      </c>
      <c r="L3069" s="3565">
        <v>12707.53</v>
      </c>
      <c r="M3069" s="3565">
        <v>0</v>
      </c>
      <c r="N3069" s="3565">
        <v>0</v>
      </c>
      <c r="O3069" s="3563" t="s">
        <v>3453</v>
      </c>
    </row>
    <row r="3070" spans="1:15">
      <c r="A3070" s="3563" t="s">
        <v>7292</v>
      </c>
      <c r="B3070" s="3563" t="s">
        <v>4196</v>
      </c>
      <c r="C3070" s="3563" t="s">
        <v>4197</v>
      </c>
      <c r="D3070" s="3563" t="s">
        <v>6429</v>
      </c>
      <c r="E3070" s="3563" t="s">
        <v>4609</v>
      </c>
      <c r="F3070" s="3563" t="s">
        <v>4797</v>
      </c>
      <c r="G3070" s="3564">
        <v>87.47</v>
      </c>
      <c r="H3070" s="3564">
        <v>71</v>
      </c>
      <c r="I3070" s="3564">
        <v>16.47</v>
      </c>
      <c r="J3070" s="3565">
        <v>888240</v>
      </c>
      <c r="K3070" s="3565">
        <v>10154.799999999999</v>
      </c>
      <c r="L3070" s="3565">
        <v>12510.42</v>
      </c>
      <c r="M3070" s="3565">
        <v>0</v>
      </c>
      <c r="N3070" s="3565">
        <v>0</v>
      </c>
      <c r="O3070" s="3563" t="s">
        <v>3453</v>
      </c>
    </row>
    <row r="3071" spans="1:15">
      <c r="A3071" s="3563" t="s">
        <v>7293</v>
      </c>
      <c r="B3071" s="3563" t="s">
        <v>4196</v>
      </c>
      <c r="C3071" s="3563" t="s">
        <v>4197</v>
      </c>
      <c r="D3071" s="3563" t="s">
        <v>6429</v>
      </c>
      <c r="E3071" s="3563" t="s">
        <v>4609</v>
      </c>
      <c r="F3071" s="3563" t="s">
        <v>4797</v>
      </c>
      <c r="G3071" s="3564">
        <v>87.47</v>
      </c>
      <c r="H3071" s="3564">
        <v>71</v>
      </c>
      <c r="I3071" s="3564">
        <v>16.47</v>
      </c>
      <c r="J3071" s="3565">
        <v>888240</v>
      </c>
      <c r="K3071" s="3565">
        <v>10154.799999999999</v>
      </c>
      <c r="L3071" s="3565">
        <v>12510.42</v>
      </c>
      <c r="M3071" s="3565">
        <v>0</v>
      </c>
      <c r="N3071" s="3565">
        <v>0</v>
      </c>
      <c r="O3071" s="3563" t="s">
        <v>3453</v>
      </c>
    </row>
    <row r="3072" spans="1:15">
      <c r="A3072" s="3563" t="s">
        <v>7294</v>
      </c>
      <c r="B3072" s="3563" t="s">
        <v>4196</v>
      </c>
      <c r="C3072" s="3563" t="s">
        <v>4197</v>
      </c>
      <c r="D3072" s="3563" t="s">
        <v>6429</v>
      </c>
      <c r="E3072" s="3563" t="s">
        <v>4609</v>
      </c>
      <c r="F3072" s="3563" t="s">
        <v>4797</v>
      </c>
      <c r="G3072" s="3564">
        <v>101.04</v>
      </c>
      <c r="H3072" s="3564">
        <v>82.01</v>
      </c>
      <c r="I3072" s="3564">
        <v>19.03</v>
      </c>
      <c r="J3072" s="3565">
        <v>1015291</v>
      </c>
      <c r="K3072" s="3565">
        <v>10048.41</v>
      </c>
      <c r="L3072" s="3565">
        <v>12380.09</v>
      </c>
      <c r="M3072" s="3565">
        <v>0</v>
      </c>
      <c r="N3072" s="3565">
        <v>0</v>
      </c>
      <c r="O3072" s="3563" t="s">
        <v>3453</v>
      </c>
    </row>
    <row r="3073" spans="1:15">
      <c r="A3073" s="3563" t="s">
        <v>7295</v>
      </c>
      <c r="B3073" s="3563" t="s">
        <v>4196</v>
      </c>
      <c r="C3073" s="3563" t="s">
        <v>4197</v>
      </c>
      <c r="D3073" s="3563" t="s">
        <v>6429</v>
      </c>
      <c r="E3073" s="3563" t="s">
        <v>4609</v>
      </c>
      <c r="F3073" s="3563" t="s">
        <v>4797</v>
      </c>
      <c r="G3073" s="3564">
        <v>100.71</v>
      </c>
      <c r="H3073" s="3564">
        <v>81.739999999999995</v>
      </c>
      <c r="I3073" s="3564">
        <v>18.97</v>
      </c>
      <c r="J3073" s="3565">
        <v>1049474</v>
      </c>
      <c r="K3073" s="3565">
        <v>10420.75</v>
      </c>
      <c r="L3073" s="3565">
        <v>12839.17</v>
      </c>
      <c r="M3073" s="3565">
        <v>0</v>
      </c>
      <c r="N3073" s="3565">
        <v>0</v>
      </c>
      <c r="O3073" s="3563" t="s">
        <v>3453</v>
      </c>
    </row>
    <row r="3074" spans="1:15">
      <c r="A3074" s="3563" t="s">
        <v>7296</v>
      </c>
      <c r="B3074" s="3563" t="s">
        <v>4196</v>
      </c>
      <c r="C3074" s="3563" t="s">
        <v>4197</v>
      </c>
      <c r="D3074" s="3563" t="s">
        <v>6429</v>
      </c>
      <c r="E3074" s="3563" t="s">
        <v>4609</v>
      </c>
      <c r="F3074" s="3563" t="s">
        <v>4797</v>
      </c>
      <c r="G3074" s="3564">
        <v>100.71</v>
      </c>
      <c r="H3074" s="3564">
        <v>81.739999999999995</v>
      </c>
      <c r="I3074" s="3564">
        <v>18.97</v>
      </c>
      <c r="J3074" s="3565">
        <v>1028046</v>
      </c>
      <c r="K3074" s="3565">
        <v>10207.98</v>
      </c>
      <c r="L3074" s="3565">
        <v>12577.02</v>
      </c>
      <c r="M3074" s="3565">
        <v>0</v>
      </c>
      <c r="N3074" s="3565">
        <v>0</v>
      </c>
      <c r="O3074" s="3563" t="s">
        <v>3453</v>
      </c>
    </row>
    <row r="3075" spans="1:15">
      <c r="A3075" s="3563" t="s">
        <v>7297</v>
      </c>
      <c r="B3075" s="3563" t="s">
        <v>4196</v>
      </c>
      <c r="C3075" s="3563" t="s">
        <v>4197</v>
      </c>
      <c r="D3075" s="3563" t="s">
        <v>6429</v>
      </c>
      <c r="E3075" s="3563" t="s">
        <v>4609</v>
      </c>
      <c r="F3075" s="3563" t="s">
        <v>4797</v>
      </c>
      <c r="G3075" s="3564">
        <v>108.96</v>
      </c>
      <c r="H3075" s="3564">
        <v>88.44</v>
      </c>
      <c r="I3075" s="3564">
        <v>20.52</v>
      </c>
      <c r="J3075" s="3565">
        <v>1136604</v>
      </c>
      <c r="K3075" s="3565">
        <v>10431.39</v>
      </c>
      <c r="L3075" s="3565">
        <v>12851.7</v>
      </c>
      <c r="M3075" s="3565">
        <v>0</v>
      </c>
      <c r="N3075" s="3565">
        <v>0</v>
      </c>
      <c r="O3075" s="3563" t="s">
        <v>3453</v>
      </c>
    </row>
    <row r="3076" spans="1:15">
      <c r="A3076" s="3563" t="s">
        <v>7298</v>
      </c>
      <c r="B3076" s="3563" t="s">
        <v>4196</v>
      </c>
      <c r="C3076" s="3563" t="s">
        <v>4197</v>
      </c>
      <c r="D3076" s="3563" t="s">
        <v>6429</v>
      </c>
      <c r="E3076" s="3563" t="s">
        <v>4609</v>
      </c>
      <c r="F3076" s="3563" t="s">
        <v>4797</v>
      </c>
      <c r="G3076" s="3564">
        <v>87.47</v>
      </c>
      <c r="H3076" s="3564">
        <v>71</v>
      </c>
      <c r="I3076" s="3564">
        <v>16.47</v>
      </c>
      <c r="J3076" s="3565">
        <v>898476</v>
      </c>
      <c r="K3076" s="3565">
        <v>10271.82</v>
      </c>
      <c r="L3076" s="3565">
        <v>12654.59</v>
      </c>
      <c r="M3076" s="3565">
        <v>0</v>
      </c>
      <c r="N3076" s="3565">
        <v>0</v>
      </c>
      <c r="O3076" s="3563" t="s">
        <v>3453</v>
      </c>
    </row>
    <row r="3077" spans="1:15">
      <c r="A3077" s="3563" t="s">
        <v>7299</v>
      </c>
      <c r="B3077" s="3563" t="s">
        <v>4196</v>
      </c>
      <c r="C3077" s="3563" t="s">
        <v>4197</v>
      </c>
      <c r="D3077" s="3563" t="s">
        <v>6429</v>
      </c>
      <c r="E3077" s="3563" t="s">
        <v>4609</v>
      </c>
      <c r="F3077" s="3563" t="s">
        <v>4797</v>
      </c>
      <c r="G3077" s="3564">
        <v>87.47</v>
      </c>
      <c r="H3077" s="3564">
        <v>71</v>
      </c>
      <c r="I3077" s="3564">
        <v>16.47</v>
      </c>
      <c r="J3077" s="3565">
        <v>898476</v>
      </c>
      <c r="K3077" s="3565">
        <v>10271.82</v>
      </c>
      <c r="L3077" s="3565">
        <v>12654.59</v>
      </c>
      <c r="M3077" s="3565">
        <v>0</v>
      </c>
      <c r="N3077" s="3565">
        <v>0</v>
      </c>
      <c r="O3077" s="3563" t="s">
        <v>3453</v>
      </c>
    </row>
    <row r="3078" spans="1:15">
      <c r="A3078" s="3563" t="s">
        <v>7300</v>
      </c>
      <c r="B3078" s="3563" t="s">
        <v>4196</v>
      </c>
      <c r="C3078" s="3563" t="s">
        <v>4197</v>
      </c>
      <c r="D3078" s="3563" t="s">
        <v>6429</v>
      </c>
      <c r="E3078" s="3563" t="s">
        <v>4609</v>
      </c>
      <c r="F3078" s="3563" t="s">
        <v>4797</v>
      </c>
      <c r="G3078" s="3564">
        <v>101.04</v>
      </c>
      <c r="H3078" s="3564">
        <v>82.01</v>
      </c>
      <c r="I3078" s="3564">
        <v>19.03</v>
      </c>
      <c r="J3078" s="3565">
        <v>1027115</v>
      </c>
      <c r="K3078" s="3565">
        <v>10165.43</v>
      </c>
      <c r="L3078" s="3565">
        <v>12524.27</v>
      </c>
      <c r="M3078" s="3565">
        <v>0</v>
      </c>
      <c r="N3078" s="3565">
        <v>0</v>
      </c>
      <c r="O3078" s="3563" t="s">
        <v>3453</v>
      </c>
    </row>
    <row r="3079" spans="1:15">
      <c r="A3079" s="3563" t="s">
        <v>7301</v>
      </c>
      <c r="B3079" s="3563" t="s">
        <v>4196</v>
      </c>
      <c r="C3079" s="3563" t="s">
        <v>4197</v>
      </c>
      <c r="D3079" s="3563" t="s">
        <v>6429</v>
      </c>
      <c r="E3079" s="3563" t="s">
        <v>4609</v>
      </c>
      <c r="F3079" s="3563" t="s">
        <v>4797</v>
      </c>
      <c r="G3079" s="3564">
        <v>100.71</v>
      </c>
      <c r="H3079" s="3564">
        <v>81.739999999999995</v>
      </c>
      <c r="I3079" s="3564">
        <v>18.97</v>
      </c>
      <c r="J3079" s="3565">
        <v>1061259</v>
      </c>
      <c r="K3079" s="3565">
        <v>10537.77</v>
      </c>
      <c r="L3079" s="3565">
        <v>12983.35</v>
      </c>
      <c r="M3079" s="3565">
        <v>0</v>
      </c>
      <c r="N3079" s="3565">
        <v>0</v>
      </c>
      <c r="O3079" s="3563" t="s">
        <v>3453</v>
      </c>
    </row>
    <row r="3080" spans="1:15">
      <c r="A3080" s="3563" t="s">
        <v>7302</v>
      </c>
      <c r="B3080" s="3563" t="s">
        <v>4196</v>
      </c>
      <c r="C3080" s="3563" t="s">
        <v>4197</v>
      </c>
      <c r="D3080" s="3563" t="s">
        <v>6429</v>
      </c>
      <c r="E3080" s="3563" t="s">
        <v>4609</v>
      </c>
      <c r="F3080" s="3563" t="s">
        <v>4797</v>
      </c>
      <c r="G3080" s="3564">
        <v>100.71</v>
      </c>
      <c r="H3080" s="3564">
        <v>81.739999999999995</v>
      </c>
      <c r="I3080" s="3564">
        <v>18.97</v>
      </c>
      <c r="J3080" s="3565">
        <v>1039831</v>
      </c>
      <c r="K3080" s="3565">
        <v>10325</v>
      </c>
      <c r="L3080" s="3565">
        <v>12721.2</v>
      </c>
      <c r="M3080" s="3565">
        <v>0</v>
      </c>
      <c r="N3080" s="3565">
        <v>0</v>
      </c>
      <c r="O3080" s="3563" t="s">
        <v>3453</v>
      </c>
    </row>
    <row r="3081" spans="1:15">
      <c r="A3081" s="3563" t="s">
        <v>7303</v>
      </c>
      <c r="B3081" s="3563" t="s">
        <v>4196</v>
      </c>
      <c r="C3081" s="3563" t="s">
        <v>4197</v>
      </c>
      <c r="D3081" s="3563" t="s">
        <v>6429</v>
      </c>
      <c r="E3081" s="3563" t="s">
        <v>4609</v>
      </c>
      <c r="F3081" s="3563" t="s">
        <v>4797</v>
      </c>
      <c r="G3081" s="3564">
        <v>108.96</v>
      </c>
      <c r="H3081" s="3564">
        <v>88.44</v>
      </c>
      <c r="I3081" s="3564">
        <v>20.52</v>
      </c>
      <c r="J3081" s="3565">
        <v>1135445</v>
      </c>
      <c r="K3081" s="3565">
        <v>10420.75</v>
      </c>
      <c r="L3081" s="3565">
        <v>12838.59</v>
      </c>
      <c r="M3081" s="3565">
        <v>0</v>
      </c>
      <c r="N3081" s="3565">
        <v>0</v>
      </c>
      <c r="O3081" s="3563" t="s">
        <v>3453</v>
      </c>
    </row>
    <row r="3082" spans="1:15">
      <c r="A3082" s="3563" t="s">
        <v>7304</v>
      </c>
      <c r="B3082" s="3563" t="s">
        <v>4196</v>
      </c>
      <c r="C3082" s="3563" t="s">
        <v>4197</v>
      </c>
      <c r="D3082" s="3563" t="s">
        <v>6429</v>
      </c>
      <c r="E3082" s="3563" t="s">
        <v>4609</v>
      </c>
      <c r="F3082" s="3563" t="s">
        <v>4797</v>
      </c>
      <c r="G3082" s="3564">
        <v>87.47</v>
      </c>
      <c r="H3082" s="3564">
        <v>71</v>
      </c>
      <c r="I3082" s="3564">
        <v>16.47</v>
      </c>
      <c r="J3082" s="3565">
        <v>897545</v>
      </c>
      <c r="K3082" s="3565">
        <v>10261.18</v>
      </c>
      <c r="L3082" s="3565">
        <v>12641.48</v>
      </c>
      <c r="M3082" s="3565">
        <v>0</v>
      </c>
      <c r="N3082" s="3565">
        <v>0</v>
      </c>
      <c r="O3082" s="3563" t="s">
        <v>3453</v>
      </c>
    </row>
    <row r="3083" spans="1:15">
      <c r="A3083" s="3563" t="s">
        <v>7305</v>
      </c>
      <c r="B3083" s="3563" t="s">
        <v>4196</v>
      </c>
      <c r="C3083" s="3563" t="s">
        <v>4197</v>
      </c>
      <c r="D3083" s="3563" t="s">
        <v>6429</v>
      </c>
      <c r="E3083" s="3563" t="s">
        <v>4609</v>
      </c>
      <c r="F3083" s="3563" t="s">
        <v>4797</v>
      </c>
      <c r="G3083" s="3564">
        <v>87.47</v>
      </c>
      <c r="H3083" s="3564">
        <v>71</v>
      </c>
      <c r="I3083" s="3564">
        <v>16.47</v>
      </c>
      <c r="J3083" s="3565">
        <v>897545</v>
      </c>
      <c r="K3083" s="3565">
        <v>10261.18</v>
      </c>
      <c r="L3083" s="3565">
        <v>12641.48</v>
      </c>
      <c r="M3083" s="3565">
        <v>0</v>
      </c>
      <c r="N3083" s="3565">
        <v>0</v>
      </c>
      <c r="O3083" s="3563" t="s">
        <v>3453</v>
      </c>
    </row>
    <row r="3084" spans="1:15">
      <c r="A3084" s="3563" t="s">
        <v>7306</v>
      </c>
      <c r="B3084" s="3563" t="s">
        <v>4196</v>
      </c>
      <c r="C3084" s="3563" t="s">
        <v>4197</v>
      </c>
      <c r="D3084" s="3563" t="s">
        <v>6429</v>
      </c>
      <c r="E3084" s="3563" t="s">
        <v>4609</v>
      </c>
      <c r="F3084" s="3563" t="s">
        <v>4797</v>
      </c>
      <c r="G3084" s="3564">
        <v>101.04</v>
      </c>
      <c r="H3084" s="3564">
        <v>82.01</v>
      </c>
      <c r="I3084" s="3564">
        <v>19.03</v>
      </c>
      <c r="J3084" s="3565">
        <v>1026040</v>
      </c>
      <c r="K3084" s="3565">
        <v>10154.790000000001</v>
      </c>
      <c r="L3084" s="3565">
        <v>12511.16</v>
      </c>
      <c r="M3084" s="3565">
        <v>0</v>
      </c>
      <c r="N3084" s="3565">
        <v>0</v>
      </c>
      <c r="O3084" s="3563" t="s">
        <v>3453</v>
      </c>
    </row>
    <row r="3085" spans="1:15">
      <c r="A3085" s="3563" t="s">
        <v>7307</v>
      </c>
      <c r="B3085" s="3563" t="s">
        <v>4196</v>
      </c>
      <c r="C3085" s="3563" t="s">
        <v>4197</v>
      </c>
      <c r="D3085" s="3563" t="s">
        <v>6429</v>
      </c>
      <c r="E3085" s="3563" t="s">
        <v>4609</v>
      </c>
      <c r="F3085" s="3563" t="s">
        <v>4797</v>
      </c>
      <c r="G3085" s="3564">
        <v>100.71</v>
      </c>
      <c r="H3085" s="3564">
        <v>81.739999999999995</v>
      </c>
      <c r="I3085" s="3564">
        <v>18.97</v>
      </c>
      <c r="J3085" s="3565">
        <v>1060188</v>
      </c>
      <c r="K3085" s="3565">
        <v>10527.14</v>
      </c>
      <c r="L3085" s="3565">
        <v>12970.25</v>
      </c>
      <c r="M3085" s="3565">
        <v>0</v>
      </c>
      <c r="N3085" s="3565">
        <v>0</v>
      </c>
      <c r="O3085" s="3563" t="s">
        <v>3453</v>
      </c>
    </row>
    <row r="3086" spans="1:15">
      <c r="A3086" s="3563" t="s">
        <v>7308</v>
      </c>
      <c r="B3086" s="3563" t="s">
        <v>4196</v>
      </c>
      <c r="C3086" s="3563" t="s">
        <v>4197</v>
      </c>
      <c r="D3086" s="3563" t="s">
        <v>6429</v>
      </c>
      <c r="E3086" s="3563" t="s">
        <v>4609</v>
      </c>
      <c r="F3086" s="3563" t="s">
        <v>4797</v>
      </c>
      <c r="G3086" s="3564">
        <v>100.71</v>
      </c>
      <c r="H3086" s="3564">
        <v>81.739999999999995</v>
      </c>
      <c r="I3086" s="3564">
        <v>18.97</v>
      </c>
      <c r="J3086" s="3565">
        <v>1038760</v>
      </c>
      <c r="K3086" s="3565">
        <v>10314.370000000001</v>
      </c>
      <c r="L3086" s="3565">
        <v>12708.1</v>
      </c>
      <c r="M3086" s="3565">
        <v>0</v>
      </c>
      <c r="N3086" s="3565">
        <v>0</v>
      </c>
      <c r="O3086" s="3563" t="s">
        <v>3453</v>
      </c>
    </row>
    <row r="3087" spans="1:15">
      <c r="A3087" s="3563" t="s">
        <v>7309</v>
      </c>
      <c r="B3087" s="3563" t="s">
        <v>4196</v>
      </c>
      <c r="C3087" s="3563" t="s">
        <v>4197</v>
      </c>
      <c r="D3087" s="3563" t="s">
        <v>6429</v>
      </c>
      <c r="E3087" s="3563" t="s">
        <v>4609</v>
      </c>
      <c r="F3087" s="3563" t="s">
        <v>4797</v>
      </c>
      <c r="G3087" s="3564">
        <v>108.96</v>
      </c>
      <c r="H3087" s="3564">
        <v>88.44</v>
      </c>
      <c r="I3087" s="3564">
        <v>20.52</v>
      </c>
      <c r="J3087" s="3565">
        <v>1134286</v>
      </c>
      <c r="K3087" s="3565">
        <v>10410.11</v>
      </c>
      <c r="L3087" s="3565">
        <v>12825.49</v>
      </c>
      <c r="M3087" s="3565">
        <v>0</v>
      </c>
      <c r="N3087" s="3565">
        <v>0</v>
      </c>
      <c r="O3087" s="3563" t="s">
        <v>3453</v>
      </c>
    </row>
    <row r="3088" spans="1:15">
      <c r="A3088" s="3563" t="s">
        <v>7310</v>
      </c>
      <c r="B3088" s="3563" t="s">
        <v>4196</v>
      </c>
      <c r="C3088" s="3563" t="s">
        <v>4197</v>
      </c>
      <c r="D3088" s="3563" t="s">
        <v>6429</v>
      </c>
      <c r="E3088" s="3563" t="s">
        <v>4609</v>
      </c>
      <c r="F3088" s="3563" t="s">
        <v>4797</v>
      </c>
      <c r="G3088" s="3564">
        <v>87.47</v>
      </c>
      <c r="H3088" s="3564">
        <v>71</v>
      </c>
      <c r="I3088" s="3564">
        <v>16.47</v>
      </c>
      <c r="J3088" s="3565">
        <v>896614</v>
      </c>
      <c r="K3088" s="3565">
        <v>10250.530000000001</v>
      </c>
      <c r="L3088" s="3565">
        <v>12628.37</v>
      </c>
      <c r="M3088" s="3565">
        <v>0</v>
      </c>
      <c r="N3088" s="3565">
        <v>0</v>
      </c>
      <c r="O3088" s="3563" t="s">
        <v>3453</v>
      </c>
    </row>
    <row r="3089" spans="1:15">
      <c r="A3089" s="3563" t="s">
        <v>7311</v>
      </c>
      <c r="B3089" s="3563" t="s">
        <v>4196</v>
      </c>
      <c r="C3089" s="3563" t="s">
        <v>4197</v>
      </c>
      <c r="D3089" s="3563" t="s">
        <v>6429</v>
      </c>
      <c r="E3089" s="3563" t="s">
        <v>4609</v>
      </c>
      <c r="F3089" s="3563" t="s">
        <v>4797</v>
      </c>
      <c r="G3089" s="3564">
        <v>87.47</v>
      </c>
      <c r="H3089" s="3564">
        <v>71</v>
      </c>
      <c r="I3089" s="3564">
        <v>16.47</v>
      </c>
      <c r="J3089" s="3565">
        <v>896614</v>
      </c>
      <c r="K3089" s="3565">
        <v>10250.530000000001</v>
      </c>
      <c r="L3089" s="3565">
        <v>12628.37</v>
      </c>
      <c r="M3089" s="3565">
        <v>0</v>
      </c>
      <c r="N3089" s="3565">
        <v>0</v>
      </c>
      <c r="O3089" s="3563" t="s">
        <v>3453</v>
      </c>
    </row>
    <row r="3090" spans="1:15">
      <c r="A3090" s="3563" t="s">
        <v>7312</v>
      </c>
      <c r="B3090" s="3563" t="s">
        <v>4196</v>
      </c>
      <c r="C3090" s="3563" t="s">
        <v>4197</v>
      </c>
      <c r="D3090" s="3563" t="s">
        <v>6429</v>
      </c>
      <c r="E3090" s="3563" t="s">
        <v>4609</v>
      </c>
      <c r="F3090" s="3563" t="s">
        <v>4797</v>
      </c>
      <c r="G3090" s="3564">
        <v>101.04</v>
      </c>
      <c r="H3090" s="3564">
        <v>82.01</v>
      </c>
      <c r="I3090" s="3564">
        <v>19.03</v>
      </c>
      <c r="J3090" s="3565">
        <v>1024965</v>
      </c>
      <c r="K3090" s="3565">
        <v>10144.15</v>
      </c>
      <c r="L3090" s="3565">
        <v>12498.05</v>
      </c>
      <c r="M3090" s="3565">
        <v>0</v>
      </c>
      <c r="N3090" s="3565">
        <v>0</v>
      </c>
      <c r="O3090" s="3563" t="s">
        <v>3453</v>
      </c>
    </row>
    <row r="3091" spans="1:15">
      <c r="A3091" s="3563" t="s">
        <v>7313</v>
      </c>
      <c r="B3091" s="3563" t="s">
        <v>4196</v>
      </c>
      <c r="C3091" s="3563" t="s">
        <v>4197</v>
      </c>
      <c r="D3091" s="3563" t="s">
        <v>6429</v>
      </c>
      <c r="E3091" s="3563" t="s">
        <v>4609</v>
      </c>
      <c r="F3091" s="3563" t="s">
        <v>4797</v>
      </c>
      <c r="G3091" s="3564">
        <v>100.71</v>
      </c>
      <c r="H3091" s="3564">
        <v>81.739999999999995</v>
      </c>
      <c r="I3091" s="3564">
        <v>18.97</v>
      </c>
      <c r="J3091" s="3565">
        <v>1059116</v>
      </c>
      <c r="K3091" s="3565">
        <v>10516.49</v>
      </c>
      <c r="L3091" s="3565">
        <v>12957.13</v>
      </c>
      <c r="M3091" s="3565">
        <v>0</v>
      </c>
      <c r="N3091" s="3565">
        <v>0</v>
      </c>
      <c r="O3091" s="3563" t="s">
        <v>3453</v>
      </c>
    </row>
    <row r="3092" spans="1:15">
      <c r="A3092" s="3563" t="s">
        <v>7314</v>
      </c>
      <c r="B3092" s="3563" t="s">
        <v>4196</v>
      </c>
      <c r="C3092" s="3563" t="s">
        <v>4197</v>
      </c>
      <c r="D3092" s="3563" t="s">
        <v>6429</v>
      </c>
      <c r="E3092" s="3563" t="s">
        <v>4609</v>
      </c>
      <c r="F3092" s="3563" t="s">
        <v>4797</v>
      </c>
      <c r="G3092" s="3564">
        <v>100.71</v>
      </c>
      <c r="H3092" s="3564">
        <v>81.739999999999995</v>
      </c>
      <c r="I3092" s="3564">
        <v>18.97</v>
      </c>
      <c r="J3092" s="3565">
        <v>1037689</v>
      </c>
      <c r="K3092" s="3565">
        <v>10303.73</v>
      </c>
      <c r="L3092" s="3565">
        <v>12695</v>
      </c>
      <c r="M3092" s="3565">
        <v>0</v>
      </c>
      <c r="N3092" s="3565">
        <v>0</v>
      </c>
      <c r="O3092" s="3563" t="s">
        <v>3453</v>
      </c>
    </row>
    <row r="3093" spans="1:15">
      <c r="A3093" s="3563" t="s">
        <v>7315</v>
      </c>
      <c r="B3093" s="3563" t="s">
        <v>4196</v>
      </c>
      <c r="C3093" s="3563" t="s">
        <v>4197</v>
      </c>
      <c r="D3093" s="3563" t="s">
        <v>6429</v>
      </c>
      <c r="E3093" s="3563" t="s">
        <v>4609</v>
      </c>
      <c r="F3093" s="3563" t="s">
        <v>4797</v>
      </c>
      <c r="G3093" s="3564">
        <v>108.96</v>
      </c>
      <c r="H3093" s="3564">
        <v>88.44</v>
      </c>
      <c r="I3093" s="3564">
        <v>20.52</v>
      </c>
      <c r="J3093" s="3565">
        <v>1121535</v>
      </c>
      <c r="K3093" s="3565">
        <v>10293.09</v>
      </c>
      <c r="L3093" s="3565">
        <v>12681.31</v>
      </c>
      <c r="M3093" s="3565">
        <v>0</v>
      </c>
      <c r="N3093" s="3565">
        <v>0</v>
      </c>
      <c r="O3093" s="3563" t="s">
        <v>3453</v>
      </c>
    </row>
    <row r="3094" spans="1:15">
      <c r="A3094" s="3563" t="s">
        <v>7316</v>
      </c>
      <c r="B3094" s="3563" t="s">
        <v>4196</v>
      </c>
      <c r="C3094" s="3563" t="s">
        <v>4197</v>
      </c>
      <c r="D3094" s="3563" t="s">
        <v>6429</v>
      </c>
      <c r="E3094" s="3563" t="s">
        <v>4609</v>
      </c>
      <c r="F3094" s="3563" t="s">
        <v>4797</v>
      </c>
      <c r="G3094" s="3564">
        <v>87.47</v>
      </c>
      <c r="H3094" s="3564">
        <v>71</v>
      </c>
      <c r="I3094" s="3564">
        <v>16.47</v>
      </c>
      <c r="J3094" s="3565">
        <v>886378</v>
      </c>
      <c r="K3094" s="3565">
        <v>10133.51</v>
      </c>
      <c r="L3094" s="3565">
        <v>12484.2</v>
      </c>
      <c r="M3094" s="3565">
        <v>0</v>
      </c>
      <c r="N3094" s="3565">
        <v>0</v>
      </c>
      <c r="O3094" s="3563" t="s">
        <v>3453</v>
      </c>
    </row>
    <row r="3095" spans="1:15">
      <c r="A3095" s="3563" t="s">
        <v>7317</v>
      </c>
      <c r="B3095" s="3563" t="s">
        <v>4196</v>
      </c>
      <c r="C3095" s="3563" t="s">
        <v>4197</v>
      </c>
      <c r="D3095" s="3563" t="s">
        <v>6429</v>
      </c>
      <c r="E3095" s="3563" t="s">
        <v>4609</v>
      </c>
      <c r="F3095" s="3563" t="s">
        <v>4797</v>
      </c>
      <c r="G3095" s="3564">
        <v>87.47</v>
      </c>
      <c r="H3095" s="3564">
        <v>71</v>
      </c>
      <c r="I3095" s="3564">
        <v>16.47</v>
      </c>
      <c r="J3095" s="3565">
        <v>886378</v>
      </c>
      <c r="K3095" s="3565">
        <v>10133.51</v>
      </c>
      <c r="L3095" s="3565">
        <v>12484.2</v>
      </c>
      <c r="M3095" s="3565">
        <v>0</v>
      </c>
      <c r="N3095" s="3565">
        <v>0</v>
      </c>
      <c r="O3095" s="3563" t="s">
        <v>3453</v>
      </c>
    </row>
    <row r="3096" spans="1:15">
      <c r="A3096" s="3563" t="s">
        <v>7318</v>
      </c>
      <c r="B3096" s="3563" t="s">
        <v>4196</v>
      </c>
      <c r="C3096" s="3563" t="s">
        <v>4197</v>
      </c>
      <c r="D3096" s="3563" t="s">
        <v>6429</v>
      </c>
      <c r="E3096" s="3563" t="s">
        <v>4609</v>
      </c>
      <c r="F3096" s="3563" t="s">
        <v>4797</v>
      </c>
      <c r="G3096" s="3564">
        <v>101.04</v>
      </c>
      <c r="H3096" s="3564">
        <v>82.01</v>
      </c>
      <c r="I3096" s="3564">
        <v>19.03</v>
      </c>
      <c r="J3096" s="3565">
        <v>1013142</v>
      </c>
      <c r="K3096" s="3565">
        <v>10027.14</v>
      </c>
      <c r="L3096" s="3565">
        <v>12353.88</v>
      </c>
      <c r="M3096" s="3565">
        <v>0</v>
      </c>
      <c r="N3096" s="3565">
        <v>0</v>
      </c>
      <c r="O3096" s="3563" t="s">
        <v>3453</v>
      </c>
    </row>
    <row r="3097" spans="1:15">
      <c r="A3097" s="3563" t="s">
        <v>7319</v>
      </c>
      <c r="B3097" s="3563" t="s">
        <v>4196</v>
      </c>
      <c r="C3097" s="3563" t="s">
        <v>4197</v>
      </c>
      <c r="D3097" s="3563" t="s">
        <v>6429</v>
      </c>
      <c r="E3097" s="3563" t="s">
        <v>4609</v>
      </c>
      <c r="F3097" s="3563" t="s">
        <v>4797</v>
      </c>
      <c r="G3097" s="3564">
        <v>100.71</v>
      </c>
      <c r="H3097" s="3564">
        <v>81.739999999999995</v>
      </c>
      <c r="I3097" s="3564">
        <v>18.97</v>
      </c>
      <c r="J3097" s="3565">
        <v>1047331</v>
      </c>
      <c r="K3097" s="3565">
        <v>10399.469999999999</v>
      </c>
      <c r="L3097" s="3565">
        <v>12812.96</v>
      </c>
      <c r="M3097" s="3565">
        <v>0</v>
      </c>
      <c r="N3097" s="3565">
        <v>0</v>
      </c>
      <c r="O3097" s="3563" t="s">
        <v>3453</v>
      </c>
    </row>
    <row r="3098" spans="1:15">
      <c r="A3098" s="3563" t="s">
        <v>7320</v>
      </c>
      <c r="B3098" s="3563" t="s">
        <v>4196</v>
      </c>
      <c r="C3098" s="3563" t="s">
        <v>4197</v>
      </c>
      <c r="D3098" s="3563" t="s">
        <v>6429</v>
      </c>
      <c r="E3098" s="3563" t="s">
        <v>4609</v>
      </c>
      <c r="F3098" s="3563" t="s">
        <v>4797</v>
      </c>
      <c r="G3098" s="3564">
        <v>100.71</v>
      </c>
      <c r="H3098" s="3564">
        <v>81.739999999999995</v>
      </c>
      <c r="I3098" s="3564">
        <v>18.97</v>
      </c>
      <c r="J3098" s="3565">
        <v>1025904</v>
      </c>
      <c r="K3098" s="3565">
        <v>10186.709999999999</v>
      </c>
      <c r="L3098" s="3565">
        <v>12550.82</v>
      </c>
      <c r="M3098" s="3565">
        <v>0</v>
      </c>
      <c r="N3098" s="3565">
        <v>0</v>
      </c>
      <c r="O3098" s="3563" t="s">
        <v>3453</v>
      </c>
    </row>
    <row r="3099" spans="1:15">
      <c r="A3099" s="3563" t="s">
        <v>7321</v>
      </c>
      <c r="B3099" s="3563" t="s">
        <v>4196</v>
      </c>
      <c r="C3099" s="3563" t="s">
        <v>4197</v>
      </c>
      <c r="D3099" s="3563" t="s">
        <v>6429</v>
      </c>
      <c r="E3099" s="3563" t="s">
        <v>4609</v>
      </c>
      <c r="F3099" s="3563" t="s">
        <v>4797</v>
      </c>
      <c r="G3099" s="3564">
        <v>108.96</v>
      </c>
      <c r="H3099" s="3564">
        <v>88.44</v>
      </c>
      <c r="I3099" s="3564">
        <v>20.52</v>
      </c>
      <c r="J3099" s="3565">
        <v>1131968</v>
      </c>
      <c r="K3099" s="3565">
        <v>10388.84</v>
      </c>
      <c r="L3099" s="3565">
        <v>12799.28</v>
      </c>
      <c r="M3099" s="3565">
        <v>0</v>
      </c>
      <c r="N3099" s="3565">
        <v>0</v>
      </c>
      <c r="O3099" s="3563" t="s">
        <v>3453</v>
      </c>
    </row>
    <row r="3100" spans="1:15">
      <c r="A3100" s="3563" t="s">
        <v>7322</v>
      </c>
      <c r="B3100" s="3563" t="s">
        <v>4196</v>
      </c>
      <c r="C3100" s="3563" t="s">
        <v>4197</v>
      </c>
      <c r="D3100" s="3563" t="s">
        <v>6429</v>
      </c>
      <c r="E3100" s="3563" t="s">
        <v>4609</v>
      </c>
      <c r="F3100" s="3563" t="s">
        <v>4797</v>
      </c>
      <c r="G3100" s="3564">
        <v>87.47</v>
      </c>
      <c r="H3100" s="3564">
        <v>71</v>
      </c>
      <c r="I3100" s="3564">
        <v>16.47</v>
      </c>
      <c r="J3100" s="3565">
        <v>894754</v>
      </c>
      <c r="K3100" s="3565">
        <v>10229.27</v>
      </c>
      <c r="L3100" s="3565">
        <v>12602.17</v>
      </c>
      <c r="M3100" s="3565">
        <v>0</v>
      </c>
      <c r="N3100" s="3565">
        <v>0</v>
      </c>
      <c r="O3100" s="3563" t="s">
        <v>3453</v>
      </c>
    </row>
    <row r="3101" spans="1:15">
      <c r="A3101" s="3563" t="s">
        <v>7323</v>
      </c>
      <c r="B3101" s="3563" t="s">
        <v>4196</v>
      </c>
      <c r="C3101" s="3563" t="s">
        <v>4197</v>
      </c>
      <c r="D3101" s="3563" t="s">
        <v>6429</v>
      </c>
      <c r="E3101" s="3563" t="s">
        <v>4609</v>
      </c>
      <c r="F3101" s="3563" t="s">
        <v>4797</v>
      </c>
      <c r="G3101" s="3564">
        <v>87.47</v>
      </c>
      <c r="H3101" s="3564">
        <v>71</v>
      </c>
      <c r="I3101" s="3564">
        <v>16.47</v>
      </c>
      <c r="J3101" s="3565">
        <v>894754</v>
      </c>
      <c r="K3101" s="3565">
        <v>10229.27</v>
      </c>
      <c r="L3101" s="3565">
        <v>12602.17</v>
      </c>
      <c r="M3101" s="3565">
        <v>0</v>
      </c>
      <c r="N3101" s="3565">
        <v>0</v>
      </c>
      <c r="O3101" s="3563" t="s">
        <v>3453</v>
      </c>
    </row>
    <row r="3102" spans="1:15">
      <c r="A3102" s="3563" t="s">
        <v>7324</v>
      </c>
      <c r="B3102" s="3563" t="s">
        <v>4196</v>
      </c>
      <c r="C3102" s="3563" t="s">
        <v>4197</v>
      </c>
      <c r="D3102" s="3563" t="s">
        <v>6429</v>
      </c>
      <c r="E3102" s="3563" t="s">
        <v>4609</v>
      </c>
      <c r="F3102" s="3563" t="s">
        <v>4797</v>
      </c>
      <c r="G3102" s="3564">
        <v>101.04</v>
      </c>
      <c r="H3102" s="3564">
        <v>82.01</v>
      </c>
      <c r="I3102" s="3564">
        <v>19.03</v>
      </c>
      <c r="J3102" s="3565">
        <v>1022815</v>
      </c>
      <c r="K3102" s="3565">
        <v>10122.870000000001</v>
      </c>
      <c r="L3102" s="3565">
        <v>12471.83</v>
      </c>
      <c r="M3102" s="3565">
        <v>0</v>
      </c>
      <c r="N3102" s="3565">
        <v>0</v>
      </c>
      <c r="O3102" s="3563" t="s">
        <v>3453</v>
      </c>
    </row>
    <row r="3103" spans="1:15">
      <c r="A3103" s="3563" t="s">
        <v>7325</v>
      </c>
      <c r="B3103" s="3563" t="s">
        <v>4196</v>
      </c>
      <c r="C3103" s="3563" t="s">
        <v>4197</v>
      </c>
      <c r="D3103" s="3563" t="s">
        <v>6429</v>
      </c>
      <c r="E3103" s="3563" t="s">
        <v>4609</v>
      </c>
      <c r="F3103" s="3563" t="s">
        <v>4797</v>
      </c>
      <c r="G3103" s="3564">
        <v>100.71</v>
      </c>
      <c r="H3103" s="3564">
        <v>81.739999999999995</v>
      </c>
      <c r="I3103" s="3564">
        <v>18.97</v>
      </c>
      <c r="J3103" s="3565">
        <v>1056974</v>
      </c>
      <c r="K3103" s="3565">
        <v>10495.22</v>
      </c>
      <c r="L3103" s="3565">
        <v>12930.93</v>
      </c>
      <c r="M3103" s="3565">
        <v>0</v>
      </c>
      <c r="N3103" s="3565">
        <v>0</v>
      </c>
      <c r="O3103" s="3563" t="s">
        <v>3453</v>
      </c>
    </row>
    <row r="3104" spans="1:15">
      <c r="A3104" s="3563" t="s">
        <v>7326</v>
      </c>
      <c r="B3104" s="3563" t="s">
        <v>4196</v>
      </c>
      <c r="C3104" s="3563" t="s">
        <v>4197</v>
      </c>
      <c r="D3104" s="3563" t="s">
        <v>6429</v>
      </c>
      <c r="E3104" s="3563" t="s">
        <v>4609</v>
      </c>
      <c r="F3104" s="3563" t="s">
        <v>4797</v>
      </c>
      <c r="G3104" s="3564">
        <v>100.71</v>
      </c>
      <c r="H3104" s="3564">
        <v>81.739999999999995</v>
      </c>
      <c r="I3104" s="3564">
        <v>18.97</v>
      </c>
      <c r="J3104" s="3565">
        <v>1035546</v>
      </c>
      <c r="K3104" s="3565">
        <v>10282.450000000001</v>
      </c>
      <c r="L3104" s="3565">
        <v>12668.78</v>
      </c>
      <c r="M3104" s="3565">
        <v>0</v>
      </c>
      <c r="N3104" s="3565">
        <v>0</v>
      </c>
      <c r="O3104" s="3563" t="s">
        <v>3453</v>
      </c>
    </row>
    <row r="3105" spans="1:15">
      <c r="A3105" s="3563" t="s">
        <v>7327</v>
      </c>
      <c r="B3105" s="3563" t="s">
        <v>4196</v>
      </c>
      <c r="C3105" s="3563" t="s">
        <v>4197</v>
      </c>
      <c r="D3105" s="3563" t="s">
        <v>6429</v>
      </c>
      <c r="E3105" s="3563" t="s">
        <v>4609</v>
      </c>
      <c r="F3105" s="3563" t="s">
        <v>4797</v>
      </c>
      <c r="G3105" s="3564">
        <v>88.68</v>
      </c>
      <c r="H3105" s="3564">
        <v>71</v>
      </c>
      <c r="I3105" s="3564">
        <v>17.68</v>
      </c>
      <c r="J3105" s="3565">
        <v>849583</v>
      </c>
      <c r="K3105" s="3565">
        <v>9580.32</v>
      </c>
      <c r="L3105" s="3565">
        <v>11965.96</v>
      </c>
      <c r="M3105" s="3565">
        <v>0</v>
      </c>
      <c r="N3105" s="3565">
        <v>0</v>
      </c>
      <c r="O3105" s="3563" t="s">
        <v>3453</v>
      </c>
    </row>
    <row r="3106" spans="1:15">
      <c r="A3106" s="3563" t="s">
        <v>7328</v>
      </c>
      <c r="B3106" s="3563" t="s">
        <v>4196</v>
      </c>
      <c r="C3106" s="3563" t="s">
        <v>4197</v>
      </c>
      <c r="D3106" s="3563" t="s">
        <v>6429</v>
      </c>
      <c r="E3106" s="3563" t="s">
        <v>4609</v>
      </c>
      <c r="F3106" s="3563" t="s">
        <v>4797</v>
      </c>
      <c r="G3106" s="3564">
        <v>88.68</v>
      </c>
      <c r="H3106" s="3564">
        <v>71</v>
      </c>
      <c r="I3106" s="3564">
        <v>17.68</v>
      </c>
      <c r="J3106" s="3565">
        <v>849583</v>
      </c>
      <c r="K3106" s="3565">
        <v>9580.32</v>
      </c>
      <c r="L3106" s="3565">
        <v>11965.96</v>
      </c>
      <c r="M3106" s="3565">
        <v>0</v>
      </c>
      <c r="N3106" s="3565">
        <v>0</v>
      </c>
      <c r="O3106" s="3563" t="s">
        <v>3453</v>
      </c>
    </row>
    <row r="3107" spans="1:15">
      <c r="A3107" s="3563" t="s">
        <v>7329</v>
      </c>
      <c r="B3107" s="3563" t="s">
        <v>4196</v>
      </c>
      <c r="C3107" s="3563" t="s">
        <v>4197</v>
      </c>
      <c r="D3107" s="3563" t="s">
        <v>6429</v>
      </c>
      <c r="E3107" s="3563" t="s">
        <v>4609</v>
      </c>
      <c r="F3107" s="3563" t="s">
        <v>4797</v>
      </c>
      <c r="G3107" s="3564">
        <v>102.43</v>
      </c>
      <c r="H3107" s="3564">
        <v>82.01</v>
      </c>
      <c r="I3107" s="3564">
        <v>20.420000000000002</v>
      </c>
      <c r="J3107" s="3565">
        <v>981312</v>
      </c>
      <c r="K3107" s="3565">
        <v>9580.32</v>
      </c>
      <c r="L3107" s="3565">
        <v>11965.76</v>
      </c>
      <c r="M3107" s="3565">
        <v>0</v>
      </c>
      <c r="N3107" s="3565">
        <v>0</v>
      </c>
      <c r="O3107" s="3563" t="s">
        <v>3453</v>
      </c>
    </row>
    <row r="3108" spans="1:15">
      <c r="A3108" s="3563" t="s">
        <v>7330</v>
      </c>
      <c r="B3108" s="3563" t="s">
        <v>4196</v>
      </c>
      <c r="C3108" s="3563" t="s">
        <v>4197</v>
      </c>
      <c r="D3108" s="3563" t="s">
        <v>6429</v>
      </c>
      <c r="E3108" s="3563" t="s">
        <v>4609</v>
      </c>
      <c r="F3108" s="3563" t="s">
        <v>4797</v>
      </c>
      <c r="G3108" s="3564">
        <v>102.09</v>
      </c>
      <c r="H3108" s="3564">
        <v>81.739999999999995</v>
      </c>
      <c r="I3108" s="3564">
        <v>20.350000000000001</v>
      </c>
      <c r="J3108" s="3565">
        <v>1004121</v>
      </c>
      <c r="K3108" s="3565">
        <v>9835.65</v>
      </c>
      <c r="L3108" s="3565">
        <v>12284.33</v>
      </c>
      <c r="M3108" s="3565">
        <v>0</v>
      </c>
      <c r="N3108" s="3565">
        <v>0</v>
      </c>
      <c r="O3108" s="3563" t="s">
        <v>3453</v>
      </c>
    </row>
    <row r="3109" spans="1:15">
      <c r="A3109" s="3563" t="s">
        <v>7331</v>
      </c>
      <c r="B3109" s="3563" t="s">
        <v>4196</v>
      </c>
      <c r="C3109" s="3563" t="s">
        <v>4197</v>
      </c>
      <c r="D3109" s="3563" t="s">
        <v>6429</v>
      </c>
      <c r="E3109" s="3563" t="s">
        <v>4609</v>
      </c>
      <c r="F3109" s="3563" t="s">
        <v>4797</v>
      </c>
      <c r="G3109" s="3564">
        <v>102.09</v>
      </c>
      <c r="H3109" s="3564">
        <v>81.739999999999995</v>
      </c>
      <c r="I3109" s="3564">
        <v>20.350000000000001</v>
      </c>
      <c r="J3109" s="3565">
        <v>1004121</v>
      </c>
      <c r="K3109" s="3565">
        <v>9835.65</v>
      </c>
      <c r="L3109" s="3565">
        <v>12284.33</v>
      </c>
      <c r="M3109" s="3565">
        <v>0</v>
      </c>
      <c r="N3109" s="3565">
        <v>0</v>
      </c>
      <c r="O3109" s="3563" t="s">
        <v>3453</v>
      </c>
    </row>
    <row r="3110" spans="1:15">
      <c r="A3110" s="3563" t="s">
        <v>7332</v>
      </c>
      <c r="B3110" s="3563" t="s">
        <v>4196</v>
      </c>
      <c r="C3110" s="3563" t="s">
        <v>4197</v>
      </c>
      <c r="D3110" s="3563" t="s">
        <v>6429</v>
      </c>
      <c r="E3110" s="3563" t="s">
        <v>4609</v>
      </c>
      <c r="F3110" s="3563" t="s">
        <v>4797</v>
      </c>
      <c r="G3110" s="3564">
        <v>108.96</v>
      </c>
      <c r="H3110" s="3564">
        <v>88.44</v>
      </c>
      <c r="I3110" s="3564">
        <v>20.52</v>
      </c>
      <c r="J3110" s="3565">
        <v>1130808</v>
      </c>
      <c r="K3110" s="3565">
        <v>10378.19</v>
      </c>
      <c r="L3110" s="3565">
        <v>12786.16</v>
      </c>
      <c r="M3110" s="3565">
        <v>0</v>
      </c>
      <c r="N3110" s="3565">
        <v>0</v>
      </c>
      <c r="O3110" s="3563" t="s">
        <v>3453</v>
      </c>
    </row>
    <row r="3111" spans="1:15">
      <c r="A3111" s="3563" t="s">
        <v>7333</v>
      </c>
      <c r="B3111" s="3563" t="s">
        <v>4196</v>
      </c>
      <c r="C3111" s="3563" t="s">
        <v>4197</v>
      </c>
      <c r="D3111" s="3563" t="s">
        <v>6429</v>
      </c>
      <c r="E3111" s="3563" t="s">
        <v>4609</v>
      </c>
      <c r="F3111" s="3563" t="s">
        <v>4797</v>
      </c>
      <c r="G3111" s="3564">
        <v>87.47</v>
      </c>
      <c r="H3111" s="3564">
        <v>71</v>
      </c>
      <c r="I3111" s="3564">
        <v>16.47</v>
      </c>
      <c r="J3111" s="3565">
        <v>893823</v>
      </c>
      <c r="K3111" s="3565">
        <v>10218.620000000001</v>
      </c>
      <c r="L3111" s="3565">
        <v>12589.06</v>
      </c>
      <c r="M3111" s="3565">
        <v>0</v>
      </c>
      <c r="N3111" s="3565">
        <v>0</v>
      </c>
      <c r="O3111" s="3563" t="s">
        <v>3453</v>
      </c>
    </row>
    <row r="3112" spans="1:15">
      <c r="A3112" s="3563" t="s">
        <v>7334</v>
      </c>
      <c r="B3112" s="3563" t="s">
        <v>4196</v>
      </c>
      <c r="C3112" s="3563" t="s">
        <v>4197</v>
      </c>
      <c r="D3112" s="3563" t="s">
        <v>6429</v>
      </c>
      <c r="E3112" s="3563" t="s">
        <v>4609</v>
      </c>
      <c r="F3112" s="3563" t="s">
        <v>4797</v>
      </c>
      <c r="G3112" s="3564">
        <v>87.47</v>
      </c>
      <c r="H3112" s="3564">
        <v>71</v>
      </c>
      <c r="I3112" s="3564">
        <v>16.47</v>
      </c>
      <c r="J3112" s="3565">
        <v>893823</v>
      </c>
      <c r="K3112" s="3565">
        <v>10218.620000000001</v>
      </c>
      <c r="L3112" s="3565">
        <v>12589.06</v>
      </c>
      <c r="M3112" s="3565">
        <v>0</v>
      </c>
      <c r="N3112" s="3565">
        <v>0</v>
      </c>
      <c r="O3112" s="3563" t="s">
        <v>3453</v>
      </c>
    </row>
    <row r="3113" spans="1:15">
      <c r="A3113" s="3563" t="s">
        <v>7335</v>
      </c>
      <c r="B3113" s="3563" t="s">
        <v>4196</v>
      </c>
      <c r="C3113" s="3563" t="s">
        <v>4197</v>
      </c>
      <c r="D3113" s="3563" t="s">
        <v>6429</v>
      </c>
      <c r="E3113" s="3563" t="s">
        <v>4609</v>
      </c>
      <c r="F3113" s="3563" t="s">
        <v>4797</v>
      </c>
      <c r="G3113" s="3564">
        <v>101.04</v>
      </c>
      <c r="H3113" s="3564">
        <v>82.01</v>
      </c>
      <c r="I3113" s="3564">
        <v>19.03</v>
      </c>
      <c r="J3113" s="3565">
        <v>1021741</v>
      </c>
      <c r="K3113" s="3565">
        <v>10112.24</v>
      </c>
      <c r="L3113" s="3565">
        <v>12458.74</v>
      </c>
      <c r="M3113" s="3565">
        <v>0</v>
      </c>
      <c r="N3113" s="3565">
        <v>0</v>
      </c>
      <c r="O3113" s="3563" t="s">
        <v>3453</v>
      </c>
    </row>
    <row r="3114" spans="1:15">
      <c r="A3114" s="3563" t="s">
        <v>7336</v>
      </c>
      <c r="B3114" s="3563" t="s">
        <v>4196</v>
      </c>
      <c r="C3114" s="3563" t="s">
        <v>4197</v>
      </c>
      <c r="D3114" s="3563" t="s">
        <v>6429</v>
      </c>
      <c r="E3114" s="3563" t="s">
        <v>4609</v>
      </c>
      <c r="F3114" s="3563" t="s">
        <v>4797</v>
      </c>
      <c r="G3114" s="3564">
        <v>100.71</v>
      </c>
      <c r="H3114" s="3564">
        <v>81.739999999999995</v>
      </c>
      <c r="I3114" s="3564">
        <v>18.97</v>
      </c>
      <c r="J3114" s="3565">
        <v>1055902</v>
      </c>
      <c r="K3114" s="3565">
        <v>10484.58</v>
      </c>
      <c r="L3114" s="3565">
        <v>12917.81</v>
      </c>
      <c r="M3114" s="3565">
        <v>0</v>
      </c>
      <c r="N3114" s="3565">
        <v>0</v>
      </c>
      <c r="O3114" s="3563" t="s">
        <v>3453</v>
      </c>
    </row>
    <row r="3115" spans="1:15">
      <c r="A3115" s="3563" t="s">
        <v>7337</v>
      </c>
      <c r="B3115" s="3563" t="s">
        <v>4196</v>
      </c>
      <c r="C3115" s="3563" t="s">
        <v>4197</v>
      </c>
      <c r="D3115" s="3563" t="s">
        <v>6429</v>
      </c>
      <c r="E3115" s="3563" t="s">
        <v>4609</v>
      </c>
      <c r="F3115" s="3563" t="s">
        <v>4797</v>
      </c>
      <c r="G3115" s="3564">
        <v>100.71</v>
      </c>
      <c r="H3115" s="3564">
        <v>81.739999999999995</v>
      </c>
      <c r="I3115" s="3564">
        <v>18.97</v>
      </c>
      <c r="J3115" s="3565">
        <v>1034474</v>
      </c>
      <c r="K3115" s="3565">
        <v>10271.81</v>
      </c>
      <c r="L3115" s="3565">
        <v>12655.66</v>
      </c>
      <c r="M3115" s="3565">
        <v>0</v>
      </c>
      <c r="N3115" s="3565">
        <v>0</v>
      </c>
      <c r="O3115" s="3563" t="s">
        <v>3453</v>
      </c>
    </row>
    <row r="3116" spans="1:15">
      <c r="A3116" s="3563" t="s">
        <v>7338</v>
      </c>
      <c r="B3116" s="3563" t="s">
        <v>4196</v>
      </c>
      <c r="C3116" s="3563" t="s">
        <v>4197</v>
      </c>
      <c r="D3116" s="3563" t="s">
        <v>6429</v>
      </c>
      <c r="E3116" s="3563" t="s">
        <v>4609</v>
      </c>
      <c r="F3116" s="3563" t="s">
        <v>4797</v>
      </c>
      <c r="G3116" s="3564">
        <v>108.96</v>
      </c>
      <c r="H3116" s="3564">
        <v>88.44</v>
      </c>
      <c r="I3116" s="3564">
        <v>20.52</v>
      </c>
      <c r="J3116" s="3565">
        <v>1129649</v>
      </c>
      <c r="K3116" s="3565">
        <v>10367.56</v>
      </c>
      <c r="L3116" s="3565">
        <v>12773.06</v>
      </c>
      <c r="M3116" s="3565">
        <v>0</v>
      </c>
      <c r="N3116" s="3565">
        <v>0</v>
      </c>
      <c r="O3116" s="3563" t="s">
        <v>3453</v>
      </c>
    </row>
    <row r="3117" spans="1:15">
      <c r="A3117" s="3563" t="s">
        <v>7339</v>
      </c>
      <c r="B3117" s="3563" t="s">
        <v>4196</v>
      </c>
      <c r="C3117" s="3563" t="s">
        <v>4197</v>
      </c>
      <c r="D3117" s="3563" t="s">
        <v>6429</v>
      </c>
      <c r="E3117" s="3563" t="s">
        <v>4609</v>
      </c>
      <c r="F3117" s="3563" t="s">
        <v>4797</v>
      </c>
      <c r="G3117" s="3564">
        <v>87.47</v>
      </c>
      <c r="H3117" s="3564">
        <v>71</v>
      </c>
      <c r="I3117" s="3564">
        <v>16.47</v>
      </c>
      <c r="J3117" s="3565">
        <v>892892</v>
      </c>
      <c r="K3117" s="3565">
        <v>10207.98</v>
      </c>
      <c r="L3117" s="3565">
        <v>12575.94</v>
      </c>
      <c r="M3117" s="3565">
        <v>0</v>
      </c>
      <c r="N3117" s="3565">
        <v>0</v>
      </c>
      <c r="O3117" s="3563" t="s">
        <v>3453</v>
      </c>
    </row>
    <row r="3118" spans="1:15">
      <c r="A3118" s="3563" t="s">
        <v>7340</v>
      </c>
      <c r="B3118" s="3563" t="s">
        <v>4196</v>
      </c>
      <c r="C3118" s="3563" t="s">
        <v>4197</v>
      </c>
      <c r="D3118" s="3563" t="s">
        <v>6429</v>
      </c>
      <c r="E3118" s="3563" t="s">
        <v>4609</v>
      </c>
      <c r="F3118" s="3563" t="s">
        <v>4797</v>
      </c>
      <c r="G3118" s="3564">
        <v>87.47</v>
      </c>
      <c r="H3118" s="3564">
        <v>71</v>
      </c>
      <c r="I3118" s="3564">
        <v>16.47</v>
      </c>
      <c r="J3118" s="3565">
        <v>892892</v>
      </c>
      <c r="K3118" s="3565">
        <v>10207.98</v>
      </c>
      <c r="L3118" s="3565">
        <v>12575.94</v>
      </c>
      <c r="M3118" s="3565">
        <v>0</v>
      </c>
      <c r="N3118" s="3565">
        <v>0</v>
      </c>
      <c r="O3118" s="3563" t="s">
        <v>3453</v>
      </c>
    </row>
    <row r="3119" spans="1:15">
      <c r="A3119" s="3563" t="s">
        <v>7341</v>
      </c>
      <c r="B3119" s="3563" t="s">
        <v>4196</v>
      </c>
      <c r="C3119" s="3563" t="s">
        <v>4197</v>
      </c>
      <c r="D3119" s="3563" t="s">
        <v>6429</v>
      </c>
      <c r="E3119" s="3563" t="s">
        <v>4609</v>
      </c>
      <c r="F3119" s="3563" t="s">
        <v>4797</v>
      </c>
      <c r="G3119" s="3564">
        <v>101.04</v>
      </c>
      <c r="H3119" s="3564">
        <v>82.01</v>
      </c>
      <c r="I3119" s="3564">
        <v>19.03</v>
      </c>
      <c r="J3119" s="3565">
        <v>1020665</v>
      </c>
      <c r="K3119" s="3565">
        <v>10101.59</v>
      </c>
      <c r="L3119" s="3565">
        <v>12445.62</v>
      </c>
      <c r="M3119" s="3565">
        <v>0</v>
      </c>
      <c r="N3119" s="3565">
        <v>0</v>
      </c>
      <c r="O3119" s="3563" t="s">
        <v>3453</v>
      </c>
    </row>
    <row r="3120" spans="1:15">
      <c r="A3120" s="3563" t="s">
        <v>7342</v>
      </c>
      <c r="B3120" s="3563" t="s">
        <v>4196</v>
      </c>
      <c r="C3120" s="3563" t="s">
        <v>4197</v>
      </c>
      <c r="D3120" s="3563" t="s">
        <v>6429</v>
      </c>
      <c r="E3120" s="3563" t="s">
        <v>4609</v>
      </c>
      <c r="F3120" s="3563" t="s">
        <v>4797</v>
      </c>
      <c r="G3120" s="3564">
        <v>100.71</v>
      </c>
      <c r="H3120" s="3564">
        <v>81.739999999999995</v>
      </c>
      <c r="I3120" s="3564">
        <v>18.97</v>
      </c>
      <c r="J3120" s="3565">
        <v>1054830</v>
      </c>
      <c r="K3120" s="3565">
        <v>10473.94</v>
      </c>
      <c r="L3120" s="3565">
        <v>12904.7</v>
      </c>
      <c r="M3120" s="3565">
        <v>0</v>
      </c>
      <c r="N3120" s="3565">
        <v>0</v>
      </c>
      <c r="O3120" s="3563" t="s">
        <v>3453</v>
      </c>
    </row>
    <row r="3121" spans="1:15">
      <c r="A3121" s="3563" t="s">
        <v>7343</v>
      </c>
      <c r="B3121" s="3563" t="s">
        <v>4196</v>
      </c>
      <c r="C3121" s="3563" t="s">
        <v>4197</v>
      </c>
      <c r="D3121" s="3563" t="s">
        <v>6429</v>
      </c>
      <c r="E3121" s="3563" t="s">
        <v>4609</v>
      </c>
      <c r="F3121" s="3563" t="s">
        <v>4797</v>
      </c>
      <c r="G3121" s="3564">
        <v>100.71</v>
      </c>
      <c r="H3121" s="3564">
        <v>81.739999999999995</v>
      </c>
      <c r="I3121" s="3564">
        <v>18.97</v>
      </c>
      <c r="J3121" s="3565">
        <v>1054830</v>
      </c>
      <c r="K3121" s="3565">
        <v>10473.94</v>
      </c>
      <c r="L3121" s="3565">
        <v>12904.7</v>
      </c>
      <c r="M3121" s="3565">
        <v>0</v>
      </c>
      <c r="N3121" s="3565">
        <v>0</v>
      </c>
      <c r="O3121" s="3563" t="s">
        <v>3453</v>
      </c>
    </row>
    <row r="3122" spans="1:15">
      <c r="A3122" s="3563" t="s">
        <v>7344</v>
      </c>
      <c r="B3122" s="3563" t="s">
        <v>4196</v>
      </c>
      <c r="C3122" s="3563" t="s">
        <v>4197</v>
      </c>
      <c r="D3122" s="3563" t="s">
        <v>6429</v>
      </c>
      <c r="E3122" s="3563" t="s">
        <v>4609</v>
      </c>
      <c r="F3122" s="3563" t="s">
        <v>4797</v>
      </c>
      <c r="G3122" s="3564">
        <v>108.96</v>
      </c>
      <c r="H3122" s="3564">
        <v>88.44</v>
      </c>
      <c r="I3122" s="3564">
        <v>20.52</v>
      </c>
      <c r="J3122" s="3565">
        <v>1093715</v>
      </c>
      <c r="K3122" s="3565">
        <v>10037.77</v>
      </c>
      <c r="L3122" s="3565">
        <v>12366.75</v>
      </c>
      <c r="M3122" s="3565">
        <v>0</v>
      </c>
      <c r="N3122" s="3565">
        <v>0</v>
      </c>
      <c r="O3122" s="3563" t="s">
        <v>3453</v>
      </c>
    </row>
    <row r="3123" spans="1:15">
      <c r="A3123" s="3563" t="s">
        <v>7345</v>
      </c>
      <c r="B3123" s="3563" t="s">
        <v>4196</v>
      </c>
      <c r="C3123" s="3563" t="s">
        <v>4197</v>
      </c>
      <c r="D3123" s="3563" t="s">
        <v>6429</v>
      </c>
      <c r="E3123" s="3563" t="s">
        <v>4609</v>
      </c>
      <c r="F3123" s="3563" t="s">
        <v>4797</v>
      </c>
      <c r="G3123" s="3564">
        <v>87.47</v>
      </c>
      <c r="H3123" s="3564">
        <v>71</v>
      </c>
      <c r="I3123" s="3564">
        <v>16.47</v>
      </c>
      <c r="J3123" s="3565">
        <v>864046</v>
      </c>
      <c r="K3123" s="3565">
        <v>9878.2000000000007</v>
      </c>
      <c r="L3123" s="3565">
        <v>12169.66</v>
      </c>
      <c r="M3123" s="3565">
        <v>0</v>
      </c>
      <c r="N3123" s="3565">
        <v>0</v>
      </c>
      <c r="O3123" s="3563" t="s">
        <v>3453</v>
      </c>
    </row>
    <row r="3124" spans="1:15">
      <c r="A3124" s="3563" t="s">
        <v>7346</v>
      </c>
      <c r="B3124" s="3563" t="s">
        <v>4196</v>
      </c>
      <c r="C3124" s="3563" t="s">
        <v>4197</v>
      </c>
      <c r="D3124" s="3563" t="s">
        <v>6429</v>
      </c>
      <c r="E3124" s="3563" t="s">
        <v>4609</v>
      </c>
      <c r="F3124" s="3563" t="s">
        <v>4797</v>
      </c>
      <c r="G3124" s="3564">
        <v>87.47</v>
      </c>
      <c r="H3124" s="3564">
        <v>71</v>
      </c>
      <c r="I3124" s="3564">
        <v>16.47</v>
      </c>
      <c r="J3124" s="3565">
        <v>864046</v>
      </c>
      <c r="K3124" s="3565">
        <v>9878.2000000000007</v>
      </c>
      <c r="L3124" s="3565">
        <v>12169.66</v>
      </c>
      <c r="M3124" s="3565">
        <v>0</v>
      </c>
      <c r="N3124" s="3565">
        <v>0</v>
      </c>
      <c r="O3124" s="3563" t="s">
        <v>3453</v>
      </c>
    </row>
    <row r="3125" spans="1:15">
      <c r="A3125" s="3563" t="s">
        <v>7347</v>
      </c>
      <c r="B3125" s="3563" t="s">
        <v>4196</v>
      </c>
      <c r="C3125" s="3563" t="s">
        <v>4197</v>
      </c>
      <c r="D3125" s="3563" t="s">
        <v>6429</v>
      </c>
      <c r="E3125" s="3563" t="s">
        <v>4609</v>
      </c>
      <c r="F3125" s="3563" t="s">
        <v>4797</v>
      </c>
      <c r="G3125" s="3564">
        <v>101.04</v>
      </c>
      <c r="H3125" s="3564">
        <v>82.01</v>
      </c>
      <c r="I3125" s="3564">
        <v>19.03</v>
      </c>
      <c r="J3125" s="3565">
        <v>987344</v>
      </c>
      <c r="K3125" s="3565">
        <v>9771.81</v>
      </c>
      <c r="L3125" s="3565">
        <v>12039.31</v>
      </c>
      <c r="M3125" s="3565">
        <v>0</v>
      </c>
      <c r="N3125" s="3565">
        <v>0</v>
      </c>
      <c r="O3125" s="3563" t="s">
        <v>3453</v>
      </c>
    </row>
    <row r="3126" spans="1:15">
      <c r="A3126" s="3563" t="s">
        <v>7348</v>
      </c>
      <c r="B3126" s="3563" t="s">
        <v>4196</v>
      </c>
      <c r="C3126" s="3563" t="s">
        <v>4197</v>
      </c>
      <c r="D3126" s="3563" t="s">
        <v>6429</v>
      </c>
      <c r="E3126" s="3563" t="s">
        <v>4609</v>
      </c>
      <c r="F3126" s="3563" t="s">
        <v>4797</v>
      </c>
      <c r="G3126" s="3564">
        <v>100.71</v>
      </c>
      <c r="H3126" s="3564">
        <v>81.739999999999995</v>
      </c>
      <c r="I3126" s="3564">
        <v>18.97</v>
      </c>
      <c r="J3126" s="3565">
        <v>1021618</v>
      </c>
      <c r="K3126" s="3565">
        <v>10144.16</v>
      </c>
      <c r="L3126" s="3565">
        <v>12498.39</v>
      </c>
      <c r="M3126" s="3565">
        <v>0</v>
      </c>
      <c r="N3126" s="3565">
        <v>0</v>
      </c>
      <c r="O3126" s="3563" t="s">
        <v>3453</v>
      </c>
    </row>
    <row r="3127" spans="1:15">
      <c r="A3127" s="3563" t="s">
        <v>7349</v>
      </c>
      <c r="B3127" s="3563" t="s">
        <v>4196</v>
      </c>
      <c r="C3127" s="3563" t="s">
        <v>4197</v>
      </c>
      <c r="D3127" s="3563" t="s">
        <v>6429</v>
      </c>
      <c r="E3127" s="3563" t="s">
        <v>4609</v>
      </c>
      <c r="F3127" s="3563" t="s">
        <v>4797</v>
      </c>
      <c r="G3127" s="3564">
        <v>100.71</v>
      </c>
      <c r="H3127" s="3564">
        <v>81.739999999999995</v>
      </c>
      <c r="I3127" s="3564">
        <v>18.97</v>
      </c>
      <c r="J3127" s="3565">
        <v>1021618</v>
      </c>
      <c r="K3127" s="3565">
        <v>10144.16</v>
      </c>
      <c r="L3127" s="3565">
        <v>12498.39</v>
      </c>
      <c r="M3127" s="3565">
        <v>0</v>
      </c>
      <c r="N3127" s="3565">
        <v>0</v>
      </c>
      <c r="O3127" s="3563" t="s">
        <v>3453</v>
      </c>
    </row>
    <row r="3128" spans="1:15">
      <c r="A3128" s="3563" t="s">
        <v>7350</v>
      </c>
      <c r="B3128" s="3563" t="s">
        <v>4196</v>
      </c>
      <c r="C3128" s="3563" t="s">
        <v>4197</v>
      </c>
      <c r="D3128" s="3563" t="s">
        <v>6429</v>
      </c>
      <c r="E3128" s="3563" t="s">
        <v>4609</v>
      </c>
      <c r="F3128" s="3563" t="s">
        <v>4797</v>
      </c>
      <c r="G3128" s="3564">
        <v>108.96</v>
      </c>
      <c r="H3128" s="3564">
        <v>88.44</v>
      </c>
      <c r="I3128" s="3564">
        <v>20.52</v>
      </c>
      <c r="J3128" s="3565">
        <v>1097193</v>
      </c>
      <c r="K3128" s="3565">
        <v>10069.69</v>
      </c>
      <c r="L3128" s="3565">
        <v>12406.07</v>
      </c>
      <c r="M3128" s="3565">
        <v>0</v>
      </c>
      <c r="N3128" s="3565">
        <v>0</v>
      </c>
      <c r="O3128" s="3563" t="s">
        <v>3453</v>
      </c>
    </row>
    <row r="3129" spans="1:15">
      <c r="A3129" s="3563" t="s">
        <v>7351</v>
      </c>
      <c r="B3129" s="3563" t="s">
        <v>4196</v>
      </c>
      <c r="C3129" s="3563" t="s">
        <v>4197</v>
      </c>
      <c r="D3129" s="3563" t="s">
        <v>6429</v>
      </c>
      <c r="E3129" s="3563" t="s">
        <v>4609</v>
      </c>
      <c r="F3129" s="3563" t="s">
        <v>4797</v>
      </c>
      <c r="G3129" s="3564">
        <v>87.47</v>
      </c>
      <c r="H3129" s="3564">
        <v>71</v>
      </c>
      <c r="I3129" s="3564">
        <v>16.47</v>
      </c>
      <c r="J3129" s="3565">
        <v>848227</v>
      </c>
      <c r="K3129" s="3565">
        <v>9697.35</v>
      </c>
      <c r="L3129" s="3565">
        <v>11946.86</v>
      </c>
      <c r="M3129" s="3565">
        <v>0</v>
      </c>
      <c r="N3129" s="3565">
        <v>0</v>
      </c>
      <c r="O3129" s="3563" t="s">
        <v>3453</v>
      </c>
    </row>
    <row r="3130" spans="1:15">
      <c r="A3130" s="3563" t="s">
        <v>7352</v>
      </c>
      <c r="B3130" s="3563" t="s">
        <v>4196</v>
      </c>
      <c r="C3130" s="3563" t="s">
        <v>4197</v>
      </c>
      <c r="D3130" s="3563" t="s">
        <v>6429</v>
      </c>
      <c r="E3130" s="3563" t="s">
        <v>4609</v>
      </c>
      <c r="F3130" s="3563" t="s">
        <v>4797</v>
      </c>
      <c r="G3130" s="3564">
        <v>87.47</v>
      </c>
      <c r="H3130" s="3564">
        <v>71</v>
      </c>
      <c r="I3130" s="3564">
        <v>16.47</v>
      </c>
      <c r="J3130" s="3565">
        <v>848227</v>
      </c>
      <c r="K3130" s="3565">
        <v>9697.35</v>
      </c>
      <c r="L3130" s="3565">
        <v>11946.86</v>
      </c>
      <c r="M3130" s="3565">
        <v>0</v>
      </c>
      <c r="N3130" s="3565">
        <v>0</v>
      </c>
      <c r="O3130" s="3563" t="s">
        <v>3453</v>
      </c>
    </row>
    <row r="3131" spans="1:15">
      <c r="A3131" s="3563" t="s">
        <v>7353</v>
      </c>
      <c r="B3131" s="3563" t="s">
        <v>4196</v>
      </c>
      <c r="C3131" s="3563" t="s">
        <v>4197</v>
      </c>
      <c r="D3131" s="3563" t="s">
        <v>6429</v>
      </c>
      <c r="E3131" s="3563" t="s">
        <v>4609</v>
      </c>
      <c r="F3131" s="3563" t="s">
        <v>4797</v>
      </c>
      <c r="G3131" s="3564">
        <v>101.04</v>
      </c>
      <c r="H3131" s="3564">
        <v>82.01</v>
      </c>
      <c r="I3131" s="3564">
        <v>19.03</v>
      </c>
      <c r="J3131" s="3565">
        <v>969071</v>
      </c>
      <c r="K3131" s="3565">
        <v>9590.9599999999991</v>
      </c>
      <c r="L3131" s="3565">
        <v>11816.5</v>
      </c>
      <c r="M3131" s="3565">
        <v>0</v>
      </c>
      <c r="N3131" s="3565">
        <v>0</v>
      </c>
      <c r="O3131" s="3563" t="s">
        <v>3453</v>
      </c>
    </row>
    <row r="3132" spans="1:15">
      <c r="A3132" s="3563" t="s">
        <v>7354</v>
      </c>
      <c r="B3132" s="3563" t="s">
        <v>4196</v>
      </c>
      <c r="C3132" s="3563" t="s">
        <v>4197</v>
      </c>
      <c r="D3132" s="3563" t="s">
        <v>6429</v>
      </c>
      <c r="E3132" s="3563" t="s">
        <v>4609</v>
      </c>
      <c r="F3132" s="3563" t="s">
        <v>4797</v>
      </c>
      <c r="G3132" s="3564">
        <v>100.71</v>
      </c>
      <c r="H3132" s="3564">
        <v>81.739999999999995</v>
      </c>
      <c r="I3132" s="3564">
        <v>18.97</v>
      </c>
      <c r="J3132" s="3565">
        <v>1003405</v>
      </c>
      <c r="K3132" s="3565">
        <v>9963.31</v>
      </c>
      <c r="L3132" s="3565">
        <v>12275.57</v>
      </c>
      <c r="M3132" s="3565">
        <v>0</v>
      </c>
      <c r="N3132" s="3565">
        <v>0</v>
      </c>
      <c r="O3132" s="3563" t="s">
        <v>3453</v>
      </c>
    </row>
    <row r="3133" spans="1:15">
      <c r="A3133" s="3563" t="s">
        <v>7355</v>
      </c>
      <c r="B3133" s="3563" t="s">
        <v>4196</v>
      </c>
      <c r="C3133" s="3563" t="s">
        <v>4197</v>
      </c>
      <c r="D3133" s="3563" t="s">
        <v>6429</v>
      </c>
      <c r="E3133" s="3563" t="s">
        <v>4609</v>
      </c>
      <c r="F3133" s="3563" t="s">
        <v>4797</v>
      </c>
      <c r="G3133" s="3564">
        <v>100.71</v>
      </c>
      <c r="H3133" s="3564">
        <v>81.739999999999995</v>
      </c>
      <c r="I3133" s="3564">
        <v>18.97</v>
      </c>
      <c r="J3133" s="3565">
        <v>1003405</v>
      </c>
      <c r="K3133" s="3565">
        <v>9963.31</v>
      </c>
      <c r="L3133" s="3565">
        <v>12275.57</v>
      </c>
      <c r="M3133" s="3565">
        <v>0</v>
      </c>
      <c r="N3133" s="3565">
        <v>0</v>
      </c>
      <c r="O3133" s="3563" t="s">
        <v>3453</v>
      </c>
    </row>
    <row r="3134" spans="1:15">
      <c r="A3134" s="3563" t="s">
        <v>7356</v>
      </c>
      <c r="B3134" s="3563" t="s">
        <v>4196</v>
      </c>
      <c r="C3134" s="3563" t="s">
        <v>4197</v>
      </c>
      <c r="D3134" s="3563" t="s">
        <v>6429</v>
      </c>
      <c r="E3134" s="3563" t="s">
        <v>4609</v>
      </c>
      <c r="F3134" s="3563" t="s">
        <v>4797</v>
      </c>
      <c r="G3134" s="3564">
        <v>108.96</v>
      </c>
      <c r="H3134" s="3564">
        <v>88.44</v>
      </c>
      <c r="I3134" s="3564">
        <v>20.52</v>
      </c>
      <c r="J3134" s="3565">
        <v>1111103</v>
      </c>
      <c r="K3134" s="3565">
        <v>10197.35</v>
      </c>
      <c r="L3134" s="3565">
        <v>12563.35</v>
      </c>
      <c r="M3134" s="3565">
        <v>0</v>
      </c>
      <c r="N3134" s="3565">
        <v>0</v>
      </c>
      <c r="O3134" s="3563" t="s">
        <v>3453</v>
      </c>
    </row>
    <row r="3135" spans="1:15">
      <c r="A3135" s="3563" t="s">
        <v>7357</v>
      </c>
      <c r="B3135" s="3563" t="s">
        <v>4196</v>
      </c>
      <c r="C3135" s="3563" t="s">
        <v>4197</v>
      </c>
      <c r="D3135" s="3563" t="s">
        <v>6429</v>
      </c>
      <c r="E3135" s="3563" t="s">
        <v>4609</v>
      </c>
      <c r="F3135" s="3563" t="s">
        <v>4797</v>
      </c>
      <c r="G3135" s="3564">
        <v>87.47</v>
      </c>
      <c r="H3135" s="3564">
        <v>71</v>
      </c>
      <c r="I3135" s="3564">
        <v>16.47</v>
      </c>
      <c r="J3135" s="3565">
        <v>859393</v>
      </c>
      <c r="K3135" s="3565">
        <v>9825</v>
      </c>
      <c r="L3135" s="3565">
        <v>12104.13</v>
      </c>
      <c r="M3135" s="3565">
        <v>0</v>
      </c>
      <c r="N3135" s="3565">
        <v>0</v>
      </c>
      <c r="O3135" s="3563" t="s">
        <v>3453</v>
      </c>
    </row>
    <row r="3136" spans="1:15">
      <c r="A3136" s="3563" t="s">
        <v>7358</v>
      </c>
      <c r="B3136" s="3563" t="s">
        <v>4196</v>
      </c>
      <c r="C3136" s="3563" t="s">
        <v>4197</v>
      </c>
      <c r="D3136" s="3563" t="s">
        <v>6429</v>
      </c>
      <c r="E3136" s="3563" t="s">
        <v>4609</v>
      </c>
      <c r="F3136" s="3563" t="s">
        <v>4797</v>
      </c>
      <c r="G3136" s="3564">
        <v>87.47</v>
      </c>
      <c r="H3136" s="3564">
        <v>71</v>
      </c>
      <c r="I3136" s="3564">
        <v>16.47</v>
      </c>
      <c r="J3136" s="3565">
        <v>859393</v>
      </c>
      <c r="K3136" s="3565">
        <v>9825</v>
      </c>
      <c r="L3136" s="3565">
        <v>12104.13</v>
      </c>
      <c r="M3136" s="3565">
        <v>0</v>
      </c>
      <c r="N3136" s="3565">
        <v>0</v>
      </c>
      <c r="O3136" s="3563" t="s">
        <v>3453</v>
      </c>
    </row>
    <row r="3137" spans="1:15">
      <c r="A3137" s="3563" t="s">
        <v>7359</v>
      </c>
      <c r="B3137" s="3563" t="s">
        <v>4196</v>
      </c>
      <c r="C3137" s="3563" t="s">
        <v>4197</v>
      </c>
      <c r="D3137" s="3563" t="s">
        <v>6429</v>
      </c>
      <c r="E3137" s="3563" t="s">
        <v>4609</v>
      </c>
      <c r="F3137" s="3563" t="s">
        <v>4797</v>
      </c>
      <c r="G3137" s="3564">
        <v>101.04</v>
      </c>
      <c r="H3137" s="3564">
        <v>82.01</v>
      </c>
      <c r="I3137" s="3564">
        <v>19.03</v>
      </c>
      <c r="J3137" s="3565">
        <v>981970</v>
      </c>
      <c r="K3137" s="3565">
        <v>9718.6299999999992</v>
      </c>
      <c r="L3137" s="3565">
        <v>11973.78</v>
      </c>
      <c r="M3137" s="3565">
        <v>0</v>
      </c>
      <c r="N3137" s="3565">
        <v>0</v>
      </c>
      <c r="O3137" s="3563" t="s">
        <v>3453</v>
      </c>
    </row>
    <row r="3138" spans="1:15">
      <c r="A3138" s="3563" t="s">
        <v>7360</v>
      </c>
      <c r="B3138" s="3563" t="s">
        <v>4196</v>
      </c>
      <c r="C3138" s="3563" t="s">
        <v>4197</v>
      </c>
      <c r="D3138" s="3563" t="s">
        <v>6429</v>
      </c>
      <c r="E3138" s="3563" t="s">
        <v>4609</v>
      </c>
      <c r="F3138" s="3563" t="s">
        <v>4797</v>
      </c>
      <c r="G3138" s="3564">
        <v>100.71</v>
      </c>
      <c r="H3138" s="3564">
        <v>81.739999999999995</v>
      </c>
      <c r="I3138" s="3564">
        <v>18.97</v>
      </c>
      <c r="J3138" s="3565">
        <v>1016261</v>
      </c>
      <c r="K3138" s="3565">
        <v>10090.959999999999</v>
      </c>
      <c r="L3138" s="3565">
        <v>12432.85</v>
      </c>
      <c r="M3138" s="3565">
        <v>0</v>
      </c>
      <c r="N3138" s="3565">
        <v>0</v>
      </c>
      <c r="O3138" s="3563" t="s">
        <v>3453</v>
      </c>
    </row>
    <row r="3139" spans="1:15">
      <c r="A3139" s="3563" t="s">
        <v>7361</v>
      </c>
      <c r="B3139" s="3563" t="s">
        <v>4196</v>
      </c>
      <c r="C3139" s="3563" t="s">
        <v>4197</v>
      </c>
      <c r="D3139" s="3563" t="s">
        <v>6429</v>
      </c>
      <c r="E3139" s="3563" t="s">
        <v>4609</v>
      </c>
      <c r="F3139" s="3563" t="s">
        <v>4797</v>
      </c>
      <c r="G3139" s="3564">
        <v>100.71</v>
      </c>
      <c r="H3139" s="3564">
        <v>81.739999999999995</v>
      </c>
      <c r="I3139" s="3564">
        <v>18.97</v>
      </c>
      <c r="J3139" s="3565">
        <v>1016261</v>
      </c>
      <c r="K3139" s="3565">
        <v>10090.959999999999</v>
      </c>
      <c r="L3139" s="3565">
        <v>12432.85</v>
      </c>
      <c r="M3139" s="3565">
        <v>0</v>
      </c>
      <c r="N3139" s="3565">
        <v>0</v>
      </c>
      <c r="O3139" s="3563" t="s">
        <v>3453</v>
      </c>
    </row>
    <row r="3140" spans="1:15">
      <c r="A3140" s="3563" t="s">
        <v>7362</v>
      </c>
      <c r="B3140" s="3563" t="s">
        <v>4196</v>
      </c>
      <c r="C3140" s="3563" t="s">
        <v>4197</v>
      </c>
      <c r="D3140" s="3563" t="s">
        <v>6429</v>
      </c>
      <c r="E3140" s="3563" t="s">
        <v>4609</v>
      </c>
      <c r="F3140" s="3563" t="s">
        <v>4797</v>
      </c>
      <c r="G3140" s="3564">
        <v>108.96</v>
      </c>
      <c r="H3140" s="3564">
        <v>88.44</v>
      </c>
      <c r="I3140" s="3564">
        <v>20.52</v>
      </c>
      <c r="J3140" s="3565">
        <v>1125012</v>
      </c>
      <c r="K3140" s="3565">
        <v>10325</v>
      </c>
      <c r="L3140" s="3565">
        <v>12720.62</v>
      </c>
      <c r="M3140" s="3565">
        <v>0</v>
      </c>
      <c r="N3140" s="3565">
        <v>0</v>
      </c>
      <c r="O3140" s="3563" t="s">
        <v>3453</v>
      </c>
    </row>
    <row r="3141" spans="1:15">
      <c r="A3141" s="3563" t="s">
        <v>7363</v>
      </c>
      <c r="B3141" s="3563" t="s">
        <v>4196</v>
      </c>
      <c r="C3141" s="3563" t="s">
        <v>4197</v>
      </c>
      <c r="D3141" s="3563" t="s">
        <v>6429</v>
      </c>
      <c r="E3141" s="3563" t="s">
        <v>4609</v>
      </c>
      <c r="F3141" s="3563" t="s">
        <v>4797</v>
      </c>
      <c r="G3141" s="3564">
        <v>87.47</v>
      </c>
      <c r="H3141" s="3564">
        <v>71</v>
      </c>
      <c r="I3141" s="3564">
        <v>16.47</v>
      </c>
      <c r="J3141" s="3565">
        <v>870560</v>
      </c>
      <c r="K3141" s="3565">
        <v>9952.67</v>
      </c>
      <c r="L3141" s="3565">
        <v>12261.41</v>
      </c>
      <c r="M3141" s="3565">
        <v>0</v>
      </c>
      <c r="N3141" s="3565">
        <v>0</v>
      </c>
      <c r="O3141" s="3563" t="s">
        <v>3453</v>
      </c>
    </row>
    <row r="3142" spans="1:15">
      <c r="A3142" s="3563" t="s">
        <v>7364</v>
      </c>
      <c r="B3142" s="3563" t="s">
        <v>4196</v>
      </c>
      <c r="C3142" s="3563" t="s">
        <v>4197</v>
      </c>
      <c r="D3142" s="3563" t="s">
        <v>6429</v>
      </c>
      <c r="E3142" s="3563" t="s">
        <v>4609</v>
      </c>
      <c r="F3142" s="3563" t="s">
        <v>4797</v>
      </c>
      <c r="G3142" s="3564">
        <v>87.47</v>
      </c>
      <c r="H3142" s="3564">
        <v>71</v>
      </c>
      <c r="I3142" s="3564">
        <v>16.47</v>
      </c>
      <c r="J3142" s="3565">
        <v>870560</v>
      </c>
      <c r="K3142" s="3565">
        <v>9952.67</v>
      </c>
      <c r="L3142" s="3565">
        <v>12261.41</v>
      </c>
      <c r="M3142" s="3565">
        <v>0</v>
      </c>
      <c r="N3142" s="3565">
        <v>0</v>
      </c>
      <c r="O3142" s="3563" t="s">
        <v>3453</v>
      </c>
    </row>
    <row r="3143" spans="1:15">
      <c r="A3143" s="3563" t="s">
        <v>7365</v>
      </c>
      <c r="B3143" s="3563" t="s">
        <v>4196</v>
      </c>
      <c r="C3143" s="3563" t="s">
        <v>4197</v>
      </c>
      <c r="D3143" s="3563" t="s">
        <v>6429</v>
      </c>
      <c r="E3143" s="3563" t="s">
        <v>4609</v>
      </c>
      <c r="F3143" s="3563" t="s">
        <v>4797</v>
      </c>
      <c r="G3143" s="3564">
        <v>101.04</v>
      </c>
      <c r="H3143" s="3564">
        <v>82.01</v>
      </c>
      <c r="I3143" s="3564">
        <v>19.03</v>
      </c>
      <c r="J3143" s="3565">
        <v>994869</v>
      </c>
      <c r="K3143" s="3565">
        <v>9846.2900000000009</v>
      </c>
      <c r="L3143" s="3565">
        <v>12131.07</v>
      </c>
      <c r="M3143" s="3565">
        <v>0</v>
      </c>
      <c r="N3143" s="3565">
        <v>0</v>
      </c>
      <c r="O3143" s="3563" t="s">
        <v>3453</v>
      </c>
    </row>
    <row r="3144" spans="1:15">
      <c r="A3144" s="3563" t="s">
        <v>7366</v>
      </c>
      <c r="B3144" s="3563" t="s">
        <v>4196</v>
      </c>
      <c r="C3144" s="3563" t="s">
        <v>4197</v>
      </c>
      <c r="D3144" s="3563" t="s">
        <v>6429</v>
      </c>
      <c r="E3144" s="3563" t="s">
        <v>4609</v>
      </c>
      <c r="F3144" s="3563" t="s">
        <v>4797</v>
      </c>
      <c r="G3144" s="3564">
        <v>100.71</v>
      </c>
      <c r="H3144" s="3564">
        <v>81.739999999999995</v>
      </c>
      <c r="I3144" s="3564">
        <v>18.97</v>
      </c>
      <c r="J3144" s="3565">
        <v>1029118</v>
      </c>
      <c r="K3144" s="3565">
        <v>10218.629999999999</v>
      </c>
      <c r="L3144" s="3565">
        <v>12590.14</v>
      </c>
      <c r="M3144" s="3565">
        <v>0</v>
      </c>
      <c r="N3144" s="3565">
        <v>0</v>
      </c>
      <c r="O3144" s="3563" t="s">
        <v>3453</v>
      </c>
    </row>
    <row r="3145" spans="1:15">
      <c r="A3145" s="3563" t="s">
        <v>7367</v>
      </c>
      <c r="B3145" s="3563" t="s">
        <v>4196</v>
      </c>
      <c r="C3145" s="3563" t="s">
        <v>4197</v>
      </c>
      <c r="D3145" s="3563" t="s">
        <v>6429</v>
      </c>
      <c r="E3145" s="3563" t="s">
        <v>4609</v>
      </c>
      <c r="F3145" s="3563" t="s">
        <v>4797</v>
      </c>
      <c r="G3145" s="3564">
        <v>100.71</v>
      </c>
      <c r="H3145" s="3564">
        <v>81.739999999999995</v>
      </c>
      <c r="I3145" s="3564">
        <v>18.97</v>
      </c>
      <c r="J3145" s="3565">
        <v>1029118</v>
      </c>
      <c r="K3145" s="3565">
        <v>10218.629999999999</v>
      </c>
      <c r="L3145" s="3565">
        <v>12590.14</v>
      </c>
      <c r="M3145" s="3565">
        <v>0</v>
      </c>
      <c r="N3145" s="3565">
        <v>0</v>
      </c>
      <c r="O3145" s="3563" t="s">
        <v>3453</v>
      </c>
    </row>
    <row r="3146" spans="1:15">
      <c r="A3146" s="3563" t="s">
        <v>7368</v>
      </c>
      <c r="B3146" s="3563" t="s">
        <v>4196</v>
      </c>
      <c r="C3146" s="3563" t="s">
        <v>4197</v>
      </c>
      <c r="D3146" s="3563" t="s">
        <v>6429</v>
      </c>
      <c r="E3146" s="3563" t="s">
        <v>4609</v>
      </c>
      <c r="F3146" s="3563" t="s">
        <v>4797</v>
      </c>
      <c r="G3146" s="3564">
        <v>108.96</v>
      </c>
      <c r="H3146" s="3564">
        <v>88.44</v>
      </c>
      <c r="I3146" s="3564">
        <v>20.52</v>
      </c>
      <c r="J3146" s="3565">
        <v>1126172</v>
      </c>
      <c r="K3146" s="3565">
        <v>10335.65</v>
      </c>
      <c r="L3146" s="3565">
        <v>12733.74</v>
      </c>
      <c r="M3146" s="3565">
        <v>0</v>
      </c>
      <c r="N3146" s="3565">
        <v>0</v>
      </c>
      <c r="O3146" s="3563" t="s">
        <v>3453</v>
      </c>
    </row>
    <row r="3147" spans="1:15">
      <c r="A3147" s="3563" t="s">
        <v>7369</v>
      </c>
      <c r="B3147" s="3563" t="s">
        <v>4196</v>
      </c>
      <c r="C3147" s="3563" t="s">
        <v>4197</v>
      </c>
      <c r="D3147" s="3563" t="s">
        <v>6429</v>
      </c>
      <c r="E3147" s="3563" t="s">
        <v>4609</v>
      </c>
      <c r="F3147" s="3563" t="s">
        <v>4797</v>
      </c>
      <c r="G3147" s="3564">
        <v>87.47</v>
      </c>
      <c r="H3147" s="3564">
        <v>71</v>
      </c>
      <c r="I3147" s="3564">
        <v>16.47</v>
      </c>
      <c r="J3147" s="3565">
        <v>871490</v>
      </c>
      <c r="K3147" s="3565">
        <v>9963.2999999999993</v>
      </c>
      <c r="L3147" s="3565">
        <v>12274.51</v>
      </c>
      <c r="M3147" s="3565">
        <v>0</v>
      </c>
      <c r="N3147" s="3565">
        <v>0</v>
      </c>
      <c r="O3147" s="3563" t="s">
        <v>3453</v>
      </c>
    </row>
    <row r="3148" spans="1:15">
      <c r="A3148" s="3563" t="s">
        <v>7370</v>
      </c>
      <c r="B3148" s="3563" t="s">
        <v>4196</v>
      </c>
      <c r="C3148" s="3563" t="s">
        <v>4197</v>
      </c>
      <c r="D3148" s="3563" t="s">
        <v>6429</v>
      </c>
      <c r="E3148" s="3563" t="s">
        <v>4609</v>
      </c>
      <c r="F3148" s="3563" t="s">
        <v>4797</v>
      </c>
      <c r="G3148" s="3564">
        <v>87.47</v>
      </c>
      <c r="H3148" s="3564">
        <v>71</v>
      </c>
      <c r="I3148" s="3564">
        <v>16.47</v>
      </c>
      <c r="J3148" s="3565">
        <v>871490</v>
      </c>
      <c r="K3148" s="3565">
        <v>9963.2999999999993</v>
      </c>
      <c r="L3148" s="3565">
        <v>12274.51</v>
      </c>
      <c r="M3148" s="3565">
        <v>0</v>
      </c>
      <c r="N3148" s="3565">
        <v>0</v>
      </c>
      <c r="O3148" s="3563" t="s">
        <v>3453</v>
      </c>
    </row>
    <row r="3149" spans="1:15">
      <c r="A3149" s="3563" t="s">
        <v>7371</v>
      </c>
      <c r="B3149" s="3563" t="s">
        <v>4196</v>
      </c>
      <c r="C3149" s="3563" t="s">
        <v>4197</v>
      </c>
      <c r="D3149" s="3563" t="s">
        <v>6429</v>
      </c>
      <c r="E3149" s="3563" t="s">
        <v>4609</v>
      </c>
      <c r="F3149" s="3563" t="s">
        <v>4797</v>
      </c>
      <c r="G3149" s="3564">
        <v>101.04</v>
      </c>
      <c r="H3149" s="3564">
        <v>82.01</v>
      </c>
      <c r="I3149" s="3564">
        <v>19.03</v>
      </c>
      <c r="J3149" s="3565">
        <v>995943</v>
      </c>
      <c r="K3149" s="3565">
        <v>9856.92</v>
      </c>
      <c r="L3149" s="3565">
        <v>12144.17</v>
      </c>
      <c r="M3149" s="3565">
        <v>0</v>
      </c>
      <c r="N3149" s="3565">
        <v>0</v>
      </c>
      <c r="O3149" s="3563" t="s">
        <v>3453</v>
      </c>
    </row>
    <row r="3150" spans="1:15">
      <c r="A3150" s="3563" t="s">
        <v>7372</v>
      </c>
      <c r="B3150" s="3563" t="s">
        <v>4196</v>
      </c>
      <c r="C3150" s="3563" t="s">
        <v>4197</v>
      </c>
      <c r="D3150" s="3563" t="s">
        <v>6429</v>
      </c>
      <c r="E3150" s="3563" t="s">
        <v>4609</v>
      </c>
      <c r="F3150" s="3563" t="s">
        <v>4797</v>
      </c>
      <c r="G3150" s="3564">
        <v>100.71</v>
      </c>
      <c r="H3150" s="3564">
        <v>81.739999999999995</v>
      </c>
      <c r="I3150" s="3564">
        <v>18.97</v>
      </c>
      <c r="J3150" s="3565">
        <v>1030189</v>
      </c>
      <c r="K3150" s="3565">
        <v>10229.26</v>
      </c>
      <c r="L3150" s="3565">
        <v>12603.24</v>
      </c>
      <c r="M3150" s="3565">
        <v>0</v>
      </c>
      <c r="N3150" s="3565">
        <v>0</v>
      </c>
      <c r="O3150" s="3563" t="s">
        <v>3453</v>
      </c>
    </row>
    <row r="3151" spans="1:15">
      <c r="A3151" s="3563" t="s">
        <v>7373</v>
      </c>
      <c r="B3151" s="3563" t="s">
        <v>4196</v>
      </c>
      <c r="C3151" s="3563" t="s">
        <v>4197</v>
      </c>
      <c r="D3151" s="3563" t="s">
        <v>6429</v>
      </c>
      <c r="E3151" s="3563" t="s">
        <v>4609</v>
      </c>
      <c r="F3151" s="3563" t="s">
        <v>4797</v>
      </c>
      <c r="G3151" s="3564">
        <v>100.71</v>
      </c>
      <c r="H3151" s="3564">
        <v>81.739999999999995</v>
      </c>
      <c r="I3151" s="3564">
        <v>18.97</v>
      </c>
      <c r="J3151" s="3565">
        <v>1030189</v>
      </c>
      <c r="K3151" s="3565">
        <v>10229.26</v>
      </c>
      <c r="L3151" s="3565">
        <v>12603.24</v>
      </c>
      <c r="M3151" s="3565">
        <v>0</v>
      </c>
      <c r="N3151" s="3565">
        <v>0</v>
      </c>
      <c r="O3151" s="3563" t="s">
        <v>3453</v>
      </c>
    </row>
    <row r="3152" spans="1:15">
      <c r="A3152" s="3563" t="s">
        <v>7374</v>
      </c>
      <c r="B3152" s="3563" t="s">
        <v>4196</v>
      </c>
      <c r="C3152" s="3563" t="s">
        <v>4197</v>
      </c>
      <c r="D3152" s="3563" t="s">
        <v>6429</v>
      </c>
      <c r="E3152" s="3563" t="s">
        <v>4609</v>
      </c>
      <c r="F3152" s="3563" t="s">
        <v>4797</v>
      </c>
      <c r="G3152" s="3564">
        <v>108.96</v>
      </c>
      <c r="H3152" s="3564">
        <v>88.44</v>
      </c>
      <c r="I3152" s="3564">
        <v>20.52</v>
      </c>
      <c r="J3152" s="3565">
        <v>1127330</v>
      </c>
      <c r="K3152" s="3565">
        <v>10346.27</v>
      </c>
      <c r="L3152" s="3565">
        <v>12746.83</v>
      </c>
      <c r="M3152" s="3565">
        <v>0</v>
      </c>
      <c r="N3152" s="3565">
        <v>0</v>
      </c>
      <c r="O3152" s="3563" t="s">
        <v>3453</v>
      </c>
    </row>
    <row r="3153" spans="1:15">
      <c r="A3153" s="3563" t="s">
        <v>7375</v>
      </c>
      <c r="B3153" s="3563" t="s">
        <v>4196</v>
      </c>
      <c r="C3153" s="3563" t="s">
        <v>4197</v>
      </c>
      <c r="D3153" s="3563" t="s">
        <v>6429</v>
      </c>
      <c r="E3153" s="3563" t="s">
        <v>4609</v>
      </c>
      <c r="F3153" s="3563" t="s">
        <v>4797</v>
      </c>
      <c r="G3153" s="3564">
        <v>87.47</v>
      </c>
      <c r="H3153" s="3564">
        <v>71</v>
      </c>
      <c r="I3153" s="3564">
        <v>16.47</v>
      </c>
      <c r="J3153" s="3565">
        <v>891031</v>
      </c>
      <c r="K3153" s="3565">
        <v>10186.700000000001</v>
      </c>
      <c r="L3153" s="3565">
        <v>12549.73</v>
      </c>
      <c r="M3153" s="3565">
        <v>0</v>
      </c>
      <c r="N3153" s="3565">
        <v>0</v>
      </c>
      <c r="O3153" s="3563" t="s">
        <v>3453</v>
      </c>
    </row>
    <row r="3154" spans="1:15">
      <c r="A3154" s="3563" t="s">
        <v>7376</v>
      </c>
      <c r="B3154" s="3563" t="s">
        <v>4196</v>
      </c>
      <c r="C3154" s="3563" t="s">
        <v>4197</v>
      </c>
      <c r="D3154" s="3563" t="s">
        <v>6429</v>
      </c>
      <c r="E3154" s="3563" t="s">
        <v>4609</v>
      </c>
      <c r="F3154" s="3563" t="s">
        <v>4797</v>
      </c>
      <c r="G3154" s="3564">
        <v>87.47</v>
      </c>
      <c r="H3154" s="3564">
        <v>71</v>
      </c>
      <c r="I3154" s="3564">
        <v>16.47</v>
      </c>
      <c r="J3154" s="3565">
        <v>891031</v>
      </c>
      <c r="K3154" s="3565">
        <v>10186.700000000001</v>
      </c>
      <c r="L3154" s="3565">
        <v>12549.73</v>
      </c>
      <c r="M3154" s="3565">
        <v>0</v>
      </c>
      <c r="N3154" s="3565">
        <v>0</v>
      </c>
      <c r="O3154" s="3563" t="s">
        <v>3453</v>
      </c>
    </row>
    <row r="3155" spans="1:15">
      <c r="A3155" s="3563" t="s">
        <v>7377</v>
      </c>
      <c r="B3155" s="3563" t="s">
        <v>4196</v>
      </c>
      <c r="C3155" s="3563" t="s">
        <v>4197</v>
      </c>
      <c r="D3155" s="3563" t="s">
        <v>6429</v>
      </c>
      <c r="E3155" s="3563" t="s">
        <v>4609</v>
      </c>
      <c r="F3155" s="3563" t="s">
        <v>4797</v>
      </c>
      <c r="G3155" s="3564">
        <v>101.04</v>
      </c>
      <c r="H3155" s="3564">
        <v>82.01</v>
      </c>
      <c r="I3155" s="3564">
        <v>19.03</v>
      </c>
      <c r="J3155" s="3565">
        <v>1018516</v>
      </c>
      <c r="K3155" s="3565">
        <v>10080.32</v>
      </c>
      <c r="L3155" s="3565">
        <v>12419.41</v>
      </c>
      <c r="M3155" s="3565">
        <v>0</v>
      </c>
      <c r="N3155" s="3565">
        <v>0</v>
      </c>
      <c r="O3155" s="3563" t="s">
        <v>3453</v>
      </c>
    </row>
    <row r="3156" spans="1:15">
      <c r="A3156" s="3563" t="s">
        <v>7378</v>
      </c>
      <c r="B3156" s="3563" t="s">
        <v>4196</v>
      </c>
      <c r="C3156" s="3563" t="s">
        <v>4197</v>
      </c>
      <c r="D3156" s="3563" t="s">
        <v>6429</v>
      </c>
      <c r="E3156" s="3563" t="s">
        <v>4609</v>
      </c>
      <c r="F3156" s="3563" t="s">
        <v>4797</v>
      </c>
      <c r="G3156" s="3564">
        <v>100.71</v>
      </c>
      <c r="H3156" s="3564">
        <v>81.739999999999995</v>
      </c>
      <c r="I3156" s="3564">
        <v>18.97</v>
      </c>
      <c r="J3156" s="3565">
        <v>1031260</v>
      </c>
      <c r="K3156" s="3565">
        <v>10239.9</v>
      </c>
      <c r="L3156" s="3565">
        <v>12616.34</v>
      </c>
      <c r="M3156" s="3565">
        <v>0</v>
      </c>
      <c r="N3156" s="3565">
        <v>0</v>
      </c>
      <c r="O3156" s="3563" t="s">
        <v>3453</v>
      </c>
    </row>
    <row r="3157" spans="1:15">
      <c r="A3157" s="3563" t="s">
        <v>7379</v>
      </c>
      <c r="B3157" s="3563" t="s">
        <v>4196</v>
      </c>
      <c r="C3157" s="3563" t="s">
        <v>4197</v>
      </c>
      <c r="D3157" s="3563" t="s">
        <v>6429</v>
      </c>
      <c r="E3157" s="3563" t="s">
        <v>4609</v>
      </c>
      <c r="F3157" s="3563" t="s">
        <v>4797</v>
      </c>
      <c r="G3157" s="3564">
        <v>100.71</v>
      </c>
      <c r="H3157" s="3564">
        <v>81.739999999999995</v>
      </c>
      <c r="I3157" s="3564">
        <v>18.97</v>
      </c>
      <c r="J3157" s="3565">
        <v>1031260</v>
      </c>
      <c r="K3157" s="3565">
        <v>10239.9</v>
      </c>
      <c r="L3157" s="3565">
        <v>12616.34</v>
      </c>
      <c r="M3157" s="3565">
        <v>0</v>
      </c>
      <c r="N3157" s="3565">
        <v>0</v>
      </c>
      <c r="O3157" s="3563" t="s">
        <v>3453</v>
      </c>
    </row>
    <row r="3158" spans="1:15">
      <c r="A3158" s="3563" t="s">
        <v>7380</v>
      </c>
      <c r="B3158" s="3563" t="s">
        <v>4196</v>
      </c>
      <c r="C3158" s="3563" t="s">
        <v>4197</v>
      </c>
      <c r="D3158" s="3563" t="s">
        <v>6429</v>
      </c>
      <c r="E3158" s="3563" t="s">
        <v>4609</v>
      </c>
      <c r="F3158" s="3563" t="s">
        <v>4797</v>
      </c>
      <c r="G3158" s="3564">
        <v>108.96</v>
      </c>
      <c r="H3158" s="3564">
        <v>88.44</v>
      </c>
      <c r="I3158" s="3564">
        <v>20.52</v>
      </c>
      <c r="J3158" s="3565">
        <v>1128490</v>
      </c>
      <c r="K3158" s="3565">
        <v>10356.92</v>
      </c>
      <c r="L3158" s="3565">
        <v>12759.95</v>
      </c>
      <c r="M3158" s="3565">
        <v>0</v>
      </c>
      <c r="N3158" s="3565">
        <v>0</v>
      </c>
      <c r="O3158" s="3563" t="s">
        <v>3453</v>
      </c>
    </row>
    <row r="3159" spans="1:15">
      <c r="A3159" s="3563" t="s">
        <v>7381</v>
      </c>
      <c r="B3159" s="3563" t="s">
        <v>4196</v>
      </c>
      <c r="C3159" s="3563" t="s">
        <v>4197</v>
      </c>
      <c r="D3159" s="3563" t="s">
        <v>6429</v>
      </c>
      <c r="E3159" s="3563" t="s">
        <v>4609</v>
      </c>
      <c r="F3159" s="3563" t="s">
        <v>4797</v>
      </c>
      <c r="G3159" s="3564">
        <v>87.47</v>
      </c>
      <c r="H3159" s="3564">
        <v>71</v>
      </c>
      <c r="I3159" s="3564">
        <v>16.47</v>
      </c>
      <c r="J3159" s="3565">
        <v>891962</v>
      </c>
      <c r="K3159" s="3565">
        <v>10197.35</v>
      </c>
      <c r="L3159" s="3565">
        <v>12562.85</v>
      </c>
      <c r="M3159" s="3565">
        <v>0</v>
      </c>
      <c r="N3159" s="3565">
        <v>0</v>
      </c>
      <c r="O3159" s="3563" t="s">
        <v>3453</v>
      </c>
    </row>
    <row r="3160" spans="1:15">
      <c r="A3160" s="3563" t="s">
        <v>7382</v>
      </c>
      <c r="B3160" s="3563" t="s">
        <v>4196</v>
      </c>
      <c r="C3160" s="3563" t="s">
        <v>4197</v>
      </c>
      <c r="D3160" s="3563" t="s">
        <v>6429</v>
      </c>
      <c r="E3160" s="3563" t="s">
        <v>4609</v>
      </c>
      <c r="F3160" s="3563" t="s">
        <v>4797</v>
      </c>
      <c r="G3160" s="3564">
        <v>87.47</v>
      </c>
      <c r="H3160" s="3564">
        <v>71</v>
      </c>
      <c r="I3160" s="3564">
        <v>16.47</v>
      </c>
      <c r="J3160" s="3565">
        <v>891962</v>
      </c>
      <c r="K3160" s="3565">
        <v>10197.35</v>
      </c>
      <c r="L3160" s="3565">
        <v>12562.85</v>
      </c>
      <c r="M3160" s="3565">
        <v>0</v>
      </c>
      <c r="N3160" s="3565">
        <v>0</v>
      </c>
      <c r="O3160" s="3563" t="s">
        <v>3453</v>
      </c>
    </row>
    <row r="3161" spans="1:15">
      <c r="A3161" s="3563" t="s">
        <v>7383</v>
      </c>
      <c r="B3161" s="3563" t="s">
        <v>4196</v>
      </c>
      <c r="C3161" s="3563" t="s">
        <v>4197</v>
      </c>
      <c r="D3161" s="3563" t="s">
        <v>6429</v>
      </c>
      <c r="E3161" s="3563" t="s">
        <v>4609</v>
      </c>
      <c r="F3161" s="3563" t="s">
        <v>4797</v>
      </c>
      <c r="G3161" s="3564">
        <v>101.04</v>
      </c>
      <c r="H3161" s="3564">
        <v>82.01</v>
      </c>
      <c r="I3161" s="3564">
        <v>19.03</v>
      </c>
      <c r="J3161" s="3565">
        <v>1019591</v>
      </c>
      <c r="K3161" s="3565">
        <v>10090.959999999999</v>
      </c>
      <c r="L3161" s="3565">
        <v>12432.52</v>
      </c>
      <c r="M3161" s="3565">
        <v>0</v>
      </c>
      <c r="N3161" s="3565">
        <v>0</v>
      </c>
      <c r="O3161" s="3563" t="s">
        <v>3453</v>
      </c>
    </row>
    <row r="3162" spans="1:15">
      <c r="A3162" s="3563" t="s">
        <v>7384</v>
      </c>
      <c r="B3162" s="3563" t="s">
        <v>4196</v>
      </c>
      <c r="C3162" s="3563" t="s">
        <v>4197</v>
      </c>
      <c r="D3162" s="3563" t="s">
        <v>6429</v>
      </c>
      <c r="E3162" s="3563" t="s">
        <v>4609</v>
      </c>
      <c r="F3162" s="3563" t="s">
        <v>4797</v>
      </c>
      <c r="G3162" s="3564">
        <v>100.71</v>
      </c>
      <c r="H3162" s="3564">
        <v>81.739999999999995</v>
      </c>
      <c r="I3162" s="3564">
        <v>18.97</v>
      </c>
      <c r="J3162" s="3565">
        <v>1032331</v>
      </c>
      <c r="K3162" s="3565">
        <v>10250.530000000001</v>
      </c>
      <c r="L3162" s="3565">
        <v>12629.45</v>
      </c>
      <c r="M3162" s="3565">
        <v>0</v>
      </c>
      <c r="N3162" s="3565">
        <v>0</v>
      </c>
      <c r="O3162" s="3563" t="s">
        <v>3453</v>
      </c>
    </row>
    <row r="3163" spans="1:15">
      <c r="A3163" s="3563" t="s">
        <v>7385</v>
      </c>
      <c r="B3163" s="3563" t="s">
        <v>4196</v>
      </c>
      <c r="C3163" s="3563" t="s">
        <v>4197</v>
      </c>
      <c r="D3163" s="3563" t="s">
        <v>6429</v>
      </c>
      <c r="E3163" s="3563" t="s">
        <v>4609</v>
      </c>
      <c r="F3163" s="3563" t="s">
        <v>4797</v>
      </c>
      <c r="G3163" s="3564">
        <v>100.71</v>
      </c>
      <c r="H3163" s="3564">
        <v>81.739999999999995</v>
      </c>
      <c r="I3163" s="3564">
        <v>18.97</v>
      </c>
      <c r="J3163" s="3565">
        <v>1032331</v>
      </c>
      <c r="K3163" s="3565">
        <v>10250.530000000001</v>
      </c>
      <c r="L3163" s="3565">
        <v>12629.45</v>
      </c>
      <c r="M3163" s="3565">
        <v>0</v>
      </c>
      <c r="N3163" s="3565">
        <v>0</v>
      </c>
      <c r="O3163" s="3563" t="s">
        <v>3453</v>
      </c>
    </row>
    <row r="3164" spans="1:15">
      <c r="A3164" s="3563" t="s">
        <v>7386</v>
      </c>
      <c r="B3164" s="3563" t="s">
        <v>4196</v>
      </c>
      <c r="C3164" s="3563" t="s">
        <v>4197</v>
      </c>
      <c r="D3164" s="3563" t="s">
        <v>6429</v>
      </c>
      <c r="E3164" s="3563" t="s">
        <v>4609</v>
      </c>
      <c r="F3164" s="3563" t="s">
        <v>4797</v>
      </c>
      <c r="G3164" s="3564">
        <v>108.96</v>
      </c>
      <c r="H3164" s="3564">
        <v>88.44</v>
      </c>
      <c r="I3164" s="3564">
        <v>20.52</v>
      </c>
      <c r="J3164" s="3565">
        <v>1129649</v>
      </c>
      <c r="K3164" s="3565">
        <v>10367.56</v>
      </c>
      <c r="L3164" s="3565">
        <v>12773.06</v>
      </c>
      <c r="M3164" s="3565">
        <v>0</v>
      </c>
      <c r="N3164" s="3565">
        <v>0</v>
      </c>
      <c r="O3164" s="3563" t="s">
        <v>3453</v>
      </c>
    </row>
    <row r="3165" spans="1:15">
      <c r="A3165" s="3563" t="s">
        <v>7387</v>
      </c>
      <c r="B3165" s="3563" t="s">
        <v>4196</v>
      </c>
      <c r="C3165" s="3563" t="s">
        <v>4197</v>
      </c>
      <c r="D3165" s="3563" t="s">
        <v>6429</v>
      </c>
      <c r="E3165" s="3563" t="s">
        <v>4609</v>
      </c>
      <c r="F3165" s="3563" t="s">
        <v>4797</v>
      </c>
      <c r="G3165" s="3564">
        <v>87.47</v>
      </c>
      <c r="H3165" s="3564">
        <v>71</v>
      </c>
      <c r="I3165" s="3564">
        <v>16.47</v>
      </c>
      <c r="J3165" s="3565">
        <v>892892</v>
      </c>
      <c r="K3165" s="3565">
        <v>10207.98</v>
      </c>
      <c r="L3165" s="3565">
        <v>12575.94</v>
      </c>
      <c r="M3165" s="3565">
        <v>0</v>
      </c>
      <c r="N3165" s="3565">
        <v>0</v>
      </c>
      <c r="O3165" s="3563" t="s">
        <v>3453</v>
      </c>
    </row>
    <row r="3166" spans="1:15">
      <c r="A3166" s="3563" t="s">
        <v>7388</v>
      </c>
      <c r="B3166" s="3563" t="s">
        <v>4196</v>
      </c>
      <c r="C3166" s="3563" t="s">
        <v>4197</v>
      </c>
      <c r="D3166" s="3563" t="s">
        <v>6429</v>
      </c>
      <c r="E3166" s="3563" t="s">
        <v>4609</v>
      </c>
      <c r="F3166" s="3563" t="s">
        <v>4797</v>
      </c>
      <c r="G3166" s="3564">
        <v>87.47</v>
      </c>
      <c r="H3166" s="3564">
        <v>71</v>
      </c>
      <c r="I3166" s="3564">
        <v>16.47</v>
      </c>
      <c r="J3166" s="3565">
        <v>892892</v>
      </c>
      <c r="K3166" s="3565">
        <v>10207.98</v>
      </c>
      <c r="L3166" s="3565">
        <v>12575.94</v>
      </c>
      <c r="M3166" s="3565">
        <v>0</v>
      </c>
      <c r="N3166" s="3565">
        <v>0</v>
      </c>
      <c r="O3166" s="3563" t="s">
        <v>3453</v>
      </c>
    </row>
    <row r="3167" spans="1:15">
      <c r="A3167" s="3563" t="s">
        <v>7389</v>
      </c>
      <c r="B3167" s="3563" t="s">
        <v>4196</v>
      </c>
      <c r="C3167" s="3563" t="s">
        <v>4197</v>
      </c>
      <c r="D3167" s="3563" t="s">
        <v>6429</v>
      </c>
      <c r="E3167" s="3563" t="s">
        <v>4609</v>
      </c>
      <c r="F3167" s="3563" t="s">
        <v>4797</v>
      </c>
      <c r="G3167" s="3564">
        <v>101.04</v>
      </c>
      <c r="H3167" s="3564">
        <v>82.01</v>
      </c>
      <c r="I3167" s="3564">
        <v>19.03</v>
      </c>
      <c r="J3167" s="3565">
        <v>1020665</v>
      </c>
      <c r="K3167" s="3565">
        <v>10101.59</v>
      </c>
      <c r="L3167" s="3565">
        <v>12445.62</v>
      </c>
      <c r="M3167" s="3565">
        <v>0</v>
      </c>
      <c r="N3167" s="3565">
        <v>0</v>
      </c>
      <c r="O3167" s="3563" t="s">
        <v>3453</v>
      </c>
    </row>
    <row r="3168" spans="1:15">
      <c r="A3168" s="3563" t="s">
        <v>7390</v>
      </c>
      <c r="B3168" s="3563" t="s">
        <v>4196</v>
      </c>
      <c r="C3168" s="3563" t="s">
        <v>4197</v>
      </c>
      <c r="D3168" s="3563" t="s">
        <v>6429</v>
      </c>
      <c r="E3168" s="3563" t="s">
        <v>4609</v>
      </c>
      <c r="F3168" s="3563" t="s">
        <v>4797</v>
      </c>
      <c r="G3168" s="3564">
        <v>100.71</v>
      </c>
      <c r="H3168" s="3564">
        <v>81.739999999999995</v>
      </c>
      <c r="I3168" s="3564">
        <v>18.97</v>
      </c>
      <c r="J3168" s="3565">
        <v>1054830</v>
      </c>
      <c r="K3168" s="3565">
        <v>10473.94</v>
      </c>
      <c r="L3168" s="3565">
        <v>12904.7</v>
      </c>
      <c r="M3168" s="3565">
        <v>0</v>
      </c>
      <c r="N3168" s="3565">
        <v>0</v>
      </c>
      <c r="O3168" s="3563" t="s">
        <v>3453</v>
      </c>
    </row>
    <row r="3169" spans="1:15">
      <c r="A3169" s="3563" t="s">
        <v>7391</v>
      </c>
      <c r="B3169" s="3563" t="s">
        <v>4196</v>
      </c>
      <c r="C3169" s="3563" t="s">
        <v>4197</v>
      </c>
      <c r="D3169" s="3563" t="s">
        <v>6429</v>
      </c>
      <c r="E3169" s="3563" t="s">
        <v>4609</v>
      </c>
      <c r="F3169" s="3563" t="s">
        <v>4797</v>
      </c>
      <c r="G3169" s="3564">
        <v>100.71</v>
      </c>
      <c r="H3169" s="3564">
        <v>81.739999999999995</v>
      </c>
      <c r="I3169" s="3564">
        <v>18.97</v>
      </c>
      <c r="J3169" s="3565">
        <v>1033403</v>
      </c>
      <c r="K3169" s="3565">
        <v>10261.18</v>
      </c>
      <c r="L3169" s="3565">
        <v>12642.56</v>
      </c>
      <c r="M3169" s="3565">
        <v>0</v>
      </c>
      <c r="N3169" s="3565">
        <v>0</v>
      </c>
      <c r="O3169" s="3563" t="s">
        <v>3453</v>
      </c>
    </row>
    <row r="3170" spans="1:15">
      <c r="A3170" s="3563" t="s">
        <v>7392</v>
      </c>
      <c r="B3170" s="3563" t="s">
        <v>4196</v>
      </c>
      <c r="C3170" s="3563" t="s">
        <v>4197</v>
      </c>
      <c r="D3170" s="3563" t="s">
        <v>6429</v>
      </c>
      <c r="E3170" s="3563" t="s">
        <v>4747</v>
      </c>
      <c r="F3170" s="3563" t="s">
        <v>4797</v>
      </c>
      <c r="G3170" s="3564">
        <v>98.85</v>
      </c>
      <c r="H3170" s="3564">
        <v>81.62</v>
      </c>
      <c r="I3170" s="3564">
        <v>17.23</v>
      </c>
      <c r="J3170" s="3565">
        <v>996440</v>
      </c>
      <c r="K3170" s="3565">
        <v>10080.32</v>
      </c>
      <c r="L3170" s="3565">
        <v>12208.28</v>
      </c>
      <c r="M3170" s="3565">
        <v>0</v>
      </c>
      <c r="N3170" s="3565">
        <v>0</v>
      </c>
      <c r="O3170" s="3563" t="s">
        <v>3453</v>
      </c>
    </row>
    <row r="3171" spans="1:15">
      <c r="A3171" s="3563" t="s">
        <v>7393</v>
      </c>
      <c r="B3171" s="3563" t="s">
        <v>4196</v>
      </c>
      <c r="C3171" s="3563" t="s">
        <v>4197</v>
      </c>
      <c r="D3171" s="3563" t="s">
        <v>6429</v>
      </c>
      <c r="E3171" s="3563" t="s">
        <v>4747</v>
      </c>
      <c r="F3171" s="3563" t="s">
        <v>4797</v>
      </c>
      <c r="G3171" s="3564">
        <v>98.85</v>
      </c>
      <c r="H3171" s="3564">
        <v>81.62</v>
      </c>
      <c r="I3171" s="3564">
        <v>17.23</v>
      </c>
      <c r="J3171" s="3565">
        <v>996440</v>
      </c>
      <c r="K3171" s="3565">
        <v>10080.32</v>
      </c>
      <c r="L3171" s="3565">
        <v>12208.28</v>
      </c>
      <c r="M3171" s="3565">
        <v>0</v>
      </c>
      <c r="N3171" s="3565">
        <v>0</v>
      </c>
      <c r="O3171" s="3563" t="s">
        <v>3453</v>
      </c>
    </row>
    <row r="3172" spans="1:15">
      <c r="A3172" s="3563" t="s">
        <v>7394</v>
      </c>
      <c r="B3172" s="3563" t="s">
        <v>4196</v>
      </c>
      <c r="C3172" s="3563" t="s">
        <v>4197</v>
      </c>
      <c r="D3172" s="3563" t="s">
        <v>6429</v>
      </c>
      <c r="E3172" s="3563" t="s">
        <v>4747</v>
      </c>
      <c r="F3172" s="3563" t="s">
        <v>4797</v>
      </c>
      <c r="G3172" s="3564">
        <v>93.39</v>
      </c>
      <c r="H3172" s="3564">
        <v>81.62</v>
      </c>
      <c r="I3172" s="3564">
        <v>11.77</v>
      </c>
      <c r="J3172" s="3565">
        <v>909609</v>
      </c>
      <c r="K3172" s="3565">
        <v>9739.9</v>
      </c>
      <c r="L3172" s="3565">
        <v>11144.44</v>
      </c>
      <c r="M3172" s="3565">
        <v>0</v>
      </c>
      <c r="N3172" s="3565">
        <v>0</v>
      </c>
      <c r="O3172" s="3563" t="s">
        <v>3453</v>
      </c>
    </row>
    <row r="3173" spans="1:15">
      <c r="A3173" s="3563" t="s">
        <v>7395</v>
      </c>
      <c r="B3173" s="3563" t="s">
        <v>4196</v>
      </c>
      <c r="C3173" s="3563" t="s">
        <v>4197</v>
      </c>
      <c r="D3173" s="3563" t="s">
        <v>6429</v>
      </c>
      <c r="E3173" s="3563" t="s">
        <v>4747</v>
      </c>
      <c r="F3173" s="3563" t="s">
        <v>4797</v>
      </c>
      <c r="G3173" s="3564">
        <v>93.39</v>
      </c>
      <c r="H3173" s="3564">
        <v>81.62</v>
      </c>
      <c r="I3173" s="3564">
        <v>11.77</v>
      </c>
      <c r="J3173" s="3565">
        <v>909609</v>
      </c>
      <c r="K3173" s="3565">
        <v>9739.9</v>
      </c>
      <c r="L3173" s="3565">
        <v>11144.44</v>
      </c>
      <c r="M3173" s="3565">
        <v>0</v>
      </c>
      <c r="N3173" s="3565">
        <v>0</v>
      </c>
      <c r="O3173" s="3563" t="s">
        <v>3453</v>
      </c>
    </row>
    <row r="3174" spans="1:15">
      <c r="A3174" s="3563" t="s">
        <v>7396</v>
      </c>
      <c r="B3174" s="3563" t="s">
        <v>4196</v>
      </c>
      <c r="C3174" s="3563" t="s">
        <v>4197</v>
      </c>
      <c r="D3174" s="3563" t="s">
        <v>6429</v>
      </c>
      <c r="E3174" s="3563" t="s">
        <v>4747</v>
      </c>
      <c r="F3174" s="3563" t="s">
        <v>4797</v>
      </c>
      <c r="G3174" s="3564">
        <v>114.45</v>
      </c>
      <c r="H3174" s="3564">
        <v>100.03</v>
      </c>
      <c r="I3174" s="3564">
        <v>14.42</v>
      </c>
      <c r="J3174" s="3565">
        <v>1114731</v>
      </c>
      <c r="K3174" s="3565">
        <v>9739.9</v>
      </c>
      <c r="L3174" s="3565">
        <v>11143.97</v>
      </c>
      <c r="M3174" s="3565">
        <v>0</v>
      </c>
      <c r="N3174" s="3565">
        <v>0</v>
      </c>
      <c r="O3174" s="3563" t="s">
        <v>3453</v>
      </c>
    </row>
    <row r="3175" spans="1:15">
      <c r="A3175" s="3563" t="s">
        <v>7397</v>
      </c>
      <c r="B3175" s="3563" t="s">
        <v>4196</v>
      </c>
      <c r="C3175" s="3563" t="s">
        <v>4197</v>
      </c>
      <c r="D3175" s="3563" t="s">
        <v>6429</v>
      </c>
      <c r="E3175" s="3563" t="s">
        <v>4747</v>
      </c>
      <c r="F3175" s="3563" t="s">
        <v>4797</v>
      </c>
      <c r="G3175" s="3564">
        <v>100.88</v>
      </c>
      <c r="H3175" s="3564">
        <v>81.62</v>
      </c>
      <c r="I3175" s="3564">
        <v>19.260000000000002</v>
      </c>
      <c r="J3175" s="3565">
        <v>1073782</v>
      </c>
      <c r="K3175" s="3565">
        <v>10644.15</v>
      </c>
      <c r="L3175" s="3565">
        <v>13155.87</v>
      </c>
      <c r="M3175" s="3565">
        <v>0</v>
      </c>
      <c r="N3175" s="3565">
        <v>0</v>
      </c>
      <c r="O3175" s="3563" t="s">
        <v>3453</v>
      </c>
    </row>
    <row r="3176" spans="1:15">
      <c r="A3176" s="3563" t="s">
        <v>7398</v>
      </c>
      <c r="B3176" s="3563" t="s">
        <v>4196</v>
      </c>
      <c r="C3176" s="3563" t="s">
        <v>4197</v>
      </c>
      <c r="D3176" s="3563" t="s">
        <v>6429</v>
      </c>
      <c r="E3176" s="3563" t="s">
        <v>4747</v>
      </c>
      <c r="F3176" s="3563" t="s">
        <v>4797</v>
      </c>
      <c r="G3176" s="3564">
        <v>100.88</v>
      </c>
      <c r="H3176" s="3564">
        <v>81.62</v>
      </c>
      <c r="I3176" s="3564">
        <v>19.260000000000002</v>
      </c>
      <c r="J3176" s="3565">
        <v>1073782</v>
      </c>
      <c r="K3176" s="3565">
        <v>10644.15</v>
      </c>
      <c r="L3176" s="3565">
        <v>13155.87</v>
      </c>
      <c r="M3176" s="3565">
        <v>0</v>
      </c>
      <c r="N3176" s="3565">
        <v>0</v>
      </c>
      <c r="O3176" s="3563" t="s">
        <v>3453</v>
      </c>
    </row>
    <row r="3177" spans="1:15">
      <c r="A3177" s="3563" t="s">
        <v>7399</v>
      </c>
      <c r="B3177" s="3563" t="s">
        <v>4196</v>
      </c>
      <c r="C3177" s="3563" t="s">
        <v>4197</v>
      </c>
      <c r="D3177" s="3563" t="s">
        <v>6429</v>
      </c>
      <c r="E3177" s="3563" t="s">
        <v>4747</v>
      </c>
      <c r="F3177" s="3563" t="s">
        <v>4797</v>
      </c>
      <c r="G3177" s="3564">
        <v>109.31</v>
      </c>
      <c r="H3177" s="3564">
        <v>88.44</v>
      </c>
      <c r="I3177" s="3564">
        <v>20.87</v>
      </c>
      <c r="J3177" s="3565">
        <v>1134441</v>
      </c>
      <c r="K3177" s="3565">
        <v>10378.200000000001</v>
      </c>
      <c r="L3177" s="3565">
        <v>12827.24</v>
      </c>
      <c r="M3177" s="3565">
        <v>0</v>
      </c>
      <c r="N3177" s="3565">
        <v>0</v>
      </c>
      <c r="O3177" s="3563" t="s">
        <v>3453</v>
      </c>
    </row>
    <row r="3178" spans="1:15">
      <c r="A3178" s="3563" t="s">
        <v>7400</v>
      </c>
      <c r="B3178" s="3563" t="s">
        <v>4196</v>
      </c>
      <c r="C3178" s="3563" t="s">
        <v>4197</v>
      </c>
      <c r="D3178" s="3563" t="s">
        <v>6429</v>
      </c>
      <c r="E3178" s="3563" t="s">
        <v>4747</v>
      </c>
      <c r="F3178" s="3563" t="s">
        <v>4797</v>
      </c>
      <c r="G3178" s="3564">
        <v>100.88</v>
      </c>
      <c r="H3178" s="3564">
        <v>81.62</v>
      </c>
      <c r="I3178" s="3564">
        <v>19.260000000000002</v>
      </c>
      <c r="J3178" s="3565">
        <v>1036221</v>
      </c>
      <c r="K3178" s="3565">
        <v>10271.82</v>
      </c>
      <c r="L3178" s="3565">
        <v>12695.68</v>
      </c>
      <c r="M3178" s="3565">
        <v>0</v>
      </c>
      <c r="N3178" s="3565">
        <v>0</v>
      </c>
      <c r="O3178" s="3563" t="s">
        <v>3453</v>
      </c>
    </row>
    <row r="3179" spans="1:15">
      <c r="A3179" s="3563" t="s">
        <v>7401</v>
      </c>
      <c r="B3179" s="3563" t="s">
        <v>4196</v>
      </c>
      <c r="C3179" s="3563" t="s">
        <v>4197</v>
      </c>
      <c r="D3179" s="3563" t="s">
        <v>6429</v>
      </c>
      <c r="E3179" s="3563" t="s">
        <v>4747</v>
      </c>
      <c r="F3179" s="3563" t="s">
        <v>4797</v>
      </c>
      <c r="G3179" s="3564">
        <v>100.88</v>
      </c>
      <c r="H3179" s="3564">
        <v>81.62</v>
      </c>
      <c r="I3179" s="3564">
        <v>19.260000000000002</v>
      </c>
      <c r="J3179" s="3565">
        <v>1036221</v>
      </c>
      <c r="K3179" s="3565">
        <v>10271.82</v>
      </c>
      <c r="L3179" s="3565">
        <v>12695.68</v>
      </c>
      <c r="M3179" s="3565">
        <v>0</v>
      </c>
      <c r="N3179" s="3565">
        <v>0</v>
      </c>
      <c r="O3179" s="3563" t="s">
        <v>3453</v>
      </c>
    </row>
    <row r="3180" spans="1:15">
      <c r="A3180" s="3563" t="s">
        <v>7402</v>
      </c>
      <c r="B3180" s="3563" t="s">
        <v>4196</v>
      </c>
      <c r="C3180" s="3563" t="s">
        <v>4197</v>
      </c>
      <c r="D3180" s="3563" t="s">
        <v>6429</v>
      </c>
      <c r="E3180" s="3563" t="s">
        <v>4747</v>
      </c>
      <c r="F3180" s="3563" t="s">
        <v>4797</v>
      </c>
      <c r="G3180" s="3564">
        <v>123.64</v>
      </c>
      <c r="H3180" s="3564">
        <v>100.03</v>
      </c>
      <c r="I3180" s="3564">
        <v>23.61</v>
      </c>
      <c r="J3180" s="3565">
        <v>1289737</v>
      </c>
      <c r="K3180" s="3565">
        <v>10431.39</v>
      </c>
      <c r="L3180" s="3565">
        <v>12893.5</v>
      </c>
      <c r="M3180" s="3565">
        <v>0</v>
      </c>
      <c r="N3180" s="3565">
        <v>0</v>
      </c>
      <c r="O3180" s="3563" t="s">
        <v>3453</v>
      </c>
    </row>
    <row r="3181" spans="1:15">
      <c r="A3181" s="3563" t="s">
        <v>7403</v>
      </c>
      <c r="B3181" s="3563" t="s">
        <v>4196</v>
      </c>
      <c r="C3181" s="3563" t="s">
        <v>4197</v>
      </c>
      <c r="D3181" s="3563" t="s">
        <v>6429</v>
      </c>
      <c r="E3181" s="3563" t="s">
        <v>4747</v>
      </c>
      <c r="F3181" s="3563" t="s">
        <v>4797</v>
      </c>
      <c r="G3181" s="3564">
        <v>100.88</v>
      </c>
      <c r="H3181" s="3564">
        <v>81.62</v>
      </c>
      <c r="I3181" s="3564">
        <v>19.260000000000002</v>
      </c>
      <c r="J3181" s="3565">
        <v>1074856</v>
      </c>
      <c r="K3181" s="3565">
        <v>10654.8</v>
      </c>
      <c r="L3181" s="3565">
        <v>13169.03</v>
      </c>
      <c r="M3181" s="3565">
        <v>0</v>
      </c>
      <c r="N3181" s="3565">
        <v>0</v>
      </c>
      <c r="O3181" s="3563" t="s">
        <v>3453</v>
      </c>
    </row>
    <row r="3182" spans="1:15">
      <c r="A3182" s="3563" t="s">
        <v>7404</v>
      </c>
      <c r="B3182" s="3563" t="s">
        <v>4196</v>
      </c>
      <c r="C3182" s="3563" t="s">
        <v>4197</v>
      </c>
      <c r="D3182" s="3563" t="s">
        <v>6429</v>
      </c>
      <c r="E3182" s="3563" t="s">
        <v>4747</v>
      </c>
      <c r="F3182" s="3563" t="s">
        <v>4797</v>
      </c>
      <c r="G3182" s="3564">
        <v>100.88</v>
      </c>
      <c r="H3182" s="3564">
        <v>81.62</v>
      </c>
      <c r="I3182" s="3564">
        <v>19.260000000000002</v>
      </c>
      <c r="J3182" s="3565">
        <v>1074856</v>
      </c>
      <c r="K3182" s="3565">
        <v>10654.8</v>
      </c>
      <c r="L3182" s="3565">
        <v>13169.03</v>
      </c>
      <c r="M3182" s="3565">
        <v>0</v>
      </c>
      <c r="N3182" s="3565">
        <v>0</v>
      </c>
      <c r="O3182" s="3563" t="s">
        <v>3453</v>
      </c>
    </row>
    <row r="3183" spans="1:15">
      <c r="A3183" s="3563" t="s">
        <v>7405</v>
      </c>
      <c r="B3183" s="3563" t="s">
        <v>4196</v>
      </c>
      <c r="C3183" s="3563" t="s">
        <v>4197</v>
      </c>
      <c r="D3183" s="3563" t="s">
        <v>6429</v>
      </c>
      <c r="E3183" s="3563" t="s">
        <v>4747</v>
      </c>
      <c r="F3183" s="3563" t="s">
        <v>4797</v>
      </c>
      <c r="G3183" s="3564">
        <v>109.31</v>
      </c>
      <c r="H3183" s="3564">
        <v>88.44</v>
      </c>
      <c r="I3183" s="3564">
        <v>20.87</v>
      </c>
      <c r="J3183" s="3565">
        <v>1135604</v>
      </c>
      <c r="K3183" s="3565">
        <v>10388.84</v>
      </c>
      <c r="L3183" s="3565">
        <v>12840.39</v>
      </c>
      <c r="M3183" s="3565">
        <v>0</v>
      </c>
      <c r="N3183" s="3565">
        <v>0</v>
      </c>
      <c r="O3183" s="3563" t="s">
        <v>3453</v>
      </c>
    </row>
    <row r="3184" spans="1:15">
      <c r="A3184" s="3563" t="s">
        <v>7406</v>
      </c>
      <c r="B3184" s="3563" t="s">
        <v>4196</v>
      </c>
      <c r="C3184" s="3563" t="s">
        <v>4197</v>
      </c>
      <c r="D3184" s="3563" t="s">
        <v>6429</v>
      </c>
      <c r="E3184" s="3563" t="s">
        <v>4747</v>
      </c>
      <c r="F3184" s="3563" t="s">
        <v>4797</v>
      </c>
      <c r="G3184" s="3564">
        <v>100.88</v>
      </c>
      <c r="H3184" s="3564">
        <v>81.62</v>
      </c>
      <c r="I3184" s="3564">
        <v>19.260000000000002</v>
      </c>
      <c r="J3184" s="3565">
        <v>1037294</v>
      </c>
      <c r="K3184" s="3565">
        <v>10282.450000000001</v>
      </c>
      <c r="L3184" s="3565">
        <v>12708.82</v>
      </c>
      <c r="M3184" s="3565">
        <v>0</v>
      </c>
      <c r="N3184" s="3565">
        <v>0</v>
      </c>
      <c r="O3184" s="3563" t="s">
        <v>3453</v>
      </c>
    </row>
    <row r="3185" spans="1:15">
      <c r="A3185" s="3563" t="s">
        <v>7407</v>
      </c>
      <c r="B3185" s="3563" t="s">
        <v>4196</v>
      </c>
      <c r="C3185" s="3563" t="s">
        <v>4197</v>
      </c>
      <c r="D3185" s="3563" t="s">
        <v>6429</v>
      </c>
      <c r="E3185" s="3563" t="s">
        <v>4747</v>
      </c>
      <c r="F3185" s="3563" t="s">
        <v>4797</v>
      </c>
      <c r="G3185" s="3564">
        <v>100.88</v>
      </c>
      <c r="H3185" s="3564">
        <v>81.62</v>
      </c>
      <c r="I3185" s="3564">
        <v>19.260000000000002</v>
      </c>
      <c r="J3185" s="3565">
        <v>1037294</v>
      </c>
      <c r="K3185" s="3565">
        <v>10282.450000000001</v>
      </c>
      <c r="L3185" s="3565">
        <v>12708.82</v>
      </c>
      <c r="M3185" s="3565">
        <v>0</v>
      </c>
      <c r="N3185" s="3565">
        <v>0</v>
      </c>
      <c r="O3185" s="3563" t="s">
        <v>3453</v>
      </c>
    </row>
    <row r="3186" spans="1:15">
      <c r="A3186" s="3563" t="s">
        <v>7408</v>
      </c>
      <c r="B3186" s="3563" t="s">
        <v>4196</v>
      </c>
      <c r="C3186" s="3563" t="s">
        <v>4197</v>
      </c>
      <c r="D3186" s="3563" t="s">
        <v>6429</v>
      </c>
      <c r="E3186" s="3563" t="s">
        <v>4747</v>
      </c>
      <c r="F3186" s="3563" t="s">
        <v>4797</v>
      </c>
      <c r="G3186" s="3564">
        <v>123.64</v>
      </c>
      <c r="H3186" s="3564">
        <v>100.03</v>
      </c>
      <c r="I3186" s="3564">
        <v>23.61</v>
      </c>
      <c r="J3186" s="3565">
        <v>1291052</v>
      </c>
      <c r="K3186" s="3565">
        <v>10442.030000000001</v>
      </c>
      <c r="L3186" s="3565">
        <v>12906.65</v>
      </c>
      <c r="M3186" s="3565">
        <v>0</v>
      </c>
      <c r="N3186" s="3565">
        <v>0</v>
      </c>
      <c r="O3186" s="3563" t="s">
        <v>3453</v>
      </c>
    </row>
    <row r="3187" spans="1:15">
      <c r="A3187" s="3563" t="s">
        <v>7409</v>
      </c>
      <c r="B3187" s="3563" t="s">
        <v>4196</v>
      </c>
      <c r="C3187" s="3563" t="s">
        <v>4197</v>
      </c>
      <c r="D3187" s="3563" t="s">
        <v>6429</v>
      </c>
      <c r="E3187" s="3563" t="s">
        <v>4747</v>
      </c>
      <c r="F3187" s="3563" t="s">
        <v>4797</v>
      </c>
      <c r="G3187" s="3564">
        <v>100.88</v>
      </c>
      <c r="H3187" s="3564">
        <v>81.62</v>
      </c>
      <c r="I3187" s="3564">
        <v>19.260000000000002</v>
      </c>
      <c r="J3187" s="3565">
        <v>1075928</v>
      </c>
      <c r="K3187" s="3565">
        <v>10665.42</v>
      </c>
      <c r="L3187" s="3565">
        <v>13182.16</v>
      </c>
      <c r="M3187" s="3565">
        <v>0</v>
      </c>
      <c r="N3187" s="3565">
        <v>0</v>
      </c>
      <c r="O3187" s="3563" t="s">
        <v>3453</v>
      </c>
    </row>
    <row r="3188" spans="1:15">
      <c r="A3188" s="3563" t="s">
        <v>7410</v>
      </c>
      <c r="B3188" s="3563" t="s">
        <v>4196</v>
      </c>
      <c r="C3188" s="3563" t="s">
        <v>4197</v>
      </c>
      <c r="D3188" s="3563" t="s">
        <v>6429</v>
      </c>
      <c r="E3188" s="3563" t="s">
        <v>4747</v>
      </c>
      <c r="F3188" s="3563" t="s">
        <v>4797</v>
      </c>
      <c r="G3188" s="3564">
        <v>100.88</v>
      </c>
      <c r="H3188" s="3564">
        <v>81.62</v>
      </c>
      <c r="I3188" s="3564">
        <v>19.260000000000002</v>
      </c>
      <c r="J3188" s="3565">
        <v>1075928</v>
      </c>
      <c r="K3188" s="3565">
        <v>10665.42</v>
      </c>
      <c r="L3188" s="3565">
        <v>13182.16</v>
      </c>
      <c r="M3188" s="3565">
        <v>0</v>
      </c>
      <c r="N3188" s="3565">
        <v>0</v>
      </c>
      <c r="O3188" s="3563" t="s">
        <v>3453</v>
      </c>
    </row>
    <row r="3189" spans="1:15">
      <c r="A3189" s="3563" t="s">
        <v>7411</v>
      </c>
      <c r="B3189" s="3563" t="s">
        <v>4196</v>
      </c>
      <c r="C3189" s="3563" t="s">
        <v>4197</v>
      </c>
      <c r="D3189" s="3563" t="s">
        <v>6429</v>
      </c>
      <c r="E3189" s="3563" t="s">
        <v>4747</v>
      </c>
      <c r="F3189" s="3563" t="s">
        <v>4797</v>
      </c>
      <c r="G3189" s="3564">
        <v>109.31</v>
      </c>
      <c r="H3189" s="3564">
        <v>88.44</v>
      </c>
      <c r="I3189" s="3564">
        <v>20.87</v>
      </c>
      <c r="J3189" s="3565">
        <v>1136766</v>
      </c>
      <c r="K3189" s="3565">
        <v>10399.469999999999</v>
      </c>
      <c r="L3189" s="3565">
        <v>12853.53</v>
      </c>
      <c r="M3189" s="3565">
        <v>0</v>
      </c>
      <c r="N3189" s="3565">
        <v>0</v>
      </c>
      <c r="O3189" s="3563" t="s">
        <v>3453</v>
      </c>
    </row>
    <row r="3190" spans="1:15">
      <c r="A3190" s="3563" t="s">
        <v>7412</v>
      </c>
      <c r="B3190" s="3563" t="s">
        <v>4196</v>
      </c>
      <c r="C3190" s="3563" t="s">
        <v>4197</v>
      </c>
      <c r="D3190" s="3563" t="s">
        <v>6429</v>
      </c>
      <c r="E3190" s="3563" t="s">
        <v>4747</v>
      </c>
      <c r="F3190" s="3563" t="s">
        <v>4797</v>
      </c>
      <c r="G3190" s="3564">
        <v>100.88</v>
      </c>
      <c r="H3190" s="3564">
        <v>81.62</v>
      </c>
      <c r="I3190" s="3564">
        <v>19.260000000000002</v>
      </c>
      <c r="J3190" s="3565">
        <v>1038366</v>
      </c>
      <c r="K3190" s="3565">
        <v>10293.08</v>
      </c>
      <c r="L3190" s="3565">
        <v>12721.96</v>
      </c>
      <c r="M3190" s="3565">
        <v>0</v>
      </c>
      <c r="N3190" s="3565">
        <v>0</v>
      </c>
      <c r="O3190" s="3563" t="s">
        <v>3453</v>
      </c>
    </row>
    <row r="3191" spans="1:15">
      <c r="A3191" s="3563" t="s">
        <v>7413</v>
      </c>
      <c r="B3191" s="3563" t="s">
        <v>4196</v>
      </c>
      <c r="C3191" s="3563" t="s">
        <v>4197</v>
      </c>
      <c r="D3191" s="3563" t="s">
        <v>6429</v>
      </c>
      <c r="E3191" s="3563" t="s">
        <v>4747</v>
      </c>
      <c r="F3191" s="3563" t="s">
        <v>4797</v>
      </c>
      <c r="G3191" s="3564">
        <v>100.88</v>
      </c>
      <c r="H3191" s="3564">
        <v>81.62</v>
      </c>
      <c r="I3191" s="3564">
        <v>19.260000000000002</v>
      </c>
      <c r="J3191" s="3565">
        <v>1038366</v>
      </c>
      <c r="K3191" s="3565">
        <v>10293.08</v>
      </c>
      <c r="L3191" s="3565">
        <v>12721.96</v>
      </c>
      <c r="M3191" s="3565">
        <v>0</v>
      </c>
      <c r="N3191" s="3565">
        <v>0</v>
      </c>
      <c r="O3191" s="3563" t="s">
        <v>3453</v>
      </c>
    </row>
    <row r="3192" spans="1:15">
      <c r="A3192" s="3563" t="s">
        <v>7414</v>
      </c>
      <c r="B3192" s="3563" t="s">
        <v>4196</v>
      </c>
      <c r="C3192" s="3563" t="s">
        <v>4197</v>
      </c>
      <c r="D3192" s="3563" t="s">
        <v>6429</v>
      </c>
      <c r="E3192" s="3563" t="s">
        <v>4747</v>
      </c>
      <c r="F3192" s="3563" t="s">
        <v>4797</v>
      </c>
      <c r="G3192" s="3564">
        <v>123.64</v>
      </c>
      <c r="H3192" s="3564">
        <v>100.03</v>
      </c>
      <c r="I3192" s="3564">
        <v>23.61</v>
      </c>
      <c r="J3192" s="3565">
        <v>1292368</v>
      </c>
      <c r="K3192" s="3565">
        <v>10452.67</v>
      </c>
      <c r="L3192" s="3565">
        <v>12919.8</v>
      </c>
      <c r="M3192" s="3565">
        <v>0</v>
      </c>
      <c r="N3192" s="3565">
        <v>0</v>
      </c>
      <c r="O3192" s="3563" t="s">
        <v>3453</v>
      </c>
    </row>
    <row r="3193" spans="1:15">
      <c r="A3193" s="3563" t="s">
        <v>7415</v>
      </c>
      <c r="B3193" s="3563" t="s">
        <v>4196</v>
      </c>
      <c r="C3193" s="3563" t="s">
        <v>4197</v>
      </c>
      <c r="D3193" s="3563" t="s">
        <v>6429</v>
      </c>
      <c r="E3193" s="3563" t="s">
        <v>4747</v>
      </c>
      <c r="F3193" s="3563" t="s">
        <v>4797</v>
      </c>
      <c r="G3193" s="3564">
        <v>100.88</v>
      </c>
      <c r="H3193" s="3564">
        <v>81.62</v>
      </c>
      <c r="I3193" s="3564">
        <v>19.260000000000002</v>
      </c>
      <c r="J3193" s="3565">
        <v>1077002</v>
      </c>
      <c r="K3193" s="3565">
        <v>10676.07</v>
      </c>
      <c r="L3193" s="3565">
        <v>13195.32</v>
      </c>
      <c r="M3193" s="3565">
        <v>0</v>
      </c>
      <c r="N3193" s="3565">
        <v>0</v>
      </c>
      <c r="O3193" s="3563" t="s">
        <v>3453</v>
      </c>
    </row>
    <row r="3194" spans="1:15">
      <c r="A3194" s="3563" t="s">
        <v>7416</v>
      </c>
      <c r="B3194" s="3563" t="s">
        <v>4196</v>
      </c>
      <c r="C3194" s="3563" t="s">
        <v>4197</v>
      </c>
      <c r="D3194" s="3563" t="s">
        <v>6429</v>
      </c>
      <c r="E3194" s="3563" t="s">
        <v>4747</v>
      </c>
      <c r="F3194" s="3563" t="s">
        <v>4797</v>
      </c>
      <c r="G3194" s="3564">
        <v>100.88</v>
      </c>
      <c r="H3194" s="3564">
        <v>81.62</v>
      </c>
      <c r="I3194" s="3564">
        <v>19.260000000000002</v>
      </c>
      <c r="J3194" s="3565">
        <v>1077002</v>
      </c>
      <c r="K3194" s="3565">
        <v>10676.07</v>
      </c>
      <c r="L3194" s="3565">
        <v>13195.32</v>
      </c>
      <c r="M3194" s="3565">
        <v>0</v>
      </c>
      <c r="N3194" s="3565">
        <v>0</v>
      </c>
      <c r="O3194" s="3563" t="s">
        <v>3453</v>
      </c>
    </row>
    <row r="3195" spans="1:15">
      <c r="A3195" s="3563" t="s">
        <v>7417</v>
      </c>
      <c r="B3195" s="3563" t="s">
        <v>4196</v>
      </c>
      <c r="C3195" s="3563" t="s">
        <v>4197</v>
      </c>
      <c r="D3195" s="3563" t="s">
        <v>6429</v>
      </c>
      <c r="E3195" s="3563" t="s">
        <v>4747</v>
      </c>
      <c r="F3195" s="3563" t="s">
        <v>4797</v>
      </c>
      <c r="G3195" s="3564">
        <v>109.31</v>
      </c>
      <c r="H3195" s="3564">
        <v>88.44</v>
      </c>
      <c r="I3195" s="3564">
        <v>20.87</v>
      </c>
      <c r="J3195" s="3565">
        <v>1137929</v>
      </c>
      <c r="K3195" s="3565">
        <v>10410.11</v>
      </c>
      <c r="L3195" s="3565">
        <v>12866.68</v>
      </c>
      <c r="M3195" s="3565">
        <v>0</v>
      </c>
      <c r="N3195" s="3565">
        <v>0</v>
      </c>
      <c r="O3195" s="3563" t="s">
        <v>3453</v>
      </c>
    </row>
    <row r="3196" spans="1:15">
      <c r="A3196" s="3563" t="s">
        <v>7418</v>
      </c>
      <c r="B3196" s="3563" t="s">
        <v>4196</v>
      </c>
      <c r="C3196" s="3563" t="s">
        <v>4197</v>
      </c>
      <c r="D3196" s="3563" t="s">
        <v>6429</v>
      </c>
      <c r="E3196" s="3563" t="s">
        <v>4747</v>
      </c>
      <c r="F3196" s="3563" t="s">
        <v>4797</v>
      </c>
      <c r="G3196" s="3564">
        <v>100.88</v>
      </c>
      <c r="H3196" s="3564">
        <v>81.62</v>
      </c>
      <c r="I3196" s="3564">
        <v>19.260000000000002</v>
      </c>
      <c r="J3196" s="3565">
        <v>1039440</v>
      </c>
      <c r="K3196" s="3565">
        <v>10303.73</v>
      </c>
      <c r="L3196" s="3565">
        <v>12735.11</v>
      </c>
      <c r="M3196" s="3565">
        <v>0</v>
      </c>
      <c r="N3196" s="3565">
        <v>0</v>
      </c>
      <c r="O3196" s="3563" t="s">
        <v>3453</v>
      </c>
    </row>
    <row r="3197" spans="1:15">
      <c r="A3197" s="3563" t="s">
        <v>7419</v>
      </c>
      <c r="B3197" s="3563" t="s">
        <v>4196</v>
      </c>
      <c r="C3197" s="3563" t="s">
        <v>4197</v>
      </c>
      <c r="D3197" s="3563" t="s">
        <v>6429</v>
      </c>
      <c r="E3197" s="3563" t="s">
        <v>4747</v>
      </c>
      <c r="F3197" s="3563" t="s">
        <v>4797</v>
      </c>
      <c r="G3197" s="3564">
        <v>100.88</v>
      </c>
      <c r="H3197" s="3564">
        <v>81.62</v>
      </c>
      <c r="I3197" s="3564">
        <v>19.260000000000002</v>
      </c>
      <c r="J3197" s="3565">
        <v>1039440</v>
      </c>
      <c r="K3197" s="3565">
        <v>10303.73</v>
      </c>
      <c r="L3197" s="3565">
        <v>12735.11</v>
      </c>
      <c r="M3197" s="3565">
        <v>0</v>
      </c>
      <c r="N3197" s="3565">
        <v>0</v>
      </c>
      <c r="O3197" s="3563" t="s">
        <v>3453</v>
      </c>
    </row>
    <row r="3198" spans="1:15">
      <c r="A3198" s="3563" t="s">
        <v>7420</v>
      </c>
      <c r="B3198" s="3563" t="s">
        <v>4196</v>
      </c>
      <c r="C3198" s="3563" t="s">
        <v>4197</v>
      </c>
      <c r="D3198" s="3563" t="s">
        <v>6429</v>
      </c>
      <c r="E3198" s="3563" t="s">
        <v>4747</v>
      </c>
      <c r="F3198" s="3563" t="s">
        <v>4797</v>
      </c>
      <c r="G3198" s="3564">
        <v>123.64</v>
      </c>
      <c r="H3198" s="3564">
        <v>100.03</v>
      </c>
      <c r="I3198" s="3564">
        <v>23.61</v>
      </c>
      <c r="J3198" s="3565">
        <v>1293682</v>
      </c>
      <c r="K3198" s="3565">
        <v>10463.299999999999</v>
      </c>
      <c r="L3198" s="3565">
        <v>12932.94</v>
      </c>
      <c r="M3198" s="3565">
        <v>0</v>
      </c>
      <c r="N3198" s="3565">
        <v>0</v>
      </c>
      <c r="O3198" s="3563" t="s">
        <v>3453</v>
      </c>
    </row>
    <row r="3199" spans="1:15">
      <c r="A3199" s="3563" t="s">
        <v>7421</v>
      </c>
      <c r="B3199" s="3563" t="s">
        <v>4196</v>
      </c>
      <c r="C3199" s="3563" t="s">
        <v>4197</v>
      </c>
      <c r="D3199" s="3563" t="s">
        <v>6429</v>
      </c>
      <c r="E3199" s="3563" t="s">
        <v>4747</v>
      </c>
      <c r="F3199" s="3563" t="s">
        <v>4797</v>
      </c>
      <c r="G3199" s="3564">
        <v>100.88</v>
      </c>
      <c r="H3199" s="3564">
        <v>81.62</v>
      </c>
      <c r="I3199" s="3564">
        <v>19.260000000000002</v>
      </c>
      <c r="J3199" s="3565">
        <v>1067343</v>
      </c>
      <c r="K3199" s="3565">
        <v>10580.32</v>
      </c>
      <c r="L3199" s="3565">
        <v>13076.98</v>
      </c>
      <c r="M3199" s="3565">
        <v>0</v>
      </c>
      <c r="N3199" s="3565">
        <v>0</v>
      </c>
      <c r="O3199" s="3563" t="s">
        <v>3453</v>
      </c>
    </row>
    <row r="3200" spans="1:15">
      <c r="A3200" s="3563" t="s">
        <v>7422</v>
      </c>
      <c r="B3200" s="3563" t="s">
        <v>4196</v>
      </c>
      <c r="C3200" s="3563" t="s">
        <v>4197</v>
      </c>
      <c r="D3200" s="3563" t="s">
        <v>6429</v>
      </c>
      <c r="E3200" s="3563" t="s">
        <v>4747</v>
      </c>
      <c r="F3200" s="3563" t="s">
        <v>4797</v>
      </c>
      <c r="G3200" s="3564">
        <v>100.88</v>
      </c>
      <c r="H3200" s="3564">
        <v>81.62</v>
      </c>
      <c r="I3200" s="3564">
        <v>19.260000000000002</v>
      </c>
      <c r="J3200" s="3565">
        <v>1067343</v>
      </c>
      <c r="K3200" s="3565">
        <v>10580.32</v>
      </c>
      <c r="L3200" s="3565">
        <v>13076.98</v>
      </c>
      <c r="M3200" s="3565">
        <v>0</v>
      </c>
      <c r="N3200" s="3565">
        <v>0</v>
      </c>
      <c r="O3200" s="3563" t="s">
        <v>3453</v>
      </c>
    </row>
    <row r="3201" spans="1:15">
      <c r="A3201" s="3563" t="s">
        <v>7423</v>
      </c>
      <c r="B3201" s="3563" t="s">
        <v>4196</v>
      </c>
      <c r="C3201" s="3563" t="s">
        <v>4197</v>
      </c>
      <c r="D3201" s="3563" t="s">
        <v>6429</v>
      </c>
      <c r="E3201" s="3563" t="s">
        <v>4747</v>
      </c>
      <c r="F3201" s="3563" t="s">
        <v>4797</v>
      </c>
      <c r="G3201" s="3564">
        <v>109.31</v>
      </c>
      <c r="H3201" s="3564">
        <v>88.44</v>
      </c>
      <c r="I3201" s="3564">
        <v>20.87</v>
      </c>
      <c r="J3201" s="3565">
        <v>1127463</v>
      </c>
      <c r="K3201" s="3565">
        <v>10314.36</v>
      </c>
      <c r="L3201" s="3565">
        <v>12748.34</v>
      </c>
      <c r="M3201" s="3565">
        <v>0</v>
      </c>
      <c r="N3201" s="3565">
        <v>0</v>
      </c>
      <c r="O3201" s="3563" t="s">
        <v>3453</v>
      </c>
    </row>
    <row r="3202" spans="1:15">
      <c r="A3202" s="3563" t="s">
        <v>7424</v>
      </c>
      <c r="B3202" s="3563" t="s">
        <v>4196</v>
      </c>
      <c r="C3202" s="3563" t="s">
        <v>4197</v>
      </c>
      <c r="D3202" s="3563" t="s">
        <v>6429</v>
      </c>
      <c r="E3202" s="3563" t="s">
        <v>4747</v>
      </c>
      <c r="F3202" s="3563" t="s">
        <v>4797</v>
      </c>
      <c r="G3202" s="3564">
        <v>100.88</v>
      </c>
      <c r="H3202" s="3564">
        <v>81.62</v>
      </c>
      <c r="I3202" s="3564">
        <v>19.260000000000002</v>
      </c>
      <c r="J3202" s="3565">
        <v>1029781</v>
      </c>
      <c r="K3202" s="3565">
        <v>10207.98</v>
      </c>
      <c r="L3202" s="3565">
        <v>12616.77</v>
      </c>
      <c r="M3202" s="3565">
        <v>0</v>
      </c>
      <c r="N3202" s="3565">
        <v>0</v>
      </c>
      <c r="O3202" s="3563" t="s">
        <v>3453</v>
      </c>
    </row>
    <row r="3203" spans="1:15">
      <c r="A3203" s="3563" t="s">
        <v>7425</v>
      </c>
      <c r="B3203" s="3563" t="s">
        <v>4196</v>
      </c>
      <c r="C3203" s="3563" t="s">
        <v>4197</v>
      </c>
      <c r="D3203" s="3563" t="s">
        <v>6429</v>
      </c>
      <c r="E3203" s="3563" t="s">
        <v>4747</v>
      </c>
      <c r="F3203" s="3563" t="s">
        <v>4797</v>
      </c>
      <c r="G3203" s="3564">
        <v>100.88</v>
      </c>
      <c r="H3203" s="3564">
        <v>81.62</v>
      </c>
      <c r="I3203" s="3564">
        <v>19.260000000000002</v>
      </c>
      <c r="J3203" s="3565">
        <v>1029781</v>
      </c>
      <c r="K3203" s="3565">
        <v>10207.98</v>
      </c>
      <c r="L3203" s="3565">
        <v>12616.77</v>
      </c>
      <c r="M3203" s="3565">
        <v>0</v>
      </c>
      <c r="N3203" s="3565">
        <v>0</v>
      </c>
      <c r="O3203" s="3563" t="s">
        <v>3453</v>
      </c>
    </row>
    <row r="3204" spans="1:15">
      <c r="A3204" s="3563" t="s">
        <v>7426</v>
      </c>
      <c r="B3204" s="3563" t="s">
        <v>4196</v>
      </c>
      <c r="C3204" s="3563" t="s">
        <v>4197</v>
      </c>
      <c r="D3204" s="3563" t="s">
        <v>6429</v>
      </c>
      <c r="E3204" s="3563" t="s">
        <v>4747</v>
      </c>
      <c r="F3204" s="3563" t="s">
        <v>4797</v>
      </c>
      <c r="G3204" s="3564">
        <v>123.64</v>
      </c>
      <c r="H3204" s="3564">
        <v>100.03</v>
      </c>
      <c r="I3204" s="3564">
        <v>23.61</v>
      </c>
      <c r="J3204" s="3565">
        <v>1281845</v>
      </c>
      <c r="K3204" s="3565">
        <v>10367.56</v>
      </c>
      <c r="L3204" s="3565">
        <v>12814.61</v>
      </c>
      <c r="M3204" s="3565">
        <v>0</v>
      </c>
      <c r="N3204" s="3565">
        <v>0</v>
      </c>
      <c r="O3204" s="3563" t="s">
        <v>3453</v>
      </c>
    </row>
    <row r="3205" spans="1:15">
      <c r="A3205" s="3563" t="s">
        <v>7427</v>
      </c>
      <c r="B3205" s="3563" t="s">
        <v>4196</v>
      </c>
      <c r="C3205" s="3563" t="s">
        <v>4197</v>
      </c>
      <c r="D3205" s="3563" t="s">
        <v>6429</v>
      </c>
      <c r="E3205" s="3563" t="s">
        <v>4747</v>
      </c>
      <c r="F3205" s="3563" t="s">
        <v>4797</v>
      </c>
      <c r="G3205" s="3564">
        <v>100.88</v>
      </c>
      <c r="H3205" s="3564">
        <v>81.62</v>
      </c>
      <c r="I3205" s="3564">
        <v>19.260000000000002</v>
      </c>
      <c r="J3205" s="3565">
        <v>1079148</v>
      </c>
      <c r="K3205" s="3565">
        <v>10697.34</v>
      </c>
      <c r="L3205" s="3565">
        <v>13221.61</v>
      </c>
      <c r="M3205" s="3565">
        <v>0</v>
      </c>
      <c r="N3205" s="3565">
        <v>0</v>
      </c>
      <c r="O3205" s="3563" t="s">
        <v>3453</v>
      </c>
    </row>
    <row r="3206" spans="1:15">
      <c r="A3206" s="3563" t="s">
        <v>7428</v>
      </c>
      <c r="B3206" s="3563" t="s">
        <v>4196</v>
      </c>
      <c r="C3206" s="3563" t="s">
        <v>4197</v>
      </c>
      <c r="D3206" s="3563" t="s">
        <v>6429</v>
      </c>
      <c r="E3206" s="3563" t="s">
        <v>4747</v>
      </c>
      <c r="F3206" s="3563" t="s">
        <v>4797</v>
      </c>
      <c r="G3206" s="3564">
        <v>100.88</v>
      </c>
      <c r="H3206" s="3564">
        <v>81.62</v>
      </c>
      <c r="I3206" s="3564">
        <v>19.260000000000002</v>
      </c>
      <c r="J3206" s="3565">
        <v>1079148</v>
      </c>
      <c r="K3206" s="3565">
        <v>10697.34</v>
      </c>
      <c r="L3206" s="3565">
        <v>13221.61</v>
      </c>
      <c r="M3206" s="3565">
        <v>0</v>
      </c>
      <c r="N3206" s="3565">
        <v>0</v>
      </c>
      <c r="O3206" s="3563" t="s">
        <v>3453</v>
      </c>
    </row>
    <row r="3207" spans="1:15">
      <c r="A3207" s="3563" t="s">
        <v>7429</v>
      </c>
      <c r="B3207" s="3563" t="s">
        <v>4196</v>
      </c>
      <c r="C3207" s="3563" t="s">
        <v>4197</v>
      </c>
      <c r="D3207" s="3563" t="s">
        <v>6429</v>
      </c>
      <c r="E3207" s="3563" t="s">
        <v>4747</v>
      </c>
      <c r="F3207" s="3563" t="s">
        <v>4797</v>
      </c>
      <c r="G3207" s="3564">
        <v>109.31</v>
      </c>
      <c r="H3207" s="3564">
        <v>88.44</v>
      </c>
      <c r="I3207" s="3564">
        <v>20.87</v>
      </c>
      <c r="J3207" s="3565">
        <v>1140255</v>
      </c>
      <c r="K3207" s="3565">
        <v>10431.39</v>
      </c>
      <c r="L3207" s="3565">
        <v>12892.98</v>
      </c>
      <c r="M3207" s="3565">
        <v>0</v>
      </c>
      <c r="N3207" s="3565">
        <v>0</v>
      </c>
      <c r="O3207" s="3563" t="s">
        <v>3453</v>
      </c>
    </row>
    <row r="3208" spans="1:15">
      <c r="A3208" s="3563" t="s">
        <v>7430</v>
      </c>
      <c r="B3208" s="3563" t="s">
        <v>4196</v>
      </c>
      <c r="C3208" s="3563" t="s">
        <v>4197</v>
      </c>
      <c r="D3208" s="3563" t="s">
        <v>6429</v>
      </c>
      <c r="E3208" s="3563" t="s">
        <v>4747</v>
      </c>
      <c r="F3208" s="3563" t="s">
        <v>4797</v>
      </c>
      <c r="G3208" s="3564">
        <v>100.88</v>
      </c>
      <c r="H3208" s="3564">
        <v>81.62</v>
      </c>
      <c r="I3208" s="3564">
        <v>19.260000000000002</v>
      </c>
      <c r="J3208" s="3565">
        <v>1041587</v>
      </c>
      <c r="K3208" s="3565">
        <v>10325.01</v>
      </c>
      <c r="L3208" s="3565">
        <v>12761.42</v>
      </c>
      <c r="M3208" s="3565">
        <v>0</v>
      </c>
      <c r="N3208" s="3565">
        <v>0</v>
      </c>
      <c r="O3208" s="3563" t="s">
        <v>3453</v>
      </c>
    </row>
    <row r="3209" spans="1:15">
      <c r="A3209" s="3563" t="s">
        <v>7431</v>
      </c>
      <c r="B3209" s="3563" t="s">
        <v>4196</v>
      </c>
      <c r="C3209" s="3563" t="s">
        <v>4197</v>
      </c>
      <c r="D3209" s="3563" t="s">
        <v>6429</v>
      </c>
      <c r="E3209" s="3563" t="s">
        <v>4747</v>
      </c>
      <c r="F3209" s="3563" t="s">
        <v>4797</v>
      </c>
      <c r="G3209" s="3564">
        <v>100.88</v>
      </c>
      <c r="H3209" s="3564">
        <v>81.62</v>
      </c>
      <c r="I3209" s="3564">
        <v>19.260000000000002</v>
      </c>
      <c r="J3209" s="3565">
        <v>1041587</v>
      </c>
      <c r="K3209" s="3565">
        <v>10325.01</v>
      </c>
      <c r="L3209" s="3565">
        <v>12761.42</v>
      </c>
      <c r="M3209" s="3565">
        <v>0</v>
      </c>
      <c r="N3209" s="3565">
        <v>0</v>
      </c>
      <c r="O3209" s="3563" t="s">
        <v>3453</v>
      </c>
    </row>
    <row r="3210" spans="1:15">
      <c r="A3210" s="3563" t="s">
        <v>7432</v>
      </c>
      <c r="B3210" s="3563" t="s">
        <v>4196</v>
      </c>
      <c r="C3210" s="3563" t="s">
        <v>4197</v>
      </c>
      <c r="D3210" s="3563" t="s">
        <v>6429</v>
      </c>
      <c r="E3210" s="3563" t="s">
        <v>4747</v>
      </c>
      <c r="F3210" s="3563" t="s">
        <v>4797</v>
      </c>
      <c r="G3210" s="3564">
        <v>123.64</v>
      </c>
      <c r="H3210" s="3564">
        <v>100.03</v>
      </c>
      <c r="I3210" s="3564">
        <v>23.61</v>
      </c>
      <c r="J3210" s="3565">
        <v>1296313</v>
      </c>
      <c r="K3210" s="3565">
        <v>10484.58</v>
      </c>
      <c r="L3210" s="3565">
        <v>12959.24</v>
      </c>
      <c r="M3210" s="3565">
        <v>0</v>
      </c>
      <c r="N3210" s="3565">
        <v>0</v>
      </c>
      <c r="O3210" s="3563" t="s">
        <v>3453</v>
      </c>
    </row>
    <row r="3211" spans="1:15">
      <c r="A3211" s="3563" t="s">
        <v>7433</v>
      </c>
      <c r="B3211" s="3563" t="s">
        <v>4196</v>
      </c>
      <c r="C3211" s="3563" t="s">
        <v>4197</v>
      </c>
      <c r="D3211" s="3563" t="s">
        <v>6429</v>
      </c>
      <c r="E3211" s="3563" t="s">
        <v>4747</v>
      </c>
      <c r="F3211" s="3563" t="s">
        <v>4797</v>
      </c>
      <c r="G3211" s="3564">
        <v>100.88</v>
      </c>
      <c r="H3211" s="3564">
        <v>81.62</v>
      </c>
      <c r="I3211" s="3564">
        <v>19.260000000000002</v>
      </c>
      <c r="J3211" s="3565">
        <v>1078075</v>
      </c>
      <c r="K3211" s="3565">
        <v>10686.71</v>
      </c>
      <c r="L3211" s="3565">
        <v>13208.47</v>
      </c>
      <c r="M3211" s="3565">
        <v>0</v>
      </c>
      <c r="N3211" s="3565">
        <v>0</v>
      </c>
      <c r="O3211" s="3563" t="s">
        <v>3453</v>
      </c>
    </row>
    <row r="3212" spans="1:15">
      <c r="A3212" s="3563" t="s">
        <v>7434</v>
      </c>
      <c r="B3212" s="3563" t="s">
        <v>4196</v>
      </c>
      <c r="C3212" s="3563" t="s">
        <v>4197</v>
      </c>
      <c r="D3212" s="3563" t="s">
        <v>6429</v>
      </c>
      <c r="E3212" s="3563" t="s">
        <v>4747</v>
      </c>
      <c r="F3212" s="3563" t="s">
        <v>4797</v>
      </c>
      <c r="G3212" s="3564">
        <v>100.88</v>
      </c>
      <c r="H3212" s="3564">
        <v>81.62</v>
      </c>
      <c r="I3212" s="3564">
        <v>19.260000000000002</v>
      </c>
      <c r="J3212" s="3565">
        <v>1078075</v>
      </c>
      <c r="K3212" s="3565">
        <v>10686.71</v>
      </c>
      <c r="L3212" s="3565">
        <v>13208.47</v>
      </c>
      <c r="M3212" s="3565">
        <v>0</v>
      </c>
      <c r="N3212" s="3565">
        <v>0</v>
      </c>
      <c r="O3212" s="3563" t="s">
        <v>3453</v>
      </c>
    </row>
    <row r="3213" spans="1:15">
      <c r="A3213" s="3563" t="s">
        <v>7435</v>
      </c>
      <c r="B3213" s="3563" t="s">
        <v>4196</v>
      </c>
      <c r="C3213" s="3563" t="s">
        <v>4197</v>
      </c>
      <c r="D3213" s="3563" t="s">
        <v>6429</v>
      </c>
      <c r="E3213" s="3563" t="s">
        <v>4747</v>
      </c>
      <c r="F3213" s="3563" t="s">
        <v>4797</v>
      </c>
      <c r="G3213" s="3564">
        <v>109.31</v>
      </c>
      <c r="H3213" s="3564">
        <v>88.44</v>
      </c>
      <c r="I3213" s="3564">
        <v>20.87</v>
      </c>
      <c r="J3213" s="3565">
        <v>1139092</v>
      </c>
      <c r="K3213" s="3565">
        <v>10420.75</v>
      </c>
      <c r="L3213" s="3565">
        <v>12879.83</v>
      </c>
      <c r="M3213" s="3565">
        <v>0</v>
      </c>
      <c r="N3213" s="3565">
        <v>0</v>
      </c>
      <c r="O3213" s="3563" t="s">
        <v>3453</v>
      </c>
    </row>
    <row r="3214" spans="1:15">
      <c r="A3214" s="3563" t="s">
        <v>7436</v>
      </c>
      <c r="B3214" s="3563" t="s">
        <v>4196</v>
      </c>
      <c r="C3214" s="3563" t="s">
        <v>4197</v>
      </c>
      <c r="D3214" s="3563" t="s">
        <v>6429</v>
      </c>
      <c r="E3214" s="3563" t="s">
        <v>4747</v>
      </c>
      <c r="F3214" s="3563" t="s">
        <v>4797</v>
      </c>
      <c r="G3214" s="3564">
        <v>100.88</v>
      </c>
      <c r="H3214" s="3564">
        <v>81.62</v>
      </c>
      <c r="I3214" s="3564">
        <v>19.260000000000002</v>
      </c>
      <c r="J3214" s="3565">
        <v>1040513</v>
      </c>
      <c r="K3214" s="3565">
        <v>10314.36</v>
      </c>
      <c r="L3214" s="3565">
        <v>12748.26</v>
      </c>
      <c r="M3214" s="3565">
        <v>0</v>
      </c>
      <c r="N3214" s="3565">
        <v>0</v>
      </c>
      <c r="O3214" s="3563" t="s">
        <v>3453</v>
      </c>
    </row>
    <row r="3215" spans="1:15">
      <c r="A3215" s="3563" t="s">
        <v>7437</v>
      </c>
      <c r="B3215" s="3563" t="s">
        <v>4196</v>
      </c>
      <c r="C3215" s="3563" t="s">
        <v>4197</v>
      </c>
      <c r="D3215" s="3563" t="s">
        <v>6429</v>
      </c>
      <c r="E3215" s="3563" t="s">
        <v>4747</v>
      </c>
      <c r="F3215" s="3563" t="s">
        <v>4797</v>
      </c>
      <c r="G3215" s="3564">
        <v>100.88</v>
      </c>
      <c r="H3215" s="3564">
        <v>81.62</v>
      </c>
      <c r="I3215" s="3564">
        <v>19.260000000000002</v>
      </c>
      <c r="J3215" s="3565">
        <v>1040513</v>
      </c>
      <c r="K3215" s="3565">
        <v>10314.36</v>
      </c>
      <c r="L3215" s="3565">
        <v>12748.26</v>
      </c>
      <c r="M3215" s="3565">
        <v>0</v>
      </c>
      <c r="N3215" s="3565">
        <v>0</v>
      </c>
      <c r="O3215" s="3563" t="s">
        <v>3453</v>
      </c>
    </row>
    <row r="3216" spans="1:15">
      <c r="A3216" s="3563" t="s">
        <v>7438</v>
      </c>
      <c r="B3216" s="3563" t="s">
        <v>4196</v>
      </c>
      <c r="C3216" s="3563" t="s">
        <v>4197</v>
      </c>
      <c r="D3216" s="3563" t="s">
        <v>6429</v>
      </c>
      <c r="E3216" s="3563" t="s">
        <v>4747</v>
      </c>
      <c r="F3216" s="3563" t="s">
        <v>4797</v>
      </c>
      <c r="G3216" s="3564">
        <v>123.64</v>
      </c>
      <c r="H3216" s="3564">
        <v>100.03</v>
      </c>
      <c r="I3216" s="3564">
        <v>23.61</v>
      </c>
      <c r="J3216" s="3565">
        <v>1294998</v>
      </c>
      <c r="K3216" s="3565">
        <v>10473.94</v>
      </c>
      <c r="L3216" s="3565">
        <v>12946.1</v>
      </c>
      <c r="M3216" s="3565">
        <v>0</v>
      </c>
      <c r="N3216" s="3565">
        <v>0</v>
      </c>
      <c r="O3216" s="3563" t="s">
        <v>3453</v>
      </c>
    </row>
    <row r="3217" spans="1:15">
      <c r="A3217" s="3563" t="s">
        <v>7439</v>
      </c>
      <c r="B3217" s="3563" t="s">
        <v>4196</v>
      </c>
      <c r="C3217" s="3563" t="s">
        <v>4197</v>
      </c>
      <c r="D3217" s="3563" t="s">
        <v>6429</v>
      </c>
      <c r="E3217" s="3563" t="s">
        <v>4747</v>
      </c>
      <c r="F3217" s="3563" t="s">
        <v>4797</v>
      </c>
      <c r="G3217" s="3564">
        <v>100.88</v>
      </c>
      <c r="H3217" s="3564">
        <v>81.62</v>
      </c>
      <c r="I3217" s="3564">
        <v>19.260000000000002</v>
      </c>
      <c r="J3217" s="3565">
        <v>1077002</v>
      </c>
      <c r="K3217" s="3565">
        <v>10676.07</v>
      </c>
      <c r="L3217" s="3565">
        <v>13195.32</v>
      </c>
      <c r="M3217" s="3565">
        <v>0</v>
      </c>
      <c r="N3217" s="3565">
        <v>0</v>
      </c>
      <c r="O3217" s="3563" t="s">
        <v>3453</v>
      </c>
    </row>
    <row r="3218" spans="1:15">
      <c r="A3218" s="3563" t="s">
        <v>7440</v>
      </c>
      <c r="B3218" s="3563" t="s">
        <v>4196</v>
      </c>
      <c r="C3218" s="3563" t="s">
        <v>4197</v>
      </c>
      <c r="D3218" s="3563" t="s">
        <v>6429</v>
      </c>
      <c r="E3218" s="3563" t="s">
        <v>4747</v>
      </c>
      <c r="F3218" s="3563" t="s">
        <v>4797</v>
      </c>
      <c r="G3218" s="3564">
        <v>100.88</v>
      </c>
      <c r="H3218" s="3564">
        <v>81.62</v>
      </c>
      <c r="I3218" s="3564">
        <v>19.260000000000002</v>
      </c>
      <c r="J3218" s="3565">
        <v>1077002</v>
      </c>
      <c r="K3218" s="3565">
        <v>10676.07</v>
      </c>
      <c r="L3218" s="3565">
        <v>13195.32</v>
      </c>
      <c r="M3218" s="3565">
        <v>0</v>
      </c>
      <c r="N3218" s="3565">
        <v>0</v>
      </c>
      <c r="O3218" s="3563" t="s">
        <v>3453</v>
      </c>
    </row>
    <row r="3219" spans="1:15">
      <c r="A3219" s="3563" t="s">
        <v>7441</v>
      </c>
      <c r="B3219" s="3563" t="s">
        <v>4196</v>
      </c>
      <c r="C3219" s="3563" t="s">
        <v>4197</v>
      </c>
      <c r="D3219" s="3563" t="s">
        <v>6429</v>
      </c>
      <c r="E3219" s="3563" t="s">
        <v>4747</v>
      </c>
      <c r="F3219" s="3563" t="s">
        <v>4797</v>
      </c>
      <c r="G3219" s="3564">
        <v>109.31</v>
      </c>
      <c r="H3219" s="3564">
        <v>88.44</v>
      </c>
      <c r="I3219" s="3564">
        <v>20.87</v>
      </c>
      <c r="J3219" s="3565">
        <v>1137929</v>
      </c>
      <c r="K3219" s="3565">
        <v>10410.11</v>
      </c>
      <c r="L3219" s="3565">
        <v>12866.68</v>
      </c>
      <c r="M3219" s="3565">
        <v>0</v>
      </c>
      <c r="N3219" s="3565">
        <v>0</v>
      </c>
      <c r="O3219" s="3563" t="s">
        <v>3453</v>
      </c>
    </row>
    <row r="3220" spans="1:15">
      <c r="A3220" s="3563" t="s">
        <v>7442</v>
      </c>
      <c r="B3220" s="3563" t="s">
        <v>4196</v>
      </c>
      <c r="C3220" s="3563" t="s">
        <v>4197</v>
      </c>
      <c r="D3220" s="3563" t="s">
        <v>6429</v>
      </c>
      <c r="E3220" s="3563" t="s">
        <v>4747</v>
      </c>
      <c r="F3220" s="3563" t="s">
        <v>4797</v>
      </c>
      <c r="G3220" s="3564">
        <v>100.88</v>
      </c>
      <c r="H3220" s="3564">
        <v>81.62</v>
      </c>
      <c r="I3220" s="3564">
        <v>19.260000000000002</v>
      </c>
      <c r="J3220" s="3565">
        <v>1039440</v>
      </c>
      <c r="K3220" s="3565">
        <v>10303.73</v>
      </c>
      <c r="L3220" s="3565">
        <v>12735.11</v>
      </c>
      <c r="M3220" s="3565">
        <v>0</v>
      </c>
      <c r="N3220" s="3565">
        <v>0</v>
      </c>
      <c r="O3220" s="3563" t="s">
        <v>3453</v>
      </c>
    </row>
    <row r="3221" spans="1:15">
      <c r="A3221" s="3563" t="s">
        <v>7443</v>
      </c>
      <c r="B3221" s="3563" t="s">
        <v>4196</v>
      </c>
      <c r="C3221" s="3563" t="s">
        <v>4197</v>
      </c>
      <c r="D3221" s="3563" t="s">
        <v>6429</v>
      </c>
      <c r="E3221" s="3563" t="s">
        <v>4747</v>
      </c>
      <c r="F3221" s="3563" t="s">
        <v>4797</v>
      </c>
      <c r="G3221" s="3564">
        <v>100.88</v>
      </c>
      <c r="H3221" s="3564">
        <v>81.62</v>
      </c>
      <c r="I3221" s="3564">
        <v>19.260000000000002</v>
      </c>
      <c r="J3221" s="3565">
        <v>1039440</v>
      </c>
      <c r="K3221" s="3565">
        <v>10303.73</v>
      </c>
      <c r="L3221" s="3565">
        <v>12735.11</v>
      </c>
      <c r="M3221" s="3565">
        <v>0</v>
      </c>
      <c r="N3221" s="3565">
        <v>0</v>
      </c>
      <c r="O3221" s="3563" t="s">
        <v>3453</v>
      </c>
    </row>
    <row r="3222" spans="1:15">
      <c r="A3222" s="3563" t="s">
        <v>7444</v>
      </c>
      <c r="B3222" s="3563" t="s">
        <v>4196</v>
      </c>
      <c r="C3222" s="3563" t="s">
        <v>4197</v>
      </c>
      <c r="D3222" s="3563" t="s">
        <v>6429</v>
      </c>
      <c r="E3222" s="3563" t="s">
        <v>4747</v>
      </c>
      <c r="F3222" s="3563" t="s">
        <v>4797</v>
      </c>
      <c r="G3222" s="3564">
        <v>123.64</v>
      </c>
      <c r="H3222" s="3564">
        <v>100.03</v>
      </c>
      <c r="I3222" s="3564">
        <v>23.61</v>
      </c>
      <c r="J3222" s="3565">
        <v>1293682</v>
      </c>
      <c r="K3222" s="3565">
        <v>10463.299999999999</v>
      </c>
      <c r="L3222" s="3565">
        <v>12932.94</v>
      </c>
      <c r="M3222" s="3565">
        <v>0</v>
      </c>
      <c r="N3222" s="3565">
        <v>0</v>
      </c>
      <c r="O3222" s="3563" t="s">
        <v>3453</v>
      </c>
    </row>
    <row r="3223" spans="1:15">
      <c r="A3223" s="3563" t="s">
        <v>7445</v>
      </c>
      <c r="B3223" s="3563" t="s">
        <v>4196</v>
      </c>
      <c r="C3223" s="3563" t="s">
        <v>4197</v>
      </c>
      <c r="D3223" s="3563" t="s">
        <v>6429</v>
      </c>
      <c r="E3223" s="3563" t="s">
        <v>4747</v>
      </c>
      <c r="F3223" s="3563" t="s">
        <v>4797</v>
      </c>
      <c r="G3223" s="3564">
        <v>100.88</v>
      </c>
      <c r="H3223" s="3564">
        <v>81.62</v>
      </c>
      <c r="I3223" s="3564">
        <v>19.260000000000002</v>
      </c>
      <c r="J3223" s="3565">
        <v>1065196</v>
      </c>
      <c r="K3223" s="3565">
        <v>10559.04</v>
      </c>
      <c r="L3223" s="3565">
        <v>13050.67</v>
      </c>
      <c r="M3223" s="3565">
        <v>0</v>
      </c>
      <c r="N3223" s="3565">
        <v>0</v>
      </c>
      <c r="O3223" s="3563" t="s">
        <v>3453</v>
      </c>
    </row>
    <row r="3224" spans="1:15">
      <c r="A3224" s="3563" t="s">
        <v>7446</v>
      </c>
      <c r="B3224" s="3563" t="s">
        <v>4196</v>
      </c>
      <c r="C3224" s="3563" t="s">
        <v>4197</v>
      </c>
      <c r="D3224" s="3563" t="s">
        <v>6429</v>
      </c>
      <c r="E3224" s="3563" t="s">
        <v>4747</v>
      </c>
      <c r="F3224" s="3563" t="s">
        <v>4797</v>
      </c>
      <c r="G3224" s="3564">
        <v>100.88</v>
      </c>
      <c r="H3224" s="3564">
        <v>81.62</v>
      </c>
      <c r="I3224" s="3564">
        <v>19.260000000000002</v>
      </c>
      <c r="J3224" s="3565">
        <v>1065196</v>
      </c>
      <c r="K3224" s="3565">
        <v>10559.04</v>
      </c>
      <c r="L3224" s="3565">
        <v>13050.67</v>
      </c>
      <c r="M3224" s="3565">
        <v>0</v>
      </c>
      <c r="N3224" s="3565">
        <v>0</v>
      </c>
      <c r="O3224" s="3563" t="s">
        <v>3453</v>
      </c>
    </row>
    <row r="3225" spans="1:15">
      <c r="A3225" s="3563" t="s">
        <v>7447</v>
      </c>
      <c r="B3225" s="3563" t="s">
        <v>4196</v>
      </c>
      <c r="C3225" s="3563" t="s">
        <v>4197</v>
      </c>
      <c r="D3225" s="3563" t="s">
        <v>6429</v>
      </c>
      <c r="E3225" s="3563" t="s">
        <v>4747</v>
      </c>
      <c r="F3225" s="3563" t="s">
        <v>4797</v>
      </c>
      <c r="G3225" s="3564">
        <v>109.31</v>
      </c>
      <c r="H3225" s="3564">
        <v>88.44</v>
      </c>
      <c r="I3225" s="3564">
        <v>20.87</v>
      </c>
      <c r="J3225" s="3565">
        <v>1125138</v>
      </c>
      <c r="K3225" s="3565">
        <v>10293.09</v>
      </c>
      <c r="L3225" s="3565">
        <v>12722.05</v>
      </c>
      <c r="M3225" s="3565">
        <v>0</v>
      </c>
      <c r="N3225" s="3565">
        <v>0</v>
      </c>
      <c r="O3225" s="3563" t="s">
        <v>3453</v>
      </c>
    </row>
    <row r="3226" spans="1:15">
      <c r="A3226" s="3563" t="s">
        <v>7448</v>
      </c>
      <c r="B3226" s="3563" t="s">
        <v>4196</v>
      </c>
      <c r="C3226" s="3563" t="s">
        <v>4197</v>
      </c>
      <c r="D3226" s="3563" t="s">
        <v>6429</v>
      </c>
      <c r="E3226" s="3563" t="s">
        <v>4747</v>
      </c>
      <c r="F3226" s="3563" t="s">
        <v>4797</v>
      </c>
      <c r="G3226" s="3564">
        <v>100.88</v>
      </c>
      <c r="H3226" s="3564">
        <v>81.62</v>
      </c>
      <c r="I3226" s="3564">
        <v>19.260000000000002</v>
      </c>
      <c r="J3226" s="3565">
        <v>1027635</v>
      </c>
      <c r="K3226" s="3565">
        <v>10186.709999999999</v>
      </c>
      <c r="L3226" s="3565">
        <v>12590.48</v>
      </c>
      <c r="M3226" s="3565">
        <v>0</v>
      </c>
      <c r="N3226" s="3565">
        <v>0</v>
      </c>
      <c r="O3226" s="3563" t="s">
        <v>3453</v>
      </c>
    </row>
    <row r="3227" spans="1:15">
      <c r="A3227" s="3563" t="s">
        <v>7449</v>
      </c>
      <c r="B3227" s="3563" t="s">
        <v>4196</v>
      </c>
      <c r="C3227" s="3563" t="s">
        <v>4197</v>
      </c>
      <c r="D3227" s="3563" t="s">
        <v>6429</v>
      </c>
      <c r="E3227" s="3563" t="s">
        <v>4747</v>
      </c>
      <c r="F3227" s="3563" t="s">
        <v>4797</v>
      </c>
      <c r="G3227" s="3564">
        <v>100.88</v>
      </c>
      <c r="H3227" s="3564">
        <v>81.62</v>
      </c>
      <c r="I3227" s="3564">
        <v>19.260000000000002</v>
      </c>
      <c r="J3227" s="3565">
        <v>1027635</v>
      </c>
      <c r="K3227" s="3565">
        <v>10186.709999999999</v>
      </c>
      <c r="L3227" s="3565">
        <v>12590.48</v>
      </c>
      <c r="M3227" s="3565">
        <v>0</v>
      </c>
      <c r="N3227" s="3565">
        <v>0</v>
      </c>
      <c r="O3227" s="3563" t="s">
        <v>3453</v>
      </c>
    </row>
    <row r="3228" spans="1:15">
      <c r="A3228" s="3563" t="s">
        <v>7450</v>
      </c>
      <c r="B3228" s="3563" t="s">
        <v>4196</v>
      </c>
      <c r="C3228" s="3563" t="s">
        <v>4197</v>
      </c>
      <c r="D3228" s="3563" t="s">
        <v>6429</v>
      </c>
      <c r="E3228" s="3563" t="s">
        <v>4747</v>
      </c>
      <c r="F3228" s="3563" t="s">
        <v>4797</v>
      </c>
      <c r="G3228" s="3564">
        <v>123.64</v>
      </c>
      <c r="H3228" s="3564">
        <v>100.03</v>
      </c>
      <c r="I3228" s="3564">
        <v>23.61</v>
      </c>
      <c r="J3228" s="3565">
        <v>1279214</v>
      </c>
      <c r="K3228" s="3565">
        <v>10346.280000000001</v>
      </c>
      <c r="L3228" s="3565">
        <v>12788.3</v>
      </c>
      <c r="M3228" s="3565">
        <v>0</v>
      </c>
      <c r="N3228" s="3565">
        <v>0</v>
      </c>
      <c r="O3228" s="3563" t="s">
        <v>3453</v>
      </c>
    </row>
    <row r="3229" spans="1:15">
      <c r="A3229" s="3563" t="s">
        <v>7451</v>
      </c>
      <c r="B3229" s="3563" t="s">
        <v>4196</v>
      </c>
      <c r="C3229" s="3563" t="s">
        <v>4197</v>
      </c>
      <c r="D3229" s="3563" t="s">
        <v>6429</v>
      </c>
      <c r="E3229" s="3563" t="s">
        <v>4747</v>
      </c>
      <c r="F3229" s="3563" t="s">
        <v>4797</v>
      </c>
      <c r="G3229" s="3564">
        <v>100.88</v>
      </c>
      <c r="H3229" s="3564">
        <v>81.62</v>
      </c>
      <c r="I3229" s="3564">
        <v>19.260000000000002</v>
      </c>
      <c r="J3229" s="3565">
        <v>1074856</v>
      </c>
      <c r="K3229" s="3565">
        <v>10654.8</v>
      </c>
      <c r="L3229" s="3565">
        <v>13169.03</v>
      </c>
      <c r="M3229" s="3565">
        <v>0</v>
      </c>
      <c r="N3229" s="3565">
        <v>0</v>
      </c>
      <c r="O3229" s="3563" t="s">
        <v>3453</v>
      </c>
    </row>
    <row r="3230" spans="1:15">
      <c r="A3230" s="3563" t="s">
        <v>7452</v>
      </c>
      <c r="B3230" s="3563" t="s">
        <v>4196</v>
      </c>
      <c r="C3230" s="3563" t="s">
        <v>4197</v>
      </c>
      <c r="D3230" s="3563" t="s">
        <v>6429</v>
      </c>
      <c r="E3230" s="3563" t="s">
        <v>4747</v>
      </c>
      <c r="F3230" s="3563" t="s">
        <v>4797</v>
      </c>
      <c r="G3230" s="3564">
        <v>100.88</v>
      </c>
      <c r="H3230" s="3564">
        <v>81.62</v>
      </c>
      <c r="I3230" s="3564">
        <v>19.260000000000002</v>
      </c>
      <c r="J3230" s="3565">
        <v>1074856</v>
      </c>
      <c r="K3230" s="3565">
        <v>10654.8</v>
      </c>
      <c r="L3230" s="3565">
        <v>13169.03</v>
      </c>
      <c r="M3230" s="3565">
        <v>0</v>
      </c>
      <c r="N3230" s="3565">
        <v>0</v>
      </c>
      <c r="O3230" s="3563" t="s">
        <v>3453</v>
      </c>
    </row>
    <row r="3231" spans="1:15">
      <c r="A3231" s="3563" t="s">
        <v>7453</v>
      </c>
      <c r="B3231" s="3563" t="s">
        <v>4196</v>
      </c>
      <c r="C3231" s="3563" t="s">
        <v>4197</v>
      </c>
      <c r="D3231" s="3563" t="s">
        <v>6429</v>
      </c>
      <c r="E3231" s="3563" t="s">
        <v>4747</v>
      </c>
      <c r="F3231" s="3563" t="s">
        <v>4797</v>
      </c>
      <c r="G3231" s="3564">
        <v>109.31</v>
      </c>
      <c r="H3231" s="3564">
        <v>88.44</v>
      </c>
      <c r="I3231" s="3564">
        <v>20.87</v>
      </c>
      <c r="J3231" s="3565">
        <v>1135604</v>
      </c>
      <c r="K3231" s="3565">
        <v>10388.84</v>
      </c>
      <c r="L3231" s="3565">
        <v>12840.39</v>
      </c>
      <c r="M3231" s="3565">
        <v>0</v>
      </c>
      <c r="N3231" s="3565">
        <v>0</v>
      </c>
      <c r="O3231" s="3563" t="s">
        <v>3453</v>
      </c>
    </row>
    <row r="3232" spans="1:15">
      <c r="A3232" s="3563" t="s">
        <v>7454</v>
      </c>
      <c r="B3232" s="3563" t="s">
        <v>4196</v>
      </c>
      <c r="C3232" s="3563" t="s">
        <v>4197</v>
      </c>
      <c r="D3232" s="3563" t="s">
        <v>6429</v>
      </c>
      <c r="E3232" s="3563" t="s">
        <v>4747</v>
      </c>
      <c r="F3232" s="3563" t="s">
        <v>4797</v>
      </c>
      <c r="G3232" s="3564">
        <v>100.88</v>
      </c>
      <c r="H3232" s="3564">
        <v>81.62</v>
      </c>
      <c r="I3232" s="3564">
        <v>19.260000000000002</v>
      </c>
      <c r="J3232" s="3565">
        <v>1037294</v>
      </c>
      <c r="K3232" s="3565">
        <v>10282.450000000001</v>
      </c>
      <c r="L3232" s="3565">
        <v>12708.82</v>
      </c>
      <c r="M3232" s="3565">
        <v>0</v>
      </c>
      <c r="N3232" s="3565">
        <v>0</v>
      </c>
      <c r="O3232" s="3563" t="s">
        <v>3453</v>
      </c>
    </row>
    <row r="3233" spans="1:15">
      <c r="A3233" s="3563" t="s">
        <v>7455</v>
      </c>
      <c r="B3233" s="3563" t="s">
        <v>4196</v>
      </c>
      <c r="C3233" s="3563" t="s">
        <v>4197</v>
      </c>
      <c r="D3233" s="3563" t="s">
        <v>6429</v>
      </c>
      <c r="E3233" s="3563" t="s">
        <v>4747</v>
      </c>
      <c r="F3233" s="3563" t="s">
        <v>4797</v>
      </c>
      <c r="G3233" s="3564">
        <v>100.88</v>
      </c>
      <c r="H3233" s="3564">
        <v>81.62</v>
      </c>
      <c r="I3233" s="3564">
        <v>19.260000000000002</v>
      </c>
      <c r="J3233" s="3565">
        <v>1037294</v>
      </c>
      <c r="K3233" s="3565">
        <v>10282.450000000001</v>
      </c>
      <c r="L3233" s="3565">
        <v>12708.82</v>
      </c>
      <c r="M3233" s="3565">
        <v>0</v>
      </c>
      <c r="N3233" s="3565">
        <v>0</v>
      </c>
      <c r="O3233" s="3563" t="s">
        <v>3453</v>
      </c>
    </row>
    <row r="3234" spans="1:15">
      <c r="A3234" s="3563" t="s">
        <v>7456</v>
      </c>
      <c r="B3234" s="3563" t="s">
        <v>4196</v>
      </c>
      <c r="C3234" s="3563" t="s">
        <v>4197</v>
      </c>
      <c r="D3234" s="3563" t="s">
        <v>6429</v>
      </c>
      <c r="E3234" s="3563" t="s">
        <v>4747</v>
      </c>
      <c r="F3234" s="3563" t="s">
        <v>4797</v>
      </c>
      <c r="G3234" s="3564">
        <v>123.64</v>
      </c>
      <c r="H3234" s="3564">
        <v>100.03</v>
      </c>
      <c r="I3234" s="3564">
        <v>23.61</v>
      </c>
      <c r="J3234" s="3565">
        <v>1291052</v>
      </c>
      <c r="K3234" s="3565">
        <v>10442.030000000001</v>
      </c>
      <c r="L3234" s="3565">
        <v>12906.65</v>
      </c>
      <c r="M3234" s="3565">
        <v>0</v>
      </c>
      <c r="N3234" s="3565">
        <v>0</v>
      </c>
      <c r="O3234" s="3563" t="s">
        <v>3453</v>
      </c>
    </row>
    <row r="3235" spans="1:15">
      <c r="A3235" s="3563" t="s">
        <v>7457</v>
      </c>
      <c r="B3235" s="3563" t="s">
        <v>4196</v>
      </c>
      <c r="C3235" s="3563" t="s">
        <v>4197</v>
      </c>
      <c r="D3235" s="3563" t="s">
        <v>6429</v>
      </c>
      <c r="E3235" s="3563" t="s">
        <v>4747</v>
      </c>
      <c r="F3235" s="3563" t="s">
        <v>4797</v>
      </c>
      <c r="G3235" s="3564">
        <v>102.43</v>
      </c>
      <c r="H3235" s="3564">
        <v>81.62</v>
      </c>
      <c r="I3235" s="3564">
        <v>20.81</v>
      </c>
      <c r="J3235" s="3565">
        <v>1045604</v>
      </c>
      <c r="K3235" s="3565">
        <v>10207.99</v>
      </c>
      <c r="L3235" s="3565">
        <v>12810.63</v>
      </c>
      <c r="M3235" s="3565">
        <v>0</v>
      </c>
      <c r="N3235" s="3565">
        <v>0</v>
      </c>
      <c r="O3235" s="3563" t="s">
        <v>3453</v>
      </c>
    </row>
    <row r="3236" spans="1:15">
      <c r="A3236" s="3563" t="s">
        <v>7458</v>
      </c>
      <c r="B3236" s="3563" t="s">
        <v>4196</v>
      </c>
      <c r="C3236" s="3563" t="s">
        <v>4197</v>
      </c>
      <c r="D3236" s="3563" t="s">
        <v>6429</v>
      </c>
      <c r="E3236" s="3563" t="s">
        <v>4747</v>
      </c>
      <c r="F3236" s="3563" t="s">
        <v>4797</v>
      </c>
      <c r="G3236" s="3564">
        <v>102.43</v>
      </c>
      <c r="H3236" s="3564">
        <v>81.62</v>
      </c>
      <c r="I3236" s="3564">
        <v>20.81</v>
      </c>
      <c r="J3236" s="3565">
        <v>1045604</v>
      </c>
      <c r="K3236" s="3565">
        <v>10207.99</v>
      </c>
      <c r="L3236" s="3565">
        <v>12810.63</v>
      </c>
      <c r="M3236" s="3565">
        <v>0</v>
      </c>
      <c r="N3236" s="3565">
        <v>0</v>
      </c>
      <c r="O3236" s="3563" t="s">
        <v>3453</v>
      </c>
    </row>
    <row r="3237" spans="1:15">
      <c r="A3237" s="3563" t="s">
        <v>7459</v>
      </c>
      <c r="B3237" s="3563" t="s">
        <v>4196</v>
      </c>
      <c r="C3237" s="3563" t="s">
        <v>4197</v>
      </c>
      <c r="D3237" s="3563" t="s">
        <v>6429</v>
      </c>
      <c r="E3237" s="3563" t="s">
        <v>4747</v>
      </c>
      <c r="F3237" s="3563" t="s">
        <v>4797</v>
      </c>
      <c r="G3237" s="3564">
        <v>102.43</v>
      </c>
      <c r="H3237" s="3564">
        <v>81.62</v>
      </c>
      <c r="I3237" s="3564">
        <v>20.81</v>
      </c>
      <c r="J3237" s="3565">
        <v>1007465</v>
      </c>
      <c r="K3237" s="3565">
        <v>9835.64</v>
      </c>
      <c r="L3237" s="3565">
        <v>12343.36</v>
      </c>
      <c r="M3237" s="3565">
        <v>0</v>
      </c>
      <c r="N3237" s="3565">
        <v>0</v>
      </c>
      <c r="O3237" s="3563" t="s">
        <v>3453</v>
      </c>
    </row>
    <row r="3238" spans="1:15">
      <c r="A3238" s="3563" t="s">
        <v>7460</v>
      </c>
      <c r="B3238" s="3563" t="s">
        <v>4196</v>
      </c>
      <c r="C3238" s="3563" t="s">
        <v>4197</v>
      </c>
      <c r="D3238" s="3563" t="s">
        <v>6429</v>
      </c>
      <c r="E3238" s="3563" t="s">
        <v>4747</v>
      </c>
      <c r="F3238" s="3563" t="s">
        <v>4797</v>
      </c>
      <c r="G3238" s="3564">
        <v>102.43</v>
      </c>
      <c r="H3238" s="3564">
        <v>81.62</v>
      </c>
      <c r="I3238" s="3564">
        <v>20.81</v>
      </c>
      <c r="J3238" s="3565">
        <v>1007465</v>
      </c>
      <c r="K3238" s="3565">
        <v>9835.64</v>
      </c>
      <c r="L3238" s="3565">
        <v>12343.36</v>
      </c>
      <c r="M3238" s="3565">
        <v>0</v>
      </c>
      <c r="N3238" s="3565">
        <v>0</v>
      </c>
      <c r="O3238" s="3563" t="s">
        <v>3453</v>
      </c>
    </row>
    <row r="3239" spans="1:15">
      <c r="A3239" s="3563" t="s">
        <v>7461</v>
      </c>
      <c r="B3239" s="3563" t="s">
        <v>4196</v>
      </c>
      <c r="C3239" s="3563" t="s">
        <v>4197</v>
      </c>
      <c r="D3239" s="3563" t="s">
        <v>6429</v>
      </c>
      <c r="E3239" s="3563" t="s">
        <v>4747</v>
      </c>
      <c r="F3239" s="3563" t="s">
        <v>4797</v>
      </c>
      <c r="G3239" s="3564">
        <v>125.54</v>
      </c>
      <c r="H3239" s="3564">
        <v>100.03</v>
      </c>
      <c r="I3239" s="3564">
        <v>25.51</v>
      </c>
      <c r="J3239" s="3565">
        <v>1228089</v>
      </c>
      <c r="K3239" s="3565">
        <v>9782.4500000000007</v>
      </c>
      <c r="L3239" s="3565">
        <v>12277.21</v>
      </c>
      <c r="M3239" s="3565">
        <v>0</v>
      </c>
      <c r="N3239" s="3565">
        <v>0</v>
      </c>
      <c r="O3239" s="3563" t="s">
        <v>3453</v>
      </c>
    </row>
    <row r="3240" spans="1:15">
      <c r="A3240" s="3563" t="s">
        <v>7462</v>
      </c>
      <c r="B3240" s="3563" t="s">
        <v>4196</v>
      </c>
      <c r="C3240" s="3563" t="s">
        <v>4197</v>
      </c>
      <c r="D3240" s="3563" t="s">
        <v>6429</v>
      </c>
      <c r="E3240" s="3563" t="s">
        <v>4747</v>
      </c>
      <c r="F3240" s="3563" t="s">
        <v>4797</v>
      </c>
      <c r="G3240" s="3564">
        <v>100.88</v>
      </c>
      <c r="H3240" s="3564">
        <v>81.62</v>
      </c>
      <c r="I3240" s="3564">
        <v>19.260000000000002</v>
      </c>
      <c r="J3240" s="3565">
        <v>1073782</v>
      </c>
      <c r="K3240" s="3565">
        <v>10644.15</v>
      </c>
      <c r="L3240" s="3565">
        <v>13155.87</v>
      </c>
      <c r="M3240" s="3565">
        <v>0</v>
      </c>
      <c r="N3240" s="3565">
        <v>0</v>
      </c>
      <c r="O3240" s="3563" t="s">
        <v>3453</v>
      </c>
    </row>
    <row r="3241" spans="1:15">
      <c r="A3241" s="3563" t="s">
        <v>7463</v>
      </c>
      <c r="B3241" s="3563" t="s">
        <v>4196</v>
      </c>
      <c r="C3241" s="3563" t="s">
        <v>4197</v>
      </c>
      <c r="D3241" s="3563" t="s">
        <v>6429</v>
      </c>
      <c r="E3241" s="3563" t="s">
        <v>4747</v>
      </c>
      <c r="F3241" s="3563" t="s">
        <v>4797</v>
      </c>
      <c r="G3241" s="3564">
        <v>100.88</v>
      </c>
      <c r="H3241" s="3564">
        <v>81.62</v>
      </c>
      <c r="I3241" s="3564">
        <v>19.260000000000002</v>
      </c>
      <c r="J3241" s="3565">
        <v>1073782</v>
      </c>
      <c r="K3241" s="3565">
        <v>10644.15</v>
      </c>
      <c r="L3241" s="3565">
        <v>13155.87</v>
      </c>
      <c r="M3241" s="3565">
        <v>0</v>
      </c>
      <c r="N3241" s="3565">
        <v>0</v>
      </c>
      <c r="O3241" s="3563" t="s">
        <v>3453</v>
      </c>
    </row>
    <row r="3242" spans="1:15">
      <c r="A3242" s="3563" t="s">
        <v>7464</v>
      </c>
      <c r="B3242" s="3563" t="s">
        <v>4196</v>
      </c>
      <c r="C3242" s="3563" t="s">
        <v>4197</v>
      </c>
      <c r="D3242" s="3563" t="s">
        <v>6429</v>
      </c>
      <c r="E3242" s="3563" t="s">
        <v>4747</v>
      </c>
      <c r="F3242" s="3563" t="s">
        <v>4797</v>
      </c>
      <c r="G3242" s="3564">
        <v>109.31</v>
      </c>
      <c r="H3242" s="3564">
        <v>88.44</v>
      </c>
      <c r="I3242" s="3564">
        <v>20.87</v>
      </c>
      <c r="J3242" s="3565">
        <v>1134441</v>
      </c>
      <c r="K3242" s="3565">
        <v>10378.200000000001</v>
      </c>
      <c r="L3242" s="3565">
        <v>12827.24</v>
      </c>
      <c r="M3242" s="3565">
        <v>0</v>
      </c>
      <c r="N3242" s="3565">
        <v>0</v>
      </c>
      <c r="O3242" s="3563" t="s">
        <v>3453</v>
      </c>
    </row>
    <row r="3243" spans="1:15">
      <c r="A3243" s="3563" t="s">
        <v>7465</v>
      </c>
      <c r="B3243" s="3563" t="s">
        <v>4196</v>
      </c>
      <c r="C3243" s="3563" t="s">
        <v>4197</v>
      </c>
      <c r="D3243" s="3563" t="s">
        <v>6429</v>
      </c>
      <c r="E3243" s="3563" t="s">
        <v>4747</v>
      </c>
      <c r="F3243" s="3563" t="s">
        <v>4797</v>
      </c>
      <c r="G3243" s="3564">
        <v>100.88</v>
      </c>
      <c r="H3243" s="3564">
        <v>81.62</v>
      </c>
      <c r="I3243" s="3564">
        <v>19.260000000000002</v>
      </c>
      <c r="J3243" s="3565">
        <v>1036221</v>
      </c>
      <c r="K3243" s="3565">
        <v>10271.82</v>
      </c>
      <c r="L3243" s="3565">
        <v>12695.68</v>
      </c>
      <c r="M3243" s="3565">
        <v>0</v>
      </c>
      <c r="N3243" s="3565">
        <v>0</v>
      </c>
      <c r="O3243" s="3563" t="s">
        <v>3453</v>
      </c>
    </row>
    <row r="3244" spans="1:15">
      <c r="A3244" s="3563" t="s">
        <v>7466</v>
      </c>
      <c r="B3244" s="3563" t="s">
        <v>4196</v>
      </c>
      <c r="C3244" s="3563" t="s">
        <v>4197</v>
      </c>
      <c r="D3244" s="3563" t="s">
        <v>6429</v>
      </c>
      <c r="E3244" s="3563" t="s">
        <v>4747</v>
      </c>
      <c r="F3244" s="3563" t="s">
        <v>4797</v>
      </c>
      <c r="G3244" s="3564">
        <v>100.88</v>
      </c>
      <c r="H3244" s="3564">
        <v>81.62</v>
      </c>
      <c r="I3244" s="3564">
        <v>19.260000000000002</v>
      </c>
      <c r="J3244" s="3565">
        <v>1036221</v>
      </c>
      <c r="K3244" s="3565">
        <v>10271.82</v>
      </c>
      <c r="L3244" s="3565">
        <v>12695.68</v>
      </c>
      <c r="M3244" s="3565">
        <v>0</v>
      </c>
      <c r="N3244" s="3565">
        <v>0</v>
      </c>
      <c r="O3244" s="3563" t="s">
        <v>3453</v>
      </c>
    </row>
    <row r="3245" spans="1:15">
      <c r="A3245" s="3563" t="s">
        <v>7467</v>
      </c>
      <c r="B3245" s="3563" t="s">
        <v>4196</v>
      </c>
      <c r="C3245" s="3563" t="s">
        <v>4197</v>
      </c>
      <c r="D3245" s="3563" t="s">
        <v>6429</v>
      </c>
      <c r="E3245" s="3563" t="s">
        <v>4747</v>
      </c>
      <c r="F3245" s="3563" t="s">
        <v>4797</v>
      </c>
      <c r="G3245" s="3564">
        <v>123.64</v>
      </c>
      <c r="H3245" s="3564">
        <v>100.03</v>
      </c>
      <c r="I3245" s="3564">
        <v>23.61</v>
      </c>
      <c r="J3245" s="3565">
        <v>1289737</v>
      </c>
      <c r="K3245" s="3565">
        <v>10431.39</v>
      </c>
      <c r="L3245" s="3565">
        <v>12893.5</v>
      </c>
      <c r="M3245" s="3565">
        <v>0</v>
      </c>
      <c r="N3245" s="3565">
        <v>0</v>
      </c>
      <c r="O3245" s="3563" t="s">
        <v>3453</v>
      </c>
    </row>
    <row r="3246" spans="1:15">
      <c r="A3246" s="3563" t="s">
        <v>7468</v>
      </c>
      <c r="B3246" s="3563" t="s">
        <v>4196</v>
      </c>
      <c r="C3246" s="3563" t="s">
        <v>4197</v>
      </c>
      <c r="D3246" s="3563" t="s">
        <v>6429</v>
      </c>
      <c r="E3246" s="3563" t="s">
        <v>4747</v>
      </c>
      <c r="F3246" s="3563" t="s">
        <v>4797</v>
      </c>
      <c r="G3246" s="3564">
        <v>100.88</v>
      </c>
      <c r="H3246" s="3564">
        <v>81.62</v>
      </c>
      <c r="I3246" s="3564">
        <v>19.260000000000002</v>
      </c>
      <c r="J3246" s="3565">
        <v>1072709</v>
      </c>
      <c r="K3246" s="3565">
        <v>10633.52</v>
      </c>
      <c r="L3246" s="3565">
        <v>13142.72</v>
      </c>
      <c r="M3246" s="3565">
        <v>0</v>
      </c>
      <c r="N3246" s="3565">
        <v>0</v>
      </c>
      <c r="O3246" s="3563" t="s">
        <v>3453</v>
      </c>
    </row>
    <row r="3247" spans="1:15">
      <c r="A3247" s="3563" t="s">
        <v>7469</v>
      </c>
      <c r="B3247" s="3563" t="s">
        <v>4196</v>
      </c>
      <c r="C3247" s="3563" t="s">
        <v>4197</v>
      </c>
      <c r="D3247" s="3563" t="s">
        <v>6429</v>
      </c>
      <c r="E3247" s="3563" t="s">
        <v>4747</v>
      </c>
      <c r="F3247" s="3563" t="s">
        <v>4797</v>
      </c>
      <c r="G3247" s="3564">
        <v>100.88</v>
      </c>
      <c r="H3247" s="3564">
        <v>81.62</v>
      </c>
      <c r="I3247" s="3564">
        <v>19.260000000000002</v>
      </c>
      <c r="J3247" s="3565">
        <v>1072709</v>
      </c>
      <c r="K3247" s="3565">
        <v>10633.52</v>
      </c>
      <c r="L3247" s="3565">
        <v>13142.72</v>
      </c>
      <c r="M3247" s="3565">
        <v>0</v>
      </c>
      <c r="N3247" s="3565">
        <v>0</v>
      </c>
      <c r="O3247" s="3563" t="s">
        <v>3453</v>
      </c>
    </row>
    <row r="3248" spans="1:15">
      <c r="A3248" s="3563" t="s">
        <v>7470</v>
      </c>
      <c r="B3248" s="3563" t="s">
        <v>4196</v>
      </c>
      <c r="C3248" s="3563" t="s">
        <v>4197</v>
      </c>
      <c r="D3248" s="3563" t="s">
        <v>6429</v>
      </c>
      <c r="E3248" s="3563" t="s">
        <v>4747</v>
      </c>
      <c r="F3248" s="3563" t="s">
        <v>4797</v>
      </c>
      <c r="G3248" s="3564">
        <v>109.31</v>
      </c>
      <c r="H3248" s="3564">
        <v>88.44</v>
      </c>
      <c r="I3248" s="3564">
        <v>20.87</v>
      </c>
      <c r="J3248" s="3565">
        <v>1133278</v>
      </c>
      <c r="K3248" s="3565">
        <v>10367.56</v>
      </c>
      <c r="L3248" s="3565">
        <v>12814.09</v>
      </c>
      <c r="M3248" s="3565">
        <v>0</v>
      </c>
      <c r="N3248" s="3565">
        <v>0</v>
      </c>
      <c r="O3248" s="3563" t="s">
        <v>3453</v>
      </c>
    </row>
    <row r="3249" spans="1:15">
      <c r="A3249" s="3563" t="s">
        <v>7471</v>
      </c>
      <c r="B3249" s="3563" t="s">
        <v>4196</v>
      </c>
      <c r="C3249" s="3563" t="s">
        <v>4197</v>
      </c>
      <c r="D3249" s="3563" t="s">
        <v>6429</v>
      </c>
      <c r="E3249" s="3563" t="s">
        <v>4747</v>
      </c>
      <c r="F3249" s="3563" t="s">
        <v>4797</v>
      </c>
      <c r="G3249" s="3564">
        <v>100.88</v>
      </c>
      <c r="H3249" s="3564">
        <v>81.62</v>
      </c>
      <c r="I3249" s="3564">
        <v>19.260000000000002</v>
      </c>
      <c r="J3249" s="3565">
        <v>1035147</v>
      </c>
      <c r="K3249" s="3565">
        <v>10261.17</v>
      </c>
      <c r="L3249" s="3565">
        <v>12682.52</v>
      </c>
      <c r="M3249" s="3565">
        <v>0</v>
      </c>
      <c r="N3249" s="3565">
        <v>0</v>
      </c>
      <c r="O3249" s="3563" t="s">
        <v>3453</v>
      </c>
    </row>
    <row r="3250" spans="1:15">
      <c r="A3250" s="3563" t="s">
        <v>7472</v>
      </c>
      <c r="B3250" s="3563" t="s">
        <v>4196</v>
      </c>
      <c r="C3250" s="3563" t="s">
        <v>4197</v>
      </c>
      <c r="D3250" s="3563" t="s">
        <v>6429</v>
      </c>
      <c r="E3250" s="3563" t="s">
        <v>4747</v>
      </c>
      <c r="F3250" s="3563" t="s">
        <v>4797</v>
      </c>
      <c r="G3250" s="3564">
        <v>100.88</v>
      </c>
      <c r="H3250" s="3564">
        <v>81.62</v>
      </c>
      <c r="I3250" s="3564">
        <v>19.260000000000002</v>
      </c>
      <c r="J3250" s="3565">
        <v>1035147</v>
      </c>
      <c r="K3250" s="3565">
        <v>10261.17</v>
      </c>
      <c r="L3250" s="3565">
        <v>12682.52</v>
      </c>
      <c r="M3250" s="3565">
        <v>0</v>
      </c>
      <c r="N3250" s="3565">
        <v>0</v>
      </c>
      <c r="O3250" s="3563" t="s">
        <v>3453</v>
      </c>
    </row>
    <row r="3251" spans="1:15">
      <c r="A3251" s="3563" t="s">
        <v>7473</v>
      </c>
      <c r="B3251" s="3563" t="s">
        <v>4196</v>
      </c>
      <c r="C3251" s="3563" t="s">
        <v>4197</v>
      </c>
      <c r="D3251" s="3563" t="s">
        <v>6429</v>
      </c>
      <c r="E3251" s="3563" t="s">
        <v>4747</v>
      </c>
      <c r="F3251" s="3563" t="s">
        <v>4797</v>
      </c>
      <c r="G3251" s="3564">
        <v>123.64</v>
      </c>
      <c r="H3251" s="3564">
        <v>100.03</v>
      </c>
      <c r="I3251" s="3564">
        <v>23.61</v>
      </c>
      <c r="J3251" s="3565">
        <v>1288422</v>
      </c>
      <c r="K3251" s="3565">
        <v>10420.75</v>
      </c>
      <c r="L3251" s="3565">
        <v>12880.36</v>
      </c>
      <c r="M3251" s="3565">
        <v>0</v>
      </c>
      <c r="N3251" s="3565">
        <v>0</v>
      </c>
      <c r="O3251" s="3563" t="s">
        <v>3453</v>
      </c>
    </row>
    <row r="3252" spans="1:15">
      <c r="A3252" s="3563" t="s">
        <v>7474</v>
      </c>
      <c r="B3252" s="3563" t="s">
        <v>4196</v>
      </c>
      <c r="C3252" s="3563" t="s">
        <v>4197</v>
      </c>
      <c r="D3252" s="3563" t="s">
        <v>6429</v>
      </c>
      <c r="E3252" s="3563" t="s">
        <v>4747</v>
      </c>
      <c r="F3252" s="3563" t="s">
        <v>4797</v>
      </c>
      <c r="G3252" s="3564">
        <v>100.88</v>
      </c>
      <c r="H3252" s="3564">
        <v>81.62</v>
      </c>
      <c r="I3252" s="3564">
        <v>19.260000000000002</v>
      </c>
      <c r="J3252" s="3565">
        <v>1071636</v>
      </c>
      <c r="K3252" s="3565">
        <v>10622.88</v>
      </c>
      <c r="L3252" s="3565">
        <v>13129.58</v>
      </c>
      <c r="M3252" s="3565">
        <v>0</v>
      </c>
      <c r="N3252" s="3565">
        <v>0</v>
      </c>
      <c r="O3252" s="3563" t="s">
        <v>3453</v>
      </c>
    </row>
    <row r="3253" spans="1:15">
      <c r="A3253" s="3563" t="s">
        <v>7475</v>
      </c>
      <c r="B3253" s="3563" t="s">
        <v>4196</v>
      </c>
      <c r="C3253" s="3563" t="s">
        <v>4197</v>
      </c>
      <c r="D3253" s="3563" t="s">
        <v>6429</v>
      </c>
      <c r="E3253" s="3563" t="s">
        <v>4747</v>
      </c>
      <c r="F3253" s="3563" t="s">
        <v>4797</v>
      </c>
      <c r="G3253" s="3564">
        <v>100.88</v>
      </c>
      <c r="H3253" s="3564">
        <v>81.62</v>
      </c>
      <c r="I3253" s="3564">
        <v>19.260000000000002</v>
      </c>
      <c r="J3253" s="3565">
        <v>1071636</v>
      </c>
      <c r="K3253" s="3565">
        <v>10622.88</v>
      </c>
      <c r="L3253" s="3565">
        <v>13129.58</v>
      </c>
      <c r="M3253" s="3565">
        <v>0</v>
      </c>
      <c r="N3253" s="3565">
        <v>0</v>
      </c>
      <c r="O3253" s="3563" t="s">
        <v>3453</v>
      </c>
    </row>
    <row r="3254" spans="1:15">
      <c r="A3254" s="3563" t="s">
        <v>7476</v>
      </c>
      <c r="B3254" s="3563" t="s">
        <v>4196</v>
      </c>
      <c r="C3254" s="3563" t="s">
        <v>4197</v>
      </c>
      <c r="D3254" s="3563" t="s">
        <v>6429</v>
      </c>
      <c r="E3254" s="3563" t="s">
        <v>4747</v>
      </c>
      <c r="F3254" s="3563" t="s">
        <v>4797</v>
      </c>
      <c r="G3254" s="3564">
        <v>109.31</v>
      </c>
      <c r="H3254" s="3564">
        <v>88.44</v>
      </c>
      <c r="I3254" s="3564">
        <v>20.87</v>
      </c>
      <c r="J3254" s="3565">
        <v>1132115</v>
      </c>
      <c r="K3254" s="3565">
        <v>10356.92</v>
      </c>
      <c r="L3254" s="3565">
        <v>12800.94</v>
      </c>
      <c r="M3254" s="3565">
        <v>0</v>
      </c>
      <c r="N3254" s="3565">
        <v>0</v>
      </c>
      <c r="O3254" s="3563" t="s">
        <v>3453</v>
      </c>
    </row>
    <row r="3255" spans="1:15">
      <c r="A3255" s="3563" t="s">
        <v>7477</v>
      </c>
      <c r="B3255" s="3563" t="s">
        <v>4196</v>
      </c>
      <c r="C3255" s="3563" t="s">
        <v>4197</v>
      </c>
      <c r="D3255" s="3563" t="s">
        <v>6429</v>
      </c>
      <c r="E3255" s="3563" t="s">
        <v>4747</v>
      </c>
      <c r="F3255" s="3563" t="s">
        <v>4797</v>
      </c>
      <c r="G3255" s="3564">
        <v>100.88</v>
      </c>
      <c r="H3255" s="3564">
        <v>81.62</v>
      </c>
      <c r="I3255" s="3564">
        <v>19.260000000000002</v>
      </c>
      <c r="J3255" s="3565">
        <v>1034074</v>
      </c>
      <c r="K3255" s="3565">
        <v>10250.540000000001</v>
      </c>
      <c r="L3255" s="3565">
        <v>12669.37</v>
      </c>
      <c r="M3255" s="3565">
        <v>0</v>
      </c>
      <c r="N3255" s="3565">
        <v>0</v>
      </c>
      <c r="O3255" s="3563" t="s">
        <v>3453</v>
      </c>
    </row>
    <row r="3256" spans="1:15">
      <c r="A3256" s="3563" t="s">
        <v>7478</v>
      </c>
      <c r="B3256" s="3563" t="s">
        <v>4196</v>
      </c>
      <c r="C3256" s="3563" t="s">
        <v>4197</v>
      </c>
      <c r="D3256" s="3563" t="s">
        <v>6429</v>
      </c>
      <c r="E3256" s="3563" t="s">
        <v>4747</v>
      </c>
      <c r="F3256" s="3563" t="s">
        <v>4797</v>
      </c>
      <c r="G3256" s="3564">
        <v>100.88</v>
      </c>
      <c r="H3256" s="3564">
        <v>81.62</v>
      </c>
      <c r="I3256" s="3564">
        <v>19.260000000000002</v>
      </c>
      <c r="J3256" s="3565">
        <v>1034074</v>
      </c>
      <c r="K3256" s="3565">
        <v>10250.540000000001</v>
      </c>
      <c r="L3256" s="3565">
        <v>12669.37</v>
      </c>
      <c r="M3256" s="3565">
        <v>0</v>
      </c>
      <c r="N3256" s="3565">
        <v>0</v>
      </c>
      <c r="O3256" s="3563" t="s">
        <v>3453</v>
      </c>
    </row>
    <row r="3257" spans="1:15">
      <c r="A3257" s="3563" t="s">
        <v>7479</v>
      </c>
      <c r="B3257" s="3563" t="s">
        <v>4196</v>
      </c>
      <c r="C3257" s="3563" t="s">
        <v>4197</v>
      </c>
      <c r="D3257" s="3563" t="s">
        <v>6429</v>
      </c>
      <c r="E3257" s="3563" t="s">
        <v>4747</v>
      </c>
      <c r="F3257" s="3563" t="s">
        <v>4797</v>
      </c>
      <c r="G3257" s="3564">
        <v>123.64</v>
      </c>
      <c r="H3257" s="3564">
        <v>100.03</v>
      </c>
      <c r="I3257" s="3564">
        <v>23.61</v>
      </c>
      <c r="J3257" s="3565">
        <v>1287106</v>
      </c>
      <c r="K3257" s="3565">
        <v>10410.11</v>
      </c>
      <c r="L3257" s="3565">
        <v>12867.2</v>
      </c>
      <c r="M3257" s="3565">
        <v>0</v>
      </c>
      <c r="N3257" s="3565">
        <v>0</v>
      </c>
      <c r="O3257" s="3563" t="s">
        <v>3453</v>
      </c>
    </row>
    <row r="3258" spans="1:15">
      <c r="A3258" s="3563" t="s">
        <v>7480</v>
      </c>
      <c r="B3258" s="3563" t="s">
        <v>4196</v>
      </c>
      <c r="C3258" s="3563" t="s">
        <v>4197</v>
      </c>
      <c r="D3258" s="3563" t="s">
        <v>6429</v>
      </c>
      <c r="E3258" s="3563" t="s">
        <v>4747</v>
      </c>
      <c r="F3258" s="3563" t="s">
        <v>4797</v>
      </c>
      <c r="G3258" s="3564">
        <v>100.88</v>
      </c>
      <c r="H3258" s="3564">
        <v>81.62</v>
      </c>
      <c r="I3258" s="3564">
        <v>19.260000000000002</v>
      </c>
      <c r="J3258" s="3565">
        <v>1070562</v>
      </c>
      <c r="K3258" s="3565">
        <v>10612.23</v>
      </c>
      <c r="L3258" s="3565">
        <v>13116.42</v>
      </c>
      <c r="M3258" s="3565">
        <v>0</v>
      </c>
      <c r="N3258" s="3565">
        <v>0</v>
      </c>
      <c r="O3258" s="3563" t="s">
        <v>3453</v>
      </c>
    </row>
    <row r="3259" spans="1:15">
      <c r="A3259" s="3563" t="s">
        <v>7481</v>
      </c>
      <c r="B3259" s="3563" t="s">
        <v>4196</v>
      </c>
      <c r="C3259" s="3563" t="s">
        <v>4197</v>
      </c>
      <c r="D3259" s="3563" t="s">
        <v>6429</v>
      </c>
      <c r="E3259" s="3563" t="s">
        <v>4747</v>
      </c>
      <c r="F3259" s="3563" t="s">
        <v>4797</v>
      </c>
      <c r="G3259" s="3564">
        <v>100.88</v>
      </c>
      <c r="H3259" s="3564">
        <v>81.62</v>
      </c>
      <c r="I3259" s="3564">
        <v>19.260000000000002</v>
      </c>
      <c r="J3259" s="3565">
        <v>1070562</v>
      </c>
      <c r="K3259" s="3565">
        <v>10612.23</v>
      </c>
      <c r="L3259" s="3565">
        <v>13116.42</v>
      </c>
      <c r="M3259" s="3565">
        <v>0</v>
      </c>
      <c r="N3259" s="3565">
        <v>0</v>
      </c>
      <c r="O3259" s="3563" t="s">
        <v>3453</v>
      </c>
    </row>
    <row r="3260" spans="1:15">
      <c r="A3260" s="3563" t="s">
        <v>7482</v>
      </c>
      <c r="B3260" s="3563" t="s">
        <v>4196</v>
      </c>
      <c r="C3260" s="3563" t="s">
        <v>4197</v>
      </c>
      <c r="D3260" s="3563" t="s">
        <v>6429</v>
      </c>
      <c r="E3260" s="3563" t="s">
        <v>4747</v>
      </c>
      <c r="F3260" s="3563" t="s">
        <v>4797</v>
      </c>
      <c r="G3260" s="3564">
        <v>109.31</v>
      </c>
      <c r="H3260" s="3564">
        <v>88.44</v>
      </c>
      <c r="I3260" s="3564">
        <v>20.87</v>
      </c>
      <c r="J3260" s="3565">
        <v>1130952</v>
      </c>
      <c r="K3260" s="3565">
        <v>10346.280000000001</v>
      </c>
      <c r="L3260" s="3565">
        <v>12787.79</v>
      </c>
      <c r="M3260" s="3565">
        <v>0</v>
      </c>
      <c r="N3260" s="3565">
        <v>0</v>
      </c>
      <c r="O3260" s="3563" t="s">
        <v>3453</v>
      </c>
    </row>
    <row r="3261" spans="1:15">
      <c r="A3261" s="3563" t="s">
        <v>7483</v>
      </c>
      <c r="B3261" s="3563" t="s">
        <v>4196</v>
      </c>
      <c r="C3261" s="3563" t="s">
        <v>4197</v>
      </c>
      <c r="D3261" s="3563" t="s">
        <v>6429</v>
      </c>
      <c r="E3261" s="3563" t="s">
        <v>4747</v>
      </c>
      <c r="F3261" s="3563" t="s">
        <v>4797</v>
      </c>
      <c r="G3261" s="3564">
        <v>100.88</v>
      </c>
      <c r="H3261" s="3564">
        <v>81.62</v>
      </c>
      <c r="I3261" s="3564">
        <v>19.260000000000002</v>
      </c>
      <c r="J3261" s="3565">
        <v>1033000</v>
      </c>
      <c r="K3261" s="3565">
        <v>10239.89</v>
      </c>
      <c r="L3261" s="3565">
        <v>12656.21</v>
      </c>
      <c r="M3261" s="3565">
        <v>0</v>
      </c>
      <c r="N3261" s="3565">
        <v>0</v>
      </c>
      <c r="O3261" s="3563" t="s">
        <v>3453</v>
      </c>
    </row>
    <row r="3262" spans="1:15">
      <c r="A3262" s="3563" t="s">
        <v>7484</v>
      </c>
      <c r="B3262" s="3563" t="s">
        <v>4196</v>
      </c>
      <c r="C3262" s="3563" t="s">
        <v>4197</v>
      </c>
      <c r="D3262" s="3563" t="s">
        <v>6429</v>
      </c>
      <c r="E3262" s="3563" t="s">
        <v>4747</v>
      </c>
      <c r="F3262" s="3563" t="s">
        <v>4797</v>
      </c>
      <c r="G3262" s="3564">
        <v>100.88</v>
      </c>
      <c r="H3262" s="3564">
        <v>81.62</v>
      </c>
      <c r="I3262" s="3564">
        <v>19.260000000000002</v>
      </c>
      <c r="J3262" s="3565">
        <v>1033000</v>
      </c>
      <c r="K3262" s="3565">
        <v>10239.89</v>
      </c>
      <c r="L3262" s="3565">
        <v>12656.21</v>
      </c>
      <c r="M3262" s="3565">
        <v>0</v>
      </c>
      <c r="N3262" s="3565">
        <v>0</v>
      </c>
      <c r="O3262" s="3563" t="s">
        <v>3453</v>
      </c>
    </row>
    <row r="3263" spans="1:15">
      <c r="A3263" s="3563" t="s">
        <v>7485</v>
      </c>
      <c r="B3263" s="3563" t="s">
        <v>4196</v>
      </c>
      <c r="C3263" s="3563" t="s">
        <v>4197</v>
      </c>
      <c r="D3263" s="3563" t="s">
        <v>6429</v>
      </c>
      <c r="E3263" s="3563" t="s">
        <v>4747</v>
      </c>
      <c r="F3263" s="3563" t="s">
        <v>4797</v>
      </c>
      <c r="G3263" s="3564">
        <v>123.64</v>
      </c>
      <c r="H3263" s="3564">
        <v>100.03</v>
      </c>
      <c r="I3263" s="3564">
        <v>23.61</v>
      </c>
      <c r="J3263" s="3565">
        <v>1285791</v>
      </c>
      <c r="K3263" s="3565">
        <v>10399.469999999999</v>
      </c>
      <c r="L3263" s="3565">
        <v>12854.05</v>
      </c>
      <c r="M3263" s="3565">
        <v>0</v>
      </c>
      <c r="N3263" s="3565">
        <v>0</v>
      </c>
      <c r="O3263" s="3563" t="s">
        <v>3453</v>
      </c>
    </row>
    <row r="3264" spans="1:15">
      <c r="A3264" s="3563" t="s">
        <v>7486</v>
      </c>
      <c r="B3264" s="3563" t="s">
        <v>4196</v>
      </c>
      <c r="C3264" s="3563" t="s">
        <v>4197</v>
      </c>
      <c r="D3264" s="3563" t="s">
        <v>6429</v>
      </c>
      <c r="E3264" s="3563" t="s">
        <v>4747</v>
      </c>
      <c r="F3264" s="3563" t="s">
        <v>4797</v>
      </c>
      <c r="G3264" s="3564">
        <v>100.88</v>
      </c>
      <c r="H3264" s="3564">
        <v>81.62</v>
      </c>
      <c r="I3264" s="3564">
        <v>19.260000000000002</v>
      </c>
      <c r="J3264" s="3565">
        <v>1069490</v>
      </c>
      <c r="K3264" s="3565">
        <v>10601.61</v>
      </c>
      <c r="L3264" s="3565">
        <v>13103.28</v>
      </c>
      <c r="M3264" s="3565">
        <v>0</v>
      </c>
      <c r="N3264" s="3565">
        <v>0</v>
      </c>
      <c r="O3264" s="3563" t="s">
        <v>3453</v>
      </c>
    </row>
    <row r="3265" spans="1:15">
      <c r="A3265" s="3563" t="s">
        <v>7487</v>
      </c>
      <c r="B3265" s="3563" t="s">
        <v>4196</v>
      </c>
      <c r="C3265" s="3563" t="s">
        <v>4197</v>
      </c>
      <c r="D3265" s="3563" t="s">
        <v>6429</v>
      </c>
      <c r="E3265" s="3563" t="s">
        <v>4747</v>
      </c>
      <c r="F3265" s="3563" t="s">
        <v>4797</v>
      </c>
      <c r="G3265" s="3564">
        <v>100.88</v>
      </c>
      <c r="H3265" s="3564">
        <v>81.62</v>
      </c>
      <c r="I3265" s="3564">
        <v>19.260000000000002</v>
      </c>
      <c r="J3265" s="3565">
        <v>1069490</v>
      </c>
      <c r="K3265" s="3565">
        <v>10601.61</v>
      </c>
      <c r="L3265" s="3565">
        <v>13103.28</v>
      </c>
      <c r="M3265" s="3565">
        <v>0</v>
      </c>
      <c r="N3265" s="3565">
        <v>0</v>
      </c>
      <c r="O3265" s="3563" t="s">
        <v>3453</v>
      </c>
    </row>
    <row r="3266" spans="1:15">
      <c r="A3266" s="3563" t="s">
        <v>7488</v>
      </c>
      <c r="B3266" s="3563" t="s">
        <v>4196</v>
      </c>
      <c r="C3266" s="3563" t="s">
        <v>4197</v>
      </c>
      <c r="D3266" s="3563" t="s">
        <v>6429</v>
      </c>
      <c r="E3266" s="3563" t="s">
        <v>4747</v>
      </c>
      <c r="F3266" s="3563" t="s">
        <v>4797</v>
      </c>
      <c r="G3266" s="3564">
        <v>109.31</v>
      </c>
      <c r="H3266" s="3564">
        <v>88.44</v>
      </c>
      <c r="I3266" s="3564">
        <v>20.87</v>
      </c>
      <c r="J3266" s="3565">
        <v>1129789</v>
      </c>
      <c r="K3266" s="3565">
        <v>10335.64</v>
      </c>
      <c r="L3266" s="3565">
        <v>12774.64</v>
      </c>
      <c r="M3266" s="3565">
        <v>0</v>
      </c>
      <c r="N3266" s="3565">
        <v>0</v>
      </c>
      <c r="O3266" s="3563" t="s">
        <v>3453</v>
      </c>
    </row>
    <row r="3267" spans="1:15">
      <c r="A3267" s="3563" t="s">
        <v>7489</v>
      </c>
      <c r="B3267" s="3563" t="s">
        <v>4196</v>
      </c>
      <c r="C3267" s="3563" t="s">
        <v>4197</v>
      </c>
      <c r="D3267" s="3563" t="s">
        <v>6429</v>
      </c>
      <c r="E3267" s="3563" t="s">
        <v>4747</v>
      </c>
      <c r="F3267" s="3563" t="s">
        <v>4797</v>
      </c>
      <c r="G3267" s="3564">
        <v>100.88</v>
      </c>
      <c r="H3267" s="3564">
        <v>81.62</v>
      </c>
      <c r="I3267" s="3564">
        <v>19.260000000000002</v>
      </c>
      <c r="J3267" s="3565">
        <v>1031928</v>
      </c>
      <c r="K3267" s="3565">
        <v>10229.26</v>
      </c>
      <c r="L3267" s="3565">
        <v>12643.08</v>
      </c>
      <c r="M3267" s="3565">
        <v>0</v>
      </c>
      <c r="N3267" s="3565">
        <v>0</v>
      </c>
      <c r="O3267" s="3563" t="s">
        <v>3453</v>
      </c>
    </row>
    <row r="3268" spans="1:15">
      <c r="A3268" s="3563" t="s">
        <v>7490</v>
      </c>
      <c r="B3268" s="3563" t="s">
        <v>4196</v>
      </c>
      <c r="C3268" s="3563" t="s">
        <v>4197</v>
      </c>
      <c r="D3268" s="3563" t="s">
        <v>6429</v>
      </c>
      <c r="E3268" s="3563" t="s">
        <v>4747</v>
      </c>
      <c r="F3268" s="3563" t="s">
        <v>4797</v>
      </c>
      <c r="G3268" s="3564">
        <v>100.88</v>
      </c>
      <c r="H3268" s="3564">
        <v>81.62</v>
      </c>
      <c r="I3268" s="3564">
        <v>19.260000000000002</v>
      </c>
      <c r="J3268" s="3565">
        <v>1031928</v>
      </c>
      <c r="K3268" s="3565">
        <v>10229.26</v>
      </c>
      <c r="L3268" s="3565">
        <v>12643.08</v>
      </c>
      <c r="M3268" s="3565">
        <v>0</v>
      </c>
      <c r="N3268" s="3565">
        <v>0</v>
      </c>
      <c r="O3268" s="3563" t="s">
        <v>3453</v>
      </c>
    </row>
    <row r="3269" spans="1:15">
      <c r="A3269" s="3563" t="s">
        <v>7491</v>
      </c>
      <c r="B3269" s="3563" t="s">
        <v>4196</v>
      </c>
      <c r="C3269" s="3563" t="s">
        <v>4197</v>
      </c>
      <c r="D3269" s="3563" t="s">
        <v>6429</v>
      </c>
      <c r="E3269" s="3563" t="s">
        <v>4747</v>
      </c>
      <c r="F3269" s="3563" t="s">
        <v>4797</v>
      </c>
      <c r="G3269" s="3564">
        <v>123.64</v>
      </c>
      <c r="H3269" s="3564">
        <v>100.03</v>
      </c>
      <c r="I3269" s="3564">
        <v>23.61</v>
      </c>
      <c r="J3269" s="3565">
        <v>1284475</v>
      </c>
      <c r="K3269" s="3565">
        <v>10388.83</v>
      </c>
      <c r="L3269" s="3565">
        <v>12840.9</v>
      </c>
      <c r="M3269" s="3565">
        <v>0</v>
      </c>
      <c r="N3269" s="3565">
        <v>0</v>
      </c>
      <c r="O3269" s="3563" t="s">
        <v>3453</v>
      </c>
    </row>
    <row r="3270" spans="1:15">
      <c r="A3270" s="3563" t="s">
        <v>7492</v>
      </c>
      <c r="B3270" s="3563" t="s">
        <v>4196</v>
      </c>
      <c r="C3270" s="3563" t="s">
        <v>4197</v>
      </c>
      <c r="D3270" s="3563" t="s">
        <v>6429</v>
      </c>
      <c r="E3270" s="3563" t="s">
        <v>4747</v>
      </c>
      <c r="F3270" s="3563" t="s">
        <v>4797</v>
      </c>
      <c r="G3270" s="3564">
        <v>100.88</v>
      </c>
      <c r="H3270" s="3564">
        <v>81.62</v>
      </c>
      <c r="I3270" s="3564">
        <v>19.260000000000002</v>
      </c>
      <c r="J3270" s="3565">
        <v>1068416</v>
      </c>
      <c r="K3270" s="3565">
        <v>10590.96</v>
      </c>
      <c r="L3270" s="3565">
        <v>13090.12</v>
      </c>
      <c r="M3270" s="3565">
        <v>0</v>
      </c>
      <c r="N3270" s="3565">
        <v>0</v>
      </c>
      <c r="O3270" s="3563" t="s">
        <v>3453</v>
      </c>
    </row>
    <row r="3271" spans="1:15">
      <c r="A3271" s="3563" t="s">
        <v>7493</v>
      </c>
      <c r="B3271" s="3563" t="s">
        <v>4196</v>
      </c>
      <c r="C3271" s="3563" t="s">
        <v>4197</v>
      </c>
      <c r="D3271" s="3563" t="s">
        <v>6429</v>
      </c>
      <c r="E3271" s="3563" t="s">
        <v>4747</v>
      </c>
      <c r="F3271" s="3563" t="s">
        <v>4797</v>
      </c>
      <c r="G3271" s="3564">
        <v>100.88</v>
      </c>
      <c r="H3271" s="3564">
        <v>81.62</v>
      </c>
      <c r="I3271" s="3564">
        <v>19.260000000000002</v>
      </c>
      <c r="J3271" s="3565">
        <v>1068416</v>
      </c>
      <c r="K3271" s="3565">
        <v>10590.96</v>
      </c>
      <c r="L3271" s="3565">
        <v>13090.12</v>
      </c>
      <c r="M3271" s="3565">
        <v>0</v>
      </c>
      <c r="N3271" s="3565">
        <v>0</v>
      </c>
      <c r="O3271" s="3563" t="s">
        <v>3453</v>
      </c>
    </row>
    <row r="3272" spans="1:15">
      <c r="A3272" s="3563" t="s">
        <v>7494</v>
      </c>
      <c r="B3272" s="3563" t="s">
        <v>4196</v>
      </c>
      <c r="C3272" s="3563" t="s">
        <v>4197</v>
      </c>
      <c r="D3272" s="3563" t="s">
        <v>6429</v>
      </c>
      <c r="E3272" s="3563" t="s">
        <v>4747</v>
      </c>
      <c r="F3272" s="3563" t="s">
        <v>4797</v>
      </c>
      <c r="G3272" s="3564">
        <v>109.31</v>
      </c>
      <c r="H3272" s="3564">
        <v>88.44</v>
      </c>
      <c r="I3272" s="3564">
        <v>20.87</v>
      </c>
      <c r="J3272" s="3565">
        <v>1128626</v>
      </c>
      <c r="K3272" s="3565">
        <v>10325</v>
      </c>
      <c r="L3272" s="3565">
        <v>12761.49</v>
      </c>
      <c r="M3272" s="3565">
        <v>0</v>
      </c>
      <c r="N3272" s="3565">
        <v>0</v>
      </c>
      <c r="O3272" s="3563" t="s">
        <v>3453</v>
      </c>
    </row>
    <row r="3273" spans="1:15">
      <c r="A3273" s="3563" t="s">
        <v>7495</v>
      </c>
      <c r="B3273" s="3563" t="s">
        <v>4196</v>
      </c>
      <c r="C3273" s="3563" t="s">
        <v>4197</v>
      </c>
      <c r="D3273" s="3563" t="s">
        <v>6429</v>
      </c>
      <c r="E3273" s="3563" t="s">
        <v>4747</v>
      </c>
      <c r="F3273" s="3563" t="s">
        <v>4797</v>
      </c>
      <c r="G3273" s="3564">
        <v>100.88</v>
      </c>
      <c r="H3273" s="3564">
        <v>81.62</v>
      </c>
      <c r="I3273" s="3564">
        <v>19.260000000000002</v>
      </c>
      <c r="J3273" s="3565">
        <v>1052319</v>
      </c>
      <c r="K3273" s="3565">
        <v>10431.39</v>
      </c>
      <c r="L3273" s="3565">
        <v>12892.91</v>
      </c>
      <c r="M3273" s="3565">
        <v>0</v>
      </c>
      <c r="N3273" s="3565">
        <v>0</v>
      </c>
      <c r="O3273" s="3563" t="s">
        <v>3453</v>
      </c>
    </row>
    <row r="3274" spans="1:15">
      <c r="A3274" s="3563" t="s">
        <v>7496</v>
      </c>
      <c r="B3274" s="3563" t="s">
        <v>4196</v>
      </c>
      <c r="C3274" s="3563" t="s">
        <v>4197</v>
      </c>
      <c r="D3274" s="3563" t="s">
        <v>6429</v>
      </c>
      <c r="E3274" s="3563" t="s">
        <v>4747</v>
      </c>
      <c r="F3274" s="3563" t="s">
        <v>4797</v>
      </c>
      <c r="G3274" s="3564">
        <v>100.88</v>
      </c>
      <c r="H3274" s="3564">
        <v>81.62</v>
      </c>
      <c r="I3274" s="3564">
        <v>19.260000000000002</v>
      </c>
      <c r="J3274" s="3565">
        <v>1052319</v>
      </c>
      <c r="K3274" s="3565">
        <v>10431.39</v>
      </c>
      <c r="L3274" s="3565">
        <v>12892.91</v>
      </c>
      <c r="M3274" s="3565">
        <v>0</v>
      </c>
      <c r="N3274" s="3565">
        <v>0</v>
      </c>
      <c r="O3274" s="3563" t="s">
        <v>3453</v>
      </c>
    </row>
    <row r="3275" spans="1:15">
      <c r="A3275" s="3563" t="s">
        <v>7497</v>
      </c>
      <c r="B3275" s="3563" t="s">
        <v>4196</v>
      </c>
      <c r="C3275" s="3563" t="s">
        <v>4197</v>
      </c>
      <c r="D3275" s="3563" t="s">
        <v>6429</v>
      </c>
      <c r="E3275" s="3563" t="s">
        <v>4747</v>
      </c>
      <c r="F3275" s="3563" t="s">
        <v>4797</v>
      </c>
      <c r="G3275" s="3564">
        <v>123.64</v>
      </c>
      <c r="H3275" s="3564">
        <v>100.03</v>
      </c>
      <c r="I3275" s="3564">
        <v>23.61</v>
      </c>
      <c r="J3275" s="3565">
        <v>1283160</v>
      </c>
      <c r="K3275" s="3565">
        <v>10378.19</v>
      </c>
      <c r="L3275" s="3565">
        <v>12827.75</v>
      </c>
      <c r="M3275" s="3565">
        <v>0</v>
      </c>
      <c r="N3275" s="3565">
        <v>0</v>
      </c>
      <c r="O3275" s="3563" t="s">
        <v>3453</v>
      </c>
    </row>
    <row r="3276" spans="1:15">
      <c r="A3276" s="3563" t="s">
        <v>7498</v>
      </c>
      <c r="B3276" s="3563" t="s">
        <v>4196</v>
      </c>
      <c r="C3276" s="3563" t="s">
        <v>4197</v>
      </c>
      <c r="D3276" s="3563" t="s">
        <v>6429</v>
      </c>
      <c r="E3276" s="3563" t="s">
        <v>4747</v>
      </c>
      <c r="F3276" s="3563" t="s">
        <v>4797</v>
      </c>
      <c r="G3276" s="3564">
        <v>100.88</v>
      </c>
      <c r="H3276" s="3564">
        <v>81.62</v>
      </c>
      <c r="I3276" s="3564">
        <v>19.260000000000002</v>
      </c>
      <c r="J3276" s="3565">
        <v>1035147</v>
      </c>
      <c r="K3276" s="3565">
        <v>10261.17</v>
      </c>
      <c r="L3276" s="3565">
        <v>12682.52</v>
      </c>
      <c r="M3276" s="3565">
        <v>0</v>
      </c>
      <c r="N3276" s="3565">
        <v>0</v>
      </c>
      <c r="O3276" s="3563" t="s">
        <v>3453</v>
      </c>
    </row>
    <row r="3277" spans="1:15">
      <c r="A3277" s="3563" t="s">
        <v>7499</v>
      </c>
      <c r="B3277" s="3563" t="s">
        <v>4196</v>
      </c>
      <c r="C3277" s="3563" t="s">
        <v>4197</v>
      </c>
      <c r="D3277" s="3563" t="s">
        <v>6429</v>
      </c>
      <c r="E3277" s="3563" t="s">
        <v>4747</v>
      </c>
      <c r="F3277" s="3563" t="s">
        <v>4797</v>
      </c>
      <c r="G3277" s="3564">
        <v>100.88</v>
      </c>
      <c r="H3277" s="3564">
        <v>81.62</v>
      </c>
      <c r="I3277" s="3564">
        <v>19.260000000000002</v>
      </c>
      <c r="J3277" s="3565">
        <v>1035147</v>
      </c>
      <c r="K3277" s="3565">
        <v>10261.17</v>
      </c>
      <c r="L3277" s="3565">
        <v>12682.52</v>
      </c>
      <c r="M3277" s="3565">
        <v>0</v>
      </c>
      <c r="N3277" s="3565">
        <v>0</v>
      </c>
      <c r="O3277" s="3563" t="s">
        <v>3453</v>
      </c>
    </row>
    <row r="3278" spans="1:15">
      <c r="A3278" s="3563" t="s">
        <v>7500</v>
      </c>
      <c r="B3278" s="3563" t="s">
        <v>4196</v>
      </c>
      <c r="C3278" s="3563" t="s">
        <v>4197</v>
      </c>
      <c r="D3278" s="3563" t="s">
        <v>6429</v>
      </c>
      <c r="E3278" s="3563" t="s">
        <v>4747</v>
      </c>
      <c r="F3278" s="3563" t="s">
        <v>4797</v>
      </c>
      <c r="G3278" s="3564">
        <v>109.31</v>
      </c>
      <c r="H3278" s="3564">
        <v>88.44</v>
      </c>
      <c r="I3278" s="3564">
        <v>20.87</v>
      </c>
      <c r="J3278" s="3565">
        <v>1092577</v>
      </c>
      <c r="K3278" s="3565">
        <v>9995.2199999999993</v>
      </c>
      <c r="L3278" s="3565">
        <v>12353.88</v>
      </c>
      <c r="M3278" s="3565">
        <v>0</v>
      </c>
      <c r="N3278" s="3565">
        <v>0</v>
      </c>
      <c r="O3278" s="3563" t="s">
        <v>3453</v>
      </c>
    </row>
    <row r="3279" spans="1:15">
      <c r="A3279" s="3563" t="s">
        <v>7501</v>
      </c>
      <c r="B3279" s="3563" t="s">
        <v>4196</v>
      </c>
      <c r="C3279" s="3563" t="s">
        <v>4197</v>
      </c>
      <c r="D3279" s="3563" t="s">
        <v>6429</v>
      </c>
      <c r="E3279" s="3563" t="s">
        <v>4747</v>
      </c>
      <c r="F3279" s="3563" t="s">
        <v>4797</v>
      </c>
      <c r="G3279" s="3564">
        <v>100.88</v>
      </c>
      <c r="H3279" s="3564">
        <v>81.62</v>
      </c>
      <c r="I3279" s="3564">
        <v>19.260000000000002</v>
      </c>
      <c r="J3279" s="3565">
        <v>1019049</v>
      </c>
      <c r="K3279" s="3565">
        <v>10101.6</v>
      </c>
      <c r="L3279" s="3565">
        <v>12485.29</v>
      </c>
      <c r="M3279" s="3565">
        <v>0</v>
      </c>
      <c r="N3279" s="3565">
        <v>0</v>
      </c>
      <c r="O3279" s="3563" t="s">
        <v>3453</v>
      </c>
    </row>
    <row r="3280" spans="1:15">
      <c r="A3280" s="3563" t="s">
        <v>7502</v>
      </c>
      <c r="B3280" s="3563" t="s">
        <v>4196</v>
      </c>
      <c r="C3280" s="3563" t="s">
        <v>4197</v>
      </c>
      <c r="D3280" s="3563" t="s">
        <v>6429</v>
      </c>
      <c r="E3280" s="3563" t="s">
        <v>4747</v>
      </c>
      <c r="F3280" s="3563" t="s">
        <v>4797</v>
      </c>
      <c r="G3280" s="3564">
        <v>100.88</v>
      </c>
      <c r="H3280" s="3564">
        <v>81.62</v>
      </c>
      <c r="I3280" s="3564">
        <v>19.260000000000002</v>
      </c>
      <c r="J3280" s="3565">
        <v>1019049</v>
      </c>
      <c r="K3280" s="3565">
        <v>10101.6</v>
      </c>
      <c r="L3280" s="3565">
        <v>12485.29</v>
      </c>
      <c r="M3280" s="3565">
        <v>0</v>
      </c>
      <c r="N3280" s="3565">
        <v>0</v>
      </c>
      <c r="O3280" s="3563" t="s">
        <v>3453</v>
      </c>
    </row>
    <row r="3281" spans="1:15">
      <c r="A3281" s="3563" t="s">
        <v>7503</v>
      </c>
      <c r="B3281" s="3563" t="s">
        <v>4196</v>
      </c>
      <c r="C3281" s="3563" t="s">
        <v>4197</v>
      </c>
      <c r="D3281" s="3563" t="s">
        <v>6429</v>
      </c>
      <c r="E3281" s="3563" t="s">
        <v>4747</v>
      </c>
      <c r="F3281" s="3563" t="s">
        <v>4797</v>
      </c>
      <c r="G3281" s="3564">
        <v>123.64</v>
      </c>
      <c r="H3281" s="3564">
        <v>100.03</v>
      </c>
      <c r="I3281" s="3564">
        <v>23.61</v>
      </c>
      <c r="J3281" s="3565">
        <v>1242386</v>
      </c>
      <c r="K3281" s="3565">
        <v>10048.41</v>
      </c>
      <c r="L3281" s="3565">
        <v>12420.13</v>
      </c>
      <c r="M3281" s="3565">
        <v>0</v>
      </c>
      <c r="N3281" s="3565">
        <v>0</v>
      </c>
      <c r="O3281" s="3563" t="s">
        <v>3453</v>
      </c>
    </row>
    <row r="3282" spans="1:15">
      <c r="A3282" s="3563" t="s">
        <v>7504</v>
      </c>
      <c r="B3282" s="3563" t="s">
        <v>4196</v>
      </c>
      <c r="C3282" s="3563" t="s">
        <v>4197</v>
      </c>
      <c r="D3282" s="3563" t="s">
        <v>6429</v>
      </c>
      <c r="E3282" s="3563" t="s">
        <v>4747</v>
      </c>
      <c r="F3282" s="3563" t="s">
        <v>4797</v>
      </c>
      <c r="G3282" s="3564">
        <v>100.88</v>
      </c>
      <c r="H3282" s="3564">
        <v>81.62</v>
      </c>
      <c r="I3282" s="3564">
        <v>19.260000000000002</v>
      </c>
      <c r="J3282" s="3565">
        <v>1042660</v>
      </c>
      <c r="K3282" s="3565">
        <v>10335.65</v>
      </c>
      <c r="L3282" s="3565">
        <v>12774.57</v>
      </c>
      <c r="M3282" s="3565">
        <v>0</v>
      </c>
      <c r="N3282" s="3565">
        <v>0</v>
      </c>
      <c r="O3282" s="3563" t="s">
        <v>3453</v>
      </c>
    </row>
    <row r="3283" spans="1:15">
      <c r="A3283" s="3563" t="s">
        <v>7505</v>
      </c>
      <c r="B3283" s="3563" t="s">
        <v>4196</v>
      </c>
      <c r="C3283" s="3563" t="s">
        <v>4197</v>
      </c>
      <c r="D3283" s="3563" t="s">
        <v>6429</v>
      </c>
      <c r="E3283" s="3563" t="s">
        <v>4747</v>
      </c>
      <c r="F3283" s="3563" t="s">
        <v>4797</v>
      </c>
      <c r="G3283" s="3564">
        <v>100.88</v>
      </c>
      <c r="H3283" s="3564">
        <v>81.62</v>
      </c>
      <c r="I3283" s="3564">
        <v>19.260000000000002</v>
      </c>
      <c r="J3283" s="3565">
        <v>1042660</v>
      </c>
      <c r="K3283" s="3565">
        <v>10335.65</v>
      </c>
      <c r="L3283" s="3565">
        <v>12774.57</v>
      </c>
      <c r="M3283" s="3565">
        <v>0</v>
      </c>
      <c r="N3283" s="3565">
        <v>0</v>
      </c>
      <c r="O3283" s="3563" t="s">
        <v>3453</v>
      </c>
    </row>
    <row r="3284" spans="1:15">
      <c r="A3284" s="3563" t="s">
        <v>7506</v>
      </c>
      <c r="B3284" s="3563" t="s">
        <v>4196</v>
      </c>
      <c r="C3284" s="3563" t="s">
        <v>4197</v>
      </c>
      <c r="D3284" s="3563" t="s">
        <v>6429</v>
      </c>
      <c r="E3284" s="3563" t="s">
        <v>4747</v>
      </c>
      <c r="F3284" s="3563" t="s">
        <v>4797</v>
      </c>
      <c r="G3284" s="3564">
        <v>109.31</v>
      </c>
      <c r="H3284" s="3564">
        <v>88.44</v>
      </c>
      <c r="I3284" s="3564">
        <v>20.87</v>
      </c>
      <c r="J3284" s="3565">
        <v>1100718</v>
      </c>
      <c r="K3284" s="3565">
        <v>10069.69</v>
      </c>
      <c r="L3284" s="3565">
        <v>12445.93</v>
      </c>
      <c r="M3284" s="3565">
        <v>0</v>
      </c>
      <c r="N3284" s="3565">
        <v>0</v>
      </c>
      <c r="O3284" s="3563" t="s">
        <v>3453</v>
      </c>
    </row>
    <row r="3285" spans="1:15">
      <c r="A3285" s="3563" t="s">
        <v>7507</v>
      </c>
      <c r="B3285" s="3563" t="s">
        <v>4196</v>
      </c>
      <c r="C3285" s="3563" t="s">
        <v>4197</v>
      </c>
      <c r="D3285" s="3563" t="s">
        <v>6429</v>
      </c>
      <c r="E3285" s="3563" t="s">
        <v>4747</v>
      </c>
      <c r="F3285" s="3563" t="s">
        <v>4797</v>
      </c>
      <c r="G3285" s="3564">
        <v>100.88</v>
      </c>
      <c r="H3285" s="3564">
        <v>81.62</v>
      </c>
      <c r="I3285" s="3564">
        <v>19.260000000000002</v>
      </c>
      <c r="J3285" s="3565">
        <v>1005098</v>
      </c>
      <c r="K3285" s="3565">
        <v>9963.2999999999993</v>
      </c>
      <c r="L3285" s="3565">
        <v>12314.36</v>
      </c>
      <c r="M3285" s="3565">
        <v>0</v>
      </c>
      <c r="N3285" s="3565">
        <v>0</v>
      </c>
      <c r="O3285" s="3563" t="s">
        <v>3453</v>
      </c>
    </row>
    <row r="3286" spans="1:15">
      <c r="A3286" s="3563" t="s">
        <v>7508</v>
      </c>
      <c r="B3286" s="3563" t="s">
        <v>4196</v>
      </c>
      <c r="C3286" s="3563" t="s">
        <v>4197</v>
      </c>
      <c r="D3286" s="3563" t="s">
        <v>6429</v>
      </c>
      <c r="E3286" s="3563" t="s">
        <v>4747</v>
      </c>
      <c r="F3286" s="3563" t="s">
        <v>4797</v>
      </c>
      <c r="G3286" s="3564">
        <v>100.88</v>
      </c>
      <c r="H3286" s="3564">
        <v>81.62</v>
      </c>
      <c r="I3286" s="3564">
        <v>19.260000000000002</v>
      </c>
      <c r="J3286" s="3565">
        <v>1005098</v>
      </c>
      <c r="K3286" s="3565">
        <v>9963.2999999999993</v>
      </c>
      <c r="L3286" s="3565">
        <v>12314.36</v>
      </c>
      <c r="M3286" s="3565">
        <v>0</v>
      </c>
      <c r="N3286" s="3565">
        <v>0</v>
      </c>
      <c r="O3286" s="3563" t="s">
        <v>3453</v>
      </c>
    </row>
    <row r="3287" spans="1:15">
      <c r="A3287" s="3563" t="s">
        <v>7509</v>
      </c>
      <c r="B3287" s="3563" t="s">
        <v>4196</v>
      </c>
      <c r="C3287" s="3563" t="s">
        <v>4197</v>
      </c>
      <c r="D3287" s="3563" t="s">
        <v>6429</v>
      </c>
      <c r="E3287" s="3563" t="s">
        <v>4747</v>
      </c>
      <c r="F3287" s="3563" t="s">
        <v>4797</v>
      </c>
      <c r="G3287" s="3564">
        <v>123.64</v>
      </c>
      <c r="H3287" s="3564">
        <v>100.03</v>
      </c>
      <c r="I3287" s="3564">
        <v>23.61</v>
      </c>
      <c r="J3287" s="3565">
        <v>1225286</v>
      </c>
      <c r="K3287" s="3565">
        <v>9910.11</v>
      </c>
      <c r="L3287" s="3565">
        <v>12249.19</v>
      </c>
      <c r="M3287" s="3565">
        <v>0</v>
      </c>
      <c r="N3287" s="3565">
        <v>0</v>
      </c>
      <c r="O3287" s="3563" t="s">
        <v>3453</v>
      </c>
    </row>
    <row r="3288" spans="1:15">
      <c r="A3288" s="3563" t="s">
        <v>7510</v>
      </c>
      <c r="B3288" s="3563" t="s">
        <v>4196</v>
      </c>
      <c r="C3288" s="3563" t="s">
        <v>4197</v>
      </c>
      <c r="D3288" s="3563" t="s">
        <v>6429</v>
      </c>
      <c r="E3288" s="3563" t="s">
        <v>4747</v>
      </c>
      <c r="F3288" s="3563" t="s">
        <v>4797</v>
      </c>
      <c r="G3288" s="3564">
        <v>100.88</v>
      </c>
      <c r="H3288" s="3564">
        <v>81.62</v>
      </c>
      <c r="I3288" s="3564">
        <v>19.260000000000002</v>
      </c>
      <c r="J3288" s="3565">
        <v>1055538</v>
      </c>
      <c r="K3288" s="3565">
        <v>10463.299999999999</v>
      </c>
      <c r="L3288" s="3565">
        <v>12932.35</v>
      </c>
      <c r="M3288" s="3565">
        <v>0</v>
      </c>
      <c r="N3288" s="3565">
        <v>0</v>
      </c>
      <c r="O3288" s="3563" t="s">
        <v>3453</v>
      </c>
    </row>
    <row r="3289" spans="1:15">
      <c r="A3289" s="3563" t="s">
        <v>7511</v>
      </c>
      <c r="B3289" s="3563" t="s">
        <v>4196</v>
      </c>
      <c r="C3289" s="3563" t="s">
        <v>4197</v>
      </c>
      <c r="D3289" s="3563" t="s">
        <v>6429</v>
      </c>
      <c r="E3289" s="3563" t="s">
        <v>4747</v>
      </c>
      <c r="F3289" s="3563" t="s">
        <v>4797</v>
      </c>
      <c r="G3289" s="3564">
        <v>100.88</v>
      </c>
      <c r="H3289" s="3564">
        <v>81.62</v>
      </c>
      <c r="I3289" s="3564">
        <v>19.260000000000002</v>
      </c>
      <c r="J3289" s="3565">
        <v>1055538</v>
      </c>
      <c r="K3289" s="3565">
        <v>10463.299999999999</v>
      </c>
      <c r="L3289" s="3565">
        <v>12932.35</v>
      </c>
      <c r="M3289" s="3565">
        <v>0</v>
      </c>
      <c r="N3289" s="3565">
        <v>0</v>
      </c>
      <c r="O3289" s="3563" t="s">
        <v>3453</v>
      </c>
    </row>
    <row r="3290" spans="1:15">
      <c r="A3290" s="3563" t="s">
        <v>7512</v>
      </c>
      <c r="B3290" s="3563" t="s">
        <v>4196</v>
      </c>
      <c r="C3290" s="3563" t="s">
        <v>4197</v>
      </c>
      <c r="D3290" s="3563" t="s">
        <v>6429</v>
      </c>
      <c r="E3290" s="3563" t="s">
        <v>4747</v>
      </c>
      <c r="F3290" s="3563" t="s">
        <v>4797</v>
      </c>
      <c r="G3290" s="3564">
        <v>109.31</v>
      </c>
      <c r="H3290" s="3564">
        <v>88.44</v>
      </c>
      <c r="I3290" s="3564">
        <v>20.87</v>
      </c>
      <c r="J3290" s="3565">
        <v>1114672</v>
      </c>
      <c r="K3290" s="3565">
        <v>10197.35</v>
      </c>
      <c r="L3290" s="3565">
        <v>12603.71</v>
      </c>
      <c r="M3290" s="3565">
        <v>0</v>
      </c>
      <c r="N3290" s="3565">
        <v>0</v>
      </c>
      <c r="O3290" s="3563" t="s">
        <v>3453</v>
      </c>
    </row>
    <row r="3291" spans="1:15">
      <c r="A3291" s="3563" t="s">
        <v>7513</v>
      </c>
      <c r="B3291" s="3563" t="s">
        <v>4196</v>
      </c>
      <c r="C3291" s="3563" t="s">
        <v>4197</v>
      </c>
      <c r="D3291" s="3563" t="s">
        <v>6429</v>
      </c>
      <c r="E3291" s="3563" t="s">
        <v>4747</v>
      </c>
      <c r="F3291" s="3563" t="s">
        <v>4797</v>
      </c>
      <c r="G3291" s="3564">
        <v>100.88</v>
      </c>
      <c r="H3291" s="3564">
        <v>81.62</v>
      </c>
      <c r="I3291" s="3564">
        <v>19.260000000000002</v>
      </c>
      <c r="J3291" s="3565">
        <v>1017976</v>
      </c>
      <c r="K3291" s="3565">
        <v>10090.959999999999</v>
      </c>
      <c r="L3291" s="3565">
        <v>12472.14</v>
      </c>
      <c r="M3291" s="3565">
        <v>0</v>
      </c>
      <c r="N3291" s="3565">
        <v>0</v>
      </c>
      <c r="O3291" s="3563" t="s">
        <v>3453</v>
      </c>
    </row>
    <row r="3292" spans="1:15">
      <c r="A3292" s="3563" t="s">
        <v>7514</v>
      </c>
      <c r="B3292" s="3563" t="s">
        <v>4196</v>
      </c>
      <c r="C3292" s="3563" t="s">
        <v>4197</v>
      </c>
      <c r="D3292" s="3563" t="s">
        <v>6429</v>
      </c>
      <c r="E3292" s="3563" t="s">
        <v>4747</v>
      </c>
      <c r="F3292" s="3563" t="s">
        <v>4797</v>
      </c>
      <c r="G3292" s="3564">
        <v>100.88</v>
      </c>
      <c r="H3292" s="3564">
        <v>81.62</v>
      </c>
      <c r="I3292" s="3564">
        <v>19.260000000000002</v>
      </c>
      <c r="J3292" s="3565">
        <v>1017976</v>
      </c>
      <c r="K3292" s="3565">
        <v>10090.959999999999</v>
      </c>
      <c r="L3292" s="3565">
        <v>12472.14</v>
      </c>
      <c r="M3292" s="3565">
        <v>0</v>
      </c>
      <c r="N3292" s="3565">
        <v>0</v>
      </c>
      <c r="O3292" s="3563" t="s">
        <v>3453</v>
      </c>
    </row>
    <row r="3293" spans="1:15">
      <c r="A3293" s="3563" t="s">
        <v>7515</v>
      </c>
      <c r="B3293" s="3563" t="s">
        <v>4196</v>
      </c>
      <c r="C3293" s="3563" t="s">
        <v>4197</v>
      </c>
      <c r="D3293" s="3563" t="s">
        <v>6429</v>
      </c>
      <c r="E3293" s="3563" t="s">
        <v>4747</v>
      </c>
      <c r="F3293" s="3563" t="s">
        <v>4797</v>
      </c>
      <c r="G3293" s="3564">
        <v>123.64</v>
      </c>
      <c r="H3293" s="3564">
        <v>100.03</v>
      </c>
      <c r="I3293" s="3564">
        <v>23.61</v>
      </c>
      <c r="J3293" s="3565">
        <v>1241070</v>
      </c>
      <c r="K3293" s="3565">
        <v>10037.77</v>
      </c>
      <c r="L3293" s="3565">
        <v>12406.98</v>
      </c>
      <c r="M3293" s="3565">
        <v>0</v>
      </c>
      <c r="N3293" s="3565">
        <v>0</v>
      </c>
      <c r="O3293" s="3563" t="s">
        <v>3453</v>
      </c>
    </row>
    <row r="3294" spans="1:15">
      <c r="A3294" s="3563" t="s">
        <v>7516</v>
      </c>
      <c r="B3294" s="3563" t="s">
        <v>4196</v>
      </c>
      <c r="C3294" s="3563" t="s">
        <v>4197</v>
      </c>
      <c r="D3294" s="3563" t="s">
        <v>6429</v>
      </c>
      <c r="E3294" s="3563" t="s">
        <v>4747</v>
      </c>
      <c r="F3294" s="3563" t="s">
        <v>4797</v>
      </c>
      <c r="G3294" s="3564">
        <v>100.88</v>
      </c>
      <c r="H3294" s="3564">
        <v>81.62</v>
      </c>
      <c r="I3294" s="3564">
        <v>19.260000000000002</v>
      </c>
      <c r="J3294" s="3565">
        <v>1068416</v>
      </c>
      <c r="K3294" s="3565">
        <v>10590.96</v>
      </c>
      <c r="L3294" s="3565">
        <v>13090.12</v>
      </c>
      <c r="M3294" s="3565">
        <v>0</v>
      </c>
      <c r="N3294" s="3565">
        <v>0</v>
      </c>
      <c r="O3294" s="3563" t="s">
        <v>3453</v>
      </c>
    </row>
    <row r="3295" spans="1:15">
      <c r="A3295" s="3563" t="s">
        <v>7517</v>
      </c>
      <c r="B3295" s="3563" t="s">
        <v>4196</v>
      </c>
      <c r="C3295" s="3563" t="s">
        <v>4197</v>
      </c>
      <c r="D3295" s="3563" t="s">
        <v>6429</v>
      </c>
      <c r="E3295" s="3563" t="s">
        <v>4747</v>
      </c>
      <c r="F3295" s="3563" t="s">
        <v>4797</v>
      </c>
      <c r="G3295" s="3564">
        <v>100.88</v>
      </c>
      <c r="H3295" s="3564">
        <v>81.62</v>
      </c>
      <c r="I3295" s="3564">
        <v>19.260000000000002</v>
      </c>
      <c r="J3295" s="3565">
        <v>1068416</v>
      </c>
      <c r="K3295" s="3565">
        <v>10590.96</v>
      </c>
      <c r="L3295" s="3565">
        <v>13090.12</v>
      </c>
      <c r="M3295" s="3565">
        <v>0</v>
      </c>
      <c r="N3295" s="3565">
        <v>0</v>
      </c>
      <c r="O3295" s="3563" t="s">
        <v>3453</v>
      </c>
    </row>
    <row r="3296" spans="1:15">
      <c r="A3296" s="3563" t="s">
        <v>7518</v>
      </c>
      <c r="B3296" s="3563" t="s">
        <v>4196</v>
      </c>
      <c r="C3296" s="3563" t="s">
        <v>4197</v>
      </c>
      <c r="D3296" s="3563" t="s">
        <v>6429</v>
      </c>
      <c r="E3296" s="3563" t="s">
        <v>4747</v>
      </c>
      <c r="F3296" s="3563" t="s">
        <v>4797</v>
      </c>
      <c r="G3296" s="3564">
        <v>109.31</v>
      </c>
      <c r="H3296" s="3564">
        <v>88.44</v>
      </c>
      <c r="I3296" s="3564">
        <v>20.87</v>
      </c>
      <c r="J3296" s="3565">
        <v>1128626</v>
      </c>
      <c r="K3296" s="3565">
        <v>10325</v>
      </c>
      <c r="L3296" s="3565">
        <v>12761.49</v>
      </c>
      <c r="M3296" s="3565">
        <v>0</v>
      </c>
      <c r="N3296" s="3565">
        <v>0</v>
      </c>
      <c r="O3296" s="3563" t="s">
        <v>3453</v>
      </c>
    </row>
    <row r="3297" spans="1:15">
      <c r="A3297" s="3563" t="s">
        <v>7519</v>
      </c>
      <c r="B3297" s="3563" t="s">
        <v>4196</v>
      </c>
      <c r="C3297" s="3563" t="s">
        <v>4197</v>
      </c>
      <c r="D3297" s="3563" t="s">
        <v>6429</v>
      </c>
      <c r="E3297" s="3563" t="s">
        <v>4747</v>
      </c>
      <c r="F3297" s="3563" t="s">
        <v>4797</v>
      </c>
      <c r="G3297" s="3564">
        <v>100.88</v>
      </c>
      <c r="H3297" s="3564">
        <v>81.62</v>
      </c>
      <c r="I3297" s="3564">
        <v>19.260000000000002</v>
      </c>
      <c r="J3297" s="3565">
        <v>1030855</v>
      </c>
      <c r="K3297" s="3565">
        <v>10218.629999999999</v>
      </c>
      <c r="L3297" s="3565">
        <v>12629.93</v>
      </c>
      <c r="M3297" s="3565">
        <v>0</v>
      </c>
      <c r="N3297" s="3565">
        <v>0</v>
      </c>
      <c r="O3297" s="3563" t="s">
        <v>3453</v>
      </c>
    </row>
    <row r="3298" spans="1:15">
      <c r="A3298" s="3563" t="s">
        <v>7520</v>
      </c>
      <c r="B3298" s="3563" t="s">
        <v>4196</v>
      </c>
      <c r="C3298" s="3563" t="s">
        <v>4197</v>
      </c>
      <c r="D3298" s="3563" t="s">
        <v>6429</v>
      </c>
      <c r="E3298" s="3563" t="s">
        <v>4747</v>
      </c>
      <c r="F3298" s="3563" t="s">
        <v>4797</v>
      </c>
      <c r="G3298" s="3564">
        <v>100.88</v>
      </c>
      <c r="H3298" s="3564">
        <v>81.62</v>
      </c>
      <c r="I3298" s="3564">
        <v>19.260000000000002</v>
      </c>
      <c r="J3298" s="3565">
        <v>1030855</v>
      </c>
      <c r="K3298" s="3565">
        <v>10218.629999999999</v>
      </c>
      <c r="L3298" s="3565">
        <v>12629.93</v>
      </c>
      <c r="M3298" s="3565">
        <v>0</v>
      </c>
      <c r="N3298" s="3565">
        <v>0</v>
      </c>
      <c r="O3298" s="3563" t="s">
        <v>3453</v>
      </c>
    </row>
    <row r="3299" spans="1:15">
      <c r="A3299" s="3563" t="s">
        <v>7521</v>
      </c>
      <c r="B3299" s="3563" t="s">
        <v>4196</v>
      </c>
      <c r="C3299" s="3563" t="s">
        <v>4197</v>
      </c>
      <c r="D3299" s="3563" t="s">
        <v>6429</v>
      </c>
      <c r="E3299" s="3563" t="s">
        <v>4747</v>
      </c>
      <c r="F3299" s="3563" t="s">
        <v>4797</v>
      </c>
      <c r="G3299" s="3564">
        <v>123.64</v>
      </c>
      <c r="H3299" s="3564">
        <v>100.03</v>
      </c>
      <c r="I3299" s="3564">
        <v>23.61</v>
      </c>
      <c r="J3299" s="3565">
        <v>1256854</v>
      </c>
      <c r="K3299" s="3565">
        <v>10165.43</v>
      </c>
      <c r="L3299" s="3565">
        <v>12564.77</v>
      </c>
      <c r="M3299" s="3565">
        <v>0</v>
      </c>
      <c r="N3299" s="3565">
        <v>0</v>
      </c>
      <c r="O3299" s="3563" t="s">
        <v>3453</v>
      </c>
    </row>
    <row r="3300" spans="1:15">
      <c r="A3300" s="3563" t="s">
        <v>7522</v>
      </c>
      <c r="B3300" s="3563" t="s">
        <v>4196</v>
      </c>
      <c r="C3300" s="3563" t="s">
        <v>4197</v>
      </c>
      <c r="D3300" s="3563" t="s">
        <v>6429</v>
      </c>
      <c r="E3300" s="3563" t="s">
        <v>4747</v>
      </c>
      <c r="F3300" s="3563" t="s">
        <v>4797</v>
      </c>
      <c r="G3300" s="3564">
        <v>100.88</v>
      </c>
      <c r="H3300" s="3564">
        <v>81.62</v>
      </c>
      <c r="I3300" s="3564">
        <v>19.260000000000002</v>
      </c>
      <c r="J3300" s="3565">
        <v>1069490</v>
      </c>
      <c r="K3300" s="3565">
        <v>10601.61</v>
      </c>
      <c r="L3300" s="3565">
        <v>13103.28</v>
      </c>
      <c r="M3300" s="3565">
        <v>0</v>
      </c>
      <c r="N3300" s="3565">
        <v>0</v>
      </c>
      <c r="O3300" s="3563" t="s">
        <v>3453</v>
      </c>
    </row>
    <row r="3301" spans="1:15">
      <c r="A3301" s="3563" t="s">
        <v>7523</v>
      </c>
      <c r="B3301" s="3563" t="s">
        <v>4196</v>
      </c>
      <c r="C3301" s="3563" t="s">
        <v>4197</v>
      </c>
      <c r="D3301" s="3563" t="s">
        <v>6429</v>
      </c>
      <c r="E3301" s="3563" t="s">
        <v>4747</v>
      </c>
      <c r="F3301" s="3563" t="s">
        <v>4797</v>
      </c>
      <c r="G3301" s="3564">
        <v>100.88</v>
      </c>
      <c r="H3301" s="3564">
        <v>81.62</v>
      </c>
      <c r="I3301" s="3564">
        <v>19.260000000000002</v>
      </c>
      <c r="J3301" s="3565">
        <v>1069490</v>
      </c>
      <c r="K3301" s="3565">
        <v>10601.61</v>
      </c>
      <c r="L3301" s="3565">
        <v>13103.28</v>
      </c>
      <c r="M3301" s="3565">
        <v>0</v>
      </c>
      <c r="N3301" s="3565">
        <v>0</v>
      </c>
      <c r="O3301" s="3563" t="s">
        <v>3453</v>
      </c>
    </row>
    <row r="3302" spans="1:15">
      <c r="A3302" s="3563" t="s">
        <v>7524</v>
      </c>
      <c r="B3302" s="3563" t="s">
        <v>4196</v>
      </c>
      <c r="C3302" s="3563" t="s">
        <v>4197</v>
      </c>
      <c r="D3302" s="3563" t="s">
        <v>6429</v>
      </c>
      <c r="E3302" s="3563" t="s">
        <v>4747</v>
      </c>
      <c r="F3302" s="3563" t="s">
        <v>4797</v>
      </c>
      <c r="G3302" s="3564">
        <v>109.31</v>
      </c>
      <c r="H3302" s="3564">
        <v>88.44</v>
      </c>
      <c r="I3302" s="3564">
        <v>20.87</v>
      </c>
      <c r="J3302" s="3565">
        <v>1129789</v>
      </c>
      <c r="K3302" s="3565">
        <v>10335.64</v>
      </c>
      <c r="L3302" s="3565">
        <v>12774.64</v>
      </c>
      <c r="M3302" s="3565">
        <v>0</v>
      </c>
      <c r="N3302" s="3565">
        <v>0</v>
      </c>
      <c r="O3302" s="3563" t="s">
        <v>3453</v>
      </c>
    </row>
    <row r="3303" spans="1:15">
      <c r="A3303" s="3563" t="s">
        <v>7525</v>
      </c>
      <c r="B3303" s="3563" t="s">
        <v>4196</v>
      </c>
      <c r="C3303" s="3563" t="s">
        <v>4197</v>
      </c>
      <c r="D3303" s="3563" t="s">
        <v>6429</v>
      </c>
      <c r="E3303" s="3563" t="s">
        <v>4747</v>
      </c>
      <c r="F3303" s="3563" t="s">
        <v>4797</v>
      </c>
      <c r="G3303" s="3564">
        <v>100.88</v>
      </c>
      <c r="H3303" s="3564">
        <v>81.62</v>
      </c>
      <c r="I3303" s="3564">
        <v>19.260000000000002</v>
      </c>
      <c r="J3303" s="3565">
        <v>1031928</v>
      </c>
      <c r="K3303" s="3565">
        <v>10229.26</v>
      </c>
      <c r="L3303" s="3565">
        <v>12643.08</v>
      </c>
      <c r="M3303" s="3565">
        <v>0</v>
      </c>
      <c r="N3303" s="3565">
        <v>0</v>
      </c>
      <c r="O3303" s="3563" t="s">
        <v>3453</v>
      </c>
    </row>
    <row r="3304" spans="1:15">
      <c r="A3304" s="3563" t="s">
        <v>7526</v>
      </c>
      <c r="B3304" s="3563" t="s">
        <v>4196</v>
      </c>
      <c r="C3304" s="3563" t="s">
        <v>4197</v>
      </c>
      <c r="D3304" s="3563" t="s">
        <v>6429</v>
      </c>
      <c r="E3304" s="3563" t="s">
        <v>4747</v>
      </c>
      <c r="F3304" s="3563" t="s">
        <v>4797</v>
      </c>
      <c r="G3304" s="3564">
        <v>100.88</v>
      </c>
      <c r="H3304" s="3564">
        <v>81.62</v>
      </c>
      <c r="I3304" s="3564">
        <v>19.260000000000002</v>
      </c>
      <c r="J3304" s="3565">
        <v>1031928</v>
      </c>
      <c r="K3304" s="3565">
        <v>10229.26</v>
      </c>
      <c r="L3304" s="3565">
        <v>12643.08</v>
      </c>
      <c r="M3304" s="3565">
        <v>0</v>
      </c>
      <c r="N3304" s="3565">
        <v>0</v>
      </c>
      <c r="O3304" s="3563" t="s">
        <v>3453</v>
      </c>
    </row>
    <row r="3305" spans="1:15">
      <c r="A3305" s="3563" t="s">
        <v>7527</v>
      </c>
      <c r="B3305" s="3563" t="s">
        <v>4196</v>
      </c>
      <c r="C3305" s="3563" t="s">
        <v>4197</v>
      </c>
      <c r="D3305" s="3563" t="s">
        <v>6429</v>
      </c>
      <c r="E3305" s="3563" t="s">
        <v>4747</v>
      </c>
      <c r="F3305" s="3563" t="s">
        <v>4797</v>
      </c>
      <c r="G3305" s="3564">
        <v>123.64</v>
      </c>
      <c r="H3305" s="3564">
        <v>100.03</v>
      </c>
      <c r="I3305" s="3564">
        <v>23.61</v>
      </c>
      <c r="J3305" s="3565">
        <v>1258169</v>
      </c>
      <c r="K3305" s="3565">
        <v>10176.07</v>
      </c>
      <c r="L3305" s="3565">
        <v>12577.92</v>
      </c>
      <c r="M3305" s="3565">
        <v>0</v>
      </c>
      <c r="N3305" s="3565">
        <v>0</v>
      </c>
      <c r="O3305" s="3563" t="s">
        <v>3453</v>
      </c>
    </row>
    <row r="3306" spans="1:15">
      <c r="A3306" s="3563" t="s">
        <v>7528</v>
      </c>
      <c r="B3306" s="3563" t="s">
        <v>4196</v>
      </c>
      <c r="C3306" s="3563" t="s">
        <v>4197</v>
      </c>
      <c r="D3306" s="3563" t="s">
        <v>6429</v>
      </c>
      <c r="E3306" s="3563" t="s">
        <v>4747</v>
      </c>
      <c r="F3306" s="3563" t="s">
        <v>4797</v>
      </c>
      <c r="G3306" s="3564">
        <v>100.88</v>
      </c>
      <c r="H3306" s="3564">
        <v>81.62</v>
      </c>
      <c r="I3306" s="3564">
        <v>19.260000000000002</v>
      </c>
      <c r="J3306" s="3565">
        <v>1070562</v>
      </c>
      <c r="K3306" s="3565">
        <v>10612.23</v>
      </c>
      <c r="L3306" s="3565">
        <v>13116.42</v>
      </c>
      <c r="M3306" s="3565">
        <v>0</v>
      </c>
      <c r="N3306" s="3565">
        <v>0</v>
      </c>
      <c r="O3306" s="3563" t="s">
        <v>3453</v>
      </c>
    </row>
    <row r="3307" spans="1:15">
      <c r="A3307" s="3563" t="s">
        <v>7529</v>
      </c>
      <c r="B3307" s="3563" t="s">
        <v>4196</v>
      </c>
      <c r="C3307" s="3563" t="s">
        <v>4197</v>
      </c>
      <c r="D3307" s="3563" t="s">
        <v>6429</v>
      </c>
      <c r="E3307" s="3563" t="s">
        <v>4747</v>
      </c>
      <c r="F3307" s="3563" t="s">
        <v>4797</v>
      </c>
      <c r="G3307" s="3564">
        <v>100.88</v>
      </c>
      <c r="H3307" s="3564">
        <v>81.62</v>
      </c>
      <c r="I3307" s="3564">
        <v>19.260000000000002</v>
      </c>
      <c r="J3307" s="3565">
        <v>1070562</v>
      </c>
      <c r="K3307" s="3565">
        <v>10612.23</v>
      </c>
      <c r="L3307" s="3565">
        <v>13116.42</v>
      </c>
      <c r="M3307" s="3565">
        <v>0</v>
      </c>
      <c r="N3307" s="3565">
        <v>0</v>
      </c>
      <c r="O3307" s="3563" t="s">
        <v>3453</v>
      </c>
    </row>
    <row r="3308" spans="1:15">
      <c r="A3308" s="3563" t="s">
        <v>7530</v>
      </c>
      <c r="B3308" s="3563" t="s">
        <v>4196</v>
      </c>
      <c r="C3308" s="3563" t="s">
        <v>4197</v>
      </c>
      <c r="D3308" s="3563" t="s">
        <v>6429</v>
      </c>
      <c r="E3308" s="3563" t="s">
        <v>4747</v>
      </c>
      <c r="F3308" s="3563" t="s">
        <v>4797</v>
      </c>
      <c r="G3308" s="3564">
        <v>109.31</v>
      </c>
      <c r="H3308" s="3564">
        <v>88.44</v>
      </c>
      <c r="I3308" s="3564">
        <v>20.87</v>
      </c>
      <c r="J3308" s="3565">
        <v>1130952</v>
      </c>
      <c r="K3308" s="3565">
        <v>10346.280000000001</v>
      </c>
      <c r="L3308" s="3565">
        <v>12787.79</v>
      </c>
      <c r="M3308" s="3565">
        <v>0</v>
      </c>
      <c r="N3308" s="3565">
        <v>0</v>
      </c>
      <c r="O3308" s="3563" t="s">
        <v>3453</v>
      </c>
    </row>
    <row r="3309" spans="1:15">
      <c r="A3309" s="3563" t="s">
        <v>7531</v>
      </c>
      <c r="B3309" s="3563" t="s">
        <v>4196</v>
      </c>
      <c r="C3309" s="3563" t="s">
        <v>4197</v>
      </c>
      <c r="D3309" s="3563" t="s">
        <v>6429</v>
      </c>
      <c r="E3309" s="3563" t="s">
        <v>4747</v>
      </c>
      <c r="F3309" s="3563" t="s">
        <v>4797</v>
      </c>
      <c r="G3309" s="3564">
        <v>100.88</v>
      </c>
      <c r="H3309" s="3564">
        <v>81.62</v>
      </c>
      <c r="I3309" s="3564">
        <v>19.260000000000002</v>
      </c>
      <c r="J3309" s="3565">
        <v>1033000</v>
      </c>
      <c r="K3309" s="3565">
        <v>10239.89</v>
      </c>
      <c r="L3309" s="3565">
        <v>12656.21</v>
      </c>
      <c r="M3309" s="3565">
        <v>0</v>
      </c>
      <c r="N3309" s="3565">
        <v>0</v>
      </c>
      <c r="O3309" s="3563" t="s">
        <v>3453</v>
      </c>
    </row>
    <row r="3310" spans="1:15">
      <c r="A3310" s="3563" t="s">
        <v>7532</v>
      </c>
      <c r="B3310" s="3563" t="s">
        <v>4196</v>
      </c>
      <c r="C3310" s="3563" t="s">
        <v>4197</v>
      </c>
      <c r="D3310" s="3563" t="s">
        <v>6429</v>
      </c>
      <c r="E3310" s="3563" t="s">
        <v>4747</v>
      </c>
      <c r="F3310" s="3563" t="s">
        <v>4797</v>
      </c>
      <c r="G3310" s="3564">
        <v>100.88</v>
      </c>
      <c r="H3310" s="3564">
        <v>81.62</v>
      </c>
      <c r="I3310" s="3564">
        <v>19.260000000000002</v>
      </c>
      <c r="J3310" s="3565">
        <v>1033000</v>
      </c>
      <c r="K3310" s="3565">
        <v>10239.89</v>
      </c>
      <c r="L3310" s="3565">
        <v>12656.21</v>
      </c>
      <c r="M3310" s="3565">
        <v>0</v>
      </c>
      <c r="N3310" s="3565">
        <v>0</v>
      </c>
      <c r="O3310" s="3563" t="s">
        <v>3453</v>
      </c>
    </row>
    <row r="3311" spans="1:15">
      <c r="A3311" s="3563" t="s">
        <v>7533</v>
      </c>
      <c r="B3311" s="3563" t="s">
        <v>4196</v>
      </c>
      <c r="C3311" s="3563" t="s">
        <v>4197</v>
      </c>
      <c r="D3311" s="3563" t="s">
        <v>6429</v>
      </c>
      <c r="E3311" s="3563" t="s">
        <v>4747</v>
      </c>
      <c r="F3311" s="3563" t="s">
        <v>4797</v>
      </c>
      <c r="G3311" s="3564">
        <v>123.64</v>
      </c>
      <c r="H3311" s="3564">
        <v>100.03</v>
      </c>
      <c r="I3311" s="3564">
        <v>23.61</v>
      </c>
      <c r="J3311" s="3565">
        <v>1285791</v>
      </c>
      <c r="K3311" s="3565">
        <v>10399.469999999999</v>
      </c>
      <c r="L3311" s="3565">
        <v>12854.05</v>
      </c>
      <c r="M3311" s="3565">
        <v>0</v>
      </c>
      <c r="N3311" s="3565">
        <v>0</v>
      </c>
      <c r="O3311" s="3563" t="s">
        <v>3453</v>
      </c>
    </row>
    <row r="3312" spans="1:15">
      <c r="A3312" s="3563" t="s">
        <v>7534</v>
      </c>
      <c r="B3312" s="3563" t="s">
        <v>4196</v>
      </c>
      <c r="C3312" s="3563" t="s">
        <v>4197</v>
      </c>
      <c r="D3312" s="3563" t="s">
        <v>6429</v>
      </c>
      <c r="E3312" s="3563" t="s">
        <v>4747</v>
      </c>
      <c r="F3312" s="3563" t="s">
        <v>4797</v>
      </c>
      <c r="G3312" s="3564">
        <v>100.88</v>
      </c>
      <c r="H3312" s="3564">
        <v>81.62</v>
      </c>
      <c r="I3312" s="3564">
        <v>19.260000000000002</v>
      </c>
      <c r="J3312" s="3565">
        <v>1071636</v>
      </c>
      <c r="K3312" s="3565">
        <v>10622.88</v>
      </c>
      <c r="L3312" s="3565">
        <v>13129.58</v>
      </c>
      <c r="M3312" s="3565">
        <v>0</v>
      </c>
      <c r="N3312" s="3565">
        <v>0</v>
      </c>
      <c r="O3312" s="3563" t="s">
        <v>3453</v>
      </c>
    </row>
    <row r="3313" spans="1:15">
      <c r="A3313" s="3563" t="s">
        <v>7535</v>
      </c>
      <c r="B3313" s="3563" t="s">
        <v>4196</v>
      </c>
      <c r="C3313" s="3563" t="s">
        <v>4197</v>
      </c>
      <c r="D3313" s="3563" t="s">
        <v>6429</v>
      </c>
      <c r="E3313" s="3563" t="s">
        <v>4747</v>
      </c>
      <c r="F3313" s="3563" t="s">
        <v>4797</v>
      </c>
      <c r="G3313" s="3564">
        <v>100.88</v>
      </c>
      <c r="H3313" s="3564">
        <v>81.62</v>
      </c>
      <c r="I3313" s="3564">
        <v>19.260000000000002</v>
      </c>
      <c r="J3313" s="3565">
        <v>1071636</v>
      </c>
      <c r="K3313" s="3565">
        <v>10622.88</v>
      </c>
      <c r="L3313" s="3565">
        <v>13129.58</v>
      </c>
      <c r="M3313" s="3565">
        <v>0</v>
      </c>
      <c r="N3313" s="3565">
        <v>0</v>
      </c>
      <c r="O3313" s="3563" t="s">
        <v>3453</v>
      </c>
    </row>
    <row r="3314" spans="1:15">
      <c r="A3314" s="3563" t="s">
        <v>7536</v>
      </c>
      <c r="B3314" s="3563" t="s">
        <v>4196</v>
      </c>
      <c r="C3314" s="3563" t="s">
        <v>4197</v>
      </c>
      <c r="D3314" s="3563" t="s">
        <v>6429</v>
      </c>
      <c r="E3314" s="3563" t="s">
        <v>4747</v>
      </c>
      <c r="F3314" s="3563" t="s">
        <v>4797</v>
      </c>
      <c r="G3314" s="3564">
        <v>109.31</v>
      </c>
      <c r="H3314" s="3564">
        <v>88.44</v>
      </c>
      <c r="I3314" s="3564">
        <v>20.87</v>
      </c>
      <c r="J3314" s="3565">
        <v>1132115</v>
      </c>
      <c r="K3314" s="3565">
        <v>10356.92</v>
      </c>
      <c r="L3314" s="3565">
        <v>12800.94</v>
      </c>
      <c r="M3314" s="3565">
        <v>0</v>
      </c>
      <c r="N3314" s="3565">
        <v>0</v>
      </c>
      <c r="O3314" s="3563" t="s">
        <v>3453</v>
      </c>
    </row>
    <row r="3315" spans="1:15">
      <c r="A3315" s="3563" t="s">
        <v>7537</v>
      </c>
      <c r="B3315" s="3563" t="s">
        <v>4196</v>
      </c>
      <c r="C3315" s="3563" t="s">
        <v>4197</v>
      </c>
      <c r="D3315" s="3563" t="s">
        <v>6429</v>
      </c>
      <c r="E3315" s="3563" t="s">
        <v>4747</v>
      </c>
      <c r="F3315" s="3563" t="s">
        <v>4797</v>
      </c>
      <c r="G3315" s="3564">
        <v>100.88</v>
      </c>
      <c r="H3315" s="3564">
        <v>81.62</v>
      </c>
      <c r="I3315" s="3564">
        <v>19.260000000000002</v>
      </c>
      <c r="J3315" s="3565">
        <v>1034074</v>
      </c>
      <c r="K3315" s="3565">
        <v>10250.540000000001</v>
      </c>
      <c r="L3315" s="3565">
        <v>12669.37</v>
      </c>
      <c r="M3315" s="3565">
        <v>0</v>
      </c>
      <c r="N3315" s="3565">
        <v>0</v>
      </c>
      <c r="O3315" s="3563" t="s">
        <v>3453</v>
      </c>
    </row>
    <row r="3316" spans="1:15">
      <c r="A3316" s="3563" t="s">
        <v>7538</v>
      </c>
      <c r="B3316" s="3563" t="s">
        <v>4196</v>
      </c>
      <c r="C3316" s="3563" t="s">
        <v>4197</v>
      </c>
      <c r="D3316" s="3563" t="s">
        <v>6429</v>
      </c>
      <c r="E3316" s="3563" t="s">
        <v>4747</v>
      </c>
      <c r="F3316" s="3563" t="s">
        <v>4797</v>
      </c>
      <c r="G3316" s="3564">
        <v>100.88</v>
      </c>
      <c r="H3316" s="3564">
        <v>81.62</v>
      </c>
      <c r="I3316" s="3564">
        <v>19.260000000000002</v>
      </c>
      <c r="J3316" s="3565">
        <v>1034074</v>
      </c>
      <c r="K3316" s="3565">
        <v>10250.540000000001</v>
      </c>
      <c r="L3316" s="3565">
        <v>12669.37</v>
      </c>
      <c r="M3316" s="3565">
        <v>0</v>
      </c>
      <c r="N3316" s="3565">
        <v>0</v>
      </c>
      <c r="O3316" s="3563" t="s">
        <v>3453</v>
      </c>
    </row>
    <row r="3317" spans="1:15">
      <c r="A3317" s="3563" t="s">
        <v>7539</v>
      </c>
      <c r="B3317" s="3563" t="s">
        <v>4196</v>
      </c>
      <c r="C3317" s="3563" t="s">
        <v>4197</v>
      </c>
      <c r="D3317" s="3563" t="s">
        <v>6429</v>
      </c>
      <c r="E3317" s="3563" t="s">
        <v>4747</v>
      </c>
      <c r="F3317" s="3563" t="s">
        <v>4797</v>
      </c>
      <c r="G3317" s="3564">
        <v>123.64</v>
      </c>
      <c r="H3317" s="3564">
        <v>100.03</v>
      </c>
      <c r="I3317" s="3564">
        <v>23.61</v>
      </c>
      <c r="J3317" s="3565">
        <v>1287106</v>
      </c>
      <c r="K3317" s="3565">
        <v>10410.11</v>
      </c>
      <c r="L3317" s="3565">
        <v>12867.2</v>
      </c>
      <c r="M3317" s="3565">
        <v>0</v>
      </c>
      <c r="N3317" s="3565">
        <v>0</v>
      </c>
      <c r="O3317" s="3563" t="s">
        <v>3453</v>
      </c>
    </row>
    <row r="3318" spans="1:15">
      <c r="A3318" s="3563" t="s">
        <v>7540</v>
      </c>
      <c r="B3318" s="3563" t="s">
        <v>4196</v>
      </c>
      <c r="C3318" s="3563" t="s">
        <v>4197</v>
      </c>
      <c r="D3318" s="3563" t="s">
        <v>6429</v>
      </c>
      <c r="E3318" s="3563" t="s">
        <v>4747</v>
      </c>
      <c r="F3318" s="3563" t="s">
        <v>4797</v>
      </c>
      <c r="G3318" s="3564">
        <v>100.88</v>
      </c>
      <c r="H3318" s="3564">
        <v>81.62</v>
      </c>
      <c r="I3318" s="3564">
        <v>19.260000000000002</v>
      </c>
      <c r="J3318" s="3565">
        <v>1072709</v>
      </c>
      <c r="K3318" s="3565">
        <v>10633.52</v>
      </c>
      <c r="L3318" s="3565">
        <v>13142.72</v>
      </c>
      <c r="M3318" s="3565">
        <v>0</v>
      </c>
      <c r="N3318" s="3565">
        <v>0</v>
      </c>
      <c r="O3318" s="3563" t="s">
        <v>3453</v>
      </c>
    </row>
    <row r="3319" spans="1:15">
      <c r="A3319" s="3563" t="s">
        <v>7541</v>
      </c>
      <c r="B3319" s="3563" t="s">
        <v>4196</v>
      </c>
      <c r="C3319" s="3563" t="s">
        <v>4197</v>
      </c>
      <c r="D3319" s="3563" t="s">
        <v>6429</v>
      </c>
      <c r="E3319" s="3563" t="s">
        <v>4747</v>
      </c>
      <c r="F3319" s="3563" t="s">
        <v>4797</v>
      </c>
      <c r="G3319" s="3564">
        <v>100.88</v>
      </c>
      <c r="H3319" s="3564">
        <v>81.62</v>
      </c>
      <c r="I3319" s="3564">
        <v>19.260000000000002</v>
      </c>
      <c r="J3319" s="3565">
        <v>1072709</v>
      </c>
      <c r="K3319" s="3565">
        <v>10633.52</v>
      </c>
      <c r="L3319" s="3565">
        <v>13142.72</v>
      </c>
      <c r="M3319" s="3565">
        <v>0</v>
      </c>
      <c r="N3319" s="3565">
        <v>0</v>
      </c>
      <c r="O3319" s="3563" t="s">
        <v>3453</v>
      </c>
    </row>
    <row r="3320" spans="1:15">
      <c r="A3320" s="3563" t="s">
        <v>7542</v>
      </c>
      <c r="B3320" s="3563" t="s">
        <v>4196</v>
      </c>
      <c r="C3320" s="3563" t="s">
        <v>4197</v>
      </c>
      <c r="D3320" s="3563" t="s">
        <v>6429</v>
      </c>
      <c r="E3320" s="3563" t="s">
        <v>4747</v>
      </c>
      <c r="F3320" s="3563" t="s">
        <v>4797</v>
      </c>
      <c r="G3320" s="3564">
        <v>109.31</v>
      </c>
      <c r="H3320" s="3564">
        <v>88.44</v>
      </c>
      <c r="I3320" s="3564">
        <v>20.87</v>
      </c>
      <c r="J3320" s="3565">
        <v>1133278</v>
      </c>
      <c r="K3320" s="3565">
        <v>10367.56</v>
      </c>
      <c r="L3320" s="3565">
        <v>12814.09</v>
      </c>
      <c r="M3320" s="3565">
        <v>0</v>
      </c>
      <c r="N3320" s="3565">
        <v>0</v>
      </c>
      <c r="O3320" s="3563" t="s">
        <v>3453</v>
      </c>
    </row>
    <row r="3321" spans="1:15">
      <c r="A3321" s="3563" t="s">
        <v>7543</v>
      </c>
      <c r="B3321" s="3563" t="s">
        <v>4196</v>
      </c>
      <c r="C3321" s="3563" t="s">
        <v>4197</v>
      </c>
      <c r="D3321" s="3563" t="s">
        <v>6429</v>
      </c>
      <c r="E3321" s="3563" t="s">
        <v>4747</v>
      </c>
      <c r="F3321" s="3563" t="s">
        <v>4797</v>
      </c>
      <c r="G3321" s="3564">
        <v>100.88</v>
      </c>
      <c r="H3321" s="3564">
        <v>81.62</v>
      </c>
      <c r="I3321" s="3564">
        <v>19.260000000000002</v>
      </c>
      <c r="J3321" s="3565">
        <v>1035147</v>
      </c>
      <c r="K3321" s="3565">
        <v>10261.17</v>
      </c>
      <c r="L3321" s="3565">
        <v>12682.52</v>
      </c>
      <c r="M3321" s="3565">
        <v>0</v>
      </c>
      <c r="N3321" s="3565">
        <v>0</v>
      </c>
      <c r="O3321" s="3563" t="s">
        <v>3453</v>
      </c>
    </row>
    <row r="3322" spans="1:15">
      <c r="A3322" s="3563" t="s">
        <v>7544</v>
      </c>
      <c r="B3322" s="3563" t="s">
        <v>4196</v>
      </c>
      <c r="C3322" s="3563" t="s">
        <v>4197</v>
      </c>
      <c r="D3322" s="3563" t="s">
        <v>6429</v>
      </c>
      <c r="E3322" s="3563" t="s">
        <v>4747</v>
      </c>
      <c r="F3322" s="3563" t="s">
        <v>4797</v>
      </c>
      <c r="G3322" s="3564">
        <v>100.88</v>
      </c>
      <c r="H3322" s="3564">
        <v>81.62</v>
      </c>
      <c r="I3322" s="3564">
        <v>19.260000000000002</v>
      </c>
      <c r="J3322" s="3565">
        <v>1035147</v>
      </c>
      <c r="K3322" s="3565">
        <v>10261.17</v>
      </c>
      <c r="L3322" s="3565">
        <v>12682.52</v>
      </c>
      <c r="M3322" s="3565">
        <v>0</v>
      </c>
      <c r="N3322" s="3565">
        <v>0</v>
      </c>
      <c r="O3322" s="3563" t="s">
        <v>3453</v>
      </c>
    </row>
    <row r="3323" spans="1:15">
      <c r="A3323" s="3563" t="s">
        <v>7545</v>
      </c>
      <c r="B3323" s="3563" t="s">
        <v>4196</v>
      </c>
      <c r="C3323" s="3563" t="s">
        <v>4197</v>
      </c>
      <c r="D3323" s="3563" t="s">
        <v>6429</v>
      </c>
      <c r="E3323" s="3563" t="s">
        <v>4747</v>
      </c>
      <c r="F3323" s="3563" t="s">
        <v>4797</v>
      </c>
      <c r="G3323" s="3564">
        <v>123.64</v>
      </c>
      <c r="H3323" s="3564">
        <v>100.03</v>
      </c>
      <c r="I3323" s="3564">
        <v>23.61</v>
      </c>
      <c r="J3323" s="3565">
        <v>1288422</v>
      </c>
      <c r="K3323" s="3565">
        <v>10420.75</v>
      </c>
      <c r="L3323" s="3565">
        <v>12880.36</v>
      </c>
      <c r="M3323" s="3565">
        <v>0</v>
      </c>
      <c r="N3323" s="3565">
        <v>0</v>
      </c>
      <c r="O3323" s="3563" t="s">
        <v>3453</v>
      </c>
    </row>
    <row r="3324" spans="1:15">
      <c r="A3324" s="3563" t="s">
        <v>7546</v>
      </c>
      <c r="B3324" s="3563" t="s">
        <v>4196</v>
      </c>
      <c r="C3324" s="3563" t="s">
        <v>4197</v>
      </c>
      <c r="D3324" s="3563" t="s">
        <v>6429</v>
      </c>
      <c r="E3324" s="3563" t="s">
        <v>5972</v>
      </c>
      <c r="F3324" s="3563" t="s">
        <v>4797</v>
      </c>
      <c r="G3324" s="3564">
        <v>98.85</v>
      </c>
      <c r="H3324" s="3564">
        <v>81.62</v>
      </c>
      <c r="I3324" s="3564">
        <v>17.23</v>
      </c>
      <c r="J3324" s="3565">
        <v>983821</v>
      </c>
      <c r="K3324" s="3565">
        <v>9952.67</v>
      </c>
      <c r="L3324" s="3565">
        <v>12053.68</v>
      </c>
      <c r="M3324" s="3565">
        <v>0</v>
      </c>
      <c r="N3324" s="3565">
        <v>0</v>
      </c>
      <c r="O3324" s="3563" t="s">
        <v>3453</v>
      </c>
    </row>
    <row r="3325" spans="1:15">
      <c r="A3325" s="3563" t="s">
        <v>7547</v>
      </c>
      <c r="B3325" s="3563" t="s">
        <v>4196</v>
      </c>
      <c r="C3325" s="3563" t="s">
        <v>4197</v>
      </c>
      <c r="D3325" s="3563" t="s">
        <v>6429</v>
      </c>
      <c r="E3325" s="3563" t="s">
        <v>5972</v>
      </c>
      <c r="F3325" s="3563" t="s">
        <v>4797</v>
      </c>
      <c r="G3325" s="3564">
        <v>98.85</v>
      </c>
      <c r="H3325" s="3564">
        <v>81.62</v>
      </c>
      <c r="I3325" s="3564">
        <v>17.23</v>
      </c>
      <c r="J3325" s="3565">
        <v>983821</v>
      </c>
      <c r="K3325" s="3565">
        <v>9952.67</v>
      </c>
      <c r="L3325" s="3565">
        <v>12053.68</v>
      </c>
      <c r="M3325" s="3565">
        <v>0</v>
      </c>
      <c r="N3325" s="3565">
        <v>0</v>
      </c>
      <c r="O3325" s="3563" t="s">
        <v>3453</v>
      </c>
    </row>
    <row r="3326" spans="1:15">
      <c r="A3326" s="3563" t="s">
        <v>7548</v>
      </c>
      <c r="B3326" s="3563" t="s">
        <v>4196</v>
      </c>
      <c r="C3326" s="3563" t="s">
        <v>4197</v>
      </c>
      <c r="D3326" s="3563" t="s">
        <v>6429</v>
      </c>
      <c r="E3326" s="3563" t="s">
        <v>5972</v>
      </c>
      <c r="F3326" s="3563" t="s">
        <v>4797</v>
      </c>
      <c r="G3326" s="3564">
        <v>93.39</v>
      </c>
      <c r="H3326" s="3564">
        <v>81.62</v>
      </c>
      <c r="I3326" s="3564">
        <v>11.77</v>
      </c>
      <c r="J3326" s="3565">
        <v>929479</v>
      </c>
      <c r="K3326" s="3565">
        <v>9952.66</v>
      </c>
      <c r="L3326" s="3565">
        <v>11387.88</v>
      </c>
      <c r="M3326" s="3565">
        <v>0</v>
      </c>
      <c r="N3326" s="3565">
        <v>0</v>
      </c>
      <c r="O3326" s="3563" t="s">
        <v>3453</v>
      </c>
    </row>
    <row r="3327" spans="1:15">
      <c r="A3327" s="3563" t="s">
        <v>7549</v>
      </c>
      <c r="B3327" s="3563" t="s">
        <v>4196</v>
      </c>
      <c r="C3327" s="3563" t="s">
        <v>4197</v>
      </c>
      <c r="D3327" s="3563" t="s">
        <v>6429</v>
      </c>
      <c r="E3327" s="3563" t="s">
        <v>5972</v>
      </c>
      <c r="F3327" s="3563" t="s">
        <v>4797</v>
      </c>
      <c r="G3327" s="3564">
        <v>93.39</v>
      </c>
      <c r="H3327" s="3564">
        <v>81.62</v>
      </c>
      <c r="I3327" s="3564">
        <v>11.77</v>
      </c>
      <c r="J3327" s="3565">
        <v>929479</v>
      </c>
      <c r="K3327" s="3565">
        <v>9952.66</v>
      </c>
      <c r="L3327" s="3565">
        <v>11387.88</v>
      </c>
      <c r="M3327" s="3565">
        <v>0</v>
      </c>
      <c r="N3327" s="3565">
        <v>0</v>
      </c>
      <c r="O3327" s="3563" t="s">
        <v>3453</v>
      </c>
    </row>
    <row r="3328" spans="1:15">
      <c r="A3328" s="3563" t="s">
        <v>7550</v>
      </c>
      <c r="B3328" s="3563" t="s">
        <v>4196</v>
      </c>
      <c r="C3328" s="3563" t="s">
        <v>4197</v>
      </c>
      <c r="D3328" s="3563" t="s">
        <v>6429</v>
      </c>
      <c r="E3328" s="3563" t="s">
        <v>5972</v>
      </c>
      <c r="F3328" s="3563" t="s">
        <v>4797</v>
      </c>
      <c r="G3328" s="3564">
        <v>114.46</v>
      </c>
      <c r="H3328" s="3564">
        <v>100.03</v>
      </c>
      <c r="I3328" s="3564">
        <v>14.43</v>
      </c>
      <c r="J3328" s="3565">
        <v>1139182</v>
      </c>
      <c r="K3328" s="3565">
        <v>9952.66</v>
      </c>
      <c r="L3328" s="3565">
        <v>11388.4</v>
      </c>
      <c r="M3328" s="3565">
        <v>0</v>
      </c>
      <c r="N3328" s="3565">
        <v>0</v>
      </c>
      <c r="O3328" s="3563" t="s">
        <v>3453</v>
      </c>
    </row>
    <row r="3329" spans="1:15">
      <c r="A3329" s="3563" t="s">
        <v>7551</v>
      </c>
      <c r="B3329" s="3563" t="s">
        <v>4196</v>
      </c>
      <c r="C3329" s="3563" t="s">
        <v>4197</v>
      </c>
      <c r="D3329" s="3563" t="s">
        <v>6429</v>
      </c>
      <c r="E3329" s="3563" t="s">
        <v>5972</v>
      </c>
      <c r="F3329" s="3563" t="s">
        <v>4797</v>
      </c>
      <c r="G3329" s="3564">
        <v>100.88</v>
      </c>
      <c r="H3329" s="3564">
        <v>81.62</v>
      </c>
      <c r="I3329" s="3564">
        <v>19.260000000000002</v>
      </c>
      <c r="J3329" s="3565">
        <v>1095246</v>
      </c>
      <c r="K3329" s="3565">
        <v>10856.92</v>
      </c>
      <c r="L3329" s="3565">
        <v>13418.84</v>
      </c>
      <c r="M3329" s="3565">
        <v>0</v>
      </c>
      <c r="N3329" s="3565">
        <v>0</v>
      </c>
      <c r="O3329" s="3563" t="s">
        <v>3453</v>
      </c>
    </row>
    <row r="3330" spans="1:15">
      <c r="A3330" s="3563" t="s">
        <v>7552</v>
      </c>
      <c r="B3330" s="3563" t="s">
        <v>4196</v>
      </c>
      <c r="C3330" s="3563" t="s">
        <v>4197</v>
      </c>
      <c r="D3330" s="3563" t="s">
        <v>6429</v>
      </c>
      <c r="E3330" s="3563" t="s">
        <v>5972</v>
      </c>
      <c r="F3330" s="3563" t="s">
        <v>4797</v>
      </c>
      <c r="G3330" s="3564">
        <v>100.88</v>
      </c>
      <c r="H3330" s="3564">
        <v>81.62</v>
      </c>
      <c r="I3330" s="3564">
        <v>19.260000000000002</v>
      </c>
      <c r="J3330" s="3565">
        <v>1095246</v>
      </c>
      <c r="K3330" s="3565">
        <v>10856.92</v>
      </c>
      <c r="L3330" s="3565">
        <v>13418.84</v>
      </c>
      <c r="M3330" s="3565">
        <v>0</v>
      </c>
      <c r="N3330" s="3565">
        <v>0</v>
      </c>
      <c r="O3330" s="3563" t="s">
        <v>3453</v>
      </c>
    </row>
    <row r="3331" spans="1:15">
      <c r="A3331" s="3563" t="s">
        <v>7553</v>
      </c>
      <c r="B3331" s="3563" t="s">
        <v>4196</v>
      </c>
      <c r="C3331" s="3563" t="s">
        <v>4197</v>
      </c>
      <c r="D3331" s="3563" t="s">
        <v>6429</v>
      </c>
      <c r="E3331" s="3563" t="s">
        <v>5972</v>
      </c>
      <c r="F3331" s="3563" t="s">
        <v>4797</v>
      </c>
      <c r="G3331" s="3564">
        <v>109.31</v>
      </c>
      <c r="H3331" s="3564">
        <v>88.44</v>
      </c>
      <c r="I3331" s="3564">
        <v>20.87</v>
      </c>
      <c r="J3331" s="3565">
        <v>1122812</v>
      </c>
      <c r="K3331" s="3565">
        <v>10271.81</v>
      </c>
      <c r="L3331" s="3565">
        <v>12695.75</v>
      </c>
      <c r="M3331" s="3565">
        <v>0</v>
      </c>
      <c r="N3331" s="3565">
        <v>0</v>
      </c>
      <c r="O3331" s="3563" t="s">
        <v>3453</v>
      </c>
    </row>
    <row r="3332" spans="1:15">
      <c r="A3332" s="3563" t="s">
        <v>7554</v>
      </c>
      <c r="B3332" s="3563" t="s">
        <v>4196</v>
      </c>
      <c r="C3332" s="3563" t="s">
        <v>4197</v>
      </c>
      <c r="D3332" s="3563" t="s">
        <v>6429</v>
      </c>
      <c r="E3332" s="3563" t="s">
        <v>5972</v>
      </c>
      <c r="F3332" s="3563" t="s">
        <v>4797</v>
      </c>
      <c r="G3332" s="3564">
        <v>100.88</v>
      </c>
      <c r="H3332" s="3564">
        <v>81.62</v>
      </c>
      <c r="I3332" s="3564">
        <v>19.260000000000002</v>
      </c>
      <c r="J3332" s="3565">
        <v>1046953</v>
      </c>
      <c r="K3332" s="3565">
        <v>10378.200000000001</v>
      </c>
      <c r="L3332" s="3565">
        <v>12827.16</v>
      </c>
      <c r="M3332" s="3565">
        <v>0</v>
      </c>
      <c r="N3332" s="3565">
        <v>0</v>
      </c>
      <c r="O3332" s="3563" t="s">
        <v>3453</v>
      </c>
    </row>
    <row r="3333" spans="1:15">
      <c r="A3333" s="3563" t="s">
        <v>7555</v>
      </c>
      <c r="B3333" s="3563" t="s">
        <v>4196</v>
      </c>
      <c r="C3333" s="3563" t="s">
        <v>4197</v>
      </c>
      <c r="D3333" s="3563" t="s">
        <v>6429</v>
      </c>
      <c r="E3333" s="3563" t="s">
        <v>5972</v>
      </c>
      <c r="F3333" s="3563" t="s">
        <v>4797</v>
      </c>
      <c r="G3333" s="3564">
        <v>100.88</v>
      </c>
      <c r="H3333" s="3564">
        <v>81.62</v>
      </c>
      <c r="I3333" s="3564">
        <v>19.260000000000002</v>
      </c>
      <c r="J3333" s="3565">
        <v>1068416</v>
      </c>
      <c r="K3333" s="3565">
        <v>10590.96</v>
      </c>
      <c r="L3333" s="3565">
        <v>13090.12</v>
      </c>
      <c r="M3333" s="3565">
        <v>0</v>
      </c>
      <c r="N3333" s="3565">
        <v>0</v>
      </c>
      <c r="O3333" s="3563" t="s">
        <v>3453</v>
      </c>
    </row>
    <row r="3334" spans="1:15">
      <c r="A3334" s="3563" t="s">
        <v>7556</v>
      </c>
      <c r="B3334" s="3563" t="s">
        <v>4196</v>
      </c>
      <c r="C3334" s="3563" t="s">
        <v>4197</v>
      </c>
      <c r="D3334" s="3563" t="s">
        <v>6429</v>
      </c>
      <c r="E3334" s="3563" t="s">
        <v>5972</v>
      </c>
      <c r="F3334" s="3563" t="s">
        <v>4797</v>
      </c>
      <c r="G3334" s="3564">
        <v>123.64</v>
      </c>
      <c r="H3334" s="3564">
        <v>100.03</v>
      </c>
      <c r="I3334" s="3564">
        <v>23.61</v>
      </c>
      <c r="J3334" s="3565">
        <v>1316043</v>
      </c>
      <c r="K3334" s="3565">
        <v>10644.15</v>
      </c>
      <c r="L3334" s="3565">
        <v>13156.48</v>
      </c>
      <c r="M3334" s="3565">
        <v>0</v>
      </c>
      <c r="N3334" s="3565">
        <v>0</v>
      </c>
      <c r="O3334" s="3563" t="s">
        <v>3453</v>
      </c>
    </row>
    <row r="3335" spans="1:15">
      <c r="A3335" s="3563" t="s">
        <v>7557</v>
      </c>
      <c r="B3335" s="3563" t="s">
        <v>4196</v>
      </c>
      <c r="C3335" s="3563" t="s">
        <v>4197</v>
      </c>
      <c r="D3335" s="3563" t="s">
        <v>6429</v>
      </c>
      <c r="E3335" s="3563" t="s">
        <v>5972</v>
      </c>
      <c r="F3335" s="3563" t="s">
        <v>4797</v>
      </c>
      <c r="G3335" s="3564">
        <v>100.88</v>
      </c>
      <c r="H3335" s="3564">
        <v>81.62</v>
      </c>
      <c r="I3335" s="3564">
        <v>19.260000000000002</v>
      </c>
      <c r="J3335" s="3565">
        <v>1096320</v>
      </c>
      <c r="K3335" s="3565">
        <v>10867.57</v>
      </c>
      <c r="L3335" s="3565">
        <v>13432</v>
      </c>
      <c r="M3335" s="3565">
        <v>0</v>
      </c>
      <c r="N3335" s="3565">
        <v>0</v>
      </c>
      <c r="O3335" s="3563" t="s">
        <v>3453</v>
      </c>
    </row>
    <row r="3336" spans="1:15">
      <c r="A3336" s="3563" t="s">
        <v>7558</v>
      </c>
      <c r="B3336" s="3563" t="s">
        <v>4196</v>
      </c>
      <c r="C3336" s="3563" t="s">
        <v>4197</v>
      </c>
      <c r="D3336" s="3563" t="s">
        <v>6429</v>
      </c>
      <c r="E3336" s="3563" t="s">
        <v>5972</v>
      </c>
      <c r="F3336" s="3563" t="s">
        <v>4797</v>
      </c>
      <c r="G3336" s="3564">
        <v>100.88</v>
      </c>
      <c r="H3336" s="3564">
        <v>81.62</v>
      </c>
      <c r="I3336" s="3564">
        <v>19.260000000000002</v>
      </c>
      <c r="J3336" s="3565">
        <v>1096320</v>
      </c>
      <c r="K3336" s="3565">
        <v>10867.57</v>
      </c>
      <c r="L3336" s="3565">
        <v>13432</v>
      </c>
      <c r="M3336" s="3565">
        <v>0</v>
      </c>
      <c r="N3336" s="3565">
        <v>0</v>
      </c>
      <c r="O3336" s="3563" t="s">
        <v>3453</v>
      </c>
    </row>
    <row r="3337" spans="1:15">
      <c r="A3337" s="3563" t="s">
        <v>7559</v>
      </c>
      <c r="B3337" s="3563" t="s">
        <v>4196</v>
      </c>
      <c r="C3337" s="3563" t="s">
        <v>4197</v>
      </c>
      <c r="D3337" s="3563" t="s">
        <v>6429</v>
      </c>
      <c r="E3337" s="3563" t="s">
        <v>5972</v>
      </c>
      <c r="F3337" s="3563" t="s">
        <v>4797</v>
      </c>
      <c r="G3337" s="3564">
        <v>109.31</v>
      </c>
      <c r="H3337" s="3564">
        <v>88.44</v>
      </c>
      <c r="I3337" s="3564">
        <v>20.87</v>
      </c>
      <c r="J3337" s="3565">
        <v>1123975</v>
      </c>
      <c r="K3337" s="3565">
        <v>10282.450000000001</v>
      </c>
      <c r="L3337" s="3565">
        <v>12708.9</v>
      </c>
      <c r="M3337" s="3565">
        <v>0</v>
      </c>
      <c r="N3337" s="3565">
        <v>0</v>
      </c>
      <c r="O3337" s="3563" t="s">
        <v>3453</v>
      </c>
    </row>
    <row r="3338" spans="1:15">
      <c r="A3338" s="3563" t="s">
        <v>7560</v>
      </c>
      <c r="B3338" s="3563" t="s">
        <v>4196</v>
      </c>
      <c r="C3338" s="3563" t="s">
        <v>4197</v>
      </c>
      <c r="D3338" s="3563" t="s">
        <v>6429</v>
      </c>
      <c r="E3338" s="3563" t="s">
        <v>5972</v>
      </c>
      <c r="F3338" s="3563" t="s">
        <v>4797</v>
      </c>
      <c r="G3338" s="3564">
        <v>100.88</v>
      </c>
      <c r="H3338" s="3564">
        <v>81.62</v>
      </c>
      <c r="I3338" s="3564">
        <v>19.260000000000002</v>
      </c>
      <c r="J3338" s="3565">
        <v>1048026</v>
      </c>
      <c r="K3338" s="3565">
        <v>10388.84</v>
      </c>
      <c r="L3338" s="3565">
        <v>12840.31</v>
      </c>
      <c r="M3338" s="3565">
        <v>0</v>
      </c>
      <c r="N3338" s="3565">
        <v>0</v>
      </c>
      <c r="O3338" s="3563" t="s">
        <v>3453</v>
      </c>
    </row>
    <row r="3339" spans="1:15">
      <c r="A3339" s="3563" t="s">
        <v>7561</v>
      </c>
      <c r="B3339" s="3563" t="s">
        <v>4196</v>
      </c>
      <c r="C3339" s="3563" t="s">
        <v>4197</v>
      </c>
      <c r="D3339" s="3563" t="s">
        <v>6429</v>
      </c>
      <c r="E3339" s="3563" t="s">
        <v>5972</v>
      </c>
      <c r="F3339" s="3563" t="s">
        <v>4797</v>
      </c>
      <c r="G3339" s="3564">
        <v>100.88</v>
      </c>
      <c r="H3339" s="3564">
        <v>81.62</v>
      </c>
      <c r="I3339" s="3564">
        <v>19.260000000000002</v>
      </c>
      <c r="J3339" s="3565">
        <v>1069490</v>
      </c>
      <c r="K3339" s="3565">
        <v>10601.61</v>
      </c>
      <c r="L3339" s="3565">
        <v>13103.28</v>
      </c>
      <c r="M3339" s="3565">
        <v>0</v>
      </c>
      <c r="N3339" s="3565">
        <v>0</v>
      </c>
      <c r="O3339" s="3563" t="s">
        <v>3453</v>
      </c>
    </row>
    <row r="3340" spans="1:15">
      <c r="A3340" s="3563" t="s">
        <v>7562</v>
      </c>
      <c r="B3340" s="3563" t="s">
        <v>4196</v>
      </c>
      <c r="C3340" s="3563" t="s">
        <v>4197</v>
      </c>
      <c r="D3340" s="3563" t="s">
        <v>6429</v>
      </c>
      <c r="E3340" s="3563" t="s">
        <v>5972</v>
      </c>
      <c r="F3340" s="3563" t="s">
        <v>4797</v>
      </c>
      <c r="G3340" s="3564">
        <v>123.64</v>
      </c>
      <c r="H3340" s="3564">
        <v>100.03</v>
      </c>
      <c r="I3340" s="3564">
        <v>23.61</v>
      </c>
      <c r="J3340" s="3565">
        <v>1317358</v>
      </c>
      <c r="K3340" s="3565">
        <v>10654.79</v>
      </c>
      <c r="L3340" s="3565">
        <v>13169.63</v>
      </c>
      <c r="M3340" s="3565">
        <v>0</v>
      </c>
      <c r="N3340" s="3565">
        <v>0</v>
      </c>
      <c r="O3340" s="3563" t="s">
        <v>3453</v>
      </c>
    </row>
    <row r="3341" spans="1:15">
      <c r="A3341" s="3563" t="s">
        <v>7563</v>
      </c>
      <c r="B3341" s="3563" t="s">
        <v>4196</v>
      </c>
      <c r="C3341" s="3563" t="s">
        <v>4197</v>
      </c>
      <c r="D3341" s="3563" t="s">
        <v>6429</v>
      </c>
      <c r="E3341" s="3563" t="s">
        <v>5972</v>
      </c>
      <c r="F3341" s="3563" t="s">
        <v>4797</v>
      </c>
      <c r="G3341" s="3564">
        <v>100.88</v>
      </c>
      <c r="H3341" s="3564">
        <v>81.62</v>
      </c>
      <c r="I3341" s="3564">
        <v>19.260000000000002</v>
      </c>
      <c r="J3341" s="3565">
        <v>1097392</v>
      </c>
      <c r="K3341" s="3565">
        <v>10878.19</v>
      </c>
      <c r="L3341" s="3565">
        <v>13445.14</v>
      </c>
      <c r="M3341" s="3565">
        <v>0</v>
      </c>
      <c r="N3341" s="3565">
        <v>0</v>
      </c>
      <c r="O3341" s="3563" t="s">
        <v>3453</v>
      </c>
    </row>
    <row r="3342" spans="1:15">
      <c r="A3342" s="3563" t="s">
        <v>7564</v>
      </c>
      <c r="B3342" s="3563" t="s">
        <v>4196</v>
      </c>
      <c r="C3342" s="3563" t="s">
        <v>4197</v>
      </c>
      <c r="D3342" s="3563" t="s">
        <v>6429</v>
      </c>
      <c r="E3342" s="3563" t="s">
        <v>5972</v>
      </c>
      <c r="F3342" s="3563" t="s">
        <v>4797</v>
      </c>
      <c r="G3342" s="3564">
        <v>100.88</v>
      </c>
      <c r="H3342" s="3564">
        <v>81.62</v>
      </c>
      <c r="I3342" s="3564">
        <v>19.260000000000002</v>
      </c>
      <c r="J3342" s="3565">
        <v>1097392</v>
      </c>
      <c r="K3342" s="3565">
        <v>10878.19</v>
      </c>
      <c r="L3342" s="3565">
        <v>13445.14</v>
      </c>
      <c r="M3342" s="3565">
        <v>0</v>
      </c>
      <c r="N3342" s="3565">
        <v>0</v>
      </c>
      <c r="O3342" s="3563" t="s">
        <v>3453</v>
      </c>
    </row>
    <row r="3343" spans="1:15">
      <c r="A3343" s="3563" t="s">
        <v>7565</v>
      </c>
      <c r="B3343" s="3563" t="s">
        <v>4196</v>
      </c>
      <c r="C3343" s="3563" t="s">
        <v>4197</v>
      </c>
      <c r="D3343" s="3563" t="s">
        <v>6429</v>
      </c>
      <c r="E3343" s="3563" t="s">
        <v>5972</v>
      </c>
      <c r="F3343" s="3563" t="s">
        <v>4797</v>
      </c>
      <c r="G3343" s="3564">
        <v>109.31</v>
      </c>
      <c r="H3343" s="3564">
        <v>88.44</v>
      </c>
      <c r="I3343" s="3564">
        <v>20.87</v>
      </c>
      <c r="J3343" s="3565">
        <v>1125138</v>
      </c>
      <c r="K3343" s="3565">
        <v>10293.09</v>
      </c>
      <c r="L3343" s="3565">
        <v>12722.05</v>
      </c>
      <c r="M3343" s="3565">
        <v>0</v>
      </c>
      <c r="N3343" s="3565">
        <v>0</v>
      </c>
      <c r="O3343" s="3563" t="s">
        <v>3453</v>
      </c>
    </row>
    <row r="3344" spans="1:15">
      <c r="A3344" s="3563" t="s">
        <v>7566</v>
      </c>
      <c r="B3344" s="3563" t="s">
        <v>4196</v>
      </c>
      <c r="C3344" s="3563" t="s">
        <v>4197</v>
      </c>
      <c r="D3344" s="3563" t="s">
        <v>6429</v>
      </c>
      <c r="E3344" s="3563" t="s">
        <v>5972</v>
      </c>
      <c r="F3344" s="3563" t="s">
        <v>4797</v>
      </c>
      <c r="G3344" s="3564">
        <v>100.88</v>
      </c>
      <c r="H3344" s="3564">
        <v>81.62</v>
      </c>
      <c r="I3344" s="3564">
        <v>19.260000000000002</v>
      </c>
      <c r="J3344" s="3565">
        <v>1049098</v>
      </c>
      <c r="K3344" s="3565">
        <v>10399.459999999999</v>
      </c>
      <c r="L3344" s="3565">
        <v>12853.44</v>
      </c>
      <c r="M3344" s="3565">
        <v>0</v>
      </c>
      <c r="N3344" s="3565">
        <v>0</v>
      </c>
      <c r="O3344" s="3563" t="s">
        <v>3453</v>
      </c>
    </row>
    <row r="3345" spans="1:15">
      <c r="A3345" s="3563" t="s">
        <v>7567</v>
      </c>
      <c r="B3345" s="3563" t="s">
        <v>4196</v>
      </c>
      <c r="C3345" s="3563" t="s">
        <v>4197</v>
      </c>
      <c r="D3345" s="3563" t="s">
        <v>6429</v>
      </c>
      <c r="E3345" s="3563" t="s">
        <v>5972</v>
      </c>
      <c r="F3345" s="3563" t="s">
        <v>4797</v>
      </c>
      <c r="G3345" s="3564">
        <v>100.88</v>
      </c>
      <c r="H3345" s="3564">
        <v>81.62</v>
      </c>
      <c r="I3345" s="3564">
        <v>19.260000000000002</v>
      </c>
      <c r="J3345" s="3565">
        <v>1070562</v>
      </c>
      <c r="K3345" s="3565">
        <v>10612.23</v>
      </c>
      <c r="L3345" s="3565">
        <v>13116.42</v>
      </c>
      <c r="M3345" s="3565">
        <v>0</v>
      </c>
      <c r="N3345" s="3565">
        <v>0</v>
      </c>
      <c r="O3345" s="3563" t="s">
        <v>3453</v>
      </c>
    </row>
    <row r="3346" spans="1:15">
      <c r="A3346" s="3563" t="s">
        <v>7568</v>
      </c>
      <c r="B3346" s="3563" t="s">
        <v>4196</v>
      </c>
      <c r="C3346" s="3563" t="s">
        <v>4197</v>
      </c>
      <c r="D3346" s="3563" t="s">
        <v>6429</v>
      </c>
      <c r="E3346" s="3563" t="s">
        <v>5972</v>
      </c>
      <c r="F3346" s="3563" t="s">
        <v>4797</v>
      </c>
      <c r="G3346" s="3564">
        <v>123.64</v>
      </c>
      <c r="H3346" s="3564">
        <v>100.03</v>
      </c>
      <c r="I3346" s="3564">
        <v>23.61</v>
      </c>
      <c r="J3346" s="3565">
        <v>1318674</v>
      </c>
      <c r="K3346" s="3565">
        <v>10665.43</v>
      </c>
      <c r="L3346" s="3565">
        <v>13182.79</v>
      </c>
      <c r="M3346" s="3565">
        <v>0</v>
      </c>
      <c r="N3346" s="3565">
        <v>0</v>
      </c>
      <c r="O3346" s="3563" t="s">
        <v>3453</v>
      </c>
    </row>
    <row r="3347" spans="1:15">
      <c r="A3347" s="3563" t="s">
        <v>7569</v>
      </c>
      <c r="B3347" s="3563" t="s">
        <v>4196</v>
      </c>
      <c r="C3347" s="3563" t="s">
        <v>4197</v>
      </c>
      <c r="D3347" s="3563" t="s">
        <v>6429</v>
      </c>
      <c r="E3347" s="3563" t="s">
        <v>5972</v>
      </c>
      <c r="F3347" s="3563" t="s">
        <v>4797</v>
      </c>
      <c r="G3347" s="3564">
        <v>100.88</v>
      </c>
      <c r="H3347" s="3564">
        <v>81.62</v>
      </c>
      <c r="I3347" s="3564">
        <v>19.260000000000002</v>
      </c>
      <c r="J3347" s="3565">
        <v>1098465</v>
      </c>
      <c r="K3347" s="3565">
        <v>10888.83</v>
      </c>
      <c r="L3347" s="3565">
        <v>13458.28</v>
      </c>
      <c r="M3347" s="3565">
        <v>0</v>
      </c>
      <c r="N3347" s="3565">
        <v>0</v>
      </c>
      <c r="O3347" s="3563" t="s">
        <v>3453</v>
      </c>
    </row>
    <row r="3348" spans="1:15">
      <c r="A3348" s="3563" t="s">
        <v>7570</v>
      </c>
      <c r="B3348" s="3563" t="s">
        <v>4196</v>
      </c>
      <c r="C3348" s="3563" t="s">
        <v>4197</v>
      </c>
      <c r="D3348" s="3563" t="s">
        <v>6429</v>
      </c>
      <c r="E3348" s="3563" t="s">
        <v>5972</v>
      </c>
      <c r="F3348" s="3563" t="s">
        <v>4797</v>
      </c>
      <c r="G3348" s="3564">
        <v>100.88</v>
      </c>
      <c r="H3348" s="3564">
        <v>81.62</v>
      </c>
      <c r="I3348" s="3564">
        <v>19.260000000000002</v>
      </c>
      <c r="J3348" s="3565">
        <v>1098465</v>
      </c>
      <c r="K3348" s="3565">
        <v>10888.83</v>
      </c>
      <c r="L3348" s="3565">
        <v>13458.28</v>
      </c>
      <c r="M3348" s="3565">
        <v>0</v>
      </c>
      <c r="N3348" s="3565">
        <v>0</v>
      </c>
      <c r="O3348" s="3563" t="s">
        <v>3453</v>
      </c>
    </row>
    <row r="3349" spans="1:15">
      <c r="A3349" s="3563" t="s">
        <v>7571</v>
      </c>
      <c r="B3349" s="3563" t="s">
        <v>4196</v>
      </c>
      <c r="C3349" s="3563" t="s">
        <v>4197</v>
      </c>
      <c r="D3349" s="3563" t="s">
        <v>6429</v>
      </c>
      <c r="E3349" s="3563" t="s">
        <v>5972</v>
      </c>
      <c r="F3349" s="3563" t="s">
        <v>4797</v>
      </c>
      <c r="G3349" s="3564">
        <v>109.31</v>
      </c>
      <c r="H3349" s="3564">
        <v>88.44</v>
      </c>
      <c r="I3349" s="3564">
        <v>20.87</v>
      </c>
      <c r="J3349" s="3565">
        <v>1126300</v>
      </c>
      <c r="K3349" s="3565">
        <v>10303.719999999999</v>
      </c>
      <c r="L3349" s="3565">
        <v>12735.19</v>
      </c>
      <c r="M3349" s="3565">
        <v>0</v>
      </c>
      <c r="N3349" s="3565">
        <v>0</v>
      </c>
      <c r="O3349" s="3563" t="s">
        <v>3453</v>
      </c>
    </row>
    <row r="3350" spans="1:15">
      <c r="A3350" s="3563" t="s">
        <v>7572</v>
      </c>
      <c r="B3350" s="3563" t="s">
        <v>4196</v>
      </c>
      <c r="C3350" s="3563" t="s">
        <v>4197</v>
      </c>
      <c r="D3350" s="3563" t="s">
        <v>6429</v>
      </c>
      <c r="E3350" s="3563" t="s">
        <v>5972</v>
      </c>
      <c r="F3350" s="3563" t="s">
        <v>4797</v>
      </c>
      <c r="G3350" s="3564">
        <v>100.88</v>
      </c>
      <c r="H3350" s="3564">
        <v>81.62</v>
      </c>
      <c r="I3350" s="3564">
        <v>19.260000000000002</v>
      </c>
      <c r="J3350" s="3565">
        <v>1050172</v>
      </c>
      <c r="K3350" s="3565">
        <v>10410.11</v>
      </c>
      <c r="L3350" s="3565">
        <v>12866.6</v>
      </c>
      <c r="M3350" s="3565">
        <v>0</v>
      </c>
      <c r="N3350" s="3565">
        <v>0</v>
      </c>
      <c r="O3350" s="3563" t="s">
        <v>3453</v>
      </c>
    </row>
    <row r="3351" spans="1:15">
      <c r="A3351" s="3563" t="s">
        <v>7573</v>
      </c>
      <c r="B3351" s="3563" t="s">
        <v>4196</v>
      </c>
      <c r="C3351" s="3563" t="s">
        <v>4197</v>
      </c>
      <c r="D3351" s="3563" t="s">
        <v>6429</v>
      </c>
      <c r="E3351" s="3563" t="s">
        <v>5972</v>
      </c>
      <c r="F3351" s="3563" t="s">
        <v>4797</v>
      </c>
      <c r="G3351" s="3564">
        <v>100.88</v>
      </c>
      <c r="H3351" s="3564">
        <v>81.62</v>
      </c>
      <c r="I3351" s="3564">
        <v>19.260000000000002</v>
      </c>
      <c r="J3351" s="3565">
        <v>1071636</v>
      </c>
      <c r="K3351" s="3565">
        <v>10622.88</v>
      </c>
      <c r="L3351" s="3565">
        <v>13129.58</v>
      </c>
      <c r="M3351" s="3565">
        <v>0</v>
      </c>
      <c r="N3351" s="3565">
        <v>0</v>
      </c>
      <c r="O3351" s="3563" t="s">
        <v>3453</v>
      </c>
    </row>
    <row r="3352" spans="1:15">
      <c r="A3352" s="3563" t="s">
        <v>7574</v>
      </c>
      <c r="B3352" s="3563" t="s">
        <v>4196</v>
      </c>
      <c r="C3352" s="3563" t="s">
        <v>4197</v>
      </c>
      <c r="D3352" s="3563" t="s">
        <v>6429</v>
      </c>
      <c r="E3352" s="3563" t="s">
        <v>5972</v>
      </c>
      <c r="F3352" s="3563" t="s">
        <v>4797</v>
      </c>
      <c r="G3352" s="3564">
        <v>123.64</v>
      </c>
      <c r="H3352" s="3564">
        <v>100.03</v>
      </c>
      <c r="I3352" s="3564">
        <v>23.61</v>
      </c>
      <c r="J3352" s="3565">
        <v>1319989</v>
      </c>
      <c r="K3352" s="3565">
        <v>10676.07</v>
      </c>
      <c r="L3352" s="3565">
        <v>13195.93</v>
      </c>
      <c r="M3352" s="3565">
        <v>0</v>
      </c>
      <c r="N3352" s="3565">
        <v>0</v>
      </c>
      <c r="O3352" s="3563" t="s">
        <v>3453</v>
      </c>
    </row>
    <row r="3353" spans="1:15">
      <c r="A3353" s="3563" t="s">
        <v>7575</v>
      </c>
      <c r="B3353" s="3563" t="s">
        <v>4196</v>
      </c>
      <c r="C3353" s="3563" t="s">
        <v>4197</v>
      </c>
      <c r="D3353" s="3563" t="s">
        <v>6429</v>
      </c>
      <c r="E3353" s="3563" t="s">
        <v>5972</v>
      </c>
      <c r="F3353" s="3563" t="s">
        <v>4797</v>
      </c>
      <c r="G3353" s="3564">
        <v>100.88</v>
      </c>
      <c r="H3353" s="3564">
        <v>81.62</v>
      </c>
      <c r="I3353" s="3564">
        <v>19.260000000000002</v>
      </c>
      <c r="J3353" s="3565">
        <v>1088807</v>
      </c>
      <c r="K3353" s="3565">
        <v>10793.09</v>
      </c>
      <c r="L3353" s="3565">
        <v>13339.95</v>
      </c>
      <c r="M3353" s="3565">
        <v>0</v>
      </c>
      <c r="N3353" s="3565">
        <v>0</v>
      </c>
      <c r="O3353" s="3563" t="s">
        <v>3453</v>
      </c>
    </row>
    <row r="3354" spans="1:15">
      <c r="A3354" s="3563" t="s">
        <v>7576</v>
      </c>
      <c r="B3354" s="3563" t="s">
        <v>4196</v>
      </c>
      <c r="C3354" s="3563" t="s">
        <v>4197</v>
      </c>
      <c r="D3354" s="3563" t="s">
        <v>6429</v>
      </c>
      <c r="E3354" s="3563" t="s">
        <v>5972</v>
      </c>
      <c r="F3354" s="3563" t="s">
        <v>4797</v>
      </c>
      <c r="G3354" s="3564">
        <v>100.88</v>
      </c>
      <c r="H3354" s="3564">
        <v>81.62</v>
      </c>
      <c r="I3354" s="3564">
        <v>19.260000000000002</v>
      </c>
      <c r="J3354" s="3565">
        <v>1088807</v>
      </c>
      <c r="K3354" s="3565">
        <v>10793.09</v>
      </c>
      <c r="L3354" s="3565">
        <v>13339.95</v>
      </c>
      <c r="M3354" s="3565">
        <v>0</v>
      </c>
      <c r="N3354" s="3565">
        <v>0</v>
      </c>
      <c r="O3354" s="3563" t="s">
        <v>3453</v>
      </c>
    </row>
    <row r="3355" spans="1:15">
      <c r="A3355" s="3563" t="s">
        <v>7577</v>
      </c>
      <c r="B3355" s="3563" t="s">
        <v>4196</v>
      </c>
      <c r="C3355" s="3563" t="s">
        <v>4197</v>
      </c>
      <c r="D3355" s="3563" t="s">
        <v>6429</v>
      </c>
      <c r="E3355" s="3563" t="s">
        <v>5972</v>
      </c>
      <c r="F3355" s="3563" t="s">
        <v>4797</v>
      </c>
      <c r="G3355" s="3564">
        <v>109.31</v>
      </c>
      <c r="H3355" s="3564">
        <v>88.44</v>
      </c>
      <c r="I3355" s="3564">
        <v>20.87</v>
      </c>
      <c r="J3355" s="3565">
        <v>1115835</v>
      </c>
      <c r="K3355" s="3565">
        <v>10207.99</v>
      </c>
      <c r="L3355" s="3565">
        <v>12616.86</v>
      </c>
      <c r="M3355" s="3565">
        <v>0</v>
      </c>
      <c r="N3355" s="3565">
        <v>0</v>
      </c>
      <c r="O3355" s="3563" t="s">
        <v>3453</v>
      </c>
    </row>
    <row r="3356" spans="1:15">
      <c r="A3356" s="3563" t="s">
        <v>7578</v>
      </c>
      <c r="B3356" s="3563" t="s">
        <v>4196</v>
      </c>
      <c r="C3356" s="3563" t="s">
        <v>4197</v>
      </c>
      <c r="D3356" s="3563" t="s">
        <v>6429</v>
      </c>
      <c r="E3356" s="3563" t="s">
        <v>5972</v>
      </c>
      <c r="F3356" s="3563" t="s">
        <v>4797</v>
      </c>
      <c r="G3356" s="3564">
        <v>100.88</v>
      </c>
      <c r="H3356" s="3564">
        <v>81.62</v>
      </c>
      <c r="I3356" s="3564">
        <v>19.260000000000002</v>
      </c>
      <c r="J3356" s="3565">
        <v>1040513</v>
      </c>
      <c r="K3356" s="3565">
        <v>10314.36</v>
      </c>
      <c r="L3356" s="3565">
        <v>12748.26</v>
      </c>
      <c r="M3356" s="3565">
        <v>0</v>
      </c>
      <c r="N3356" s="3565">
        <v>0</v>
      </c>
      <c r="O3356" s="3563" t="s">
        <v>3453</v>
      </c>
    </row>
    <row r="3357" spans="1:15">
      <c r="A3357" s="3563" t="s">
        <v>7579</v>
      </c>
      <c r="B3357" s="3563" t="s">
        <v>4196</v>
      </c>
      <c r="C3357" s="3563" t="s">
        <v>4197</v>
      </c>
      <c r="D3357" s="3563" t="s">
        <v>6429</v>
      </c>
      <c r="E3357" s="3563" t="s">
        <v>5972</v>
      </c>
      <c r="F3357" s="3563" t="s">
        <v>4797</v>
      </c>
      <c r="G3357" s="3564">
        <v>100.88</v>
      </c>
      <c r="H3357" s="3564">
        <v>81.62</v>
      </c>
      <c r="I3357" s="3564">
        <v>19.260000000000002</v>
      </c>
      <c r="J3357" s="3565">
        <v>1061977</v>
      </c>
      <c r="K3357" s="3565">
        <v>10527.13</v>
      </c>
      <c r="L3357" s="3565">
        <v>13011.23</v>
      </c>
      <c r="M3357" s="3565">
        <v>0</v>
      </c>
      <c r="N3357" s="3565">
        <v>0</v>
      </c>
      <c r="O3357" s="3563" t="s">
        <v>3453</v>
      </c>
    </row>
    <row r="3358" spans="1:15">
      <c r="A3358" s="3563" t="s">
        <v>7580</v>
      </c>
      <c r="B3358" s="3563" t="s">
        <v>4196</v>
      </c>
      <c r="C3358" s="3563" t="s">
        <v>4197</v>
      </c>
      <c r="D3358" s="3563" t="s">
        <v>6429</v>
      </c>
      <c r="E3358" s="3563" t="s">
        <v>5972</v>
      </c>
      <c r="F3358" s="3563" t="s">
        <v>4797</v>
      </c>
      <c r="G3358" s="3564">
        <v>123.64</v>
      </c>
      <c r="H3358" s="3564">
        <v>100.03</v>
      </c>
      <c r="I3358" s="3564">
        <v>23.61</v>
      </c>
      <c r="J3358" s="3565">
        <v>1308152</v>
      </c>
      <c r="K3358" s="3565">
        <v>10580.33</v>
      </c>
      <c r="L3358" s="3565">
        <v>13077.6</v>
      </c>
      <c r="M3358" s="3565">
        <v>0</v>
      </c>
      <c r="N3358" s="3565">
        <v>0</v>
      </c>
      <c r="O3358" s="3563" t="s">
        <v>3453</v>
      </c>
    </row>
    <row r="3359" spans="1:15">
      <c r="A3359" s="3563" t="s">
        <v>7581</v>
      </c>
      <c r="B3359" s="3563" t="s">
        <v>4196</v>
      </c>
      <c r="C3359" s="3563" t="s">
        <v>4197</v>
      </c>
      <c r="D3359" s="3563" t="s">
        <v>6429</v>
      </c>
      <c r="E3359" s="3563" t="s">
        <v>5972</v>
      </c>
      <c r="F3359" s="3563" t="s">
        <v>4797</v>
      </c>
      <c r="G3359" s="3564">
        <v>100.88</v>
      </c>
      <c r="H3359" s="3564">
        <v>81.62</v>
      </c>
      <c r="I3359" s="3564">
        <v>19.260000000000002</v>
      </c>
      <c r="J3359" s="3565">
        <v>1100612</v>
      </c>
      <c r="K3359" s="3565">
        <v>10910.11</v>
      </c>
      <c r="L3359" s="3565">
        <v>13484.59</v>
      </c>
      <c r="M3359" s="3565">
        <v>0</v>
      </c>
      <c r="N3359" s="3565">
        <v>0</v>
      </c>
      <c r="O3359" s="3563" t="s">
        <v>3453</v>
      </c>
    </row>
    <row r="3360" spans="1:15">
      <c r="A3360" s="3563" t="s">
        <v>7582</v>
      </c>
      <c r="B3360" s="3563" t="s">
        <v>4196</v>
      </c>
      <c r="C3360" s="3563" t="s">
        <v>4197</v>
      </c>
      <c r="D3360" s="3563" t="s">
        <v>6429</v>
      </c>
      <c r="E3360" s="3563" t="s">
        <v>5972</v>
      </c>
      <c r="F3360" s="3563" t="s">
        <v>4797</v>
      </c>
      <c r="G3360" s="3564">
        <v>100.88</v>
      </c>
      <c r="H3360" s="3564">
        <v>81.62</v>
      </c>
      <c r="I3360" s="3564">
        <v>19.260000000000002</v>
      </c>
      <c r="J3360" s="3565">
        <v>1100612</v>
      </c>
      <c r="K3360" s="3565">
        <v>10910.11</v>
      </c>
      <c r="L3360" s="3565">
        <v>13484.59</v>
      </c>
      <c r="M3360" s="3565">
        <v>0</v>
      </c>
      <c r="N3360" s="3565">
        <v>0</v>
      </c>
      <c r="O3360" s="3563" t="s">
        <v>3453</v>
      </c>
    </row>
    <row r="3361" spans="1:15">
      <c r="A3361" s="3563" t="s">
        <v>7583</v>
      </c>
      <c r="B3361" s="3563" t="s">
        <v>4196</v>
      </c>
      <c r="C3361" s="3563" t="s">
        <v>4197</v>
      </c>
      <c r="D3361" s="3563" t="s">
        <v>6429</v>
      </c>
      <c r="E3361" s="3563" t="s">
        <v>5972</v>
      </c>
      <c r="F3361" s="3563" t="s">
        <v>4797</v>
      </c>
      <c r="G3361" s="3564">
        <v>109.31</v>
      </c>
      <c r="H3361" s="3564">
        <v>88.44</v>
      </c>
      <c r="I3361" s="3564">
        <v>20.87</v>
      </c>
      <c r="J3361" s="3565">
        <v>1128626</v>
      </c>
      <c r="K3361" s="3565">
        <v>10325</v>
      </c>
      <c r="L3361" s="3565">
        <v>12761.49</v>
      </c>
      <c r="M3361" s="3565">
        <v>0</v>
      </c>
      <c r="N3361" s="3565">
        <v>0</v>
      </c>
      <c r="O3361" s="3563" t="s">
        <v>3453</v>
      </c>
    </row>
    <row r="3362" spans="1:15">
      <c r="A3362" s="3563" t="s">
        <v>7584</v>
      </c>
      <c r="B3362" s="3563" t="s">
        <v>4196</v>
      </c>
      <c r="C3362" s="3563" t="s">
        <v>4197</v>
      </c>
      <c r="D3362" s="3563" t="s">
        <v>6429</v>
      </c>
      <c r="E3362" s="3563" t="s">
        <v>5972</v>
      </c>
      <c r="F3362" s="3563" t="s">
        <v>4797</v>
      </c>
      <c r="G3362" s="3564">
        <v>100.88</v>
      </c>
      <c r="H3362" s="3564">
        <v>81.62</v>
      </c>
      <c r="I3362" s="3564">
        <v>19.260000000000002</v>
      </c>
      <c r="J3362" s="3565">
        <v>1052319</v>
      </c>
      <c r="K3362" s="3565">
        <v>10431.39</v>
      </c>
      <c r="L3362" s="3565">
        <v>12892.91</v>
      </c>
      <c r="M3362" s="3565">
        <v>0</v>
      </c>
      <c r="N3362" s="3565">
        <v>0</v>
      </c>
      <c r="O3362" s="3563" t="s">
        <v>3453</v>
      </c>
    </row>
    <row r="3363" spans="1:15">
      <c r="A3363" s="3563" t="s">
        <v>7585</v>
      </c>
      <c r="B3363" s="3563" t="s">
        <v>4196</v>
      </c>
      <c r="C3363" s="3563" t="s">
        <v>4197</v>
      </c>
      <c r="D3363" s="3563" t="s">
        <v>6429</v>
      </c>
      <c r="E3363" s="3563" t="s">
        <v>5972</v>
      </c>
      <c r="F3363" s="3563" t="s">
        <v>4797</v>
      </c>
      <c r="G3363" s="3564">
        <v>100.88</v>
      </c>
      <c r="H3363" s="3564">
        <v>81.62</v>
      </c>
      <c r="I3363" s="3564">
        <v>19.260000000000002</v>
      </c>
      <c r="J3363" s="3565">
        <v>1073782</v>
      </c>
      <c r="K3363" s="3565">
        <v>10644.15</v>
      </c>
      <c r="L3363" s="3565">
        <v>13155.87</v>
      </c>
      <c r="M3363" s="3565">
        <v>0</v>
      </c>
      <c r="N3363" s="3565">
        <v>0</v>
      </c>
      <c r="O3363" s="3563" t="s">
        <v>3453</v>
      </c>
    </row>
    <row r="3364" spans="1:15">
      <c r="A3364" s="3563" t="s">
        <v>7586</v>
      </c>
      <c r="B3364" s="3563" t="s">
        <v>4196</v>
      </c>
      <c r="C3364" s="3563" t="s">
        <v>4197</v>
      </c>
      <c r="D3364" s="3563" t="s">
        <v>6429</v>
      </c>
      <c r="E3364" s="3563" t="s">
        <v>5972</v>
      </c>
      <c r="F3364" s="3563" t="s">
        <v>4797</v>
      </c>
      <c r="G3364" s="3564">
        <v>123.64</v>
      </c>
      <c r="H3364" s="3564">
        <v>100.03</v>
      </c>
      <c r="I3364" s="3564">
        <v>23.61</v>
      </c>
      <c r="J3364" s="3565">
        <v>1322620</v>
      </c>
      <c r="K3364" s="3565">
        <v>10697.35</v>
      </c>
      <c r="L3364" s="3565">
        <v>13222.23</v>
      </c>
      <c r="M3364" s="3565">
        <v>0</v>
      </c>
      <c r="N3364" s="3565">
        <v>0</v>
      </c>
      <c r="O3364" s="3563" t="s">
        <v>3453</v>
      </c>
    </row>
    <row r="3365" spans="1:15">
      <c r="A3365" s="3563" t="s">
        <v>7587</v>
      </c>
      <c r="B3365" s="3563" t="s">
        <v>4196</v>
      </c>
      <c r="C3365" s="3563" t="s">
        <v>4197</v>
      </c>
      <c r="D3365" s="3563" t="s">
        <v>6429</v>
      </c>
      <c r="E3365" s="3563" t="s">
        <v>5972</v>
      </c>
      <c r="F3365" s="3563" t="s">
        <v>4797</v>
      </c>
      <c r="G3365" s="3564">
        <v>100.88</v>
      </c>
      <c r="H3365" s="3564">
        <v>81.62</v>
      </c>
      <c r="I3365" s="3564">
        <v>19.260000000000002</v>
      </c>
      <c r="J3365" s="3565">
        <v>1099539</v>
      </c>
      <c r="K3365" s="3565">
        <v>10899.47</v>
      </c>
      <c r="L3365" s="3565">
        <v>13471.44</v>
      </c>
      <c r="M3365" s="3565">
        <v>0</v>
      </c>
      <c r="N3365" s="3565">
        <v>0</v>
      </c>
      <c r="O3365" s="3563" t="s">
        <v>3453</v>
      </c>
    </row>
    <row r="3366" spans="1:15">
      <c r="A3366" s="3563" t="s">
        <v>7588</v>
      </c>
      <c r="B3366" s="3563" t="s">
        <v>4196</v>
      </c>
      <c r="C3366" s="3563" t="s">
        <v>4197</v>
      </c>
      <c r="D3366" s="3563" t="s">
        <v>6429</v>
      </c>
      <c r="E3366" s="3563" t="s">
        <v>5972</v>
      </c>
      <c r="F3366" s="3563" t="s">
        <v>4797</v>
      </c>
      <c r="G3366" s="3564">
        <v>100.88</v>
      </c>
      <c r="H3366" s="3564">
        <v>81.62</v>
      </c>
      <c r="I3366" s="3564">
        <v>19.260000000000002</v>
      </c>
      <c r="J3366" s="3565">
        <v>1099539</v>
      </c>
      <c r="K3366" s="3565">
        <v>10899.47</v>
      </c>
      <c r="L3366" s="3565">
        <v>13471.44</v>
      </c>
      <c r="M3366" s="3565">
        <v>0</v>
      </c>
      <c r="N3366" s="3565">
        <v>0</v>
      </c>
      <c r="O3366" s="3563" t="s">
        <v>3453</v>
      </c>
    </row>
    <row r="3367" spans="1:15">
      <c r="A3367" s="3563" t="s">
        <v>7589</v>
      </c>
      <c r="B3367" s="3563" t="s">
        <v>4196</v>
      </c>
      <c r="C3367" s="3563" t="s">
        <v>4197</v>
      </c>
      <c r="D3367" s="3563" t="s">
        <v>6429</v>
      </c>
      <c r="E3367" s="3563" t="s">
        <v>5972</v>
      </c>
      <c r="F3367" s="3563" t="s">
        <v>4797</v>
      </c>
      <c r="G3367" s="3564">
        <v>109.31</v>
      </c>
      <c r="H3367" s="3564">
        <v>88.44</v>
      </c>
      <c r="I3367" s="3564">
        <v>20.87</v>
      </c>
      <c r="J3367" s="3565">
        <v>1127463</v>
      </c>
      <c r="K3367" s="3565">
        <v>10314.36</v>
      </c>
      <c r="L3367" s="3565">
        <v>12748.34</v>
      </c>
      <c r="M3367" s="3565">
        <v>0</v>
      </c>
      <c r="N3367" s="3565">
        <v>0</v>
      </c>
      <c r="O3367" s="3563" t="s">
        <v>3453</v>
      </c>
    </row>
    <row r="3368" spans="1:15">
      <c r="A3368" s="3563" t="s">
        <v>7590</v>
      </c>
      <c r="B3368" s="3563" t="s">
        <v>4196</v>
      </c>
      <c r="C3368" s="3563" t="s">
        <v>4197</v>
      </c>
      <c r="D3368" s="3563" t="s">
        <v>6429</v>
      </c>
      <c r="E3368" s="3563" t="s">
        <v>5972</v>
      </c>
      <c r="F3368" s="3563" t="s">
        <v>4797</v>
      </c>
      <c r="G3368" s="3564">
        <v>100.88</v>
      </c>
      <c r="H3368" s="3564">
        <v>81.62</v>
      </c>
      <c r="I3368" s="3564">
        <v>19.260000000000002</v>
      </c>
      <c r="J3368" s="3565">
        <v>1051245</v>
      </c>
      <c r="K3368" s="3565">
        <v>10420.75</v>
      </c>
      <c r="L3368" s="3565">
        <v>12879.75</v>
      </c>
      <c r="M3368" s="3565">
        <v>0</v>
      </c>
      <c r="N3368" s="3565">
        <v>0</v>
      </c>
      <c r="O3368" s="3563" t="s">
        <v>3453</v>
      </c>
    </row>
    <row r="3369" spans="1:15">
      <c r="A3369" s="3563" t="s">
        <v>7591</v>
      </c>
      <c r="B3369" s="3563" t="s">
        <v>4196</v>
      </c>
      <c r="C3369" s="3563" t="s">
        <v>4197</v>
      </c>
      <c r="D3369" s="3563" t="s">
        <v>6429</v>
      </c>
      <c r="E3369" s="3563" t="s">
        <v>5972</v>
      </c>
      <c r="F3369" s="3563" t="s">
        <v>4797</v>
      </c>
      <c r="G3369" s="3564">
        <v>100.88</v>
      </c>
      <c r="H3369" s="3564">
        <v>81.62</v>
      </c>
      <c r="I3369" s="3564">
        <v>19.260000000000002</v>
      </c>
      <c r="J3369" s="3565">
        <v>1072709</v>
      </c>
      <c r="K3369" s="3565">
        <v>10633.52</v>
      </c>
      <c r="L3369" s="3565">
        <v>13142.72</v>
      </c>
      <c r="M3369" s="3565">
        <v>0</v>
      </c>
      <c r="N3369" s="3565">
        <v>0</v>
      </c>
      <c r="O3369" s="3563" t="s">
        <v>3453</v>
      </c>
    </row>
    <row r="3370" spans="1:15">
      <c r="A3370" s="3563" t="s">
        <v>7592</v>
      </c>
      <c r="B3370" s="3563" t="s">
        <v>4196</v>
      </c>
      <c r="C3370" s="3563" t="s">
        <v>4197</v>
      </c>
      <c r="D3370" s="3563" t="s">
        <v>6429</v>
      </c>
      <c r="E3370" s="3563" t="s">
        <v>5972</v>
      </c>
      <c r="F3370" s="3563" t="s">
        <v>4797</v>
      </c>
      <c r="G3370" s="3564">
        <v>123.64</v>
      </c>
      <c r="H3370" s="3564">
        <v>100.03</v>
      </c>
      <c r="I3370" s="3564">
        <v>23.61</v>
      </c>
      <c r="J3370" s="3565">
        <v>1321305</v>
      </c>
      <c r="K3370" s="3565">
        <v>10686.71</v>
      </c>
      <c r="L3370" s="3565">
        <v>13209.09</v>
      </c>
      <c r="M3370" s="3565">
        <v>0</v>
      </c>
      <c r="N3370" s="3565">
        <v>0</v>
      </c>
      <c r="O3370" s="3563" t="s">
        <v>3453</v>
      </c>
    </row>
    <row r="3371" spans="1:15">
      <c r="A3371" s="3563" t="s">
        <v>7593</v>
      </c>
      <c r="B3371" s="3563" t="s">
        <v>4196</v>
      </c>
      <c r="C3371" s="3563" t="s">
        <v>4197</v>
      </c>
      <c r="D3371" s="3563" t="s">
        <v>6429</v>
      </c>
      <c r="E3371" s="3563" t="s">
        <v>5972</v>
      </c>
      <c r="F3371" s="3563" t="s">
        <v>4797</v>
      </c>
      <c r="G3371" s="3564">
        <v>100.88</v>
      </c>
      <c r="H3371" s="3564">
        <v>81.62</v>
      </c>
      <c r="I3371" s="3564">
        <v>19.260000000000002</v>
      </c>
      <c r="J3371" s="3565">
        <v>1098465</v>
      </c>
      <c r="K3371" s="3565">
        <v>10888.83</v>
      </c>
      <c r="L3371" s="3565">
        <v>13458.28</v>
      </c>
      <c r="M3371" s="3565">
        <v>0</v>
      </c>
      <c r="N3371" s="3565">
        <v>0</v>
      </c>
      <c r="O3371" s="3563" t="s">
        <v>3453</v>
      </c>
    </row>
    <row r="3372" spans="1:15">
      <c r="A3372" s="3563" t="s">
        <v>7594</v>
      </c>
      <c r="B3372" s="3563" t="s">
        <v>4196</v>
      </c>
      <c r="C3372" s="3563" t="s">
        <v>4197</v>
      </c>
      <c r="D3372" s="3563" t="s">
        <v>6429</v>
      </c>
      <c r="E3372" s="3563" t="s">
        <v>5972</v>
      </c>
      <c r="F3372" s="3563" t="s">
        <v>4797</v>
      </c>
      <c r="G3372" s="3564">
        <v>100.88</v>
      </c>
      <c r="H3372" s="3564">
        <v>81.62</v>
      </c>
      <c r="I3372" s="3564">
        <v>19.260000000000002</v>
      </c>
      <c r="J3372" s="3565">
        <v>1098465</v>
      </c>
      <c r="K3372" s="3565">
        <v>10888.83</v>
      </c>
      <c r="L3372" s="3565">
        <v>13458.28</v>
      </c>
      <c r="M3372" s="3565">
        <v>0</v>
      </c>
      <c r="N3372" s="3565">
        <v>0</v>
      </c>
      <c r="O3372" s="3563" t="s">
        <v>3453</v>
      </c>
    </row>
    <row r="3373" spans="1:15">
      <c r="A3373" s="3563" t="s">
        <v>7595</v>
      </c>
      <c r="B3373" s="3563" t="s">
        <v>4196</v>
      </c>
      <c r="C3373" s="3563" t="s">
        <v>4197</v>
      </c>
      <c r="D3373" s="3563" t="s">
        <v>6429</v>
      </c>
      <c r="E3373" s="3563" t="s">
        <v>5972</v>
      </c>
      <c r="F3373" s="3563" t="s">
        <v>4797</v>
      </c>
      <c r="G3373" s="3564">
        <v>109.31</v>
      </c>
      <c r="H3373" s="3564">
        <v>88.44</v>
      </c>
      <c r="I3373" s="3564">
        <v>20.87</v>
      </c>
      <c r="J3373" s="3565">
        <v>1126300</v>
      </c>
      <c r="K3373" s="3565">
        <v>10303.719999999999</v>
      </c>
      <c r="L3373" s="3565">
        <v>12735.19</v>
      </c>
      <c r="M3373" s="3565">
        <v>0</v>
      </c>
      <c r="N3373" s="3565">
        <v>0</v>
      </c>
      <c r="O3373" s="3563" t="s">
        <v>3453</v>
      </c>
    </row>
    <row r="3374" spans="1:15">
      <c r="A3374" s="3563" t="s">
        <v>7596</v>
      </c>
      <c r="B3374" s="3563" t="s">
        <v>4196</v>
      </c>
      <c r="C3374" s="3563" t="s">
        <v>4197</v>
      </c>
      <c r="D3374" s="3563" t="s">
        <v>6429</v>
      </c>
      <c r="E3374" s="3563" t="s">
        <v>5972</v>
      </c>
      <c r="F3374" s="3563" t="s">
        <v>4797</v>
      </c>
      <c r="G3374" s="3564">
        <v>100.88</v>
      </c>
      <c r="H3374" s="3564">
        <v>81.62</v>
      </c>
      <c r="I3374" s="3564">
        <v>19.260000000000002</v>
      </c>
      <c r="J3374" s="3565">
        <v>1050172</v>
      </c>
      <c r="K3374" s="3565">
        <v>10410.11</v>
      </c>
      <c r="L3374" s="3565">
        <v>12866.6</v>
      </c>
      <c r="M3374" s="3565">
        <v>0</v>
      </c>
      <c r="N3374" s="3565">
        <v>0</v>
      </c>
      <c r="O3374" s="3563" t="s">
        <v>3453</v>
      </c>
    </row>
    <row r="3375" spans="1:15">
      <c r="A3375" s="3563" t="s">
        <v>7597</v>
      </c>
      <c r="B3375" s="3563" t="s">
        <v>4196</v>
      </c>
      <c r="C3375" s="3563" t="s">
        <v>4197</v>
      </c>
      <c r="D3375" s="3563" t="s">
        <v>6429</v>
      </c>
      <c r="E3375" s="3563" t="s">
        <v>5972</v>
      </c>
      <c r="F3375" s="3563" t="s">
        <v>4797</v>
      </c>
      <c r="G3375" s="3564">
        <v>100.88</v>
      </c>
      <c r="H3375" s="3564">
        <v>81.62</v>
      </c>
      <c r="I3375" s="3564">
        <v>19.260000000000002</v>
      </c>
      <c r="J3375" s="3565">
        <v>1071636</v>
      </c>
      <c r="K3375" s="3565">
        <v>10622.88</v>
      </c>
      <c r="L3375" s="3565">
        <v>13129.58</v>
      </c>
      <c r="M3375" s="3565">
        <v>0</v>
      </c>
      <c r="N3375" s="3565">
        <v>0</v>
      </c>
      <c r="O3375" s="3563" t="s">
        <v>3453</v>
      </c>
    </row>
    <row r="3376" spans="1:15">
      <c r="A3376" s="3563" t="s">
        <v>7598</v>
      </c>
      <c r="B3376" s="3563" t="s">
        <v>4196</v>
      </c>
      <c r="C3376" s="3563" t="s">
        <v>4197</v>
      </c>
      <c r="D3376" s="3563" t="s">
        <v>6429</v>
      </c>
      <c r="E3376" s="3563" t="s">
        <v>5972</v>
      </c>
      <c r="F3376" s="3563" t="s">
        <v>4797</v>
      </c>
      <c r="G3376" s="3564">
        <v>123.64</v>
      </c>
      <c r="H3376" s="3564">
        <v>100.03</v>
      </c>
      <c r="I3376" s="3564">
        <v>23.61</v>
      </c>
      <c r="J3376" s="3565">
        <v>1319989</v>
      </c>
      <c r="K3376" s="3565">
        <v>10676.07</v>
      </c>
      <c r="L3376" s="3565">
        <v>13195.93</v>
      </c>
      <c r="M3376" s="3565">
        <v>0</v>
      </c>
      <c r="N3376" s="3565">
        <v>0</v>
      </c>
      <c r="O3376" s="3563" t="s">
        <v>3453</v>
      </c>
    </row>
    <row r="3377" spans="1:15">
      <c r="A3377" s="3563" t="s">
        <v>7599</v>
      </c>
      <c r="B3377" s="3563" t="s">
        <v>4196</v>
      </c>
      <c r="C3377" s="3563" t="s">
        <v>4197</v>
      </c>
      <c r="D3377" s="3563" t="s">
        <v>6429</v>
      </c>
      <c r="E3377" s="3563" t="s">
        <v>5972</v>
      </c>
      <c r="F3377" s="3563" t="s">
        <v>4797</v>
      </c>
      <c r="G3377" s="3564">
        <v>100.88</v>
      </c>
      <c r="H3377" s="3564">
        <v>81.62</v>
      </c>
      <c r="I3377" s="3564">
        <v>19.260000000000002</v>
      </c>
      <c r="J3377" s="3565">
        <v>1086660</v>
      </c>
      <c r="K3377" s="3565">
        <v>10771.81</v>
      </c>
      <c r="L3377" s="3565">
        <v>13313.65</v>
      </c>
      <c r="M3377" s="3565">
        <v>0</v>
      </c>
      <c r="N3377" s="3565">
        <v>0</v>
      </c>
      <c r="O3377" s="3563" t="s">
        <v>3453</v>
      </c>
    </row>
    <row r="3378" spans="1:15">
      <c r="A3378" s="3563" t="s">
        <v>7600</v>
      </c>
      <c r="B3378" s="3563" t="s">
        <v>4196</v>
      </c>
      <c r="C3378" s="3563" t="s">
        <v>4197</v>
      </c>
      <c r="D3378" s="3563" t="s">
        <v>6429</v>
      </c>
      <c r="E3378" s="3563" t="s">
        <v>5972</v>
      </c>
      <c r="F3378" s="3563" t="s">
        <v>4797</v>
      </c>
      <c r="G3378" s="3564">
        <v>100.88</v>
      </c>
      <c r="H3378" s="3564">
        <v>81.62</v>
      </c>
      <c r="I3378" s="3564">
        <v>19.260000000000002</v>
      </c>
      <c r="J3378" s="3565">
        <v>1086660</v>
      </c>
      <c r="K3378" s="3565">
        <v>10771.81</v>
      </c>
      <c r="L3378" s="3565">
        <v>13313.65</v>
      </c>
      <c r="M3378" s="3565">
        <v>0</v>
      </c>
      <c r="N3378" s="3565">
        <v>0</v>
      </c>
      <c r="O3378" s="3563" t="s">
        <v>3453</v>
      </c>
    </row>
    <row r="3379" spans="1:15">
      <c r="A3379" s="3563" t="s">
        <v>7601</v>
      </c>
      <c r="B3379" s="3563" t="s">
        <v>4196</v>
      </c>
      <c r="C3379" s="3563" t="s">
        <v>4197</v>
      </c>
      <c r="D3379" s="3563" t="s">
        <v>6429</v>
      </c>
      <c r="E3379" s="3563" t="s">
        <v>5972</v>
      </c>
      <c r="F3379" s="3563" t="s">
        <v>4797</v>
      </c>
      <c r="G3379" s="3564">
        <v>109.31</v>
      </c>
      <c r="H3379" s="3564">
        <v>88.44</v>
      </c>
      <c r="I3379" s="3564">
        <v>20.87</v>
      </c>
      <c r="J3379" s="3565">
        <v>1113509</v>
      </c>
      <c r="K3379" s="3565">
        <v>10186.709999999999</v>
      </c>
      <c r="L3379" s="3565">
        <v>12590.56</v>
      </c>
      <c r="M3379" s="3565">
        <v>0</v>
      </c>
      <c r="N3379" s="3565">
        <v>0</v>
      </c>
      <c r="O3379" s="3563" t="s">
        <v>3453</v>
      </c>
    </row>
    <row r="3380" spans="1:15">
      <c r="A3380" s="3563" t="s">
        <v>7602</v>
      </c>
      <c r="B3380" s="3563" t="s">
        <v>4196</v>
      </c>
      <c r="C3380" s="3563" t="s">
        <v>4197</v>
      </c>
      <c r="D3380" s="3563" t="s">
        <v>6429</v>
      </c>
      <c r="E3380" s="3563" t="s">
        <v>5972</v>
      </c>
      <c r="F3380" s="3563" t="s">
        <v>4797</v>
      </c>
      <c r="G3380" s="3564">
        <v>100.88</v>
      </c>
      <c r="H3380" s="3564">
        <v>81.62</v>
      </c>
      <c r="I3380" s="3564">
        <v>19.260000000000002</v>
      </c>
      <c r="J3380" s="3565">
        <v>1038366</v>
      </c>
      <c r="K3380" s="3565">
        <v>10293.08</v>
      </c>
      <c r="L3380" s="3565">
        <v>12721.96</v>
      </c>
      <c r="M3380" s="3565">
        <v>0</v>
      </c>
      <c r="N3380" s="3565">
        <v>0</v>
      </c>
      <c r="O3380" s="3563" t="s">
        <v>3453</v>
      </c>
    </row>
    <row r="3381" spans="1:15">
      <c r="A3381" s="3563" t="s">
        <v>7603</v>
      </c>
      <c r="B3381" s="3563" t="s">
        <v>4196</v>
      </c>
      <c r="C3381" s="3563" t="s">
        <v>4197</v>
      </c>
      <c r="D3381" s="3563" t="s">
        <v>6429</v>
      </c>
      <c r="E3381" s="3563" t="s">
        <v>5972</v>
      </c>
      <c r="F3381" s="3563" t="s">
        <v>4797</v>
      </c>
      <c r="G3381" s="3564">
        <v>100.88</v>
      </c>
      <c r="H3381" s="3564">
        <v>81.62</v>
      </c>
      <c r="I3381" s="3564">
        <v>19.260000000000002</v>
      </c>
      <c r="J3381" s="3565">
        <v>1059830</v>
      </c>
      <c r="K3381" s="3565">
        <v>10505.85</v>
      </c>
      <c r="L3381" s="3565">
        <v>12984.93</v>
      </c>
      <c r="M3381" s="3565">
        <v>0</v>
      </c>
      <c r="N3381" s="3565">
        <v>0</v>
      </c>
      <c r="O3381" s="3563" t="s">
        <v>3453</v>
      </c>
    </row>
    <row r="3382" spans="1:15">
      <c r="A3382" s="3563" t="s">
        <v>7604</v>
      </c>
      <c r="B3382" s="3563" t="s">
        <v>4196</v>
      </c>
      <c r="C3382" s="3563" t="s">
        <v>4197</v>
      </c>
      <c r="D3382" s="3563" t="s">
        <v>6429</v>
      </c>
      <c r="E3382" s="3563" t="s">
        <v>5972</v>
      </c>
      <c r="F3382" s="3563" t="s">
        <v>4797</v>
      </c>
      <c r="G3382" s="3564">
        <v>123.64</v>
      </c>
      <c r="H3382" s="3564">
        <v>100.03</v>
      </c>
      <c r="I3382" s="3564">
        <v>23.61</v>
      </c>
      <c r="J3382" s="3565">
        <v>1305521</v>
      </c>
      <c r="K3382" s="3565">
        <v>10559.05</v>
      </c>
      <c r="L3382" s="3565">
        <v>13051.29</v>
      </c>
      <c r="M3382" s="3565">
        <v>0</v>
      </c>
      <c r="N3382" s="3565">
        <v>0</v>
      </c>
      <c r="O3382" s="3563" t="s">
        <v>3453</v>
      </c>
    </row>
    <row r="3383" spans="1:15">
      <c r="A3383" s="3563" t="s">
        <v>7605</v>
      </c>
      <c r="B3383" s="3563" t="s">
        <v>4196</v>
      </c>
      <c r="C3383" s="3563" t="s">
        <v>4197</v>
      </c>
      <c r="D3383" s="3563" t="s">
        <v>6429</v>
      </c>
      <c r="E3383" s="3563" t="s">
        <v>5972</v>
      </c>
      <c r="F3383" s="3563" t="s">
        <v>4797</v>
      </c>
      <c r="G3383" s="3564">
        <v>100.88</v>
      </c>
      <c r="H3383" s="3564">
        <v>81.62</v>
      </c>
      <c r="I3383" s="3564">
        <v>19.260000000000002</v>
      </c>
      <c r="J3383" s="3565">
        <v>1096320</v>
      </c>
      <c r="K3383" s="3565">
        <v>10867.57</v>
      </c>
      <c r="L3383" s="3565">
        <v>13432</v>
      </c>
      <c r="M3383" s="3565">
        <v>0</v>
      </c>
      <c r="N3383" s="3565">
        <v>0</v>
      </c>
      <c r="O3383" s="3563" t="s">
        <v>3453</v>
      </c>
    </row>
    <row r="3384" spans="1:15">
      <c r="A3384" s="3563" t="s">
        <v>7606</v>
      </c>
      <c r="B3384" s="3563" t="s">
        <v>4196</v>
      </c>
      <c r="C3384" s="3563" t="s">
        <v>4197</v>
      </c>
      <c r="D3384" s="3563" t="s">
        <v>6429</v>
      </c>
      <c r="E3384" s="3563" t="s">
        <v>5972</v>
      </c>
      <c r="F3384" s="3563" t="s">
        <v>4797</v>
      </c>
      <c r="G3384" s="3564">
        <v>100.88</v>
      </c>
      <c r="H3384" s="3564">
        <v>81.62</v>
      </c>
      <c r="I3384" s="3564">
        <v>19.260000000000002</v>
      </c>
      <c r="J3384" s="3565">
        <v>1096320</v>
      </c>
      <c r="K3384" s="3565">
        <v>10867.57</v>
      </c>
      <c r="L3384" s="3565">
        <v>13432</v>
      </c>
      <c r="M3384" s="3565">
        <v>0</v>
      </c>
      <c r="N3384" s="3565">
        <v>0</v>
      </c>
      <c r="O3384" s="3563" t="s">
        <v>3453</v>
      </c>
    </row>
    <row r="3385" spans="1:15">
      <c r="A3385" s="3563" t="s">
        <v>7607</v>
      </c>
      <c r="B3385" s="3563" t="s">
        <v>4196</v>
      </c>
      <c r="C3385" s="3563" t="s">
        <v>4197</v>
      </c>
      <c r="D3385" s="3563" t="s">
        <v>6429</v>
      </c>
      <c r="E3385" s="3563" t="s">
        <v>5972</v>
      </c>
      <c r="F3385" s="3563" t="s">
        <v>4797</v>
      </c>
      <c r="G3385" s="3564">
        <v>109.31</v>
      </c>
      <c r="H3385" s="3564">
        <v>88.44</v>
      </c>
      <c r="I3385" s="3564">
        <v>20.87</v>
      </c>
      <c r="J3385" s="3565">
        <v>1123975</v>
      </c>
      <c r="K3385" s="3565">
        <v>10282.450000000001</v>
      </c>
      <c r="L3385" s="3565">
        <v>12708.9</v>
      </c>
      <c r="M3385" s="3565">
        <v>0</v>
      </c>
      <c r="N3385" s="3565">
        <v>0</v>
      </c>
      <c r="O3385" s="3563" t="s">
        <v>3453</v>
      </c>
    </row>
    <row r="3386" spans="1:15">
      <c r="A3386" s="3563" t="s">
        <v>7608</v>
      </c>
      <c r="B3386" s="3563" t="s">
        <v>4196</v>
      </c>
      <c r="C3386" s="3563" t="s">
        <v>4197</v>
      </c>
      <c r="D3386" s="3563" t="s">
        <v>6429</v>
      </c>
      <c r="E3386" s="3563" t="s">
        <v>5972</v>
      </c>
      <c r="F3386" s="3563" t="s">
        <v>4797</v>
      </c>
      <c r="G3386" s="3564">
        <v>100.88</v>
      </c>
      <c r="H3386" s="3564">
        <v>81.62</v>
      </c>
      <c r="I3386" s="3564">
        <v>19.260000000000002</v>
      </c>
      <c r="J3386" s="3565">
        <v>1048026</v>
      </c>
      <c r="K3386" s="3565">
        <v>10388.84</v>
      </c>
      <c r="L3386" s="3565">
        <v>12840.31</v>
      </c>
      <c r="M3386" s="3565">
        <v>0</v>
      </c>
      <c r="N3386" s="3565">
        <v>0</v>
      </c>
      <c r="O3386" s="3563" t="s">
        <v>3453</v>
      </c>
    </row>
    <row r="3387" spans="1:15">
      <c r="A3387" s="3563" t="s">
        <v>7609</v>
      </c>
      <c r="B3387" s="3563" t="s">
        <v>4196</v>
      </c>
      <c r="C3387" s="3563" t="s">
        <v>4197</v>
      </c>
      <c r="D3387" s="3563" t="s">
        <v>6429</v>
      </c>
      <c r="E3387" s="3563" t="s">
        <v>5972</v>
      </c>
      <c r="F3387" s="3563" t="s">
        <v>4797</v>
      </c>
      <c r="G3387" s="3564">
        <v>100.88</v>
      </c>
      <c r="H3387" s="3564">
        <v>81.62</v>
      </c>
      <c r="I3387" s="3564">
        <v>19.260000000000002</v>
      </c>
      <c r="J3387" s="3565">
        <v>1069490</v>
      </c>
      <c r="K3387" s="3565">
        <v>10601.61</v>
      </c>
      <c r="L3387" s="3565">
        <v>13103.28</v>
      </c>
      <c r="M3387" s="3565">
        <v>0</v>
      </c>
      <c r="N3387" s="3565">
        <v>0</v>
      </c>
      <c r="O3387" s="3563" t="s">
        <v>3453</v>
      </c>
    </row>
    <row r="3388" spans="1:15">
      <c r="A3388" s="3563" t="s">
        <v>7610</v>
      </c>
      <c r="B3388" s="3563" t="s">
        <v>4196</v>
      </c>
      <c r="C3388" s="3563" t="s">
        <v>4197</v>
      </c>
      <c r="D3388" s="3563" t="s">
        <v>6429</v>
      </c>
      <c r="E3388" s="3563" t="s">
        <v>5972</v>
      </c>
      <c r="F3388" s="3563" t="s">
        <v>4797</v>
      </c>
      <c r="G3388" s="3564">
        <v>123.64</v>
      </c>
      <c r="H3388" s="3564">
        <v>100.03</v>
      </c>
      <c r="I3388" s="3564">
        <v>23.61</v>
      </c>
      <c r="J3388" s="3565">
        <v>1317358</v>
      </c>
      <c r="K3388" s="3565">
        <v>10654.79</v>
      </c>
      <c r="L3388" s="3565">
        <v>13169.63</v>
      </c>
      <c r="M3388" s="3565">
        <v>0</v>
      </c>
      <c r="N3388" s="3565">
        <v>0</v>
      </c>
      <c r="O3388" s="3563" t="s">
        <v>3453</v>
      </c>
    </row>
    <row r="3389" spans="1:15">
      <c r="A3389" s="3563" t="s">
        <v>7611</v>
      </c>
      <c r="B3389" s="3563" t="s">
        <v>4196</v>
      </c>
      <c r="C3389" s="3563" t="s">
        <v>4197</v>
      </c>
      <c r="D3389" s="3563" t="s">
        <v>6429</v>
      </c>
      <c r="E3389" s="3563" t="s">
        <v>5972</v>
      </c>
      <c r="F3389" s="3563" t="s">
        <v>4797</v>
      </c>
      <c r="G3389" s="3564">
        <v>102.44</v>
      </c>
      <c r="H3389" s="3564">
        <v>81.62</v>
      </c>
      <c r="I3389" s="3564">
        <v>20.82</v>
      </c>
      <c r="J3389" s="3565">
        <v>1019550</v>
      </c>
      <c r="K3389" s="3565">
        <v>9952.66</v>
      </c>
      <c r="L3389" s="3565">
        <v>12491.42</v>
      </c>
      <c r="M3389" s="3565">
        <v>0</v>
      </c>
      <c r="N3389" s="3565">
        <v>0</v>
      </c>
      <c r="O3389" s="3563" t="s">
        <v>3453</v>
      </c>
    </row>
    <row r="3390" spans="1:15">
      <c r="A3390" s="3563" t="s">
        <v>7612</v>
      </c>
      <c r="B3390" s="3563" t="s">
        <v>4196</v>
      </c>
      <c r="C3390" s="3563" t="s">
        <v>4197</v>
      </c>
      <c r="D3390" s="3563" t="s">
        <v>6429</v>
      </c>
      <c r="E3390" s="3563" t="s">
        <v>5972</v>
      </c>
      <c r="F3390" s="3563" t="s">
        <v>4797</v>
      </c>
      <c r="G3390" s="3564">
        <v>102.44</v>
      </c>
      <c r="H3390" s="3564">
        <v>81.62</v>
      </c>
      <c r="I3390" s="3564">
        <v>20.82</v>
      </c>
      <c r="J3390" s="3565">
        <v>1019550</v>
      </c>
      <c r="K3390" s="3565">
        <v>9952.66</v>
      </c>
      <c r="L3390" s="3565">
        <v>12491.42</v>
      </c>
      <c r="M3390" s="3565">
        <v>0</v>
      </c>
      <c r="N3390" s="3565">
        <v>0</v>
      </c>
      <c r="O3390" s="3563" t="s">
        <v>3453</v>
      </c>
    </row>
    <row r="3391" spans="1:15">
      <c r="A3391" s="3563" t="s">
        <v>7613</v>
      </c>
      <c r="B3391" s="3563" t="s">
        <v>4196</v>
      </c>
      <c r="C3391" s="3563" t="s">
        <v>4197</v>
      </c>
      <c r="D3391" s="3563" t="s">
        <v>6429</v>
      </c>
      <c r="E3391" s="3563" t="s">
        <v>5972</v>
      </c>
      <c r="F3391" s="3563" t="s">
        <v>4797</v>
      </c>
      <c r="G3391" s="3564">
        <v>102.44</v>
      </c>
      <c r="H3391" s="3564">
        <v>81.62</v>
      </c>
      <c r="I3391" s="3564">
        <v>20.82</v>
      </c>
      <c r="J3391" s="3565">
        <v>1019550</v>
      </c>
      <c r="K3391" s="3565">
        <v>9952.66</v>
      </c>
      <c r="L3391" s="3565">
        <v>12491.42</v>
      </c>
      <c r="M3391" s="3565">
        <v>0</v>
      </c>
      <c r="N3391" s="3565">
        <v>0</v>
      </c>
      <c r="O3391" s="3563" t="s">
        <v>3453</v>
      </c>
    </row>
    <row r="3392" spans="1:15">
      <c r="A3392" s="3563" t="s">
        <v>7614</v>
      </c>
      <c r="B3392" s="3563" t="s">
        <v>4196</v>
      </c>
      <c r="C3392" s="3563" t="s">
        <v>4197</v>
      </c>
      <c r="D3392" s="3563" t="s">
        <v>6429</v>
      </c>
      <c r="E3392" s="3563" t="s">
        <v>5972</v>
      </c>
      <c r="F3392" s="3563" t="s">
        <v>4797</v>
      </c>
      <c r="G3392" s="3564">
        <v>102.44</v>
      </c>
      <c r="H3392" s="3564">
        <v>81.62</v>
      </c>
      <c r="I3392" s="3564">
        <v>20.82</v>
      </c>
      <c r="J3392" s="3565">
        <v>1019550</v>
      </c>
      <c r="K3392" s="3565">
        <v>9952.66</v>
      </c>
      <c r="L3392" s="3565">
        <v>12491.42</v>
      </c>
      <c r="M3392" s="3565">
        <v>0</v>
      </c>
      <c r="N3392" s="3565">
        <v>0</v>
      </c>
      <c r="O3392" s="3563" t="s">
        <v>3453</v>
      </c>
    </row>
    <row r="3393" spans="1:15">
      <c r="A3393" s="3563" t="s">
        <v>7615</v>
      </c>
      <c r="B3393" s="3563" t="s">
        <v>4196</v>
      </c>
      <c r="C3393" s="3563" t="s">
        <v>4197</v>
      </c>
      <c r="D3393" s="3563" t="s">
        <v>6429</v>
      </c>
      <c r="E3393" s="3563" t="s">
        <v>5972</v>
      </c>
      <c r="F3393" s="3563" t="s">
        <v>4797</v>
      </c>
      <c r="G3393" s="3564">
        <v>125.54</v>
      </c>
      <c r="H3393" s="3564">
        <v>100.03</v>
      </c>
      <c r="I3393" s="3564">
        <v>25.51</v>
      </c>
      <c r="J3393" s="3565">
        <v>1249457</v>
      </c>
      <c r="K3393" s="3565">
        <v>9952.66</v>
      </c>
      <c r="L3393" s="3565">
        <v>12490.82</v>
      </c>
      <c r="M3393" s="3565">
        <v>0</v>
      </c>
      <c r="N3393" s="3565">
        <v>0</v>
      </c>
      <c r="O3393" s="3563" t="s">
        <v>3453</v>
      </c>
    </row>
    <row r="3394" spans="1:15">
      <c r="A3394" s="3563" t="s">
        <v>7616</v>
      </c>
      <c r="B3394" s="3563" t="s">
        <v>3453</v>
      </c>
      <c r="C3394" s="3563" t="s">
        <v>4197</v>
      </c>
      <c r="D3394" s="3563" t="s">
        <v>6429</v>
      </c>
      <c r="E3394" s="3563" t="s">
        <v>5972</v>
      </c>
      <c r="F3394" s="3563" t="s">
        <v>4797</v>
      </c>
      <c r="G3394" s="3564">
        <v>100.88</v>
      </c>
      <c r="H3394" s="3564">
        <v>81.62</v>
      </c>
      <c r="I3394" s="3564">
        <v>19.260000000000002</v>
      </c>
      <c r="J3394" s="3565">
        <v>1095246</v>
      </c>
      <c r="K3394" s="3565">
        <v>10856.92</v>
      </c>
      <c r="L3394" s="3565">
        <v>13418.84</v>
      </c>
      <c r="M3394" s="3565">
        <v>0</v>
      </c>
      <c r="N3394" s="3565">
        <v>0</v>
      </c>
      <c r="O3394" s="3563" t="s">
        <v>3453</v>
      </c>
    </row>
    <row r="3395" spans="1:15">
      <c r="A3395" s="3563" t="s">
        <v>7617</v>
      </c>
      <c r="B3395" s="3563" t="s">
        <v>3453</v>
      </c>
      <c r="C3395" s="3563" t="s">
        <v>4197</v>
      </c>
      <c r="D3395" s="3563" t="s">
        <v>6429</v>
      </c>
      <c r="E3395" s="3563" t="s">
        <v>5972</v>
      </c>
      <c r="F3395" s="3563" t="s">
        <v>4797</v>
      </c>
      <c r="G3395" s="3564">
        <v>100.88</v>
      </c>
      <c r="H3395" s="3564">
        <v>81.62</v>
      </c>
      <c r="I3395" s="3564">
        <v>19.260000000000002</v>
      </c>
      <c r="J3395" s="3565">
        <v>1095246</v>
      </c>
      <c r="K3395" s="3565">
        <v>10856.92</v>
      </c>
      <c r="L3395" s="3565">
        <v>13418.84</v>
      </c>
      <c r="M3395" s="3565">
        <v>0</v>
      </c>
      <c r="N3395" s="3565">
        <v>0</v>
      </c>
      <c r="O3395" s="3563" t="s">
        <v>3453</v>
      </c>
    </row>
    <row r="3396" spans="1:15">
      <c r="A3396" s="3563" t="s">
        <v>7618</v>
      </c>
      <c r="B3396" s="3563" t="s">
        <v>4196</v>
      </c>
      <c r="C3396" s="3563" t="s">
        <v>4197</v>
      </c>
      <c r="D3396" s="3563" t="s">
        <v>6429</v>
      </c>
      <c r="E3396" s="3563" t="s">
        <v>5972</v>
      </c>
      <c r="F3396" s="3563" t="s">
        <v>4797</v>
      </c>
      <c r="G3396" s="3564">
        <v>109.31</v>
      </c>
      <c r="H3396" s="3564">
        <v>88.44</v>
      </c>
      <c r="I3396" s="3564">
        <v>20.87</v>
      </c>
      <c r="J3396" s="3565">
        <v>1122812</v>
      </c>
      <c r="K3396" s="3565">
        <v>10271.81</v>
      </c>
      <c r="L3396" s="3565">
        <v>12695.75</v>
      </c>
      <c r="M3396" s="3565">
        <v>0</v>
      </c>
      <c r="N3396" s="3565">
        <v>0</v>
      </c>
      <c r="O3396" s="3563" t="s">
        <v>3453</v>
      </c>
    </row>
    <row r="3397" spans="1:15">
      <c r="A3397" s="3563" t="s">
        <v>7619</v>
      </c>
      <c r="B3397" s="3563" t="s">
        <v>4196</v>
      </c>
      <c r="C3397" s="3563" t="s">
        <v>4197</v>
      </c>
      <c r="D3397" s="3563" t="s">
        <v>6429</v>
      </c>
      <c r="E3397" s="3563" t="s">
        <v>5972</v>
      </c>
      <c r="F3397" s="3563" t="s">
        <v>4797</v>
      </c>
      <c r="G3397" s="3564">
        <v>100.88</v>
      </c>
      <c r="H3397" s="3564">
        <v>81.62</v>
      </c>
      <c r="I3397" s="3564">
        <v>19.260000000000002</v>
      </c>
      <c r="J3397" s="3565">
        <v>1046953</v>
      </c>
      <c r="K3397" s="3565">
        <v>10378.200000000001</v>
      </c>
      <c r="L3397" s="3565">
        <v>12827.16</v>
      </c>
      <c r="M3397" s="3565">
        <v>0</v>
      </c>
      <c r="N3397" s="3565">
        <v>0</v>
      </c>
      <c r="O3397" s="3563" t="s">
        <v>3453</v>
      </c>
    </row>
    <row r="3398" spans="1:15">
      <c r="A3398" s="3563" t="s">
        <v>7620</v>
      </c>
      <c r="B3398" s="3563" t="s">
        <v>4196</v>
      </c>
      <c r="C3398" s="3563" t="s">
        <v>4197</v>
      </c>
      <c r="D3398" s="3563" t="s">
        <v>6429</v>
      </c>
      <c r="E3398" s="3563" t="s">
        <v>5972</v>
      </c>
      <c r="F3398" s="3563" t="s">
        <v>4797</v>
      </c>
      <c r="G3398" s="3564">
        <v>100.88</v>
      </c>
      <c r="H3398" s="3564">
        <v>81.62</v>
      </c>
      <c r="I3398" s="3564">
        <v>19.260000000000002</v>
      </c>
      <c r="J3398" s="3565">
        <v>1068416</v>
      </c>
      <c r="K3398" s="3565">
        <v>10590.96</v>
      </c>
      <c r="L3398" s="3565">
        <v>13090.12</v>
      </c>
      <c r="M3398" s="3565">
        <v>0</v>
      </c>
      <c r="N3398" s="3565">
        <v>0</v>
      </c>
      <c r="O3398" s="3563" t="s">
        <v>3453</v>
      </c>
    </row>
    <row r="3399" spans="1:15">
      <c r="A3399" s="3563" t="s">
        <v>7621</v>
      </c>
      <c r="B3399" s="3563" t="s">
        <v>4196</v>
      </c>
      <c r="C3399" s="3563" t="s">
        <v>4197</v>
      </c>
      <c r="D3399" s="3563" t="s">
        <v>6429</v>
      </c>
      <c r="E3399" s="3563" t="s">
        <v>5972</v>
      </c>
      <c r="F3399" s="3563" t="s">
        <v>4797</v>
      </c>
      <c r="G3399" s="3564">
        <v>123.64</v>
      </c>
      <c r="H3399" s="3564">
        <v>100.03</v>
      </c>
      <c r="I3399" s="3564">
        <v>23.61</v>
      </c>
      <c r="J3399" s="3565">
        <v>1316043</v>
      </c>
      <c r="K3399" s="3565">
        <v>10644.15</v>
      </c>
      <c r="L3399" s="3565">
        <v>13156.48</v>
      </c>
      <c r="M3399" s="3565">
        <v>0</v>
      </c>
      <c r="N3399" s="3565">
        <v>0</v>
      </c>
      <c r="O3399" s="3563" t="s">
        <v>3453</v>
      </c>
    </row>
    <row r="3400" spans="1:15">
      <c r="A3400" s="3563" t="s">
        <v>7622</v>
      </c>
      <c r="B3400" s="3563" t="s">
        <v>4196</v>
      </c>
      <c r="C3400" s="3563" t="s">
        <v>4197</v>
      </c>
      <c r="D3400" s="3563" t="s">
        <v>6429</v>
      </c>
      <c r="E3400" s="3563" t="s">
        <v>5972</v>
      </c>
      <c r="F3400" s="3563" t="s">
        <v>4797</v>
      </c>
      <c r="G3400" s="3564">
        <v>100.88</v>
      </c>
      <c r="H3400" s="3564">
        <v>81.62</v>
      </c>
      <c r="I3400" s="3564">
        <v>19.260000000000002</v>
      </c>
      <c r="J3400" s="3565">
        <v>1094173</v>
      </c>
      <c r="K3400" s="3565">
        <v>10846.28</v>
      </c>
      <c r="L3400" s="3565">
        <v>13405.7</v>
      </c>
      <c r="M3400" s="3565">
        <v>0</v>
      </c>
      <c r="N3400" s="3565">
        <v>0</v>
      </c>
      <c r="O3400" s="3563" t="s">
        <v>3453</v>
      </c>
    </row>
    <row r="3401" spans="1:15">
      <c r="A3401" s="3563" t="s">
        <v>7623</v>
      </c>
      <c r="B3401" s="3563" t="s">
        <v>4196</v>
      </c>
      <c r="C3401" s="3563" t="s">
        <v>4197</v>
      </c>
      <c r="D3401" s="3563" t="s">
        <v>6429</v>
      </c>
      <c r="E3401" s="3563" t="s">
        <v>5972</v>
      </c>
      <c r="F3401" s="3563" t="s">
        <v>4797</v>
      </c>
      <c r="G3401" s="3564">
        <v>100.88</v>
      </c>
      <c r="H3401" s="3564">
        <v>81.62</v>
      </c>
      <c r="I3401" s="3564">
        <v>19.260000000000002</v>
      </c>
      <c r="J3401" s="3565">
        <v>1094173</v>
      </c>
      <c r="K3401" s="3565">
        <v>10846.28</v>
      </c>
      <c r="L3401" s="3565">
        <v>13405.7</v>
      </c>
      <c r="M3401" s="3565">
        <v>0</v>
      </c>
      <c r="N3401" s="3565">
        <v>0</v>
      </c>
      <c r="O3401" s="3563" t="s">
        <v>3453</v>
      </c>
    </row>
    <row r="3402" spans="1:15">
      <c r="A3402" s="3563" t="s">
        <v>7624</v>
      </c>
      <c r="B3402" s="3563" t="s">
        <v>4196</v>
      </c>
      <c r="C3402" s="3563" t="s">
        <v>4197</v>
      </c>
      <c r="D3402" s="3563" t="s">
        <v>6429</v>
      </c>
      <c r="E3402" s="3563" t="s">
        <v>5972</v>
      </c>
      <c r="F3402" s="3563" t="s">
        <v>4797</v>
      </c>
      <c r="G3402" s="3564">
        <v>109.31</v>
      </c>
      <c r="H3402" s="3564">
        <v>88.44</v>
      </c>
      <c r="I3402" s="3564">
        <v>20.87</v>
      </c>
      <c r="J3402" s="3565">
        <v>1121649</v>
      </c>
      <c r="K3402" s="3565">
        <v>10261.17</v>
      </c>
      <c r="L3402" s="3565">
        <v>12682.6</v>
      </c>
      <c r="M3402" s="3565">
        <v>0</v>
      </c>
      <c r="N3402" s="3565">
        <v>0</v>
      </c>
      <c r="O3402" s="3563" t="s">
        <v>3453</v>
      </c>
    </row>
    <row r="3403" spans="1:15">
      <c r="A3403" s="3563" t="s">
        <v>7625</v>
      </c>
      <c r="B3403" s="3563" t="s">
        <v>4196</v>
      </c>
      <c r="C3403" s="3563" t="s">
        <v>4197</v>
      </c>
      <c r="D3403" s="3563" t="s">
        <v>6429</v>
      </c>
      <c r="E3403" s="3563" t="s">
        <v>5972</v>
      </c>
      <c r="F3403" s="3563" t="s">
        <v>4797</v>
      </c>
      <c r="G3403" s="3564">
        <v>100.88</v>
      </c>
      <c r="H3403" s="3564">
        <v>81.62</v>
      </c>
      <c r="I3403" s="3564">
        <v>19.260000000000002</v>
      </c>
      <c r="J3403" s="3565">
        <v>1045879</v>
      </c>
      <c r="K3403" s="3565">
        <v>10367.56</v>
      </c>
      <c r="L3403" s="3565">
        <v>12814</v>
      </c>
      <c r="M3403" s="3565">
        <v>0</v>
      </c>
      <c r="N3403" s="3565">
        <v>0</v>
      </c>
      <c r="O3403" s="3563" t="s">
        <v>3453</v>
      </c>
    </row>
    <row r="3404" spans="1:15">
      <c r="A3404" s="3563" t="s">
        <v>7626</v>
      </c>
      <c r="B3404" s="3563" t="s">
        <v>4196</v>
      </c>
      <c r="C3404" s="3563" t="s">
        <v>4197</v>
      </c>
      <c r="D3404" s="3563" t="s">
        <v>6429</v>
      </c>
      <c r="E3404" s="3563" t="s">
        <v>5972</v>
      </c>
      <c r="F3404" s="3563" t="s">
        <v>4797</v>
      </c>
      <c r="G3404" s="3564">
        <v>100.88</v>
      </c>
      <c r="H3404" s="3564">
        <v>81.62</v>
      </c>
      <c r="I3404" s="3564">
        <v>19.260000000000002</v>
      </c>
      <c r="J3404" s="3565">
        <v>1067343</v>
      </c>
      <c r="K3404" s="3565">
        <v>10580.32</v>
      </c>
      <c r="L3404" s="3565">
        <v>13076.98</v>
      </c>
      <c r="M3404" s="3565">
        <v>0</v>
      </c>
      <c r="N3404" s="3565">
        <v>0</v>
      </c>
      <c r="O3404" s="3563" t="s">
        <v>3453</v>
      </c>
    </row>
    <row r="3405" spans="1:15">
      <c r="A3405" s="3563" t="s">
        <v>7627</v>
      </c>
      <c r="B3405" s="3563" t="s">
        <v>4196</v>
      </c>
      <c r="C3405" s="3563" t="s">
        <v>4197</v>
      </c>
      <c r="D3405" s="3563" t="s">
        <v>6429</v>
      </c>
      <c r="E3405" s="3563" t="s">
        <v>5972</v>
      </c>
      <c r="F3405" s="3563" t="s">
        <v>4797</v>
      </c>
      <c r="G3405" s="3564">
        <v>123.64</v>
      </c>
      <c r="H3405" s="3564">
        <v>100.03</v>
      </c>
      <c r="I3405" s="3564">
        <v>23.61</v>
      </c>
      <c r="J3405" s="3565">
        <v>1314728</v>
      </c>
      <c r="K3405" s="3565">
        <v>10633.52</v>
      </c>
      <c r="L3405" s="3565">
        <v>13143.34</v>
      </c>
      <c r="M3405" s="3565">
        <v>0</v>
      </c>
      <c r="N3405" s="3565">
        <v>0</v>
      </c>
      <c r="O3405" s="3563" t="s">
        <v>3453</v>
      </c>
    </row>
    <row r="3406" spans="1:15">
      <c r="A3406" s="3563" t="s">
        <v>7628</v>
      </c>
      <c r="B3406" s="3563" t="s">
        <v>4196</v>
      </c>
      <c r="C3406" s="3563" t="s">
        <v>4197</v>
      </c>
      <c r="D3406" s="3563" t="s">
        <v>6429</v>
      </c>
      <c r="E3406" s="3563" t="s">
        <v>5972</v>
      </c>
      <c r="F3406" s="3563" t="s">
        <v>4797</v>
      </c>
      <c r="G3406" s="3564">
        <v>100.88</v>
      </c>
      <c r="H3406" s="3564">
        <v>81.62</v>
      </c>
      <c r="I3406" s="3564">
        <v>19.260000000000002</v>
      </c>
      <c r="J3406" s="3565">
        <v>1093099</v>
      </c>
      <c r="K3406" s="3565">
        <v>10835.64</v>
      </c>
      <c r="L3406" s="3565">
        <v>13392.54</v>
      </c>
      <c r="M3406" s="3565">
        <v>0</v>
      </c>
      <c r="N3406" s="3565">
        <v>0</v>
      </c>
      <c r="O3406" s="3563" t="s">
        <v>3453</v>
      </c>
    </row>
    <row r="3407" spans="1:15">
      <c r="A3407" s="3563" t="s">
        <v>7629</v>
      </c>
      <c r="B3407" s="3563" t="s">
        <v>4196</v>
      </c>
      <c r="C3407" s="3563" t="s">
        <v>4197</v>
      </c>
      <c r="D3407" s="3563" t="s">
        <v>6429</v>
      </c>
      <c r="E3407" s="3563" t="s">
        <v>5972</v>
      </c>
      <c r="F3407" s="3563" t="s">
        <v>4797</v>
      </c>
      <c r="G3407" s="3564">
        <v>100.88</v>
      </c>
      <c r="H3407" s="3564">
        <v>81.62</v>
      </c>
      <c r="I3407" s="3564">
        <v>19.260000000000002</v>
      </c>
      <c r="J3407" s="3565">
        <v>1093099</v>
      </c>
      <c r="K3407" s="3565">
        <v>10835.64</v>
      </c>
      <c r="L3407" s="3565">
        <v>13392.54</v>
      </c>
      <c r="M3407" s="3565">
        <v>0</v>
      </c>
      <c r="N3407" s="3565">
        <v>0</v>
      </c>
      <c r="O3407" s="3563" t="s">
        <v>3453</v>
      </c>
    </row>
    <row r="3408" spans="1:15">
      <c r="A3408" s="3563" t="s">
        <v>7630</v>
      </c>
      <c r="B3408" s="3563" t="s">
        <v>4196</v>
      </c>
      <c r="C3408" s="3563" t="s">
        <v>4197</v>
      </c>
      <c r="D3408" s="3563" t="s">
        <v>6429</v>
      </c>
      <c r="E3408" s="3563" t="s">
        <v>5972</v>
      </c>
      <c r="F3408" s="3563" t="s">
        <v>4797</v>
      </c>
      <c r="G3408" s="3564">
        <v>109.31</v>
      </c>
      <c r="H3408" s="3564">
        <v>88.44</v>
      </c>
      <c r="I3408" s="3564">
        <v>20.87</v>
      </c>
      <c r="J3408" s="3565">
        <v>1120487</v>
      </c>
      <c r="K3408" s="3565">
        <v>10250.540000000001</v>
      </c>
      <c r="L3408" s="3565">
        <v>12669.46</v>
      </c>
      <c r="M3408" s="3565">
        <v>0</v>
      </c>
      <c r="N3408" s="3565">
        <v>0</v>
      </c>
      <c r="O3408" s="3563" t="s">
        <v>3453</v>
      </c>
    </row>
    <row r="3409" spans="1:15">
      <c r="A3409" s="3563" t="s">
        <v>7631</v>
      </c>
      <c r="B3409" s="3563" t="s">
        <v>4196</v>
      </c>
      <c r="C3409" s="3563" t="s">
        <v>4197</v>
      </c>
      <c r="D3409" s="3563" t="s">
        <v>6429</v>
      </c>
      <c r="E3409" s="3563" t="s">
        <v>5972</v>
      </c>
      <c r="F3409" s="3563" t="s">
        <v>4797</v>
      </c>
      <c r="G3409" s="3564">
        <v>100.88</v>
      </c>
      <c r="H3409" s="3564">
        <v>81.62</v>
      </c>
      <c r="I3409" s="3564">
        <v>19.260000000000002</v>
      </c>
      <c r="J3409" s="3565">
        <v>1044806</v>
      </c>
      <c r="K3409" s="3565">
        <v>10356.92</v>
      </c>
      <c r="L3409" s="3565">
        <v>12800.86</v>
      </c>
      <c r="M3409" s="3565">
        <v>0</v>
      </c>
      <c r="N3409" s="3565">
        <v>0</v>
      </c>
      <c r="O3409" s="3563" t="s">
        <v>3453</v>
      </c>
    </row>
    <row r="3410" spans="1:15">
      <c r="A3410" s="3563" t="s">
        <v>7632</v>
      </c>
      <c r="B3410" s="3563" t="s">
        <v>4196</v>
      </c>
      <c r="C3410" s="3563" t="s">
        <v>4197</v>
      </c>
      <c r="D3410" s="3563" t="s">
        <v>6429</v>
      </c>
      <c r="E3410" s="3563" t="s">
        <v>5972</v>
      </c>
      <c r="F3410" s="3563" t="s">
        <v>4797</v>
      </c>
      <c r="G3410" s="3564">
        <v>100.88</v>
      </c>
      <c r="H3410" s="3564">
        <v>81.62</v>
      </c>
      <c r="I3410" s="3564">
        <v>19.260000000000002</v>
      </c>
      <c r="J3410" s="3565">
        <v>1066270</v>
      </c>
      <c r="K3410" s="3565">
        <v>10569.69</v>
      </c>
      <c r="L3410" s="3565">
        <v>13063.83</v>
      </c>
      <c r="M3410" s="3565">
        <v>0</v>
      </c>
      <c r="N3410" s="3565">
        <v>0</v>
      </c>
      <c r="O3410" s="3563" t="s">
        <v>3453</v>
      </c>
    </row>
    <row r="3411" spans="1:15">
      <c r="A3411" s="3563" t="s">
        <v>7633</v>
      </c>
      <c r="B3411" s="3563" t="s">
        <v>4196</v>
      </c>
      <c r="C3411" s="3563" t="s">
        <v>4197</v>
      </c>
      <c r="D3411" s="3563" t="s">
        <v>6429</v>
      </c>
      <c r="E3411" s="3563" t="s">
        <v>5972</v>
      </c>
      <c r="F3411" s="3563" t="s">
        <v>4797</v>
      </c>
      <c r="G3411" s="3564">
        <v>123.64</v>
      </c>
      <c r="H3411" s="3564">
        <v>100.03</v>
      </c>
      <c r="I3411" s="3564">
        <v>23.61</v>
      </c>
      <c r="J3411" s="3565">
        <v>1313412</v>
      </c>
      <c r="K3411" s="3565">
        <v>10622.87</v>
      </c>
      <c r="L3411" s="3565">
        <v>13130.18</v>
      </c>
      <c r="M3411" s="3565">
        <v>0</v>
      </c>
      <c r="N3411" s="3565">
        <v>0</v>
      </c>
      <c r="O3411" s="3563" t="s">
        <v>3453</v>
      </c>
    </row>
    <row r="3412" spans="1:15">
      <c r="A3412" s="3563" t="s">
        <v>7634</v>
      </c>
      <c r="B3412" s="3563" t="s">
        <v>4196</v>
      </c>
      <c r="C3412" s="3563" t="s">
        <v>4197</v>
      </c>
      <c r="D3412" s="3563" t="s">
        <v>6429</v>
      </c>
      <c r="E3412" s="3563" t="s">
        <v>5972</v>
      </c>
      <c r="F3412" s="3563" t="s">
        <v>4797</v>
      </c>
      <c r="G3412" s="3564">
        <v>100.88</v>
      </c>
      <c r="H3412" s="3564">
        <v>81.62</v>
      </c>
      <c r="I3412" s="3564">
        <v>19.260000000000002</v>
      </c>
      <c r="J3412" s="3565">
        <v>1092026</v>
      </c>
      <c r="K3412" s="3565">
        <v>10825</v>
      </c>
      <c r="L3412" s="3565">
        <v>13379.39</v>
      </c>
      <c r="M3412" s="3565">
        <v>0</v>
      </c>
      <c r="N3412" s="3565">
        <v>0</v>
      </c>
      <c r="O3412" s="3563" t="s">
        <v>3453</v>
      </c>
    </row>
    <row r="3413" spans="1:15">
      <c r="A3413" s="3563" t="s">
        <v>7635</v>
      </c>
      <c r="B3413" s="3563" t="s">
        <v>4196</v>
      </c>
      <c r="C3413" s="3563" t="s">
        <v>4197</v>
      </c>
      <c r="D3413" s="3563" t="s">
        <v>6429</v>
      </c>
      <c r="E3413" s="3563" t="s">
        <v>5972</v>
      </c>
      <c r="F3413" s="3563" t="s">
        <v>4797</v>
      </c>
      <c r="G3413" s="3564">
        <v>100.88</v>
      </c>
      <c r="H3413" s="3564">
        <v>81.62</v>
      </c>
      <c r="I3413" s="3564">
        <v>19.260000000000002</v>
      </c>
      <c r="J3413" s="3565">
        <v>1092026</v>
      </c>
      <c r="K3413" s="3565">
        <v>10825</v>
      </c>
      <c r="L3413" s="3565">
        <v>13379.39</v>
      </c>
      <c r="M3413" s="3565">
        <v>0</v>
      </c>
      <c r="N3413" s="3565">
        <v>0</v>
      </c>
      <c r="O3413" s="3563" t="s">
        <v>3453</v>
      </c>
    </row>
    <row r="3414" spans="1:15">
      <c r="A3414" s="3563" t="s">
        <v>7636</v>
      </c>
      <c r="B3414" s="3563" t="s">
        <v>4196</v>
      </c>
      <c r="C3414" s="3563" t="s">
        <v>4197</v>
      </c>
      <c r="D3414" s="3563" t="s">
        <v>6429</v>
      </c>
      <c r="E3414" s="3563" t="s">
        <v>5972</v>
      </c>
      <c r="F3414" s="3563" t="s">
        <v>4797</v>
      </c>
      <c r="G3414" s="3564">
        <v>109.31</v>
      </c>
      <c r="H3414" s="3564">
        <v>88.44</v>
      </c>
      <c r="I3414" s="3564">
        <v>20.87</v>
      </c>
      <c r="J3414" s="3565">
        <v>1119323</v>
      </c>
      <c r="K3414" s="3565">
        <v>10239.9</v>
      </c>
      <c r="L3414" s="3565">
        <v>12656.3</v>
      </c>
      <c r="M3414" s="3565">
        <v>0</v>
      </c>
      <c r="N3414" s="3565">
        <v>0</v>
      </c>
      <c r="O3414" s="3563" t="s">
        <v>3453</v>
      </c>
    </row>
    <row r="3415" spans="1:15">
      <c r="A3415" s="3563" t="s">
        <v>7637</v>
      </c>
      <c r="B3415" s="3563" t="s">
        <v>4196</v>
      </c>
      <c r="C3415" s="3563" t="s">
        <v>4197</v>
      </c>
      <c r="D3415" s="3563" t="s">
        <v>6429</v>
      </c>
      <c r="E3415" s="3563" t="s">
        <v>5972</v>
      </c>
      <c r="F3415" s="3563" t="s">
        <v>4797</v>
      </c>
      <c r="G3415" s="3564">
        <v>100.88</v>
      </c>
      <c r="H3415" s="3564">
        <v>81.62</v>
      </c>
      <c r="I3415" s="3564">
        <v>19.260000000000002</v>
      </c>
      <c r="J3415" s="3565">
        <v>1043732</v>
      </c>
      <c r="K3415" s="3565">
        <v>10346.27</v>
      </c>
      <c r="L3415" s="3565">
        <v>12787.7</v>
      </c>
      <c r="M3415" s="3565">
        <v>0</v>
      </c>
      <c r="N3415" s="3565">
        <v>0</v>
      </c>
      <c r="O3415" s="3563" t="s">
        <v>3453</v>
      </c>
    </row>
    <row r="3416" spans="1:15">
      <c r="A3416" s="3563" t="s">
        <v>7638</v>
      </c>
      <c r="B3416" s="3563" t="s">
        <v>4196</v>
      </c>
      <c r="C3416" s="3563" t="s">
        <v>4197</v>
      </c>
      <c r="D3416" s="3563" t="s">
        <v>6429</v>
      </c>
      <c r="E3416" s="3563" t="s">
        <v>5972</v>
      </c>
      <c r="F3416" s="3563" t="s">
        <v>4797</v>
      </c>
      <c r="G3416" s="3564">
        <v>100.88</v>
      </c>
      <c r="H3416" s="3564">
        <v>81.62</v>
      </c>
      <c r="I3416" s="3564">
        <v>19.260000000000002</v>
      </c>
      <c r="J3416" s="3565">
        <v>1065196</v>
      </c>
      <c r="K3416" s="3565">
        <v>10559.04</v>
      </c>
      <c r="L3416" s="3565">
        <v>13050.67</v>
      </c>
      <c r="M3416" s="3565">
        <v>0</v>
      </c>
      <c r="N3416" s="3565">
        <v>0</v>
      </c>
      <c r="O3416" s="3563" t="s">
        <v>3453</v>
      </c>
    </row>
    <row r="3417" spans="1:15">
      <c r="A3417" s="3563" t="s">
        <v>7639</v>
      </c>
      <c r="B3417" s="3563" t="s">
        <v>4196</v>
      </c>
      <c r="C3417" s="3563" t="s">
        <v>4197</v>
      </c>
      <c r="D3417" s="3563" t="s">
        <v>6429</v>
      </c>
      <c r="E3417" s="3563" t="s">
        <v>5972</v>
      </c>
      <c r="F3417" s="3563" t="s">
        <v>4797</v>
      </c>
      <c r="G3417" s="3564">
        <v>123.64</v>
      </c>
      <c r="H3417" s="3564">
        <v>100.03</v>
      </c>
      <c r="I3417" s="3564">
        <v>23.61</v>
      </c>
      <c r="J3417" s="3565">
        <v>1312097</v>
      </c>
      <c r="K3417" s="3565">
        <v>10612.24</v>
      </c>
      <c r="L3417" s="3565">
        <v>13117.03</v>
      </c>
      <c r="M3417" s="3565">
        <v>0</v>
      </c>
      <c r="N3417" s="3565">
        <v>0</v>
      </c>
      <c r="O3417" s="3563" t="s">
        <v>3453</v>
      </c>
    </row>
    <row r="3418" spans="1:15">
      <c r="A3418" s="3563" t="s">
        <v>7640</v>
      </c>
      <c r="B3418" s="3563" t="s">
        <v>4196</v>
      </c>
      <c r="C3418" s="3563" t="s">
        <v>4197</v>
      </c>
      <c r="D3418" s="3563" t="s">
        <v>6429</v>
      </c>
      <c r="E3418" s="3563" t="s">
        <v>5972</v>
      </c>
      <c r="F3418" s="3563" t="s">
        <v>4797</v>
      </c>
      <c r="G3418" s="3564">
        <v>100.88</v>
      </c>
      <c r="H3418" s="3564">
        <v>81.62</v>
      </c>
      <c r="I3418" s="3564">
        <v>19.260000000000002</v>
      </c>
      <c r="J3418" s="3565">
        <v>1090954</v>
      </c>
      <c r="K3418" s="3565">
        <v>10814.37</v>
      </c>
      <c r="L3418" s="3565">
        <v>13366.26</v>
      </c>
      <c r="M3418" s="3565">
        <v>0</v>
      </c>
      <c r="N3418" s="3565">
        <v>0</v>
      </c>
      <c r="O3418" s="3563" t="s">
        <v>3453</v>
      </c>
    </row>
    <row r="3419" spans="1:15">
      <c r="A3419" s="3563" t="s">
        <v>7641</v>
      </c>
      <c r="B3419" s="3563" t="s">
        <v>4196</v>
      </c>
      <c r="C3419" s="3563" t="s">
        <v>4197</v>
      </c>
      <c r="D3419" s="3563" t="s">
        <v>6429</v>
      </c>
      <c r="E3419" s="3563" t="s">
        <v>5972</v>
      </c>
      <c r="F3419" s="3563" t="s">
        <v>4797</v>
      </c>
      <c r="G3419" s="3564">
        <v>100.88</v>
      </c>
      <c r="H3419" s="3564">
        <v>81.62</v>
      </c>
      <c r="I3419" s="3564">
        <v>19.260000000000002</v>
      </c>
      <c r="J3419" s="3565">
        <v>1090954</v>
      </c>
      <c r="K3419" s="3565">
        <v>10814.37</v>
      </c>
      <c r="L3419" s="3565">
        <v>13366.26</v>
      </c>
      <c r="M3419" s="3565">
        <v>0</v>
      </c>
      <c r="N3419" s="3565">
        <v>0</v>
      </c>
      <c r="O3419" s="3563" t="s">
        <v>3453</v>
      </c>
    </row>
    <row r="3420" spans="1:15">
      <c r="A3420" s="3563" t="s">
        <v>7642</v>
      </c>
      <c r="B3420" s="3563" t="s">
        <v>4196</v>
      </c>
      <c r="C3420" s="3563" t="s">
        <v>4197</v>
      </c>
      <c r="D3420" s="3563" t="s">
        <v>6429</v>
      </c>
      <c r="E3420" s="3563" t="s">
        <v>5972</v>
      </c>
      <c r="F3420" s="3563" t="s">
        <v>4797</v>
      </c>
      <c r="G3420" s="3564">
        <v>109.31</v>
      </c>
      <c r="H3420" s="3564">
        <v>88.44</v>
      </c>
      <c r="I3420" s="3564">
        <v>20.87</v>
      </c>
      <c r="J3420" s="3565">
        <v>1118160</v>
      </c>
      <c r="K3420" s="3565">
        <v>10229.26</v>
      </c>
      <c r="L3420" s="3565">
        <v>12643.15</v>
      </c>
      <c r="M3420" s="3565">
        <v>0</v>
      </c>
      <c r="N3420" s="3565">
        <v>0</v>
      </c>
      <c r="O3420" s="3563" t="s">
        <v>3453</v>
      </c>
    </row>
    <row r="3421" spans="1:15">
      <c r="A3421" s="3563" t="s">
        <v>7643</v>
      </c>
      <c r="B3421" s="3563" t="s">
        <v>4196</v>
      </c>
      <c r="C3421" s="3563" t="s">
        <v>4197</v>
      </c>
      <c r="D3421" s="3563" t="s">
        <v>6429</v>
      </c>
      <c r="E3421" s="3563" t="s">
        <v>5972</v>
      </c>
      <c r="F3421" s="3563" t="s">
        <v>4797</v>
      </c>
      <c r="G3421" s="3564">
        <v>100.88</v>
      </c>
      <c r="H3421" s="3564">
        <v>81.62</v>
      </c>
      <c r="I3421" s="3564">
        <v>19.260000000000002</v>
      </c>
      <c r="J3421" s="3565">
        <v>1042660</v>
      </c>
      <c r="K3421" s="3565">
        <v>10335.65</v>
      </c>
      <c r="L3421" s="3565">
        <v>12774.57</v>
      </c>
      <c r="M3421" s="3565">
        <v>0</v>
      </c>
      <c r="N3421" s="3565">
        <v>0</v>
      </c>
      <c r="O3421" s="3563" t="s">
        <v>3453</v>
      </c>
    </row>
    <row r="3422" spans="1:15">
      <c r="A3422" s="3563" t="s">
        <v>7644</v>
      </c>
      <c r="B3422" s="3563" t="s">
        <v>4196</v>
      </c>
      <c r="C3422" s="3563" t="s">
        <v>4197</v>
      </c>
      <c r="D3422" s="3563" t="s">
        <v>6429</v>
      </c>
      <c r="E3422" s="3563" t="s">
        <v>5972</v>
      </c>
      <c r="F3422" s="3563" t="s">
        <v>4797</v>
      </c>
      <c r="G3422" s="3564">
        <v>100.88</v>
      </c>
      <c r="H3422" s="3564">
        <v>81.62</v>
      </c>
      <c r="I3422" s="3564">
        <v>19.260000000000002</v>
      </c>
      <c r="J3422" s="3565">
        <v>1064124</v>
      </c>
      <c r="K3422" s="3565">
        <v>10548.41</v>
      </c>
      <c r="L3422" s="3565">
        <v>13037.54</v>
      </c>
      <c r="M3422" s="3565">
        <v>0</v>
      </c>
      <c r="N3422" s="3565">
        <v>0</v>
      </c>
      <c r="O3422" s="3563" t="s">
        <v>3453</v>
      </c>
    </row>
    <row r="3423" spans="1:15">
      <c r="A3423" s="3563" t="s">
        <v>7645</v>
      </c>
      <c r="B3423" s="3563" t="s">
        <v>4196</v>
      </c>
      <c r="C3423" s="3563" t="s">
        <v>4197</v>
      </c>
      <c r="D3423" s="3563" t="s">
        <v>6429</v>
      </c>
      <c r="E3423" s="3563" t="s">
        <v>5972</v>
      </c>
      <c r="F3423" s="3563" t="s">
        <v>4797</v>
      </c>
      <c r="G3423" s="3564">
        <v>123.64</v>
      </c>
      <c r="H3423" s="3564">
        <v>100.03</v>
      </c>
      <c r="I3423" s="3564">
        <v>23.61</v>
      </c>
      <c r="J3423" s="3565">
        <v>1310781</v>
      </c>
      <c r="K3423" s="3565">
        <v>10601.59</v>
      </c>
      <c r="L3423" s="3565">
        <v>13103.88</v>
      </c>
      <c r="M3423" s="3565">
        <v>0</v>
      </c>
      <c r="N3423" s="3565">
        <v>0</v>
      </c>
      <c r="O3423" s="3563" t="s">
        <v>3453</v>
      </c>
    </row>
    <row r="3424" spans="1:15">
      <c r="A3424" s="3563" t="s">
        <v>7646</v>
      </c>
      <c r="B3424" s="3563" t="s">
        <v>4196</v>
      </c>
      <c r="C3424" s="3563" t="s">
        <v>4197</v>
      </c>
      <c r="D3424" s="3563" t="s">
        <v>6429</v>
      </c>
      <c r="E3424" s="3563" t="s">
        <v>5972</v>
      </c>
      <c r="F3424" s="3563" t="s">
        <v>4797</v>
      </c>
      <c r="G3424" s="3564">
        <v>100.88</v>
      </c>
      <c r="H3424" s="3564">
        <v>81.62</v>
      </c>
      <c r="I3424" s="3564">
        <v>19.260000000000002</v>
      </c>
      <c r="J3424" s="3565">
        <v>1089880</v>
      </c>
      <c r="K3424" s="3565">
        <v>10803.73</v>
      </c>
      <c r="L3424" s="3565">
        <v>13353.1</v>
      </c>
      <c r="M3424" s="3565">
        <v>0</v>
      </c>
      <c r="N3424" s="3565">
        <v>0</v>
      </c>
      <c r="O3424" s="3563" t="s">
        <v>3453</v>
      </c>
    </row>
    <row r="3425" spans="1:15">
      <c r="A3425" s="3563" t="s">
        <v>7647</v>
      </c>
      <c r="B3425" s="3563" t="s">
        <v>4196</v>
      </c>
      <c r="C3425" s="3563" t="s">
        <v>4197</v>
      </c>
      <c r="D3425" s="3563" t="s">
        <v>6429</v>
      </c>
      <c r="E3425" s="3563" t="s">
        <v>5972</v>
      </c>
      <c r="F3425" s="3563" t="s">
        <v>4797</v>
      </c>
      <c r="G3425" s="3564">
        <v>100.88</v>
      </c>
      <c r="H3425" s="3564">
        <v>81.62</v>
      </c>
      <c r="I3425" s="3564">
        <v>19.260000000000002</v>
      </c>
      <c r="J3425" s="3565">
        <v>1089880</v>
      </c>
      <c r="K3425" s="3565">
        <v>10803.73</v>
      </c>
      <c r="L3425" s="3565">
        <v>13353.1</v>
      </c>
      <c r="M3425" s="3565">
        <v>0</v>
      </c>
      <c r="N3425" s="3565">
        <v>0</v>
      </c>
      <c r="O3425" s="3563" t="s">
        <v>3453</v>
      </c>
    </row>
    <row r="3426" spans="1:15">
      <c r="A3426" s="3563" t="s">
        <v>7648</v>
      </c>
      <c r="B3426" s="3563" t="s">
        <v>4196</v>
      </c>
      <c r="C3426" s="3563" t="s">
        <v>4197</v>
      </c>
      <c r="D3426" s="3563" t="s">
        <v>6429</v>
      </c>
      <c r="E3426" s="3563" t="s">
        <v>5972</v>
      </c>
      <c r="F3426" s="3563" t="s">
        <v>4797</v>
      </c>
      <c r="G3426" s="3564">
        <v>109.31</v>
      </c>
      <c r="H3426" s="3564">
        <v>88.44</v>
      </c>
      <c r="I3426" s="3564">
        <v>20.87</v>
      </c>
      <c r="J3426" s="3565">
        <v>1116997</v>
      </c>
      <c r="K3426" s="3565">
        <v>10218.620000000001</v>
      </c>
      <c r="L3426" s="3565">
        <v>12630</v>
      </c>
      <c r="M3426" s="3565">
        <v>0</v>
      </c>
      <c r="N3426" s="3565">
        <v>0</v>
      </c>
      <c r="O3426" s="3563" t="s">
        <v>3453</v>
      </c>
    </row>
    <row r="3427" spans="1:15">
      <c r="A3427" s="3563" t="s">
        <v>7649</v>
      </c>
      <c r="B3427" s="3563" t="s">
        <v>4196</v>
      </c>
      <c r="C3427" s="3563" t="s">
        <v>4197</v>
      </c>
      <c r="D3427" s="3563" t="s">
        <v>6429</v>
      </c>
      <c r="E3427" s="3563" t="s">
        <v>5972</v>
      </c>
      <c r="F3427" s="3563" t="s">
        <v>4797</v>
      </c>
      <c r="G3427" s="3564">
        <v>100.88</v>
      </c>
      <c r="H3427" s="3564">
        <v>81.62</v>
      </c>
      <c r="I3427" s="3564">
        <v>19.260000000000002</v>
      </c>
      <c r="J3427" s="3565">
        <v>1041587</v>
      </c>
      <c r="K3427" s="3565">
        <v>10325.01</v>
      </c>
      <c r="L3427" s="3565">
        <v>12761.42</v>
      </c>
      <c r="M3427" s="3565">
        <v>0</v>
      </c>
      <c r="N3427" s="3565">
        <v>0</v>
      </c>
      <c r="O3427" s="3563" t="s">
        <v>3453</v>
      </c>
    </row>
    <row r="3428" spans="1:15">
      <c r="A3428" s="3563" t="s">
        <v>7650</v>
      </c>
      <c r="B3428" s="3563" t="s">
        <v>4196</v>
      </c>
      <c r="C3428" s="3563" t="s">
        <v>4197</v>
      </c>
      <c r="D3428" s="3563" t="s">
        <v>6429</v>
      </c>
      <c r="E3428" s="3563" t="s">
        <v>5972</v>
      </c>
      <c r="F3428" s="3563" t="s">
        <v>4797</v>
      </c>
      <c r="G3428" s="3564">
        <v>100.88</v>
      </c>
      <c r="H3428" s="3564">
        <v>81.62</v>
      </c>
      <c r="I3428" s="3564">
        <v>19.260000000000002</v>
      </c>
      <c r="J3428" s="3565">
        <v>1063050</v>
      </c>
      <c r="K3428" s="3565">
        <v>10537.77</v>
      </c>
      <c r="L3428" s="3565">
        <v>13024.38</v>
      </c>
      <c r="M3428" s="3565">
        <v>0</v>
      </c>
      <c r="N3428" s="3565">
        <v>0</v>
      </c>
      <c r="O3428" s="3563" t="s">
        <v>3453</v>
      </c>
    </row>
    <row r="3429" spans="1:15">
      <c r="A3429" s="3563" t="s">
        <v>7651</v>
      </c>
      <c r="B3429" s="3563" t="s">
        <v>4196</v>
      </c>
      <c r="C3429" s="3563" t="s">
        <v>4197</v>
      </c>
      <c r="D3429" s="3563" t="s">
        <v>6429</v>
      </c>
      <c r="E3429" s="3563" t="s">
        <v>5972</v>
      </c>
      <c r="F3429" s="3563" t="s">
        <v>4797</v>
      </c>
      <c r="G3429" s="3564">
        <v>123.64</v>
      </c>
      <c r="H3429" s="3564">
        <v>100.03</v>
      </c>
      <c r="I3429" s="3564">
        <v>23.61</v>
      </c>
      <c r="J3429" s="3565">
        <v>1309466</v>
      </c>
      <c r="K3429" s="3565">
        <v>10590.96</v>
      </c>
      <c r="L3429" s="3565">
        <v>13090.73</v>
      </c>
      <c r="M3429" s="3565">
        <v>0</v>
      </c>
      <c r="N3429" s="3565">
        <v>0</v>
      </c>
      <c r="O3429" s="3563" t="s">
        <v>3453</v>
      </c>
    </row>
    <row r="3430" spans="1:15">
      <c r="A3430" s="3563" t="s">
        <v>7652</v>
      </c>
      <c r="B3430" s="3563" t="s">
        <v>4196</v>
      </c>
      <c r="C3430" s="3563" t="s">
        <v>4197</v>
      </c>
      <c r="D3430" s="3563" t="s">
        <v>6429</v>
      </c>
      <c r="E3430" s="3563" t="s">
        <v>5972</v>
      </c>
      <c r="F3430" s="3563" t="s">
        <v>4797</v>
      </c>
      <c r="G3430" s="3564">
        <v>100.88</v>
      </c>
      <c r="H3430" s="3564">
        <v>81.62</v>
      </c>
      <c r="I3430" s="3564">
        <v>19.260000000000002</v>
      </c>
      <c r="J3430" s="3565">
        <v>1056611</v>
      </c>
      <c r="K3430" s="3565">
        <v>10473.94</v>
      </c>
      <c r="L3430" s="3565">
        <v>12945.49</v>
      </c>
      <c r="M3430" s="3565">
        <v>0</v>
      </c>
      <c r="N3430" s="3565">
        <v>0</v>
      </c>
      <c r="O3430" s="3563" t="s">
        <v>3453</v>
      </c>
    </row>
    <row r="3431" spans="1:15">
      <c r="A3431" s="3563" t="s">
        <v>7653</v>
      </c>
      <c r="B3431" s="3563" t="s">
        <v>4196</v>
      </c>
      <c r="C3431" s="3563" t="s">
        <v>4197</v>
      </c>
      <c r="D3431" s="3563" t="s">
        <v>6429</v>
      </c>
      <c r="E3431" s="3563" t="s">
        <v>5972</v>
      </c>
      <c r="F3431" s="3563" t="s">
        <v>4797</v>
      </c>
      <c r="G3431" s="3564">
        <v>100.88</v>
      </c>
      <c r="H3431" s="3564">
        <v>81.62</v>
      </c>
      <c r="I3431" s="3564">
        <v>19.260000000000002</v>
      </c>
      <c r="J3431" s="3565">
        <v>1056611</v>
      </c>
      <c r="K3431" s="3565">
        <v>10473.94</v>
      </c>
      <c r="L3431" s="3565">
        <v>12945.49</v>
      </c>
      <c r="M3431" s="3565">
        <v>0</v>
      </c>
      <c r="N3431" s="3565">
        <v>0</v>
      </c>
      <c r="O3431" s="3563" t="s">
        <v>3453</v>
      </c>
    </row>
    <row r="3432" spans="1:15">
      <c r="A3432" s="3563" t="s">
        <v>7654</v>
      </c>
      <c r="B3432" s="3563" t="s">
        <v>4196</v>
      </c>
      <c r="C3432" s="3563" t="s">
        <v>4197</v>
      </c>
      <c r="D3432" s="3563" t="s">
        <v>6429</v>
      </c>
      <c r="E3432" s="3563" t="s">
        <v>5972</v>
      </c>
      <c r="F3432" s="3563" t="s">
        <v>4797</v>
      </c>
      <c r="G3432" s="3564">
        <v>109.31</v>
      </c>
      <c r="H3432" s="3564">
        <v>88.44</v>
      </c>
      <c r="I3432" s="3564">
        <v>20.87</v>
      </c>
      <c r="J3432" s="3565">
        <v>1104206</v>
      </c>
      <c r="K3432" s="3565">
        <v>10101.6</v>
      </c>
      <c r="L3432" s="3565">
        <v>12485.37</v>
      </c>
      <c r="M3432" s="3565">
        <v>0</v>
      </c>
      <c r="N3432" s="3565">
        <v>0</v>
      </c>
      <c r="O3432" s="3563" t="s">
        <v>3453</v>
      </c>
    </row>
    <row r="3433" spans="1:15">
      <c r="A3433" s="3563" t="s">
        <v>7655</v>
      </c>
      <c r="B3433" s="3563" t="s">
        <v>4196</v>
      </c>
      <c r="C3433" s="3563" t="s">
        <v>4197</v>
      </c>
      <c r="D3433" s="3563" t="s">
        <v>6429</v>
      </c>
      <c r="E3433" s="3563" t="s">
        <v>5972</v>
      </c>
      <c r="F3433" s="3563" t="s">
        <v>4797</v>
      </c>
      <c r="G3433" s="3564">
        <v>100.88</v>
      </c>
      <c r="H3433" s="3564">
        <v>81.62</v>
      </c>
      <c r="I3433" s="3564">
        <v>19.260000000000002</v>
      </c>
      <c r="J3433" s="3565">
        <v>1029781</v>
      </c>
      <c r="K3433" s="3565">
        <v>10207.98</v>
      </c>
      <c r="L3433" s="3565">
        <v>12616.77</v>
      </c>
      <c r="M3433" s="3565">
        <v>0</v>
      </c>
      <c r="N3433" s="3565">
        <v>0</v>
      </c>
      <c r="O3433" s="3563" t="s">
        <v>3453</v>
      </c>
    </row>
    <row r="3434" spans="1:15">
      <c r="A3434" s="3563" t="s">
        <v>7656</v>
      </c>
      <c r="B3434" s="3563" t="s">
        <v>4196</v>
      </c>
      <c r="C3434" s="3563" t="s">
        <v>4197</v>
      </c>
      <c r="D3434" s="3563" t="s">
        <v>6429</v>
      </c>
      <c r="E3434" s="3563" t="s">
        <v>5972</v>
      </c>
      <c r="F3434" s="3563" t="s">
        <v>4797</v>
      </c>
      <c r="G3434" s="3564">
        <v>100.88</v>
      </c>
      <c r="H3434" s="3564">
        <v>81.62</v>
      </c>
      <c r="I3434" s="3564">
        <v>19.260000000000002</v>
      </c>
      <c r="J3434" s="3565">
        <v>1029781</v>
      </c>
      <c r="K3434" s="3565">
        <v>10207.98</v>
      </c>
      <c r="L3434" s="3565">
        <v>12616.77</v>
      </c>
      <c r="M3434" s="3565">
        <v>0</v>
      </c>
      <c r="N3434" s="3565">
        <v>0</v>
      </c>
      <c r="O3434" s="3563" t="s">
        <v>3453</v>
      </c>
    </row>
    <row r="3435" spans="1:15">
      <c r="A3435" s="3563" t="s">
        <v>7657</v>
      </c>
      <c r="B3435" s="3563" t="s">
        <v>4196</v>
      </c>
      <c r="C3435" s="3563" t="s">
        <v>4197</v>
      </c>
      <c r="D3435" s="3563" t="s">
        <v>6429</v>
      </c>
      <c r="E3435" s="3563" t="s">
        <v>5972</v>
      </c>
      <c r="F3435" s="3563" t="s">
        <v>4797</v>
      </c>
      <c r="G3435" s="3564">
        <v>123.64</v>
      </c>
      <c r="H3435" s="3564">
        <v>100.03</v>
      </c>
      <c r="I3435" s="3564">
        <v>23.61</v>
      </c>
      <c r="J3435" s="3565">
        <v>1268692</v>
      </c>
      <c r="K3435" s="3565">
        <v>10261.18</v>
      </c>
      <c r="L3435" s="3565">
        <v>12683.12</v>
      </c>
      <c r="M3435" s="3565">
        <v>0</v>
      </c>
      <c r="N3435" s="3565">
        <v>0</v>
      </c>
      <c r="O3435" s="3563" t="s">
        <v>3453</v>
      </c>
    </row>
    <row r="3436" spans="1:15">
      <c r="A3436" s="3563" t="s">
        <v>7658</v>
      </c>
      <c r="B3436" s="3563" t="s">
        <v>4196</v>
      </c>
      <c r="C3436" s="3563" t="s">
        <v>4197</v>
      </c>
      <c r="D3436" s="3563" t="s">
        <v>6429</v>
      </c>
      <c r="E3436" s="3563" t="s">
        <v>5972</v>
      </c>
      <c r="F3436" s="3563" t="s">
        <v>4797</v>
      </c>
      <c r="G3436" s="3564">
        <v>100.88</v>
      </c>
      <c r="H3436" s="3564">
        <v>81.62</v>
      </c>
      <c r="I3436" s="3564">
        <v>19.260000000000002</v>
      </c>
      <c r="J3436" s="3565">
        <v>1004025</v>
      </c>
      <c r="K3436" s="3565">
        <v>9952.67</v>
      </c>
      <c r="L3436" s="3565">
        <v>12301.21</v>
      </c>
      <c r="M3436" s="3565">
        <v>0</v>
      </c>
      <c r="N3436" s="3565">
        <v>0</v>
      </c>
      <c r="O3436" s="3563" t="s">
        <v>3453</v>
      </c>
    </row>
    <row r="3437" spans="1:15">
      <c r="A3437" s="3563" t="s">
        <v>7659</v>
      </c>
      <c r="B3437" s="3563" t="s">
        <v>4196</v>
      </c>
      <c r="C3437" s="3563" t="s">
        <v>4197</v>
      </c>
      <c r="D3437" s="3563" t="s">
        <v>6429</v>
      </c>
      <c r="E3437" s="3563" t="s">
        <v>5972</v>
      </c>
      <c r="F3437" s="3563" t="s">
        <v>4797</v>
      </c>
      <c r="G3437" s="3564">
        <v>100.88</v>
      </c>
      <c r="H3437" s="3564">
        <v>81.62</v>
      </c>
      <c r="I3437" s="3564">
        <v>19.260000000000002</v>
      </c>
      <c r="J3437" s="3565">
        <v>1004025</v>
      </c>
      <c r="K3437" s="3565">
        <v>9952.67</v>
      </c>
      <c r="L3437" s="3565">
        <v>12301.21</v>
      </c>
      <c r="M3437" s="3565">
        <v>0</v>
      </c>
      <c r="N3437" s="3565">
        <v>0</v>
      </c>
      <c r="O3437" s="3563" t="s">
        <v>3453</v>
      </c>
    </row>
    <row r="3438" spans="1:15">
      <c r="A3438" s="3563" t="s">
        <v>7660</v>
      </c>
      <c r="B3438" s="3563" t="s">
        <v>4196</v>
      </c>
      <c r="C3438" s="3563" t="s">
        <v>4197</v>
      </c>
      <c r="D3438" s="3563" t="s">
        <v>6429</v>
      </c>
      <c r="E3438" s="3563" t="s">
        <v>5972</v>
      </c>
      <c r="F3438" s="3563" t="s">
        <v>4797</v>
      </c>
      <c r="G3438" s="3564">
        <v>109.31</v>
      </c>
      <c r="H3438" s="3564">
        <v>88.44</v>
      </c>
      <c r="I3438" s="3564">
        <v>20.87</v>
      </c>
      <c r="J3438" s="3565">
        <v>1089089</v>
      </c>
      <c r="K3438" s="3565">
        <v>9963.31</v>
      </c>
      <c r="L3438" s="3565">
        <v>12314.44</v>
      </c>
      <c r="M3438" s="3565">
        <v>0</v>
      </c>
      <c r="N3438" s="3565">
        <v>0</v>
      </c>
      <c r="O3438" s="3563" t="s">
        <v>3453</v>
      </c>
    </row>
    <row r="3439" spans="1:15">
      <c r="A3439" s="3563" t="s">
        <v>7661</v>
      </c>
      <c r="B3439" s="3563" t="s">
        <v>4196</v>
      </c>
      <c r="C3439" s="3563" t="s">
        <v>4197</v>
      </c>
      <c r="D3439" s="3563" t="s">
        <v>6429</v>
      </c>
      <c r="E3439" s="3563" t="s">
        <v>5972</v>
      </c>
      <c r="F3439" s="3563" t="s">
        <v>4797</v>
      </c>
      <c r="G3439" s="3564">
        <v>100.88</v>
      </c>
      <c r="H3439" s="3564">
        <v>81.62</v>
      </c>
      <c r="I3439" s="3564">
        <v>19.260000000000002</v>
      </c>
      <c r="J3439" s="3565">
        <v>1015830</v>
      </c>
      <c r="K3439" s="3565">
        <v>10069.69</v>
      </c>
      <c r="L3439" s="3565">
        <v>12445.85</v>
      </c>
      <c r="M3439" s="3565">
        <v>0</v>
      </c>
      <c r="N3439" s="3565">
        <v>0</v>
      </c>
      <c r="O3439" s="3563" t="s">
        <v>3453</v>
      </c>
    </row>
    <row r="3440" spans="1:15">
      <c r="A3440" s="3563" t="s">
        <v>7662</v>
      </c>
      <c r="B3440" s="3563" t="s">
        <v>4196</v>
      </c>
      <c r="C3440" s="3563" t="s">
        <v>4197</v>
      </c>
      <c r="D3440" s="3563" t="s">
        <v>6429</v>
      </c>
      <c r="E3440" s="3563" t="s">
        <v>5972</v>
      </c>
      <c r="F3440" s="3563" t="s">
        <v>4797</v>
      </c>
      <c r="G3440" s="3564">
        <v>100.88</v>
      </c>
      <c r="H3440" s="3564">
        <v>81.62</v>
      </c>
      <c r="I3440" s="3564">
        <v>19.260000000000002</v>
      </c>
      <c r="J3440" s="3565">
        <v>1015830</v>
      </c>
      <c r="K3440" s="3565">
        <v>10069.69</v>
      </c>
      <c r="L3440" s="3565">
        <v>12445.85</v>
      </c>
      <c r="M3440" s="3565">
        <v>0</v>
      </c>
      <c r="N3440" s="3565">
        <v>0</v>
      </c>
      <c r="O3440" s="3563" t="s">
        <v>3453</v>
      </c>
    </row>
    <row r="3441" spans="1:15">
      <c r="A3441" s="3563" t="s">
        <v>7663</v>
      </c>
      <c r="B3441" s="3563" t="s">
        <v>4196</v>
      </c>
      <c r="C3441" s="3563" t="s">
        <v>4197</v>
      </c>
      <c r="D3441" s="3563" t="s">
        <v>6429</v>
      </c>
      <c r="E3441" s="3563" t="s">
        <v>5972</v>
      </c>
      <c r="F3441" s="3563" t="s">
        <v>4797</v>
      </c>
      <c r="G3441" s="3564">
        <v>123.64</v>
      </c>
      <c r="H3441" s="3564">
        <v>100.03</v>
      </c>
      <c r="I3441" s="3564">
        <v>23.61</v>
      </c>
      <c r="J3441" s="3565">
        <v>1230547</v>
      </c>
      <c r="K3441" s="3565">
        <v>9952.66</v>
      </c>
      <c r="L3441" s="3565">
        <v>12301.78</v>
      </c>
      <c r="M3441" s="3565">
        <v>0</v>
      </c>
      <c r="N3441" s="3565">
        <v>0</v>
      </c>
      <c r="O3441" s="3563" t="s">
        <v>3453</v>
      </c>
    </row>
    <row r="3442" spans="1:15">
      <c r="A3442" s="3563" t="s">
        <v>7664</v>
      </c>
      <c r="B3442" s="3563" t="s">
        <v>4196</v>
      </c>
      <c r="C3442" s="3563" t="s">
        <v>4197</v>
      </c>
      <c r="D3442" s="3563" t="s">
        <v>6429</v>
      </c>
      <c r="E3442" s="3563" t="s">
        <v>5972</v>
      </c>
      <c r="F3442" s="3563" t="s">
        <v>4797</v>
      </c>
      <c r="G3442" s="3564">
        <v>100.88</v>
      </c>
      <c r="H3442" s="3564">
        <v>81.62</v>
      </c>
      <c r="I3442" s="3564">
        <v>19.260000000000002</v>
      </c>
      <c r="J3442" s="3565">
        <v>1004025</v>
      </c>
      <c r="K3442" s="3565">
        <v>9952.67</v>
      </c>
      <c r="L3442" s="3565">
        <v>12301.21</v>
      </c>
      <c r="M3442" s="3565">
        <v>0</v>
      </c>
      <c r="N3442" s="3565">
        <v>0</v>
      </c>
      <c r="O3442" s="3563" t="s">
        <v>3453</v>
      </c>
    </row>
    <row r="3443" spans="1:15">
      <c r="A3443" s="3563" t="s">
        <v>7665</v>
      </c>
      <c r="B3443" s="3563" t="s">
        <v>4196</v>
      </c>
      <c r="C3443" s="3563" t="s">
        <v>4197</v>
      </c>
      <c r="D3443" s="3563" t="s">
        <v>6429</v>
      </c>
      <c r="E3443" s="3563" t="s">
        <v>5972</v>
      </c>
      <c r="F3443" s="3563" t="s">
        <v>4797</v>
      </c>
      <c r="G3443" s="3564">
        <v>100.88</v>
      </c>
      <c r="H3443" s="3564">
        <v>81.62</v>
      </c>
      <c r="I3443" s="3564">
        <v>19.260000000000002</v>
      </c>
      <c r="J3443" s="3565">
        <v>1004025</v>
      </c>
      <c r="K3443" s="3565">
        <v>9952.67</v>
      </c>
      <c r="L3443" s="3565">
        <v>12301.21</v>
      </c>
      <c r="M3443" s="3565">
        <v>0</v>
      </c>
      <c r="N3443" s="3565">
        <v>0</v>
      </c>
      <c r="O3443" s="3563" t="s">
        <v>3453</v>
      </c>
    </row>
    <row r="3444" spans="1:15">
      <c r="A3444" s="3563" t="s">
        <v>7666</v>
      </c>
      <c r="B3444" s="3563" t="s">
        <v>4196</v>
      </c>
      <c r="C3444" s="3563" t="s">
        <v>4197</v>
      </c>
      <c r="D3444" s="3563" t="s">
        <v>6429</v>
      </c>
      <c r="E3444" s="3563" t="s">
        <v>5972</v>
      </c>
      <c r="F3444" s="3563" t="s">
        <v>4797</v>
      </c>
      <c r="G3444" s="3564">
        <v>109.31</v>
      </c>
      <c r="H3444" s="3564">
        <v>88.44</v>
      </c>
      <c r="I3444" s="3564">
        <v>20.87</v>
      </c>
      <c r="J3444" s="3565">
        <v>1103043</v>
      </c>
      <c r="K3444" s="3565">
        <v>10090.959999999999</v>
      </c>
      <c r="L3444" s="3565">
        <v>12472.22</v>
      </c>
      <c r="M3444" s="3565">
        <v>0</v>
      </c>
      <c r="N3444" s="3565">
        <v>0</v>
      </c>
      <c r="O3444" s="3563" t="s">
        <v>3453</v>
      </c>
    </row>
    <row r="3445" spans="1:15">
      <c r="A3445" s="3563" t="s">
        <v>7667</v>
      </c>
      <c r="B3445" s="3563" t="s">
        <v>4196</v>
      </c>
      <c r="C3445" s="3563" t="s">
        <v>4197</v>
      </c>
      <c r="D3445" s="3563" t="s">
        <v>6429</v>
      </c>
      <c r="E3445" s="3563" t="s">
        <v>5972</v>
      </c>
      <c r="F3445" s="3563" t="s">
        <v>4797</v>
      </c>
      <c r="G3445" s="3564">
        <v>100.88</v>
      </c>
      <c r="H3445" s="3564">
        <v>81.62</v>
      </c>
      <c r="I3445" s="3564">
        <v>19.260000000000002</v>
      </c>
      <c r="J3445" s="3565">
        <v>1028708</v>
      </c>
      <c r="K3445" s="3565">
        <v>10197.34</v>
      </c>
      <c r="L3445" s="3565">
        <v>12603.63</v>
      </c>
      <c r="M3445" s="3565">
        <v>0</v>
      </c>
      <c r="N3445" s="3565">
        <v>0</v>
      </c>
      <c r="O3445" s="3563" t="s">
        <v>3453</v>
      </c>
    </row>
    <row r="3446" spans="1:15">
      <c r="A3446" s="3563" t="s">
        <v>7668</v>
      </c>
      <c r="B3446" s="3563" t="s">
        <v>4196</v>
      </c>
      <c r="C3446" s="3563" t="s">
        <v>4197</v>
      </c>
      <c r="D3446" s="3563" t="s">
        <v>6429</v>
      </c>
      <c r="E3446" s="3563" t="s">
        <v>5972</v>
      </c>
      <c r="F3446" s="3563" t="s">
        <v>4797</v>
      </c>
      <c r="G3446" s="3564">
        <v>100.88</v>
      </c>
      <c r="H3446" s="3564">
        <v>81.62</v>
      </c>
      <c r="I3446" s="3564">
        <v>19.260000000000002</v>
      </c>
      <c r="J3446" s="3565">
        <v>1028708</v>
      </c>
      <c r="K3446" s="3565">
        <v>10197.34</v>
      </c>
      <c r="L3446" s="3565">
        <v>12603.63</v>
      </c>
      <c r="M3446" s="3565">
        <v>0</v>
      </c>
      <c r="N3446" s="3565">
        <v>0</v>
      </c>
      <c r="O3446" s="3563" t="s">
        <v>3453</v>
      </c>
    </row>
    <row r="3447" spans="1:15">
      <c r="A3447" s="3563" t="s">
        <v>7669</v>
      </c>
      <c r="B3447" s="3563" t="s">
        <v>4196</v>
      </c>
      <c r="C3447" s="3563" t="s">
        <v>4197</v>
      </c>
      <c r="D3447" s="3563" t="s">
        <v>6429</v>
      </c>
      <c r="E3447" s="3563" t="s">
        <v>5972</v>
      </c>
      <c r="F3447" s="3563" t="s">
        <v>4797</v>
      </c>
      <c r="G3447" s="3564">
        <v>123.64</v>
      </c>
      <c r="H3447" s="3564">
        <v>100.03</v>
      </c>
      <c r="I3447" s="3564">
        <v>23.61</v>
      </c>
      <c r="J3447" s="3565">
        <v>1230547</v>
      </c>
      <c r="K3447" s="3565">
        <v>9952.66</v>
      </c>
      <c r="L3447" s="3565">
        <v>12301.78</v>
      </c>
      <c r="M3447" s="3565">
        <v>0</v>
      </c>
      <c r="N3447" s="3565">
        <v>0</v>
      </c>
      <c r="O3447" s="3563" t="s">
        <v>3453</v>
      </c>
    </row>
    <row r="3448" spans="1:15">
      <c r="A3448" s="3563" t="s">
        <v>7670</v>
      </c>
      <c r="B3448" s="3563" t="s">
        <v>4196</v>
      </c>
      <c r="C3448" s="3563" t="s">
        <v>4197</v>
      </c>
      <c r="D3448" s="3563" t="s">
        <v>6429</v>
      </c>
      <c r="E3448" s="3563" t="s">
        <v>5972</v>
      </c>
      <c r="F3448" s="3563" t="s">
        <v>4797</v>
      </c>
      <c r="G3448" s="3564">
        <v>100.88</v>
      </c>
      <c r="H3448" s="3564">
        <v>81.62</v>
      </c>
      <c r="I3448" s="3564">
        <v>19.260000000000002</v>
      </c>
      <c r="J3448" s="3565">
        <v>1014757</v>
      </c>
      <c r="K3448" s="3565">
        <v>10059.049999999999</v>
      </c>
      <c r="L3448" s="3565">
        <v>12432.7</v>
      </c>
      <c r="M3448" s="3565">
        <v>0</v>
      </c>
      <c r="N3448" s="3565">
        <v>0</v>
      </c>
      <c r="O3448" s="3563" t="s">
        <v>3453</v>
      </c>
    </row>
    <row r="3449" spans="1:15">
      <c r="A3449" s="3563" t="s">
        <v>7671</v>
      </c>
      <c r="B3449" s="3563" t="s">
        <v>4196</v>
      </c>
      <c r="C3449" s="3563" t="s">
        <v>4197</v>
      </c>
      <c r="D3449" s="3563" t="s">
        <v>6429</v>
      </c>
      <c r="E3449" s="3563" t="s">
        <v>5972</v>
      </c>
      <c r="F3449" s="3563" t="s">
        <v>4797</v>
      </c>
      <c r="G3449" s="3564">
        <v>100.88</v>
      </c>
      <c r="H3449" s="3564">
        <v>81.62</v>
      </c>
      <c r="I3449" s="3564">
        <v>19.260000000000002</v>
      </c>
      <c r="J3449" s="3565">
        <v>1014757</v>
      </c>
      <c r="K3449" s="3565">
        <v>10059.049999999999</v>
      </c>
      <c r="L3449" s="3565">
        <v>12432.7</v>
      </c>
      <c r="M3449" s="3565">
        <v>0</v>
      </c>
      <c r="N3449" s="3565">
        <v>0</v>
      </c>
      <c r="O3449" s="3563" t="s">
        <v>3453</v>
      </c>
    </row>
    <row r="3450" spans="1:15">
      <c r="A3450" s="3563" t="s">
        <v>7672</v>
      </c>
      <c r="B3450" s="3563" t="s">
        <v>4196</v>
      </c>
      <c r="C3450" s="3563" t="s">
        <v>4197</v>
      </c>
      <c r="D3450" s="3563" t="s">
        <v>6429</v>
      </c>
      <c r="E3450" s="3563" t="s">
        <v>5972</v>
      </c>
      <c r="F3450" s="3563" t="s">
        <v>4797</v>
      </c>
      <c r="G3450" s="3564">
        <v>109.31</v>
      </c>
      <c r="H3450" s="3564">
        <v>88.44</v>
      </c>
      <c r="I3450" s="3564">
        <v>20.87</v>
      </c>
      <c r="J3450" s="3565">
        <v>1116997</v>
      </c>
      <c r="K3450" s="3565">
        <v>10218.620000000001</v>
      </c>
      <c r="L3450" s="3565">
        <v>12630</v>
      </c>
      <c r="M3450" s="3565">
        <v>0</v>
      </c>
      <c r="N3450" s="3565">
        <v>0</v>
      </c>
      <c r="O3450" s="3563" t="s">
        <v>3453</v>
      </c>
    </row>
    <row r="3451" spans="1:15">
      <c r="A3451" s="3563" t="s">
        <v>7673</v>
      </c>
      <c r="B3451" s="3563" t="s">
        <v>4196</v>
      </c>
      <c r="C3451" s="3563" t="s">
        <v>4197</v>
      </c>
      <c r="D3451" s="3563" t="s">
        <v>6429</v>
      </c>
      <c r="E3451" s="3563" t="s">
        <v>5972</v>
      </c>
      <c r="F3451" s="3563" t="s">
        <v>4797</v>
      </c>
      <c r="G3451" s="3564">
        <v>100.88</v>
      </c>
      <c r="H3451" s="3564">
        <v>81.62</v>
      </c>
      <c r="I3451" s="3564">
        <v>19.260000000000002</v>
      </c>
      <c r="J3451" s="3565">
        <v>1041587</v>
      </c>
      <c r="K3451" s="3565">
        <v>10325.01</v>
      </c>
      <c r="L3451" s="3565">
        <v>12761.42</v>
      </c>
      <c r="M3451" s="3565">
        <v>0</v>
      </c>
      <c r="N3451" s="3565">
        <v>0</v>
      </c>
      <c r="O3451" s="3563" t="s">
        <v>3453</v>
      </c>
    </row>
    <row r="3452" spans="1:15">
      <c r="A3452" s="3563" t="s">
        <v>7674</v>
      </c>
      <c r="B3452" s="3563" t="s">
        <v>4196</v>
      </c>
      <c r="C3452" s="3563" t="s">
        <v>4197</v>
      </c>
      <c r="D3452" s="3563" t="s">
        <v>6429</v>
      </c>
      <c r="E3452" s="3563" t="s">
        <v>5972</v>
      </c>
      <c r="F3452" s="3563" t="s">
        <v>4797</v>
      </c>
      <c r="G3452" s="3564">
        <v>100.88</v>
      </c>
      <c r="H3452" s="3564">
        <v>81.62</v>
      </c>
      <c r="I3452" s="3564">
        <v>19.260000000000002</v>
      </c>
      <c r="J3452" s="3565">
        <v>1041587</v>
      </c>
      <c r="K3452" s="3565">
        <v>10325.01</v>
      </c>
      <c r="L3452" s="3565">
        <v>12761.42</v>
      </c>
      <c r="M3452" s="3565">
        <v>0</v>
      </c>
      <c r="N3452" s="3565">
        <v>0</v>
      </c>
      <c r="O3452" s="3563" t="s">
        <v>3453</v>
      </c>
    </row>
    <row r="3453" spans="1:15">
      <c r="A3453" s="3563" t="s">
        <v>7675</v>
      </c>
      <c r="B3453" s="3563" t="s">
        <v>4196</v>
      </c>
      <c r="C3453" s="3563" t="s">
        <v>4197</v>
      </c>
      <c r="D3453" s="3563" t="s">
        <v>6429</v>
      </c>
      <c r="E3453" s="3563" t="s">
        <v>5972</v>
      </c>
      <c r="F3453" s="3563" t="s">
        <v>4797</v>
      </c>
      <c r="G3453" s="3564">
        <v>123.64</v>
      </c>
      <c r="H3453" s="3564">
        <v>100.03</v>
      </c>
      <c r="I3453" s="3564">
        <v>23.61</v>
      </c>
      <c r="J3453" s="3565">
        <v>1230547</v>
      </c>
      <c r="K3453" s="3565">
        <v>9952.66</v>
      </c>
      <c r="L3453" s="3565">
        <v>12301.78</v>
      </c>
      <c r="M3453" s="3565">
        <v>0</v>
      </c>
      <c r="N3453" s="3565">
        <v>0</v>
      </c>
      <c r="O3453" s="3563" t="s">
        <v>3453</v>
      </c>
    </row>
    <row r="3454" spans="1:15">
      <c r="A3454" s="3563" t="s">
        <v>7676</v>
      </c>
      <c r="B3454" s="3563" t="s">
        <v>4196</v>
      </c>
      <c r="C3454" s="3563" t="s">
        <v>4197</v>
      </c>
      <c r="D3454" s="3563" t="s">
        <v>6429</v>
      </c>
      <c r="E3454" s="3563" t="s">
        <v>5972</v>
      </c>
      <c r="F3454" s="3563" t="s">
        <v>4797</v>
      </c>
      <c r="G3454" s="3564">
        <v>100.88</v>
      </c>
      <c r="H3454" s="3564">
        <v>81.62</v>
      </c>
      <c r="I3454" s="3564">
        <v>19.260000000000002</v>
      </c>
      <c r="J3454" s="3565">
        <v>1015830</v>
      </c>
      <c r="K3454" s="3565">
        <v>10069.69</v>
      </c>
      <c r="L3454" s="3565">
        <v>12445.85</v>
      </c>
      <c r="M3454" s="3565">
        <v>0</v>
      </c>
      <c r="N3454" s="3565">
        <v>0</v>
      </c>
      <c r="O3454" s="3563" t="s">
        <v>3453</v>
      </c>
    </row>
    <row r="3455" spans="1:15">
      <c r="A3455" s="3563" t="s">
        <v>7677</v>
      </c>
      <c r="B3455" s="3563" t="s">
        <v>4196</v>
      </c>
      <c r="C3455" s="3563" t="s">
        <v>4197</v>
      </c>
      <c r="D3455" s="3563" t="s">
        <v>6429</v>
      </c>
      <c r="E3455" s="3563" t="s">
        <v>5972</v>
      </c>
      <c r="F3455" s="3563" t="s">
        <v>4797</v>
      </c>
      <c r="G3455" s="3564">
        <v>100.88</v>
      </c>
      <c r="H3455" s="3564">
        <v>81.62</v>
      </c>
      <c r="I3455" s="3564">
        <v>19.260000000000002</v>
      </c>
      <c r="J3455" s="3565">
        <v>1015830</v>
      </c>
      <c r="K3455" s="3565">
        <v>10069.69</v>
      </c>
      <c r="L3455" s="3565">
        <v>12445.85</v>
      </c>
      <c r="M3455" s="3565">
        <v>0</v>
      </c>
      <c r="N3455" s="3565">
        <v>0</v>
      </c>
      <c r="O3455" s="3563" t="s">
        <v>3453</v>
      </c>
    </row>
    <row r="3456" spans="1:15">
      <c r="A3456" s="3563" t="s">
        <v>7678</v>
      </c>
      <c r="B3456" s="3563" t="s">
        <v>4196</v>
      </c>
      <c r="C3456" s="3563" t="s">
        <v>4197</v>
      </c>
      <c r="D3456" s="3563" t="s">
        <v>6429</v>
      </c>
      <c r="E3456" s="3563" t="s">
        <v>5972</v>
      </c>
      <c r="F3456" s="3563" t="s">
        <v>4797</v>
      </c>
      <c r="G3456" s="3564">
        <v>109.31</v>
      </c>
      <c r="H3456" s="3564">
        <v>88.44</v>
      </c>
      <c r="I3456" s="3564">
        <v>20.87</v>
      </c>
      <c r="J3456" s="3565">
        <v>1118160</v>
      </c>
      <c r="K3456" s="3565">
        <v>10229.26</v>
      </c>
      <c r="L3456" s="3565">
        <v>12643.15</v>
      </c>
      <c r="M3456" s="3565">
        <v>0</v>
      </c>
      <c r="N3456" s="3565">
        <v>0</v>
      </c>
      <c r="O3456" s="3563" t="s">
        <v>3453</v>
      </c>
    </row>
    <row r="3457" spans="1:15">
      <c r="A3457" s="3563" t="s">
        <v>7679</v>
      </c>
      <c r="B3457" s="3563" t="s">
        <v>4196</v>
      </c>
      <c r="C3457" s="3563" t="s">
        <v>4197</v>
      </c>
      <c r="D3457" s="3563" t="s">
        <v>6429</v>
      </c>
      <c r="E3457" s="3563" t="s">
        <v>5972</v>
      </c>
      <c r="F3457" s="3563" t="s">
        <v>4797</v>
      </c>
      <c r="G3457" s="3564">
        <v>100.88</v>
      </c>
      <c r="H3457" s="3564">
        <v>81.62</v>
      </c>
      <c r="I3457" s="3564">
        <v>19.260000000000002</v>
      </c>
      <c r="J3457" s="3565">
        <v>1042660</v>
      </c>
      <c r="K3457" s="3565">
        <v>10335.65</v>
      </c>
      <c r="L3457" s="3565">
        <v>12774.57</v>
      </c>
      <c r="M3457" s="3565">
        <v>0</v>
      </c>
      <c r="N3457" s="3565">
        <v>0</v>
      </c>
      <c r="O3457" s="3563" t="s">
        <v>3453</v>
      </c>
    </row>
    <row r="3458" spans="1:15">
      <c r="A3458" s="3563" t="s">
        <v>7680</v>
      </c>
      <c r="B3458" s="3563" t="s">
        <v>4196</v>
      </c>
      <c r="C3458" s="3563" t="s">
        <v>4197</v>
      </c>
      <c r="D3458" s="3563" t="s">
        <v>6429</v>
      </c>
      <c r="E3458" s="3563" t="s">
        <v>5972</v>
      </c>
      <c r="F3458" s="3563" t="s">
        <v>4797</v>
      </c>
      <c r="G3458" s="3564">
        <v>100.88</v>
      </c>
      <c r="H3458" s="3564">
        <v>81.62</v>
      </c>
      <c r="I3458" s="3564">
        <v>19.260000000000002</v>
      </c>
      <c r="J3458" s="3565">
        <v>1042660</v>
      </c>
      <c r="K3458" s="3565">
        <v>10335.65</v>
      </c>
      <c r="L3458" s="3565">
        <v>12774.57</v>
      </c>
      <c r="M3458" s="3565">
        <v>0</v>
      </c>
      <c r="N3458" s="3565">
        <v>0</v>
      </c>
      <c r="O3458" s="3563" t="s">
        <v>3453</v>
      </c>
    </row>
    <row r="3459" spans="1:15">
      <c r="A3459" s="3563" t="s">
        <v>7681</v>
      </c>
      <c r="B3459" s="3563" t="s">
        <v>4196</v>
      </c>
      <c r="C3459" s="3563" t="s">
        <v>4197</v>
      </c>
      <c r="D3459" s="3563" t="s">
        <v>6429</v>
      </c>
      <c r="E3459" s="3563" t="s">
        <v>5972</v>
      </c>
      <c r="F3459" s="3563" t="s">
        <v>4797</v>
      </c>
      <c r="G3459" s="3564">
        <v>123.64</v>
      </c>
      <c r="H3459" s="3564">
        <v>100.03</v>
      </c>
      <c r="I3459" s="3564">
        <v>23.61</v>
      </c>
      <c r="J3459" s="3565">
        <v>1230547</v>
      </c>
      <c r="K3459" s="3565">
        <v>9952.66</v>
      </c>
      <c r="L3459" s="3565">
        <v>12301.78</v>
      </c>
      <c r="M3459" s="3565">
        <v>0</v>
      </c>
      <c r="N3459" s="3565">
        <v>0</v>
      </c>
      <c r="O3459" s="3563" t="s">
        <v>3453</v>
      </c>
    </row>
    <row r="3460" spans="1:15">
      <c r="A3460" s="3563" t="s">
        <v>7682</v>
      </c>
      <c r="B3460" s="3563" t="s">
        <v>4196</v>
      </c>
      <c r="C3460" s="3563" t="s">
        <v>4197</v>
      </c>
      <c r="D3460" s="3563" t="s">
        <v>6429</v>
      </c>
      <c r="E3460" s="3563" t="s">
        <v>5972</v>
      </c>
      <c r="F3460" s="3563" t="s">
        <v>4797</v>
      </c>
      <c r="G3460" s="3564">
        <v>100.88</v>
      </c>
      <c r="H3460" s="3564">
        <v>81.62</v>
      </c>
      <c r="I3460" s="3564">
        <v>19.260000000000002</v>
      </c>
      <c r="J3460" s="3565">
        <v>1092026</v>
      </c>
      <c r="K3460" s="3565">
        <v>10825</v>
      </c>
      <c r="L3460" s="3565">
        <v>13379.39</v>
      </c>
      <c r="M3460" s="3565">
        <v>0</v>
      </c>
      <c r="N3460" s="3565">
        <v>0</v>
      </c>
      <c r="O3460" s="3563" t="s">
        <v>3453</v>
      </c>
    </row>
    <row r="3461" spans="1:15">
      <c r="A3461" s="3563" t="s">
        <v>7683</v>
      </c>
      <c r="B3461" s="3563" t="s">
        <v>4196</v>
      </c>
      <c r="C3461" s="3563" t="s">
        <v>4197</v>
      </c>
      <c r="D3461" s="3563" t="s">
        <v>6429</v>
      </c>
      <c r="E3461" s="3563" t="s">
        <v>5972</v>
      </c>
      <c r="F3461" s="3563" t="s">
        <v>4797</v>
      </c>
      <c r="G3461" s="3564">
        <v>100.88</v>
      </c>
      <c r="H3461" s="3564">
        <v>81.62</v>
      </c>
      <c r="I3461" s="3564">
        <v>19.260000000000002</v>
      </c>
      <c r="J3461" s="3565">
        <v>1092026</v>
      </c>
      <c r="K3461" s="3565">
        <v>10825</v>
      </c>
      <c r="L3461" s="3565">
        <v>13379.39</v>
      </c>
      <c r="M3461" s="3565">
        <v>0</v>
      </c>
      <c r="N3461" s="3565">
        <v>0</v>
      </c>
      <c r="O3461" s="3563" t="s">
        <v>3453</v>
      </c>
    </row>
    <row r="3462" spans="1:15">
      <c r="A3462" s="3563" t="s">
        <v>7684</v>
      </c>
      <c r="B3462" s="3563" t="s">
        <v>4196</v>
      </c>
      <c r="C3462" s="3563" t="s">
        <v>4197</v>
      </c>
      <c r="D3462" s="3563" t="s">
        <v>6429</v>
      </c>
      <c r="E3462" s="3563" t="s">
        <v>5972</v>
      </c>
      <c r="F3462" s="3563" t="s">
        <v>4797</v>
      </c>
      <c r="G3462" s="3564">
        <v>109.31</v>
      </c>
      <c r="H3462" s="3564">
        <v>88.44</v>
      </c>
      <c r="I3462" s="3564">
        <v>20.87</v>
      </c>
      <c r="J3462" s="3565">
        <v>1119323</v>
      </c>
      <c r="K3462" s="3565">
        <v>10239.9</v>
      </c>
      <c r="L3462" s="3565">
        <v>12656.3</v>
      </c>
      <c r="M3462" s="3565">
        <v>0</v>
      </c>
      <c r="N3462" s="3565">
        <v>0</v>
      </c>
      <c r="O3462" s="3563" t="s">
        <v>3453</v>
      </c>
    </row>
    <row r="3463" spans="1:15">
      <c r="A3463" s="3563" t="s">
        <v>7685</v>
      </c>
      <c r="B3463" s="3563" t="s">
        <v>4196</v>
      </c>
      <c r="C3463" s="3563" t="s">
        <v>4197</v>
      </c>
      <c r="D3463" s="3563" t="s">
        <v>6429</v>
      </c>
      <c r="E3463" s="3563" t="s">
        <v>5972</v>
      </c>
      <c r="F3463" s="3563" t="s">
        <v>4797</v>
      </c>
      <c r="G3463" s="3564">
        <v>100.88</v>
      </c>
      <c r="H3463" s="3564">
        <v>81.62</v>
      </c>
      <c r="I3463" s="3564">
        <v>19.260000000000002</v>
      </c>
      <c r="J3463" s="3565">
        <v>1043732</v>
      </c>
      <c r="K3463" s="3565">
        <v>10346.27</v>
      </c>
      <c r="L3463" s="3565">
        <v>12787.7</v>
      </c>
      <c r="M3463" s="3565">
        <v>0</v>
      </c>
      <c r="N3463" s="3565">
        <v>0</v>
      </c>
      <c r="O3463" s="3563" t="s">
        <v>3453</v>
      </c>
    </row>
    <row r="3464" spans="1:15">
      <c r="A3464" s="3563" t="s">
        <v>7686</v>
      </c>
      <c r="B3464" s="3563" t="s">
        <v>4196</v>
      </c>
      <c r="C3464" s="3563" t="s">
        <v>4197</v>
      </c>
      <c r="D3464" s="3563" t="s">
        <v>6429</v>
      </c>
      <c r="E3464" s="3563" t="s">
        <v>5972</v>
      </c>
      <c r="F3464" s="3563" t="s">
        <v>4797</v>
      </c>
      <c r="G3464" s="3564">
        <v>100.88</v>
      </c>
      <c r="H3464" s="3564">
        <v>81.62</v>
      </c>
      <c r="I3464" s="3564">
        <v>19.260000000000002</v>
      </c>
      <c r="J3464" s="3565">
        <v>1065196</v>
      </c>
      <c r="K3464" s="3565">
        <v>10559.04</v>
      </c>
      <c r="L3464" s="3565">
        <v>13050.67</v>
      </c>
      <c r="M3464" s="3565">
        <v>0</v>
      </c>
      <c r="N3464" s="3565">
        <v>0</v>
      </c>
      <c r="O3464" s="3563" t="s">
        <v>3453</v>
      </c>
    </row>
    <row r="3465" spans="1:15">
      <c r="A3465" s="3563" t="s">
        <v>7687</v>
      </c>
      <c r="B3465" s="3563" t="s">
        <v>4196</v>
      </c>
      <c r="C3465" s="3563" t="s">
        <v>4197</v>
      </c>
      <c r="D3465" s="3563" t="s">
        <v>6429</v>
      </c>
      <c r="E3465" s="3563" t="s">
        <v>5972</v>
      </c>
      <c r="F3465" s="3563" t="s">
        <v>4797</v>
      </c>
      <c r="G3465" s="3564">
        <v>123.64</v>
      </c>
      <c r="H3465" s="3564">
        <v>100.03</v>
      </c>
      <c r="I3465" s="3564">
        <v>23.61</v>
      </c>
      <c r="J3465" s="3565">
        <v>1312097</v>
      </c>
      <c r="K3465" s="3565">
        <v>10612.24</v>
      </c>
      <c r="L3465" s="3565">
        <v>13117.03</v>
      </c>
      <c r="M3465" s="3565">
        <v>0</v>
      </c>
      <c r="N3465" s="3565">
        <v>0</v>
      </c>
      <c r="O3465" s="3563" t="s">
        <v>3453</v>
      </c>
    </row>
    <row r="3466" spans="1:15">
      <c r="A3466" s="3563" t="s">
        <v>7688</v>
      </c>
      <c r="B3466" s="3563" t="s">
        <v>4196</v>
      </c>
      <c r="C3466" s="3563" t="s">
        <v>4197</v>
      </c>
      <c r="D3466" s="3563" t="s">
        <v>6429</v>
      </c>
      <c r="E3466" s="3563" t="s">
        <v>5972</v>
      </c>
      <c r="F3466" s="3563" t="s">
        <v>4797</v>
      </c>
      <c r="G3466" s="3564">
        <v>100.88</v>
      </c>
      <c r="H3466" s="3564">
        <v>81.62</v>
      </c>
      <c r="I3466" s="3564">
        <v>19.260000000000002</v>
      </c>
      <c r="J3466" s="3565">
        <v>1093099</v>
      </c>
      <c r="K3466" s="3565">
        <v>10835.64</v>
      </c>
      <c r="L3466" s="3565">
        <v>13392.54</v>
      </c>
      <c r="M3466" s="3565">
        <v>0</v>
      </c>
      <c r="N3466" s="3565">
        <v>0</v>
      </c>
      <c r="O3466" s="3563" t="s">
        <v>3453</v>
      </c>
    </row>
    <row r="3467" spans="1:15">
      <c r="A3467" s="3563" t="s">
        <v>7689</v>
      </c>
      <c r="B3467" s="3563" t="s">
        <v>4196</v>
      </c>
      <c r="C3467" s="3563" t="s">
        <v>4197</v>
      </c>
      <c r="D3467" s="3563" t="s">
        <v>6429</v>
      </c>
      <c r="E3467" s="3563" t="s">
        <v>5972</v>
      </c>
      <c r="F3467" s="3563" t="s">
        <v>4797</v>
      </c>
      <c r="G3467" s="3564">
        <v>100.88</v>
      </c>
      <c r="H3467" s="3564">
        <v>81.62</v>
      </c>
      <c r="I3467" s="3564">
        <v>19.260000000000002</v>
      </c>
      <c r="J3467" s="3565">
        <v>1093099</v>
      </c>
      <c r="K3467" s="3565">
        <v>10835.64</v>
      </c>
      <c r="L3467" s="3565">
        <v>13392.54</v>
      </c>
      <c r="M3467" s="3565">
        <v>0</v>
      </c>
      <c r="N3467" s="3565">
        <v>0</v>
      </c>
      <c r="O3467" s="3563" t="s">
        <v>3453</v>
      </c>
    </row>
    <row r="3468" spans="1:15">
      <c r="A3468" s="3563" t="s">
        <v>7690</v>
      </c>
      <c r="B3468" s="3563" t="s">
        <v>4196</v>
      </c>
      <c r="C3468" s="3563" t="s">
        <v>4197</v>
      </c>
      <c r="D3468" s="3563" t="s">
        <v>6429</v>
      </c>
      <c r="E3468" s="3563" t="s">
        <v>5972</v>
      </c>
      <c r="F3468" s="3563" t="s">
        <v>4797</v>
      </c>
      <c r="G3468" s="3564">
        <v>109.31</v>
      </c>
      <c r="H3468" s="3564">
        <v>88.44</v>
      </c>
      <c r="I3468" s="3564">
        <v>20.87</v>
      </c>
      <c r="J3468" s="3565">
        <v>1120487</v>
      </c>
      <c r="K3468" s="3565">
        <v>10250.540000000001</v>
      </c>
      <c r="L3468" s="3565">
        <v>12669.46</v>
      </c>
      <c r="M3468" s="3565">
        <v>0</v>
      </c>
      <c r="N3468" s="3565">
        <v>0</v>
      </c>
      <c r="O3468" s="3563" t="s">
        <v>3453</v>
      </c>
    </row>
    <row r="3469" spans="1:15">
      <c r="A3469" s="3563" t="s">
        <v>7691</v>
      </c>
      <c r="B3469" s="3563" t="s">
        <v>4196</v>
      </c>
      <c r="C3469" s="3563" t="s">
        <v>4197</v>
      </c>
      <c r="D3469" s="3563" t="s">
        <v>6429</v>
      </c>
      <c r="E3469" s="3563" t="s">
        <v>5972</v>
      </c>
      <c r="F3469" s="3563" t="s">
        <v>4797</v>
      </c>
      <c r="G3469" s="3564">
        <v>100.88</v>
      </c>
      <c r="H3469" s="3564">
        <v>81.62</v>
      </c>
      <c r="I3469" s="3564">
        <v>19.260000000000002</v>
      </c>
      <c r="J3469" s="3565">
        <v>1044806</v>
      </c>
      <c r="K3469" s="3565">
        <v>10356.92</v>
      </c>
      <c r="L3469" s="3565">
        <v>12800.86</v>
      </c>
      <c r="M3469" s="3565">
        <v>0</v>
      </c>
      <c r="N3469" s="3565">
        <v>0</v>
      </c>
      <c r="O3469" s="3563" t="s">
        <v>3453</v>
      </c>
    </row>
    <row r="3470" spans="1:15">
      <c r="A3470" s="3563" t="s">
        <v>7692</v>
      </c>
      <c r="B3470" s="3563" t="s">
        <v>4196</v>
      </c>
      <c r="C3470" s="3563" t="s">
        <v>4197</v>
      </c>
      <c r="D3470" s="3563" t="s">
        <v>6429</v>
      </c>
      <c r="E3470" s="3563" t="s">
        <v>5972</v>
      </c>
      <c r="F3470" s="3563" t="s">
        <v>4797</v>
      </c>
      <c r="G3470" s="3564">
        <v>100.88</v>
      </c>
      <c r="H3470" s="3564">
        <v>81.62</v>
      </c>
      <c r="I3470" s="3564">
        <v>19.260000000000002</v>
      </c>
      <c r="J3470" s="3565">
        <v>1066270</v>
      </c>
      <c r="K3470" s="3565">
        <v>10569.69</v>
      </c>
      <c r="L3470" s="3565">
        <v>13063.83</v>
      </c>
      <c r="M3470" s="3565">
        <v>0</v>
      </c>
      <c r="N3470" s="3565">
        <v>0</v>
      </c>
      <c r="O3470" s="3563" t="s">
        <v>3453</v>
      </c>
    </row>
    <row r="3471" spans="1:15">
      <c r="A3471" s="3563" t="s">
        <v>7693</v>
      </c>
      <c r="B3471" s="3563" t="s">
        <v>4196</v>
      </c>
      <c r="C3471" s="3563" t="s">
        <v>4197</v>
      </c>
      <c r="D3471" s="3563" t="s">
        <v>6429</v>
      </c>
      <c r="E3471" s="3563" t="s">
        <v>5972</v>
      </c>
      <c r="F3471" s="3563" t="s">
        <v>4797</v>
      </c>
      <c r="G3471" s="3564">
        <v>123.64</v>
      </c>
      <c r="H3471" s="3564">
        <v>100.03</v>
      </c>
      <c r="I3471" s="3564">
        <v>23.61</v>
      </c>
      <c r="J3471" s="3565">
        <v>1313412</v>
      </c>
      <c r="K3471" s="3565">
        <v>10622.87</v>
      </c>
      <c r="L3471" s="3565">
        <v>13130.18</v>
      </c>
      <c r="M3471" s="3565">
        <v>0</v>
      </c>
      <c r="N3471" s="3565">
        <v>0</v>
      </c>
      <c r="O3471" s="3563" t="s">
        <v>3453</v>
      </c>
    </row>
    <row r="3472" spans="1:15">
      <c r="A3472" s="3563" t="s">
        <v>7694</v>
      </c>
      <c r="B3472" s="3563" t="s">
        <v>4196</v>
      </c>
      <c r="C3472" s="3563" t="s">
        <v>4197</v>
      </c>
      <c r="D3472" s="3563" t="s">
        <v>6429</v>
      </c>
      <c r="E3472" s="3563" t="s">
        <v>5972</v>
      </c>
      <c r="F3472" s="3563" t="s">
        <v>4797</v>
      </c>
      <c r="G3472" s="3564">
        <v>100.88</v>
      </c>
      <c r="H3472" s="3564">
        <v>81.62</v>
      </c>
      <c r="I3472" s="3564">
        <v>19.260000000000002</v>
      </c>
      <c r="J3472" s="3565">
        <v>1094173</v>
      </c>
      <c r="K3472" s="3565">
        <v>10846.28</v>
      </c>
      <c r="L3472" s="3565">
        <v>13405.7</v>
      </c>
      <c r="M3472" s="3565">
        <v>0</v>
      </c>
      <c r="N3472" s="3565">
        <v>0</v>
      </c>
      <c r="O3472" s="3563" t="s">
        <v>3453</v>
      </c>
    </row>
    <row r="3473" spans="1:15">
      <c r="A3473" s="3563" t="s">
        <v>7695</v>
      </c>
      <c r="B3473" s="3563" t="s">
        <v>4196</v>
      </c>
      <c r="C3473" s="3563" t="s">
        <v>4197</v>
      </c>
      <c r="D3473" s="3563" t="s">
        <v>6429</v>
      </c>
      <c r="E3473" s="3563" t="s">
        <v>5972</v>
      </c>
      <c r="F3473" s="3563" t="s">
        <v>4797</v>
      </c>
      <c r="G3473" s="3564">
        <v>100.88</v>
      </c>
      <c r="H3473" s="3564">
        <v>81.62</v>
      </c>
      <c r="I3473" s="3564">
        <v>19.260000000000002</v>
      </c>
      <c r="J3473" s="3565">
        <v>1094173</v>
      </c>
      <c r="K3473" s="3565">
        <v>10846.28</v>
      </c>
      <c r="L3473" s="3565">
        <v>13405.7</v>
      </c>
      <c r="M3473" s="3565">
        <v>0</v>
      </c>
      <c r="N3473" s="3565">
        <v>0</v>
      </c>
      <c r="O3473" s="3563" t="s">
        <v>3453</v>
      </c>
    </row>
    <row r="3474" spans="1:15">
      <c r="A3474" s="3563" t="s">
        <v>7696</v>
      </c>
      <c r="B3474" s="3563" t="s">
        <v>4196</v>
      </c>
      <c r="C3474" s="3563" t="s">
        <v>4197</v>
      </c>
      <c r="D3474" s="3563" t="s">
        <v>6429</v>
      </c>
      <c r="E3474" s="3563" t="s">
        <v>5972</v>
      </c>
      <c r="F3474" s="3563" t="s">
        <v>4797</v>
      </c>
      <c r="G3474" s="3564">
        <v>109.31</v>
      </c>
      <c r="H3474" s="3564">
        <v>88.44</v>
      </c>
      <c r="I3474" s="3564">
        <v>20.87</v>
      </c>
      <c r="J3474" s="3565">
        <v>1121649</v>
      </c>
      <c r="K3474" s="3565">
        <v>10261.17</v>
      </c>
      <c r="L3474" s="3565">
        <v>12682.6</v>
      </c>
      <c r="M3474" s="3565">
        <v>0</v>
      </c>
      <c r="N3474" s="3565">
        <v>0</v>
      </c>
      <c r="O3474" s="3563" t="s">
        <v>3453</v>
      </c>
    </row>
    <row r="3475" spans="1:15">
      <c r="A3475" s="3563" t="s">
        <v>7697</v>
      </c>
      <c r="B3475" s="3563" t="s">
        <v>4196</v>
      </c>
      <c r="C3475" s="3563" t="s">
        <v>4197</v>
      </c>
      <c r="D3475" s="3563" t="s">
        <v>6429</v>
      </c>
      <c r="E3475" s="3563" t="s">
        <v>5972</v>
      </c>
      <c r="F3475" s="3563" t="s">
        <v>4797</v>
      </c>
      <c r="G3475" s="3564">
        <v>100.88</v>
      </c>
      <c r="H3475" s="3564">
        <v>81.62</v>
      </c>
      <c r="I3475" s="3564">
        <v>19.260000000000002</v>
      </c>
      <c r="J3475" s="3565">
        <v>1045879</v>
      </c>
      <c r="K3475" s="3565">
        <v>10367.56</v>
      </c>
      <c r="L3475" s="3565">
        <v>12814</v>
      </c>
      <c r="M3475" s="3565">
        <v>0</v>
      </c>
      <c r="N3475" s="3565">
        <v>0</v>
      </c>
      <c r="O3475" s="3563" t="s">
        <v>3453</v>
      </c>
    </row>
    <row r="3476" spans="1:15">
      <c r="A3476" s="3563" t="s">
        <v>7698</v>
      </c>
      <c r="B3476" s="3563" t="s">
        <v>4196</v>
      </c>
      <c r="C3476" s="3563" t="s">
        <v>4197</v>
      </c>
      <c r="D3476" s="3563" t="s">
        <v>6429</v>
      </c>
      <c r="E3476" s="3563" t="s">
        <v>5972</v>
      </c>
      <c r="F3476" s="3563" t="s">
        <v>4797</v>
      </c>
      <c r="G3476" s="3564">
        <v>100.88</v>
      </c>
      <c r="H3476" s="3564">
        <v>81.62</v>
      </c>
      <c r="I3476" s="3564">
        <v>19.260000000000002</v>
      </c>
      <c r="J3476" s="3565">
        <v>1067343</v>
      </c>
      <c r="K3476" s="3565">
        <v>10580.32</v>
      </c>
      <c r="L3476" s="3565">
        <v>13076.98</v>
      </c>
      <c r="M3476" s="3565">
        <v>0</v>
      </c>
      <c r="N3476" s="3565">
        <v>0</v>
      </c>
      <c r="O3476" s="3563" t="s">
        <v>3453</v>
      </c>
    </row>
    <row r="3477" spans="1:15">
      <c r="A3477" s="3563" t="s">
        <v>7699</v>
      </c>
      <c r="B3477" s="3563" t="s">
        <v>4196</v>
      </c>
      <c r="C3477" s="3563" t="s">
        <v>4197</v>
      </c>
      <c r="D3477" s="3563" t="s">
        <v>6429</v>
      </c>
      <c r="E3477" s="3563" t="s">
        <v>5972</v>
      </c>
      <c r="F3477" s="3563" t="s">
        <v>4797</v>
      </c>
      <c r="G3477" s="3564">
        <v>123.64</v>
      </c>
      <c r="H3477" s="3564">
        <v>100.03</v>
      </c>
      <c r="I3477" s="3564">
        <v>23.61</v>
      </c>
      <c r="J3477" s="3565">
        <v>1314728</v>
      </c>
      <c r="K3477" s="3565">
        <v>10633.52</v>
      </c>
      <c r="L3477" s="3565">
        <v>13143.34</v>
      </c>
      <c r="M3477" s="3565">
        <v>0</v>
      </c>
      <c r="N3477" s="3565">
        <v>0</v>
      </c>
      <c r="O3477" s="3563" t="s">
        <v>3453</v>
      </c>
    </row>
    <row r="3478" spans="1:15">
      <c r="A3478" s="3563" t="s">
        <v>7700</v>
      </c>
      <c r="B3478" s="3563" t="s">
        <v>4196</v>
      </c>
      <c r="C3478" s="3563" t="s">
        <v>4197</v>
      </c>
      <c r="D3478" s="3563" t="s">
        <v>6429</v>
      </c>
      <c r="E3478" s="3563" t="s">
        <v>6127</v>
      </c>
      <c r="F3478" s="3563" t="s">
        <v>4797</v>
      </c>
      <c r="G3478" s="3564">
        <v>98.9</v>
      </c>
      <c r="H3478" s="3564">
        <v>81.62</v>
      </c>
      <c r="I3478" s="3564">
        <v>17.28</v>
      </c>
      <c r="J3478" s="3565">
        <v>939077</v>
      </c>
      <c r="K3478" s="3565">
        <v>9495.2199999999993</v>
      </c>
      <c r="L3478" s="3565">
        <v>11505.48</v>
      </c>
      <c r="M3478" s="3565">
        <v>0</v>
      </c>
      <c r="N3478" s="3565">
        <v>0</v>
      </c>
      <c r="O3478" s="3563" t="s">
        <v>3453</v>
      </c>
    </row>
    <row r="3479" spans="1:15">
      <c r="A3479" s="3563" t="s">
        <v>7701</v>
      </c>
      <c r="B3479" s="3563" t="s">
        <v>4196</v>
      </c>
      <c r="C3479" s="3563" t="s">
        <v>4197</v>
      </c>
      <c r="D3479" s="3563" t="s">
        <v>6429</v>
      </c>
      <c r="E3479" s="3563" t="s">
        <v>6127</v>
      </c>
      <c r="F3479" s="3563" t="s">
        <v>4797</v>
      </c>
      <c r="G3479" s="3564">
        <v>98.9</v>
      </c>
      <c r="H3479" s="3564">
        <v>81.62</v>
      </c>
      <c r="I3479" s="3564">
        <v>17.28</v>
      </c>
      <c r="J3479" s="3565">
        <v>939077</v>
      </c>
      <c r="K3479" s="3565">
        <v>9495.2199999999993</v>
      </c>
      <c r="L3479" s="3565">
        <v>11505.48</v>
      </c>
      <c r="M3479" s="3565">
        <v>0</v>
      </c>
      <c r="N3479" s="3565">
        <v>0</v>
      </c>
      <c r="O3479" s="3563" t="s">
        <v>3453</v>
      </c>
    </row>
    <row r="3480" spans="1:15">
      <c r="A3480" s="3563" t="s">
        <v>7702</v>
      </c>
      <c r="B3480" s="3563" t="s">
        <v>4196</v>
      </c>
      <c r="C3480" s="3563" t="s">
        <v>4197</v>
      </c>
      <c r="D3480" s="3563" t="s">
        <v>6429</v>
      </c>
      <c r="E3480" s="3563" t="s">
        <v>6127</v>
      </c>
      <c r="F3480" s="3563" t="s">
        <v>4797</v>
      </c>
      <c r="G3480" s="3564">
        <v>93.44</v>
      </c>
      <c r="H3480" s="3564">
        <v>81.62</v>
      </c>
      <c r="I3480" s="3564">
        <v>11.82</v>
      </c>
      <c r="J3480" s="3565">
        <v>907114</v>
      </c>
      <c r="K3480" s="3565">
        <v>9707.98</v>
      </c>
      <c r="L3480" s="3565">
        <v>11113.87</v>
      </c>
      <c r="M3480" s="3565">
        <v>0</v>
      </c>
      <c r="N3480" s="3565">
        <v>0</v>
      </c>
      <c r="O3480" s="3563" t="s">
        <v>3453</v>
      </c>
    </row>
    <row r="3481" spans="1:15">
      <c r="A3481" s="3563" t="s">
        <v>7703</v>
      </c>
      <c r="B3481" s="3563" t="s">
        <v>4196</v>
      </c>
      <c r="C3481" s="3563" t="s">
        <v>4197</v>
      </c>
      <c r="D3481" s="3563" t="s">
        <v>6429</v>
      </c>
      <c r="E3481" s="3563" t="s">
        <v>6127</v>
      </c>
      <c r="F3481" s="3563" t="s">
        <v>4797</v>
      </c>
      <c r="G3481" s="3564">
        <v>114.51</v>
      </c>
      <c r="H3481" s="3564">
        <v>100.03</v>
      </c>
      <c r="I3481" s="3564">
        <v>14.48</v>
      </c>
      <c r="J3481" s="3565">
        <v>1087297</v>
      </c>
      <c r="K3481" s="3565">
        <v>9495.2099999999991</v>
      </c>
      <c r="L3481" s="3565">
        <v>10869.71</v>
      </c>
      <c r="M3481" s="3565">
        <v>0</v>
      </c>
      <c r="N3481" s="3565">
        <v>0</v>
      </c>
      <c r="O3481" s="3563" t="s">
        <v>3453</v>
      </c>
    </row>
    <row r="3482" spans="1:15">
      <c r="A3482" s="3563" t="s">
        <v>7704</v>
      </c>
      <c r="B3482" s="3563" t="s">
        <v>4196</v>
      </c>
      <c r="C3482" s="3563" t="s">
        <v>4197</v>
      </c>
      <c r="D3482" s="3563" t="s">
        <v>6429</v>
      </c>
      <c r="E3482" s="3563" t="s">
        <v>6127</v>
      </c>
      <c r="F3482" s="3563" t="s">
        <v>4797</v>
      </c>
      <c r="G3482" s="3564">
        <v>100.93</v>
      </c>
      <c r="H3482" s="3564">
        <v>81.62</v>
      </c>
      <c r="I3482" s="3564">
        <v>19.309999999999999</v>
      </c>
      <c r="J3482" s="3565">
        <v>1031365</v>
      </c>
      <c r="K3482" s="3565">
        <v>10218.620000000001</v>
      </c>
      <c r="L3482" s="3565">
        <v>12636.18</v>
      </c>
      <c r="M3482" s="3565">
        <v>0</v>
      </c>
      <c r="N3482" s="3565">
        <v>0</v>
      </c>
      <c r="O3482" s="3563" t="s">
        <v>3453</v>
      </c>
    </row>
    <row r="3483" spans="1:15">
      <c r="A3483" s="3563" t="s">
        <v>7705</v>
      </c>
      <c r="B3483" s="3563" t="s">
        <v>4196</v>
      </c>
      <c r="C3483" s="3563" t="s">
        <v>4197</v>
      </c>
      <c r="D3483" s="3563" t="s">
        <v>6429</v>
      </c>
      <c r="E3483" s="3563" t="s">
        <v>6127</v>
      </c>
      <c r="F3483" s="3563" t="s">
        <v>4797</v>
      </c>
      <c r="G3483" s="3564">
        <v>100.93</v>
      </c>
      <c r="H3483" s="3564">
        <v>81.62</v>
      </c>
      <c r="I3483" s="3564">
        <v>19.309999999999999</v>
      </c>
      <c r="J3483" s="3565">
        <v>1031365</v>
      </c>
      <c r="K3483" s="3565">
        <v>10218.620000000001</v>
      </c>
      <c r="L3483" s="3565">
        <v>12636.18</v>
      </c>
      <c r="M3483" s="3565">
        <v>0</v>
      </c>
      <c r="N3483" s="3565">
        <v>0</v>
      </c>
      <c r="O3483" s="3563" t="s">
        <v>3453</v>
      </c>
    </row>
    <row r="3484" spans="1:15">
      <c r="A3484" s="3563" t="s">
        <v>7706</v>
      </c>
      <c r="B3484" s="3563" t="s">
        <v>4196</v>
      </c>
      <c r="C3484" s="3563" t="s">
        <v>4197</v>
      </c>
      <c r="D3484" s="3563" t="s">
        <v>6429</v>
      </c>
      <c r="E3484" s="3563" t="s">
        <v>6127</v>
      </c>
      <c r="F3484" s="3563" t="s">
        <v>4797</v>
      </c>
      <c r="G3484" s="3564">
        <v>109.36</v>
      </c>
      <c r="H3484" s="3564">
        <v>88.44</v>
      </c>
      <c r="I3484" s="3564">
        <v>20.92</v>
      </c>
      <c r="J3484" s="3565">
        <v>1134959</v>
      </c>
      <c r="K3484" s="3565">
        <v>10378.19</v>
      </c>
      <c r="L3484" s="3565">
        <v>12833.1</v>
      </c>
      <c r="M3484" s="3565">
        <v>0</v>
      </c>
      <c r="N3484" s="3565">
        <v>0</v>
      </c>
      <c r="O3484" s="3563" t="s">
        <v>3453</v>
      </c>
    </row>
    <row r="3485" spans="1:15">
      <c r="A3485" s="3563" t="s">
        <v>7707</v>
      </c>
      <c r="B3485" s="3563" t="s">
        <v>4196</v>
      </c>
      <c r="C3485" s="3563" t="s">
        <v>4197</v>
      </c>
      <c r="D3485" s="3563" t="s">
        <v>6429</v>
      </c>
      <c r="E3485" s="3563" t="s">
        <v>6127</v>
      </c>
      <c r="F3485" s="3563" t="s">
        <v>4797</v>
      </c>
      <c r="G3485" s="3564">
        <v>100.93</v>
      </c>
      <c r="H3485" s="3564">
        <v>81.62</v>
      </c>
      <c r="I3485" s="3564">
        <v>19.309999999999999</v>
      </c>
      <c r="J3485" s="3565">
        <v>1036735</v>
      </c>
      <c r="K3485" s="3565">
        <v>10271.82</v>
      </c>
      <c r="L3485" s="3565">
        <v>12701.97</v>
      </c>
      <c r="M3485" s="3565">
        <v>0</v>
      </c>
      <c r="N3485" s="3565">
        <v>0</v>
      </c>
      <c r="O3485" s="3563" t="s">
        <v>3453</v>
      </c>
    </row>
    <row r="3486" spans="1:15">
      <c r="A3486" s="3563" t="s">
        <v>7708</v>
      </c>
      <c r="B3486" s="3563" t="s">
        <v>4196</v>
      </c>
      <c r="C3486" s="3563" t="s">
        <v>4197</v>
      </c>
      <c r="D3486" s="3563" t="s">
        <v>6429</v>
      </c>
      <c r="E3486" s="3563" t="s">
        <v>6127</v>
      </c>
      <c r="F3486" s="3563" t="s">
        <v>4797</v>
      </c>
      <c r="G3486" s="3564">
        <v>100.93</v>
      </c>
      <c r="H3486" s="3564">
        <v>81.62</v>
      </c>
      <c r="I3486" s="3564">
        <v>19.309999999999999</v>
      </c>
      <c r="J3486" s="3565">
        <v>1036735</v>
      </c>
      <c r="K3486" s="3565">
        <v>10271.82</v>
      </c>
      <c r="L3486" s="3565">
        <v>12701.97</v>
      </c>
      <c r="M3486" s="3565">
        <v>0</v>
      </c>
      <c r="N3486" s="3565">
        <v>0</v>
      </c>
      <c r="O3486" s="3563" t="s">
        <v>3453</v>
      </c>
    </row>
    <row r="3487" spans="1:15">
      <c r="A3487" s="3563" t="s">
        <v>7709</v>
      </c>
      <c r="B3487" s="3563" t="s">
        <v>4196</v>
      </c>
      <c r="C3487" s="3563" t="s">
        <v>4197</v>
      </c>
      <c r="D3487" s="3563" t="s">
        <v>6429</v>
      </c>
      <c r="E3487" s="3563" t="s">
        <v>6127</v>
      </c>
      <c r="F3487" s="3563" t="s">
        <v>4797</v>
      </c>
      <c r="G3487" s="3564">
        <v>123.7</v>
      </c>
      <c r="H3487" s="3564">
        <v>100.03</v>
      </c>
      <c r="I3487" s="3564">
        <v>23.67</v>
      </c>
      <c r="J3487" s="3565">
        <v>1237724</v>
      </c>
      <c r="K3487" s="3565">
        <v>10005.85</v>
      </c>
      <c r="L3487" s="3565">
        <v>12373.53</v>
      </c>
      <c r="M3487" s="3565">
        <v>0</v>
      </c>
      <c r="N3487" s="3565">
        <v>0</v>
      </c>
      <c r="O3487" s="3563" t="s">
        <v>3453</v>
      </c>
    </row>
    <row r="3488" spans="1:15">
      <c r="A3488" s="3563" t="s">
        <v>7710</v>
      </c>
      <c r="B3488" s="3563" t="s">
        <v>4196</v>
      </c>
      <c r="C3488" s="3563" t="s">
        <v>4197</v>
      </c>
      <c r="D3488" s="3563" t="s">
        <v>6429</v>
      </c>
      <c r="E3488" s="3563" t="s">
        <v>6127</v>
      </c>
      <c r="F3488" s="3563" t="s">
        <v>4797</v>
      </c>
      <c r="G3488" s="3564">
        <v>100.93</v>
      </c>
      <c r="H3488" s="3564">
        <v>81.62</v>
      </c>
      <c r="I3488" s="3564">
        <v>19.309999999999999</v>
      </c>
      <c r="J3488" s="3565">
        <v>1032439</v>
      </c>
      <c r="K3488" s="3565">
        <v>10229.26</v>
      </c>
      <c r="L3488" s="3565">
        <v>12649.34</v>
      </c>
      <c r="M3488" s="3565">
        <v>0</v>
      </c>
      <c r="N3488" s="3565">
        <v>0</v>
      </c>
      <c r="O3488" s="3563" t="s">
        <v>3453</v>
      </c>
    </row>
    <row r="3489" spans="1:15">
      <c r="A3489" s="3563" t="s">
        <v>7711</v>
      </c>
      <c r="B3489" s="3563" t="s">
        <v>4196</v>
      </c>
      <c r="C3489" s="3563" t="s">
        <v>4197</v>
      </c>
      <c r="D3489" s="3563" t="s">
        <v>6429</v>
      </c>
      <c r="E3489" s="3563" t="s">
        <v>6127</v>
      </c>
      <c r="F3489" s="3563" t="s">
        <v>4797</v>
      </c>
      <c r="G3489" s="3564">
        <v>100.93</v>
      </c>
      <c r="H3489" s="3564">
        <v>81.62</v>
      </c>
      <c r="I3489" s="3564">
        <v>19.309999999999999</v>
      </c>
      <c r="J3489" s="3565">
        <v>1032439</v>
      </c>
      <c r="K3489" s="3565">
        <v>10229.26</v>
      </c>
      <c r="L3489" s="3565">
        <v>12649.34</v>
      </c>
      <c r="M3489" s="3565">
        <v>0</v>
      </c>
      <c r="N3489" s="3565">
        <v>0</v>
      </c>
      <c r="O3489" s="3563" t="s">
        <v>3453</v>
      </c>
    </row>
    <row r="3490" spans="1:15">
      <c r="A3490" s="3563" t="s">
        <v>7712</v>
      </c>
      <c r="B3490" s="3563" t="s">
        <v>4196</v>
      </c>
      <c r="C3490" s="3563" t="s">
        <v>4197</v>
      </c>
      <c r="D3490" s="3563" t="s">
        <v>6429</v>
      </c>
      <c r="E3490" s="3563" t="s">
        <v>6127</v>
      </c>
      <c r="F3490" s="3563" t="s">
        <v>4797</v>
      </c>
      <c r="G3490" s="3564">
        <v>109.36</v>
      </c>
      <c r="H3490" s="3564">
        <v>88.44</v>
      </c>
      <c r="I3490" s="3564">
        <v>20.92</v>
      </c>
      <c r="J3490" s="3565">
        <v>1136123</v>
      </c>
      <c r="K3490" s="3565">
        <v>10388.84</v>
      </c>
      <c r="L3490" s="3565">
        <v>12846.26</v>
      </c>
      <c r="M3490" s="3565">
        <v>0</v>
      </c>
      <c r="N3490" s="3565">
        <v>0</v>
      </c>
      <c r="O3490" s="3563" t="s">
        <v>3453</v>
      </c>
    </row>
    <row r="3491" spans="1:15">
      <c r="A3491" s="3563" t="s">
        <v>7713</v>
      </c>
      <c r="B3491" s="3563" t="s">
        <v>4196</v>
      </c>
      <c r="C3491" s="3563" t="s">
        <v>4197</v>
      </c>
      <c r="D3491" s="3563" t="s">
        <v>6429</v>
      </c>
      <c r="E3491" s="3563" t="s">
        <v>6127</v>
      </c>
      <c r="F3491" s="3563" t="s">
        <v>4797</v>
      </c>
      <c r="G3491" s="3564">
        <v>100.93</v>
      </c>
      <c r="H3491" s="3564">
        <v>81.62</v>
      </c>
      <c r="I3491" s="3564">
        <v>19.309999999999999</v>
      </c>
      <c r="J3491" s="3565">
        <v>1037808</v>
      </c>
      <c r="K3491" s="3565">
        <v>10282.450000000001</v>
      </c>
      <c r="L3491" s="3565">
        <v>12715.12</v>
      </c>
      <c r="M3491" s="3565">
        <v>0</v>
      </c>
      <c r="N3491" s="3565">
        <v>0</v>
      </c>
      <c r="O3491" s="3563" t="s">
        <v>3453</v>
      </c>
    </row>
    <row r="3492" spans="1:15">
      <c r="A3492" s="3563" t="s">
        <v>7714</v>
      </c>
      <c r="B3492" s="3563" t="s">
        <v>4196</v>
      </c>
      <c r="C3492" s="3563" t="s">
        <v>4197</v>
      </c>
      <c r="D3492" s="3563" t="s">
        <v>6429</v>
      </c>
      <c r="E3492" s="3563" t="s">
        <v>6127</v>
      </c>
      <c r="F3492" s="3563" t="s">
        <v>4797</v>
      </c>
      <c r="G3492" s="3564">
        <v>100.93</v>
      </c>
      <c r="H3492" s="3564">
        <v>81.62</v>
      </c>
      <c r="I3492" s="3564">
        <v>19.309999999999999</v>
      </c>
      <c r="J3492" s="3565">
        <v>1037808</v>
      </c>
      <c r="K3492" s="3565">
        <v>10282.450000000001</v>
      </c>
      <c r="L3492" s="3565">
        <v>12715.12</v>
      </c>
      <c r="M3492" s="3565">
        <v>0</v>
      </c>
      <c r="N3492" s="3565">
        <v>0</v>
      </c>
      <c r="O3492" s="3563" t="s">
        <v>3453</v>
      </c>
    </row>
    <row r="3493" spans="1:15">
      <c r="A3493" s="3563" t="s">
        <v>7715</v>
      </c>
      <c r="B3493" s="3563" t="s">
        <v>4196</v>
      </c>
      <c r="C3493" s="3563" t="s">
        <v>4197</v>
      </c>
      <c r="D3493" s="3563" t="s">
        <v>6429</v>
      </c>
      <c r="E3493" s="3563" t="s">
        <v>6127</v>
      </c>
      <c r="F3493" s="3563" t="s">
        <v>4797</v>
      </c>
      <c r="G3493" s="3564">
        <v>123.7</v>
      </c>
      <c r="H3493" s="3564">
        <v>100.03</v>
      </c>
      <c r="I3493" s="3564">
        <v>23.67</v>
      </c>
      <c r="J3493" s="3565">
        <v>1239040</v>
      </c>
      <c r="K3493" s="3565">
        <v>10016.49</v>
      </c>
      <c r="L3493" s="3565">
        <v>12386.68</v>
      </c>
      <c r="M3493" s="3565">
        <v>0</v>
      </c>
      <c r="N3493" s="3565">
        <v>0</v>
      </c>
      <c r="O3493" s="3563" t="s">
        <v>3453</v>
      </c>
    </row>
    <row r="3494" spans="1:15">
      <c r="A3494" s="3563" t="s">
        <v>7716</v>
      </c>
      <c r="B3494" s="3563" t="s">
        <v>4196</v>
      </c>
      <c r="C3494" s="3563" t="s">
        <v>4197</v>
      </c>
      <c r="D3494" s="3563" t="s">
        <v>6429</v>
      </c>
      <c r="E3494" s="3563" t="s">
        <v>6127</v>
      </c>
      <c r="F3494" s="3563" t="s">
        <v>4797</v>
      </c>
      <c r="G3494" s="3564">
        <v>100.93</v>
      </c>
      <c r="H3494" s="3564">
        <v>81.62</v>
      </c>
      <c r="I3494" s="3564">
        <v>19.309999999999999</v>
      </c>
      <c r="J3494" s="3565">
        <v>1033513</v>
      </c>
      <c r="K3494" s="3565">
        <v>10239.9</v>
      </c>
      <c r="L3494" s="3565">
        <v>12662.5</v>
      </c>
      <c r="M3494" s="3565">
        <v>0</v>
      </c>
      <c r="N3494" s="3565">
        <v>0</v>
      </c>
      <c r="O3494" s="3563" t="s">
        <v>3453</v>
      </c>
    </row>
    <row r="3495" spans="1:15">
      <c r="A3495" s="3563" t="s">
        <v>7717</v>
      </c>
      <c r="B3495" s="3563" t="s">
        <v>4196</v>
      </c>
      <c r="C3495" s="3563" t="s">
        <v>4197</v>
      </c>
      <c r="D3495" s="3563" t="s">
        <v>6429</v>
      </c>
      <c r="E3495" s="3563" t="s">
        <v>6127</v>
      </c>
      <c r="F3495" s="3563" t="s">
        <v>4797</v>
      </c>
      <c r="G3495" s="3564">
        <v>100.93</v>
      </c>
      <c r="H3495" s="3564">
        <v>81.62</v>
      </c>
      <c r="I3495" s="3564">
        <v>19.309999999999999</v>
      </c>
      <c r="J3495" s="3565">
        <v>1033513</v>
      </c>
      <c r="K3495" s="3565">
        <v>10239.9</v>
      </c>
      <c r="L3495" s="3565">
        <v>12662.5</v>
      </c>
      <c r="M3495" s="3565">
        <v>0</v>
      </c>
      <c r="N3495" s="3565">
        <v>0</v>
      </c>
      <c r="O3495" s="3563" t="s">
        <v>3453</v>
      </c>
    </row>
    <row r="3496" spans="1:15">
      <c r="A3496" s="3563" t="s">
        <v>7718</v>
      </c>
      <c r="B3496" s="3563" t="s">
        <v>4196</v>
      </c>
      <c r="C3496" s="3563" t="s">
        <v>4197</v>
      </c>
      <c r="D3496" s="3563" t="s">
        <v>6429</v>
      </c>
      <c r="E3496" s="3563" t="s">
        <v>6127</v>
      </c>
      <c r="F3496" s="3563" t="s">
        <v>4797</v>
      </c>
      <c r="G3496" s="3564">
        <v>109.36</v>
      </c>
      <c r="H3496" s="3564">
        <v>88.44</v>
      </c>
      <c r="I3496" s="3564">
        <v>20.92</v>
      </c>
      <c r="J3496" s="3565">
        <v>1137287</v>
      </c>
      <c r="K3496" s="3565">
        <v>10399.48</v>
      </c>
      <c r="L3496" s="3565">
        <v>12859.42</v>
      </c>
      <c r="M3496" s="3565">
        <v>0</v>
      </c>
      <c r="N3496" s="3565">
        <v>0</v>
      </c>
      <c r="O3496" s="3563" t="s">
        <v>3453</v>
      </c>
    </row>
    <row r="3497" spans="1:15">
      <c r="A3497" s="3563" t="s">
        <v>7719</v>
      </c>
      <c r="B3497" s="3563" t="s">
        <v>4196</v>
      </c>
      <c r="C3497" s="3563" t="s">
        <v>4197</v>
      </c>
      <c r="D3497" s="3563" t="s">
        <v>6429</v>
      </c>
      <c r="E3497" s="3563" t="s">
        <v>6127</v>
      </c>
      <c r="F3497" s="3563" t="s">
        <v>4797</v>
      </c>
      <c r="G3497" s="3564">
        <v>100.93</v>
      </c>
      <c r="H3497" s="3564">
        <v>81.62</v>
      </c>
      <c r="I3497" s="3564">
        <v>19.309999999999999</v>
      </c>
      <c r="J3497" s="3565">
        <v>1038881</v>
      </c>
      <c r="K3497" s="3565">
        <v>10293.08</v>
      </c>
      <c r="L3497" s="3565">
        <v>12728.27</v>
      </c>
      <c r="M3497" s="3565">
        <v>0</v>
      </c>
      <c r="N3497" s="3565">
        <v>0</v>
      </c>
      <c r="O3497" s="3563" t="s">
        <v>3453</v>
      </c>
    </row>
    <row r="3498" spans="1:15">
      <c r="A3498" s="3563" t="s">
        <v>7720</v>
      </c>
      <c r="B3498" s="3563" t="s">
        <v>4196</v>
      </c>
      <c r="C3498" s="3563" t="s">
        <v>4197</v>
      </c>
      <c r="D3498" s="3563" t="s">
        <v>6429</v>
      </c>
      <c r="E3498" s="3563" t="s">
        <v>6127</v>
      </c>
      <c r="F3498" s="3563" t="s">
        <v>4797</v>
      </c>
      <c r="G3498" s="3564">
        <v>100.93</v>
      </c>
      <c r="H3498" s="3564">
        <v>81.62</v>
      </c>
      <c r="I3498" s="3564">
        <v>19.309999999999999</v>
      </c>
      <c r="J3498" s="3565">
        <v>1038881</v>
      </c>
      <c r="K3498" s="3565">
        <v>10293.08</v>
      </c>
      <c r="L3498" s="3565">
        <v>12728.27</v>
      </c>
      <c r="M3498" s="3565">
        <v>0</v>
      </c>
      <c r="N3498" s="3565">
        <v>0</v>
      </c>
      <c r="O3498" s="3563" t="s">
        <v>3453</v>
      </c>
    </row>
    <row r="3499" spans="1:15">
      <c r="A3499" s="3563" t="s">
        <v>7721</v>
      </c>
      <c r="B3499" s="3563" t="s">
        <v>4196</v>
      </c>
      <c r="C3499" s="3563" t="s">
        <v>4197</v>
      </c>
      <c r="D3499" s="3563" t="s">
        <v>6429</v>
      </c>
      <c r="E3499" s="3563" t="s">
        <v>6127</v>
      </c>
      <c r="F3499" s="3563" t="s">
        <v>4797</v>
      </c>
      <c r="G3499" s="3564">
        <v>123.7</v>
      </c>
      <c r="H3499" s="3564">
        <v>100.03</v>
      </c>
      <c r="I3499" s="3564">
        <v>23.67</v>
      </c>
      <c r="J3499" s="3565">
        <v>1240356</v>
      </c>
      <c r="K3499" s="3565">
        <v>10027.129999999999</v>
      </c>
      <c r="L3499" s="3565">
        <v>12399.84</v>
      </c>
      <c r="M3499" s="3565">
        <v>0</v>
      </c>
      <c r="N3499" s="3565">
        <v>0</v>
      </c>
      <c r="O3499" s="3563" t="s">
        <v>3453</v>
      </c>
    </row>
    <row r="3500" spans="1:15">
      <c r="A3500" s="3563" t="s">
        <v>7722</v>
      </c>
      <c r="B3500" s="3563" t="s">
        <v>4196</v>
      </c>
      <c r="C3500" s="3563" t="s">
        <v>4197</v>
      </c>
      <c r="D3500" s="3563" t="s">
        <v>6429</v>
      </c>
      <c r="E3500" s="3563" t="s">
        <v>6127</v>
      </c>
      <c r="F3500" s="3563" t="s">
        <v>4797</v>
      </c>
      <c r="G3500" s="3564">
        <v>100.93</v>
      </c>
      <c r="H3500" s="3564">
        <v>81.62</v>
      </c>
      <c r="I3500" s="3564">
        <v>19.309999999999999</v>
      </c>
      <c r="J3500" s="3565">
        <v>1034587</v>
      </c>
      <c r="K3500" s="3565">
        <v>10250.540000000001</v>
      </c>
      <c r="L3500" s="3565">
        <v>12675.66</v>
      </c>
      <c r="M3500" s="3565">
        <v>0</v>
      </c>
      <c r="N3500" s="3565">
        <v>0</v>
      </c>
      <c r="O3500" s="3563" t="s">
        <v>3453</v>
      </c>
    </row>
    <row r="3501" spans="1:15">
      <c r="A3501" s="3563" t="s">
        <v>7723</v>
      </c>
      <c r="B3501" s="3563" t="s">
        <v>4196</v>
      </c>
      <c r="C3501" s="3563" t="s">
        <v>4197</v>
      </c>
      <c r="D3501" s="3563" t="s">
        <v>6429</v>
      </c>
      <c r="E3501" s="3563" t="s">
        <v>6127</v>
      </c>
      <c r="F3501" s="3563" t="s">
        <v>4797</v>
      </c>
      <c r="G3501" s="3564">
        <v>100.93</v>
      </c>
      <c r="H3501" s="3564">
        <v>81.62</v>
      </c>
      <c r="I3501" s="3564">
        <v>19.309999999999999</v>
      </c>
      <c r="J3501" s="3565">
        <v>1034587</v>
      </c>
      <c r="K3501" s="3565">
        <v>10250.540000000001</v>
      </c>
      <c r="L3501" s="3565">
        <v>12675.66</v>
      </c>
      <c r="M3501" s="3565">
        <v>0</v>
      </c>
      <c r="N3501" s="3565">
        <v>0</v>
      </c>
      <c r="O3501" s="3563" t="s">
        <v>3453</v>
      </c>
    </row>
    <row r="3502" spans="1:15">
      <c r="A3502" s="3563" t="s">
        <v>7724</v>
      </c>
      <c r="B3502" s="3563" t="s">
        <v>4196</v>
      </c>
      <c r="C3502" s="3563" t="s">
        <v>4197</v>
      </c>
      <c r="D3502" s="3563" t="s">
        <v>6429</v>
      </c>
      <c r="E3502" s="3563" t="s">
        <v>6127</v>
      </c>
      <c r="F3502" s="3563" t="s">
        <v>4797</v>
      </c>
      <c r="G3502" s="3564">
        <v>109.36</v>
      </c>
      <c r="H3502" s="3564">
        <v>88.44</v>
      </c>
      <c r="I3502" s="3564">
        <v>20.92</v>
      </c>
      <c r="J3502" s="3565">
        <v>1138449</v>
      </c>
      <c r="K3502" s="3565">
        <v>10410.1</v>
      </c>
      <c r="L3502" s="3565">
        <v>12872.56</v>
      </c>
      <c r="M3502" s="3565">
        <v>0</v>
      </c>
      <c r="N3502" s="3565">
        <v>0</v>
      </c>
      <c r="O3502" s="3563" t="s">
        <v>3453</v>
      </c>
    </row>
    <row r="3503" spans="1:15">
      <c r="A3503" s="3563" t="s">
        <v>7725</v>
      </c>
      <c r="B3503" s="3563" t="s">
        <v>4196</v>
      </c>
      <c r="C3503" s="3563" t="s">
        <v>4197</v>
      </c>
      <c r="D3503" s="3563" t="s">
        <v>6429</v>
      </c>
      <c r="E3503" s="3563" t="s">
        <v>6127</v>
      </c>
      <c r="F3503" s="3563" t="s">
        <v>4797</v>
      </c>
      <c r="G3503" s="3564">
        <v>100.93</v>
      </c>
      <c r="H3503" s="3564">
        <v>81.62</v>
      </c>
      <c r="I3503" s="3564">
        <v>19.309999999999999</v>
      </c>
      <c r="J3503" s="3565">
        <v>1039956</v>
      </c>
      <c r="K3503" s="3565">
        <v>10303.74</v>
      </c>
      <c r="L3503" s="3565">
        <v>12741.44</v>
      </c>
      <c r="M3503" s="3565">
        <v>0</v>
      </c>
      <c r="N3503" s="3565">
        <v>0</v>
      </c>
      <c r="O3503" s="3563" t="s">
        <v>3453</v>
      </c>
    </row>
    <row r="3504" spans="1:15">
      <c r="A3504" s="3563" t="s">
        <v>7726</v>
      </c>
      <c r="B3504" s="3563" t="s">
        <v>4196</v>
      </c>
      <c r="C3504" s="3563" t="s">
        <v>4197</v>
      </c>
      <c r="D3504" s="3563" t="s">
        <v>6429</v>
      </c>
      <c r="E3504" s="3563" t="s">
        <v>6127</v>
      </c>
      <c r="F3504" s="3563" t="s">
        <v>4797</v>
      </c>
      <c r="G3504" s="3564">
        <v>100.93</v>
      </c>
      <c r="H3504" s="3564">
        <v>81.62</v>
      </c>
      <c r="I3504" s="3564">
        <v>19.309999999999999</v>
      </c>
      <c r="J3504" s="3565">
        <v>1039956</v>
      </c>
      <c r="K3504" s="3565">
        <v>10303.74</v>
      </c>
      <c r="L3504" s="3565">
        <v>12741.44</v>
      </c>
      <c r="M3504" s="3565">
        <v>0</v>
      </c>
      <c r="N3504" s="3565">
        <v>0</v>
      </c>
      <c r="O3504" s="3563" t="s">
        <v>3453</v>
      </c>
    </row>
    <row r="3505" spans="1:15">
      <c r="A3505" s="3563" t="s">
        <v>7727</v>
      </c>
      <c r="B3505" s="3563" t="s">
        <v>4196</v>
      </c>
      <c r="C3505" s="3563" t="s">
        <v>4197</v>
      </c>
      <c r="D3505" s="3563" t="s">
        <v>6429</v>
      </c>
      <c r="E3505" s="3563" t="s">
        <v>6127</v>
      </c>
      <c r="F3505" s="3563" t="s">
        <v>4797</v>
      </c>
      <c r="G3505" s="3564">
        <v>123.7</v>
      </c>
      <c r="H3505" s="3564">
        <v>100.03</v>
      </c>
      <c r="I3505" s="3564">
        <v>23.67</v>
      </c>
      <c r="J3505" s="3565">
        <v>1241672</v>
      </c>
      <c r="K3505" s="3565">
        <v>10037.77</v>
      </c>
      <c r="L3505" s="3565">
        <v>12413</v>
      </c>
      <c r="M3505" s="3565">
        <v>0</v>
      </c>
      <c r="N3505" s="3565">
        <v>0</v>
      </c>
      <c r="O3505" s="3563" t="s">
        <v>3453</v>
      </c>
    </row>
    <row r="3506" spans="1:15">
      <c r="A3506" s="3563" t="s">
        <v>7728</v>
      </c>
      <c r="B3506" s="3563" t="s">
        <v>4196</v>
      </c>
      <c r="C3506" s="3563" t="s">
        <v>4197</v>
      </c>
      <c r="D3506" s="3563" t="s">
        <v>6429</v>
      </c>
      <c r="E3506" s="3563" t="s">
        <v>6127</v>
      </c>
      <c r="F3506" s="3563" t="s">
        <v>4797</v>
      </c>
      <c r="G3506" s="3564">
        <v>100.93</v>
      </c>
      <c r="H3506" s="3564">
        <v>81.62</v>
      </c>
      <c r="I3506" s="3564">
        <v>19.309999999999999</v>
      </c>
      <c r="J3506" s="3565">
        <v>1024923</v>
      </c>
      <c r="K3506" s="3565">
        <v>10154.790000000001</v>
      </c>
      <c r="L3506" s="3565">
        <v>12557.25</v>
      </c>
      <c r="M3506" s="3565">
        <v>0</v>
      </c>
      <c r="N3506" s="3565">
        <v>0</v>
      </c>
      <c r="O3506" s="3563" t="s">
        <v>3453</v>
      </c>
    </row>
    <row r="3507" spans="1:15">
      <c r="A3507" s="3563" t="s">
        <v>7729</v>
      </c>
      <c r="B3507" s="3563" t="s">
        <v>4196</v>
      </c>
      <c r="C3507" s="3563" t="s">
        <v>4197</v>
      </c>
      <c r="D3507" s="3563" t="s">
        <v>6429</v>
      </c>
      <c r="E3507" s="3563" t="s">
        <v>6127</v>
      </c>
      <c r="F3507" s="3563" t="s">
        <v>4797</v>
      </c>
      <c r="G3507" s="3564">
        <v>100.93</v>
      </c>
      <c r="H3507" s="3564">
        <v>81.62</v>
      </c>
      <c r="I3507" s="3564">
        <v>19.309999999999999</v>
      </c>
      <c r="J3507" s="3565">
        <v>1024923</v>
      </c>
      <c r="K3507" s="3565">
        <v>10154.790000000001</v>
      </c>
      <c r="L3507" s="3565">
        <v>12557.25</v>
      </c>
      <c r="M3507" s="3565">
        <v>0</v>
      </c>
      <c r="N3507" s="3565">
        <v>0</v>
      </c>
      <c r="O3507" s="3563" t="s">
        <v>3453</v>
      </c>
    </row>
    <row r="3508" spans="1:15">
      <c r="A3508" s="3563" t="s">
        <v>7730</v>
      </c>
      <c r="B3508" s="3563" t="s">
        <v>4196</v>
      </c>
      <c r="C3508" s="3563" t="s">
        <v>4197</v>
      </c>
      <c r="D3508" s="3563" t="s">
        <v>6429</v>
      </c>
      <c r="E3508" s="3563" t="s">
        <v>6127</v>
      </c>
      <c r="F3508" s="3563" t="s">
        <v>4797</v>
      </c>
      <c r="G3508" s="3564">
        <v>109.36</v>
      </c>
      <c r="H3508" s="3564">
        <v>88.44</v>
      </c>
      <c r="I3508" s="3564">
        <v>20.92</v>
      </c>
      <c r="J3508" s="3565">
        <v>1127979</v>
      </c>
      <c r="K3508" s="3565">
        <v>10314.370000000001</v>
      </c>
      <c r="L3508" s="3565">
        <v>12754.17</v>
      </c>
      <c r="M3508" s="3565">
        <v>0</v>
      </c>
      <c r="N3508" s="3565">
        <v>0</v>
      </c>
      <c r="O3508" s="3563" t="s">
        <v>3453</v>
      </c>
    </row>
    <row r="3509" spans="1:15">
      <c r="A3509" s="3563" t="s">
        <v>7731</v>
      </c>
      <c r="B3509" s="3563" t="s">
        <v>4196</v>
      </c>
      <c r="C3509" s="3563" t="s">
        <v>4197</v>
      </c>
      <c r="D3509" s="3563" t="s">
        <v>6429</v>
      </c>
      <c r="E3509" s="3563" t="s">
        <v>6127</v>
      </c>
      <c r="F3509" s="3563" t="s">
        <v>4797</v>
      </c>
      <c r="G3509" s="3564">
        <v>100.93</v>
      </c>
      <c r="H3509" s="3564">
        <v>81.62</v>
      </c>
      <c r="I3509" s="3564">
        <v>19.309999999999999</v>
      </c>
      <c r="J3509" s="3565">
        <v>1030292</v>
      </c>
      <c r="K3509" s="3565">
        <v>10207.99</v>
      </c>
      <c r="L3509" s="3565">
        <v>12623.03</v>
      </c>
      <c r="M3509" s="3565">
        <v>0</v>
      </c>
      <c r="N3509" s="3565">
        <v>0</v>
      </c>
      <c r="O3509" s="3563" t="s">
        <v>3453</v>
      </c>
    </row>
    <row r="3510" spans="1:15">
      <c r="A3510" s="3563" t="s">
        <v>7732</v>
      </c>
      <c r="B3510" s="3563" t="s">
        <v>4196</v>
      </c>
      <c r="C3510" s="3563" t="s">
        <v>4197</v>
      </c>
      <c r="D3510" s="3563" t="s">
        <v>6429</v>
      </c>
      <c r="E3510" s="3563" t="s">
        <v>6127</v>
      </c>
      <c r="F3510" s="3563" t="s">
        <v>4797</v>
      </c>
      <c r="G3510" s="3564">
        <v>100.93</v>
      </c>
      <c r="H3510" s="3564">
        <v>81.62</v>
      </c>
      <c r="I3510" s="3564">
        <v>19.309999999999999</v>
      </c>
      <c r="J3510" s="3565">
        <v>1030292</v>
      </c>
      <c r="K3510" s="3565">
        <v>10207.99</v>
      </c>
      <c r="L3510" s="3565">
        <v>12623.03</v>
      </c>
      <c r="M3510" s="3565">
        <v>0</v>
      </c>
      <c r="N3510" s="3565">
        <v>0</v>
      </c>
      <c r="O3510" s="3563" t="s">
        <v>3453</v>
      </c>
    </row>
    <row r="3511" spans="1:15">
      <c r="A3511" s="3563" t="s">
        <v>7733</v>
      </c>
      <c r="B3511" s="3563" t="s">
        <v>4196</v>
      </c>
      <c r="C3511" s="3563" t="s">
        <v>4197</v>
      </c>
      <c r="D3511" s="3563" t="s">
        <v>6429</v>
      </c>
      <c r="E3511" s="3563" t="s">
        <v>6127</v>
      </c>
      <c r="F3511" s="3563" t="s">
        <v>4797</v>
      </c>
      <c r="G3511" s="3564">
        <v>123.7</v>
      </c>
      <c r="H3511" s="3564">
        <v>100.03</v>
      </c>
      <c r="I3511" s="3564">
        <v>23.67</v>
      </c>
      <c r="J3511" s="3565">
        <v>1229828</v>
      </c>
      <c r="K3511" s="3565">
        <v>9942.02</v>
      </c>
      <c r="L3511" s="3565">
        <v>12294.59</v>
      </c>
      <c r="M3511" s="3565">
        <v>0</v>
      </c>
      <c r="N3511" s="3565">
        <v>0</v>
      </c>
      <c r="O3511" s="3563" t="s">
        <v>3453</v>
      </c>
    </row>
    <row r="3512" spans="1:15">
      <c r="A3512" s="3563" t="s">
        <v>7734</v>
      </c>
      <c r="B3512" s="3563" t="s">
        <v>4196</v>
      </c>
      <c r="C3512" s="3563" t="s">
        <v>4197</v>
      </c>
      <c r="D3512" s="3563" t="s">
        <v>6429</v>
      </c>
      <c r="E3512" s="3563" t="s">
        <v>6127</v>
      </c>
      <c r="F3512" s="3563" t="s">
        <v>4797</v>
      </c>
      <c r="G3512" s="3564">
        <v>100.93</v>
      </c>
      <c r="H3512" s="3564">
        <v>81.62</v>
      </c>
      <c r="I3512" s="3564">
        <v>19.309999999999999</v>
      </c>
      <c r="J3512" s="3565">
        <v>1036735</v>
      </c>
      <c r="K3512" s="3565">
        <v>10271.82</v>
      </c>
      <c r="L3512" s="3565">
        <v>12701.97</v>
      </c>
      <c r="M3512" s="3565">
        <v>0</v>
      </c>
      <c r="N3512" s="3565">
        <v>0</v>
      </c>
      <c r="O3512" s="3563" t="s">
        <v>3453</v>
      </c>
    </row>
    <row r="3513" spans="1:15">
      <c r="A3513" s="3563" t="s">
        <v>7735</v>
      </c>
      <c r="B3513" s="3563" t="s">
        <v>4196</v>
      </c>
      <c r="C3513" s="3563" t="s">
        <v>4197</v>
      </c>
      <c r="D3513" s="3563" t="s">
        <v>6429</v>
      </c>
      <c r="E3513" s="3563" t="s">
        <v>6127</v>
      </c>
      <c r="F3513" s="3563" t="s">
        <v>4797</v>
      </c>
      <c r="G3513" s="3564">
        <v>100.93</v>
      </c>
      <c r="H3513" s="3564">
        <v>81.62</v>
      </c>
      <c r="I3513" s="3564">
        <v>19.309999999999999</v>
      </c>
      <c r="J3513" s="3565">
        <v>1036735</v>
      </c>
      <c r="K3513" s="3565">
        <v>10271.82</v>
      </c>
      <c r="L3513" s="3565">
        <v>12701.97</v>
      </c>
      <c r="M3513" s="3565">
        <v>0</v>
      </c>
      <c r="N3513" s="3565">
        <v>0</v>
      </c>
      <c r="O3513" s="3563" t="s">
        <v>3453</v>
      </c>
    </row>
    <row r="3514" spans="1:15">
      <c r="A3514" s="3563" t="s">
        <v>7736</v>
      </c>
      <c r="B3514" s="3563" t="s">
        <v>4196</v>
      </c>
      <c r="C3514" s="3563" t="s">
        <v>4197</v>
      </c>
      <c r="D3514" s="3563" t="s">
        <v>6429</v>
      </c>
      <c r="E3514" s="3563" t="s">
        <v>6127</v>
      </c>
      <c r="F3514" s="3563" t="s">
        <v>4797</v>
      </c>
      <c r="G3514" s="3564">
        <v>109.36</v>
      </c>
      <c r="H3514" s="3564">
        <v>88.44</v>
      </c>
      <c r="I3514" s="3564">
        <v>20.92</v>
      </c>
      <c r="J3514" s="3565">
        <v>1140776</v>
      </c>
      <c r="K3514" s="3565">
        <v>10431.379999999999</v>
      </c>
      <c r="L3514" s="3565">
        <v>12898.87</v>
      </c>
      <c r="M3514" s="3565">
        <v>0</v>
      </c>
      <c r="N3514" s="3565">
        <v>0</v>
      </c>
      <c r="O3514" s="3563" t="s">
        <v>3453</v>
      </c>
    </row>
    <row r="3515" spans="1:15">
      <c r="A3515" s="3563" t="s">
        <v>7737</v>
      </c>
      <c r="B3515" s="3563" t="s">
        <v>4196</v>
      </c>
      <c r="C3515" s="3563" t="s">
        <v>4197</v>
      </c>
      <c r="D3515" s="3563" t="s">
        <v>6429</v>
      </c>
      <c r="E3515" s="3563" t="s">
        <v>6127</v>
      </c>
      <c r="F3515" s="3563" t="s">
        <v>4797</v>
      </c>
      <c r="G3515" s="3564">
        <v>100.93</v>
      </c>
      <c r="H3515" s="3564">
        <v>81.62</v>
      </c>
      <c r="I3515" s="3564">
        <v>19.309999999999999</v>
      </c>
      <c r="J3515" s="3565">
        <v>1042103</v>
      </c>
      <c r="K3515" s="3565">
        <v>10325.01</v>
      </c>
      <c r="L3515" s="3565">
        <v>12767.74</v>
      </c>
      <c r="M3515" s="3565">
        <v>0</v>
      </c>
      <c r="N3515" s="3565">
        <v>0</v>
      </c>
      <c r="O3515" s="3563" t="s">
        <v>3453</v>
      </c>
    </row>
    <row r="3516" spans="1:15">
      <c r="A3516" s="3563" t="s">
        <v>7738</v>
      </c>
      <c r="B3516" s="3563" t="s">
        <v>4196</v>
      </c>
      <c r="C3516" s="3563" t="s">
        <v>4197</v>
      </c>
      <c r="D3516" s="3563" t="s">
        <v>6429</v>
      </c>
      <c r="E3516" s="3563" t="s">
        <v>6127</v>
      </c>
      <c r="F3516" s="3563" t="s">
        <v>4797</v>
      </c>
      <c r="G3516" s="3564">
        <v>100.93</v>
      </c>
      <c r="H3516" s="3564">
        <v>81.62</v>
      </c>
      <c r="I3516" s="3564">
        <v>19.309999999999999</v>
      </c>
      <c r="J3516" s="3565">
        <v>1042103</v>
      </c>
      <c r="K3516" s="3565">
        <v>10325.01</v>
      </c>
      <c r="L3516" s="3565">
        <v>12767.74</v>
      </c>
      <c r="M3516" s="3565">
        <v>0</v>
      </c>
      <c r="N3516" s="3565">
        <v>0</v>
      </c>
      <c r="O3516" s="3563" t="s">
        <v>3453</v>
      </c>
    </row>
    <row r="3517" spans="1:15">
      <c r="A3517" s="3563" t="s">
        <v>7739</v>
      </c>
      <c r="B3517" s="3563" t="s">
        <v>4196</v>
      </c>
      <c r="C3517" s="3563" t="s">
        <v>4197</v>
      </c>
      <c r="D3517" s="3563" t="s">
        <v>6429</v>
      </c>
      <c r="E3517" s="3563" t="s">
        <v>6127</v>
      </c>
      <c r="F3517" s="3563" t="s">
        <v>4797</v>
      </c>
      <c r="G3517" s="3564">
        <v>123.7</v>
      </c>
      <c r="H3517" s="3564">
        <v>100.03</v>
      </c>
      <c r="I3517" s="3564">
        <v>23.67</v>
      </c>
      <c r="J3517" s="3565">
        <v>1244304</v>
      </c>
      <c r="K3517" s="3565">
        <v>10059.049999999999</v>
      </c>
      <c r="L3517" s="3565">
        <v>12439.31</v>
      </c>
      <c r="M3517" s="3565">
        <v>0</v>
      </c>
      <c r="N3517" s="3565">
        <v>0</v>
      </c>
      <c r="O3517" s="3563" t="s">
        <v>3453</v>
      </c>
    </row>
    <row r="3518" spans="1:15">
      <c r="A3518" s="3563" t="s">
        <v>7740</v>
      </c>
      <c r="B3518" s="3563" t="s">
        <v>4196</v>
      </c>
      <c r="C3518" s="3563" t="s">
        <v>4197</v>
      </c>
      <c r="D3518" s="3563" t="s">
        <v>6429</v>
      </c>
      <c r="E3518" s="3563" t="s">
        <v>6127</v>
      </c>
      <c r="F3518" s="3563" t="s">
        <v>4797</v>
      </c>
      <c r="G3518" s="3564">
        <v>100.93</v>
      </c>
      <c r="H3518" s="3564">
        <v>81.62</v>
      </c>
      <c r="I3518" s="3564">
        <v>19.309999999999999</v>
      </c>
      <c r="J3518" s="3565">
        <v>1035660</v>
      </c>
      <c r="K3518" s="3565">
        <v>10261.17</v>
      </c>
      <c r="L3518" s="3565">
        <v>12688.8</v>
      </c>
      <c r="M3518" s="3565">
        <v>0</v>
      </c>
      <c r="N3518" s="3565">
        <v>0</v>
      </c>
      <c r="O3518" s="3563" t="s">
        <v>3453</v>
      </c>
    </row>
    <row r="3519" spans="1:15">
      <c r="A3519" s="3563" t="s">
        <v>7741</v>
      </c>
      <c r="B3519" s="3563" t="s">
        <v>4196</v>
      </c>
      <c r="C3519" s="3563" t="s">
        <v>4197</v>
      </c>
      <c r="D3519" s="3563" t="s">
        <v>6429</v>
      </c>
      <c r="E3519" s="3563" t="s">
        <v>6127</v>
      </c>
      <c r="F3519" s="3563" t="s">
        <v>4797</v>
      </c>
      <c r="G3519" s="3564">
        <v>100.93</v>
      </c>
      <c r="H3519" s="3564">
        <v>81.62</v>
      </c>
      <c r="I3519" s="3564">
        <v>19.309999999999999</v>
      </c>
      <c r="J3519" s="3565">
        <v>1035660</v>
      </c>
      <c r="K3519" s="3565">
        <v>10261.17</v>
      </c>
      <c r="L3519" s="3565">
        <v>12688.8</v>
      </c>
      <c r="M3519" s="3565">
        <v>0</v>
      </c>
      <c r="N3519" s="3565">
        <v>0</v>
      </c>
      <c r="O3519" s="3563" t="s">
        <v>3453</v>
      </c>
    </row>
    <row r="3520" spans="1:15">
      <c r="A3520" s="3563" t="s">
        <v>7742</v>
      </c>
      <c r="B3520" s="3563" t="s">
        <v>4196</v>
      </c>
      <c r="C3520" s="3563" t="s">
        <v>4197</v>
      </c>
      <c r="D3520" s="3563" t="s">
        <v>6429</v>
      </c>
      <c r="E3520" s="3563" t="s">
        <v>6127</v>
      </c>
      <c r="F3520" s="3563" t="s">
        <v>4797</v>
      </c>
      <c r="G3520" s="3564">
        <v>109.36</v>
      </c>
      <c r="H3520" s="3564">
        <v>88.44</v>
      </c>
      <c r="I3520" s="3564">
        <v>20.92</v>
      </c>
      <c r="J3520" s="3565">
        <v>1139613</v>
      </c>
      <c r="K3520" s="3565">
        <v>10420.75</v>
      </c>
      <c r="L3520" s="3565">
        <v>12885.72</v>
      </c>
      <c r="M3520" s="3565">
        <v>0</v>
      </c>
      <c r="N3520" s="3565">
        <v>0</v>
      </c>
      <c r="O3520" s="3563" t="s">
        <v>3453</v>
      </c>
    </row>
    <row r="3521" spans="1:15">
      <c r="A3521" s="3563" t="s">
        <v>7743</v>
      </c>
      <c r="B3521" s="3563" t="s">
        <v>4196</v>
      </c>
      <c r="C3521" s="3563" t="s">
        <v>4197</v>
      </c>
      <c r="D3521" s="3563" t="s">
        <v>6429</v>
      </c>
      <c r="E3521" s="3563" t="s">
        <v>6127</v>
      </c>
      <c r="F3521" s="3563" t="s">
        <v>4797</v>
      </c>
      <c r="G3521" s="3564">
        <v>100.93</v>
      </c>
      <c r="H3521" s="3564">
        <v>81.62</v>
      </c>
      <c r="I3521" s="3564">
        <v>19.309999999999999</v>
      </c>
      <c r="J3521" s="3565">
        <v>1041029</v>
      </c>
      <c r="K3521" s="3565">
        <v>10314.370000000001</v>
      </c>
      <c r="L3521" s="3565">
        <v>12754.58</v>
      </c>
      <c r="M3521" s="3565">
        <v>0</v>
      </c>
      <c r="N3521" s="3565">
        <v>0</v>
      </c>
      <c r="O3521" s="3563" t="s">
        <v>3453</v>
      </c>
    </row>
    <row r="3522" spans="1:15">
      <c r="A3522" s="3563" t="s">
        <v>7744</v>
      </c>
      <c r="B3522" s="3563" t="s">
        <v>4196</v>
      </c>
      <c r="C3522" s="3563" t="s">
        <v>4197</v>
      </c>
      <c r="D3522" s="3563" t="s">
        <v>6429</v>
      </c>
      <c r="E3522" s="3563" t="s">
        <v>6127</v>
      </c>
      <c r="F3522" s="3563" t="s">
        <v>4797</v>
      </c>
      <c r="G3522" s="3564">
        <v>100.93</v>
      </c>
      <c r="H3522" s="3564">
        <v>81.62</v>
      </c>
      <c r="I3522" s="3564">
        <v>19.309999999999999</v>
      </c>
      <c r="J3522" s="3565">
        <v>1041029</v>
      </c>
      <c r="K3522" s="3565">
        <v>10314.370000000001</v>
      </c>
      <c r="L3522" s="3565">
        <v>12754.58</v>
      </c>
      <c r="M3522" s="3565">
        <v>0</v>
      </c>
      <c r="N3522" s="3565">
        <v>0</v>
      </c>
      <c r="O3522" s="3563" t="s">
        <v>3453</v>
      </c>
    </row>
    <row r="3523" spans="1:15">
      <c r="A3523" s="3563" t="s">
        <v>7745</v>
      </c>
      <c r="B3523" s="3563" t="s">
        <v>4196</v>
      </c>
      <c r="C3523" s="3563" t="s">
        <v>4197</v>
      </c>
      <c r="D3523" s="3563" t="s">
        <v>6429</v>
      </c>
      <c r="E3523" s="3563" t="s">
        <v>6127</v>
      </c>
      <c r="F3523" s="3563" t="s">
        <v>4797</v>
      </c>
      <c r="G3523" s="3564">
        <v>123.7</v>
      </c>
      <c r="H3523" s="3564">
        <v>100.03</v>
      </c>
      <c r="I3523" s="3564">
        <v>23.67</v>
      </c>
      <c r="J3523" s="3565">
        <v>1242988</v>
      </c>
      <c r="K3523" s="3565">
        <v>10048.41</v>
      </c>
      <c r="L3523" s="3565">
        <v>12426.15</v>
      </c>
      <c r="M3523" s="3565">
        <v>0</v>
      </c>
      <c r="N3523" s="3565">
        <v>0</v>
      </c>
      <c r="O3523" s="3563" t="s">
        <v>3453</v>
      </c>
    </row>
    <row r="3524" spans="1:15">
      <c r="A3524" s="3563" t="s">
        <v>7746</v>
      </c>
      <c r="B3524" s="3563" t="s">
        <v>4196</v>
      </c>
      <c r="C3524" s="3563" t="s">
        <v>4197</v>
      </c>
      <c r="D3524" s="3563" t="s">
        <v>6429</v>
      </c>
      <c r="E3524" s="3563" t="s">
        <v>6127</v>
      </c>
      <c r="F3524" s="3563" t="s">
        <v>4797</v>
      </c>
      <c r="G3524" s="3564">
        <v>100.93</v>
      </c>
      <c r="H3524" s="3564">
        <v>81.62</v>
      </c>
      <c r="I3524" s="3564">
        <v>19.309999999999999</v>
      </c>
      <c r="J3524" s="3565">
        <v>1034587</v>
      </c>
      <c r="K3524" s="3565">
        <v>10250.540000000001</v>
      </c>
      <c r="L3524" s="3565">
        <v>12675.66</v>
      </c>
      <c r="M3524" s="3565">
        <v>0</v>
      </c>
      <c r="N3524" s="3565">
        <v>0</v>
      </c>
      <c r="O3524" s="3563" t="s">
        <v>3453</v>
      </c>
    </row>
    <row r="3525" spans="1:15">
      <c r="A3525" s="3563" t="s">
        <v>7747</v>
      </c>
      <c r="B3525" s="3563" t="s">
        <v>4196</v>
      </c>
      <c r="C3525" s="3563" t="s">
        <v>4197</v>
      </c>
      <c r="D3525" s="3563" t="s">
        <v>6429</v>
      </c>
      <c r="E3525" s="3563" t="s">
        <v>6127</v>
      </c>
      <c r="F3525" s="3563" t="s">
        <v>4797</v>
      </c>
      <c r="G3525" s="3564">
        <v>100.93</v>
      </c>
      <c r="H3525" s="3564">
        <v>81.62</v>
      </c>
      <c r="I3525" s="3564">
        <v>19.309999999999999</v>
      </c>
      <c r="J3525" s="3565">
        <v>1034587</v>
      </c>
      <c r="K3525" s="3565">
        <v>10250.540000000001</v>
      </c>
      <c r="L3525" s="3565">
        <v>12675.66</v>
      </c>
      <c r="M3525" s="3565">
        <v>0</v>
      </c>
      <c r="N3525" s="3565">
        <v>0</v>
      </c>
      <c r="O3525" s="3563" t="s">
        <v>3453</v>
      </c>
    </row>
    <row r="3526" spans="1:15">
      <c r="A3526" s="3563" t="s">
        <v>7748</v>
      </c>
      <c r="B3526" s="3563" t="s">
        <v>4196</v>
      </c>
      <c r="C3526" s="3563" t="s">
        <v>4197</v>
      </c>
      <c r="D3526" s="3563" t="s">
        <v>6429</v>
      </c>
      <c r="E3526" s="3563" t="s">
        <v>6127</v>
      </c>
      <c r="F3526" s="3563" t="s">
        <v>4797</v>
      </c>
      <c r="G3526" s="3564">
        <v>109.36</v>
      </c>
      <c r="H3526" s="3564">
        <v>88.44</v>
      </c>
      <c r="I3526" s="3564">
        <v>20.92</v>
      </c>
      <c r="J3526" s="3565">
        <v>1138449</v>
      </c>
      <c r="K3526" s="3565">
        <v>10410.1</v>
      </c>
      <c r="L3526" s="3565">
        <v>12872.56</v>
      </c>
      <c r="M3526" s="3565">
        <v>0</v>
      </c>
      <c r="N3526" s="3565">
        <v>0</v>
      </c>
      <c r="O3526" s="3563" t="s">
        <v>3453</v>
      </c>
    </row>
    <row r="3527" spans="1:15">
      <c r="A3527" s="3563" t="s">
        <v>7749</v>
      </c>
      <c r="B3527" s="3563" t="s">
        <v>4196</v>
      </c>
      <c r="C3527" s="3563" t="s">
        <v>4197</v>
      </c>
      <c r="D3527" s="3563" t="s">
        <v>6429</v>
      </c>
      <c r="E3527" s="3563" t="s">
        <v>6127</v>
      </c>
      <c r="F3527" s="3563" t="s">
        <v>4797</v>
      </c>
      <c r="G3527" s="3564">
        <v>100.93</v>
      </c>
      <c r="H3527" s="3564">
        <v>81.62</v>
      </c>
      <c r="I3527" s="3564">
        <v>19.309999999999999</v>
      </c>
      <c r="J3527" s="3565">
        <v>1039956</v>
      </c>
      <c r="K3527" s="3565">
        <v>10303.74</v>
      </c>
      <c r="L3527" s="3565">
        <v>12741.44</v>
      </c>
      <c r="M3527" s="3565">
        <v>0</v>
      </c>
      <c r="N3527" s="3565">
        <v>0</v>
      </c>
      <c r="O3527" s="3563" t="s">
        <v>3453</v>
      </c>
    </row>
    <row r="3528" spans="1:15">
      <c r="A3528" s="3563" t="s">
        <v>7750</v>
      </c>
      <c r="B3528" s="3563" t="s">
        <v>4196</v>
      </c>
      <c r="C3528" s="3563" t="s">
        <v>4197</v>
      </c>
      <c r="D3528" s="3563" t="s">
        <v>6429</v>
      </c>
      <c r="E3528" s="3563" t="s">
        <v>6127</v>
      </c>
      <c r="F3528" s="3563" t="s">
        <v>4797</v>
      </c>
      <c r="G3528" s="3564">
        <v>100.93</v>
      </c>
      <c r="H3528" s="3564">
        <v>81.62</v>
      </c>
      <c r="I3528" s="3564">
        <v>19.309999999999999</v>
      </c>
      <c r="J3528" s="3565">
        <v>1039956</v>
      </c>
      <c r="K3528" s="3565">
        <v>10303.74</v>
      </c>
      <c r="L3528" s="3565">
        <v>12741.44</v>
      </c>
      <c r="M3528" s="3565">
        <v>0</v>
      </c>
      <c r="N3528" s="3565">
        <v>0</v>
      </c>
      <c r="O3528" s="3563" t="s">
        <v>3453</v>
      </c>
    </row>
    <row r="3529" spans="1:15">
      <c r="A3529" s="3563" t="s">
        <v>7751</v>
      </c>
      <c r="B3529" s="3563" t="s">
        <v>4196</v>
      </c>
      <c r="C3529" s="3563" t="s">
        <v>4197</v>
      </c>
      <c r="D3529" s="3563" t="s">
        <v>6429</v>
      </c>
      <c r="E3529" s="3563" t="s">
        <v>6127</v>
      </c>
      <c r="F3529" s="3563" t="s">
        <v>4797</v>
      </c>
      <c r="G3529" s="3564">
        <v>123.7</v>
      </c>
      <c r="H3529" s="3564">
        <v>100.03</v>
      </c>
      <c r="I3529" s="3564">
        <v>23.67</v>
      </c>
      <c r="J3529" s="3565">
        <v>1241672</v>
      </c>
      <c r="K3529" s="3565">
        <v>10037.77</v>
      </c>
      <c r="L3529" s="3565">
        <v>12413</v>
      </c>
      <c r="M3529" s="3565">
        <v>0</v>
      </c>
      <c r="N3529" s="3565">
        <v>0</v>
      </c>
      <c r="O3529" s="3563" t="s">
        <v>3453</v>
      </c>
    </row>
    <row r="3530" spans="1:15">
      <c r="A3530" s="3563" t="s">
        <v>7752</v>
      </c>
      <c r="B3530" s="3563" t="s">
        <v>4196</v>
      </c>
      <c r="C3530" s="3563" t="s">
        <v>4197</v>
      </c>
      <c r="D3530" s="3563" t="s">
        <v>6429</v>
      </c>
      <c r="E3530" s="3563" t="s">
        <v>6127</v>
      </c>
      <c r="F3530" s="3563" t="s">
        <v>4797</v>
      </c>
      <c r="G3530" s="3564">
        <v>100.93</v>
      </c>
      <c r="H3530" s="3564">
        <v>81.62</v>
      </c>
      <c r="I3530" s="3564">
        <v>19.309999999999999</v>
      </c>
      <c r="J3530" s="3565">
        <v>1022776</v>
      </c>
      <c r="K3530" s="3565">
        <v>10133.52</v>
      </c>
      <c r="L3530" s="3565">
        <v>12530.95</v>
      </c>
      <c r="M3530" s="3565">
        <v>0</v>
      </c>
      <c r="N3530" s="3565">
        <v>0</v>
      </c>
      <c r="O3530" s="3563" t="s">
        <v>3453</v>
      </c>
    </row>
    <row r="3531" spans="1:15">
      <c r="A3531" s="3563" t="s">
        <v>7753</v>
      </c>
      <c r="B3531" s="3563" t="s">
        <v>4196</v>
      </c>
      <c r="C3531" s="3563" t="s">
        <v>4197</v>
      </c>
      <c r="D3531" s="3563" t="s">
        <v>6429</v>
      </c>
      <c r="E3531" s="3563" t="s">
        <v>6127</v>
      </c>
      <c r="F3531" s="3563" t="s">
        <v>4797</v>
      </c>
      <c r="G3531" s="3564">
        <v>100.93</v>
      </c>
      <c r="H3531" s="3564">
        <v>81.62</v>
      </c>
      <c r="I3531" s="3564">
        <v>19.309999999999999</v>
      </c>
      <c r="J3531" s="3565">
        <v>1022776</v>
      </c>
      <c r="K3531" s="3565">
        <v>10133.52</v>
      </c>
      <c r="L3531" s="3565">
        <v>12530.95</v>
      </c>
      <c r="M3531" s="3565">
        <v>0</v>
      </c>
      <c r="N3531" s="3565">
        <v>0</v>
      </c>
      <c r="O3531" s="3563" t="s">
        <v>3453</v>
      </c>
    </row>
    <row r="3532" spans="1:15">
      <c r="A3532" s="3563" t="s">
        <v>7754</v>
      </c>
      <c r="B3532" s="3563" t="s">
        <v>4196</v>
      </c>
      <c r="C3532" s="3563" t="s">
        <v>4197</v>
      </c>
      <c r="D3532" s="3563" t="s">
        <v>6429</v>
      </c>
      <c r="E3532" s="3563" t="s">
        <v>6127</v>
      </c>
      <c r="F3532" s="3563" t="s">
        <v>4797</v>
      </c>
      <c r="G3532" s="3564">
        <v>109.36</v>
      </c>
      <c r="H3532" s="3564">
        <v>88.44</v>
      </c>
      <c r="I3532" s="3564">
        <v>20.92</v>
      </c>
      <c r="J3532" s="3565">
        <v>1125653</v>
      </c>
      <c r="K3532" s="3565">
        <v>10293.1</v>
      </c>
      <c r="L3532" s="3565">
        <v>12727.87</v>
      </c>
      <c r="M3532" s="3565">
        <v>0</v>
      </c>
      <c r="N3532" s="3565">
        <v>0</v>
      </c>
      <c r="O3532" s="3563" t="s">
        <v>3453</v>
      </c>
    </row>
    <row r="3533" spans="1:15">
      <c r="A3533" s="3563" t="s">
        <v>7755</v>
      </c>
      <c r="B3533" s="3563" t="s">
        <v>4196</v>
      </c>
      <c r="C3533" s="3563" t="s">
        <v>4197</v>
      </c>
      <c r="D3533" s="3563" t="s">
        <v>6429</v>
      </c>
      <c r="E3533" s="3563" t="s">
        <v>6127</v>
      </c>
      <c r="F3533" s="3563" t="s">
        <v>4797</v>
      </c>
      <c r="G3533" s="3564">
        <v>100.93</v>
      </c>
      <c r="H3533" s="3564">
        <v>81.62</v>
      </c>
      <c r="I3533" s="3564">
        <v>19.309999999999999</v>
      </c>
      <c r="J3533" s="3565">
        <v>1028144</v>
      </c>
      <c r="K3533" s="3565">
        <v>10186.700000000001</v>
      </c>
      <c r="L3533" s="3565">
        <v>12596.72</v>
      </c>
      <c r="M3533" s="3565">
        <v>0</v>
      </c>
      <c r="N3533" s="3565">
        <v>0</v>
      </c>
      <c r="O3533" s="3563" t="s">
        <v>3453</v>
      </c>
    </row>
    <row r="3534" spans="1:15">
      <c r="A3534" s="3563" t="s">
        <v>7756</v>
      </c>
      <c r="B3534" s="3563" t="s">
        <v>4196</v>
      </c>
      <c r="C3534" s="3563" t="s">
        <v>4197</v>
      </c>
      <c r="D3534" s="3563" t="s">
        <v>6429</v>
      </c>
      <c r="E3534" s="3563" t="s">
        <v>6127</v>
      </c>
      <c r="F3534" s="3563" t="s">
        <v>4797</v>
      </c>
      <c r="G3534" s="3564">
        <v>100.93</v>
      </c>
      <c r="H3534" s="3564">
        <v>81.62</v>
      </c>
      <c r="I3534" s="3564">
        <v>19.309999999999999</v>
      </c>
      <c r="J3534" s="3565">
        <v>1028144</v>
      </c>
      <c r="K3534" s="3565">
        <v>10186.700000000001</v>
      </c>
      <c r="L3534" s="3565">
        <v>12596.72</v>
      </c>
      <c r="M3534" s="3565">
        <v>0</v>
      </c>
      <c r="N3534" s="3565">
        <v>0</v>
      </c>
      <c r="O3534" s="3563" t="s">
        <v>3453</v>
      </c>
    </row>
    <row r="3535" spans="1:15">
      <c r="A3535" s="3563" t="s">
        <v>7757</v>
      </c>
      <c r="B3535" s="3563" t="s">
        <v>4196</v>
      </c>
      <c r="C3535" s="3563" t="s">
        <v>4197</v>
      </c>
      <c r="D3535" s="3563" t="s">
        <v>6429</v>
      </c>
      <c r="E3535" s="3563" t="s">
        <v>6127</v>
      </c>
      <c r="F3535" s="3563" t="s">
        <v>4797</v>
      </c>
      <c r="G3535" s="3564">
        <v>123.7</v>
      </c>
      <c r="H3535" s="3564">
        <v>100.03</v>
      </c>
      <c r="I3535" s="3564">
        <v>23.67</v>
      </c>
      <c r="J3535" s="3565">
        <v>1227196</v>
      </c>
      <c r="K3535" s="3565">
        <v>9920.74</v>
      </c>
      <c r="L3535" s="3565">
        <v>12268.28</v>
      </c>
      <c r="M3535" s="3565">
        <v>0</v>
      </c>
      <c r="N3535" s="3565">
        <v>0</v>
      </c>
      <c r="O3535" s="3563" t="s">
        <v>3453</v>
      </c>
    </row>
    <row r="3536" spans="1:15">
      <c r="A3536" s="3563" t="s">
        <v>7758</v>
      </c>
      <c r="B3536" s="3563" t="s">
        <v>4196</v>
      </c>
      <c r="C3536" s="3563" t="s">
        <v>4197</v>
      </c>
      <c r="D3536" s="3563" t="s">
        <v>6429</v>
      </c>
      <c r="E3536" s="3563" t="s">
        <v>6127</v>
      </c>
      <c r="F3536" s="3563" t="s">
        <v>4797</v>
      </c>
      <c r="G3536" s="3564">
        <v>100.93</v>
      </c>
      <c r="H3536" s="3564">
        <v>81.62</v>
      </c>
      <c r="I3536" s="3564">
        <v>19.309999999999999</v>
      </c>
      <c r="J3536" s="3565">
        <v>1032439</v>
      </c>
      <c r="K3536" s="3565">
        <v>10229.26</v>
      </c>
      <c r="L3536" s="3565">
        <v>12649.34</v>
      </c>
      <c r="M3536" s="3565">
        <v>0</v>
      </c>
      <c r="N3536" s="3565">
        <v>0</v>
      </c>
      <c r="O3536" s="3563" t="s">
        <v>3453</v>
      </c>
    </row>
    <row r="3537" spans="1:15">
      <c r="A3537" s="3563" t="s">
        <v>7759</v>
      </c>
      <c r="B3537" s="3563" t="s">
        <v>4196</v>
      </c>
      <c r="C3537" s="3563" t="s">
        <v>4197</v>
      </c>
      <c r="D3537" s="3563" t="s">
        <v>6429</v>
      </c>
      <c r="E3537" s="3563" t="s">
        <v>6127</v>
      </c>
      <c r="F3537" s="3563" t="s">
        <v>4797</v>
      </c>
      <c r="G3537" s="3564">
        <v>100.93</v>
      </c>
      <c r="H3537" s="3564">
        <v>81.62</v>
      </c>
      <c r="I3537" s="3564">
        <v>19.309999999999999</v>
      </c>
      <c r="J3537" s="3565">
        <v>1032439</v>
      </c>
      <c r="K3537" s="3565">
        <v>10229.26</v>
      </c>
      <c r="L3537" s="3565">
        <v>12649.34</v>
      </c>
      <c r="M3537" s="3565">
        <v>0</v>
      </c>
      <c r="N3537" s="3565">
        <v>0</v>
      </c>
      <c r="O3537" s="3563" t="s">
        <v>3453</v>
      </c>
    </row>
    <row r="3538" spans="1:15">
      <c r="A3538" s="3563" t="s">
        <v>7760</v>
      </c>
      <c r="B3538" s="3563" t="s">
        <v>4196</v>
      </c>
      <c r="C3538" s="3563" t="s">
        <v>4197</v>
      </c>
      <c r="D3538" s="3563" t="s">
        <v>6429</v>
      </c>
      <c r="E3538" s="3563" t="s">
        <v>6127</v>
      </c>
      <c r="F3538" s="3563" t="s">
        <v>4797</v>
      </c>
      <c r="G3538" s="3564">
        <v>109.36</v>
      </c>
      <c r="H3538" s="3564">
        <v>88.44</v>
      </c>
      <c r="I3538" s="3564">
        <v>20.92</v>
      </c>
      <c r="J3538" s="3565">
        <v>1136123</v>
      </c>
      <c r="K3538" s="3565">
        <v>10388.84</v>
      </c>
      <c r="L3538" s="3565">
        <v>12846.26</v>
      </c>
      <c r="M3538" s="3565">
        <v>0</v>
      </c>
      <c r="N3538" s="3565">
        <v>0</v>
      </c>
      <c r="O3538" s="3563" t="s">
        <v>3453</v>
      </c>
    </row>
    <row r="3539" spans="1:15">
      <c r="A3539" s="3563" t="s">
        <v>7761</v>
      </c>
      <c r="B3539" s="3563" t="s">
        <v>4196</v>
      </c>
      <c r="C3539" s="3563" t="s">
        <v>4197</v>
      </c>
      <c r="D3539" s="3563" t="s">
        <v>6429</v>
      </c>
      <c r="E3539" s="3563" t="s">
        <v>6127</v>
      </c>
      <c r="F3539" s="3563" t="s">
        <v>4797</v>
      </c>
      <c r="G3539" s="3564">
        <v>100.93</v>
      </c>
      <c r="H3539" s="3564">
        <v>81.62</v>
      </c>
      <c r="I3539" s="3564">
        <v>19.309999999999999</v>
      </c>
      <c r="J3539" s="3565">
        <v>1037808</v>
      </c>
      <c r="K3539" s="3565">
        <v>10282.450000000001</v>
      </c>
      <c r="L3539" s="3565">
        <v>12715.12</v>
      </c>
      <c r="M3539" s="3565">
        <v>0</v>
      </c>
      <c r="N3539" s="3565">
        <v>0</v>
      </c>
      <c r="O3539" s="3563" t="s">
        <v>3453</v>
      </c>
    </row>
    <row r="3540" spans="1:15">
      <c r="A3540" s="3563" t="s">
        <v>7762</v>
      </c>
      <c r="B3540" s="3563" t="s">
        <v>4196</v>
      </c>
      <c r="C3540" s="3563" t="s">
        <v>4197</v>
      </c>
      <c r="D3540" s="3563" t="s">
        <v>6429</v>
      </c>
      <c r="E3540" s="3563" t="s">
        <v>6127</v>
      </c>
      <c r="F3540" s="3563" t="s">
        <v>4797</v>
      </c>
      <c r="G3540" s="3564">
        <v>100.93</v>
      </c>
      <c r="H3540" s="3564">
        <v>81.62</v>
      </c>
      <c r="I3540" s="3564">
        <v>19.309999999999999</v>
      </c>
      <c r="J3540" s="3565">
        <v>1037808</v>
      </c>
      <c r="K3540" s="3565">
        <v>10282.450000000001</v>
      </c>
      <c r="L3540" s="3565">
        <v>12715.12</v>
      </c>
      <c r="M3540" s="3565">
        <v>0</v>
      </c>
      <c r="N3540" s="3565">
        <v>0</v>
      </c>
      <c r="O3540" s="3563" t="s">
        <v>3453</v>
      </c>
    </row>
    <row r="3541" spans="1:15">
      <c r="A3541" s="3563" t="s">
        <v>7763</v>
      </c>
      <c r="B3541" s="3563" t="s">
        <v>4196</v>
      </c>
      <c r="C3541" s="3563" t="s">
        <v>4197</v>
      </c>
      <c r="D3541" s="3563" t="s">
        <v>6429</v>
      </c>
      <c r="E3541" s="3563" t="s">
        <v>6127</v>
      </c>
      <c r="F3541" s="3563" t="s">
        <v>4797</v>
      </c>
      <c r="G3541" s="3564">
        <v>123.7</v>
      </c>
      <c r="H3541" s="3564">
        <v>100.03</v>
      </c>
      <c r="I3541" s="3564">
        <v>23.67</v>
      </c>
      <c r="J3541" s="3565">
        <v>1239040</v>
      </c>
      <c r="K3541" s="3565">
        <v>10016.49</v>
      </c>
      <c r="L3541" s="3565">
        <v>12386.68</v>
      </c>
      <c r="M3541" s="3565">
        <v>0</v>
      </c>
      <c r="N3541" s="3565">
        <v>0</v>
      </c>
      <c r="O3541" s="3563" t="s">
        <v>3453</v>
      </c>
    </row>
    <row r="3542" spans="1:15">
      <c r="A3542" s="3563" t="s">
        <v>7764</v>
      </c>
      <c r="B3542" s="3563" t="s">
        <v>4196</v>
      </c>
      <c r="C3542" s="3563" t="s">
        <v>4197</v>
      </c>
      <c r="D3542" s="3563" t="s">
        <v>6429</v>
      </c>
      <c r="E3542" s="3563" t="s">
        <v>6127</v>
      </c>
      <c r="F3542" s="3563" t="s">
        <v>4797</v>
      </c>
      <c r="G3542" s="3564">
        <v>102.49</v>
      </c>
      <c r="H3542" s="3564">
        <v>81.62</v>
      </c>
      <c r="I3542" s="3564">
        <v>20.87</v>
      </c>
      <c r="J3542" s="3565">
        <v>980797</v>
      </c>
      <c r="K3542" s="3565">
        <v>9569.68</v>
      </c>
      <c r="L3542" s="3565">
        <v>12016.63</v>
      </c>
      <c r="M3542" s="3565">
        <v>0</v>
      </c>
      <c r="N3542" s="3565">
        <v>0</v>
      </c>
      <c r="O3542" s="3563" t="s">
        <v>3453</v>
      </c>
    </row>
    <row r="3543" spans="1:15">
      <c r="A3543" s="3563" t="s">
        <v>7765</v>
      </c>
      <c r="B3543" s="3563" t="s">
        <v>4196</v>
      </c>
      <c r="C3543" s="3563" t="s">
        <v>4197</v>
      </c>
      <c r="D3543" s="3563" t="s">
        <v>6429</v>
      </c>
      <c r="E3543" s="3563" t="s">
        <v>6127</v>
      </c>
      <c r="F3543" s="3563" t="s">
        <v>4797</v>
      </c>
      <c r="G3543" s="3564">
        <v>102.49</v>
      </c>
      <c r="H3543" s="3564">
        <v>81.62</v>
      </c>
      <c r="I3543" s="3564">
        <v>20.87</v>
      </c>
      <c r="J3543" s="3565">
        <v>980797</v>
      </c>
      <c r="K3543" s="3565">
        <v>9569.68</v>
      </c>
      <c r="L3543" s="3565">
        <v>12016.63</v>
      </c>
      <c r="M3543" s="3565">
        <v>0</v>
      </c>
      <c r="N3543" s="3565">
        <v>0</v>
      </c>
      <c r="O3543" s="3563" t="s">
        <v>3453</v>
      </c>
    </row>
    <row r="3544" spans="1:15">
      <c r="A3544" s="3563" t="s">
        <v>7766</v>
      </c>
      <c r="B3544" s="3563" t="s">
        <v>4196</v>
      </c>
      <c r="C3544" s="3563" t="s">
        <v>4197</v>
      </c>
      <c r="D3544" s="3563" t="s">
        <v>6429</v>
      </c>
      <c r="E3544" s="3563" t="s">
        <v>6127</v>
      </c>
      <c r="F3544" s="3563" t="s">
        <v>4797</v>
      </c>
      <c r="G3544" s="3564">
        <v>102.49</v>
      </c>
      <c r="H3544" s="3564">
        <v>81.62</v>
      </c>
      <c r="I3544" s="3564">
        <v>20.87</v>
      </c>
      <c r="J3544" s="3565">
        <v>1008055</v>
      </c>
      <c r="K3544" s="3565">
        <v>9835.64</v>
      </c>
      <c r="L3544" s="3565">
        <v>12350.59</v>
      </c>
      <c r="M3544" s="3565">
        <v>0</v>
      </c>
      <c r="N3544" s="3565">
        <v>0</v>
      </c>
      <c r="O3544" s="3563" t="s">
        <v>3453</v>
      </c>
    </row>
    <row r="3545" spans="1:15">
      <c r="A3545" s="3563" t="s">
        <v>7767</v>
      </c>
      <c r="B3545" s="3563" t="s">
        <v>4196</v>
      </c>
      <c r="C3545" s="3563" t="s">
        <v>4197</v>
      </c>
      <c r="D3545" s="3563" t="s">
        <v>6429</v>
      </c>
      <c r="E3545" s="3563" t="s">
        <v>6127</v>
      </c>
      <c r="F3545" s="3563" t="s">
        <v>4797</v>
      </c>
      <c r="G3545" s="3564">
        <v>102.49</v>
      </c>
      <c r="H3545" s="3564">
        <v>81.62</v>
      </c>
      <c r="I3545" s="3564">
        <v>20.87</v>
      </c>
      <c r="J3545" s="3565">
        <v>1008055</v>
      </c>
      <c r="K3545" s="3565">
        <v>9835.64</v>
      </c>
      <c r="L3545" s="3565">
        <v>12350.59</v>
      </c>
      <c r="M3545" s="3565">
        <v>0</v>
      </c>
      <c r="N3545" s="3565">
        <v>0</v>
      </c>
      <c r="O3545" s="3563" t="s">
        <v>3453</v>
      </c>
    </row>
    <row r="3546" spans="1:15">
      <c r="A3546" s="3563" t="s">
        <v>7768</v>
      </c>
      <c r="B3546" s="3563" t="s">
        <v>4196</v>
      </c>
      <c r="C3546" s="3563" t="s">
        <v>4197</v>
      </c>
      <c r="D3546" s="3563" t="s">
        <v>6429</v>
      </c>
      <c r="E3546" s="3563" t="s">
        <v>6127</v>
      </c>
      <c r="F3546" s="3563" t="s">
        <v>4797</v>
      </c>
      <c r="G3546" s="3564">
        <v>125.6</v>
      </c>
      <c r="H3546" s="3564">
        <v>100.03</v>
      </c>
      <c r="I3546" s="3564">
        <v>25.57</v>
      </c>
      <c r="J3546" s="3565">
        <v>1192599</v>
      </c>
      <c r="K3546" s="3565">
        <v>9495.2099999999991</v>
      </c>
      <c r="L3546" s="3565">
        <v>11922.41</v>
      </c>
      <c r="M3546" s="3565">
        <v>0</v>
      </c>
      <c r="N3546" s="3565">
        <v>0</v>
      </c>
      <c r="O3546" s="3563" t="s">
        <v>3453</v>
      </c>
    </row>
    <row r="3547" spans="1:15">
      <c r="A3547" s="3563" t="s">
        <v>7769</v>
      </c>
      <c r="B3547" s="3563" t="s">
        <v>4196</v>
      </c>
      <c r="C3547" s="3563" t="s">
        <v>4197</v>
      </c>
      <c r="D3547" s="3563" t="s">
        <v>6429</v>
      </c>
      <c r="E3547" s="3563" t="s">
        <v>6127</v>
      </c>
      <c r="F3547" s="3563" t="s">
        <v>4797</v>
      </c>
      <c r="G3547" s="3564">
        <v>100.93</v>
      </c>
      <c r="H3547" s="3564">
        <v>81.62</v>
      </c>
      <c r="I3547" s="3564">
        <v>19.309999999999999</v>
      </c>
      <c r="J3547" s="3565">
        <v>1031365</v>
      </c>
      <c r="K3547" s="3565">
        <v>10218.620000000001</v>
      </c>
      <c r="L3547" s="3565">
        <v>12636.18</v>
      </c>
      <c r="M3547" s="3565">
        <v>0</v>
      </c>
      <c r="N3547" s="3565">
        <v>0</v>
      </c>
      <c r="O3547" s="3563" t="s">
        <v>3453</v>
      </c>
    </row>
    <row r="3548" spans="1:15">
      <c r="A3548" s="3563" t="s">
        <v>7770</v>
      </c>
      <c r="B3548" s="3563" t="s">
        <v>4196</v>
      </c>
      <c r="C3548" s="3563" t="s">
        <v>4197</v>
      </c>
      <c r="D3548" s="3563" t="s">
        <v>6429</v>
      </c>
      <c r="E3548" s="3563" t="s">
        <v>6127</v>
      </c>
      <c r="F3548" s="3563" t="s">
        <v>4797</v>
      </c>
      <c r="G3548" s="3564">
        <v>100.93</v>
      </c>
      <c r="H3548" s="3564">
        <v>81.62</v>
      </c>
      <c r="I3548" s="3564">
        <v>19.309999999999999</v>
      </c>
      <c r="J3548" s="3565">
        <v>1031365</v>
      </c>
      <c r="K3548" s="3565">
        <v>10218.620000000001</v>
      </c>
      <c r="L3548" s="3565">
        <v>12636.18</v>
      </c>
      <c r="M3548" s="3565">
        <v>0</v>
      </c>
      <c r="N3548" s="3565">
        <v>0</v>
      </c>
      <c r="O3548" s="3563" t="s">
        <v>3453</v>
      </c>
    </row>
    <row r="3549" spans="1:15">
      <c r="A3549" s="3563" t="s">
        <v>7771</v>
      </c>
      <c r="B3549" s="3563" t="s">
        <v>4196</v>
      </c>
      <c r="C3549" s="3563" t="s">
        <v>4197</v>
      </c>
      <c r="D3549" s="3563" t="s">
        <v>6429</v>
      </c>
      <c r="E3549" s="3563" t="s">
        <v>6127</v>
      </c>
      <c r="F3549" s="3563" t="s">
        <v>4797</v>
      </c>
      <c r="G3549" s="3564">
        <v>109.36</v>
      </c>
      <c r="H3549" s="3564">
        <v>88.44</v>
      </c>
      <c r="I3549" s="3564">
        <v>20.92</v>
      </c>
      <c r="J3549" s="3565">
        <v>1134959</v>
      </c>
      <c r="K3549" s="3565">
        <v>10378.19</v>
      </c>
      <c r="L3549" s="3565">
        <v>12833.1</v>
      </c>
      <c r="M3549" s="3565">
        <v>0</v>
      </c>
      <c r="N3549" s="3565">
        <v>0</v>
      </c>
      <c r="O3549" s="3563" t="s">
        <v>3453</v>
      </c>
    </row>
    <row r="3550" spans="1:15">
      <c r="A3550" s="3563" t="s">
        <v>7772</v>
      </c>
      <c r="B3550" s="3563" t="s">
        <v>4196</v>
      </c>
      <c r="C3550" s="3563" t="s">
        <v>4197</v>
      </c>
      <c r="D3550" s="3563" t="s">
        <v>6429</v>
      </c>
      <c r="E3550" s="3563" t="s">
        <v>6127</v>
      </c>
      <c r="F3550" s="3563" t="s">
        <v>4797</v>
      </c>
      <c r="G3550" s="3564">
        <v>100.93</v>
      </c>
      <c r="H3550" s="3564">
        <v>81.62</v>
      </c>
      <c r="I3550" s="3564">
        <v>19.309999999999999</v>
      </c>
      <c r="J3550" s="3565">
        <v>1036735</v>
      </c>
      <c r="K3550" s="3565">
        <v>10271.82</v>
      </c>
      <c r="L3550" s="3565">
        <v>12701.97</v>
      </c>
      <c r="M3550" s="3565">
        <v>0</v>
      </c>
      <c r="N3550" s="3565">
        <v>0</v>
      </c>
      <c r="O3550" s="3563" t="s">
        <v>3453</v>
      </c>
    </row>
    <row r="3551" spans="1:15">
      <c r="A3551" s="3563" t="s">
        <v>7773</v>
      </c>
      <c r="B3551" s="3563" t="s">
        <v>4196</v>
      </c>
      <c r="C3551" s="3563" t="s">
        <v>4197</v>
      </c>
      <c r="D3551" s="3563" t="s">
        <v>6429</v>
      </c>
      <c r="E3551" s="3563" t="s">
        <v>6127</v>
      </c>
      <c r="F3551" s="3563" t="s">
        <v>4797</v>
      </c>
      <c r="G3551" s="3564">
        <v>100.93</v>
      </c>
      <c r="H3551" s="3564">
        <v>81.62</v>
      </c>
      <c r="I3551" s="3564">
        <v>19.309999999999999</v>
      </c>
      <c r="J3551" s="3565">
        <v>1036735</v>
      </c>
      <c r="K3551" s="3565">
        <v>10271.82</v>
      </c>
      <c r="L3551" s="3565">
        <v>12701.97</v>
      </c>
      <c r="M3551" s="3565">
        <v>0</v>
      </c>
      <c r="N3551" s="3565">
        <v>0</v>
      </c>
      <c r="O3551" s="3563" t="s">
        <v>3453</v>
      </c>
    </row>
    <row r="3552" spans="1:15">
      <c r="A3552" s="3563" t="s">
        <v>7774</v>
      </c>
      <c r="B3552" s="3563" t="s">
        <v>4196</v>
      </c>
      <c r="C3552" s="3563" t="s">
        <v>4197</v>
      </c>
      <c r="D3552" s="3563" t="s">
        <v>6429</v>
      </c>
      <c r="E3552" s="3563" t="s">
        <v>6127</v>
      </c>
      <c r="F3552" s="3563" t="s">
        <v>4797</v>
      </c>
      <c r="G3552" s="3564">
        <v>123.7</v>
      </c>
      <c r="H3552" s="3564">
        <v>100.03</v>
      </c>
      <c r="I3552" s="3564">
        <v>23.67</v>
      </c>
      <c r="J3552" s="3565">
        <v>1237724</v>
      </c>
      <c r="K3552" s="3565">
        <v>10005.85</v>
      </c>
      <c r="L3552" s="3565">
        <v>12373.53</v>
      </c>
      <c r="M3552" s="3565">
        <v>0</v>
      </c>
      <c r="N3552" s="3565">
        <v>0</v>
      </c>
      <c r="O3552" s="3563" t="s">
        <v>3453</v>
      </c>
    </row>
    <row r="3553" spans="1:15">
      <c r="A3553" s="3563" t="s">
        <v>7775</v>
      </c>
      <c r="B3553" s="3563" t="s">
        <v>4196</v>
      </c>
      <c r="C3553" s="3563" t="s">
        <v>4197</v>
      </c>
      <c r="D3553" s="3563" t="s">
        <v>6429</v>
      </c>
      <c r="E3553" s="3563" t="s">
        <v>6127</v>
      </c>
      <c r="F3553" s="3563" t="s">
        <v>4797</v>
      </c>
      <c r="G3553" s="3564">
        <v>100.93</v>
      </c>
      <c r="H3553" s="3564">
        <v>81.62</v>
      </c>
      <c r="I3553" s="3564">
        <v>19.309999999999999</v>
      </c>
      <c r="J3553" s="3565">
        <v>1030292</v>
      </c>
      <c r="K3553" s="3565">
        <v>10207.99</v>
      </c>
      <c r="L3553" s="3565">
        <v>12623.03</v>
      </c>
      <c r="M3553" s="3565">
        <v>0</v>
      </c>
      <c r="N3553" s="3565">
        <v>0</v>
      </c>
      <c r="O3553" s="3563" t="s">
        <v>3453</v>
      </c>
    </row>
    <row r="3554" spans="1:15">
      <c r="A3554" s="3563" t="s">
        <v>7776</v>
      </c>
      <c r="B3554" s="3563" t="s">
        <v>4196</v>
      </c>
      <c r="C3554" s="3563" t="s">
        <v>4197</v>
      </c>
      <c r="D3554" s="3563" t="s">
        <v>6429</v>
      </c>
      <c r="E3554" s="3563" t="s">
        <v>6127</v>
      </c>
      <c r="F3554" s="3563" t="s">
        <v>4797</v>
      </c>
      <c r="G3554" s="3564">
        <v>100.93</v>
      </c>
      <c r="H3554" s="3564">
        <v>81.62</v>
      </c>
      <c r="I3554" s="3564">
        <v>19.309999999999999</v>
      </c>
      <c r="J3554" s="3565">
        <v>1030292</v>
      </c>
      <c r="K3554" s="3565">
        <v>10207.99</v>
      </c>
      <c r="L3554" s="3565">
        <v>12623.03</v>
      </c>
      <c r="M3554" s="3565">
        <v>0</v>
      </c>
      <c r="N3554" s="3565">
        <v>0</v>
      </c>
      <c r="O3554" s="3563" t="s">
        <v>3453</v>
      </c>
    </row>
    <row r="3555" spans="1:15">
      <c r="A3555" s="3563" t="s">
        <v>7777</v>
      </c>
      <c r="B3555" s="3563" t="s">
        <v>4196</v>
      </c>
      <c r="C3555" s="3563" t="s">
        <v>4197</v>
      </c>
      <c r="D3555" s="3563" t="s">
        <v>6429</v>
      </c>
      <c r="E3555" s="3563" t="s">
        <v>6127</v>
      </c>
      <c r="F3555" s="3563" t="s">
        <v>4797</v>
      </c>
      <c r="G3555" s="3564">
        <v>109.36</v>
      </c>
      <c r="H3555" s="3564">
        <v>88.44</v>
      </c>
      <c r="I3555" s="3564">
        <v>20.92</v>
      </c>
      <c r="J3555" s="3565">
        <v>1133796</v>
      </c>
      <c r="K3555" s="3565">
        <v>10367.56</v>
      </c>
      <c r="L3555" s="3565">
        <v>12819.95</v>
      </c>
      <c r="M3555" s="3565">
        <v>0</v>
      </c>
      <c r="N3555" s="3565">
        <v>0</v>
      </c>
      <c r="O3555" s="3563" t="s">
        <v>3453</v>
      </c>
    </row>
    <row r="3556" spans="1:15">
      <c r="A3556" s="3563" t="s">
        <v>7778</v>
      </c>
      <c r="B3556" s="3563" t="s">
        <v>4196</v>
      </c>
      <c r="C3556" s="3563" t="s">
        <v>4197</v>
      </c>
      <c r="D3556" s="3563" t="s">
        <v>6429</v>
      </c>
      <c r="E3556" s="3563" t="s">
        <v>6127</v>
      </c>
      <c r="F3556" s="3563" t="s">
        <v>4797</v>
      </c>
      <c r="G3556" s="3564">
        <v>100.93</v>
      </c>
      <c r="H3556" s="3564">
        <v>81.62</v>
      </c>
      <c r="I3556" s="3564">
        <v>19.309999999999999</v>
      </c>
      <c r="J3556" s="3565">
        <v>1035660</v>
      </c>
      <c r="K3556" s="3565">
        <v>10261.17</v>
      </c>
      <c r="L3556" s="3565">
        <v>12688.8</v>
      </c>
      <c r="M3556" s="3565">
        <v>0</v>
      </c>
      <c r="N3556" s="3565">
        <v>0</v>
      </c>
      <c r="O3556" s="3563" t="s">
        <v>3453</v>
      </c>
    </row>
    <row r="3557" spans="1:15">
      <c r="A3557" s="3563" t="s">
        <v>7779</v>
      </c>
      <c r="B3557" s="3563" t="s">
        <v>4196</v>
      </c>
      <c r="C3557" s="3563" t="s">
        <v>4197</v>
      </c>
      <c r="D3557" s="3563" t="s">
        <v>6429</v>
      </c>
      <c r="E3557" s="3563" t="s">
        <v>6127</v>
      </c>
      <c r="F3557" s="3563" t="s">
        <v>4797</v>
      </c>
      <c r="G3557" s="3564">
        <v>100.93</v>
      </c>
      <c r="H3557" s="3564">
        <v>81.62</v>
      </c>
      <c r="I3557" s="3564">
        <v>19.309999999999999</v>
      </c>
      <c r="J3557" s="3565">
        <v>1035660</v>
      </c>
      <c r="K3557" s="3565">
        <v>10261.17</v>
      </c>
      <c r="L3557" s="3565">
        <v>12688.8</v>
      </c>
      <c r="M3557" s="3565">
        <v>0</v>
      </c>
      <c r="N3557" s="3565">
        <v>0</v>
      </c>
      <c r="O3557" s="3563" t="s">
        <v>3453</v>
      </c>
    </row>
    <row r="3558" spans="1:15">
      <c r="A3558" s="3563" t="s">
        <v>7780</v>
      </c>
      <c r="B3558" s="3563" t="s">
        <v>4196</v>
      </c>
      <c r="C3558" s="3563" t="s">
        <v>4197</v>
      </c>
      <c r="D3558" s="3563" t="s">
        <v>6429</v>
      </c>
      <c r="E3558" s="3563" t="s">
        <v>6127</v>
      </c>
      <c r="F3558" s="3563" t="s">
        <v>4797</v>
      </c>
      <c r="G3558" s="3564">
        <v>123.7</v>
      </c>
      <c r="H3558" s="3564">
        <v>100.03</v>
      </c>
      <c r="I3558" s="3564">
        <v>23.67</v>
      </c>
      <c r="J3558" s="3565">
        <v>1236408</v>
      </c>
      <c r="K3558" s="3565">
        <v>9995.2099999999991</v>
      </c>
      <c r="L3558" s="3565">
        <v>12360.37</v>
      </c>
      <c r="M3558" s="3565">
        <v>0</v>
      </c>
      <c r="N3558" s="3565">
        <v>0</v>
      </c>
      <c r="O3558" s="3563" t="s">
        <v>3453</v>
      </c>
    </row>
    <row r="3559" spans="1:15">
      <c r="A3559" s="3563" t="s">
        <v>7781</v>
      </c>
      <c r="B3559" s="3563" t="s">
        <v>4196</v>
      </c>
      <c r="C3559" s="3563" t="s">
        <v>4197</v>
      </c>
      <c r="D3559" s="3563" t="s">
        <v>6429</v>
      </c>
      <c r="E3559" s="3563" t="s">
        <v>6127</v>
      </c>
      <c r="F3559" s="3563" t="s">
        <v>4797</v>
      </c>
      <c r="G3559" s="3564">
        <v>100.93</v>
      </c>
      <c r="H3559" s="3564">
        <v>81.62</v>
      </c>
      <c r="I3559" s="3564">
        <v>19.309999999999999</v>
      </c>
      <c r="J3559" s="3565">
        <v>1029219</v>
      </c>
      <c r="K3559" s="3565">
        <v>10197.35</v>
      </c>
      <c r="L3559" s="3565">
        <v>12609.89</v>
      </c>
      <c r="M3559" s="3565">
        <v>0</v>
      </c>
      <c r="N3559" s="3565">
        <v>0</v>
      </c>
      <c r="O3559" s="3563" t="s">
        <v>3453</v>
      </c>
    </row>
    <row r="3560" spans="1:15">
      <c r="A3560" s="3563" t="s">
        <v>7782</v>
      </c>
      <c r="B3560" s="3563" t="s">
        <v>4196</v>
      </c>
      <c r="C3560" s="3563" t="s">
        <v>4197</v>
      </c>
      <c r="D3560" s="3563" t="s">
        <v>6429</v>
      </c>
      <c r="E3560" s="3563" t="s">
        <v>6127</v>
      </c>
      <c r="F3560" s="3563" t="s">
        <v>4797</v>
      </c>
      <c r="G3560" s="3564">
        <v>100.93</v>
      </c>
      <c r="H3560" s="3564">
        <v>81.62</v>
      </c>
      <c r="I3560" s="3564">
        <v>19.309999999999999</v>
      </c>
      <c r="J3560" s="3565">
        <v>1029219</v>
      </c>
      <c r="K3560" s="3565">
        <v>10197.35</v>
      </c>
      <c r="L3560" s="3565">
        <v>12609.89</v>
      </c>
      <c r="M3560" s="3565">
        <v>0</v>
      </c>
      <c r="N3560" s="3565">
        <v>0</v>
      </c>
      <c r="O3560" s="3563" t="s">
        <v>3453</v>
      </c>
    </row>
    <row r="3561" spans="1:15">
      <c r="A3561" s="3563" t="s">
        <v>7783</v>
      </c>
      <c r="B3561" s="3563" t="s">
        <v>4196</v>
      </c>
      <c r="C3561" s="3563" t="s">
        <v>4197</v>
      </c>
      <c r="D3561" s="3563" t="s">
        <v>6429</v>
      </c>
      <c r="E3561" s="3563" t="s">
        <v>6127</v>
      </c>
      <c r="F3561" s="3563" t="s">
        <v>4797</v>
      </c>
      <c r="G3561" s="3564">
        <v>109.36</v>
      </c>
      <c r="H3561" s="3564">
        <v>88.44</v>
      </c>
      <c r="I3561" s="3564">
        <v>20.92</v>
      </c>
      <c r="J3561" s="3565">
        <v>1132632</v>
      </c>
      <c r="K3561" s="3565">
        <v>10356.91</v>
      </c>
      <c r="L3561" s="3565">
        <v>12806.78</v>
      </c>
      <c r="M3561" s="3565">
        <v>0</v>
      </c>
      <c r="N3561" s="3565">
        <v>0</v>
      </c>
      <c r="O3561" s="3563" t="s">
        <v>3453</v>
      </c>
    </row>
    <row r="3562" spans="1:15">
      <c r="A3562" s="3563" t="s">
        <v>7784</v>
      </c>
      <c r="B3562" s="3563" t="s">
        <v>4196</v>
      </c>
      <c r="C3562" s="3563" t="s">
        <v>4197</v>
      </c>
      <c r="D3562" s="3563" t="s">
        <v>6429</v>
      </c>
      <c r="E3562" s="3563" t="s">
        <v>6127</v>
      </c>
      <c r="F3562" s="3563" t="s">
        <v>4797</v>
      </c>
      <c r="G3562" s="3564">
        <v>100.93</v>
      </c>
      <c r="H3562" s="3564">
        <v>81.62</v>
      </c>
      <c r="I3562" s="3564">
        <v>19.309999999999999</v>
      </c>
      <c r="J3562" s="3565">
        <v>1034587</v>
      </c>
      <c r="K3562" s="3565">
        <v>10250.540000000001</v>
      </c>
      <c r="L3562" s="3565">
        <v>12675.66</v>
      </c>
      <c r="M3562" s="3565">
        <v>0</v>
      </c>
      <c r="N3562" s="3565">
        <v>0</v>
      </c>
      <c r="O3562" s="3563" t="s">
        <v>3453</v>
      </c>
    </row>
    <row r="3563" spans="1:15">
      <c r="A3563" s="3563" t="s">
        <v>7785</v>
      </c>
      <c r="B3563" s="3563" t="s">
        <v>4196</v>
      </c>
      <c r="C3563" s="3563" t="s">
        <v>4197</v>
      </c>
      <c r="D3563" s="3563" t="s">
        <v>6429</v>
      </c>
      <c r="E3563" s="3563" t="s">
        <v>6127</v>
      </c>
      <c r="F3563" s="3563" t="s">
        <v>4797</v>
      </c>
      <c r="G3563" s="3564">
        <v>100.93</v>
      </c>
      <c r="H3563" s="3564">
        <v>81.62</v>
      </c>
      <c r="I3563" s="3564">
        <v>19.309999999999999</v>
      </c>
      <c r="J3563" s="3565">
        <v>1034587</v>
      </c>
      <c r="K3563" s="3565">
        <v>10250.540000000001</v>
      </c>
      <c r="L3563" s="3565">
        <v>12675.66</v>
      </c>
      <c r="M3563" s="3565">
        <v>0</v>
      </c>
      <c r="N3563" s="3565">
        <v>0</v>
      </c>
      <c r="O3563" s="3563" t="s">
        <v>3453</v>
      </c>
    </row>
    <row r="3564" spans="1:15">
      <c r="A3564" s="3563" t="s">
        <v>7786</v>
      </c>
      <c r="B3564" s="3563" t="s">
        <v>4196</v>
      </c>
      <c r="C3564" s="3563" t="s">
        <v>4197</v>
      </c>
      <c r="D3564" s="3563" t="s">
        <v>6429</v>
      </c>
      <c r="E3564" s="3563" t="s">
        <v>6127</v>
      </c>
      <c r="F3564" s="3563" t="s">
        <v>4797</v>
      </c>
      <c r="G3564" s="3564">
        <v>123.7</v>
      </c>
      <c r="H3564" s="3564">
        <v>100.03</v>
      </c>
      <c r="I3564" s="3564">
        <v>23.67</v>
      </c>
      <c r="J3564" s="3565">
        <v>1235092</v>
      </c>
      <c r="K3564" s="3565">
        <v>9984.58</v>
      </c>
      <c r="L3564" s="3565">
        <v>12347.22</v>
      </c>
      <c r="M3564" s="3565">
        <v>0</v>
      </c>
      <c r="N3564" s="3565">
        <v>0</v>
      </c>
      <c r="O3564" s="3563" t="s">
        <v>3453</v>
      </c>
    </row>
    <row r="3565" spans="1:15">
      <c r="A3565" s="3563" t="s">
        <v>7787</v>
      </c>
      <c r="B3565" s="3563" t="s">
        <v>4196</v>
      </c>
      <c r="C3565" s="3563" t="s">
        <v>4197</v>
      </c>
      <c r="D3565" s="3563" t="s">
        <v>6429</v>
      </c>
      <c r="E3565" s="3563" t="s">
        <v>6127</v>
      </c>
      <c r="F3565" s="3563" t="s">
        <v>4797</v>
      </c>
      <c r="G3565" s="3564">
        <v>100.93</v>
      </c>
      <c r="H3565" s="3564">
        <v>81.62</v>
      </c>
      <c r="I3565" s="3564">
        <v>19.309999999999999</v>
      </c>
      <c r="J3565" s="3565">
        <v>1028144</v>
      </c>
      <c r="K3565" s="3565">
        <v>10186.700000000001</v>
      </c>
      <c r="L3565" s="3565">
        <v>12596.72</v>
      </c>
      <c r="M3565" s="3565">
        <v>0</v>
      </c>
      <c r="N3565" s="3565">
        <v>0</v>
      </c>
      <c r="O3565" s="3563" t="s">
        <v>3453</v>
      </c>
    </row>
    <row r="3566" spans="1:15">
      <c r="A3566" s="3563" t="s">
        <v>7788</v>
      </c>
      <c r="B3566" s="3563" t="s">
        <v>4196</v>
      </c>
      <c r="C3566" s="3563" t="s">
        <v>4197</v>
      </c>
      <c r="D3566" s="3563" t="s">
        <v>6429</v>
      </c>
      <c r="E3566" s="3563" t="s">
        <v>6127</v>
      </c>
      <c r="F3566" s="3563" t="s">
        <v>4797</v>
      </c>
      <c r="G3566" s="3564">
        <v>100.93</v>
      </c>
      <c r="H3566" s="3564">
        <v>81.62</v>
      </c>
      <c r="I3566" s="3564">
        <v>19.309999999999999</v>
      </c>
      <c r="J3566" s="3565">
        <v>1028144</v>
      </c>
      <c r="K3566" s="3565">
        <v>10186.700000000001</v>
      </c>
      <c r="L3566" s="3565">
        <v>12596.72</v>
      </c>
      <c r="M3566" s="3565">
        <v>0</v>
      </c>
      <c r="N3566" s="3565">
        <v>0</v>
      </c>
      <c r="O3566" s="3563" t="s">
        <v>3453</v>
      </c>
    </row>
    <row r="3567" spans="1:15">
      <c r="A3567" s="3563" t="s">
        <v>7789</v>
      </c>
      <c r="B3567" s="3563" t="s">
        <v>4196</v>
      </c>
      <c r="C3567" s="3563" t="s">
        <v>4197</v>
      </c>
      <c r="D3567" s="3563" t="s">
        <v>6429</v>
      </c>
      <c r="E3567" s="3563" t="s">
        <v>6127</v>
      </c>
      <c r="F3567" s="3563" t="s">
        <v>4797</v>
      </c>
      <c r="G3567" s="3564">
        <v>109.36</v>
      </c>
      <c r="H3567" s="3564">
        <v>88.44</v>
      </c>
      <c r="I3567" s="3564">
        <v>20.92</v>
      </c>
      <c r="J3567" s="3565">
        <v>1131470</v>
      </c>
      <c r="K3567" s="3565">
        <v>10346.290000000001</v>
      </c>
      <c r="L3567" s="3565">
        <v>12793.65</v>
      </c>
      <c r="M3567" s="3565">
        <v>0</v>
      </c>
      <c r="N3567" s="3565">
        <v>0</v>
      </c>
      <c r="O3567" s="3563" t="s">
        <v>3453</v>
      </c>
    </row>
    <row r="3568" spans="1:15">
      <c r="A3568" s="3563" t="s">
        <v>7790</v>
      </c>
      <c r="B3568" s="3563" t="s">
        <v>4196</v>
      </c>
      <c r="C3568" s="3563" t="s">
        <v>4197</v>
      </c>
      <c r="D3568" s="3563" t="s">
        <v>6429</v>
      </c>
      <c r="E3568" s="3563" t="s">
        <v>6127</v>
      </c>
      <c r="F3568" s="3563" t="s">
        <v>4797</v>
      </c>
      <c r="G3568" s="3564">
        <v>100.93</v>
      </c>
      <c r="H3568" s="3564">
        <v>81.62</v>
      </c>
      <c r="I3568" s="3564">
        <v>19.309999999999999</v>
      </c>
      <c r="J3568" s="3565">
        <v>1054988</v>
      </c>
      <c r="K3568" s="3565">
        <v>10452.67</v>
      </c>
      <c r="L3568" s="3565">
        <v>12925.61</v>
      </c>
      <c r="M3568" s="3565">
        <v>0</v>
      </c>
      <c r="N3568" s="3565">
        <v>0</v>
      </c>
      <c r="O3568" s="3563" t="s">
        <v>3453</v>
      </c>
    </row>
    <row r="3569" spans="1:15">
      <c r="A3569" s="3563" t="s">
        <v>7791</v>
      </c>
      <c r="B3569" s="3563" t="s">
        <v>4196</v>
      </c>
      <c r="C3569" s="3563" t="s">
        <v>4197</v>
      </c>
      <c r="D3569" s="3563" t="s">
        <v>6429</v>
      </c>
      <c r="E3569" s="3563" t="s">
        <v>6127</v>
      </c>
      <c r="F3569" s="3563" t="s">
        <v>4797</v>
      </c>
      <c r="G3569" s="3564">
        <v>100.93</v>
      </c>
      <c r="H3569" s="3564">
        <v>81.62</v>
      </c>
      <c r="I3569" s="3564">
        <v>19.309999999999999</v>
      </c>
      <c r="J3569" s="3565">
        <v>1054988</v>
      </c>
      <c r="K3569" s="3565">
        <v>10452.67</v>
      </c>
      <c r="L3569" s="3565">
        <v>12925.61</v>
      </c>
      <c r="M3569" s="3565">
        <v>0</v>
      </c>
      <c r="N3569" s="3565">
        <v>0</v>
      </c>
      <c r="O3569" s="3563" t="s">
        <v>3453</v>
      </c>
    </row>
    <row r="3570" spans="1:15">
      <c r="A3570" s="3563" t="s">
        <v>7792</v>
      </c>
      <c r="B3570" s="3563" t="s">
        <v>4196</v>
      </c>
      <c r="C3570" s="3563" t="s">
        <v>4197</v>
      </c>
      <c r="D3570" s="3563" t="s">
        <v>6429</v>
      </c>
      <c r="E3570" s="3563" t="s">
        <v>6127</v>
      </c>
      <c r="F3570" s="3563" t="s">
        <v>4797</v>
      </c>
      <c r="G3570" s="3564">
        <v>123.7</v>
      </c>
      <c r="H3570" s="3564">
        <v>100.03</v>
      </c>
      <c r="I3570" s="3564">
        <v>23.67</v>
      </c>
      <c r="J3570" s="3565">
        <v>1233776</v>
      </c>
      <c r="K3570" s="3565">
        <v>9973.94</v>
      </c>
      <c r="L3570" s="3565">
        <v>12334.06</v>
      </c>
      <c r="M3570" s="3565">
        <v>0</v>
      </c>
      <c r="N3570" s="3565">
        <v>0</v>
      </c>
      <c r="O3570" s="3563" t="s">
        <v>3453</v>
      </c>
    </row>
    <row r="3571" spans="1:15">
      <c r="A3571" s="3563" t="s">
        <v>7793</v>
      </c>
      <c r="B3571" s="3563" t="s">
        <v>4196</v>
      </c>
      <c r="C3571" s="3563" t="s">
        <v>4197</v>
      </c>
      <c r="D3571" s="3563" t="s">
        <v>6429</v>
      </c>
      <c r="E3571" s="3563" t="s">
        <v>6127</v>
      </c>
      <c r="F3571" s="3563" t="s">
        <v>4797</v>
      </c>
      <c r="G3571" s="3564">
        <v>100.93</v>
      </c>
      <c r="H3571" s="3564">
        <v>81.62</v>
      </c>
      <c r="I3571" s="3564">
        <v>19.309999999999999</v>
      </c>
      <c r="J3571" s="3565">
        <v>1027071</v>
      </c>
      <c r="K3571" s="3565">
        <v>10176.07</v>
      </c>
      <c r="L3571" s="3565">
        <v>12583.57</v>
      </c>
      <c r="M3571" s="3565">
        <v>0</v>
      </c>
      <c r="N3571" s="3565">
        <v>0</v>
      </c>
      <c r="O3571" s="3563" t="s">
        <v>3453</v>
      </c>
    </row>
    <row r="3572" spans="1:15">
      <c r="A3572" s="3563" t="s">
        <v>7794</v>
      </c>
      <c r="B3572" s="3563" t="s">
        <v>4196</v>
      </c>
      <c r="C3572" s="3563" t="s">
        <v>4197</v>
      </c>
      <c r="D3572" s="3563" t="s">
        <v>6429</v>
      </c>
      <c r="E3572" s="3563" t="s">
        <v>6127</v>
      </c>
      <c r="F3572" s="3563" t="s">
        <v>4797</v>
      </c>
      <c r="G3572" s="3564">
        <v>100.93</v>
      </c>
      <c r="H3572" s="3564">
        <v>81.62</v>
      </c>
      <c r="I3572" s="3564">
        <v>19.309999999999999</v>
      </c>
      <c r="J3572" s="3565">
        <v>1027071</v>
      </c>
      <c r="K3572" s="3565">
        <v>10176.07</v>
      </c>
      <c r="L3572" s="3565">
        <v>12583.57</v>
      </c>
      <c r="M3572" s="3565">
        <v>0</v>
      </c>
      <c r="N3572" s="3565">
        <v>0</v>
      </c>
      <c r="O3572" s="3563" t="s">
        <v>3453</v>
      </c>
    </row>
    <row r="3573" spans="1:15">
      <c r="A3573" s="3563" t="s">
        <v>7795</v>
      </c>
      <c r="B3573" s="3563" t="s">
        <v>4196</v>
      </c>
      <c r="C3573" s="3563" t="s">
        <v>4197</v>
      </c>
      <c r="D3573" s="3563" t="s">
        <v>6429</v>
      </c>
      <c r="E3573" s="3563" t="s">
        <v>6127</v>
      </c>
      <c r="F3573" s="3563" t="s">
        <v>4797</v>
      </c>
      <c r="G3573" s="3564">
        <v>109.36</v>
      </c>
      <c r="H3573" s="3564">
        <v>88.44</v>
      </c>
      <c r="I3573" s="3564">
        <v>20.92</v>
      </c>
      <c r="J3573" s="3565">
        <v>1130306</v>
      </c>
      <c r="K3573" s="3565">
        <v>10335.64</v>
      </c>
      <c r="L3573" s="3565">
        <v>12780.48</v>
      </c>
      <c r="M3573" s="3565">
        <v>0</v>
      </c>
      <c r="N3573" s="3565">
        <v>0</v>
      </c>
      <c r="O3573" s="3563" t="s">
        <v>3453</v>
      </c>
    </row>
    <row r="3574" spans="1:15">
      <c r="A3574" s="3563" t="s">
        <v>7796</v>
      </c>
      <c r="B3574" s="3563" t="s">
        <v>4196</v>
      </c>
      <c r="C3574" s="3563" t="s">
        <v>4197</v>
      </c>
      <c r="D3574" s="3563" t="s">
        <v>6429</v>
      </c>
      <c r="E3574" s="3563" t="s">
        <v>6127</v>
      </c>
      <c r="F3574" s="3563" t="s">
        <v>4797</v>
      </c>
      <c r="G3574" s="3564">
        <v>100.93</v>
      </c>
      <c r="H3574" s="3564">
        <v>81.62</v>
      </c>
      <c r="I3574" s="3564">
        <v>19.309999999999999</v>
      </c>
      <c r="J3574" s="3565">
        <v>1053913</v>
      </c>
      <c r="K3574" s="3565">
        <v>10442.02</v>
      </c>
      <c r="L3574" s="3565">
        <v>12912.44</v>
      </c>
      <c r="M3574" s="3565">
        <v>0</v>
      </c>
      <c r="N3574" s="3565">
        <v>0</v>
      </c>
      <c r="O3574" s="3563" t="s">
        <v>3453</v>
      </c>
    </row>
    <row r="3575" spans="1:15">
      <c r="A3575" s="3563" t="s">
        <v>7797</v>
      </c>
      <c r="B3575" s="3563" t="s">
        <v>4196</v>
      </c>
      <c r="C3575" s="3563" t="s">
        <v>4197</v>
      </c>
      <c r="D3575" s="3563" t="s">
        <v>6429</v>
      </c>
      <c r="E3575" s="3563" t="s">
        <v>6127</v>
      </c>
      <c r="F3575" s="3563" t="s">
        <v>4797</v>
      </c>
      <c r="G3575" s="3564">
        <v>100.93</v>
      </c>
      <c r="H3575" s="3564">
        <v>81.62</v>
      </c>
      <c r="I3575" s="3564">
        <v>19.309999999999999</v>
      </c>
      <c r="J3575" s="3565">
        <v>1053913</v>
      </c>
      <c r="K3575" s="3565">
        <v>10442.02</v>
      </c>
      <c r="L3575" s="3565">
        <v>12912.44</v>
      </c>
      <c r="M3575" s="3565">
        <v>0</v>
      </c>
      <c r="N3575" s="3565">
        <v>0</v>
      </c>
      <c r="O3575" s="3563" t="s">
        <v>3453</v>
      </c>
    </row>
    <row r="3576" spans="1:15">
      <c r="A3576" s="3563" t="s">
        <v>7798</v>
      </c>
      <c r="B3576" s="3563" t="s">
        <v>4196</v>
      </c>
      <c r="C3576" s="3563" t="s">
        <v>4197</v>
      </c>
      <c r="D3576" s="3563" t="s">
        <v>6429</v>
      </c>
      <c r="E3576" s="3563" t="s">
        <v>6127</v>
      </c>
      <c r="F3576" s="3563" t="s">
        <v>4797</v>
      </c>
      <c r="G3576" s="3564">
        <v>123.7</v>
      </c>
      <c r="H3576" s="3564">
        <v>100.03</v>
      </c>
      <c r="I3576" s="3564">
        <v>23.67</v>
      </c>
      <c r="J3576" s="3565">
        <v>1232460</v>
      </c>
      <c r="K3576" s="3565">
        <v>9963.2999999999993</v>
      </c>
      <c r="L3576" s="3565">
        <v>12320.9</v>
      </c>
      <c r="M3576" s="3565">
        <v>0</v>
      </c>
      <c r="N3576" s="3565">
        <v>0</v>
      </c>
      <c r="O3576" s="3563" t="s">
        <v>3453</v>
      </c>
    </row>
    <row r="3577" spans="1:15">
      <c r="A3577" s="3563" t="s">
        <v>7799</v>
      </c>
      <c r="B3577" s="3563" t="s">
        <v>4196</v>
      </c>
      <c r="C3577" s="3563" t="s">
        <v>4197</v>
      </c>
      <c r="D3577" s="3563" t="s">
        <v>6429</v>
      </c>
      <c r="E3577" s="3563" t="s">
        <v>6127</v>
      </c>
      <c r="F3577" s="3563" t="s">
        <v>4797</v>
      </c>
      <c r="G3577" s="3564">
        <v>100.93</v>
      </c>
      <c r="H3577" s="3564">
        <v>81.62</v>
      </c>
      <c r="I3577" s="3564">
        <v>19.309999999999999</v>
      </c>
      <c r="J3577" s="3565">
        <v>1025997</v>
      </c>
      <c r="K3577" s="3565">
        <v>10165.43</v>
      </c>
      <c r="L3577" s="3565">
        <v>12570.41</v>
      </c>
      <c r="M3577" s="3565">
        <v>0</v>
      </c>
      <c r="N3577" s="3565">
        <v>0</v>
      </c>
      <c r="O3577" s="3563" t="s">
        <v>3453</v>
      </c>
    </row>
    <row r="3578" spans="1:15">
      <c r="A3578" s="3563" t="s">
        <v>7800</v>
      </c>
      <c r="B3578" s="3563" t="s">
        <v>4196</v>
      </c>
      <c r="C3578" s="3563" t="s">
        <v>4197</v>
      </c>
      <c r="D3578" s="3563" t="s">
        <v>6429</v>
      </c>
      <c r="E3578" s="3563" t="s">
        <v>6127</v>
      </c>
      <c r="F3578" s="3563" t="s">
        <v>4797</v>
      </c>
      <c r="G3578" s="3564">
        <v>100.93</v>
      </c>
      <c r="H3578" s="3564">
        <v>81.62</v>
      </c>
      <c r="I3578" s="3564">
        <v>19.309999999999999</v>
      </c>
      <c r="J3578" s="3565">
        <v>1025997</v>
      </c>
      <c r="K3578" s="3565">
        <v>10165.43</v>
      </c>
      <c r="L3578" s="3565">
        <v>12570.41</v>
      </c>
      <c r="M3578" s="3565">
        <v>0</v>
      </c>
      <c r="N3578" s="3565">
        <v>0</v>
      </c>
      <c r="O3578" s="3563" t="s">
        <v>3453</v>
      </c>
    </row>
    <row r="3579" spans="1:15">
      <c r="A3579" s="3563" t="s">
        <v>7801</v>
      </c>
      <c r="B3579" s="3563" t="s">
        <v>4196</v>
      </c>
      <c r="C3579" s="3563" t="s">
        <v>4197</v>
      </c>
      <c r="D3579" s="3563" t="s">
        <v>6429</v>
      </c>
      <c r="E3579" s="3563" t="s">
        <v>6127</v>
      </c>
      <c r="F3579" s="3563" t="s">
        <v>4797</v>
      </c>
      <c r="G3579" s="3564">
        <v>109.36</v>
      </c>
      <c r="H3579" s="3564">
        <v>88.44</v>
      </c>
      <c r="I3579" s="3564">
        <v>20.92</v>
      </c>
      <c r="J3579" s="3565">
        <v>1129142</v>
      </c>
      <c r="K3579" s="3565">
        <v>10325</v>
      </c>
      <c r="L3579" s="3565">
        <v>12767.32</v>
      </c>
      <c r="M3579" s="3565">
        <v>0</v>
      </c>
      <c r="N3579" s="3565">
        <v>0</v>
      </c>
      <c r="O3579" s="3563" t="s">
        <v>3453</v>
      </c>
    </row>
    <row r="3580" spans="1:15">
      <c r="A3580" s="3563" t="s">
        <v>7802</v>
      </c>
      <c r="B3580" s="3563" t="s">
        <v>4196</v>
      </c>
      <c r="C3580" s="3563" t="s">
        <v>4197</v>
      </c>
      <c r="D3580" s="3563" t="s">
        <v>6429</v>
      </c>
      <c r="E3580" s="3563" t="s">
        <v>6127</v>
      </c>
      <c r="F3580" s="3563" t="s">
        <v>4797</v>
      </c>
      <c r="G3580" s="3564">
        <v>100.93</v>
      </c>
      <c r="H3580" s="3564">
        <v>81.62</v>
      </c>
      <c r="I3580" s="3564">
        <v>19.309999999999999</v>
      </c>
      <c r="J3580" s="3565">
        <v>1052840</v>
      </c>
      <c r="K3580" s="3565">
        <v>10431.39</v>
      </c>
      <c r="L3580" s="3565">
        <v>12899.29</v>
      </c>
      <c r="M3580" s="3565">
        <v>0</v>
      </c>
      <c r="N3580" s="3565">
        <v>0</v>
      </c>
      <c r="O3580" s="3563" t="s">
        <v>3453</v>
      </c>
    </row>
    <row r="3581" spans="1:15">
      <c r="A3581" s="3563" t="s">
        <v>7803</v>
      </c>
      <c r="B3581" s="3563" t="s">
        <v>4196</v>
      </c>
      <c r="C3581" s="3563" t="s">
        <v>4197</v>
      </c>
      <c r="D3581" s="3563" t="s">
        <v>6429</v>
      </c>
      <c r="E3581" s="3563" t="s">
        <v>6127</v>
      </c>
      <c r="F3581" s="3563" t="s">
        <v>4797</v>
      </c>
      <c r="G3581" s="3564">
        <v>100.93</v>
      </c>
      <c r="H3581" s="3564">
        <v>81.62</v>
      </c>
      <c r="I3581" s="3564">
        <v>19.309999999999999</v>
      </c>
      <c r="J3581" s="3565">
        <v>1052840</v>
      </c>
      <c r="K3581" s="3565">
        <v>10431.39</v>
      </c>
      <c r="L3581" s="3565">
        <v>12899.29</v>
      </c>
      <c r="M3581" s="3565">
        <v>0</v>
      </c>
      <c r="N3581" s="3565">
        <v>0</v>
      </c>
      <c r="O3581" s="3563" t="s">
        <v>3453</v>
      </c>
    </row>
    <row r="3582" spans="1:15">
      <c r="A3582" s="3563" t="s">
        <v>7804</v>
      </c>
      <c r="B3582" s="3563" t="s">
        <v>4196</v>
      </c>
      <c r="C3582" s="3563" t="s">
        <v>4197</v>
      </c>
      <c r="D3582" s="3563" t="s">
        <v>6429</v>
      </c>
      <c r="E3582" s="3563" t="s">
        <v>6127</v>
      </c>
      <c r="F3582" s="3563" t="s">
        <v>4797</v>
      </c>
      <c r="G3582" s="3564">
        <v>123.7</v>
      </c>
      <c r="H3582" s="3564">
        <v>100.03</v>
      </c>
      <c r="I3582" s="3564">
        <v>23.67</v>
      </c>
      <c r="J3582" s="3565">
        <v>1231144</v>
      </c>
      <c r="K3582" s="3565">
        <v>9952.66</v>
      </c>
      <c r="L3582" s="3565">
        <v>12307.75</v>
      </c>
      <c r="M3582" s="3565">
        <v>0</v>
      </c>
      <c r="N3582" s="3565">
        <v>0</v>
      </c>
      <c r="O3582" s="3563" t="s">
        <v>3453</v>
      </c>
    </row>
    <row r="3583" spans="1:15">
      <c r="A3583" s="3563" t="s">
        <v>7805</v>
      </c>
      <c r="B3583" s="3563" t="s">
        <v>4196</v>
      </c>
      <c r="C3583" s="3563" t="s">
        <v>4197</v>
      </c>
      <c r="D3583" s="3563" t="s">
        <v>6429</v>
      </c>
      <c r="E3583" s="3563" t="s">
        <v>6127</v>
      </c>
      <c r="F3583" s="3563" t="s">
        <v>4797</v>
      </c>
      <c r="G3583" s="3564">
        <v>100.93</v>
      </c>
      <c r="H3583" s="3564">
        <v>81.62</v>
      </c>
      <c r="I3583" s="3564">
        <v>19.309999999999999</v>
      </c>
      <c r="J3583" s="3565">
        <v>992711</v>
      </c>
      <c r="K3583" s="3565">
        <v>9835.64</v>
      </c>
      <c r="L3583" s="3565">
        <v>12162.59</v>
      </c>
      <c r="M3583" s="3565">
        <v>0</v>
      </c>
      <c r="N3583" s="3565">
        <v>0</v>
      </c>
      <c r="O3583" s="3563" t="s">
        <v>3453</v>
      </c>
    </row>
    <row r="3584" spans="1:15">
      <c r="A3584" s="3563" t="s">
        <v>7806</v>
      </c>
      <c r="B3584" s="3563" t="s">
        <v>4196</v>
      </c>
      <c r="C3584" s="3563" t="s">
        <v>4197</v>
      </c>
      <c r="D3584" s="3563" t="s">
        <v>6429</v>
      </c>
      <c r="E3584" s="3563" t="s">
        <v>6127</v>
      </c>
      <c r="F3584" s="3563" t="s">
        <v>4797</v>
      </c>
      <c r="G3584" s="3564">
        <v>100.93</v>
      </c>
      <c r="H3584" s="3564">
        <v>81.62</v>
      </c>
      <c r="I3584" s="3564">
        <v>19.309999999999999</v>
      </c>
      <c r="J3584" s="3565">
        <v>992711</v>
      </c>
      <c r="K3584" s="3565">
        <v>9835.64</v>
      </c>
      <c r="L3584" s="3565">
        <v>12162.59</v>
      </c>
      <c r="M3584" s="3565">
        <v>0</v>
      </c>
      <c r="N3584" s="3565">
        <v>0</v>
      </c>
      <c r="O3584" s="3563" t="s">
        <v>3453</v>
      </c>
    </row>
    <row r="3585" spans="1:15">
      <c r="A3585" s="3563" t="s">
        <v>7807</v>
      </c>
      <c r="B3585" s="3563" t="s">
        <v>4196</v>
      </c>
      <c r="C3585" s="3563" t="s">
        <v>4197</v>
      </c>
      <c r="D3585" s="3563" t="s">
        <v>6429</v>
      </c>
      <c r="E3585" s="3563" t="s">
        <v>6127</v>
      </c>
      <c r="F3585" s="3563" t="s">
        <v>4797</v>
      </c>
      <c r="G3585" s="3564">
        <v>109.36</v>
      </c>
      <c r="H3585" s="3564">
        <v>88.44</v>
      </c>
      <c r="I3585" s="3564">
        <v>20.92</v>
      </c>
      <c r="J3585" s="3565">
        <v>1093077</v>
      </c>
      <c r="K3585" s="3565">
        <v>9995.2199999999993</v>
      </c>
      <c r="L3585" s="3565">
        <v>12359.53</v>
      </c>
      <c r="M3585" s="3565">
        <v>0</v>
      </c>
      <c r="N3585" s="3565">
        <v>0</v>
      </c>
      <c r="O3585" s="3563" t="s">
        <v>3453</v>
      </c>
    </row>
    <row r="3586" spans="1:15">
      <c r="A3586" s="3563" t="s">
        <v>7808</v>
      </c>
      <c r="B3586" s="3563" t="s">
        <v>4196</v>
      </c>
      <c r="C3586" s="3563" t="s">
        <v>4197</v>
      </c>
      <c r="D3586" s="3563" t="s">
        <v>6429</v>
      </c>
      <c r="E3586" s="3563" t="s">
        <v>6127</v>
      </c>
      <c r="F3586" s="3563" t="s">
        <v>4797</v>
      </c>
      <c r="G3586" s="3564">
        <v>100.93</v>
      </c>
      <c r="H3586" s="3564">
        <v>81.62</v>
      </c>
      <c r="I3586" s="3564">
        <v>19.309999999999999</v>
      </c>
      <c r="J3586" s="3565">
        <v>1019555</v>
      </c>
      <c r="K3586" s="3565">
        <v>10101.61</v>
      </c>
      <c r="L3586" s="3565">
        <v>12491.48</v>
      </c>
      <c r="M3586" s="3565">
        <v>0</v>
      </c>
      <c r="N3586" s="3565">
        <v>0</v>
      </c>
      <c r="O3586" s="3563" t="s">
        <v>3453</v>
      </c>
    </row>
    <row r="3587" spans="1:15">
      <c r="A3587" s="3563" t="s">
        <v>7809</v>
      </c>
      <c r="B3587" s="3563" t="s">
        <v>4196</v>
      </c>
      <c r="C3587" s="3563" t="s">
        <v>4197</v>
      </c>
      <c r="D3587" s="3563" t="s">
        <v>6429</v>
      </c>
      <c r="E3587" s="3563" t="s">
        <v>6127</v>
      </c>
      <c r="F3587" s="3563" t="s">
        <v>4797</v>
      </c>
      <c r="G3587" s="3564">
        <v>100.93</v>
      </c>
      <c r="H3587" s="3564">
        <v>81.62</v>
      </c>
      <c r="I3587" s="3564">
        <v>19.309999999999999</v>
      </c>
      <c r="J3587" s="3565">
        <v>1019555</v>
      </c>
      <c r="K3587" s="3565">
        <v>10101.61</v>
      </c>
      <c r="L3587" s="3565">
        <v>12491.48</v>
      </c>
      <c r="M3587" s="3565">
        <v>0</v>
      </c>
      <c r="N3587" s="3565">
        <v>0</v>
      </c>
      <c r="O3587" s="3563" t="s">
        <v>3453</v>
      </c>
    </row>
    <row r="3588" spans="1:15">
      <c r="A3588" s="3563" t="s">
        <v>7810</v>
      </c>
      <c r="B3588" s="3563" t="s">
        <v>4196</v>
      </c>
      <c r="C3588" s="3563" t="s">
        <v>4197</v>
      </c>
      <c r="D3588" s="3563" t="s">
        <v>6429</v>
      </c>
      <c r="E3588" s="3563" t="s">
        <v>6127</v>
      </c>
      <c r="F3588" s="3563" t="s">
        <v>4797</v>
      </c>
      <c r="G3588" s="3564">
        <v>123.7</v>
      </c>
      <c r="H3588" s="3564">
        <v>100.03</v>
      </c>
      <c r="I3588" s="3564">
        <v>23.67</v>
      </c>
      <c r="J3588" s="3565">
        <v>1190349</v>
      </c>
      <c r="K3588" s="3565">
        <v>9622.8700000000008</v>
      </c>
      <c r="L3588" s="3565">
        <v>11899.92</v>
      </c>
      <c r="M3588" s="3565">
        <v>0</v>
      </c>
      <c r="N3588" s="3565">
        <v>0</v>
      </c>
      <c r="O3588" s="3563" t="s">
        <v>3453</v>
      </c>
    </row>
    <row r="3589" spans="1:15">
      <c r="A3589" s="3563" t="s">
        <v>7811</v>
      </c>
      <c r="B3589" s="3563" t="s">
        <v>4196</v>
      </c>
      <c r="C3589" s="3563" t="s">
        <v>4197</v>
      </c>
      <c r="D3589" s="3563" t="s">
        <v>6429</v>
      </c>
      <c r="E3589" s="3563" t="s">
        <v>6127</v>
      </c>
      <c r="F3589" s="3563" t="s">
        <v>4797</v>
      </c>
      <c r="G3589" s="3564">
        <v>100.93</v>
      </c>
      <c r="H3589" s="3564">
        <v>81.62</v>
      </c>
      <c r="I3589" s="3564">
        <v>19.309999999999999</v>
      </c>
      <c r="J3589" s="3565">
        <v>978753</v>
      </c>
      <c r="K3589" s="3565">
        <v>9697.34</v>
      </c>
      <c r="L3589" s="3565">
        <v>11991.58</v>
      </c>
      <c r="M3589" s="3565">
        <v>0</v>
      </c>
      <c r="N3589" s="3565">
        <v>0</v>
      </c>
      <c r="O3589" s="3563" t="s">
        <v>3453</v>
      </c>
    </row>
    <row r="3590" spans="1:15">
      <c r="A3590" s="3563" t="s">
        <v>7812</v>
      </c>
      <c r="B3590" s="3563" t="s">
        <v>4196</v>
      </c>
      <c r="C3590" s="3563" t="s">
        <v>4197</v>
      </c>
      <c r="D3590" s="3563" t="s">
        <v>6429</v>
      </c>
      <c r="E3590" s="3563" t="s">
        <v>6127</v>
      </c>
      <c r="F3590" s="3563" t="s">
        <v>4797</v>
      </c>
      <c r="G3590" s="3564">
        <v>100.93</v>
      </c>
      <c r="H3590" s="3564">
        <v>81.62</v>
      </c>
      <c r="I3590" s="3564">
        <v>19.309999999999999</v>
      </c>
      <c r="J3590" s="3565">
        <v>978753</v>
      </c>
      <c r="K3590" s="3565">
        <v>9697.34</v>
      </c>
      <c r="L3590" s="3565">
        <v>11991.58</v>
      </c>
      <c r="M3590" s="3565">
        <v>0</v>
      </c>
      <c r="N3590" s="3565">
        <v>0</v>
      </c>
      <c r="O3590" s="3563" t="s">
        <v>3453</v>
      </c>
    </row>
    <row r="3591" spans="1:15">
      <c r="A3591" s="3563" t="s">
        <v>7813</v>
      </c>
      <c r="B3591" s="3563" t="s">
        <v>4196</v>
      </c>
      <c r="C3591" s="3563" t="s">
        <v>4197</v>
      </c>
      <c r="D3591" s="3563" t="s">
        <v>6429</v>
      </c>
      <c r="E3591" s="3563" t="s">
        <v>6127</v>
      </c>
      <c r="F3591" s="3563" t="s">
        <v>4797</v>
      </c>
      <c r="G3591" s="3564">
        <v>109.36</v>
      </c>
      <c r="H3591" s="3564">
        <v>88.44</v>
      </c>
      <c r="I3591" s="3564">
        <v>20.92</v>
      </c>
      <c r="J3591" s="3565">
        <v>1101221</v>
      </c>
      <c r="K3591" s="3565">
        <v>10069.69</v>
      </c>
      <c r="L3591" s="3565">
        <v>12451.62</v>
      </c>
      <c r="M3591" s="3565">
        <v>0</v>
      </c>
      <c r="N3591" s="3565">
        <v>0</v>
      </c>
      <c r="O3591" s="3563" t="s">
        <v>3453</v>
      </c>
    </row>
    <row r="3592" spans="1:15">
      <c r="A3592" s="3563" t="s">
        <v>7814</v>
      </c>
      <c r="B3592" s="3563" t="s">
        <v>4196</v>
      </c>
      <c r="C3592" s="3563" t="s">
        <v>4197</v>
      </c>
      <c r="D3592" s="3563" t="s">
        <v>6429</v>
      </c>
      <c r="E3592" s="3563" t="s">
        <v>6127</v>
      </c>
      <c r="F3592" s="3563" t="s">
        <v>4797</v>
      </c>
      <c r="G3592" s="3564">
        <v>100.93</v>
      </c>
      <c r="H3592" s="3564">
        <v>81.62</v>
      </c>
      <c r="I3592" s="3564">
        <v>19.309999999999999</v>
      </c>
      <c r="J3592" s="3565">
        <v>1005596</v>
      </c>
      <c r="K3592" s="3565">
        <v>9963.2999999999993</v>
      </c>
      <c r="L3592" s="3565">
        <v>12320.46</v>
      </c>
      <c r="M3592" s="3565">
        <v>0</v>
      </c>
      <c r="N3592" s="3565">
        <v>0</v>
      </c>
      <c r="O3592" s="3563" t="s">
        <v>3453</v>
      </c>
    </row>
    <row r="3593" spans="1:15">
      <c r="A3593" s="3563" t="s">
        <v>7815</v>
      </c>
      <c r="B3593" s="3563" t="s">
        <v>4196</v>
      </c>
      <c r="C3593" s="3563" t="s">
        <v>4197</v>
      </c>
      <c r="D3593" s="3563" t="s">
        <v>6429</v>
      </c>
      <c r="E3593" s="3563" t="s">
        <v>6127</v>
      </c>
      <c r="F3593" s="3563" t="s">
        <v>4797</v>
      </c>
      <c r="G3593" s="3564">
        <v>100.93</v>
      </c>
      <c r="H3593" s="3564">
        <v>81.62</v>
      </c>
      <c r="I3593" s="3564">
        <v>19.309999999999999</v>
      </c>
      <c r="J3593" s="3565">
        <v>1005596</v>
      </c>
      <c r="K3593" s="3565">
        <v>9963.2999999999993</v>
      </c>
      <c r="L3593" s="3565">
        <v>12320.46</v>
      </c>
      <c r="M3593" s="3565">
        <v>0</v>
      </c>
      <c r="N3593" s="3565">
        <v>0</v>
      </c>
      <c r="O3593" s="3563" t="s">
        <v>3453</v>
      </c>
    </row>
    <row r="3594" spans="1:15">
      <c r="A3594" s="3563" t="s">
        <v>7816</v>
      </c>
      <c r="B3594" s="3563" t="s">
        <v>4196</v>
      </c>
      <c r="C3594" s="3563" t="s">
        <v>4197</v>
      </c>
      <c r="D3594" s="3563" t="s">
        <v>6429</v>
      </c>
      <c r="E3594" s="3563" t="s">
        <v>6127</v>
      </c>
      <c r="F3594" s="3563" t="s">
        <v>4797</v>
      </c>
      <c r="G3594" s="3564">
        <v>123.7</v>
      </c>
      <c r="H3594" s="3564">
        <v>100.03</v>
      </c>
      <c r="I3594" s="3564">
        <v>23.67</v>
      </c>
      <c r="J3594" s="3565">
        <v>1174558</v>
      </c>
      <c r="K3594" s="3565">
        <v>9495.2099999999991</v>
      </c>
      <c r="L3594" s="3565">
        <v>11742.06</v>
      </c>
      <c r="M3594" s="3565">
        <v>0</v>
      </c>
      <c r="N3594" s="3565">
        <v>0</v>
      </c>
      <c r="O3594" s="3563" t="s">
        <v>3453</v>
      </c>
    </row>
    <row r="3595" spans="1:15">
      <c r="A3595" s="3563" t="s">
        <v>7817</v>
      </c>
      <c r="B3595" s="3563" t="s">
        <v>4196</v>
      </c>
      <c r="C3595" s="3563" t="s">
        <v>4197</v>
      </c>
      <c r="D3595" s="3563" t="s">
        <v>6429</v>
      </c>
      <c r="E3595" s="3563" t="s">
        <v>6127</v>
      </c>
      <c r="F3595" s="3563" t="s">
        <v>4797</v>
      </c>
      <c r="G3595" s="3564">
        <v>100.93</v>
      </c>
      <c r="H3595" s="3564">
        <v>81.62</v>
      </c>
      <c r="I3595" s="3564">
        <v>19.309999999999999</v>
      </c>
      <c r="J3595" s="3565">
        <v>991638</v>
      </c>
      <c r="K3595" s="3565">
        <v>9825.01</v>
      </c>
      <c r="L3595" s="3565">
        <v>12149.45</v>
      </c>
      <c r="M3595" s="3565">
        <v>0</v>
      </c>
      <c r="N3595" s="3565">
        <v>0</v>
      </c>
      <c r="O3595" s="3563" t="s">
        <v>3453</v>
      </c>
    </row>
    <row r="3596" spans="1:15">
      <c r="A3596" s="3563" t="s">
        <v>7818</v>
      </c>
      <c r="B3596" s="3563" t="s">
        <v>4196</v>
      </c>
      <c r="C3596" s="3563" t="s">
        <v>4197</v>
      </c>
      <c r="D3596" s="3563" t="s">
        <v>6429</v>
      </c>
      <c r="E3596" s="3563" t="s">
        <v>6127</v>
      </c>
      <c r="F3596" s="3563" t="s">
        <v>4797</v>
      </c>
      <c r="G3596" s="3564">
        <v>100.93</v>
      </c>
      <c r="H3596" s="3564">
        <v>81.62</v>
      </c>
      <c r="I3596" s="3564">
        <v>19.309999999999999</v>
      </c>
      <c r="J3596" s="3565">
        <v>991638</v>
      </c>
      <c r="K3596" s="3565">
        <v>9825.01</v>
      </c>
      <c r="L3596" s="3565">
        <v>12149.45</v>
      </c>
      <c r="M3596" s="3565">
        <v>0</v>
      </c>
      <c r="N3596" s="3565">
        <v>0</v>
      </c>
      <c r="O3596" s="3563" t="s">
        <v>3453</v>
      </c>
    </row>
    <row r="3597" spans="1:15">
      <c r="A3597" s="3563" t="s">
        <v>7819</v>
      </c>
      <c r="B3597" s="3563" t="s">
        <v>4196</v>
      </c>
      <c r="C3597" s="3563" t="s">
        <v>4197</v>
      </c>
      <c r="D3597" s="3563" t="s">
        <v>6429</v>
      </c>
      <c r="E3597" s="3563" t="s">
        <v>6127</v>
      </c>
      <c r="F3597" s="3563" t="s">
        <v>4797</v>
      </c>
      <c r="G3597" s="3564">
        <v>109.36</v>
      </c>
      <c r="H3597" s="3564">
        <v>88.44</v>
      </c>
      <c r="I3597" s="3564">
        <v>20.92</v>
      </c>
      <c r="J3597" s="3565">
        <v>1115181</v>
      </c>
      <c r="K3597" s="3565">
        <v>10197.34</v>
      </c>
      <c r="L3597" s="3565">
        <v>12609.46</v>
      </c>
      <c r="M3597" s="3565">
        <v>0</v>
      </c>
      <c r="N3597" s="3565">
        <v>0</v>
      </c>
      <c r="O3597" s="3563" t="s">
        <v>3453</v>
      </c>
    </row>
    <row r="3598" spans="1:15">
      <c r="A3598" s="3563" t="s">
        <v>7820</v>
      </c>
      <c r="B3598" s="3563" t="s">
        <v>4196</v>
      </c>
      <c r="C3598" s="3563" t="s">
        <v>4197</v>
      </c>
      <c r="D3598" s="3563" t="s">
        <v>6429</v>
      </c>
      <c r="E3598" s="3563" t="s">
        <v>6127</v>
      </c>
      <c r="F3598" s="3563" t="s">
        <v>4797</v>
      </c>
      <c r="G3598" s="3564">
        <v>100.93</v>
      </c>
      <c r="H3598" s="3564">
        <v>81.62</v>
      </c>
      <c r="I3598" s="3564">
        <v>19.309999999999999</v>
      </c>
      <c r="J3598" s="3565">
        <v>1018481</v>
      </c>
      <c r="K3598" s="3565">
        <v>10090.959999999999</v>
      </c>
      <c r="L3598" s="3565">
        <v>12478.33</v>
      </c>
      <c r="M3598" s="3565">
        <v>0</v>
      </c>
      <c r="N3598" s="3565">
        <v>0</v>
      </c>
      <c r="O3598" s="3563" t="s">
        <v>3453</v>
      </c>
    </row>
    <row r="3599" spans="1:15">
      <c r="A3599" s="3563" t="s">
        <v>7821</v>
      </c>
      <c r="B3599" s="3563" t="s">
        <v>4196</v>
      </c>
      <c r="C3599" s="3563" t="s">
        <v>4197</v>
      </c>
      <c r="D3599" s="3563" t="s">
        <v>6429</v>
      </c>
      <c r="E3599" s="3563" t="s">
        <v>6127</v>
      </c>
      <c r="F3599" s="3563" t="s">
        <v>4797</v>
      </c>
      <c r="G3599" s="3564">
        <v>100.93</v>
      </c>
      <c r="H3599" s="3564">
        <v>81.62</v>
      </c>
      <c r="I3599" s="3564">
        <v>19.309999999999999</v>
      </c>
      <c r="J3599" s="3565">
        <v>1018481</v>
      </c>
      <c r="K3599" s="3565">
        <v>10090.959999999999</v>
      </c>
      <c r="L3599" s="3565">
        <v>12478.33</v>
      </c>
      <c r="M3599" s="3565">
        <v>0</v>
      </c>
      <c r="N3599" s="3565">
        <v>0</v>
      </c>
      <c r="O3599" s="3563" t="s">
        <v>3453</v>
      </c>
    </row>
    <row r="3600" spans="1:15">
      <c r="A3600" s="3563" t="s">
        <v>7822</v>
      </c>
      <c r="B3600" s="3563" t="s">
        <v>4196</v>
      </c>
      <c r="C3600" s="3563" t="s">
        <v>4197</v>
      </c>
      <c r="D3600" s="3563" t="s">
        <v>6429</v>
      </c>
      <c r="E3600" s="3563" t="s">
        <v>6127</v>
      </c>
      <c r="F3600" s="3563" t="s">
        <v>4797</v>
      </c>
      <c r="G3600" s="3564">
        <v>123.7</v>
      </c>
      <c r="H3600" s="3564">
        <v>100.03</v>
      </c>
      <c r="I3600" s="3564">
        <v>23.67</v>
      </c>
      <c r="J3600" s="3565">
        <v>1189033</v>
      </c>
      <c r="K3600" s="3565">
        <v>9612.23</v>
      </c>
      <c r="L3600" s="3565">
        <v>11886.76</v>
      </c>
      <c r="M3600" s="3565">
        <v>0</v>
      </c>
      <c r="N3600" s="3565">
        <v>0</v>
      </c>
      <c r="O3600" s="3563" t="s">
        <v>3453</v>
      </c>
    </row>
    <row r="3601" spans="1:15">
      <c r="A3601" s="3563" t="s">
        <v>7823</v>
      </c>
      <c r="B3601" s="3563" t="s">
        <v>4196</v>
      </c>
      <c r="C3601" s="3563" t="s">
        <v>4197</v>
      </c>
      <c r="D3601" s="3563" t="s">
        <v>6429</v>
      </c>
      <c r="E3601" s="3563" t="s">
        <v>6127</v>
      </c>
      <c r="F3601" s="3563" t="s">
        <v>4797</v>
      </c>
      <c r="G3601" s="3564">
        <v>100.93</v>
      </c>
      <c r="H3601" s="3564">
        <v>81.62</v>
      </c>
      <c r="I3601" s="3564">
        <v>19.309999999999999</v>
      </c>
      <c r="J3601" s="3565">
        <v>1004523</v>
      </c>
      <c r="K3601" s="3565">
        <v>9952.67</v>
      </c>
      <c r="L3601" s="3565">
        <v>12307.31</v>
      </c>
      <c r="M3601" s="3565">
        <v>0</v>
      </c>
      <c r="N3601" s="3565">
        <v>0</v>
      </c>
      <c r="O3601" s="3563" t="s">
        <v>3453</v>
      </c>
    </row>
    <row r="3602" spans="1:15">
      <c r="A3602" s="3563" t="s">
        <v>7824</v>
      </c>
      <c r="B3602" s="3563" t="s">
        <v>4196</v>
      </c>
      <c r="C3602" s="3563" t="s">
        <v>4197</v>
      </c>
      <c r="D3602" s="3563" t="s">
        <v>6429</v>
      </c>
      <c r="E3602" s="3563" t="s">
        <v>6127</v>
      </c>
      <c r="F3602" s="3563" t="s">
        <v>4797</v>
      </c>
      <c r="G3602" s="3564">
        <v>100.93</v>
      </c>
      <c r="H3602" s="3564">
        <v>81.62</v>
      </c>
      <c r="I3602" s="3564">
        <v>19.309999999999999</v>
      </c>
      <c r="J3602" s="3565">
        <v>1004523</v>
      </c>
      <c r="K3602" s="3565">
        <v>9952.67</v>
      </c>
      <c r="L3602" s="3565">
        <v>12307.31</v>
      </c>
      <c r="M3602" s="3565">
        <v>0</v>
      </c>
      <c r="N3602" s="3565">
        <v>0</v>
      </c>
      <c r="O3602" s="3563" t="s">
        <v>3453</v>
      </c>
    </row>
    <row r="3603" spans="1:15">
      <c r="A3603" s="3563" t="s">
        <v>7825</v>
      </c>
      <c r="B3603" s="3563" t="s">
        <v>4196</v>
      </c>
      <c r="C3603" s="3563" t="s">
        <v>4197</v>
      </c>
      <c r="D3603" s="3563" t="s">
        <v>6429</v>
      </c>
      <c r="E3603" s="3563" t="s">
        <v>6127</v>
      </c>
      <c r="F3603" s="3563" t="s">
        <v>4797</v>
      </c>
      <c r="G3603" s="3564">
        <v>109.36</v>
      </c>
      <c r="H3603" s="3564">
        <v>88.44</v>
      </c>
      <c r="I3603" s="3564">
        <v>20.92</v>
      </c>
      <c r="J3603" s="3565">
        <v>1129142</v>
      </c>
      <c r="K3603" s="3565">
        <v>10325</v>
      </c>
      <c r="L3603" s="3565">
        <v>12767.32</v>
      </c>
      <c r="M3603" s="3565">
        <v>0</v>
      </c>
      <c r="N3603" s="3565">
        <v>0</v>
      </c>
      <c r="O3603" s="3563" t="s">
        <v>3453</v>
      </c>
    </row>
    <row r="3604" spans="1:15">
      <c r="A3604" s="3563" t="s">
        <v>7826</v>
      </c>
      <c r="B3604" s="3563" t="s">
        <v>4196</v>
      </c>
      <c r="C3604" s="3563" t="s">
        <v>4197</v>
      </c>
      <c r="D3604" s="3563" t="s">
        <v>6429</v>
      </c>
      <c r="E3604" s="3563" t="s">
        <v>6127</v>
      </c>
      <c r="F3604" s="3563" t="s">
        <v>4797</v>
      </c>
      <c r="G3604" s="3564">
        <v>100.93</v>
      </c>
      <c r="H3604" s="3564">
        <v>81.62</v>
      </c>
      <c r="I3604" s="3564">
        <v>19.309999999999999</v>
      </c>
      <c r="J3604" s="3565">
        <v>1031365</v>
      </c>
      <c r="K3604" s="3565">
        <v>10218.620000000001</v>
      </c>
      <c r="L3604" s="3565">
        <v>12636.18</v>
      </c>
      <c r="M3604" s="3565">
        <v>0</v>
      </c>
      <c r="N3604" s="3565">
        <v>0</v>
      </c>
      <c r="O3604" s="3563" t="s">
        <v>3453</v>
      </c>
    </row>
    <row r="3605" spans="1:15">
      <c r="A3605" s="3563" t="s">
        <v>7827</v>
      </c>
      <c r="B3605" s="3563" t="s">
        <v>4196</v>
      </c>
      <c r="C3605" s="3563" t="s">
        <v>4197</v>
      </c>
      <c r="D3605" s="3563" t="s">
        <v>6429</v>
      </c>
      <c r="E3605" s="3563" t="s">
        <v>6127</v>
      </c>
      <c r="F3605" s="3563" t="s">
        <v>4797</v>
      </c>
      <c r="G3605" s="3564">
        <v>100.93</v>
      </c>
      <c r="H3605" s="3564">
        <v>81.62</v>
      </c>
      <c r="I3605" s="3564">
        <v>19.309999999999999</v>
      </c>
      <c r="J3605" s="3565">
        <v>1031365</v>
      </c>
      <c r="K3605" s="3565">
        <v>10218.620000000001</v>
      </c>
      <c r="L3605" s="3565">
        <v>12636.18</v>
      </c>
      <c r="M3605" s="3565">
        <v>0</v>
      </c>
      <c r="N3605" s="3565">
        <v>0</v>
      </c>
      <c r="O3605" s="3563" t="s">
        <v>3453</v>
      </c>
    </row>
    <row r="3606" spans="1:15">
      <c r="A3606" s="3563" t="s">
        <v>7828</v>
      </c>
      <c r="B3606" s="3563" t="s">
        <v>4196</v>
      </c>
      <c r="C3606" s="3563" t="s">
        <v>4197</v>
      </c>
      <c r="D3606" s="3563" t="s">
        <v>6429</v>
      </c>
      <c r="E3606" s="3563" t="s">
        <v>6127</v>
      </c>
      <c r="F3606" s="3563" t="s">
        <v>4797</v>
      </c>
      <c r="G3606" s="3564">
        <v>123.7</v>
      </c>
      <c r="H3606" s="3564">
        <v>100.03</v>
      </c>
      <c r="I3606" s="3564">
        <v>23.67</v>
      </c>
      <c r="J3606" s="3565">
        <v>1204825</v>
      </c>
      <c r="K3606" s="3565">
        <v>9739.89</v>
      </c>
      <c r="L3606" s="3565">
        <v>12044.64</v>
      </c>
      <c r="M3606" s="3565">
        <v>0</v>
      </c>
      <c r="N3606" s="3565">
        <v>0</v>
      </c>
      <c r="O3606" s="3563" t="s">
        <v>3453</v>
      </c>
    </row>
    <row r="3607" spans="1:15">
      <c r="A3607" s="3563" t="s">
        <v>7829</v>
      </c>
      <c r="B3607" s="3563" t="s">
        <v>4196</v>
      </c>
      <c r="C3607" s="3563" t="s">
        <v>4197</v>
      </c>
      <c r="D3607" s="3563" t="s">
        <v>6429</v>
      </c>
      <c r="E3607" s="3563" t="s">
        <v>6127</v>
      </c>
      <c r="F3607" s="3563" t="s">
        <v>4797</v>
      </c>
      <c r="G3607" s="3564">
        <v>100.93</v>
      </c>
      <c r="H3607" s="3564">
        <v>81.62</v>
      </c>
      <c r="I3607" s="3564">
        <v>19.309999999999999</v>
      </c>
      <c r="J3607" s="3565">
        <v>1005596</v>
      </c>
      <c r="K3607" s="3565">
        <v>9963.2999999999993</v>
      </c>
      <c r="L3607" s="3565">
        <v>12320.46</v>
      </c>
      <c r="M3607" s="3565">
        <v>0</v>
      </c>
      <c r="N3607" s="3565">
        <v>0</v>
      </c>
      <c r="O3607" s="3563" t="s">
        <v>3453</v>
      </c>
    </row>
    <row r="3608" spans="1:15">
      <c r="A3608" s="3563" t="s">
        <v>7830</v>
      </c>
      <c r="B3608" s="3563" t="s">
        <v>4196</v>
      </c>
      <c r="C3608" s="3563" t="s">
        <v>4197</v>
      </c>
      <c r="D3608" s="3563" t="s">
        <v>6429</v>
      </c>
      <c r="E3608" s="3563" t="s">
        <v>6127</v>
      </c>
      <c r="F3608" s="3563" t="s">
        <v>4797</v>
      </c>
      <c r="G3608" s="3564">
        <v>100.93</v>
      </c>
      <c r="H3608" s="3564">
        <v>81.62</v>
      </c>
      <c r="I3608" s="3564">
        <v>19.309999999999999</v>
      </c>
      <c r="J3608" s="3565">
        <v>1005596</v>
      </c>
      <c r="K3608" s="3565">
        <v>9963.2999999999993</v>
      </c>
      <c r="L3608" s="3565">
        <v>12320.46</v>
      </c>
      <c r="M3608" s="3565">
        <v>0</v>
      </c>
      <c r="N3608" s="3565">
        <v>0</v>
      </c>
      <c r="O3608" s="3563" t="s">
        <v>3453</v>
      </c>
    </row>
    <row r="3609" spans="1:15">
      <c r="A3609" s="3563" t="s">
        <v>7831</v>
      </c>
      <c r="B3609" s="3563" t="s">
        <v>4196</v>
      </c>
      <c r="C3609" s="3563" t="s">
        <v>4197</v>
      </c>
      <c r="D3609" s="3563" t="s">
        <v>6429</v>
      </c>
      <c r="E3609" s="3563" t="s">
        <v>6127</v>
      </c>
      <c r="F3609" s="3563" t="s">
        <v>4797</v>
      </c>
      <c r="G3609" s="3564">
        <v>109.36</v>
      </c>
      <c r="H3609" s="3564">
        <v>88.44</v>
      </c>
      <c r="I3609" s="3564">
        <v>20.92</v>
      </c>
      <c r="J3609" s="3565">
        <v>1130306</v>
      </c>
      <c r="K3609" s="3565">
        <v>10335.64</v>
      </c>
      <c r="L3609" s="3565">
        <v>12780.48</v>
      </c>
      <c r="M3609" s="3565">
        <v>0</v>
      </c>
      <c r="N3609" s="3565">
        <v>0</v>
      </c>
      <c r="O3609" s="3563" t="s">
        <v>3453</v>
      </c>
    </row>
    <row r="3610" spans="1:15">
      <c r="A3610" s="3563" t="s">
        <v>7832</v>
      </c>
      <c r="B3610" s="3563" t="s">
        <v>4196</v>
      </c>
      <c r="C3610" s="3563" t="s">
        <v>4197</v>
      </c>
      <c r="D3610" s="3563" t="s">
        <v>6429</v>
      </c>
      <c r="E3610" s="3563" t="s">
        <v>6127</v>
      </c>
      <c r="F3610" s="3563" t="s">
        <v>4797</v>
      </c>
      <c r="G3610" s="3564">
        <v>100.93</v>
      </c>
      <c r="H3610" s="3564">
        <v>81.62</v>
      </c>
      <c r="I3610" s="3564">
        <v>19.309999999999999</v>
      </c>
      <c r="J3610" s="3565">
        <v>1032439</v>
      </c>
      <c r="K3610" s="3565">
        <v>10229.26</v>
      </c>
      <c r="L3610" s="3565">
        <v>12649.34</v>
      </c>
      <c r="M3610" s="3565">
        <v>0</v>
      </c>
      <c r="N3610" s="3565">
        <v>0</v>
      </c>
      <c r="O3610" s="3563" t="s">
        <v>3453</v>
      </c>
    </row>
    <row r="3611" spans="1:15">
      <c r="A3611" s="3563" t="s">
        <v>7833</v>
      </c>
      <c r="B3611" s="3563" t="s">
        <v>4196</v>
      </c>
      <c r="C3611" s="3563" t="s">
        <v>4197</v>
      </c>
      <c r="D3611" s="3563" t="s">
        <v>6429</v>
      </c>
      <c r="E3611" s="3563" t="s">
        <v>6127</v>
      </c>
      <c r="F3611" s="3563" t="s">
        <v>4797</v>
      </c>
      <c r="G3611" s="3564">
        <v>100.93</v>
      </c>
      <c r="H3611" s="3564">
        <v>81.62</v>
      </c>
      <c r="I3611" s="3564">
        <v>19.309999999999999</v>
      </c>
      <c r="J3611" s="3565">
        <v>1032439</v>
      </c>
      <c r="K3611" s="3565">
        <v>10229.26</v>
      </c>
      <c r="L3611" s="3565">
        <v>12649.34</v>
      </c>
      <c r="M3611" s="3565">
        <v>0</v>
      </c>
      <c r="N3611" s="3565">
        <v>0</v>
      </c>
      <c r="O3611" s="3563" t="s">
        <v>3453</v>
      </c>
    </row>
    <row r="3612" spans="1:15">
      <c r="A3612" s="3563" t="s">
        <v>7834</v>
      </c>
      <c r="B3612" s="3563" t="s">
        <v>4196</v>
      </c>
      <c r="C3612" s="3563" t="s">
        <v>4197</v>
      </c>
      <c r="D3612" s="3563" t="s">
        <v>6429</v>
      </c>
      <c r="E3612" s="3563" t="s">
        <v>6127</v>
      </c>
      <c r="F3612" s="3563" t="s">
        <v>4797</v>
      </c>
      <c r="G3612" s="3564">
        <v>123.7</v>
      </c>
      <c r="H3612" s="3564">
        <v>100.03</v>
      </c>
      <c r="I3612" s="3564">
        <v>23.67</v>
      </c>
      <c r="J3612" s="3565">
        <v>1206141</v>
      </c>
      <c r="K3612" s="3565">
        <v>9750.5300000000007</v>
      </c>
      <c r="L3612" s="3565">
        <v>12057.79</v>
      </c>
      <c r="M3612" s="3565">
        <v>0</v>
      </c>
      <c r="N3612" s="3565">
        <v>0</v>
      </c>
      <c r="O3612" s="3563" t="s">
        <v>3453</v>
      </c>
    </row>
    <row r="3613" spans="1:15">
      <c r="A3613" s="3563" t="s">
        <v>7835</v>
      </c>
      <c r="B3613" s="3563" t="s">
        <v>4196</v>
      </c>
      <c r="C3613" s="3563" t="s">
        <v>4197</v>
      </c>
      <c r="D3613" s="3563" t="s">
        <v>6429</v>
      </c>
      <c r="E3613" s="3563" t="s">
        <v>6127</v>
      </c>
      <c r="F3613" s="3563" t="s">
        <v>4797</v>
      </c>
      <c r="G3613" s="3564">
        <v>100.93</v>
      </c>
      <c r="H3613" s="3564">
        <v>81.62</v>
      </c>
      <c r="I3613" s="3564">
        <v>19.309999999999999</v>
      </c>
      <c r="J3613" s="3565">
        <v>1028144</v>
      </c>
      <c r="K3613" s="3565">
        <v>10186.700000000001</v>
      </c>
      <c r="L3613" s="3565">
        <v>12596.72</v>
      </c>
      <c r="M3613" s="3565">
        <v>0</v>
      </c>
      <c r="N3613" s="3565">
        <v>0</v>
      </c>
      <c r="O3613" s="3563" t="s">
        <v>3453</v>
      </c>
    </row>
    <row r="3614" spans="1:15">
      <c r="A3614" s="3563" t="s">
        <v>7836</v>
      </c>
      <c r="B3614" s="3563" t="s">
        <v>4196</v>
      </c>
      <c r="C3614" s="3563" t="s">
        <v>4197</v>
      </c>
      <c r="D3614" s="3563" t="s">
        <v>6429</v>
      </c>
      <c r="E3614" s="3563" t="s">
        <v>6127</v>
      </c>
      <c r="F3614" s="3563" t="s">
        <v>4797</v>
      </c>
      <c r="G3614" s="3564">
        <v>100.93</v>
      </c>
      <c r="H3614" s="3564">
        <v>81.62</v>
      </c>
      <c r="I3614" s="3564">
        <v>19.309999999999999</v>
      </c>
      <c r="J3614" s="3565">
        <v>1028144</v>
      </c>
      <c r="K3614" s="3565">
        <v>10186.700000000001</v>
      </c>
      <c r="L3614" s="3565">
        <v>12596.72</v>
      </c>
      <c r="M3614" s="3565">
        <v>0</v>
      </c>
      <c r="N3614" s="3565">
        <v>0</v>
      </c>
      <c r="O3614" s="3563" t="s">
        <v>3453</v>
      </c>
    </row>
    <row r="3615" spans="1:15">
      <c r="A3615" s="3563" t="s">
        <v>7837</v>
      </c>
      <c r="B3615" s="3563" t="s">
        <v>4196</v>
      </c>
      <c r="C3615" s="3563" t="s">
        <v>4197</v>
      </c>
      <c r="D3615" s="3563" t="s">
        <v>6429</v>
      </c>
      <c r="E3615" s="3563" t="s">
        <v>6127</v>
      </c>
      <c r="F3615" s="3563" t="s">
        <v>4797</v>
      </c>
      <c r="G3615" s="3564">
        <v>109.36</v>
      </c>
      <c r="H3615" s="3564">
        <v>88.44</v>
      </c>
      <c r="I3615" s="3564">
        <v>20.92</v>
      </c>
      <c r="J3615" s="3565">
        <v>1131470</v>
      </c>
      <c r="K3615" s="3565">
        <v>10346.290000000001</v>
      </c>
      <c r="L3615" s="3565">
        <v>12793.65</v>
      </c>
      <c r="M3615" s="3565">
        <v>0</v>
      </c>
      <c r="N3615" s="3565">
        <v>0</v>
      </c>
      <c r="O3615" s="3563" t="s">
        <v>3453</v>
      </c>
    </row>
    <row r="3616" spans="1:15">
      <c r="A3616" s="3563" t="s">
        <v>7838</v>
      </c>
      <c r="B3616" s="3563" t="s">
        <v>4196</v>
      </c>
      <c r="C3616" s="3563" t="s">
        <v>4197</v>
      </c>
      <c r="D3616" s="3563" t="s">
        <v>6429</v>
      </c>
      <c r="E3616" s="3563" t="s">
        <v>6127</v>
      </c>
      <c r="F3616" s="3563" t="s">
        <v>4797</v>
      </c>
      <c r="G3616" s="3564">
        <v>100.93</v>
      </c>
      <c r="H3616" s="3564">
        <v>81.62</v>
      </c>
      <c r="I3616" s="3564">
        <v>19.309999999999999</v>
      </c>
      <c r="J3616" s="3565">
        <v>1033513</v>
      </c>
      <c r="K3616" s="3565">
        <v>10239.9</v>
      </c>
      <c r="L3616" s="3565">
        <v>12662.5</v>
      </c>
      <c r="M3616" s="3565">
        <v>0</v>
      </c>
      <c r="N3616" s="3565">
        <v>0</v>
      </c>
      <c r="O3616" s="3563" t="s">
        <v>3453</v>
      </c>
    </row>
    <row r="3617" spans="1:15">
      <c r="A3617" s="3563" t="s">
        <v>7839</v>
      </c>
      <c r="B3617" s="3563" t="s">
        <v>4196</v>
      </c>
      <c r="C3617" s="3563" t="s">
        <v>4197</v>
      </c>
      <c r="D3617" s="3563" t="s">
        <v>6429</v>
      </c>
      <c r="E3617" s="3563" t="s">
        <v>6127</v>
      </c>
      <c r="F3617" s="3563" t="s">
        <v>4797</v>
      </c>
      <c r="G3617" s="3564">
        <v>100.93</v>
      </c>
      <c r="H3617" s="3564">
        <v>81.62</v>
      </c>
      <c r="I3617" s="3564">
        <v>19.309999999999999</v>
      </c>
      <c r="J3617" s="3565">
        <v>1033513</v>
      </c>
      <c r="K3617" s="3565">
        <v>10239.9</v>
      </c>
      <c r="L3617" s="3565">
        <v>12662.5</v>
      </c>
      <c r="M3617" s="3565">
        <v>0</v>
      </c>
      <c r="N3617" s="3565">
        <v>0</v>
      </c>
      <c r="O3617" s="3563" t="s">
        <v>3453</v>
      </c>
    </row>
    <row r="3618" spans="1:15">
      <c r="A3618" s="3563" t="s">
        <v>7840</v>
      </c>
      <c r="B3618" s="3563" t="s">
        <v>4196</v>
      </c>
      <c r="C3618" s="3563" t="s">
        <v>4197</v>
      </c>
      <c r="D3618" s="3563" t="s">
        <v>6429</v>
      </c>
      <c r="E3618" s="3563" t="s">
        <v>6127</v>
      </c>
      <c r="F3618" s="3563" t="s">
        <v>4797</v>
      </c>
      <c r="G3618" s="3564">
        <v>123.7</v>
      </c>
      <c r="H3618" s="3564">
        <v>100.03</v>
      </c>
      <c r="I3618" s="3564">
        <v>23.67</v>
      </c>
      <c r="J3618" s="3565">
        <v>1233776</v>
      </c>
      <c r="K3618" s="3565">
        <v>9973.94</v>
      </c>
      <c r="L3618" s="3565">
        <v>12334.06</v>
      </c>
      <c r="M3618" s="3565">
        <v>0</v>
      </c>
      <c r="N3618" s="3565">
        <v>0</v>
      </c>
      <c r="O3618" s="3563" t="s">
        <v>3453</v>
      </c>
    </row>
    <row r="3619" spans="1:15">
      <c r="A3619" s="3563" t="s">
        <v>7841</v>
      </c>
      <c r="B3619" s="3563" t="s">
        <v>4196</v>
      </c>
      <c r="C3619" s="3563" t="s">
        <v>4197</v>
      </c>
      <c r="D3619" s="3563" t="s">
        <v>6429</v>
      </c>
      <c r="E3619" s="3563" t="s">
        <v>6127</v>
      </c>
      <c r="F3619" s="3563" t="s">
        <v>4797</v>
      </c>
      <c r="G3619" s="3564">
        <v>100.93</v>
      </c>
      <c r="H3619" s="3564">
        <v>81.62</v>
      </c>
      <c r="I3619" s="3564">
        <v>19.309999999999999</v>
      </c>
      <c r="J3619" s="3565">
        <v>1029219</v>
      </c>
      <c r="K3619" s="3565">
        <v>10197.35</v>
      </c>
      <c r="L3619" s="3565">
        <v>12609.89</v>
      </c>
      <c r="M3619" s="3565">
        <v>0</v>
      </c>
      <c r="N3619" s="3565">
        <v>0</v>
      </c>
      <c r="O3619" s="3563" t="s">
        <v>3453</v>
      </c>
    </row>
    <row r="3620" spans="1:15">
      <c r="A3620" s="3563" t="s">
        <v>7842</v>
      </c>
      <c r="B3620" s="3563" t="s">
        <v>4196</v>
      </c>
      <c r="C3620" s="3563" t="s">
        <v>4197</v>
      </c>
      <c r="D3620" s="3563" t="s">
        <v>6429</v>
      </c>
      <c r="E3620" s="3563" t="s">
        <v>6127</v>
      </c>
      <c r="F3620" s="3563" t="s">
        <v>4797</v>
      </c>
      <c r="G3620" s="3564">
        <v>100.93</v>
      </c>
      <c r="H3620" s="3564">
        <v>81.62</v>
      </c>
      <c r="I3620" s="3564">
        <v>19.309999999999999</v>
      </c>
      <c r="J3620" s="3565">
        <v>1029219</v>
      </c>
      <c r="K3620" s="3565">
        <v>10197.35</v>
      </c>
      <c r="L3620" s="3565">
        <v>12609.89</v>
      </c>
      <c r="M3620" s="3565">
        <v>0</v>
      </c>
      <c r="N3620" s="3565">
        <v>0</v>
      </c>
      <c r="O3620" s="3563" t="s">
        <v>3453</v>
      </c>
    </row>
    <row r="3621" spans="1:15">
      <c r="A3621" s="3563" t="s">
        <v>7843</v>
      </c>
      <c r="B3621" s="3563" t="s">
        <v>4196</v>
      </c>
      <c r="C3621" s="3563" t="s">
        <v>4197</v>
      </c>
      <c r="D3621" s="3563" t="s">
        <v>6429</v>
      </c>
      <c r="E3621" s="3563" t="s">
        <v>6127</v>
      </c>
      <c r="F3621" s="3563" t="s">
        <v>4797</v>
      </c>
      <c r="G3621" s="3564">
        <v>109.36</v>
      </c>
      <c r="H3621" s="3564">
        <v>88.44</v>
      </c>
      <c r="I3621" s="3564">
        <v>20.92</v>
      </c>
      <c r="J3621" s="3565">
        <v>1132632</v>
      </c>
      <c r="K3621" s="3565">
        <v>10356.91</v>
      </c>
      <c r="L3621" s="3565">
        <v>12806.78</v>
      </c>
      <c r="M3621" s="3565">
        <v>0</v>
      </c>
      <c r="N3621" s="3565">
        <v>0</v>
      </c>
      <c r="O3621" s="3563" t="s">
        <v>3453</v>
      </c>
    </row>
    <row r="3622" spans="1:15">
      <c r="A3622" s="3563" t="s">
        <v>7844</v>
      </c>
      <c r="B3622" s="3563" t="s">
        <v>4196</v>
      </c>
      <c r="C3622" s="3563" t="s">
        <v>4197</v>
      </c>
      <c r="D3622" s="3563" t="s">
        <v>6429</v>
      </c>
      <c r="E3622" s="3563" t="s">
        <v>6127</v>
      </c>
      <c r="F3622" s="3563" t="s">
        <v>4797</v>
      </c>
      <c r="G3622" s="3564">
        <v>100.93</v>
      </c>
      <c r="H3622" s="3564">
        <v>81.62</v>
      </c>
      <c r="I3622" s="3564">
        <v>19.309999999999999</v>
      </c>
      <c r="J3622" s="3565">
        <v>1034587</v>
      </c>
      <c r="K3622" s="3565">
        <v>10250.540000000001</v>
      </c>
      <c r="L3622" s="3565">
        <v>12675.66</v>
      </c>
      <c r="M3622" s="3565">
        <v>0</v>
      </c>
      <c r="N3622" s="3565">
        <v>0</v>
      </c>
      <c r="O3622" s="3563" t="s">
        <v>3453</v>
      </c>
    </row>
    <row r="3623" spans="1:15">
      <c r="A3623" s="3563" t="s">
        <v>7845</v>
      </c>
      <c r="B3623" s="3563" t="s">
        <v>4196</v>
      </c>
      <c r="C3623" s="3563" t="s">
        <v>4197</v>
      </c>
      <c r="D3623" s="3563" t="s">
        <v>6429</v>
      </c>
      <c r="E3623" s="3563" t="s">
        <v>6127</v>
      </c>
      <c r="F3623" s="3563" t="s">
        <v>4797</v>
      </c>
      <c r="G3623" s="3564">
        <v>100.93</v>
      </c>
      <c r="H3623" s="3564">
        <v>81.62</v>
      </c>
      <c r="I3623" s="3564">
        <v>19.309999999999999</v>
      </c>
      <c r="J3623" s="3565">
        <v>1034587</v>
      </c>
      <c r="K3623" s="3565">
        <v>10250.540000000001</v>
      </c>
      <c r="L3623" s="3565">
        <v>12675.66</v>
      </c>
      <c r="M3623" s="3565">
        <v>0</v>
      </c>
      <c r="N3623" s="3565">
        <v>0</v>
      </c>
      <c r="O3623" s="3563" t="s">
        <v>3453</v>
      </c>
    </row>
    <row r="3624" spans="1:15">
      <c r="A3624" s="3563" t="s">
        <v>7846</v>
      </c>
      <c r="B3624" s="3563" t="s">
        <v>4196</v>
      </c>
      <c r="C3624" s="3563" t="s">
        <v>4197</v>
      </c>
      <c r="D3624" s="3563" t="s">
        <v>6429</v>
      </c>
      <c r="E3624" s="3563" t="s">
        <v>6127</v>
      </c>
      <c r="F3624" s="3563" t="s">
        <v>4797</v>
      </c>
      <c r="G3624" s="3564">
        <v>123.7</v>
      </c>
      <c r="H3624" s="3564">
        <v>100.03</v>
      </c>
      <c r="I3624" s="3564">
        <v>23.67</v>
      </c>
      <c r="J3624" s="3565">
        <v>1235092</v>
      </c>
      <c r="K3624" s="3565">
        <v>9984.58</v>
      </c>
      <c r="L3624" s="3565">
        <v>12347.22</v>
      </c>
      <c r="M3624" s="3565">
        <v>0</v>
      </c>
      <c r="N3624" s="3565">
        <v>0</v>
      </c>
      <c r="O3624" s="3563" t="s">
        <v>3453</v>
      </c>
    </row>
    <row r="3625" spans="1:15">
      <c r="A3625" s="3563" t="s">
        <v>7847</v>
      </c>
      <c r="B3625" s="3563" t="s">
        <v>4196</v>
      </c>
      <c r="C3625" s="3563" t="s">
        <v>4197</v>
      </c>
      <c r="D3625" s="3563" t="s">
        <v>6429</v>
      </c>
      <c r="E3625" s="3563" t="s">
        <v>6127</v>
      </c>
      <c r="F3625" s="3563" t="s">
        <v>4797</v>
      </c>
      <c r="G3625" s="3564">
        <v>100.93</v>
      </c>
      <c r="H3625" s="3564">
        <v>81.62</v>
      </c>
      <c r="I3625" s="3564">
        <v>19.309999999999999</v>
      </c>
      <c r="J3625" s="3565">
        <v>1030292</v>
      </c>
      <c r="K3625" s="3565">
        <v>10207.99</v>
      </c>
      <c r="L3625" s="3565">
        <v>12623.03</v>
      </c>
      <c r="M3625" s="3565">
        <v>0</v>
      </c>
      <c r="N3625" s="3565">
        <v>0</v>
      </c>
      <c r="O3625" s="3563" t="s">
        <v>3453</v>
      </c>
    </row>
    <row r="3626" spans="1:15">
      <c r="A3626" s="3563" t="s">
        <v>7848</v>
      </c>
      <c r="B3626" s="3563" t="s">
        <v>4196</v>
      </c>
      <c r="C3626" s="3563" t="s">
        <v>4197</v>
      </c>
      <c r="D3626" s="3563" t="s">
        <v>6429</v>
      </c>
      <c r="E3626" s="3563" t="s">
        <v>6127</v>
      </c>
      <c r="F3626" s="3563" t="s">
        <v>4797</v>
      </c>
      <c r="G3626" s="3564">
        <v>100.93</v>
      </c>
      <c r="H3626" s="3564">
        <v>81.62</v>
      </c>
      <c r="I3626" s="3564">
        <v>19.309999999999999</v>
      </c>
      <c r="J3626" s="3565">
        <v>1030292</v>
      </c>
      <c r="K3626" s="3565">
        <v>10207.99</v>
      </c>
      <c r="L3626" s="3565">
        <v>12623.03</v>
      </c>
      <c r="M3626" s="3565">
        <v>0</v>
      </c>
      <c r="N3626" s="3565">
        <v>0</v>
      </c>
      <c r="O3626" s="3563" t="s">
        <v>3453</v>
      </c>
    </row>
    <row r="3627" spans="1:15">
      <c r="A3627" s="3563" t="s">
        <v>7849</v>
      </c>
      <c r="B3627" s="3563" t="s">
        <v>4196</v>
      </c>
      <c r="C3627" s="3563" t="s">
        <v>4197</v>
      </c>
      <c r="D3627" s="3563" t="s">
        <v>6429</v>
      </c>
      <c r="E3627" s="3563" t="s">
        <v>6127</v>
      </c>
      <c r="F3627" s="3563" t="s">
        <v>4797</v>
      </c>
      <c r="G3627" s="3564">
        <v>109.36</v>
      </c>
      <c r="H3627" s="3564">
        <v>88.44</v>
      </c>
      <c r="I3627" s="3564">
        <v>20.92</v>
      </c>
      <c r="J3627" s="3565">
        <v>1133796</v>
      </c>
      <c r="K3627" s="3565">
        <v>10367.56</v>
      </c>
      <c r="L3627" s="3565">
        <v>12819.95</v>
      </c>
      <c r="M3627" s="3565">
        <v>0</v>
      </c>
      <c r="N3627" s="3565">
        <v>0</v>
      </c>
      <c r="O3627" s="3563" t="s">
        <v>3453</v>
      </c>
    </row>
    <row r="3628" spans="1:15">
      <c r="A3628" s="3563" t="s">
        <v>7850</v>
      </c>
      <c r="B3628" s="3563" t="s">
        <v>4196</v>
      </c>
      <c r="C3628" s="3563" t="s">
        <v>4197</v>
      </c>
      <c r="D3628" s="3563" t="s">
        <v>6429</v>
      </c>
      <c r="E3628" s="3563" t="s">
        <v>6127</v>
      </c>
      <c r="F3628" s="3563" t="s">
        <v>4797</v>
      </c>
      <c r="G3628" s="3564">
        <v>100.93</v>
      </c>
      <c r="H3628" s="3564">
        <v>81.62</v>
      </c>
      <c r="I3628" s="3564">
        <v>19.309999999999999</v>
      </c>
      <c r="J3628" s="3565">
        <v>1035660</v>
      </c>
      <c r="K3628" s="3565">
        <v>10261.17</v>
      </c>
      <c r="L3628" s="3565">
        <v>12688.8</v>
      </c>
      <c r="M3628" s="3565">
        <v>0</v>
      </c>
      <c r="N3628" s="3565">
        <v>0</v>
      </c>
      <c r="O3628" s="3563" t="s">
        <v>3453</v>
      </c>
    </row>
    <row r="3629" spans="1:15">
      <c r="A3629" s="3563" t="s">
        <v>7851</v>
      </c>
      <c r="B3629" s="3563" t="s">
        <v>4196</v>
      </c>
      <c r="C3629" s="3563" t="s">
        <v>4197</v>
      </c>
      <c r="D3629" s="3563" t="s">
        <v>6429</v>
      </c>
      <c r="E3629" s="3563" t="s">
        <v>6127</v>
      </c>
      <c r="F3629" s="3563" t="s">
        <v>4797</v>
      </c>
      <c r="G3629" s="3564">
        <v>100.93</v>
      </c>
      <c r="H3629" s="3564">
        <v>81.62</v>
      </c>
      <c r="I3629" s="3564">
        <v>19.309999999999999</v>
      </c>
      <c r="J3629" s="3565">
        <v>1035660</v>
      </c>
      <c r="K3629" s="3565">
        <v>10261.17</v>
      </c>
      <c r="L3629" s="3565">
        <v>12688.8</v>
      </c>
      <c r="M3629" s="3565">
        <v>0</v>
      </c>
      <c r="N3629" s="3565">
        <v>0</v>
      </c>
      <c r="O3629" s="3563" t="s">
        <v>3453</v>
      </c>
    </row>
    <row r="3630" spans="1:15">
      <c r="A3630" s="3563" t="s">
        <v>7852</v>
      </c>
      <c r="B3630" s="3563" t="s">
        <v>4196</v>
      </c>
      <c r="C3630" s="3563" t="s">
        <v>4197</v>
      </c>
      <c r="D3630" s="3563" t="s">
        <v>6429</v>
      </c>
      <c r="E3630" s="3563" t="s">
        <v>6127</v>
      </c>
      <c r="F3630" s="3563" t="s">
        <v>4797</v>
      </c>
      <c r="G3630" s="3564">
        <v>123.7</v>
      </c>
      <c r="H3630" s="3564">
        <v>100.03</v>
      </c>
      <c r="I3630" s="3564">
        <v>23.67</v>
      </c>
      <c r="J3630" s="3565">
        <v>1236408</v>
      </c>
      <c r="K3630" s="3565">
        <v>9995.2099999999991</v>
      </c>
      <c r="L3630" s="3565">
        <v>12360.37</v>
      </c>
      <c r="M3630" s="3565">
        <v>0</v>
      </c>
      <c r="N3630" s="3565">
        <v>0</v>
      </c>
      <c r="O3630" s="3563" t="s">
        <v>3453</v>
      </c>
    </row>
    <row r="3631" spans="1:15">
      <c r="A3631" s="3563" t="s">
        <v>7853</v>
      </c>
      <c r="B3631" s="3563" t="s">
        <v>4196</v>
      </c>
      <c r="C3631" s="3563" t="s">
        <v>4197</v>
      </c>
      <c r="D3631" s="3563" t="s">
        <v>6429</v>
      </c>
      <c r="E3631" s="3563" t="s">
        <v>4948</v>
      </c>
      <c r="F3631" s="3563" t="s">
        <v>4797</v>
      </c>
      <c r="G3631" s="3564">
        <v>98.22</v>
      </c>
      <c r="H3631" s="3564">
        <v>81.739999999999995</v>
      </c>
      <c r="I3631" s="3564">
        <v>16.48</v>
      </c>
      <c r="J3631" s="3565">
        <v>977550</v>
      </c>
      <c r="K3631" s="3565">
        <v>9952.66</v>
      </c>
      <c r="L3631" s="3565">
        <v>11959.26</v>
      </c>
      <c r="M3631" s="3565">
        <v>0</v>
      </c>
      <c r="N3631" s="3565">
        <v>0</v>
      </c>
      <c r="O3631" s="3563" t="s">
        <v>3453</v>
      </c>
    </row>
    <row r="3632" spans="1:15">
      <c r="A3632" s="3563" t="s">
        <v>7854</v>
      </c>
      <c r="B3632" s="3563" t="s">
        <v>4196</v>
      </c>
      <c r="C3632" s="3563" t="s">
        <v>4197</v>
      </c>
      <c r="D3632" s="3563" t="s">
        <v>6429</v>
      </c>
      <c r="E3632" s="3563" t="s">
        <v>4948</v>
      </c>
      <c r="F3632" s="3563" t="s">
        <v>4797</v>
      </c>
      <c r="G3632" s="3564">
        <v>98.22</v>
      </c>
      <c r="H3632" s="3564">
        <v>81.739999999999995</v>
      </c>
      <c r="I3632" s="3564">
        <v>16.48</v>
      </c>
      <c r="J3632" s="3565">
        <v>977550</v>
      </c>
      <c r="K3632" s="3565">
        <v>9952.66</v>
      </c>
      <c r="L3632" s="3565">
        <v>11959.26</v>
      </c>
      <c r="M3632" s="3565">
        <v>0</v>
      </c>
      <c r="N3632" s="3565">
        <v>0</v>
      </c>
      <c r="O3632" s="3563" t="s">
        <v>3453</v>
      </c>
    </row>
    <row r="3633" spans="1:15">
      <c r="A3633" s="3563" t="s">
        <v>7855</v>
      </c>
      <c r="B3633" s="3563" t="s">
        <v>4196</v>
      </c>
      <c r="C3633" s="3563" t="s">
        <v>4197</v>
      </c>
      <c r="D3633" s="3563" t="s">
        <v>6429</v>
      </c>
      <c r="E3633" s="3563" t="s">
        <v>4948</v>
      </c>
      <c r="F3633" s="3563" t="s">
        <v>4797</v>
      </c>
      <c r="G3633" s="3564">
        <v>87.45</v>
      </c>
      <c r="H3633" s="3564">
        <v>72.78</v>
      </c>
      <c r="I3633" s="3564">
        <v>14.67</v>
      </c>
      <c r="J3633" s="3565">
        <v>870360</v>
      </c>
      <c r="K3633" s="3565">
        <v>9952.66</v>
      </c>
      <c r="L3633" s="3565">
        <v>11958.78</v>
      </c>
      <c r="M3633" s="3565">
        <v>0</v>
      </c>
      <c r="N3633" s="3565">
        <v>0</v>
      </c>
      <c r="O3633" s="3563" t="s">
        <v>3453</v>
      </c>
    </row>
    <row r="3634" spans="1:15">
      <c r="A3634" s="3563" t="s">
        <v>7856</v>
      </c>
      <c r="B3634" s="3563" t="s">
        <v>4196</v>
      </c>
      <c r="C3634" s="3563" t="s">
        <v>4197</v>
      </c>
      <c r="D3634" s="3563" t="s">
        <v>6429</v>
      </c>
      <c r="E3634" s="3563" t="s">
        <v>4948</v>
      </c>
      <c r="F3634" s="3563" t="s">
        <v>4797</v>
      </c>
      <c r="G3634" s="3564">
        <v>73.209999999999994</v>
      </c>
      <c r="H3634" s="3564">
        <v>63.03</v>
      </c>
      <c r="I3634" s="3564">
        <v>10.18</v>
      </c>
      <c r="J3634" s="3565">
        <v>728635</v>
      </c>
      <c r="K3634" s="3565">
        <v>9952.67</v>
      </c>
      <c r="L3634" s="3565">
        <v>11560.13</v>
      </c>
      <c r="M3634" s="3565">
        <v>0</v>
      </c>
      <c r="N3634" s="3565">
        <v>0</v>
      </c>
      <c r="O3634" s="3563" t="s">
        <v>3453</v>
      </c>
    </row>
    <row r="3635" spans="1:15">
      <c r="A3635" s="3563" t="s">
        <v>7857</v>
      </c>
      <c r="B3635" s="3563" t="s">
        <v>4196</v>
      </c>
      <c r="C3635" s="3563" t="s">
        <v>4197</v>
      </c>
      <c r="D3635" s="3563" t="s">
        <v>6429</v>
      </c>
      <c r="E3635" s="3563" t="s">
        <v>4948</v>
      </c>
      <c r="F3635" s="3563" t="s">
        <v>4797</v>
      </c>
      <c r="G3635" s="3564">
        <v>73.209999999999994</v>
      </c>
      <c r="H3635" s="3564">
        <v>63.03</v>
      </c>
      <c r="I3635" s="3564">
        <v>10.18</v>
      </c>
      <c r="J3635" s="3565">
        <v>728635</v>
      </c>
      <c r="K3635" s="3565">
        <v>9952.67</v>
      </c>
      <c r="L3635" s="3565">
        <v>11560.13</v>
      </c>
      <c r="M3635" s="3565">
        <v>0</v>
      </c>
      <c r="N3635" s="3565">
        <v>0</v>
      </c>
      <c r="O3635" s="3563" t="s">
        <v>3453</v>
      </c>
    </row>
    <row r="3636" spans="1:15">
      <c r="A3636" s="3563" t="s">
        <v>7858</v>
      </c>
      <c r="B3636" s="3563" t="s">
        <v>4196</v>
      </c>
      <c r="C3636" s="3563" t="s">
        <v>4197</v>
      </c>
      <c r="D3636" s="3563" t="s">
        <v>6429</v>
      </c>
      <c r="E3636" s="3563" t="s">
        <v>4948</v>
      </c>
      <c r="F3636" s="3563" t="s">
        <v>4797</v>
      </c>
      <c r="G3636" s="3564">
        <v>101.39</v>
      </c>
      <c r="H3636" s="3564">
        <v>81.739999999999995</v>
      </c>
      <c r="I3636" s="3564">
        <v>19.649999999999999</v>
      </c>
      <c r="J3636" s="3565">
        <v>1100783</v>
      </c>
      <c r="K3636" s="3565">
        <v>10856.92</v>
      </c>
      <c r="L3636" s="3565">
        <v>13466.88</v>
      </c>
      <c r="M3636" s="3565">
        <v>0</v>
      </c>
      <c r="N3636" s="3565">
        <v>0</v>
      </c>
      <c r="O3636" s="3563" t="s">
        <v>3453</v>
      </c>
    </row>
    <row r="3637" spans="1:15">
      <c r="A3637" s="3563" t="s">
        <v>7859</v>
      </c>
      <c r="B3637" s="3563" t="s">
        <v>4196</v>
      </c>
      <c r="C3637" s="3563" t="s">
        <v>4197</v>
      </c>
      <c r="D3637" s="3563" t="s">
        <v>6429</v>
      </c>
      <c r="E3637" s="3563" t="s">
        <v>4948</v>
      </c>
      <c r="F3637" s="3563" t="s">
        <v>4797</v>
      </c>
      <c r="G3637" s="3564">
        <v>101.39</v>
      </c>
      <c r="H3637" s="3564">
        <v>81.739999999999995</v>
      </c>
      <c r="I3637" s="3564">
        <v>19.649999999999999</v>
      </c>
      <c r="J3637" s="3565">
        <v>1100783</v>
      </c>
      <c r="K3637" s="3565">
        <v>10856.92</v>
      </c>
      <c r="L3637" s="3565">
        <v>13466.88</v>
      </c>
      <c r="M3637" s="3565">
        <v>0</v>
      </c>
      <c r="N3637" s="3565">
        <v>0</v>
      </c>
      <c r="O3637" s="3563" t="s">
        <v>3453</v>
      </c>
    </row>
    <row r="3638" spans="1:15">
      <c r="A3638" s="3563" t="s">
        <v>7860</v>
      </c>
      <c r="B3638" s="3563" t="s">
        <v>4196</v>
      </c>
      <c r="C3638" s="3563" t="s">
        <v>4197</v>
      </c>
      <c r="D3638" s="3563" t="s">
        <v>6429</v>
      </c>
      <c r="E3638" s="3563" t="s">
        <v>4948</v>
      </c>
      <c r="F3638" s="3563" t="s">
        <v>4797</v>
      </c>
      <c r="G3638" s="3564">
        <v>90.28</v>
      </c>
      <c r="H3638" s="3564">
        <v>72.78</v>
      </c>
      <c r="I3638" s="3564">
        <v>17.5</v>
      </c>
      <c r="J3638" s="3565">
        <v>898527</v>
      </c>
      <c r="K3638" s="3565">
        <v>9952.67</v>
      </c>
      <c r="L3638" s="3565">
        <v>12345.8</v>
      </c>
      <c r="M3638" s="3565">
        <v>0</v>
      </c>
      <c r="N3638" s="3565">
        <v>0</v>
      </c>
      <c r="O3638" s="3563" t="s">
        <v>3453</v>
      </c>
    </row>
    <row r="3639" spans="1:15">
      <c r="A3639" s="3563" t="s">
        <v>7861</v>
      </c>
      <c r="B3639" s="3563" t="s">
        <v>4196</v>
      </c>
      <c r="C3639" s="3563" t="s">
        <v>4197</v>
      </c>
      <c r="D3639" s="3563" t="s">
        <v>6429</v>
      </c>
      <c r="E3639" s="3563" t="s">
        <v>4948</v>
      </c>
      <c r="F3639" s="3563" t="s">
        <v>4797</v>
      </c>
      <c r="G3639" s="3564">
        <v>78.180000000000007</v>
      </c>
      <c r="H3639" s="3564">
        <v>63.03</v>
      </c>
      <c r="I3639" s="3564">
        <v>15.15</v>
      </c>
      <c r="J3639" s="3565">
        <v>778099</v>
      </c>
      <c r="K3639" s="3565">
        <v>9952.66</v>
      </c>
      <c r="L3639" s="3565">
        <v>12344.9</v>
      </c>
      <c r="M3639" s="3565">
        <v>0</v>
      </c>
      <c r="N3639" s="3565">
        <v>0</v>
      </c>
      <c r="O3639" s="3563" t="s">
        <v>3453</v>
      </c>
    </row>
    <row r="3640" spans="1:15">
      <c r="A3640" s="3563" t="s">
        <v>7862</v>
      </c>
      <c r="B3640" s="3563" t="s">
        <v>4196</v>
      </c>
      <c r="C3640" s="3563" t="s">
        <v>4197</v>
      </c>
      <c r="D3640" s="3563" t="s">
        <v>6429</v>
      </c>
      <c r="E3640" s="3563" t="s">
        <v>4948</v>
      </c>
      <c r="F3640" s="3563" t="s">
        <v>4797</v>
      </c>
      <c r="G3640" s="3564">
        <v>78.180000000000007</v>
      </c>
      <c r="H3640" s="3564">
        <v>63.03</v>
      </c>
      <c r="I3640" s="3564">
        <v>15.15</v>
      </c>
      <c r="J3640" s="3565">
        <v>778099</v>
      </c>
      <c r="K3640" s="3565">
        <v>9952.66</v>
      </c>
      <c r="L3640" s="3565">
        <v>12344.9</v>
      </c>
      <c r="M3640" s="3565">
        <v>0</v>
      </c>
      <c r="N3640" s="3565">
        <v>0</v>
      </c>
      <c r="O3640" s="3563" t="s">
        <v>3453</v>
      </c>
    </row>
    <row r="3641" spans="1:15">
      <c r="A3641" s="3563" t="s">
        <v>7863</v>
      </c>
      <c r="B3641" s="3563" t="s">
        <v>4196</v>
      </c>
      <c r="C3641" s="3563" t="s">
        <v>4197</v>
      </c>
      <c r="D3641" s="3563" t="s">
        <v>6429</v>
      </c>
      <c r="E3641" s="3563" t="s">
        <v>4948</v>
      </c>
      <c r="F3641" s="3563" t="s">
        <v>4797</v>
      </c>
      <c r="G3641" s="3564">
        <v>109.7</v>
      </c>
      <c r="H3641" s="3564">
        <v>88.44</v>
      </c>
      <c r="I3641" s="3564">
        <v>21.26</v>
      </c>
      <c r="J3641" s="3565">
        <v>1179333</v>
      </c>
      <c r="K3641" s="3565">
        <v>10750.53</v>
      </c>
      <c r="L3641" s="3565">
        <v>13334.84</v>
      </c>
      <c r="M3641" s="3565">
        <v>0</v>
      </c>
      <c r="N3641" s="3565">
        <v>0</v>
      </c>
      <c r="O3641" s="3563" t="s">
        <v>3453</v>
      </c>
    </row>
    <row r="3642" spans="1:15">
      <c r="A3642" s="3563" t="s">
        <v>7864</v>
      </c>
      <c r="B3642" s="3563" t="s">
        <v>4196</v>
      </c>
      <c r="C3642" s="3563" t="s">
        <v>4197</v>
      </c>
      <c r="D3642" s="3563" t="s">
        <v>6429</v>
      </c>
      <c r="E3642" s="3563" t="s">
        <v>4948</v>
      </c>
      <c r="F3642" s="3563" t="s">
        <v>4797</v>
      </c>
      <c r="G3642" s="3564">
        <v>101.39</v>
      </c>
      <c r="H3642" s="3564">
        <v>81.739999999999995</v>
      </c>
      <c r="I3642" s="3564">
        <v>19.649999999999999</v>
      </c>
      <c r="J3642" s="3565">
        <v>1101862</v>
      </c>
      <c r="K3642" s="3565">
        <v>10867.56</v>
      </c>
      <c r="L3642" s="3565">
        <v>13480.08</v>
      </c>
      <c r="M3642" s="3565">
        <v>0</v>
      </c>
      <c r="N3642" s="3565">
        <v>0</v>
      </c>
      <c r="O3642" s="3563" t="s">
        <v>3453</v>
      </c>
    </row>
    <row r="3643" spans="1:15">
      <c r="A3643" s="3563" t="s">
        <v>7865</v>
      </c>
      <c r="B3643" s="3563" t="s">
        <v>4196</v>
      </c>
      <c r="C3643" s="3563" t="s">
        <v>4197</v>
      </c>
      <c r="D3643" s="3563" t="s">
        <v>6429</v>
      </c>
      <c r="E3643" s="3563" t="s">
        <v>4948</v>
      </c>
      <c r="F3643" s="3563" t="s">
        <v>4797</v>
      </c>
      <c r="G3643" s="3564">
        <v>101.39</v>
      </c>
      <c r="H3643" s="3564">
        <v>81.739999999999995</v>
      </c>
      <c r="I3643" s="3564">
        <v>19.649999999999999</v>
      </c>
      <c r="J3643" s="3565">
        <v>1101862</v>
      </c>
      <c r="K3643" s="3565">
        <v>10867.56</v>
      </c>
      <c r="L3643" s="3565">
        <v>13480.08</v>
      </c>
      <c r="M3643" s="3565">
        <v>0</v>
      </c>
      <c r="N3643" s="3565">
        <v>0</v>
      </c>
      <c r="O3643" s="3563" t="s">
        <v>3453</v>
      </c>
    </row>
    <row r="3644" spans="1:15">
      <c r="A3644" s="3563" t="s">
        <v>7866</v>
      </c>
      <c r="B3644" s="3563" t="s">
        <v>4196</v>
      </c>
      <c r="C3644" s="3563" t="s">
        <v>4197</v>
      </c>
      <c r="D3644" s="3563" t="s">
        <v>6429</v>
      </c>
      <c r="E3644" s="3563" t="s">
        <v>4948</v>
      </c>
      <c r="F3644" s="3563" t="s">
        <v>4797</v>
      </c>
      <c r="G3644" s="3564">
        <v>90.28</v>
      </c>
      <c r="H3644" s="3564">
        <v>72.78</v>
      </c>
      <c r="I3644" s="3564">
        <v>17.5</v>
      </c>
      <c r="J3644" s="3565">
        <v>909091</v>
      </c>
      <c r="K3644" s="3565">
        <v>10069.68</v>
      </c>
      <c r="L3644" s="3565">
        <v>12490.95</v>
      </c>
      <c r="M3644" s="3565">
        <v>0</v>
      </c>
      <c r="N3644" s="3565">
        <v>0</v>
      </c>
      <c r="O3644" s="3563" t="s">
        <v>3453</v>
      </c>
    </row>
    <row r="3645" spans="1:15">
      <c r="A3645" s="3563" t="s">
        <v>7867</v>
      </c>
      <c r="B3645" s="3563" t="s">
        <v>4196</v>
      </c>
      <c r="C3645" s="3563" t="s">
        <v>4197</v>
      </c>
      <c r="D3645" s="3563" t="s">
        <v>6429</v>
      </c>
      <c r="E3645" s="3563" t="s">
        <v>4948</v>
      </c>
      <c r="F3645" s="3563" t="s">
        <v>4797</v>
      </c>
      <c r="G3645" s="3564">
        <v>78.180000000000007</v>
      </c>
      <c r="H3645" s="3564">
        <v>63.03</v>
      </c>
      <c r="I3645" s="3564">
        <v>15.15</v>
      </c>
      <c r="J3645" s="3565">
        <v>778931</v>
      </c>
      <c r="K3645" s="3565">
        <v>9963.2999999999993</v>
      </c>
      <c r="L3645" s="3565">
        <v>12358.1</v>
      </c>
      <c r="M3645" s="3565">
        <v>0</v>
      </c>
      <c r="N3645" s="3565">
        <v>0</v>
      </c>
      <c r="O3645" s="3563" t="s">
        <v>3453</v>
      </c>
    </row>
    <row r="3646" spans="1:15">
      <c r="A3646" s="3563" t="s">
        <v>7868</v>
      </c>
      <c r="B3646" s="3563" t="s">
        <v>4196</v>
      </c>
      <c r="C3646" s="3563" t="s">
        <v>4197</v>
      </c>
      <c r="D3646" s="3563" t="s">
        <v>6429</v>
      </c>
      <c r="E3646" s="3563" t="s">
        <v>4948</v>
      </c>
      <c r="F3646" s="3563" t="s">
        <v>4797</v>
      </c>
      <c r="G3646" s="3564">
        <v>78.180000000000007</v>
      </c>
      <c r="H3646" s="3564">
        <v>63.03</v>
      </c>
      <c r="I3646" s="3564">
        <v>15.15</v>
      </c>
      <c r="J3646" s="3565">
        <v>778931</v>
      </c>
      <c r="K3646" s="3565">
        <v>9963.2999999999993</v>
      </c>
      <c r="L3646" s="3565">
        <v>12358.1</v>
      </c>
      <c r="M3646" s="3565">
        <v>0</v>
      </c>
      <c r="N3646" s="3565">
        <v>0</v>
      </c>
      <c r="O3646" s="3563" t="s">
        <v>3453</v>
      </c>
    </row>
    <row r="3647" spans="1:15">
      <c r="A3647" s="3563" t="s">
        <v>7869</v>
      </c>
      <c r="B3647" s="3563" t="s">
        <v>4196</v>
      </c>
      <c r="C3647" s="3563" t="s">
        <v>4197</v>
      </c>
      <c r="D3647" s="3563" t="s">
        <v>6429</v>
      </c>
      <c r="E3647" s="3563" t="s">
        <v>4948</v>
      </c>
      <c r="F3647" s="3563" t="s">
        <v>4797</v>
      </c>
      <c r="G3647" s="3564">
        <v>109.7</v>
      </c>
      <c r="H3647" s="3564">
        <v>88.44</v>
      </c>
      <c r="I3647" s="3564">
        <v>21.26</v>
      </c>
      <c r="J3647" s="3565">
        <v>1180500</v>
      </c>
      <c r="K3647" s="3565">
        <v>10761.17</v>
      </c>
      <c r="L3647" s="3565">
        <v>13348.03</v>
      </c>
      <c r="M3647" s="3565">
        <v>0</v>
      </c>
      <c r="N3647" s="3565">
        <v>0</v>
      </c>
      <c r="O3647" s="3563" t="s">
        <v>3453</v>
      </c>
    </row>
    <row r="3648" spans="1:15">
      <c r="A3648" s="3563" t="s">
        <v>7870</v>
      </c>
      <c r="B3648" s="3563" t="s">
        <v>4196</v>
      </c>
      <c r="C3648" s="3563" t="s">
        <v>4197</v>
      </c>
      <c r="D3648" s="3563" t="s">
        <v>6429</v>
      </c>
      <c r="E3648" s="3563" t="s">
        <v>4948</v>
      </c>
      <c r="F3648" s="3563" t="s">
        <v>4797</v>
      </c>
      <c r="G3648" s="3564">
        <v>101.39</v>
      </c>
      <c r="H3648" s="3564">
        <v>81.739999999999995</v>
      </c>
      <c r="I3648" s="3564">
        <v>19.649999999999999</v>
      </c>
      <c r="J3648" s="3565">
        <v>1102940</v>
      </c>
      <c r="K3648" s="3565">
        <v>10878.19</v>
      </c>
      <c r="L3648" s="3565">
        <v>13493.27</v>
      </c>
      <c r="M3648" s="3565">
        <v>0</v>
      </c>
      <c r="N3648" s="3565">
        <v>0</v>
      </c>
      <c r="O3648" s="3563" t="s">
        <v>3453</v>
      </c>
    </row>
    <row r="3649" spans="1:15">
      <c r="A3649" s="3563" t="s">
        <v>7871</v>
      </c>
      <c r="B3649" s="3563" t="s">
        <v>4196</v>
      </c>
      <c r="C3649" s="3563" t="s">
        <v>4197</v>
      </c>
      <c r="D3649" s="3563" t="s">
        <v>6429</v>
      </c>
      <c r="E3649" s="3563" t="s">
        <v>4948</v>
      </c>
      <c r="F3649" s="3563" t="s">
        <v>4797</v>
      </c>
      <c r="G3649" s="3564">
        <v>101.39</v>
      </c>
      <c r="H3649" s="3564">
        <v>81.739999999999995</v>
      </c>
      <c r="I3649" s="3564">
        <v>19.649999999999999</v>
      </c>
      <c r="J3649" s="3565">
        <v>1102940</v>
      </c>
      <c r="K3649" s="3565">
        <v>10878.19</v>
      </c>
      <c r="L3649" s="3565">
        <v>13493.27</v>
      </c>
      <c r="M3649" s="3565">
        <v>0</v>
      </c>
      <c r="N3649" s="3565">
        <v>0</v>
      </c>
      <c r="O3649" s="3563" t="s">
        <v>3453</v>
      </c>
    </row>
    <row r="3650" spans="1:15">
      <c r="A3650" s="3563" t="s">
        <v>7872</v>
      </c>
      <c r="B3650" s="3563" t="s">
        <v>4196</v>
      </c>
      <c r="C3650" s="3563" t="s">
        <v>4197</v>
      </c>
      <c r="D3650" s="3563" t="s">
        <v>6429</v>
      </c>
      <c r="E3650" s="3563" t="s">
        <v>4948</v>
      </c>
      <c r="F3650" s="3563" t="s">
        <v>4797</v>
      </c>
      <c r="G3650" s="3564">
        <v>90.28</v>
      </c>
      <c r="H3650" s="3564">
        <v>72.78</v>
      </c>
      <c r="I3650" s="3564">
        <v>17.5</v>
      </c>
      <c r="J3650" s="3565">
        <v>910052</v>
      </c>
      <c r="K3650" s="3565">
        <v>10080.33</v>
      </c>
      <c r="L3650" s="3565">
        <v>12504.15</v>
      </c>
      <c r="M3650" s="3565">
        <v>0</v>
      </c>
      <c r="N3650" s="3565">
        <v>0</v>
      </c>
      <c r="O3650" s="3563" t="s">
        <v>3453</v>
      </c>
    </row>
    <row r="3651" spans="1:15">
      <c r="A3651" s="3563" t="s">
        <v>7873</v>
      </c>
      <c r="B3651" s="3563" t="s">
        <v>4196</v>
      </c>
      <c r="C3651" s="3563" t="s">
        <v>4197</v>
      </c>
      <c r="D3651" s="3563" t="s">
        <v>6429</v>
      </c>
      <c r="E3651" s="3563" t="s">
        <v>4948</v>
      </c>
      <c r="F3651" s="3563" t="s">
        <v>4797</v>
      </c>
      <c r="G3651" s="3564">
        <v>78.180000000000007</v>
      </c>
      <c r="H3651" s="3564">
        <v>63.03</v>
      </c>
      <c r="I3651" s="3564">
        <v>15.15</v>
      </c>
      <c r="J3651" s="3565">
        <v>779763</v>
      </c>
      <c r="K3651" s="3565">
        <v>9973.94</v>
      </c>
      <c r="L3651" s="3565">
        <v>12371.3</v>
      </c>
      <c r="M3651" s="3565">
        <v>0</v>
      </c>
      <c r="N3651" s="3565">
        <v>0</v>
      </c>
      <c r="O3651" s="3563" t="s">
        <v>3453</v>
      </c>
    </row>
    <row r="3652" spans="1:15">
      <c r="A3652" s="3563" t="s">
        <v>7874</v>
      </c>
      <c r="B3652" s="3563" t="s">
        <v>4196</v>
      </c>
      <c r="C3652" s="3563" t="s">
        <v>4197</v>
      </c>
      <c r="D3652" s="3563" t="s">
        <v>6429</v>
      </c>
      <c r="E3652" s="3563" t="s">
        <v>4948</v>
      </c>
      <c r="F3652" s="3563" t="s">
        <v>4797</v>
      </c>
      <c r="G3652" s="3564">
        <v>78.180000000000007</v>
      </c>
      <c r="H3652" s="3564">
        <v>63.03</v>
      </c>
      <c r="I3652" s="3564">
        <v>15.15</v>
      </c>
      <c r="J3652" s="3565">
        <v>779763</v>
      </c>
      <c r="K3652" s="3565">
        <v>9973.94</v>
      </c>
      <c r="L3652" s="3565">
        <v>12371.3</v>
      </c>
      <c r="M3652" s="3565">
        <v>0</v>
      </c>
      <c r="N3652" s="3565">
        <v>0</v>
      </c>
      <c r="O3652" s="3563" t="s">
        <v>3453</v>
      </c>
    </row>
    <row r="3653" spans="1:15">
      <c r="A3653" s="3563" t="s">
        <v>7875</v>
      </c>
      <c r="B3653" s="3563" t="s">
        <v>4196</v>
      </c>
      <c r="C3653" s="3563" t="s">
        <v>4197</v>
      </c>
      <c r="D3653" s="3563" t="s">
        <v>6429</v>
      </c>
      <c r="E3653" s="3563" t="s">
        <v>4948</v>
      </c>
      <c r="F3653" s="3563" t="s">
        <v>4797</v>
      </c>
      <c r="G3653" s="3564">
        <v>109.7</v>
      </c>
      <c r="H3653" s="3564">
        <v>88.44</v>
      </c>
      <c r="I3653" s="3564">
        <v>21.26</v>
      </c>
      <c r="J3653" s="3565">
        <v>1181668</v>
      </c>
      <c r="K3653" s="3565">
        <v>10771.81</v>
      </c>
      <c r="L3653" s="3565">
        <v>13361.24</v>
      </c>
      <c r="M3653" s="3565">
        <v>0</v>
      </c>
      <c r="N3653" s="3565">
        <v>0</v>
      </c>
      <c r="O3653" s="3563" t="s">
        <v>3453</v>
      </c>
    </row>
    <row r="3654" spans="1:15">
      <c r="A3654" s="3563" t="s">
        <v>7876</v>
      </c>
      <c r="B3654" s="3563" t="s">
        <v>4196</v>
      </c>
      <c r="C3654" s="3563" t="s">
        <v>4197</v>
      </c>
      <c r="D3654" s="3563" t="s">
        <v>6429</v>
      </c>
      <c r="E3654" s="3563" t="s">
        <v>4948</v>
      </c>
      <c r="F3654" s="3563" t="s">
        <v>4797</v>
      </c>
      <c r="G3654" s="3564">
        <v>101.39</v>
      </c>
      <c r="H3654" s="3564">
        <v>81.739999999999995</v>
      </c>
      <c r="I3654" s="3564">
        <v>19.649999999999999</v>
      </c>
      <c r="J3654" s="3565">
        <v>1104019</v>
      </c>
      <c r="K3654" s="3565">
        <v>10888.84</v>
      </c>
      <c r="L3654" s="3565">
        <v>13506.47</v>
      </c>
      <c r="M3654" s="3565">
        <v>0</v>
      </c>
      <c r="N3654" s="3565">
        <v>0</v>
      </c>
      <c r="O3654" s="3563" t="s">
        <v>3453</v>
      </c>
    </row>
    <row r="3655" spans="1:15">
      <c r="A3655" s="3563" t="s">
        <v>7877</v>
      </c>
      <c r="B3655" s="3563" t="s">
        <v>4196</v>
      </c>
      <c r="C3655" s="3563" t="s">
        <v>4197</v>
      </c>
      <c r="D3655" s="3563" t="s">
        <v>6429</v>
      </c>
      <c r="E3655" s="3563" t="s">
        <v>4948</v>
      </c>
      <c r="F3655" s="3563" t="s">
        <v>4797</v>
      </c>
      <c r="G3655" s="3564">
        <v>101.39</v>
      </c>
      <c r="H3655" s="3564">
        <v>81.739999999999995</v>
      </c>
      <c r="I3655" s="3564">
        <v>19.649999999999999</v>
      </c>
      <c r="J3655" s="3565">
        <v>1104019</v>
      </c>
      <c r="K3655" s="3565">
        <v>10888.84</v>
      </c>
      <c r="L3655" s="3565">
        <v>13506.47</v>
      </c>
      <c r="M3655" s="3565">
        <v>0</v>
      </c>
      <c r="N3655" s="3565">
        <v>0</v>
      </c>
      <c r="O3655" s="3563" t="s">
        <v>3453</v>
      </c>
    </row>
    <row r="3656" spans="1:15">
      <c r="A3656" s="3563" t="s">
        <v>7878</v>
      </c>
      <c r="B3656" s="3563" t="s">
        <v>4196</v>
      </c>
      <c r="C3656" s="3563" t="s">
        <v>4197</v>
      </c>
      <c r="D3656" s="3563" t="s">
        <v>6429</v>
      </c>
      <c r="E3656" s="3563" t="s">
        <v>4948</v>
      </c>
      <c r="F3656" s="3563" t="s">
        <v>4797</v>
      </c>
      <c r="G3656" s="3564">
        <v>90.28</v>
      </c>
      <c r="H3656" s="3564">
        <v>72.78</v>
      </c>
      <c r="I3656" s="3564">
        <v>17.5</v>
      </c>
      <c r="J3656" s="3565">
        <v>911012</v>
      </c>
      <c r="K3656" s="3565">
        <v>10090.959999999999</v>
      </c>
      <c r="L3656" s="3565">
        <v>12517.34</v>
      </c>
      <c r="M3656" s="3565">
        <v>0</v>
      </c>
      <c r="N3656" s="3565">
        <v>0</v>
      </c>
      <c r="O3656" s="3563" t="s">
        <v>3453</v>
      </c>
    </row>
    <row r="3657" spans="1:15">
      <c r="A3657" s="3563" t="s">
        <v>7879</v>
      </c>
      <c r="B3657" s="3563" t="s">
        <v>4196</v>
      </c>
      <c r="C3657" s="3563" t="s">
        <v>4197</v>
      </c>
      <c r="D3657" s="3563" t="s">
        <v>6429</v>
      </c>
      <c r="E3657" s="3563" t="s">
        <v>4948</v>
      </c>
      <c r="F3657" s="3563" t="s">
        <v>4797</v>
      </c>
      <c r="G3657" s="3564">
        <v>78.180000000000007</v>
      </c>
      <c r="H3657" s="3564">
        <v>63.03</v>
      </c>
      <c r="I3657" s="3564">
        <v>15.15</v>
      </c>
      <c r="J3657" s="3565">
        <v>780594</v>
      </c>
      <c r="K3657" s="3565">
        <v>9984.57</v>
      </c>
      <c r="L3657" s="3565">
        <v>12384.48</v>
      </c>
      <c r="M3657" s="3565">
        <v>0</v>
      </c>
      <c r="N3657" s="3565">
        <v>0</v>
      </c>
      <c r="O3657" s="3563" t="s">
        <v>3453</v>
      </c>
    </row>
    <row r="3658" spans="1:15">
      <c r="A3658" s="3563" t="s">
        <v>7880</v>
      </c>
      <c r="B3658" s="3563" t="s">
        <v>4196</v>
      </c>
      <c r="C3658" s="3563" t="s">
        <v>4197</v>
      </c>
      <c r="D3658" s="3563" t="s">
        <v>6429</v>
      </c>
      <c r="E3658" s="3563" t="s">
        <v>4948</v>
      </c>
      <c r="F3658" s="3563" t="s">
        <v>4797</v>
      </c>
      <c r="G3658" s="3564">
        <v>78.180000000000007</v>
      </c>
      <c r="H3658" s="3564">
        <v>63.03</v>
      </c>
      <c r="I3658" s="3564">
        <v>15.15</v>
      </c>
      <c r="J3658" s="3565">
        <v>780594</v>
      </c>
      <c r="K3658" s="3565">
        <v>9984.57</v>
      </c>
      <c r="L3658" s="3565">
        <v>12384.48</v>
      </c>
      <c r="M3658" s="3565">
        <v>0</v>
      </c>
      <c r="N3658" s="3565">
        <v>0</v>
      </c>
      <c r="O3658" s="3563" t="s">
        <v>3453</v>
      </c>
    </row>
    <row r="3659" spans="1:15">
      <c r="A3659" s="3563" t="s">
        <v>7881</v>
      </c>
      <c r="B3659" s="3563" t="s">
        <v>4196</v>
      </c>
      <c r="C3659" s="3563" t="s">
        <v>4197</v>
      </c>
      <c r="D3659" s="3563" t="s">
        <v>6429</v>
      </c>
      <c r="E3659" s="3563" t="s">
        <v>4948</v>
      </c>
      <c r="F3659" s="3563" t="s">
        <v>4797</v>
      </c>
      <c r="G3659" s="3564">
        <v>109.7</v>
      </c>
      <c r="H3659" s="3564">
        <v>88.44</v>
      </c>
      <c r="I3659" s="3564">
        <v>21.26</v>
      </c>
      <c r="J3659" s="3565">
        <v>1182835</v>
      </c>
      <c r="K3659" s="3565">
        <v>10782.45</v>
      </c>
      <c r="L3659" s="3565">
        <v>13374.43</v>
      </c>
      <c r="M3659" s="3565">
        <v>0</v>
      </c>
      <c r="N3659" s="3565">
        <v>0</v>
      </c>
      <c r="O3659" s="3563" t="s">
        <v>3453</v>
      </c>
    </row>
    <row r="3660" spans="1:15">
      <c r="A3660" s="3563" t="s">
        <v>7882</v>
      </c>
      <c r="B3660" s="3563" t="s">
        <v>4196</v>
      </c>
      <c r="C3660" s="3563" t="s">
        <v>4197</v>
      </c>
      <c r="D3660" s="3563" t="s">
        <v>6429</v>
      </c>
      <c r="E3660" s="3563" t="s">
        <v>4948</v>
      </c>
      <c r="F3660" s="3563" t="s">
        <v>4797</v>
      </c>
      <c r="G3660" s="3564">
        <v>101.39</v>
      </c>
      <c r="H3660" s="3564">
        <v>81.739999999999995</v>
      </c>
      <c r="I3660" s="3564">
        <v>19.649999999999999</v>
      </c>
      <c r="J3660" s="3565">
        <v>1094311</v>
      </c>
      <c r="K3660" s="3565">
        <v>10793.09</v>
      </c>
      <c r="L3660" s="3565">
        <v>13387.7</v>
      </c>
      <c r="M3660" s="3565">
        <v>0</v>
      </c>
      <c r="N3660" s="3565">
        <v>0</v>
      </c>
      <c r="O3660" s="3563" t="s">
        <v>3453</v>
      </c>
    </row>
    <row r="3661" spans="1:15">
      <c r="A3661" s="3563" t="s">
        <v>7883</v>
      </c>
      <c r="B3661" s="3563" t="s">
        <v>4196</v>
      </c>
      <c r="C3661" s="3563" t="s">
        <v>4197</v>
      </c>
      <c r="D3661" s="3563" t="s">
        <v>6429</v>
      </c>
      <c r="E3661" s="3563" t="s">
        <v>4948</v>
      </c>
      <c r="F3661" s="3563" t="s">
        <v>4797</v>
      </c>
      <c r="G3661" s="3564">
        <v>101.39</v>
      </c>
      <c r="H3661" s="3564">
        <v>81.739999999999995</v>
      </c>
      <c r="I3661" s="3564">
        <v>19.649999999999999</v>
      </c>
      <c r="J3661" s="3565">
        <v>1094311</v>
      </c>
      <c r="K3661" s="3565">
        <v>10793.09</v>
      </c>
      <c r="L3661" s="3565">
        <v>13387.7</v>
      </c>
      <c r="M3661" s="3565">
        <v>0</v>
      </c>
      <c r="N3661" s="3565">
        <v>0</v>
      </c>
      <c r="O3661" s="3563" t="s">
        <v>3453</v>
      </c>
    </row>
    <row r="3662" spans="1:15">
      <c r="A3662" s="3563" t="s">
        <v>7884</v>
      </c>
      <c r="B3662" s="3563" t="s">
        <v>4196</v>
      </c>
      <c r="C3662" s="3563" t="s">
        <v>4197</v>
      </c>
      <c r="D3662" s="3563" t="s">
        <v>6429</v>
      </c>
      <c r="E3662" s="3563" t="s">
        <v>4948</v>
      </c>
      <c r="F3662" s="3563" t="s">
        <v>4797</v>
      </c>
      <c r="G3662" s="3564">
        <v>90.28</v>
      </c>
      <c r="H3662" s="3564">
        <v>72.78</v>
      </c>
      <c r="I3662" s="3564">
        <v>17.5</v>
      </c>
      <c r="J3662" s="3565">
        <v>902369</v>
      </c>
      <c r="K3662" s="3565">
        <v>9995.23</v>
      </c>
      <c r="L3662" s="3565">
        <v>12398.58</v>
      </c>
      <c r="M3662" s="3565">
        <v>0</v>
      </c>
      <c r="N3662" s="3565">
        <v>0</v>
      </c>
      <c r="O3662" s="3563" t="s">
        <v>3453</v>
      </c>
    </row>
    <row r="3663" spans="1:15">
      <c r="A3663" s="3563" t="s">
        <v>7885</v>
      </c>
      <c r="B3663" s="3563" t="s">
        <v>4196</v>
      </c>
      <c r="C3663" s="3563" t="s">
        <v>4197</v>
      </c>
      <c r="D3663" s="3563" t="s">
        <v>6429</v>
      </c>
      <c r="E3663" s="3563" t="s">
        <v>4948</v>
      </c>
      <c r="F3663" s="3563" t="s">
        <v>4797</v>
      </c>
      <c r="G3663" s="3564">
        <v>78.180000000000007</v>
      </c>
      <c r="H3663" s="3564">
        <v>63.03</v>
      </c>
      <c r="I3663" s="3564">
        <v>15.15</v>
      </c>
      <c r="J3663" s="3565">
        <v>778099</v>
      </c>
      <c r="K3663" s="3565">
        <v>9952.66</v>
      </c>
      <c r="L3663" s="3565">
        <v>12344.9</v>
      </c>
      <c r="M3663" s="3565">
        <v>0</v>
      </c>
      <c r="N3663" s="3565">
        <v>0</v>
      </c>
      <c r="O3663" s="3563" t="s">
        <v>3453</v>
      </c>
    </row>
    <row r="3664" spans="1:15">
      <c r="A3664" s="3563" t="s">
        <v>7886</v>
      </c>
      <c r="B3664" s="3563" t="s">
        <v>4196</v>
      </c>
      <c r="C3664" s="3563" t="s">
        <v>4197</v>
      </c>
      <c r="D3664" s="3563" t="s">
        <v>6429</v>
      </c>
      <c r="E3664" s="3563" t="s">
        <v>4948</v>
      </c>
      <c r="F3664" s="3563" t="s">
        <v>4797</v>
      </c>
      <c r="G3664" s="3564">
        <v>78.180000000000007</v>
      </c>
      <c r="H3664" s="3564">
        <v>63.03</v>
      </c>
      <c r="I3664" s="3564">
        <v>15.15</v>
      </c>
      <c r="J3664" s="3565">
        <v>778099</v>
      </c>
      <c r="K3664" s="3565">
        <v>9952.66</v>
      </c>
      <c r="L3664" s="3565">
        <v>12344.9</v>
      </c>
      <c r="M3664" s="3565">
        <v>0</v>
      </c>
      <c r="N3664" s="3565">
        <v>0</v>
      </c>
      <c r="O3664" s="3563" t="s">
        <v>3453</v>
      </c>
    </row>
    <row r="3665" spans="1:15">
      <c r="A3665" s="3563" t="s">
        <v>7887</v>
      </c>
      <c r="B3665" s="3563" t="s">
        <v>4196</v>
      </c>
      <c r="C3665" s="3563" t="s">
        <v>4197</v>
      </c>
      <c r="D3665" s="3563" t="s">
        <v>6429</v>
      </c>
      <c r="E3665" s="3563" t="s">
        <v>4948</v>
      </c>
      <c r="F3665" s="3563" t="s">
        <v>4797</v>
      </c>
      <c r="G3665" s="3564">
        <v>109.7</v>
      </c>
      <c r="H3665" s="3564">
        <v>88.44</v>
      </c>
      <c r="I3665" s="3564">
        <v>21.26</v>
      </c>
      <c r="J3665" s="3565">
        <v>1172331</v>
      </c>
      <c r="K3665" s="3565">
        <v>10686.7</v>
      </c>
      <c r="L3665" s="3565">
        <v>13255.66</v>
      </c>
      <c r="M3665" s="3565">
        <v>0</v>
      </c>
      <c r="N3665" s="3565">
        <v>0</v>
      </c>
      <c r="O3665" s="3563" t="s">
        <v>3453</v>
      </c>
    </row>
    <row r="3666" spans="1:15">
      <c r="A3666" s="3563" t="s">
        <v>7888</v>
      </c>
      <c r="B3666" s="3563" t="s">
        <v>4196</v>
      </c>
      <c r="C3666" s="3563" t="s">
        <v>4197</v>
      </c>
      <c r="D3666" s="3563" t="s">
        <v>6429</v>
      </c>
      <c r="E3666" s="3563" t="s">
        <v>4948</v>
      </c>
      <c r="F3666" s="3563" t="s">
        <v>4797</v>
      </c>
      <c r="G3666" s="3564">
        <v>101.39</v>
      </c>
      <c r="H3666" s="3564">
        <v>81.739999999999995</v>
      </c>
      <c r="I3666" s="3564">
        <v>19.649999999999999</v>
      </c>
      <c r="J3666" s="3565">
        <v>1106176</v>
      </c>
      <c r="K3666" s="3565">
        <v>10910.11</v>
      </c>
      <c r="L3666" s="3565">
        <v>13532.86</v>
      </c>
      <c r="M3666" s="3565">
        <v>0</v>
      </c>
      <c r="N3666" s="3565">
        <v>0</v>
      </c>
      <c r="O3666" s="3563" t="s">
        <v>3453</v>
      </c>
    </row>
    <row r="3667" spans="1:15">
      <c r="A3667" s="3563" t="s">
        <v>7889</v>
      </c>
      <c r="B3667" s="3563" t="s">
        <v>4196</v>
      </c>
      <c r="C3667" s="3563" t="s">
        <v>4197</v>
      </c>
      <c r="D3667" s="3563" t="s">
        <v>6429</v>
      </c>
      <c r="E3667" s="3563" t="s">
        <v>4948</v>
      </c>
      <c r="F3667" s="3563" t="s">
        <v>4797</v>
      </c>
      <c r="G3667" s="3564">
        <v>101.39</v>
      </c>
      <c r="H3667" s="3564">
        <v>81.739999999999995</v>
      </c>
      <c r="I3667" s="3564">
        <v>19.649999999999999</v>
      </c>
      <c r="J3667" s="3565">
        <v>1106176</v>
      </c>
      <c r="K3667" s="3565">
        <v>10910.11</v>
      </c>
      <c r="L3667" s="3565">
        <v>13532.86</v>
      </c>
      <c r="M3667" s="3565">
        <v>0</v>
      </c>
      <c r="N3667" s="3565">
        <v>0</v>
      </c>
      <c r="O3667" s="3563" t="s">
        <v>3453</v>
      </c>
    </row>
    <row r="3668" spans="1:15">
      <c r="A3668" s="3563" t="s">
        <v>7890</v>
      </c>
      <c r="B3668" s="3563" t="s">
        <v>4196</v>
      </c>
      <c r="C3668" s="3563" t="s">
        <v>4197</v>
      </c>
      <c r="D3668" s="3563" t="s">
        <v>6429</v>
      </c>
      <c r="E3668" s="3563" t="s">
        <v>4948</v>
      </c>
      <c r="F3668" s="3563" t="s">
        <v>4797</v>
      </c>
      <c r="G3668" s="3564">
        <v>90.28</v>
      </c>
      <c r="H3668" s="3564">
        <v>72.78</v>
      </c>
      <c r="I3668" s="3564">
        <v>17.5</v>
      </c>
      <c r="J3668" s="3565">
        <v>912933</v>
      </c>
      <c r="K3668" s="3565">
        <v>10112.24</v>
      </c>
      <c r="L3668" s="3565">
        <v>12543.73</v>
      </c>
      <c r="M3668" s="3565">
        <v>0</v>
      </c>
      <c r="N3668" s="3565">
        <v>0</v>
      </c>
      <c r="O3668" s="3563" t="s">
        <v>3453</v>
      </c>
    </row>
    <row r="3669" spans="1:15">
      <c r="A3669" s="3563" t="s">
        <v>7891</v>
      </c>
      <c r="B3669" s="3563" t="s">
        <v>4196</v>
      </c>
      <c r="C3669" s="3563" t="s">
        <v>4197</v>
      </c>
      <c r="D3669" s="3563" t="s">
        <v>6429</v>
      </c>
      <c r="E3669" s="3563" t="s">
        <v>4948</v>
      </c>
      <c r="F3669" s="3563" t="s">
        <v>4797</v>
      </c>
      <c r="G3669" s="3564">
        <v>78.180000000000007</v>
      </c>
      <c r="H3669" s="3564">
        <v>63.03</v>
      </c>
      <c r="I3669" s="3564">
        <v>15.15</v>
      </c>
      <c r="J3669" s="3565">
        <v>782258</v>
      </c>
      <c r="K3669" s="3565">
        <v>10005.86</v>
      </c>
      <c r="L3669" s="3565">
        <v>12410.88</v>
      </c>
      <c r="M3669" s="3565">
        <v>0</v>
      </c>
      <c r="N3669" s="3565">
        <v>0</v>
      </c>
      <c r="O3669" s="3563" t="s">
        <v>3453</v>
      </c>
    </row>
    <row r="3670" spans="1:15">
      <c r="A3670" s="3563" t="s">
        <v>7892</v>
      </c>
      <c r="B3670" s="3563" t="s">
        <v>4196</v>
      </c>
      <c r="C3670" s="3563" t="s">
        <v>4197</v>
      </c>
      <c r="D3670" s="3563" t="s">
        <v>6429</v>
      </c>
      <c r="E3670" s="3563" t="s">
        <v>4948</v>
      </c>
      <c r="F3670" s="3563" t="s">
        <v>4797</v>
      </c>
      <c r="G3670" s="3564">
        <v>78.180000000000007</v>
      </c>
      <c r="H3670" s="3564">
        <v>63.03</v>
      </c>
      <c r="I3670" s="3564">
        <v>15.15</v>
      </c>
      <c r="J3670" s="3565">
        <v>782258</v>
      </c>
      <c r="K3670" s="3565">
        <v>10005.86</v>
      </c>
      <c r="L3670" s="3565">
        <v>12410.88</v>
      </c>
      <c r="M3670" s="3565">
        <v>0</v>
      </c>
      <c r="N3670" s="3565">
        <v>0</v>
      </c>
      <c r="O3670" s="3563" t="s">
        <v>3453</v>
      </c>
    </row>
    <row r="3671" spans="1:15">
      <c r="A3671" s="3563" t="s">
        <v>7893</v>
      </c>
      <c r="B3671" s="3563" t="s">
        <v>4196</v>
      </c>
      <c r="C3671" s="3563" t="s">
        <v>4197</v>
      </c>
      <c r="D3671" s="3563" t="s">
        <v>6429</v>
      </c>
      <c r="E3671" s="3563" t="s">
        <v>4948</v>
      </c>
      <c r="F3671" s="3563" t="s">
        <v>4797</v>
      </c>
      <c r="G3671" s="3564">
        <v>109.7</v>
      </c>
      <c r="H3671" s="3564">
        <v>88.44</v>
      </c>
      <c r="I3671" s="3564">
        <v>21.26</v>
      </c>
      <c r="J3671" s="3565">
        <v>1185169</v>
      </c>
      <c r="K3671" s="3565">
        <v>10803.73</v>
      </c>
      <c r="L3671" s="3565">
        <v>13400.83</v>
      </c>
      <c r="M3671" s="3565">
        <v>0</v>
      </c>
      <c r="N3671" s="3565">
        <v>0</v>
      </c>
      <c r="O3671" s="3563" t="s">
        <v>3453</v>
      </c>
    </row>
    <row r="3672" spans="1:15">
      <c r="A3672" s="3563" t="s">
        <v>7894</v>
      </c>
      <c r="B3672" s="3563" t="s">
        <v>4196</v>
      </c>
      <c r="C3672" s="3563" t="s">
        <v>4197</v>
      </c>
      <c r="D3672" s="3563" t="s">
        <v>6429</v>
      </c>
      <c r="E3672" s="3563" t="s">
        <v>4948</v>
      </c>
      <c r="F3672" s="3563" t="s">
        <v>4797</v>
      </c>
      <c r="G3672" s="3564">
        <v>101.39</v>
      </c>
      <c r="H3672" s="3564">
        <v>81.739999999999995</v>
      </c>
      <c r="I3672" s="3564">
        <v>19.649999999999999</v>
      </c>
      <c r="J3672" s="3565">
        <v>1105097</v>
      </c>
      <c r="K3672" s="3565">
        <v>10899.47</v>
      </c>
      <c r="L3672" s="3565">
        <v>13519.66</v>
      </c>
      <c r="M3672" s="3565">
        <v>0</v>
      </c>
      <c r="N3672" s="3565">
        <v>0</v>
      </c>
      <c r="O3672" s="3563" t="s">
        <v>3453</v>
      </c>
    </row>
    <row r="3673" spans="1:15">
      <c r="A3673" s="3563" t="s">
        <v>7895</v>
      </c>
      <c r="B3673" s="3563" t="s">
        <v>4196</v>
      </c>
      <c r="C3673" s="3563" t="s">
        <v>4197</v>
      </c>
      <c r="D3673" s="3563" t="s">
        <v>6429</v>
      </c>
      <c r="E3673" s="3563" t="s">
        <v>4948</v>
      </c>
      <c r="F3673" s="3563" t="s">
        <v>4797</v>
      </c>
      <c r="G3673" s="3564">
        <v>101.39</v>
      </c>
      <c r="H3673" s="3564">
        <v>81.739999999999995</v>
      </c>
      <c r="I3673" s="3564">
        <v>19.649999999999999</v>
      </c>
      <c r="J3673" s="3565">
        <v>1105097</v>
      </c>
      <c r="K3673" s="3565">
        <v>10899.47</v>
      </c>
      <c r="L3673" s="3565">
        <v>13519.66</v>
      </c>
      <c r="M3673" s="3565">
        <v>0</v>
      </c>
      <c r="N3673" s="3565">
        <v>0</v>
      </c>
      <c r="O3673" s="3563" t="s">
        <v>3453</v>
      </c>
    </row>
    <row r="3674" spans="1:15">
      <c r="A3674" s="3563" t="s">
        <v>7896</v>
      </c>
      <c r="B3674" s="3563" t="s">
        <v>4196</v>
      </c>
      <c r="C3674" s="3563" t="s">
        <v>4197</v>
      </c>
      <c r="D3674" s="3563" t="s">
        <v>6429</v>
      </c>
      <c r="E3674" s="3563" t="s">
        <v>4948</v>
      </c>
      <c r="F3674" s="3563" t="s">
        <v>4797</v>
      </c>
      <c r="G3674" s="3564">
        <v>90.28</v>
      </c>
      <c r="H3674" s="3564">
        <v>72.78</v>
      </c>
      <c r="I3674" s="3564">
        <v>17.5</v>
      </c>
      <c r="J3674" s="3565">
        <v>911973</v>
      </c>
      <c r="K3674" s="3565">
        <v>10101.61</v>
      </c>
      <c r="L3674" s="3565">
        <v>12530.54</v>
      </c>
      <c r="M3674" s="3565">
        <v>0</v>
      </c>
      <c r="N3674" s="3565">
        <v>0</v>
      </c>
      <c r="O3674" s="3563" t="s">
        <v>3453</v>
      </c>
    </row>
    <row r="3675" spans="1:15">
      <c r="A3675" s="3563" t="s">
        <v>7897</v>
      </c>
      <c r="B3675" s="3563" t="s">
        <v>4196</v>
      </c>
      <c r="C3675" s="3563" t="s">
        <v>4197</v>
      </c>
      <c r="D3675" s="3563" t="s">
        <v>6429</v>
      </c>
      <c r="E3675" s="3563" t="s">
        <v>4948</v>
      </c>
      <c r="F3675" s="3563" t="s">
        <v>4797</v>
      </c>
      <c r="G3675" s="3564">
        <v>78.180000000000007</v>
      </c>
      <c r="H3675" s="3564">
        <v>63.03</v>
      </c>
      <c r="I3675" s="3564">
        <v>15.15</v>
      </c>
      <c r="J3675" s="3565">
        <v>781426</v>
      </c>
      <c r="K3675" s="3565">
        <v>9995.2199999999993</v>
      </c>
      <c r="L3675" s="3565">
        <v>12397.68</v>
      </c>
      <c r="M3675" s="3565">
        <v>0</v>
      </c>
      <c r="N3675" s="3565">
        <v>0</v>
      </c>
      <c r="O3675" s="3563" t="s">
        <v>3453</v>
      </c>
    </row>
    <row r="3676" spans="1:15">
      <c r="A3676" s="3563" t="s">
        <v>7898</v>
      </c>
      <c r="B3676" s="3563" t="s">
        <v>4196</v>
      </c>
      <c r="C3676" s="3563" t="s">
        <v>4197</v>
      </c>
      <c r="D3676" s="3563" t="s">
        <v>6429</v>
      </c>
      <c r="E3676" s="3563" t="s">
        <v>4948</v>
      </c>
      <c r="F3676" s="3563" t="s">
        <v>4797</v>
      </c>
      <c r="G3676" s="3564">
        <v>78.180000000000007</v>
      </c>
      <c r="H3676" s="3564">
        <v>63.03</v>
      </c>
      <c r="I3676" s="3564">
        <v>15.15</v>
      </c>
      <c r="J3676" s="3565">
        <v>798060</v>
      </c>
      <c r="K3676" s="3565">
        <v>10207.98</v>
      </c>
      <c r="L3676" s="3565">
        <v>12661.59</v>
      </c>
      <c r="M3676" s="3565">
        <v>0</v>
      </c>
      <c r="N3676" s="3565">
        <v>0</v>
      </c>
      <c r="O3676" s="3563" t="s">
        <v>3453</v>
      </c>
    </row>
    <row r="3677" spans="1:15">
      <c r="A3677" s="3563" t="s">
        <v>7899</v>
      </c>
      <c r="B3677" s="3563" t="s">
        <v>4196</v>
      </c>
      <c r="C3677" s="3563" t="s">
        <v>4197</v>
      </c>
      <c r="D3677" s="3563" t="s">
        <v>6429</v>
      </c>
      <c r="E3677" s="3563" t="s">
        <v>4948</v>
      </c>
      <c r="F3677" s="3563" t="s">
        <v>4797</v>
      </c>
      <c r="G3677" s="3564">
        <v>109.7</v>
      </c>
      <c r="H3677" s="3564">
        <v>88.44</v>
      </c>
      <c r="I3677" s="3564">
        <v>21.26</v>
      </c>
      <c r="J3677" s="3565">
        <v>1184002</v>
      </c>
      <c r="K3677" s="3565">
        <v>10793.09</v>
      </c>
      <c r="L3677" s="3565">
        <v>13387.63</v>
      </c>
      <c r="M3677" s="3565">
        <v>0</v>
      </c>
      <c r="N3677" s="3565">
        <v>0</v>
      </c>
      <c r="O3677" s="3563" t="s">
        <v>3453</v>
      </c>
    </row>
    <row r="3678" spans="1:15">
      <c r="A3678" s="3563" t="s">
        <v>7900</v>
      </c>
      <c r="B3678" s="3563" t="s">
        <v>4196</v>
      </c>
      <c r="C3678" s="3563" t="s">
        <v>4197</v>
      </c>
      <c r="D3678" s="3563" t="s">
        <v>6429</v>
      </c>
      <c r="E3678" s="3563" t="s">
        <v>4948</v>
      </c>
      <c r="F3678" s="3563" t="s">
        <v>4797</v>
      </c>
      <c r="G3678" s="3564">
        <v>101.39</v>
      </c>
      <c r="H3678" s="3564">
        <v>81.739999999999995</v>
      </c>
      <c r="I3678" s="3564">
        <v>19.649999999999999</v>
      </c>
      <c r="J3678" s="3565">
        <v>1104019</v>
      </c>
      <c r="K3678" s="3565">
        <v>10888.84</v>
      </c>
      <c r="L3678" s="3565">
        <v>13506.47</v>
      </c>
      <c r="M3678" s="3565">
        <v>0</v>
      </c>
      <c r="N3678" s="3565">
        <v>0</v>
      </c>
      <c r="O3678" s="3563" t="s">
        <v>3453</v>
      </c>
    </row>
    <row r="3679" spans="1:15">
      <c r="A3679" s="3563" t="s">
        <v>7901</v>
      </c>
      <c r="B3679" s="3563" t="s">
        <v>4196</v>
      </c>
      <c r="C3679" s="3563" t="s">
        <v>4197</v>
      </c>
      <c r="D3679" s="3563" t="s">
        <v>6429</v>
      </c>
      <c r="E3679" s="3563" t="s">
        <v>4948</v>
      </c>
      <c r="F3679" s="3563" t="s">
        <v>4797</v>
      </c>
      <c r="G3679" s="3564">
        <v>101.39</v>
      </c>
      <c r="H3679" s="3564">
        <v>81.739999999999995</v>
      </c>
      <c r="I3679" s="3564">
        <v>19.649999999999999</v>
      </c>
      <c r="J3679" s="3565">
        <v>1104019</v>
      </c>
      <c r="K3679" s="3565">
        <v>10888.84</v>
      </c>
      <c r="L3679" s="3565">
        <v>13506.47</v>
      </c>
      <c r="M3679" s="3565">
        <v>0</v>
      </c>
      <c r="N3679" s="3565">
        <v>0</v>
      </c>
      <c r="O3679" s="3563" t="s">
        <v>3453</v>
      </c>
    </row>
    <row r="3680" spans="1:15">
      <c r="A3680" s="3563" t="s">
        <v>7902</v>
      </c>
      <c r="B3680" s="3563" t="s">
        <v>4196</v>
      </c>
      <c r="C3680" s="3563" t="s">
        <v>4197</v>
      </c>
      <c r="D3680" s="3563" t="s">
        <v>6429</v>
      </c>
      <c r="E3680" s="3563" t="s">
        <v>4948</v>
      </c>
      <c r="F3680" s="3563" t="s">
        <v>4797</v>
      </c>
      <c r="G3680" s="3564">
        <v>90.28</v>
      </c>
      <c r="H3680" s="3564">
        <v>72.78</v>
      </c>
      <c r="I3680" s="3564">
        <v>17.5</v>
      </c>
      <c r="J3680" s="3565">
        <v>911012</v>
      </c>
      <c r="K3680" s="3565">
        <v>10090.959999999999</v>
      </c>
      <c r="L3680" s="3565">
        <v>12517.34</v>
      </c>
      <c r="M3680" s="3565">
        <v>0</v>
      </c>
      <c r="N3680" s="3565">
        <v>0</v>
      </c>
      <c r="O3680" s="3563" t="s">
        <v>3453</v>
      </c>
    </row>
    <row r="3681" spans="1:15">
      <c r="A3681" s="3563" t="s">
        <v>7903</v>
      </c>
      <c r="B3681" s="3563" t="s">
        <v>4196</v>
      </c>
      <c r="C3681" s="3563" t="s">
        <v>4197</v>
      </c>
      <c r="D3681" s="3563" t="s">
        <v>6429</v>
      </c>
      <c r="E3681" s="3563" t="s">
        <v>4948</v>
      </c>
      <c r="F3681" s="3563" t="s">
        <v>4797</v>
      </c>
      <c r="G3681" s="3564">
        <v>78.180000000000007</v>
      </c>
      <c r="H3681" s="3564">
        <v>63.03</v>
      </c>
      <c r="I3681" s="3564">
        <v>15.15</v>
      </c>
      <c r="J3681" s="3565">
        <v>780594</v>
      </c>
      <c r="K3681" s="3565">
        <v>9984.57</v>
      </c>
      <c r="L3681" s="3565">
        <v>12384.48</v>
      </c>
      <c r="M3681" s="3565">
        <v>0</v>
      </c>
      <c r="N3681" s="3565">
        <v>0</v>
      </c>
      <c r="O3681" s="3563" t="s">
        <v>3453</v>
      </c>
    </row>
    <row r="3682" spans="1:15">
      <c r="A3682" s="3563" t="s">
        <v>7904</v>
      </c>
      <c r="B3682" s="3563" t="s">
        <v>4196</v>
      </c>
      <c r="C3682" s="3563" t="s">
        <v>4197</v>
      </c>
      <c r="D3682" s="3563" t="s">
        <v>6429</v>
      </c>
      <c r="E3682" s="3563" t="s">
        <v>4948</v>
      </c>
      <c r="F3682" s="3563" t="s">
        <v>4797</v>
      </c>
      <c r="G3682" s="3564">
        <v>78.180000000000007</v>
      </c>
      <c r="H3682" s="3564">
        <v>63.03</v>
      </c>
      <c r="I3682" s="3564">
        <v>15.15</v>
      </c>
      <c r="J3682" s="3565">
        <v>797228</v>
      </c>
      <c r="K3682" s="3565">
        <v>10197.34</v>
      </c>
      <c r="L3682" s="3565">
        <v>12648.39</v>
      </c>
      <c r="M3682" s="3565">
        <v>0</v>
      </c>
      <c r="N3682" s="3565">
        <v>0</v>
      </c>
      <c r="O3682" s="3563" t="s">
        <v>3453</v>
      </c>
    </row>
    <row r="3683" spans="1:15">
      <c r="A3683" s="3563" t="s">
        <v>7905</v>
      </c>
      <c r="B3683" s="3563" t="s">
        <v>4196</v>
      </c>
      <c r="C3683" s="3563" t="s">
        <v>4197</v>
      </c>
      <c r="D3683" s="3563" t="s">
        <v>6429</v>
      </c>
      <c r="E3683" s="3563" t="s">
        <v>4948</v>
      </c>
      <c r="F3683" s="3563" t="s">
        <v>4797</v>
      </c>
      <c r="G3683" s="3564">
        <v>109.7</v>
      </c>
      <c r="H3683" s="3564">
        <v>88.44</v>
      </c>
      <c r="I3683" s="3564">
        <v>21.26</v>
      </c>
      <c r="J3683" s="3565">
        <v>1182835</v>
      </c>
      <c r="K3683" s="3565">
        <v>10782.45</v>
      </c>
      <c r="L3683" s="3565">
        <v>13374.43</v>
      </c>
      <c r="M3683" s="3565">
        <v>0</v>
      </c>
      <c r="N3683" s="3565">
        <v>0</v>
      </c>
      <c r="O3683" s="3563" t="s">
        <v>3453</v>
      </c>
    </row>
    <row r="3684" spans="1:15">
      <c r="A3684" s="3563" t="s">
        <v>7906</v>
      </c>
      <c r="B3684" s="3563" t="s">
        <v>4196</v>
      </c>
      <c r="C3684" s="3563" t="s">
        <v>4197</v>
      </c>
      <c r="D3684" s="3563" t="s">
        <v>6429</v>
      </c>
      <c r="E3684" s="3563" t="s">
        <v>4948</v>
      </c>
      <c r="F3684" s="3563" t="s">
        <v>4797</v>
      </c>
      <c r="G3684" s="3564">
        <v>101.39</v>
      </c>
      <c r="H3684" s="3564">
        <v>81.739999999999995</v>
      </c>
      <c r="I3684" s="3564">
        <v>19.649999999999999</v>
      </c>
      <c r="J3684" s="3565">
        <v>1092154</v>
      </c>
      <c r="K3684" s="3565">
        <v>10771.81</v>
      </c>
      <c r="L3684" s="3565">
        <v>13361.32</v>
      </c>
      <c r="M3684" s="3565">
        <v>0</v>
      </c>
      <c r="N3684" s="3565">
        <v>0</v>
      </c>
      <c r="O3684" s="3563" t="s">
        <v>3453</v>
      </c>
    </row>
    <row r="3685" spans="1:15">
      <c r="A3685" s="3563" t="s">
        <v>7907</v>
      </c>
      <c r="B3685" s="3563" t="s">
        <v>4196</v>
      </c>
      <c r="C3685" s="3563" t="s">
        <v>4197</v>
      </c>
      <c r="D3685" s="3563" t="s">
        <v>6429</v>
      </c>
      <c r="E3685" s="3563" t="s">
        <v>4948</v>
      </c>
      <c r="F3685" s="3563" t="s">
        <v>4797</v>
      </c>
      <c r="G3685" s="3564">
        <v>101.39</v>
      </c>
      <c r="H3685" s="3564">
        <v>81.739999999999995</v>
      </c>
      <c r="I3685" s="3564">
        <v>19.649999999999999</v>
      </c>
      <c r="J3685" s="3565">
        <v>1092154</v>
      </c>
      <c r="K3685" s="3565">
        <v>10771.81</v>
      </c>
      <c r="L3685" s="3565">
        <v>13361.32</v>
      </c>
      <c r="M3685" s="3565">
        <v>0</v>
      </c>
      <c r="N3685" s="3565">
        <v>0</v>
      </c>
      <c r="O3685" s="3563" t="s">
        <v>3453</v>
      </c>
    </row>
    <row r="3686" spans="1:15">
      <c r="A3686" s="3563" t="s">
        <v>7908</v>
      </c>
      <c r="B3686" s="3563" t="s">
        <v>4196</v>
      </c>
      <c r="C3686" s="3563" t="s">
        <v>4197</v>
      </c>
      <c r="D3686" s="3563" t="s">
        <v>6429</v>
      </c>
      <c r="E3686" s="3563" t="s">
        <v>4948</v>
      </c>
      <c r="F3686" s="3563" t="s">
        <v>4797</v>
      </c>
      <c r="G3686" s="3564">
        <v>90.28</v>
      </c>
      <c r="H3686" s="3564">
        <v>72.78</v>
      </c>
      <c r="I3686" s="3564">
        <v>17.5</v>
      </c>
      <c r="J3686" s="3565">
        <v>900447</v>
      </c>
      <c r="K3686" s="3565">
        <v>9973.94</v>
      </c>
      <c r="L3686" s="3565">
        <v>12372.18</v>
      </c>
      <c r="M3686" s="3565">
        <v>0</v>
      </c>
      <c r="N3686" s="3565">
        <v>0</v>
      </c>
      <c r="O3686" s="3563" t="s">
        <v>3453</v>
      </c>
    </row>
    <row r="3687" spans="1:15">
      <c r="A3687" s="3563" t="s">
        <v>7909</v>
      </c>
      <c r="B3687" s="3563" t="s">
        <v>4196</v>
      </c>
      <c r="C3687" s="3563" t="s">
        <v>4197</v>
      </c>
      <c r="D3687" s="3563" t="s">
        <v>6429</v>
      </c>
      <c r="E3687" s="3563" t="s">
        <v>4948</v>
      </c>
      <c r="F3687" s="3563" t="s">
        <v>4797</v>
      </c>
      <c r="G3687" s="3564">
        <v>78.180000000000007</v>
      </c>
      <c r="H3687" s="3564">
        <v>63.03</v>
      </c>
      <c r="I3687" s="3564">
        <v>15.15</v>
      </c>
      <c r="J3687" s="3565">
        <v>778099</v>
      </c>
      <c r="K3687" s="3565">
        <v>9952.66</v>
      </c>
      <c r="L3687" s="3565">
        <v>12344.9</v>
      </c>
      <c r="M3687" s="3565">
        <v>0</v>
      </c>
      <c r="N3687" s="3565">
        <v>0</v>
      </c>
      <c r="O3687" s="3563" t="s">
        <v>3453</v>
      </c>
    </row>
    <row r="3688" spans="1:15">
      <c r="A3688" s="3563" t="s">
        <v>7910</v>
      </c>
      <c r="B3688" s="3563" t="s">
        <v>4196</v>
      </c>
      <c r="C3688" s="3563" t="s">
        <v>4197</v>
      </c>
      <c r="D3688" s="3563" t="s">
        <v>6429</v>
      </c>
      <c r="E3688" s="3563" t="s">
        <v>4948</v>
      </c>
      <c r="F3688" s="3563" t="s">
        <v>4797</v>
      </c>
      <c r="G3688" s="3564">
        <v>78.180000000000007</v>
      </c>
      <c r="H3688" s="3564">
        <v>63.03</v>
      </c>
      <c r="I3688" s="3564">
        <v>15.15</v>
      </c>
      <c r="J3688" s="3565">
        <v>788080</v>
      </c>
      <c r="K3688" s="3565">
        <v>10080.33</v>
      </c>
      <c r="L3688" s="3565">
        <v>12503.25</v>
      </c>
      <c r="M3688" s="3565">
        <v>0</v>
      </c>
      <c r="N3688" s="3565">
        <v>0</v>
      </c>
      <c r="O3688" s="3563" t="s">
        <v>3453</v>
      </c>
    </row>
    <row r="3689" spans="1:15">
      <c r="A3689" s="3563" t="s">
        <v>7911</v>
      </c>
      <c r="B3689" s="3563" t="s">
        <v>4196</v>
      </c>
      <c r="C3689" s="3563" t="s">
        <v>4197</v>
      </c>
      <c r="D3689" s="3563" t="s">
        <v>6429</v>
      </c>
      <c r="E3689" s="3563" t="s">
        <v>4948</v>
      </c>
      <c r="F3689" s="3563" t="s">
        <v>4797</v>
      </c>
      <c r="G3689" s="3564">
        <v>109.7</v>
      </c>
      <c r="H3689" s="3564">
        <v>88.44</v>
      </c>
      <c r="I3689" s="3564">
        <v>21.26</v>
      </c>
      <c r="J3689" s="3565">
        <v>1169997</v>
      </c>
      <c r="K3689" s="3565">
        <v>10665.42</v>
      </c>
      <c r="L3689" s="3565">
        <v>13229.27</v>
      </c>
      <c r="M3689" s="3565">
        <v>0</v>
      </c>
      <c r="N3689" s="3565">
        <v>0</v>
      </c>
      <c r="O3689" s="3563" t="s">
        <v>3453</v>
      </c>
    </row>
    <row r="3690" spans="1:15">
      <c r="A3690" s="3563" t="s">
        <v>7912</v>
      </c>
      <c r="B3690" s="3563" t="s">
        <v>4196</v>
      </c>
      <c r="C3690" s="3563" t="s">
        <v>4197</v>
      </c>
      <c r="D3690" s="3563" t="s">
        <v>6429</v>
      </c>
      <c r="E3690" s="3563" t="s">
        <v>4948</v>
      </c>
      <c r="F3690" s="3563" t="s">
        <v>4797</v>
      </c>
      <c r="G3690" s="3564">
        <v>101.39</v>
      </c>
      <c r="H3690" s="3564">
        <v>81.739999999999995</v>
      </c>
      <c r="I3690" s="3564">
        <v>19.649999999999999</v>
      </c>
      <c r="J3690" s="3565">
        <v>1101862</v>
      </c>
      <c r="K3690" s="3565">
        <v>10867.56</v>
      </c>
      <c r="L3690" s="3565">
        <v>13480.08</v>
      </c>
      <c r="M3690" s="3565">
        <v>0</v>
      </c>
      <c r="N3690" s="3565">
        <v>0</v>
      </c>
      <c r="O3690" s="3563" t="s">
        <v>3453</v>
      </c>
    </row>
    <row r="3691" spans="1:15">
      <c r="A3691" s="3563" t="s">
        <v>7913</v>
      </c>
      <c r="B3691" s="3563" t="s">
        <v>4196</v>
      </c>
      <c r="C3691" s="3563" t="s">
        <v>4197</v>
      </c>
      <c r="D3691" s="3563" t="s">
        <v>6429</v>
      </c>
      <c r="E3691" s="3563" t="s">
        <v>4948</v>
      </c>
      <c r="F3691" s="3563" t="s">
        <v>4797</v>
      </c>
      <c r="G3691" s="3564">
        <v>101.39</v>
      </c>
      <c r="H3691" s="3564">
        <v>81.739999999999995</v>
      </c>
      <c r="I3691" s="3564">
        <v>19.649999999999999</v>
      </c>
      <c r="J3691" s="3565">
        <v>1101862</v>
      </c>
      <c r="K3691" s="3565">
        <v>10867.56</v>
      </c>
      <c r="L3691" s="3565">
        <v>13480.08</v>
      </c>
      <c r="M3691" s="3565">
        <v>0</v>
      </c>
      <c r="N3691" s="3565">
        <v>0</v>
      </c>
      <c r="O3691" s="3563" t="s">
        <v>3453</v>
      </c>
    </row>
    <row r="3692" spans="1:15">
      <c r="A3692" s="3563" t="s">
        <v>7914</v>
      </c>
      <c r="B3692" s="3563" t="s">
        <v>4196</v>
      </c>
      <c r="C3692" s="3563" t="s">
        <v>4197</v>
      </c>
      <c r="D3692" s="3563" t="s">
        <v>6429</v>
      </c>
      <c r="E3692" s="3563" t="s">
        <v>4948</v>
      </c>
      <c r="F3692" s="3563" t="s">
        <v>4797</v>
      </c>
      <c r="G3692" s="3564">
        <v>90.28</v>
      </c>
      <c r="H3692" s="3564">
        <v>72.78</v>
      </c>
      <c r="I3692" s="3564">
        <v>17.5</v>
      </c>
      <c r="J3692" s="3565">
        <v>909091</v>
      </c>
      <c r="K3692" s="3565">
        <v>10069.68</v>
      </c>
      <c r="L3692" s="3565">
        <v>12490.95</v>
      </c>
      <c r="M3692" s="3565">
        <v>0</v>
      </c>
      <c r="N3692" s="3565">
        <v>0</v>
      </c>
      <c r="O3692" s="3563" t="s">
        <v>3453</v>
      </c>
    </row>
    <row r="3693" spans="1:15">
      <c r="A3693" s="3563" t="s">
        <v>7915</v>
      </c>
      <c r="B3693" s="3563" t="s">
        <v>4196</v>
      </c>
      <c r="C3693" s="3563" t="s">
        <v>4197</v>
      </c>
      <c r="D3693" s="3563" t="s">
        <v>6429</v>
      </c>
      <c r="E3693" s="3563" t="s">
        <v>4948</v>
      </c>
      <c r="F3693" s="3563" t="s">
        <v>4797</v>
      </c>
      <c r="G3693" s="3564">
        <v>78.180000000000007</v>
      </c>
      <c r="H3693" s="3564">
        <v>63.03</v>
      </c>
      <c r="I3693" s="3564">
        <v>15.15</v>
      </c>
      <c r="J3693" s="3565">
        <v>795565</v>
      </c>
      <c r="K3693" s="3565">
        <v>10176.07</v>
      </c>
      <c r="L3693" s="3565">
        <v>12622.01</v>
      </c>
      <c r="M3693" s="3565">
        <v>0</v>
      </c>
      <c r="N3693" s="3565">
        <v>0</v>
      </c>
      <c r="O3693" s="3563" t="s">
        <v>3453</v>
      </c>
    </row>
    <row r="3694" spans="1:15">
      <c r="A3694" s="3563" t="s">
        <v>7916</v>
      </c>
      <c r="B3694" s="3563" t="s">
        <v>4196</v>
      </c>
      <c r="C3694" s="3563" t="s">
        <v>4197</v>
      </c>
      <c r="D3694" s="3563" t="s">
        <v>6429</v>
      </c>
      <c r="E3694" s="3563" t="s">
        <v>4948</v>
      </c>
      <c r="F3694" s="3563" t="s">
        <v>4797</v>
      </c>
      <c r="G3694" s="3564">
        <v>78.180000000000007</v>
      </c>
      <c r="H3694" s="3564">
        <v>63.03</v>
      </c>
      <c r="I3694" s="3564">
        <v>15.15</v>
      </c>
      <c r="J3694" s="3565">
        <v>795565</v>
      </c>
      <c r="K3694" s="3565">
        <v>10176.07</v>
      </c>
      <c r="L3694" s="3565">
        <v>12622.01</v>
      </c>
      <c r="M3694" s="3565">
        <v>0</v>
      </c>
      <c r="N3694" s="3565">
        <v>0</v>
      </c>
      <c r="O3694" s="3563" t="s">
        <v>3453</v>
      </c>
    </row>
    <row r="3695" spans="1:15">
      <c r="A3695" s="3563" t="s">
        <v>7917</v>
      </c>
      <c r="B3695" s="3563" t="s">
        <v>4196</v>
      </c>
      <c r="C3695" s="3563" t="s">
        <v>4197</v>
      </c>
      <c r="D3695" s="3563" t="s">
        <v>6429</v>
      </c>
      <c r="E3695" s="3563" t="s">
        <v>4948</v>
      </c>
      <c r="F3695" s="3563" t="s">
        <v>4797</v>
      </c>
      <c r="G3695" s="3564">
        <v>109.7</v>
      </c>
      <c r="H3695" s="3564">
        <v>88.44</v>
      </c>
      <c r="I3695" s="3564">
        <v>21.26</v>
      </c>
      <c r="J3695" s="3565">
        <v>1180500</v>
      </c>
      <c r="K3695" s="3565">
        <v>10761.17</v>
      </c>
      <c r="L3695" s="3565">
        <v>13348.03</v>
      </c>
      <c r="M3695" s="3565">
        <v>0</v>
      </c>
      <c r="N3695" s="3565">
        <v>0</v>
      </c>
      <c r="O3695" s="3563" t="s">
        <v>3453</v>
      </c>
    </row>
    <row r="3696" spans="1:15">
      <c r="A3696" s="3563" t="s">
        <v>7918</v>
      </c>
      <c r="B3696" s="3563" t="s">
        <v>4196</v>
      </c>
      <c r="C3696" s="3563" t="s">
        <v>4197</v>
      </c>
      <c r="D3696" s="3563" t="s">
        <v>6429</v>
      </c>
      <c r="E3696" s="3563" t="s">
        <v>4948</v>
      </c>
      <c r="F3696" s="3563" t="s">
        <v>4797</v>
      </c>
      <c r="G3696" s="3564">
        <v>102.96</v>
      </c>
      <c r="H3696" s="3564">
        <v>81.739999999999995</v>
      </c>
      <c r="I3696" s="3564">
        <v>21.22</v>
      </c>
      <c r="J3696" s="3565">
        <v>1024726</v>
      </c>
      <c r="K3696" s="3565">
        <v>9952.66</v>
      </c>
      <c r="L3696" s="3565">
        <v>12536.41</v>
      </c>
      <c r="M3696" s="3565">
        <v>0</v>
      </c>
      <c r="N3696" s="3565">
        <v>0</v>
      </c>
      <c r="O3696" s="3563" t="s">
        <v>3453</v>
      </c>
    </row>
    <row r="3697" spans="1:15">
      <c r="A3697" s="3563" t="s">
        <v>7919</v>
      </c>
      <c r="B3697" s="3563" t="s">
        <v>4196</v>
      </c>
      <c r="C3697" s="3563" t="s">
        <v>4197</v>
      </c>
      <c r="D3697" s="3563" t="s">
        <v>6429</v>
      </c>
      <c r="E3697" s="3563" t="s">
        <v>4948</v>
      </c>
      <c r="F3697" s="3563" t="s">
        <v>4797</v>
      </c>
      <c r="G3697" s="3564">
        <v>102.96</v>
      </c>
      <c r="H3697" s="3564">
        <v>81.739999999999995</v>
      </c>
      <c r="I3697" s="3564">
        <v>21.22</v>
      </c>
      <c r="J3697" s="3565">
        <v>1024726</v>
      </c>
      <c r="K3697" s="3565">
        <v>9952.66</v>
      </c>
      <c r="L3697" s="3565">
        <v>12536.41</v>
      </c>
      <c r="M3697" s="3565">
        <v>0</v>
      </c>
      <c r="N3697" s="3565">
        <v>0</v>
      </c>
      <c r="O3697" s="3563" t="s">
        <v>3453</v>
      </c>
    </row>
    <row r="3698" spans="1:15">
      <c r="A3698" s="3563" t="s">
        <v>7920</v>
      </c>
      <c r="B3698" s="3563" t="s">
        <v>4196</v>
      </c>
      <c r="C3698" s="3563" t="s">
        <v>4197</v>
      </c>
      <c r="D3698" s="3563" t="s">
        <v>6429</v>
      </c>
      <c r="E3698" s="3563" t="s">
        <v>4948</v>
      </c>
      <c r="F3698" s="3563" t="s">
        <v>4797</v>
      </c>
      <c r="G3698" s="3564">
        <v>91.68</v>
      </c>
      <c r="H3698" s="3564">
        <v>72.78</v>
      </c>
      <c r="I3698" s="3564">
        <v>18.899999999999999</v>
      </c>
      <c r="J3698" s="3565">
        <v>912460</v>
      </c>
      <c r="K3698" s="3565">
        <v>9952.66</v>
      </c>
      <c r="L3698" s="3565">
        <v>12537.24</v>
      </c>
      <c r="M3698" s="3565">
        <v>0</v>
      </c>
      <c r="N3698" s="3565">
        <v>0</v>
      </c>
      <c r="O3698" s="3563" t="s">
        <v>3453</v>
      </c>
    </row>
    <row r="3699" spans="1:15">
      <c r="A3699" s="3563" t="s">
        <v>7921</v>
      </c>
      <c r="B3699" s="3563" t="s">
        <v>4196</v>
      </c>
      <c r="C3699" s="3563" t="s">
        <v>4197</v>
      </c>
      <c r="D3699" s="3563" t="s">
        <v>6429</v>
      </c>
      <c r="E3699" s="3563" t="s">
        <v>4948</v>
      </c>
      <c r="F3699" s="3563" t="s">
        <v>4797</v>
      </c>
      <c r="G3699" s="3564">
        <v>79.400000000000006</v>
      </c>
      <c r="H3699" s="3564">
        <v>63.03</v>
      </c>
      <c r="I3699" s="3564">
        <v>16.37</v>
      </c>
      <c r="J3699" s="3565">
        <v>790242</v>
      </c>
      <c r="K3699" s="3565">
        <v>9952.67</v>
      </c>
      <c r="L3699" s="3565">
        <v>12537.55</v>
      </c>
      <c r="M3699" s="3565">
        <v>0</v>
      </c>
      <c r="N3699" s="3565">
        <v>0</v>
      </c>
      <c r="O3699" s="3563" t="s">
        <v>3453</v>
      </c>
    </row>
    <row r="3700" spans="1:15">
      <c r="A3700" s="3563" t="s">
        <v>7922</v>
      </c>
      <c r="B3700" s="3563" t="s">
        <v>4196</v>
      </c>
      <c r="C3700" s="3563" t="s">
        <v>4197</v>
      </c>
      <c r="D3700" s="3563" t="s">
        <v>6429</v>
      </c>
      <c r="E3700" s="3563" t="s">
        <v>4948</v>
      </c>
      <c r="F3700" s="3563" t="s">
        <v>4797</v>
      </c>
      <c r="G3700" s="3564">
        <v>79.400000000000006</v>
      </c>
      <c r="H3700" s="3564">
        <v>63.03</v>
      </c>
      <c r="I3700" s="3564">
        <v>16.37</v>
      </c>
      <c r="J3700" s="3565">
        <v>790242</v>
      </c>
      <c r="K3700" s="3565">
        <v>9952.67</v>
      </c>
      <c r="L3700" s="3565">
        <v>12537.55</v>
      </c>
      <c r="M3700" s="3565">
        <v>0</v>
      </c>
      <c r="N3700" s="3565">
        <v>0</v>
      </c>
      <c r="O3700" s="3563" t="s">
        <v>3453</v>
      </c>
    </row>
    <row r="3701" spans="1:15">
      <c r="A3701" s="3563" t="s">
        <v>7923</v>
      </c>
      <c r="B3701" s="3563" t="s">
        <v>4196</v>
      </c>
      <c r="C3701" s="3563" t="s">
        <v>4197</v>
      </c>
      <c r="D3701" s="3563" t="s">
        <v>6429</v>
      </c>
      <c r="E3701" s="3563" t="s">
        <v>4948</v>
      </c>
      <c r="F3701" s="3563" t="s">
        <v>4797</v>
      </c>
      <c r="G3701" s="3564">
        <v>101.39</v>
      </c>
      <c r="H3701" s="3564">
        <v>81.739999999999995</v>
      </c>
      <c r="I3701" s="3564">
        <v>19.649999999999999</v>
      </c>
      <c r="J3701" s="3565">
        <v>1100783</v>
      </c>
      <c r="K3701" s="3565">
        <v>10856.92</v>
      </c>
      <c r="L3701" s="3565">
        <v>13466.88</v>
      </c>
      <c r="M3701" s="3565">
        <v>0</v>
      </c>
      <c r="N3701" s="3565">
        <v>0</v>
      </c>
      <c r="O3701" s="3563" t="s">
        <v>3453</v>
      </c>
    </row>
    <row r="3702" spans="1:15">
      <c r="A3702" s="3563" t="s">
        <v>7924</v>
      </c>
      <c r="B3702" s="3563" t="s">
        <v>4196</v>
      </c>
      <c r="C3702" s="3563" t="s">
        <v>4197</v>
      </c>
      <c r="D3702" s="3563" t="s">
        <v>6429</v>
      </c>
      <c r="E3702" s="3563" t="s">
        <v>4948</v>
      </c>
      <c r="F3702" s="3563" t="s">
        <v>4797</v>
      </c>
      <c r="G3702" s="3564">
        <v>101.39</v>
      </c>
      <c r="H3702" s="3564">
        <v>81.739999999999995</v>
      </c>
      <c r="I3702" s="3564">
        <v>19.649999999999999</v>
      </c>
      <c r="J3702" s="3565">
        <v>1100783</v>
      </c>
      <c r="K3702" s="3565">
        <v>10856.92</v>
      </c>
      <c r="L3702" s="3565">
        <v>13466.88</v>
      </c>
      <c r="M3702" s="3565">
        <v>0</v>
      </c>
      <c r="N3702" s="3565">
        <v>0</v>
      </c>
      <c r="O3702" s="3563" t="s">
        <v>3453</v>
      </c>
    </row>
    <row r="3703" spans="1:15">
      <c r="A3703" s="3563" t="s">
        <v>7925</v>
      </c>
      <c r="B3703" s="3563" t="s">
        <v>4196</v>
      </c>
      <c r="C3703" s="3563" t="s">
        <v>4197</v>
      </c>
      <c r="D3703" s="3563" t="s">
        <v>6429</v>
      </c>
      <c r="E3703" s="3563" t="s">
        <v>4948</v>
      </c>
      <c r="F3703" s="3563" t="s">
        <v>4797</v>
      </c>
      <c r="G3703" s="3564">
        <v>90.28</v>
      </c>
      <c r="H3703" s="3564">
        <v>72.78</v>
      </c>
      <c r="I3703" s="3564">
        <v>17.5</v>
      </c>
      <c r="J3703" s="3565">
        <v>908131</v>
      </c>
      <c r="K3703" s="3565">
        <v>10059.049999999999</v>
      </c>
      <c r="L3703" s="3565">
        <v>12477.75</v>
      </c>
      <c r="M3703" s="3565">
        <v>0</v>
      </c>
      <c r="N3703" s="3565">
        <v>0</v>
      </c>
      <c r="O3703" s="3563" t="s">
        <v>3453</v>
      </c>
    </row>
    <row r="3704" spans="1:15">
      <c r="A3704" s="3563" t="s">
        <v>7926</v>
      </c>
      <c r="B3704" s="3563" t="s">
        <v>4196</v>
      </c>
      <c r="C3704" s="3563" t="s">
        <v>4197</v>
      </c>
      <c r="D3704" s="3563" t="s">
        <v>6429</v>
      </c>
      <c r="E3704" s="3563" t="s">
        <v>4948</v>
      </c>
      <c r="F3704" s="3563" t="s">
        <v>4797</v>
      </c>
      <c r="G3704" s="3564">
        <v>78.180000000000007</v>
      </c>
      <c r="H3704" s="3564">
        <v>63.03</v>
      </c>
      <c r="I3704" s="3564">
        <v>15.15</v>
      </c>
      <c r="J3704" s="3565">
        <v>794733</v>
      </c>
      <c r="K3704" s="3565">
        <v>10165.43</v>
      </c>
      <c r="L3704" s="3565">
        <v>12608.81</v>
      </c>
      <c r="M3704" s="3565">
        <v>0</v>
      </c>
      <c r="N3704" s="3565">
        <v>0</v>
      </c>
      <c r="O3704" s="3563" t="s">
        <v>3453</v>
      </c>
    </row>
    <row r="3705" spans="1:15">
      <c r="A3705" s="3563" t="s">
        <v>7927</v>
      </c>
      <c r="B3705" s="3563" t="s">
        <v>4196</v>
      </c>
      <c r="C3705" s="3563" t="s">
        <v>4197</v>
      </c>
      <c r="D3705" s="3563" t="s">
        <v>6429</v>
      </c>
      <c r="E3705" s="3563" t="s">
        <v>4948</v>
      </c>
      <c r="F3705" s="3563" t="s">
        <v>4797</v>
      </c>
      <c r="G3705" s="3564">
        <v>78.180000000000007</v>
      </c>
      <c r="H3705" s="3564">
        <v>63.03</v>
      </c>
      <c r="I3705" s="3564">
        <v>15.15</v>
      </c>
      <c r="J3705" s="3565">
        <v>794733</v>
      </c>
      <c r="K3705" s="3565">
        <v>10165.43</v>
      </c>
      <c r="L3705" s="3565">
        <v>12608.81</v>
      </c>
      <c r="M3705" s="3565">
        <v>0</v>
      </c>
      <c r="N3705" s="3565">
        <v>0</v>
      </c>
      <c r="O3705" s="3563" t="s">
        <v>3453</v>
      </c>
    </row>
    <row r="3706" spans="1:15">
      <c r="A3706" s="3563" t="s">
        <v>7928</v>
      </c>
      <c r="B3706" s="3563" t="s">
        <v>4196</v>
      </c>
      <c r="C3706" s="3563" t="s">
        <v>4197</v>
      </c>
      <c r="D3706" s="3563" t="s">
        <v>6429</v>
      </c>
      <c r="E3706" s="3563" t="s">
        <v>4948</v>
      </c>
      <c r="F3706" s="3563" t="s">
        <v>4797</v>
      </c>
      <c r="G3706" s="3564">
        <v>109.7</v>
      </c>
      <c r="H3706" s="3564">
        <v>88.44</v>
      </c>
      <c r="I3706" s="3564">
        <v>21.26</v>
      </c>
      <c r="J3706" s="3565">
        <v>1179333</v>
      </c>
      <c r="K3706" s="3565">
        <v>10750.53</v>
      </c>
      <c r="L3706" s="3565">
        <v>13334.84</v>
      </c>
      <c r="M3706" s="3565">
        <v>0</v>
      </c>
      <c r="N3706" s="3565">
        <v>0</v>
      </c>
      <c r="O3706" s="3563" t="s">
        <v>3453</v>
      </c>
    </row>
    <row r="3707" spans="1:15">
      <c r="A3707" s="3563" t="s">
        <v>7929</v>
      </c>
      <c r="B3707" s="3563" t="s">
        <v>4196</v>
      </c>
      <c r="C3707" s="3563" t="s">
        <v>4197</v>
      </c>
      <c r="D3707" s="3563" t="s">
        <v>6429</v>
      </c>
      <c r="E3707" s="3563" t="s">
        <v>4948</v>
      </c>
      <c r="F3707" s="3563" t="s">
        <v>4797</v>
      </c>
      <c r="G3707" s="3564">
        <v>101.39</v>
      </c>
      <c r="H3707" s="3564">
        <v>81.739999999999995</v>
      </c>
      <c r="I3707" s="3564">
        <v>19.649999999999999</v>
      </c>
      <c r="J3707" s="3565">
        <v>1099705</v>
      </c>
      <c r="K3707" s="3565">
        <v>10846.29</v>
      </c>
      <c r="L3707" s="3565">
        <v>13453.69</v>
      </c>
      <c r="M3707" s="3565">
        <v>0</v>
      </c>
      <c r="N3707" s="3565">
        <v>0</v>
      </c>
      <c r="O3707" s="3563" t="s">
        <v>3453</v>
      </c>
    </row>
    <row r="3708" spans="1:15">
      <c r="A3708" s="3563" t="s">
        <v>7930</v>
      </c>
      <c r="B3708" s="3563" t="s">
        <v>4196</v>
      </c>
      <c r="C3708" s="3563" t="s">
        <v>4197</v>
      </c>
      <c r="D3708" s="3563" t="s">
        <v>6429</v>
      </c>
      <c r="E3708" s="3563" t="s">
        <v>4948</v>
      </c>
      <c r="F3708" s="3563" t="s">
        <v>4797</v>
      </c>
      <c r="G3708" s="3564">
        <v>101.39</v>
      </c>
      <c r="H3708" s="3564">
        <v>81.739999999999995</v>
      </c>
      <c r="I3708" s="3564">
        <v>19.649999999999999</v>
      </c>
      <c r="J3708" s="3565">
        <v>1099705</v>
      </c>
      <c r="K3708" s="3565">
        <v>10846.29</v>
      </c>
      <c r="L3708" s="3565">
        <v>13453.69</v>
      </c>
      <c r="M3708" s="3565">
        <v>0</v>
      </c>
      <c r="N3708" s="3565">
        <v>0</v>
      </c>
      <c r="O3708" s="3563" t="s">
        <v>3453</v>
      </c>
    </row>
    <row r="3709" spans="1:15">
      <c r="A3709" s="3563" t="s">
        <v>7931</v>
      </c>
      <c r="B3709" s="3563" t="s">
        <v>4196</v>
      </c>
      <c r="C3709" s="3563" t="s">
        <v>4197</v>
      </c>
      <c r="D3709" s="3563" t="s">
        <v>6429</v>
      </c>
      <c r="E3709" s="3563" t="s">
        <v>4948</v>
      </c>
      <c r="F3709" s="3563" t="s">
        <v>4797</v>
      </c>
      <c r="G3709" s="3564">
        <v>90.28</v>
      </c>
      <c r="H3709" s="3564">
        <v>72.78</v>
      </c>
      <c r="I3709" s="3564">
        <v>17.5</v>
      </c>
      <c r="J3709" s="3565">
        <v>907171</v>
      </c>
      <c r="K3709" s="3565">
        <v>10048.42</v>
      </c>
      <c r="L3709" s="3565">
        <v>12464.56</v>
      </c>
      <c r="M3709" s="3565">
        <v>0</v>
      </c>
      <c r="N3709" s="3565">
        <v>0</v>
      </c>
      <c r="O3709" s="3563" t="s">
        <v>3453</v>
      </c>
    </row>
    <row r="3710" spans="1:15">
      <c r="A3710" s="3563" t="s">
        <v>7932</v>
      </c>
      <c r="B3710" s="3563" t="s">
        <v>4196</v>
      </c>
      <c r="C3710" s="3563" t="s">
        <v>4197</v>
      </c>
      <c r="D3710" s="3563" t="s">
        <v>6429</v>
      </c>
      <c r="E3710" s="3563" t="s">
        <v>4948</v>
      </c>
      <c r="F3710" s="3563" t="s">
        <v>4797</v>
      </c>
      <c r="G3710" s="3564">
        <v>78.180000000000007</v>
      </c>
      <c r="H3710" s="3564">
        <v>63.03</v>
      </c>
      <c r="I3710" s="3564">
        <v>15.15</v>
      </c>
      <c r="J3710" s="3565">
        <v>793902</v>
      </c>
      <c r="K3710" s="3565">
        <v>10154.799999999999</v>
      </c>
      <c r="L3710" s="3565">
        <v>12595.62</v>
      </c>
      <c r="M3710" s="3565">
        <v>0</v>
      </c>
      <c r="N3710" s="3565">
        <v>0</v>
      </c>
      <c r="O3710" s="3563" t="s">
        <v>3453</v>
      </c>
    </row>
    <row r="3711" spans="1:15">
      <c r="A3711" s="3563" t="s">
        <v>7933</v>
      </c>
      <c r="B3711" s="3563" t="s">
        <v>4196</v>
      </c>
      <c r="C3711" s="3563" t="s">
        <v>4197</v>
      </c>
      <c r="D3711" s="3563" t="s">
        <v>6429</v>
      </c>
      <c r="E3711" s="3563" t="s">
        <v>4948</v>
      </c>
      <c r="F3711" s="3563" t="s">
        <v>4797</v>
      </c>
      <c r="G3711" s="3564">
        <v>78.180000000000007</v>
      </c>
      <c r="H3711" s="3564">
        <v>63.03</v>
      </c>
      <c r="I3711" s="3564">
        <v>15.15</v>
      </c>
      <c r="J3711" s="3565">
        <v>793902</v>
      </c>
      <c r="K3711" s="3565">
        <v>10154.799999999999</v>
      </c>
      <c r="L3711" s="3565">
        <v>12595.62</v>
      </c>
      <c r="M3711" s="3565">
        <v>0</v>
      </c>
      <c r="N3711" s="3565">
        <v>0</v>
      </c>
      <c r="O3711" s="3563" t="s">
        <v>3453</v>
      </c>
    </row>
    <row r="3712" spans="1:15">
      <c r="A3712" s="3563" t="s">
        <v>7934</v>
      </c>
      <c r="B3712" s="3563" t="s">
        <v>4196</v>
      </c>
      <c r="C3712" s="3563" t="s">
        <v>4197</v>
      </c>
      <c r="D3712" s="3563" t="s">
        <v>6429</v>
      </c>
      <c r="E3712" s="3563" t="s">
        <v>4948</v>
      </c>
      <c r="F3712" s="3563" t="s">
        <v>4797</v>
      </c>
      <c r="G3712" s="3564">
        <v>109.7</v>
      </c>
      <c r="H3712" s="3564">
        <v>88.44</v>
      </c>
      <c r="I3712" s="3564">
        <v>21.26</v>
      </c>
      <c r="J3712" s="3565">
        <v>1178166</v>
      </c>
      <c r="K3712" s="3565">
        <v>10739.89</v>
      </c>
      <c r="L3712" s="3565">
        <v>13321.64</v>
      </c>
      <c r="M3712" s="3565">
        <v>0</v>
      </c>
      <c r="N3712" s="3565">
        <v>0</v>
      </c>
      <c r="O3712" s="3563" t="s">
        <v>3453</v>
      </c>
    </row>
    <row r="3713" spans="1:15">
      <c r="A3713" s="3563" t="s">
        <v>7935</v>
      </c>
      <c r="B3713" s="3563" t="s">
        <v>4196</v>
      </c>
      <c r="C3713" s="3563" t="s">
        <v>4197</v>
      </c>
      <c r="D3713" s="3563" t="s">
        <v>6429</v>
      </c>
      <c r="E3713" s="3563" t="s">
        <v>4948</v>
      </c>
      <c r="F3713" s="3563" t="s">
        <v>4797</v>
      </c>
      <c r="G3713" s="3564">
        <v>101.39</v>
      </c>
      <c r="H3713" s="3564">
        <v>81.739999999999995</v>
      </c>
      <c r="I3713" s="3564">
        <v>19.649999999999999</v>
      </c>
      <c r="J3713" s="3565">
        <v>1098626</v>
      </c>
      <c r="K3713" s="3565">
        <v>10835.64</v>
      </c>
      <c r="L3713" s="3565">
        <v>13440.49</v>
      </c>
      <c r="M3713" s="3565">
        <v>0</v>
      </c>
      <c r="N3713" s="3565">
        <v>0</v>
      </c>
      <c r="O3713" s="3563" t="s">
        <v>3453</v>
      </c>
    </row>
    <row r="3714" spans="1:15">
      <c r="A3714" s="3563" t="s">
        <v>7936</v>
      </c>
      <c r="B3714" s="3563" t="s">
        <v>4196</v>
      </c>
      <c r="C3714" s="3563" t="s">
        <v>4197</v>
      </c>
      <c r="D3714" s="3563" t="s">
        <v>6429</v>
      </c>
      <c r="E3714" s="3563" t="s">
        <v>4948</v>
      </c>
      <c r="F3714" s="3563" t="s">
        <v>4797</v>
      </c>
      <c r="G3714" s="3564">
        <v>101.39</v>
      </c>
      <c r="H3714" s="3564">
        <v>81.739999999999995</v>
      </c>
      <c r="I3714" s="3564">
        <v>19.649999999999999</v>
      </c>
      <c r="J3714" s="3565">
        <v>1098626</v>
      </c>
      <c r="K3714" s="3565">
        <v>10835.64</v>
      </c>
      <c r="L3714" s="3565">
        <v>13440.49</v>
      </c>
      <c r="M3714" s="3565">
        <v>0</v>
      </c>
      <c r="N3714" s="3565">
        <v>0</v>
      </c>
      <c r="O3714" s="3563" t="s">
        <v>3453</v>
      </c>
    </row>
    <row r="3715" spans="1:15">
      <c r="A3715" s="3563" t="s">
        <v>7937</v>
      </c>
      <c r="B3715" s="3563" t="s">
        <v>4196</v>
      </c>
      <c r="C3715" s="3563" t="s">
        <v>4197</v>
      </c>
      <c r="D3715" s="3563" t="s">
        <v>6429</v>
      </c>
      <c r="E3715" s="3563" t="s">
        <v>4948</v>
      </c>
      <c r="F3715" s="3563" t="s">
        <v>4797</v>
      </c>
      <c r="G3715" s="3564">
        <v>90.28</v>
      </c>
      <c r="H3715" s="3564">
        <v>72.78</v>
      </c>
      <c r="I3715" s="3564">
        <v>17.5</v>
      </c>
      <c r="J3715" s="3565">
        <v>906210</v>
      </c>
      <c r="K3715" s="3565">
        <v>10037.77</v>
      </c>
      <c r="L3715" s="3565">
        <v>12451.36</v>
      </c>
      <c r="M3715" s="3565">
        <v>0</v>
      </c>
      <c r="N3715" s="3565">
        <v>0</v>
      </c>
      <c r="O3715" s="3563" t="s">
        <v>3453</v>
      </c>
    </row>
    <row r="3716" spans="1:15">
      <c r="A3716" s="3563" t="s">
        <v>7938</v>
      </c>
      <c r="B3716" s="3563" t="s">
        <v>4196</v>
      </c>
      <c r="C3716" s="3563" t="s">
        <v>4197</v>
      </c>
      <c r="D3716" s="3563" t="s">
        <v>6429</v>
      </c>
      <c r="E3716" s="3563" t="s">
        <v>4948</v>
      </c>
      <c r="F3716" s="3563" t="s">
        <v>4797</v>
      </c>
      <c r="G3716" s="3564">
        <v>78.180000000000007</v>
      </c>
      <c r="H3716" s="3564">
        <v>63.03</v>
      </c>
      <c r="I3716" s="3564">
        <v>15.15</v>
      </c>
      <c r="J3716" s="3565">
        <v>793070</v>
      </c>
      <c r="K3716" s="3565">
        <v>10144.15</v>
      </c>
      <c r="L3716" s="3565">
        <v>12582.42</v>
      </c>
      <c r="M3716" s="3565">
        <v>0</v>
      </c>
      <c r="N3716" s="3565">
        <v>0</v>
      </c>
      <c r="O3716" s="3563" t="s">
        <v>3453</v>
      </c>
    </row>
    <row r="3717" spans="1:15">
      <c r="A3717" s="3563" t="s">
        <v>7939</v>
      </c>
      <c r="B3717" s="3563" t="s">
        <v>4196</v>
      </c>
      <c r="C3717" s="3563" t="s">
        <v>4197</v>
      </c>
      <c r="D3717" s="3563" t="s">
        <v>6429</v>
      </c>
      <c r="E3717" s="3563" t="s">
        <v>4948</v>
      </c>
      <c r="F3717" s="3563" t="s">
        <v>4797</v>
      </c>
      <c r="G3717" s="3564">
        <v>78.180000000000007</v>
      </c>
      <c r="H3717" s="3564">
        <v>63.03</v>
      </c>
      <c r="I3717" s="3564">
        <v>15.15</v>
      </c>
      <c r="J3717" s="3565">
        <v>793070</v>
      </c>
      <c r="K3717" s="3565">
        <v>10144.15</v>
      </c>
      <c r="L3717" s="3565">
        <v>12582.42</v>
      </c>
      <c r="M3717" s="3565">
        <v>0</v>
      </c>
      <c r="N3717" s="3565">
        <v>0</v>
      </c>
      <c r="O3717" s="3563" t="s">
        <v>3453</v>
      </c>
    </row>
    <row r="3718" spans="1:15">
      <c r="A3718" s="3563" t="s">
        <v>7940</v>
      </c>
      <c r="B3718" s="3563" t="s">
        <v>4196</v>
      </c>
      <c r="C3718" s="3563" t="s">
        <v>4197</v>
      </c>
      <c r="D3718" s="3563" t="s">
        <v>6429</v>
      </c>
      <c r="E3718" s="3563" t="s">
        <v>4948</v>
      </c>
      <c r="F3718" s="3563" t="s">
        <v>4797</v>
      </c>
      <c r="G3718" s="3564">
        <v>109.7</v>
      </c>
      <c r="H3718" s="3564">
        <v>88.44</v>
      </c>
      <c r="I3718" s="3564">
        <v>21.26</v>
      </c>
      <c r="J3718" s="3565">
        <v>1176999</v>
      </c>
      <c r="K3718" s="3565">
        <v>10729.25</v>
      </c>
      <c r="L3718" s="3565">
        <v>13308.45</v>
      </c>
      <c r="M3718" s="3565">
        <v>0</v>
      </c>
      <c r="N3718" s="3565">
        <v>0</v>
      </c>
      <c r="O3718" s="3563" t="s">
        <v>3453</v>
      </c>
    </row>
    <row r="3719" spans="1:15">
      <c r="A3719" s="3563" t="s">
        <v>7941</v>
      </c>
      <c r="B3719" s="3563" t="s">
        <v>4196</v>
      </c>
      <c r="C3719" s="3563" t="s">
        <v>4197</v>
      </c>
      <c r="D3719" s="3563" t="s">
        <v>6429</v>
      </c>
      <c r="E3719" s="3563" t="s">
        <v>4948</v>
      </c>
      <c r="F3719" s="3563" t="s">
        <v>4797</v>
      </c>
      <c r="G3719" s="3564">
        <v>101.39</v>
      </c>
      <c r="H3719" s="3564">
        <v>81.739999999999995</v>
      </c>
      <c r="I3719" s="3564">
        <v>19.649999999999999</v>
      </c>
      <c r="J3719" s="3565">
        <v>1097547</v>
      </c>
      <c r="K3719" s="3565">
        <v>10825</v>
      </c>
      <c r="L3719" s="3565">
        <v>13427.29</v>
      </c>
      <c r="M3719" s="3565">
        <v>0</v>
      </c>
      <c r="N3719" s="3565">
        <v>0</v>
      </c>
      <c r="O3719" s="3563" t="s">
        <v>3453</v>
      </c>
    </row>
    <row r="3720" spans="1:15">
      <c r="A3720" s="3563" t="s">
        <v>7942</v>
      </c>
      <c r="B3720" s="3563" t="s">
        <v>4196</v>
      </c>
      <c r="C3720" s="3563" t="s">
        <v>4197</v>
      </c>
      <c r="D3720" s="3563" t="s">
        <v>6429</v>
      </c>
      <c r="E3720" s="3563" t="s">
        <v>4948</v>
      </c>
      <c r="F3720" s="3563" t="s">
        <v>4797</v>
      </c>
      <c r="G3720" s="3564">
        <v>101.39</v>
      </c>
      <c r="H3720" s="3564">
        <v>81.739999999999995</v>
      </c>
      <c r="I3720" s="3564">
        <v>19.649999999999999</v>
      </c>
      <c r="J3720" s="3565">
        <v>1097547</v>
      </c>
      <c r="K3720" s="3565">
        <v>10825</v>
      </c>
      <c r="L3720" s="3565">
        <v>13427.29</v>
      </c>
      <c r="M3720" s="3565">
        <v>0</v>
      </c>
      <c r="N3720" s="3565">
        <v>0</v>
      </c>
      <c r="O3720" s="3563" t="s">
        <v>3453</v>
      </c>
    </row>
    <row r="3721" spans="1:15">
      <c r="A3721" s="3563" t="s">
        <v>7943</v>
      </c>
      <c r="B3721" s="3563" t="s">
        <v>4196</v>
      </c>
      <c r="C3721" s="3563" t="s">
        <v>4197</v>
      </c>
      <c r="D3721" s="3563" t="s">
        <v>6429</v>
      </c>
      <c r="E3721" s="3563" t="s">
        <v>4948</v>
      </c>
      <c r="F3721" s="3563" t="s">
        <v>4797</v>
      </c>
      <c r="G3721" s="3564">
        <v>90.28</v>
      </c>
      <c r="H3721" s="3564">
        <v>72.78</v>
      </c>
      <c r="I3721" s="3564">
        <v>17.5</v>
      </c>
      <c r="J3721" s="3565">
        <v>905249</v>
      </c>
      <c r="K3721" s="3565">
        <v>10027.129999999999</v>
      </c>
      <c r="L3721" s="3565">
        <v>12438.16</v>
      </c>
      <c r="M3721" s="3565">
        <v>0</v>
      </c>
      <c r="N3721" s="3565">
        <v>0</v>
      </c>
      <c r="O3721" s="3563" t="s">
        <v>3453</v>
      </c>
    </row>
    <row r="3722" spans="1:15">
      <c r="A3722" s="3563" t="s">
        <v>7944</v>
      </c>
      <c r="B3722" s="3563" t="s">
        <v>4196</v>
      </c>
      <c r="C3722" s="3563" t="s">
        <v>4197</v>
      </c>
      <c r="D3722" s="3563" t="s">
        <v>6429</v>
      </c>
      <c r="E3722" s="3563" t="s">
        <v>4948</v>
      </c>
      <c r="F3722" s="3563" t="s">
        <v>4797</v>
      </c>
      <c r="G3722" s="3564">
        <v>78.180000000000007</v>
      </c>
      <c r="H3722" s="3564">
        <v>63.03</v>
      </c>
      <c r="I3722" s="3564">
        <v>15.15</v>
      </c>
      <c r="J3722" s="3565">
        <v>792239</v>
      </c>
      <c r="K3722" s="3565">
        <v>10133.530000000001</v>
      </c>
      <c r="L3722" s="3565">
        <v>12569.24</v>
      </c>
      <c r="M3722" s="3565">
        <v>0</v>
      </c>
      <c r="N3722" s="3565">
        <v>0</v>
      </c>
      <c r="O3722" s="3563" t="s">
        <v>3453</v>
      </c>
    </row>
    <row r="3723" spans="1:15">
      <c r="A3723" s="3563" t="s">
        <v>7945</v>
      </c>
      <c r="B3723" s="3563" t="s">
        <v>4196</v>
      </c>
      <c r="C3723" s="3563" t="s">
        <v>4197</v>
      </c>
      <c r="D3723" s="3563" t="s">
        <v>6429</v>
      </c>
      <c r="E3723" s="3563" t="s">
        <v>4948</v>
      </c>
      <c r="F3723" s="3563" t="s">
        <v>4797</v>
      </c>
      <c r="G3723" s="3564">
        <v>78.180000000000007</v>
      </c>
      <c r="H3723" s="3564">
        <v>63.03</v>
      </c>
      <c r="I3723" s="3564">
        <v>15.15</v>
      </c>
      <c r="J3723" s="3565">
        <v>792239</v>
      </c>
      <c r="K3723" s="3565">
        <v>10133.530000000001</v>
      </c>
      <c r="L3723" s="3565">
        <v>12569.24</v>
      </c>
      <c r="M3723" s="3565">
        <v>0</v>
      </c>
      <c r="N3723" s="3565">
        <v>0</v>
      </c>
      <c r="O3723" s="3563" t="s">
        <v>3453</v>
      </c>
    </row>
    <row r="3724" spans="1:15">
      <c r="A3724" s="3563" t="s">
        <v>7946</v>
      </c>
      <c r="B3724" s="3563" t="s">
        <v>4196</v>
      </c>
      <c r="C3724" s="3563" t="s">
        <v>4197</v>
      </c>
      <c r="D3724" s="3563" t="s">
        <v>6429</v>
      </c>
      <c r="E3724" s="3563" t="s">
        <v>4948</v>
      </c>
      <c r="F3724" s="3563" t="s">
        <v>4797</v>
      </c>
      <c r="G3724" s="3564">
        <v>109.7</v>
      </c>
      <c r="H3724" s="3564">
        <v>88.44</v>
      </c>
      <c r="I3724" s="3564">
        <v>21.26</v>
      </c>
      <c r="J3724" s="3565">
        <v>1175832</v>
      </c>
      <c r="K3724" s="3565">
        <v>10718.61</v>
      </c>
      <c r="L3724" s="3565">
        <v>13295.25</v>
      </c>
      <c r="M3724" s="3565">
        <v>0</v>
      </c>
      <c r="N3724" s="3565">
        <v>0</v>
      </c>
      <c r="O3724" s="3563" t="s">
        <v>3453</v>
      </c>
    </row>
    <row r="3725" spans="1:15">
      <c r="A3725" s="3563" t="s">
        <v>7947</v>
      </c>
      <c r="B3725" s="3563" t="s">
        <v>4196</v>
      </c>
      <c r="C3725" s="3563" t="s">
        <v>4197</v>
      </c>
      <c r="D3725" s="3563" t="s">
        <v>6429</v>
      </c>
      <c r="E3725" s="3563" t="s">
        <v>4948</v>
      </c>
      <c r="F3725" s="3563" t="s">
        <v>4797</v>
      </c>
      <c r="G3725" s="3564">
        <v>101.39</v>
      </c>
      <c r="H3725" s="3564">
        <v>81.739999999999995</v>
      </c>
      <c r="I3725" s="3564">
        <v>19.649999999999999</v>
      </c>
      <c r="J3725" s="3565">
        <v>1096469</v>
      </c>
      <c r="K3725" s="3565">
        <v>10814.37</v>
      </c>
      <c r="L3725" s="3565">
        <v>13414.11</v>
      </c>
      <c r="M3725" s="3565">
        <v>0</v>
      </c>
      <c r="N3725" s="3565">
        <v>0</v>
      </c>
      <c r="O3725" s="3563" t="s">
        <v>3453</v>
      </c>
    </row>
    <row r="3726" spans="1:15">
      <c r="A3726" s="3563" t="s">
        <v>7948</v>
      </c>
      <c r="B3726" s="3563" t="s">
        <v>4196</v>
      </c>
      <c r="C3726" s="3563" t="s">
        <v>4197</v>
      </c>
      <c r="D3726" s="3563" t="s">
        <v>6429</v>
      </c>
      <c r="E3726" s="3563" t="s">
        <v>4948</v>
      </c>
      <c r="F3726" s="3563" t="s">
        <v>4797</v>
      </c>
      <c r="G3726" s="3564">
        <v>101.39</v>
      </c>
      <c r="H3726" s="3564">
        <v>81.739999999999995</v>
      </c>
      <c r="I3726" s="3564">
        <v>19.649999999999999</v>
      </c>
      <c r="J3726" s="3565">
        <v>1096469</v>
      </c>
      <c r="K3726" s="3565">
        <v>10814.37</v>
      </c>
      <c r="L3726" s="3565">
        <v>13414.11</v>
      </c>
      <c r="M3726" s="3565">
        <v>0</v>
      </c>
      <c r="N3726" s="3565">
        <v>0</v>
      </c>
      <c r="O3726" s="3563" t="s">
        <v>3453</v>
      </c>
    </row>
    <row r="3727" spans="1:15">
      <c r="A3727" s="3563" t="s">
        <v>7949</v>
      </c>
      <c r="B3727" s="3563" t="s">
        <v>4196</v>
      </c>
      <c r="C3727" s="3563" t="s">
        <v>4197</v>
      </c>
      <c r="D3727" s="3563" t="s">
        <v>6429</v>
      </c>
      <c r="E3727" s="3563" t="s">
        <v>4948</v>
      </c>
      <c r="F3727" s="3563" t="s">
        <v>4797</v>
      </c>
      <c r="G3727" s="3564">
        <v>90.28</v>
      </c>
      <c r="H3727" s="3564">
        <v>72.78</v>
      </c>
      <c r="I3727" s="3564">
        <v>17.5</v>
      </c>
      <c r="J3727" s="3565">
        <v>904289</v>
      </c>
      <c r="K3727" s="3565">
        <v>10016.49</v>
      </c>
      <c r="L3727" s="3565">
        <v>12424.97</v>
      </c>
      <c r="M3727" s="3565">
        <v>0</v>
      </c>
      <c r="N3727" s="3565">
        <v>0</v>
      </c>
      <c r="O3727" s="3563" t="s">
        <v>3453</v>
      </c>
    </row>
    <row r="3728" spans="1:15">
      <c r="A3728" s="3563" t="s">
        <v>7950</v>
      </c>
      <c r="B3728" s="3563" t="s">
        <v>4196</v>
      </c>
      <c r="C3728" s="3563" t="s">
        <v>4197</v>
      </c>
      <c r="D3728" s="3563" t="s">
        <v>6429</v>
      </c>
      <c r="E3728" s="3563" t="s">
        <v>4948</v>
      </c>
      <c r="F3728" s="3563" t="s">
        <v>4797</v>
      </c>
      <c r="G3728" s="3564">
        <v>78.180000000000007</v>
      </c>
      <c r="H3728" s="3564">
        <v>63.03</v>
      </c>
      <c r="I3728" s="3564">
        <v>15.15</v>
      </c>
      <c r="J3728" s="3565">
        <v>791407</v>
      </c>
      <c r="K3728" s="3565">
        <v>10122.879999999999</v>
      </c>
      <c r="L3728" s="3565">
        <v>12556.04</v>
      </c>
      <c r="M3728" s="3565">
        <v>0</v>
      </c>
      <c r="N3728" s="3565">
        <v>0</v>
      </c>
      <c r="O3728" s="3563" t="s">
        <v>3453</v>
      </c>
    </row>
    <row r="3729" spans="1:15">
      <c r="A3729" s="3563" t="s">
        <v>7951</v>
      </c>
      <c r="B3729" s="3563" t="s">
        <v>4196</v>
      </c>
      <c r="C3729" s="3563" t="s">
        <v>4197</v>
      </c>
      <c r="D3729" s="3563" t="s">
        <v>6429</v>
      </c>
      <c r="E3729" s="3563" t="s">
        <v>4948</v>
      </c>
      <c r="F3729" s="3563" t="s">
        <v>4797</v>
      </c>
      <c r="G3729" s="3564">
        <v>78.180000000000007</v>
      </c>
      <c r="H3729" s="3564">
        <v>63.03</v>
      </c>
      <c r="I3729" s="3564">
        <v>15.15</v>
      </c>
      <c r="J3729" s="3565">
        <v>791407</v>
      </c>
      <c r="K3729" s="3565">
        <v>10122.879999999999</v>
      </c>
      <c r="L3729" s="3565">
        <v>12556.04</v>
      </c>
      <c r="M3729" s="3565">
        <v>0</v>
      </c>
      <c r="N3729" s="3565">
        <v>0</v>
      </c>
      <c r="O3729" s="3563" t="s">
        <v>3453</v>
      </c>
    </row>
    <row r="3730" spans="1:15">
      <c r="A3730" s="3563" t="s">
        <v>7952</v>
      </c>
      <c r="B3730" s="3563" t="s">
        <v>4196</v>
      </c>
      <c r="C3730" s="3563" t="s">
        <v>4197</v>
      </c>
      <c r="D3730" s="3563" t="s">
        <v>6429</v>
      </c>
      <c r="E3730" s="3563" t="s">
        <v>4948</v>
      </c>
      <c r="F3730" s="3563" t="s">
        <v>4797</v>
      </c>
      <c r="G3730" s="3564">
        <v>109.7</v>
      </c>
      <c r="H3730" s="3564">
        <v>88.44</v>
      </c>
      <c r="I3730" s="3564">
        <v>21.26</v>
      </c>
      <c r="J3730" s="3565">
        <v>1174665</v>
      </c>
      <c r="K3730" s="3565">
        <v>10707.98</v>
      </c>
      <c r="L3730" s="3565">
        <v>13282.06</v>
      </c>
      <c r="M3730" s="3565">
        <v>0</v>
      </c>
      <c r="N3730" s="3565">
        <v>0</v>
      </c>
      <c r="O3730" s="3563" t="s">
        <v>3453</v>
      </c>
    </row>
    <row r="3731" spans="1:15">
      <c r="A3731" s="3563" t="s">
        <v>7953</v>
      </c>
      <c r="B3731" s="3563" t="s">
        <v>4196</v>
      </c>
      <c r="C3731" s="3563" t="s">
        <v>4197</v>
      </c>
      <c r="D3731" s="3563" t="s">
        <v>6429</v>
      </c>
      <c r="E3731" s="3563" t="s">
        <v>4948</v>
      </c>
      <c r="F3731" s="3563" t="s">
        <v>4797</v>
      </c>
      <c r="G3731" s="3564">
        <v>101.39</v>
      </c>
      <c r="H3731" s="3564">
        <v>81.739999999999995</v>
      </c>
      <c r="I3731" s="3564">
        <v>19.649999999999999</v>
      </c>
      <c r="J3731" s="3565">
        <v>1095390</v>
      </c>
      <c r="K3731" s="3565">
        <v>10803.73</v>
      </c>
      <c r="L3731" s="3565">
        <v>13400.91</v>
      </c>
      <c r="M3731" s="3565">
        <v>0</v>
      </c>
      <c r="N3731" s="3565">
        <v>0</v>
      </c>
      <c r="O3731" s="3563" t="s">
        <v>3453</v>
      </c>
    </row>
    <row r="3732" spans="1:15">
      <c r="A3732" s="3563" t="s">
        <v>7954</v>
      </c>
      <c r="B3732" s="3563" t="s">
        <v>4196</v>
      </c>
      <c r="C3732" s="3563" t="s">
        <v>4197</v>
      </c>
      <c r="D3732" s="3563" t="s">
        <v>6429</v>
      </c>
      <c r="E3732" s="3563" t="s">
        <v>4948</v>
      </c>
      <c r="F3732" s="3563" t="s">
        <v>4797</v>
      </c>
      <c r="G3732" s="3564">
        <v>101.39</v>
      </c>
      <c r="H3732" s="3564">
        <v>81.739999999999995</v>
      </c>
      <c r="I3732" s="3564">
        <v>19.649999999999999</v>
      </c>
      <c r="J3732" s="3565">
        <v>1095390</v>
      </c>
      <c r="K3732" s="3565">
        <v>10803.73</v>
      </c>
      <c r="L3732" s="3565">
        <v>13400.91</v>
      </c>
      <c r="M3732" s="3565">
        <v>0</v>
      </c>
      <c r="N3732" s="3565">
        <v>0</v>
      </c>
      <c r="O3732" s="3563" t="s">
        <v>3453</v>
      </c>
    </row>
    <row r="3733" spans="1:15">
      <c r="A3733" s="3563" t="s">
        <v>7955</v>
      </c>
      <c r="B3733" s="3563" t="s">
        <v>4196</v>
      </c>
      <c r="C3733" s="3563" t="s">
        <v>4197</v>
      </c>
      <c r="D3733" s="3563" t="s">
        <v>6429</v>
      </c>
      <c r="E3733" s="3563" t="s">
        <v>4948</v>
      </c>
      <c r="F3733" s="3563" t="s">
        <v>4797</v>
      </c>
      <c r="G3733" s="3564">
        <v>90.28</v>
      </c>
      <c r="H3733" s="3564">
        <v>72.78</v>
      </c>
      <c r="I3733" s="3564">
        <v>17.5</v>
      </c>
      <c r="J3733" s="3565">
        <v>903329</v>
      </c>
      <c r="K3733" s="3565">
        <v>10005.86</v>
      </c>
      <c r="L3733" s="3565">
        <v>12411.78</v>
      </c>
      <c r="M3733" s="3565">
        <v>0</v>
      </c>
      <c r="N3733" s="3565">
        <v>0</v>
      </c>
      <c r="O3733" s="3563" t="s">
        <v>3453</v>
      </c>
    </row>
    <row r="3734" spans="1:15">
      <c r="A3734" s="3563" t="s">
        <v>7956</v>
      </c>
      <c r="B3734" s="3563" t="s">
        <v>4196</v>
      </c>
      <c r="C3734" s="3563" t="s">
        <v>4197</v>
      </c>
      <c r="D3734" s="3563" t="s">
        <v>6429</v>
      </c>
      <c r="E3734" s="3563" t="s">
        <v>4948</v>
      </c>
      <c r="F3734" s="3563" t="s">
        <v>4797</v>
      </c>
      <c r="G3734" s="3564">
        <v>78.180000000000007</v>
      </c>
      <c r="H3734" s="3564">
        <v>63.03</v>
      </c>
      <c r="I3734" s="3564">
        <v>15.15</v>
      </c>
      <c r="J3734" s="3565">
        <v>790575</v>
      </c>
      <c r="K3734" s="3565">
        <v>10112.24</v>
      </c>
      <c r="L3734" s="3565">
        <v>12542.84</v>
      </c>
      <c r="M3734" s="3565">
        <v>0</v>
      </c>
      <c r="N3734" s="3565">
        <v>0</v>
      </c>
      <c r="O3734" s="3563" t="s">
        <v>3453</v>
      </c>
    </row>
    <row r="3735" spans="1:15">
      <c r="A3735" s="3563" t="s">
        <v>7957</v>
      </c>
      <c r="B3735" s="3563" t="s">
        <v>4196</v>
      </c>
      <c r="C3735" s="3563" t="s">
        <v>4197</v>
      </c>
      <c r="D3735" s="3563" t="s">
        <v>6429</v>
      </c>
      <c r="E3735" s="3563" t="s">
        <v>4948</v>
      </c>
      <c r="F3735" s="3563" t="s">
        <v>4797</v>
      </c>
      <c r="G3735" s="3564">
        <v>78.180000000000007</v>
      </c>
      <c r="H3735" s="3564">
        <v>63.03</v>
      </c>
      <c r="I3735" s="3564">
        <v>15.15</v>
      </c>
      <c r="J3735" s="3565">
        <v>790575</v>
      </c>
      <c r="K3735" s="3565">
        <v>10112.24</v>
      </c>
      <c r="L3735" s="3565">
        <v>12542.84</v>
      </c>
      <c r="M3735" s="3565">
        <v>0</v>
      </c>
      <c r="N3735" s="3565">
        <v>0</v>
      </c>
      <c r="O3735" s="3563" t="s">
        <v>3453</v>
      </c>
    </row>
    <row r="3736" spans="1:15">
      <c r="A3736" s="3563" t="s">
        <v>7958</v>
      </c>
      <c r="B3736" s="3563" t="s">
        <v>4196</v>
      </c>
      <c r="C3736" s="3563" t="s">
        <v>4197</v>
      </c>
      <c r="D3736" s="3563" t="s">
        <v>6429</v>
      </c>
      <c r="E3736" s="3563" t="s">
        <v>4948</v>
      </c>
      <c r="F3736" s="3563" t="s">
        <v>4797</v>
      </c>
      <c r="G3736" s="3564">
        <v>109.7</v>
      </c>
      <c r="H3736" s="3564">
        <v>88.44</v>
      </c>
      <c r="I3736" s="3564">
        <v>21.26</v>
      </c>
      <c r="J3736" s="3565">
        <v>1173498</v>
      </c>
      <c r="K3736" s="3565">
        <v>10697.34</v>
      </c>
      <c r="L3736" s="3565">
        <v>13268.86</v>
      </c>
      <c r="M3736" s="3565">
        <v>0</v>
      </c>
      <c r="N3736" s="3565">
        <v>0</v>
      </c>
      <c r="O3736" s="3563" t="s">
        <v>3453</v>
      </c>
    </row>
    <row r="3737" spans="1:15">
      <c r="A3737" s="3563" t="s">
        <v>7959</v>
      </c>
      <c r="B3737" s="3563" t="s">
        <v>4196</v>
      </c>
      <c r="C3737" s="3563" t="s">
        <v>4197</v>
      </c>
      <c r="D3737" s="3563" t="s">
        <v>6429</v>
      </c>
      <c r="E3737" s="3563" t="s">
        <v>4948</v>
      </c>
      <c r="F3737" s="3563" t="s">
        <v>4797</v>
      </c>
      <c r="G3737" s="3564">
        <v>101.39</v>
      </c>
      <c r="H3737" s="3564">
        <v>81.739999999999995</v>
      </c>
      <c r="I3737" s="3564">
        <v>19.649999999999999</v>
      </c>
      <c r="J3737" s="3565">
        <v>1061953</v>
      </c>
      <c r="K3737" s="3565">
        <v>10473.94</v>
      </c>
      <c r="L3737" s="3565">
        <v>12991.84</v>
      </c>
      <c r="M3737" s="3565">
        <v>0</v>
      </c>
      <c r="N3737" s="3565">
        <v>0</v>
      </c>
      <c r="O3737" s="3563" t="s">
        <v>3453</v>
      </c>
    </row>
    <row r="3738" spans="1:15">
      <c r="A3738" s="3563" t="s">
        <v>7960</v>
      </c>
      <c r="B3738" s="3563" t="s">
        <v>4196</v>
      </c>
      <c r="C3738" s="3563" t="s">
        <v>4197</v>
      </c>
      <c r="D3738" s="3563" t="s">
        <v>6429</v>
      </c>
      <c r="E3738" s="3563" t="s">
        <v>4948</v>
      </c>
      <c r="F3738" s="3563" t="s">
        <v>4797</v>
      </c>
      <c r="G3738" s="3564">
        <v>101.39</v>
      </c>
      <c r="H3738" s="3564">
        <v>81.739999999999995</v>
      </c>
      <c r="I3738" s="3564">
        <v>19.649999999999999</v>
      </c>
      <c r="J3738" s="3565">
        <v>1061953</v>
      </c>
      <c r="K3738" s="3565">
        <v>10473.94</v>
      </c>
      <c r="L3738" s="3565">
        <v>12991.84</v>
      </c>
      <c r="M3738" s="3565">
        <v>0</v>
      </c>
      <c r="N3738" s="3565">
        <v>0</v>
      </c>
      <c r="O3738" s="3563" t="s">
        <v>3453</v>
      </c>
    </row>
    <row r="3739" spans="1:15">
      <c r="A3739" s="3563" t="s">
        <v>7961</v>
      </c>
      <c r="B3739" s="3563" t="s">
        <v>4196</v>
      </c>
      <c r="C3739" s="3563" t="s">
        <v>4197</v>
      </c>
      <c r="D3739" s="3563" t="s">
        <v>6429</v>
      </c>
      <c r="E3739" s="3563" t="s">
        <v>4948</v>
      </c>
      <c r="F3739" s="3563" t="s">
        <v>4797</v>
      </c>
      <c r="G3739" s="3564">
        <v>90.28</v>
      </c>
      <c r="H3739" s="3564">
        <v>72.78</v>
      </c>
      <c r="I3739" s="3564">
        <v>17.5</v>
      </c>
      <c r="J3739" s="3565">
        <v>898527</v>
      </c>
      <c r="K3739" s="3565">
        <v>9952.67</v>
      </c>
      <c r="L3739" s="3565">
        <v>12345.8</v>
      </c>
      <c r="M3739" s="3565">
        <v>0</v>
      </c>
      <c r="N3739" s="3565">
        <v>0</v>
      </c>
      <c r="O3739" s="3563" t="s">
        <v>3453</v>
      </c>
    </row>
    <row r="3740" spans="1:15">
      <c r="A3740" s="3563" t="s">
        <v>7962</v>
      </c>
      <c r="B3740" s="3563" t="s">
        <v>4196</v>
      </c>
      <c r="C3740" s="3563" t="s">
        <v>4197</v>
      </c>
      <c r="D3740" s="3563" t="s">
        <v>6429</v>
      </c>
      <c r="E3740" s="3563" t="s">
        <v>4948</v>
      </c>
      <c r="F3740" s="3563" t="s">
        <v>4797</v>
      </c>
      <c r="G3740" s="3564">
        <v>78.180000000000007</v>
      </c>
      <c r="H3740" s="3564">
        <v>63.03</v>
      </c>
      <c r="I3740" s="3564">
        <v>15.15</v>
      </c>
      <c r="J3740" s="3565">
        <v>778099</v>
      </c>
      <c r="K3740" s="3565">
        <v>9952.66</v>
      </c>
      <c r="L3740" s="3565">
        <v>12344.9</v>
      </c>
      <c r="M3740" s="3565">
        <v>0</v>
      </c>
      <c r="N3740" s="3565">
        <v>0</v>
      </c>
      <c r="O3740" s="3563" t="s">
        <v>3453</v>
      </c>
    </row>
    <row r="3741" spans="1:15">
      <c r="A3741" s="3563" t="s">
        <v>7963</v>
      </c>
      <c r="B3741" s="3563" t="s">
        <v>4196</v>
      </c>
      <c r="C3741" s="3563" t="s">
        <v>4197</v>
      </c>
      <c r="D3741" s="3563" t="s">
        <v>6429</v>
      </c>
      <c r="E3741" s="3563" t="s">
        <v>4948</v>
      </c>
      <c r="F3741" s="3563" t="s">
        <v>4797</v>
      </c>
      <c r="G3741" s="3564">
        <v>78.180000000000007</v>
      </c>
      <c r="H3741" s="3564">
        <v>63.03</v>
      </c>
      <c r="I3741" s="3564">
        <v>15.15</v>
      </c>
      <c r="J3741" s="3565">
        <v>778099</v>
      </c>
      <c r="K3741" s="3565">
        <v>9952.66</v>
      </c>
      <c r="L3741" s="3565">
        <v>12344.9</v>
      </c>
      <c r="M3741" s="3565">
        <v>0</v>
      </c>
      <c r="N3741" s="3565">
        <v>0</v>
      </c>
      <c r="O3741" s="3563" t="s">
        <v>3453</v>
      </c>
    </row>
    <row r="3742" spans="1:15">
      <c r="A3742" s="3563" t="s">
        <v>7964</v>
      </c>
      <c r="B3742" s="3563" t="s">
        <v>4196</v>
      </c>
      <c r="C3742" s="3563" t="s">
        <v>4197</v>
      </c>
      <c r="D3742" s="3563" t="s">
        <v>6429</v>
      </c>
      <c r="E3742" s="3563" t="s">
        <v>4948</v>
      </c>
      <c r="F3742" s="3563" t="s">
        <v>4797</v>
      </c>
      <c r="G3742" s="3564">
        <v>109.7</v>
      </c>
      <c r="H3742" s="3564">
        <v>88.44</v>
      </c>
      <c r="I3742" s="3564">
        <v>21.26</v>
      </c>
      <c r="J3742" s="3565">
        <v>1137321</v>
      </c>
      <c r="K3742" s="3565">
        <v>10367.56</v>
      </c>
      <c r="L3742" s="3565">
        <v>12859.8</v>
      </c>
      <c r="M3742" s="3565">
        <v>0</v>
      </c>
      <c r="N3742" s="3565">
        <v>0</v>
      </c>
      <c r="O3742" s="3563" t="s">
        <v>3453</v>
      </c>
    </row>
    <row r="3743" spans="1:15">
      <c r="A3743" s="3563" t="s">
        <v>7965</v>
      </c>
      <c r="B3743" s="3563" t="s">
        <v>4196</v>
      </c>
      <c r="C3743" s="3563" t="s">
        <v>4197</v>
      </c>
      <c r="D3743" s="3563" t="s">
        <v>6429</v>
      </c>
      <c r="E3743" s="3563" t="s">
        <v>4948</v>
      </c>
      <c r="F3743" s="3563" t="s">
        <v>4797</v>
      </c>
      <c r="G3743" s="3564">
        <v>101.39</v>
      </c>
      <c r="H3743" s="3564">
        <v>81.739999999999995</v>
      </c>
      <c r="I3743" s="3564">
        <v>19.649999999999999</v>
      </c>
      <c r="J3743" s="3565">
        <v>1009100</v>
      </c>
      <c r="K3743" s="3565">
        <v>9952.66</v>
      </c>
      <c r="L3743" s="3565">
        <v>12345.24</v>
      </c>
      <c r="M3743" s="3565">
        <v>0</v>
      </c>
      <c r="N3743" s="3565">
        <v>0</v>
      </c>
      <c r="O3743" s="3563" t="s">
        <v>3453</v>
      </c>
    </row>
    <row r="3744" spans="1:15">
      <c r="A3744" s="3563" t="s">
        <v>7966</v>
      </c>
      <c r="B3744" s="3563" t="s">
        <v>4196</v>
      </c>
      <c r="C3744" s="3563" t="s">
        <v>4197</v>
      </c>
      <c r="D3744" s="3563" t="s">
        <v>6429</v>
      </c>
      <c r="E3744" s="3563" t="s">
        <v>4948</v>
      </c>
      <c r="F3744" s="3563" t="s">
        <v>4797</v>
      </c>
      <c r="G3744" s="3564">
        <v>101.39</v>
      </c>
      <c r="H3744" s="3564">
        <v>81.739999999999995</v>
      </c>
      <c r="I3744" s="3564">
        <v>19.649999999999999</v>
      </c>
      <c r="J3744" s="3565">
        <v>1009100</v>
      </c>
      <c r="K3744" s="3565">
        <v>9952.66</v>
      </c>
      <c r="L3744" s="3565">
        <v>12345.24</v>
      </c>
      <c r="M3744" s="3565">
        <v>0</v>
      </c>
      <c r="N3744" s="3565">
        <v>0</v>
      </c>
      <c r="O3744" s="3563" t="s">
        <v>3453</v>
      </c>
    </row>
    <row r="3745" spans="1:15">
      <c r="A3745" s="3563" t="s">
        <v>7967</v>
      </c>
      <c r="B3745" s="3563" t="s">
        <v>4196</v>
      </c>
      <c r="C3745" s="3563" t="s">
        <v>4197</v>
      </c>
      <c r="D3745" s="3563" t="s">
        <v>6429</v>
      </c>
      <c r="E3745" s="3563" t="s">
        <v>4948</v>
      </c>
      <c r="F3745" s="3563" t="s">
        <v>4797</v>
      </c>
      <c r="G3745" s="3564">
        <v>90.28</v>
      </c>
      <c r="H3745" s="3564">
        <v>72.78</v>
      </c>
      <c r="I3745" s="3564">
        <v>17.5</v>
      </c>
      <c r="J3745" s="3565">
        <v>898527</v>
      </c>
      <c r="K3745" s="3565">
        <v>9952.67</v>
      </c>
      <c r="L3745" s="3565">
        <v>12345.8</v>
      </c>
      <c r="M3745" s="3565">
        <v>0</v>
      </c>
      <c r="N3745" s="3565">
        <v>0</v>
      </c>
      <c r="O3745" s="3563" t="s">
        <v>3453</v>
      </c>
    </row>
    <row r="3746" spans="1:15">
      <c r="A3746" s="3563" t="s">
        <v>7968</v>
      </c>
      <c r="B3746" s="3563" t="s">
        <v>4196</v>
      </c>
      <c r="C3746" s="3563" t="s">
        <v>4197</v>
      </c>
      <c r="D3746" s="3563" t="s">
        <v>6429</v>
      </c>
      <c r="E3746" s="3563" t="s">
        <v>4948</v>
      </c>
      <c r="F3746" s="3563" t="s">
        <v>4797</v>
      </c>
      <c r="G3746" s="3564">
        <v>78.180000000000007</v>
      </c>
      <c r="H3746" s="3564">
        <v>63.03</v>
      </c>
      <c r="I3746" s="3564">
        <v>15.15</v>
      </c>
      <c r="J3746" s="3565">
        <v>778099</v>
      </c>
      <c r="K3746" s="3565">
        <v>9952.66</v>
      </c>
      <c r="L3746" s="3565">
        <v>12344.9</v>
      </c>
      <c r="M3746" s="3565">
        <v>0</v>
      </c>
      <c r="N3746" s="3565">
        <v>0</v>
      </c>
      <c r="O3746" s="3563" t="s">
        <v>3453</v>
      </c>
    </row>
    <row r="3747" spans="1:15">
      <c r="A3747" s="3563" t="s">
        <v>7969</v>
      </c>
      <c r="B3747" s="3563" t="s">
        <v>4196</v>
      </c>
      <c r="C3747" s="3563" t="s">
        <v>4197</v>
      </c>
      <c r="D3747" s="3563" t="s">
        <v>6429</v>
      </c>
      <c r="E3747" s="3563" t="s">
        <v>4948</v>
      </c>
      <c r="F3747" s="3563" t="s">
        <v>4797</v>
      </c>
      <c r="G3747" s="3564">
        <v>78.180000000000007</v>
      </c>
      <c r="H3747" s="3564">
        <v>63.03</v>
      </c>
      <c r="I3747" s="3564">
        <v>15.15</v>
      </c>
      <c r="J3747" s="3565">
        <v>778099</v>
      </c>
      <c r="K3747" s="3565">
        <v>9952.66</v>
      </c>
      <c r="L3747" s="3565">
        <v>12344.9</v>
      </c>
      <c r="M3747" s="3565">
        <v>0</v>
      </c>
      <c r="N3747" s="3565">
        <v>0</v>
      </c>
      <c r="O3747" s="3563" t="s">
        <v>3453</v>
      </c>
    </row>
    <row r="3748" spans="1:15">
      <c r="A3748" s="3563" t="s">
        <v>7970</v>
      </c>
      <c r="B3748" s="3563" t="s">
        <v>4196</v>
      </c>
      <c r="C3748" s="3563" t="s">
        <v>4197</v>
      </c>
      <c r="D3748" s="3563" t="s">
        <v>6429</v>
      </c>
      <c r="E3748" s="3563" t="s">
        <v>4948</v>
      </c>
      <c r="F3748" s="3563" t="s">
        <v>4797</v>
      </c>
      <c r="G3748" s="3564">
        <v>109.7</v>
      </c>
      <c r="H3748" s="3564">
        <v>88.44</v>
      </c>
      <c r="I3748" s="3564">
        <v>21.26</v>
      </c>
      <c r="J3748" s="3565">
        <v>1091807</v>
      </c>
      <c r="K3748" s="3565">
        <v>9952.66</v>
      </c>
      <c r="L3748" s="3565">
        <v>12345.17</v>
      </c>
      <c r="M3748" s="3565">
        <v>0</v>
      </c>
      <c r="N3748" s="3565">
        <v>0</v>
      </c>
      <c r="O3748" s="3563" t="s">
        <v>3453</v>
      </c>
    </row>
    <row r="3749" spans="1:15">
      <c r="A3749" s="3563" t="s">
        <v>7971</v>
      </c>
      <c r="B3749" s="3563" t="s">
        <v>4196</v>
      </c>
      <c r="C3749" s="3563" t="s">
        <v>4197</v>
      </c>
      <c r="D3749" s="3563" t="s">
        <v>6429</v>
      </c>
      <c r="E3749" s="3563" t="s">
        <v>4948</v>
      </c>
      <c r="F3749" s="3563" t="s">
        <v>4797</v>
      </c>
      <c r="G3749" s="3564">
        <v>101.39</v>
      </c>
      <c r="H3749" s="3564">
        <v>81.739999999999995</v>
      </c>
      <c r="I3749" s="3564">
        <v>19.649999999999999</v>
      </c>
      <c r="J3749" s="3565">
        <v>1009100</v>
      </c>
      <c r="K3749" s="3565">
        <v>9952.66</v>
      </c>
      <c r="L3749" s="3565">
        <v>12345.24</v>
      </c>
      <c r="M3749" s="3565">
        <v>0</v>
      </c>
      <c r="N3749" s="3565">
        <v>0</v>
      </c>
      <c r="O3749" s="3563" t="s">
        <v>3453</v>
      </c>
    </row>
    <row r="3750" spans="1:15">
      <c r="A3750" s="3563" t="s">
        <v>7972</v>
      </c>
      <c r="B3750" s="3563" t="s">
        <v>4196</v>
      </c>
      <c r="C3750" s="3563" t="s">
        <v>4197</v>
      </c>
      <c r="D3750" s="3563" t="s">
        <v>6429</v>
      </c>
      <c r="E3750" s="3563" t="s">
        <v>4948</v>
      </c>
      <c r="F3750" s="3563" t="s">
        <v>4797</v>
      </c>
      <c r="G3750" s="3564">
        <v>101.39</v>
      </c>
      <c r="H3750" s="3564">
        <v>81.739999999999995</v>
      </c>
      <c r="I3750" s="3564">
        <v>19.649999999999999</v>
      </c>
      <c r="J3750" s="3565">
        <v>1009100</v>
      </c>
      <c r="K3750" s="3565">
        <v>9952.66</v>
      </c>
      <c r="L3750" s="3565">
        <v>12345.24</v>
      </c>
      <c r="M3750" s="3565">
        <v>0</v>
      </c>
      <c r="N3750" s="3565">
        <v>0</v>
      </c>
      <c r="O3750" s="3563" t="s">
        <v>3453</v>
      </c>
    </row>
    <row r="3751" spans="1:15">
      <c r="A3751" s="3563" t="s">
        <v>7973</v>
      </c>
      <c r="B3751" s="3563" t="s">
        <v>4196</v>
      </c>
      <c r="C3751" s="3563" t="s">
        <v>4197</v>
      </c>
      <c r="D3751" s="3563" t="s">
        <v>6429</v>
      </c>
      <c r="E3751" s="3563" t="s">
        <v>4948</v>
      </c>
      <c r="F3751" s="3563" t="s">
        <v>4797</v>
      </c>
      <c r="G3751" s="3564">
        <v>90.28</v>
      </c>
      <c r="H3751" s="3564">
        <v>72.78</v>
      </c>
      <c r="I3751" s="3564">
        <v>17.5</v>
      </c>
      <c r="J3751" s="3565">
        <v>898527</v>
      </c>
      <c r="K3751" s="3565">
        <v>9952.67</v>
      </c>
      <c r="L3751" s="3565">
        <v>12345.8</v>
      </c>
      <c r="M3751" s="3565">
        <v>0</v>
      </c>
      <c r="N3751" s="3565">
        <v>0</v>
      </c>
      <c r="O3751" s="3563" t="s">
        <v>3453</v>
      </c>
    </row>
    <row r="3752" spans="1:15">
      <c r="A3752" s="3563" t="s">
        <v>7974</v>
      </c>
      <c r="B3752" s="3563" t="s">
        <v>4196</v>
      </c>
      <c r="C3752" s="3563" t="s">
        <v>4197</v>
      </c>
      <c r="D3752" s="3563" t="s">
        <v>6429</v>
      </c>
      <c r="E3752" s="3563" t="s">
        <v>4948</v>
      </c>
      <c r="F3752" s="3563" t="s">
        <v>4797</v>
      </c>
      <c r="G3752" s="3564">
        <v>78.180000000000007</v>
      </c>
      <c r="H3752" s="3564">
        <v>63.03</v>
      </c>
      <c r="I3752" s="3564">
        <v>15.15</v>
      </c>
      <c r="J3752" s="3565">
        <v>778099</v>
      </c>
      <c r="K3752" s="3565">
        <v>9952.66</v>
      </c>
      <c r="L3752" s="3565">
        <v>12344.9</v>
      </c>
      <c r="M3752" s="3565">
        <v>0</v>
      </c>
      <c r="N3752" s="3565">
        <v>0</v>
      </c>
      <c r="O3752" s="3563" t="s">
        <v>3453</v>
      </c>
    </row>
    <row r="3753" spans="1:15">
      <c r="A3753" s="3563" t="s">
        <v>7975</v>
      </c>
      <c r="B3753" s="3563" t="s">
        <v>4196</v>
      </c>
      <c r="C3753" s="3563" t="s">
        <v>4197</v>
      </c>
      <c r="D3753" s="3563" t="s">
        <v>6429</v>
      </c>
      <c r="E3753" s="3563" t="s">
        <v>4948</v>
      </c>
      <c r="F3753" s="3563" t="s">
        <v>4797</v>
      </c>
      <c r="G3753" s="3564">
        <v>78.180000000000007</v>
      </c>
      <c r="H3753" s="3564">
        <v>63.03</v>
      </c>
      <c r="I3753" s="3564">
        <v>15.15</v>
      </c>
      <c r="J3753" s="3565">
        <v>778099</v>
      </c>
      <c r="K3753" s="3565">
        <v>9952.66</v>
      </c>
      <c r="L3753" s="3565">
        <v>12344.9</v>
      </c>
      <c r="M3753" s="3565">
        <v>0</v>
      </c>
      <c r="N3753" s="3565">
        <v>0</v>
      </c>
      <c r="O3753" s="3563" t="s">
        <v>3453</v>
      </c>
    </row>
    <row r="3754" spans="1:15">
      <c r="A3754" s="3563" t="s">
        <v>7976</v>
      </c>
      <c r="B3754" s="3563" t="s">
        <v>4196</v>
      </c>
      <c r="C3754" s="3563" t="s">
        <v>4197</v>
      </c>
      <c r="D3754" s="3563" t="s">
        <v>6429</v>
      </c>
      <c r="E3754" s="3563" t="s">
        <v>4948</v>
      </c>
      <c r="F3754" s="3563" t="s">
        <v>4797</v>
      </c>
      <c r="G3754" s="3564">
        <v>109.7</v>
      </c>
      <c r="H3754" s="3564">
        <v>88.44</v>
      </c>
      <c r="I3754" s="3564">
        <v>21.26</v>
      </c>
      <c r="J3754" s="3565">
        <v>1091807</v>
      </c>
      <c r="K3754" s="3565">
        <v>9952.66</v>
      </c>
      <c r="L3754" s="3565">
        <v>12345.17</v>
      </c>
      <c r="M3754" s="3565">
        <v>0</v>
      </c>
      <c r="N3754" s="3565">
        <v>0</v>
      </c>
      <c r="O3754" s="3563" t="s">
        <v>3453</v>
      </c>
    </row>
    <row r="3755" spans="1:15">
      <c r="A3755" s="3563" t="s">
        <v>7977</v>
      </c>
      <c r="B3755" s="3563" t="s">
        <v>4196</v>
      </c>
      <c r="C3755" s="3563" t="s">
        <v>4197</v>
      </c>
      <c r="D3755" s="3563" t="s">
        <v>6429</v>
      </c>
      <c r="E3755" s="3563" t="s">
        <v>4948</v>
      </c>
      <c r="F3755" s="3563" t="s">
        <v>4797</v>
      </c>
      <c r="G3755" s="3564">
        <v>101.39</v>
      </c>
      <c r="H3755" s="3564">
        <v>81.739999999999995</v>
      </c>
      <c r="I3755" s="3564">
        <v>19.649999999999999</v>
      </c>
      <c r="J3755" s="3565">
        <v>1019887</v>
      </c>
      <c r="K3755" s="3565">
        <v>10059.049999999999</v>
      </c>
      <c r="L3755" s="3565">
        <v>12477.21</v>
      </c>
      <c r="M3755" s="3565">
        <v>0</v>
      </c>
      <c r="N3755" s="3565">
        <v>0</v>
      </c>
      <c r="O3755" s="3563" t="s">
        <v>3453</v>
      </c>
    </row>
    <row r="3756" spans="1:15">
      <c r="A3756" s="3563" t="s">
        <v>7978</v>
      </c>
      <c r="B3756" s="3563" t="s">
        <v>4196</v>
      </c>
      <c r="C3756" s="3563" t="s">
        <v>4197</v>
      </c>
      <c r="D3756" s="3563" t="s">
        <v>6429</v>
      </c>
      <c r="E3756" s="3563" t="s">
        <v>4948</v>
      </c>
      <c r="F3756" s="3563" t="s">
        <v>4797</v>
      </c>
      <c r="G3756" s="3564">
        <v>101.39</v>
      </c>
      <c r="H3756" s="3564">
        <v>81.739999999999995</v>
      </c>
      <c r="I3756" s="3564">
        <v>19.649999999999999</v>
      </c>
      <c r="J3756" s="3565">
        <v>1019887</v>
      </c>
      <c r="K3756" s="3565">
        <v>10059.049999999999</v>
      </c>
      <c r="L3756" s="3565">
        <v>12477.21</v>
      </c>
      <c r="M3756" s="3565">
        <v>0</v>
      </c>
      <c r="N3756" s="3565">
        <v>0</v>
      </c>
      <c r="O3756" s="3563" t="s">
        <v>3453</v>
      </c>
    </row>
    <row r="3757" spans="1:15">
      <c r="A3757" s="3563" t="s">
        <v>7979</v>
      </c>
      <c r="B3757" s="3563" t="s">
        <v>4196</v>
      </c>
      <c r="C3757" s="3563" t="s">
        <v>4197</v>
      </c>
      <c r="D3757" s="3563" t="s">
        <v>6429</v>
      </c>
      <c r="E3757" s="3563" t="s">
        <v>4948</v>
      </c>
      <c r="F3757" s="3563" t="s">
        <v>4797</v>
      </c>
      <c r="G3757" s="3564">
        <v>90.28</v>
      </c>
      <c r="H3757" s="3564">
        <v>72.78</v>
      </c>
      <c r="I3757" s="3564">
        <v>17.5</v>
      </c>
      <c r="J3757" s="3565">
        <v>898527</v>
      </c>
      <c r="K3757" s="3565">
        <v>9952.67</v>
      </c>
      <c r="L3757" s="3565">
        <v>12345.8</v>
      </c>
      <c r="M3757" s="3565">
        <v>0</v>
      </c>
      <c r="N3757" s="3565">
        <v>0</v>
      </c>
      <c r="O3757" s="3563" t="s">
        <v>3453</v>
      </c>
    </row>
    <row r="3758" spans="1:15">
      <c r="A3758" s="3563" t="s">
        <v>7980</v>
      </c>
      <c r="B3758" s="3563" t="s">
        <v>4196</v>
      </c>
      <c r="C3758" s="3563" t="s">
        <v>4197</v>
      </c>
      <c r="D3758" s="3563" t="s">
        <v>6429</v>
      </c>
      <c r="E3758" s="3563" t="s">
        <v>4948</v>
      </c>
      <c r="F3758" s="3563" t="s">
        <v>4797</v>
      </c>
      <c r="G3758" s="3564">
        <v>78.180000000000007</v>
      </c>
      <c r="H3758" s="3564">
        <v>63.03</v>
      </c>
      <c r="I3758" s="3564">
        <v>15.15</v>
      </c>
      <c r="J3758" s="3565">
        <v>778099</v>
      </c>
      <c r="K3758" s="3565">
        <v>9952.66</v>
      </c>
      <c r="L3758" s="3565">
        <v>12344.9</v>
      </c>
      <c r="M3758" s="3565">
        <v>0</v>
      </c>
      <c r="N3758" s="3565">
        <v>0</v>
      </c>
      <c r="O3758" s="3563" t="s">
        <v>3453</v>
      </c>
    </row>
    <row r="3759" spans="1:15">
      <c r="A3759" s="3563" t="s">
        <v>7981</v>
      </c>
      <c r="B3759" s="3563" t="s">
        <v>4196</v>
      </c>
      <c r="C3759" s="3563" t="s">
        <v>4197</v>
      </c>
      <c r="D3759" s="3563" t="s">
        <v>6429</v>
      </c>
      <c r="E3759" s="3563" t="s">
        <v>4948</v>
      </c>
      <c r="F3759" s="3563" t="s">
        <v>4797</v>
      </c>
      <c r="G3759" s="3564">
        <v>78.180000000000007</v>
      </c>
      <c r="H3759" s="3564">
        <v>63.03</v>
      </c>
      <c r="I3759" s="3564">
        <v>15.15</v>
      </c>
      <c r="J3759" s="3565">
        <v>778099</v>
      </c>
      <c r="K3759" s="3565">
        <v>9952.66</v>
      </c>
      <c r="L3759" s="3565">
        <v>12344.9</v>
      </c>
      <c r="M3759" s="3565">
        <v>0</v>
      </c>
      <c r="N3759" s="3565">
        <v>0</v>
      </c>
      <c r="O3759" s="3563" t="s">
        <v>3453</v>
      </c>
    </row>
    <row r="3760" spans="1:15">
      <c r="A3760" s="3563" t="s">
        <v>7982</v>
      </c>
      <c r="B3760" s="3563" t="s">
        <v>4196</v>
      </c>
      <c r="C3760" s="3563" t="s">
        <v>4197</v>
      </c>
      <c r="D3760" s="3563" t="s">
        <v>6429</v>
      </c>
      <c r="E3760" s="3563" t="s">
        <v>4948</v>
      </c>
      <c r="F3760" s="3563" t="s">
        <v>4797</v>
      </c>
      <c r="G3760" s="3564">
        <v>109.7</v>
      </c>
      <c r="H3760" s="3564">
        <v>88.44</v>
      </c>
      <c r="I3760" s="3564">
        <v>21.26</v>
      </c>
      <c r="J3760" s="3565">
        <v>1091807</v>
      </c>
      <c r="K3760" s="3565">
        <v>9952.66</v>
      </c>
      <c r="L3760" s="3565">
        <v>12345.17</v>
      </c>
      <c r="M3760" s="3565">
        <v>0</v>
      </c>
      <c r="N3760" s="3565">
        <v>0</v>
      </c>
      <c r="O3760" s="3563" t="s">
        <v>3453</v>
      </c>
    </row>
    <row r="3761" spans="1:15">
      <c r="A3761" s="3563" t="s">
        <v>7983</v>
      </c>
      <c r="B3761" s="3563" t="s">
        <v>4196</v>
      </c>
      <c r="C3761" s="3563" t="s">
        <v>4197</v>
      </c>
      <c r="D3761" s="3563" t="s">
        <v>6429</v>
      </c>
      <c r="E3761" s="3563" t="s">
        <v>4948</v>
      </c>
      <c r="F3761" s="3563" t="s">
        <v>4797</v>
      </c>
      <c r="G3761" s="3564">
        <v>101.39</v>
      </c>
      <c r="H3761" s="3564">
        <v>81.739999999999995</v>
      </c>
      <c r="I3761" s="3564">
        <v>19.649999999999999</v>
      </c>
      <c r="J3761" s="3565">
        <v>1020965</v>
      </c>
      <c r="K3761" s="3565">
        <v>10069.68</v>
      </c>
      <c r="L3761" s="3565">
        <v>12490.4</v>
      </c>
      <c r="M3761" s="3565">
        <v>0</v>
      </c>
      <c r="N3761" s="3565">
        <v>0</v>
      </c>
      <c r="O3761" s="3563" t="s">
        <v>3453</v>
      </c>
    </row>
    <row r="3762" spans="1:15">
      <c r="A3762" s="3563" t="s">
        <v>7984</v>
      </c>
      <c r="B3762" s="3563" t="s">
        <v>4196</v>
      </c>
      <c r="C3762" s="3563" t="s">
        <v>4197</v>
      </c>
      <c r="D3762" s="3563" t="s">
        <v>6429</v>
      </c>
      <c r="E3762" s="3563" t="s">
        <v>4948</v>
      </c>
      <c r="F3762" s="3563" t="s">
        <v>4797</v>
      </c>
      <c r="G3762" s="3564">
        <v>101.39</v>
      </c>
      <c r="H3762" s="3564">
        <v>81.739999999999995</v>
      </c>
      <c r="I3762" s="3564">
        <v>19.649999999999999</v>
      </c>
      <c r="J3762" s="3565">
        <v>1020965</v>
      </c>
      <c r="K3762" s="3565">
        <v>10069.68</v>
      </c>
      <c r="L3762" s="3565">
        <v>12490.4</v>
      </c>
      <c r="M3762" s="3565">
        <v>0</v>
      </c>
      <c r="N3762" s="3565">
        <v>0</v>
      </c>
      <c r="O3762" s="3563" t="s">
        <v>3453</v>
      </c>
    </row>
    <row r="3763" spans="1:15">
      <c r="A3763" s="3563" t="s">
        <v>7985</v>
      </c>
      <c r="B3763" s="3563" t="s">
        <v>4196</v>
      </c>
      <c r="C3763" s="3563" t="s">
        <v>4197</v>
      </c>
      <c r="D3763" s="3563" t="s">
        <v>6429</v>
      </c>
      <c r="E3763" s="3563" t="s">
        <v>4948</v>
      </c>
      <c r="F3763" s="3563" t="s">
        <v>4797</v>
      </c>
      <c r="G3763" s="3564">
        <v>90.28</v>
      </c>
      <c r="H3763" s="3564">
        <v>72.78</v>
      </c>
      <c r="I3763" s="3564">
        <v>17.5</v>
      </c>
      <c r="J3763" s="3565">
        <v>898527</v>
      </c>
      <c r="K3763" s="3565">
        <v>9952.67</v>
      </c>
      <c r="L3763" s="3565">
        <v>12345.8</v>
      </c>
      <c r="M3763" s="3565">
        <v>0</v>
      </c>
      <c r="N3763" s="3565">
        <v>0</v>
      </c>
      <c r="O3763" s="3563" t="s">
        <v>3453</v>
      </c>
    </row>
    <row r="3764" spans="1:15">
      <c r="A3764" s="3563" t="s">
        <v>7986</v>
      </c>
      <c r="B3764" s="3563" t="s">
        <v>4196</v>
      </c>
      <c r="C3764" s="3563" t="s">
        <v>4197</v>
      </c>
      <c r="D3764" s="3563" t="s">
        <v>6429</v>
      </c>
      <c r="E3764" s="3563" t="s">
        <v>4948</v>
      </c>
      <c r="F3764" s="3563" t="s">
        <v>4797</v>
      </c>
      <c r="G3764" s="3564">
        <v>78.180000000000007</v>
      </c>
      <c r="H3764" s="3564">
        <v>63.03</v>
      </c>
      <c r="I3764" s="3564">
        <v>15.15</v>
      </c>
      <c r="J3764" s="3565">
        <v>778099</v>
      </c>
      <c r="K3764" s="3565">
        <v>9952.66</v>
      </c>
      <c r="L3764" s="3565">
        <v>12344.9</v>
      </c>
      <c r="M3764" s="3565">
        <v>0</v>
      </c>
      <c r="N3764" s="3565">
        <v>0</v>
      </c>
      <c r="O3764" s="3563" t="s">
        <v>3453</v>
      </c>
    </row>
    <row r="3765" spans="1:15">
      <c r="A3765" s="3563" t="s">
        <v>7987</v>
      </c>
      <c r="B3765" s="3563" t="s">
        <v>4196</v>
      </c>
      <c r="C3765" s="3563" t="s">
        <v>4197</v>
      </c>
      <c r="D3765" s="3563" t="s">
        <v>6429</v>
      </c>
      <c r="E3765" s="3563" t="s">
        <v>4948</v>
      </c>
      <c r="F3765" s="3563" t="s">
        <v>4797</v>
      </c>
      <c r="G3765" s="3564">
        <v>78.180000000000007</v>
      </c>
      <c r="H3765" s="3564">
        <v>63.03</v>
      </c>
      <c r="I3765" s="3564">
        <v>15.15</v>
      </c>
      <c r="J3765" s="3565">
        <v>778099</v>
      </c>
      <c r="K3765" s="3565">
        <v>9952.66</v>
      </c>
      <c r="L3765" s="3565">
        <v>12344.9</v>
      </c>
      <c r="M3765" s="3565">
        <v>0</v>
      </c>
      <c r="N3765" s="3565">
        <v>0</v>
      </c>
      <c r="O3765" s="3563" t="s">
        <v>3453</v>
      </c>
    </row>
    <row r="3766" spans="1:15">
      <c r="A3766" s="3563" t="s">
        <v>7988</v>
      </c>
      <c r="B3766" s="3563" t="s">
        <v>4196</v>
      </c>
      <c r="C3766" s="3563" t="s">
        <v>4197</v>
      </c>
      <c r="D3766" s="3563" t="s">
        <v>6429</v>
      </c>
      <c r="E3766" s="3563" t="s">
        <v>4948</v>
      </c>
      <c r="F3766" s="3563" t="s">
        <v>4797</v>
      </c>
      <c r="G3766" s="3564">
        <v>109.7</v>
      </c>
      <c r="H3766" s="3564">
        <v>88.44</v>
      </c>
      <c r="I3766" s="3564">
        <v>21.26</v>
      </c>
      <c r="J3766" s="3565">
        <v>1092974</v>
      </c>
      <c r="K3766" s="3565">
        <v>9963.2999999999993</v>
      </c>
      <c r="L3766" s="3565">
        <v>12358.37</v>
      </c>
      <c r="M3766" s="3565">
        <v>0</v>
      </c>
      <c r="N3766" s="3565">
        <v>0</v>
      </c>
      <c r="O3766" s="3563" t="s">
        <v>3453</v>
      </c>
    </row>
    <row r="3767" spans="1:15">
      <c r="A3767" s="3563" t="s">
        <v>7989</v>
      </c>
      <c r="B3767" s="3563" t="s">
        <v>4196</v>
      </c>
      <c r="C3767" s="3563" t="s">
        <v>4197</v>
      </c>
      <c r="D3767" s="3563" t="s">
        <v>6429</v>
      </c>
      <c r="E3767" s="3563" t="s">
        <v>4948</v>
      </c>
      <c r="F3767" s="3563" t="s">
        <v>4797</v>
      </c>
      <c r="G3767" s="3564">
        <v>101.39</v>
      </c>
      <c r="H3767" s="3564">
        <v>81.739999999999995</v>
      </c>
      <c r="I3767" s="3564">
        <v>19.649999999999999</v>
      </c>
      <c r="J3767" s="3565">
        <v>1097547</v>
      </c>
      <c r="K3767" s="3565">
        <v>10825</v>
      </c>
      <c r="L3767" s="3565">
        <v>13427.29</v>
      </c>
      <c r="M3767" s="3565">
        <v>0</v>
      </c>
      <c r="N3767" s="3565">
        <v>0</v>
      </c>
      <c r="O3767" s="3563" t="s">
        <v>3453</v>
      </c>
    </row>
    <row r="3768" spans="1:15">
      <c r="A3768" s="3563" t="s">
        <v>7990</v>
      </c>
      <c r="B3768" s="3563" t="s">
        <v>4196</v>
      </c>
      <c r="C3768" s="3563" t="s">
        <v>4197</v>
      </c>
      <c r="D3768" s="3563" t="s">
        <v>6429</v>
      </c>
      <c r="E3768" s="3563" t="s">
        <v>4948</v>
      </c>
      <c r="F3768" s="3563" t="s">
        <v>4797</v>
      </c>
      <c r="G3768" s="3564">
        <v>101.39</v>
      </c>
      <c r="H3768" s="3564">
        <v>81.739999999999995</v>
      </c>
      <c r="I3768" s="3564">
        <v>19.649999999999999</v>
      </c>
      <c r="J3768" s="3565">
        <v>1097547</v>
      </c>
      <c r="K3768" s="3565">
        <v>10825</v>
      </c>
      <c r="L3768" s="3565">
        <v>13427.29</v>
      </c>
      <c r="M3768" s="3565">
        <v>0</v>
      </c>
      <c r="N3768" s="3565">
        <v>0</v>
      </c>
      <c r="O3768" s="3563" t="s">
        <v>3453</v>
      </c>
    </row>
    <row r="3769" spans="1:15">
      <c r="A3769" s="3563" t="s">
        <v>7991</v>
      </c>
      <c r="B3769" s="3563" t="s">
        <v>4196</v>
      </c>
      <c r="C3769" s="3563" t="s">
        <v>4197</v>
      </c>
      <c r="D3769" s="3563" t="s">
        <v>6429</v>
      </c>
      <c r="E3769" s="3563" t="s">
        <v>4948</v>
      </c>
      <c r="F3769" s="3563" t="s">
        <v>4797</v>
      </c>
      <c r="G3769" s="3564">
        <v>90.28</v>
      </c>
      <c r="H3769" s="3564">
        <v>72.78</v>
      </c>
      <c r="I3769" s="3564">
        <v>17.5</v>
      </c>
      <c r="J3769" s="3565">
        <v>898527</v>
      </c>
      <c r="K3769" s="3565">
        <v>9952.67</v>
      </c>
      <c r="L3769" s="3565">
        <v>12345.8</v>
      </c>
      <c r="M3769" s="3565">
        <v>0</v>
      </c>
      <c r="N3769" s="3565">
        <v>0</v>
      </c>
      <c r="O3769" s="3563" t="s">
        <v>3453</v>
      </c>
    </row>
    <row r="3770" spans="1:15">
      <c r="A3770" s="3563" t="s">
        <v>7992</v>
      </c>
      <c r="B3770" s="3563" t="s">
        <v>4196</v>
      </c>
      <c r="C3770" s="3563" t="s">
        <v>4197</v>
      </c>
      <c r="D3770" s="3563" t="s">
        <v>6429</v>
      </c>
      <c r="E3770" s="3563" t="s">
        <v>4948</v>
      </c>
      <c r="F3770" s="3563" t="s">
        <v>4797</v>
      </c>
      <c r="G3770" s="3564">
        <v>78.180000000000007</v>
      </c>
      <c r="H3770" s="3564">
        <v>63.03</v>
      </c>
      <c r="I3770" s="3564">
        <v>15.15</v>
      </c>
      <c r="J3770" s="3565">
        <v>778099</v>
      </c>
      <c r="K3770" s="3565">
        <v>9952.66</v>
      </c>
      <c r="L3770" s="3565">
        <v>12344.9</v>
      </c>
      <c r="M3770" s="3565">
        <v>0</v>
      </c>
      <c r="N3770" s="3565">
        <v>0</v>
      </c>
      <c r="O3770" s="3563" t="s">
        <v>3453</v>
      </c>
    </row>
    <row r="3771" spans="1:15">
      <c r="A3771" s="3563" t="s">
        <v>7993</v>
      </c>
      <c r="B3771" s="3563" t="s">
        <v>4196</v>
      </c>
      <c r="C3771" s="3563" t="s">
        <v>4197</v>
      </c>
      <c r="D3771" s="3563" t="s">
        <v>6429</v>
      </c>
      <c r="E3771" s="3563" t="s">
        <v>4948</v>
      </c>
      <c r="F3771" s="3563" t="s">
        <v>4797</v>
      </c>
      <c r="G3771" s="3564">
        <v>78.180000000000007</v>
      </c>
      <c r="H3771" s="3564">
        <v>63.03</v>
      </c>
      <c r="I3771" s="3564">
        <v>15.15</v>
      </c>
      <c r="J3771" s="3565">
        <v>778099</v>
      </c>
      <c r="K3771" s="3565">
        <v>9952.66</v>
      </c>
      <c r="L3771" s="3565">
        <v>12344.9</v>
      </c>
      <c r="M3771" s="3565">
        <v>0</v>
      </c>
      <c r="N3771" s="3565">
        <v>0</v>
      </c>
      <c r="O3771" s="3563" t="s">
        <v>3453</v>
      </c>
    </row>
    <row r="3772" spans="1:15">
      <c r="A3772" s="3563" t="s">
        <v>7994</v>
      </c>
      <c r="B3772" s="3563" t="s">
        <v>4196</v>
      </c>
      <c r="C3772" s="3563" t="s">
        <v>4197</v>
      </c>
      <c r="D3772" s="3563" t="s">
        <v>6429</v>
      </c>
      <c r="E3772" s="3563" t="s">
        <v>4948</v>
      </c>
      <c r="F3772" s="3563" t="s">
        <v>4797</v>
      </c>
      <c r="G3772" s="3564">
        <v>109.7</v>
      </c>
      <c r="H3772" s="3564">
        <v>88.44</v>
      </c>
      <c r="I3772" s="3564">
        <v>21.26</v>
      </c>
      <c r="J3772" s="3565">
        <v>1175832</v>
      </c>
      <c r="K3772" s="3565">
        <v>10718.61</v>
      </c>
      <c r="L3772" s="3565">
        <v>13295.25</v>
      </c>
      <c r="M3772" s="3565">
        <v>0</v>
      </c>
      <c r="N3772" s="3565">
        <v>0</v>
      </c>
      <c r="O3772" s="3563" t="s">
        <v>3453</v>
      </c>
    </row>
    <row r="3773" spans="1:15">
      <c r="A3773" s="3563" t="s">
        <v>7995</v>
      </c>
      <c r="B3773" s="3563" t="s">
        <v>4196</v>
      </c>
      <c r="C3773" s="3563" t="s">
        <v>4197</v>
      </c>
      <c r="D3773" s="3563" t="s">
        <v>6429</v>
      </c>
      <c r="E3773" s="3563" t="s">
        <v>4948</v>
      </c>
      <c r="F3773" s="3563" t="s">
        <v>4797</v>
      </c>
      <c r="G3773" s="3564">
        <v>101.39</v>
      </c>
      <c r="H3773" s="3564">
        <v>81.739999999999995</v>
      </c>
      <c r="I3773" s="3564">
        <v>19.649999999999999</v>
      </c>
      <c r="J3773" s="3565">
        <v>1098626</v>
      </c>
      <c r="K3773" s="3565">
        <v>10835.64</v>
      </c>
      <c r="L3773" s="3565">
        <v>13440.49</v>
      </c>
      <c r="M3773" s="3565">
        <v>0</v>
      </c>
      <c r="N3773" s="3565">
        <v>0</v>
      </c>
      <c r="O3773" s="3563" t="s">
        <v>3453</v>
      </c>
    </row>
    <row r="3774" spans="1:15">
      <c r="A3774" s="3563" t="s">
        <v>7996</v>
      </c>
      <c r="B3774" s="3563" t="s">
        <v>4196</v>
      </c>
      <c r="C3774" s="3563" t="s">
        <v>4197</v>
      </c>
      <c r="D3774" s="3563" t="s">
        <v>6429</v>
      </c>
      <c r="E3774" s="3563" t="s">
        <v>4948</v>
      </c>
      <c r="F3774" s="3563" t="s">
        <v>4797</v>
      </c>
      <c r="G3774" s="3564">
        <v>101.39</v>
      </c>
      <c r="H3774" s="3564">
        <v>81.739999999999995</v>
      </c>
      <c r="I3774" s="3564">
        <v>19.649999999999999</v>
      </c>
      <c r="J3774" s="3565">
        <v>1098626</v>
      </c>
      <c r="K3774" s="3565">
        <v>10835.64</v>
      </c>
      <c r="L3774" s="3565">
        <v>13440.49</v>
      </c>
      <c r="M3774" s="3565">
        <v>0</v>
      </c>
      <c r="N3774" s="3565">
        <v>0</v>
      </c>
      <c r="O3774" s="3563" t="s">
        <v>3453</v>
      </c>
    </row>
    <row r="3775" spans="1:15">
      <c r="A3775" s="3563" t="s">
        <v>7997</v>
      </c>
      <c r="B3775" s="3563" t="s">
        <v>4196</v>
      </c>
      <c r="C3775" s="3563" t="s">
        <v>4197</v>
      </c>
      <c r="D3775" s="3563" t="s">
        <v>6429</v>
      </c>
      <c r="E3775" s="3563" t="s">
        <v>4948</v>
      </c>
      <c r="F3775" s="3563" t="s">
        <v>4797</v>
      </c>
      <c r="G3775" s="3564">
        <v>90.28</v>
      </c>
      <c r="H3775" s="3564">
        <v>72.78</v>
      </c>
      <c r="I3775" s="3564">
        <v>17.5</v>
      </c>
      <c r="J3775" s="3565">
        <v>898527</v>
      </c>
      <c r="K3775" s="3565">
        <v>9952.67</v>
      </c>
      <c r="L3775" s="3565">
        <v>12345.8</v>
      </c>
      <c r="M3775" s="3565">
        <v>0</v>
      </c>
      <c r="N3775" s="3565">
        <v>0</v>
      </c>
      <c r="O3775" s="3563" t="s">
        <v>3453</v>
      </c>
    </row>
    <row r="3776" spans="1:15">
      <c r="A3776" s="3563" t="s">
        <v>7998</v>
      </c>
      <c r="B3776" s="3563" t="s">
        <v>4196</v>
      </c>
      <c r="C3776" s="3563" t="s">
        <v>4197</v>
      </c>
      <c r="D3776" s="3563" t="s">
        <v>6429</v>
      </c>
      <c r="E3776" s="3563" t="s">
        <v>4948</v>
      </c>
      <c r="F3776" s="3563" t="s">
        <v>4797</v>
      </c>
      <c r="G3776" s="3564">
        <v>78.180000000000007</v>
      </c>
      <c r="H3776" s="3564">
        <v>63.03</v>
      </c>
      <c r="I3776" s="3564">
        <v>15.15</v>
      </c>
      <c r="J3776" s="3565">
        <v>778099</v>
      </c>
      <c r="K3776" s="3565">
        <v>9952.66</v>
      </c>
      <c r="L3776" s="3565">
        <v>12344.9</v>
      </c>
      <c r="M3776" s="3565">
        <v>0</v>
      </c>
      <c r="N3776" s="3565">
        <v>0</v>
      </c>
      <c r="O3776" s="3563" t="s">
        <v>3453</v>
      </c>
    </row>
    <row r="3777" spans="1:15">
      <c r="A3777" s="3563" t="s">
        <v>7999</v>
      </c>
      <c r="B3777" s="3563" t="s">
        <v>4196</v>
      </c>
      <c r="C3777" s="3563" t="s">
        <v>4197</v>
      </c>
      <c r="D3777" s="3563" t="s">
        <v>6429</v>
      </c>
      <c r="E3777" s="3563" t="s">
        <v>4948</v>
      </c>
      <c r="F3777" s="3563" t="s">
        <v>4797</v>
      </c>
      <c r="G3777" s="3564">
        <v>78.180000000000007</v>
      </c>
      <c r="H3777" s="3564">
        <v>63.03</v>
      </c>
      <c r="I3777" s="3564">
        <v>15.15</v>
      </c>
      <c r="J3777" s="3565">
        <v>778099</v>
      </c>
      <c r="K3777" s="3565">
        <v>9952.66</v>
      </c>
      <c r="L3777" s="3565">
        <v>12344.9</v>
      </c>
      <c r="M3777" s="3565">
        <v>0</v>
      </c>
      <c r="N3777" s="3565">
        <v>0</v>
      </c>
      <c r="O3777" s="3563" t="s">
        <v>3453</v>
      </c>
    </row>
    <row r="3778" spans="1:15">
      <c r="A3778" s="3563" t="s">
        <v>8000</v>
      </c>
      <c r="B3778" s="3563" t="s">
        <v>4196</v>
      </c>
      <c r="C3778" s="3563" t="s">
        <v>4197</v>
      </c>
      <c r="D3778" s="3563" t="s">
        <v>6429</v>
      </c>
      <c r="E3778" s="3563" t="s">
        <v>4948</v>
      </c>
      <c r="F3778" s="3563" t="s">
        <v>4797</v>
      </c>
      <c r="G3778" s="3564">
        <v>109.7</v>
      </c>
      <c r="H3778" s="3564">
        <v>88.44</v>
      </c>
      <c r="I3778" s="3564">
        <v>21.26</v>
      </c>
      <c r="J3778" s="3565">
        <v>1176999</v>
      </c>
      <c r="K3778" s="3565">
        <v>10729.25</v>
      </c>
      <c r="L3778" s="3565">
        <v>13308.45</v>
      </c>
      <c r="M3778" s="3565">
        <v>0</v>
      </c>
      <c r="N3778" s="3565">
        <v>0</v>
      </c>
      <c r="O3778" s="3563" t="s">
        <v>3453</v>
      </c>
    </row>
    <row r="3779" spans="1:15">
      <c r="A3779" s="3563" t="s">
        <v>8001</v>
      </c>
      <c r="B3779" s="3563" t="s">
        <v>4196</v>
      </c>
      <c r="C3779" s="3563" t="s">
        <v>4197</v>
      </c>
      <c r="D3779" s="3563" t="s">
        <v>6429</v>
      </c>
      <c r="E3779" s="3563" t="s">
        <v>4948</v>
      </c>
      <c r="F3779" s="3563" t="s">
        <v>4797</v>
      </c>
      <c r="G3779" s="3564">
        <v>101.39</v>
      </c>
      <c r="H3779" s="3564">
        <v>81.739999999999995</v>
      </c>
      <c r="I3779" s="3564">
        <v>19.649999999999999</v>
      </c>
      <c r="J3779" s="3565">
        <v>1099705</v>
      </c>
      <c r="K3779" s="3565">
        <v>10846.29</v>
      </c>
      <c r="L3779" s="3565">
        <v>13453.69</v>
      </c>
      <c r="M3779" s="3565">
        <v>0</v>
      </c>
      <c r="N3779" s="3565">
        <v>0</v>
      </c>
      <c r="O3779" s="3563" t="s">
        <v>3453</v>
      </c>
    </row>
    <row r="3780" spans="1:15">
      <c r="A3780" s="3563" t="s">
        <v>8002</v>
      </c>
      <c r="B3780" s="3563" t="s">
        <v>4196</v>
      </c>
      <c r="C3780" s="3563" t="s">
        <v>4197</v>
      </c>
      <c r="D3780" s="3563" t="s">
        <v>6429</v>
      </c>
      <c r="E3780" s="3563" t="s">
        <v>4948</v>
      </c>
      <c r="F3780" s="3563" t="s">
        <v>4797</v>
      </c>
      <c r="G3780" s="3564">
        <v>101.39</v>
      </c>
      <c r="H3780" s="3564">
        <v>81.739999999999995</v>
      </c>
      <c r="I3780" s="3564">
        <v>19.649999999999999</v>
      </c>
      <c r="J3780" s="3565">
        <v>1099705</v>
      </c>
      <c r="K3780" s="3565">
        <v>10846.29</v>
      </c>
      <c r="L3780" s="3565">
        <v>13453.69</v>
      </c>
      <c r="M3780" s="3565">
        <v>0</v>
      </c>
      <c r="N3780" s="3565">
        <v>0</v>
      </c>
      <c r="O3780" s="3563" t="s">
        <v>3453</v>
      </c>
    </row>
    <row r="3781" spans="1:15">
      <c r="A3781" s="3563" t="s">
        <v>8003</v>
      </c>
      <c r="B3781" s="3563" t="s">
        <v>4196</v>
      </c>
      <c r="C3781" s="3563" t="s">
        <v>4197</v>
      </c>
      <c r="D3781" s="3563" t="s">
        <v>6429</v>
      </c>
      <c r="E3781" s="3563" t="s">
        <v>4948</v>
      </c>
      <c r="F3781" s="3563" t="s">
        <v>4797</v>
      </c>
      <c r="G3781" s="3564">
        <v>90.28</v>
      </c>
      <c r="H3781" s="3564">
        <v>72.78</v>
      </c>
      <c r="I3781" s="3564">
        <v>17.5</v>
      </c>
      <c r="J3781" s="3565">
        <v>898527</v>
      </c>
      <c r="K3781" s="3565">
        <v>9952.67</v>
      </c>
      <c r="L3781" s="3565">
        <v>12345.8</v>
      </c>
      <c r="M3781" s="3565">
        <v>0</v>
      </c>
      <c r="N3781" s="3565">
        <v>0</v>
      </c>
      <c r="O3781" s="3563" t="s">
        <v>3453</v>
      </c>
    </row>
    <row r="3782" spans="1:15">
      <c r="A3782" s="3563" t="s">
        <v>8004</v>
      </c>
      <c r="B3782" s="3563" t="s">
        <v>4196</v>
      </c>
      <c r="C3782" s="3563" t="s">
        <v>4197</v>
      </c>
      <c r="D3782" s="3563" t="s">
        <v>6429</v>
      </c>
      <c r="E3782" s="3563" t="s">
        <v>4948</v>
      </c>
      <c r="F3782" s="3563" t="s">
        <v>4797</v>
      </c>
      <c r="G3782" s="3564">
        <v>78.180000000000007</v>
      </c>
      <c r="H3782" s="3564">
        <v>63.03</v>
      </c>
      <c r="I3782" s="3564">
        <v>15.15</v>
      </c>
      <c r="J3782" s="3565">
        <v>778099</v>
      </c>
      <c r="K3782" s="3565">
        <v>9952.66</v>
      </c>
      <c r="L3782" s="3565">
        <v>12344.9</v>
      </c>
      <c r="M3782" s="3565">
        <v>0</v>
      </c>
      <c r="N3782" s="3565">
        <v>0</v>
      </c>
      <c r="O3782" s="3563" t="s">
        <v>3453</v>
      </c>
    </row>
    <row r="3783" spans="1:15">
      <c r="A3783" s="3563" t="s">
        <v>8005</v>
      </c>
      <c r="B3783" s="3563" t="s">
        <v>4196</v>
      </c>
      <c r="C3783" s="3563" t="s">
        <v>4197</v>
      </c>
      <c r="D3783" s="3563" t="s">
        <v>6429</v>
      </c>
      <c r="E3783" s="3563" t="s">
        <v>4948</v>
      </c>
      <c r="F3783" s="3563" t="s">
        <v>4797</v>
      </c>
      <c r="G3783" s="3564">
        <v>78.180000000000007</v>
      </c>
      <c r="H3783" s="3564">
        <v>63.03</v>
      </c>
      <c r="I3783" s="3564">
        <v>15.15</v>
      </c>
      <c r="J3783" s="3565">
        <v>778099</v>
      </c>
      <c r="K3783" s="3565">
        <v>9952.66</v>
      </c>
      <c r="L3783" s="3565">
        <v>12344.9</v>
      </c>
      <c r="M3783" s="3565">
        <v>0</v>
      </c>
      <c r="N3783" s="3565">
        <v>0</v>
      </c>
      <c r="O3783" s="3563" t="s">
        <v>3453</v>
      </c>
    </row>
    <row r="3784" spans="1:15">
      <c r="A3784" s="3563" t="s">
        <v>8006</v>
      </c>
      <c r="B3784" s="3563" t="s">
        <v>4196</v>
      </c>
      <c r="C3784" s="3563" t="s">
        <v>4197</v>
      </c>
      <c r="D3784" s="3563" t="s">
        <v>6429</v>
      </c>
      <c r="E3784" s="3563" t="s">
        <v>4948</v>
      </c>
      <c r="F3784" s="3563" t="s">
        <v>4797</v>
      </c>
      <c r="G3784" s="3564">
        <v>109.7</v>
      </c>
      <c r="H3784" s="3564">
        <v>88.44</v>
      </c>
      <c r="I3784" s="3564">
        <v>21.26</v>
      </c>
      <c r="J3784" s="3565">
        <v>1178166</v>
      </c>
      <c r="K3784" s="3565">
        <v>10739.89</v>
      </c>
      <c r="L3784" s="3565">
        <v>13321.64</v>
      </c>
      <c r="M3784" s="3565">
        <v>0</v>
      </c>
      <c r="N3784" s="3565">
        <v>0</v>
      </c>
      <c r="O3784" s="3563" t="s">
        <v>3453</v>
      </c>
    </row>
    <row r="3785" spans="1:15">
      <c r="A3785" s="3563" t="s">
        <v>8007</v>
      </c>
      <c r="B3785" s="3563" t="s">
        <v>4196</v>
      </c>
      <c r="C3785" s="3563" t="s">
        <v>4197</v>
      </c>
      <c r="D3785" s="3563" t="s">
        <v>6429</v>
      </c>
      <c r="E3785" s="3563" t="s">
        <v>6277</v>
      </c>
      <c r="F3785" s="3563" t="s">
        <v>4797</v>
      </c>
      <c r="G3785" s="3564">
        <v>98.54</v>
      </c>
      <c r="H3785" s="3564">
        <v>81.739999999999995</v>
      </c>
      <c r="I3785" s="3564">
        <v>16.8</v>
      </c>
      <c r="J3785" s="3565">
        <v>982832</v>
      </c>
      <c r="K3785" s="3565">
        <v>9973.94</v>
      </c>
      <c r="L3785" s="3565">
        <v>12023.88</v>
      </c>
      <c r="M3785" s="3565">
        <v>0</v>
      </c>
      <c r="N3785" s="3565">
        <v>0</v>
      </c>
      <c r="O3785" s="3563" t="s">
        <v>3453</v>
      </c>
    </row>
    <row r="3786" spans="1:15">
      <c r="A3786" s="3563" t="s">
        <v>8008</v>
      </c>
      <c r="B3786" s="3563" t="s">
        <v>4196</v>
      </c>
      <c r="C3786" s="3563" t="s">
        <v>4197</v>
      </c>
      <c r="D3786" s="3563" t="s">
        <v>6429</v>
      </c>
      <c r="E3786" s="3563" t="s">
        <v>6277</v>
      </c>
      <c r="F3786" s="3563" t="s">
        <v>4797</v>
      </c>
      <c r="G3786" s="3564">
        <v>98.54</v>
      </c>
      <c r="H3786" s="3564">
        <v>81.739999999999995</v>
      </c>
      <c r="I3786" s="3564">
        <v>16.8</v>
      </c>
      <c r="J3786" s="3565">
        <v>982832</v>
      </c>
      <c r="K3786" s="3565">
        <v>9973.94</v>
      </c>
      <c r="L3786" s="3565">
        <v>12023.88</v>
      </c>
      <c r="M3786" s="3565">
        <v>0</v>
      </c>
      <c r="N3786" s="3565">
        <v>0</v>
      </c>
      <c r="O3786" s="3563" t="s">
        <v>3453</v>
      </c>
    </row>
    <row r="3787" spans="1:15">
      <c r="A3787" s="3563" t="s">
        <v>8009</v>
      </c>
      <c r="B3787" s="3563" t="s">
        <v>4196</v>
      </c>
      <c r="C3787" s="3563" t="s">
        <v>4197</v>
      </c>
      <c r="D3787" s="3563" t="s">
        <v>6429</v>
      </c>
      <c r="E3787" s="3563" t="s">
        <v>6277</v>
      </c>
      <c r="F3787" s="3563" t="s">
        <v>4797</v>
      </c>
      <c r="G3787" s="3564">
        <v>87.74</v>
      </c>
      <c r="H3787" s="3564">
        <v>72.78</v>
      </c>
      <c r="I3787" s="3564">
        <v>14.96</v>
      </c>
      <c r="J3787" s="3565">
        <v>845245</v>
      </c>
      <c r="K3787" s="3565">
        <v>9633.52</v>
      </c>
      <c r="L3787" s="3565">
        <v>11613.7</v>
      </c>
      <c r="M3787" s="3565">
        <v>0</v>
      </c>
      <c r="N3787" s="3565">
        <v>0</v>
      </c>
      <c r="O3787" s="3563" t="s">
        <v>3453</v>
      </c>
    </row>
    <row r="3788" spans="1:15">
      <c r="A3788" s="3563" t="s">
        <v>8010</v>
      </c>
      <c r="B3788" s="3563" t="s">
        <v>4196</v>
      </c>
      <c r="C3788" s="3563" t="s">
        <v>4197</v>
      </c>
      <c r="D3788" s="3563" t="s">
        <v>6429</v>
      </c>
      <c r="E3788" s="3563" t="s">
        <v>6277</v>
      </c>
      <c r="F3788" s="3563" t="s">
        <v>4797</v>
      </c>
      <c r="G3788" s="3564">
        <v>73.45</v>
      </c>
      <c r="H3788" s="3564">
        <v>63.03</v>
      </c>
      <c r="I3788" s="3564">
        <v>10.42</v>
      </c>
      <c r="J3788" s="3565">
        <v>707581</v>
      </c>
      <c r="K3788" s="3565">
        <v>9633.51</v>
      </c>
      <c r="L3788" s="3565">
        <v>11226.1</v>
      </c>
      <c r="M3788" s="3565">
        <v>0</v>
      </c>
      <c r="N3788" s="3565">
        <v>0</v>
      </c>
      <c r="O3788" s="3563" t="s">
        <v>3453</v>
      </c>
    </row>
    <row r="3789" spans="1:15">
      <c r="A3789" s="3563" t="s">
        <v>8011</v>
      </c>
      <c r="B3789" s="3563" t="s">
        <v>4196</v>
      </c>
      <c r="C3789" s="3563" t="s">
        <v>4197</v>
      </c>
      <c r="D3789" s="3563" t="s">
        <v>6429</v>
      </c>
      <c r="E3789" s="3563" t="s">
        <v>6277</v>
      </c>
      <c r="F3789" s="3563" t="s">
        <v>4797</v>
      </c>
      <c r="G3789" s="3564">
        <v>73.45</v>
      </c>
      <c r="H3789" s="3564">
        <v>63.03</v>
      </c>
      <c r="I3789" s="3564">
        <v>10.42</v>
      </c>
      <c r="J3789" s="3565">
        <v>707581</v>
      </c>
      <c r="K3789" s="3565">
        <v>9633.51</v>
      </c>
      <c r="L3789" s="3565">
        <v>11226.1</v>
      </c>
      <c r="M3789" s="3565">
        <v>0</v>
      </c>
      <c r="N3789" s="3565">
        <v>0</v>
      </c>
      <c r="O3789" s="3563" t="s">
        <v>3453</v>
      </c>
    </row>
    <row r="3790" spans="1:15">
      <c r="A3790" s="3563" t="s">
        <v>8012</v>
      </c>
      <c r="B3790" s="3563" t="s">
        <v>4196</v>
      </c>
      <c r="C3790" s="3563" t="s">
        <v>4197</v>
      </c>
      <c r="D3790" s="3563" t="s">
        <v>6429</v>
      </c>
      <c r="E3790" s="3563" t="s">
        <v>6277</v>
      </c>
      <c r="F3790" s="3563" t="s">
        <v>4797</v>
      </c>
      <c r="G3790" s="3564">
        <v>101.72</v>
      </c>
      <c r="H3790" s="3564">
        <v>81.739999999999995</v>
      </c>
      <c r="I3790" s="3564">
        <v>19.98</v>
      </c>
      <c r="J3790" s="3565">
        <v>1071902</v>
      </c>
      <c r="K3790" s="3565">
        <v>10537.77</v>
      </c>
      <c r="L3790" s="3565">
        <v>13113.56</v>
      </c>
      <c r="M3790" s="3565">
        <v>0</v>
      </c>
      <c r="N3790" s="3565">
        <v>0</v>
      </c>
      <c r="O3790" s="3563" t="s">
        <v>3453</v>
      </c>
    </row>
    <row r="3791" spans="1:15">
      <c r="A3791" s="3563" t="s">
        <v>8013</v>
      </c>
      <c r="B3791" s="3563" t="s">
        <v>4196</v>
      </c>
      <c r="C3791" s="3563" t="s">
        <v>4197</v>
      </c>
      <c r="D3791" s="3563" t="s">
        <v>6429</v>
      </c>
      <c r="E3791" s="3563" t="s">
        <v>6277</v>
      </c>
      <c r="F3791" s="3563" t="s">
        <v>4797</v>
      </c>
      <c r="G3791" s="3564">
        <v>101.72</v>
      </c>
      <c r="H3791" s="3564">
        <v>81.739999999999995</v>
      </c>
      <c r="I3791" s="3564">
        <v>19.98</v>
      </c>
      <c r="J3791" s="3565">
        <v>1071902</v>
      </c>
      <c r="K3791" s="3565">
        <v>10537.77</v>
      </c>
      <c r="L3791" s="3565">
        <v>13113.56</v>
      </c>
      <c r="M3791" s="3565">
        <v>0</v>
      </c>
      <c r="N3791" s="3565">
        <v>0</v>
      </c>
      <c r="O3791" s="3563" t="s">
        <v>3453</v>
      </c>
    </row>
    <row r="3792" spans="1:15">
      <c r="A3792" s="3563" t="s">
        <v>8014</v>
      </c>
      <c r="B3792" s="3563" t="s">
        <v>4196</v>
      </c>
      <c r="C3792" s="3563" t="s">
        <v>4197</v>
      </c>
      <c r="D3792" s="3563" t="s">
        <v>6429</v>
      </c>
      <c r="E3792" s="3563" t="s">
        <v>6277</v>
      </c>
      <c r="F3792" s="3563" t="s">
        <v>4797</v>
      </c>
      <c r="G3792" s="3564">
        <v>90.57</v>
      </c>
      <c r="H3792" s="3564">
        <v>72.78</v>
      </c>
      <c r="I3792" s="3564">
        <v>17.79</v>
      </c>
      <c r="J3792" s="3565">
        <v>891778</v>
      </c>
      <c r="K3792" s="3565">
        <v>9846.2800000000007</v>
      </c>
      <c r="L3792" s="3565">
        <v>12253.06</v>
      </c>
      <c r="M3792" s="3565">
        <v>0</v>
      </c>
      <c r="N3792" s="3565">
        <v>0</v>
      </c>
      <c r="O3792" s="3563" t="s">
        <v>3453</v>
      </c>
    </row>
    <row r="3793" spans="1:15">
      <c r="A3793" s="3563" t="s">
        <v>8015</v>
      </c>
      <c r="B3793" s="3563" t="s">
        <v>4196</v>
      </c>
      <c r="C3793" s="3563" t="s">
        <v>4197</v>
      </c>
      <c r="D3793" s="3563" t="s">
        <v>6429</v>
      </c>
      <c r="E3793" s="3563" t="s">
        <v>6277</v>
      </c>
      <c r="F3793" s="3563" t="s">
        <v>4797</v>
      </c>
      <c r="G3793" s="3564">
        <v>78.44</v>
      </c>
      <c r="H3793" s="3564">
        <v>63.03</v>
      </c>
      <c r="I3793" s="3564">
        <v>15.41</v>
      </c>
      <c r="J3793" s="3565">
        <v>780687</v>
      </c>
      <c r="K3793" s="3565">
        <v>9952.66</v>
      </c>
      <c r="L3793" s="3565">
        <v>12385.96</v>
      </c>
      <c r="M3793" s="3565">
        <v>0</v>
      </c>
      <c r="N3793" s="3565">
        <v>0</v>
      </c>
      <c r="O3793" s="3563" t="s">
        <v>3453</v>
      </c>
    </row>
    <row r="3794" spans="1:15">
      <c r="A3794" s="3563" t="s">
        <v>8016</v>
      </c>
      <c r="B3794" s="3563" t="s">
        <v>4196</v>
      </c>
      <c r="C3794" s="3563" t="s">
        <v>4197</v>
      </c>
      <c r="D3794" s="3563" t="s">
        <v>6429</v>
      </c>
      <c r="E3794" s="3563" t="s">
        <v>6277</v>
      </c>
      <c r="F3794" s="3563" t="s">
        <v>4797</v>
      </c>
      <c r="G3794" s="3564">
        <v>78.44</v>
      </c>
      <c r="H3794" s="3564">
        <v>63.03</v>
      </c>
      <c r="I3794" s="3564">
        <v>15.41</v>
      </c>
      <c r="J3794" s="3565">
        <v>780687</v>
      </c>
      <c r="K3794" s="3565">
        <v>9952.66</v>
      </c>
      <c r="L3794" s="3565">
        <v>12385.96</v>
      </c>
      <c r="M3794" s="3565">
        <v>0</v>
      </c>
      <c r="N3794" s="3565">
        <v>0</v>
      </c>
      <c r="O3794" s="3563" t="s">
        <v>3453</v>
      </c>
    </row>
    <row r="3795" spans="1:15">
      <c r="A3795" s="3563" t="s">
        <v>8017</v>
      </c>
      <c r="B3795" s="3563" t="s">
        <v>4196</v>
      </c>
      <c r="C3795" s="3563" t="s">
        <v>4197</v>
      </c>
      <c r="D3795" s="3563" t="s">
        <v>6429</v>
      </c>
      <c r="E3795" s="3563" t="s">
        <v>6277</v>
      </c>
      <c r="F3795" s="3563" t="s">
        <v>4797</v>
      </c>
      <c r="G3795" s="3564">
        <v>110.06</v>
      </c>
      <c r="H3795" s="3564">
        <v>88.44</v>
      </c>
      <c r="I3795" s="3564">
        <v>21.62</v>
      </c>
      <c r="J3795" s="3565">
        <v>1124661</v>
      </c>
      <c r="K3795" s="3565">
        <v>10218.620000000001</v>
      </c>
      <c r="L3795" s="3565">
        <v>12716.66</v>
      </c>
      <c r="M3795" s="3565">
        <v>0</v>
      </c>
      <c r="N3795" s="3565">
        <v>0</v>
      </c>
      <c r="O3795" s="3563" t="s">
        <v>3453</v>
      </c>
    </row>
    <row r="3796" spans="1:15">
      <c r="A3796" s="3563" t="s">
        <v>8018</v>
      </c>
      <c r="B3796" s="3563" t="s">
        <v>4196</v>
      </c>
      <c r="C3796" s="3563" t="s">
        <v>4197</v>
      </c>
      <c r="D3796" s="3563" t="s">
        <v>6429</v>
      </c>
      <c r="E3796" s="3563" t="s">
        <v>6277</v>
      </c>
      <c r="F3796" s="3563" t="s">
        <v>4797</v>
      </c>
      <c r="G3796" s="3564">
        <v>101.72</v>
      </c>
      <c r="H3796" s="3564">
        <v>81.739999999999995</v>
      </c>
      <c r="I3796" s="3564">
        <v>19.98</v>
      </c>
      <c r="J3796" s="3565">
        <v>1072985</v>
      </c>
      <c r="K3796" s="3565">
        <v>10548.42</v>
      </c>
      <c r="L3796" s="3565">
        <v>13126.8</v>
      </c>
      <c r="M3796" s="3565">
        <v>0</v>
      </c>
      <c r="N3796" s="3565">
        <v>0</v>
      </c>
      <c r="O3796" s="3563" t="s">
        <v>3453</v>
      </c>
    </row>
    <row r="3797" spans="1:15">
      <c r="A3797" s="3563" t="s">
        <v>8019</v>
      </c>
      <c r="B3797" s="3563" t="s">
        <v>4196</v>
      </c>
      <c r="C3797" s="3563" t="s">
        <v>4197</v>
      </c>
      <c r="D3797" s="3563" t="s">
        <v>6429</v>
      </c>
      <c r="E3797" s="3563" t="s">
        <v>6277</v>
      </c>
      <c r="F3797" s="3563" t="s">
        <v>4797</v>
      </c>
      <c r="G3797" s="3564">
        <v>101.72</v>
      </c>
      <c r="H3797" s="3564">
        <v>81.739999999999995</v>
      </c>
      <c r="I3797" s="3564">
        <v>19.98</v>
      </c>
      <c r="J3797" s="3565">
        <v>1072985</v>
      </c>
      <c r="K3797" s="3565">
        <v>10548.42</v>
      </c>
      <c r="L3797" s="3565">
        <v>13126.8</v>
      </c>
      <c r="M3797" s="3565">
        <v>0</v>
      </c>
      <c r="N3797" s="3565">
        <v>0</v>
      </c>
      <c r="O3797" s="3563" t="s">
        <v>3453</v>
      </c>
    </row>
    <row r="3798" spans="1:15">
      <c r="A3798" s="3563" t="s">
        <v>8020</v>
      </c>
      <c r="B3798" s="3563" t="s">
        <v>4196</v>
      </c>
      <c r="C3798" s="3563" t="s">
        <v>4197</v>
      </c>
      <c r="D3798" s="3563" t="s">
        <v>6429</v>
      </c>
      <c r="E3798" s="3563" t="s">
        <v>6277</v>
      </c>
      <c r="F3798" s="3563" t="s">
        <v>4797</v>
      </c>
      <c r="G3798" s="3564">
        <v>90.57</v>
      </c>
      <c r="H3798" s="3564">
        <v>72.78</v>
      </c>
      <c r="I3798" s="3564">
        <v>17.79</v>
      </c>
      <c r="J3798" s="3565">
        <v>892741</v>
      </c>
      <c r="K3798" s="3565">
        <v>9856.92</v>
      </c>
      <c r="L3798" s="3565">
        <v>12266.3</v>
      </c>
      <c r="M3798" s="3565">
        <v>0</v>
      </c>
      <c r="N3798" s="3565">
        <v>0</v>
      </c>
      <c r="O3798" s="3563" t="s">
        <v>3453</v>
      </c>
    </row>
    <row r="3799" spans="1:15">
      <c r="A3799" s="3563" t="s">
        <v>8021</v>
      </c>
      <c r="B3799" s="3563" t="s">
        <v>4196</v>
      </c>
      <c r="C3799" s="3563" t="s">
        <v>4197</v>
      </c>
      <c r="D3799" s="3563" t="s">
        <v>6429</v>
      </c>
      <c r="E3799" s="3563" t="s">
        <v>6277</v>
      </c>
      <c r="F3799" s="3563" t="s">
        <v>4797</v>
      </c>
      <c r="G3799" s="3564">
        <v>78.44</v>
      </c>
      <c r="H3799" s="3564">
        <v>63.03</v>
      </c>
      <c r="I3799" s="3564">
        <v>15.41</v>
      </c>
      <c r="J3799" s="3565">
        <v>781522</v>
      </c>
      <c r="K3799" s="3565">
        <v>9963.31</v>
      </c>
      <c r="L3799" s="3565">
        <v>12399.21</v>
      </c>
      <c r="M3799" s="3565">
        <v>0</v>
      </c>
      <c r="N3799" s="3565">
        <v>0</v>
      </c>
      <c r="O3799" s="3563" t="s">
        <v>3453</v>
      </c>
    </row>
    <row r="3800" spans="1:15">
      <c r="A3800" s="3563" t="s">
        <v>8022</v>
      </c>
      <c r="B3800" s="3563" t="s">
        <v>4196</v>
      </c>
      <c r="C3800" s="3563" t="s">
        <v>4197</v>
      </c>
      <c r="D3800" s="3563" t="s">
        <v>6429</v>
      </c>
      <c r="E3800" s="3563" t="s">
        <v>6277</v>
      </c>
      <c r="F3800" s="3563" t="s">
        <v>4797</v>
      </c>
      <c r="G3800" s="3564">
        <v>78.44</v>
      </c>
      <c r="H3800" s="3564">
        <v>63.03</v>
      </c>
      <c r="I3800" s="3564">
        <v>15.41</v>
      </c>
      <c r="J3800" s="3565">
        <v>781522</v>
      </c>
      <c r="K3800" s="3565">
        <v>9963.31</v>
      </c>
      <c r="L3800" s="3565">
        <v>12399.21</v>
      </c>
      <c r="M3800" s="3565">
        <v>0</v>
      </c>
      <c r="N3800" s="3565">
        <v>0</v>
      </c>
      <c r="O3800" s="3563" t="s">
        <v>3453</v>
      </c>
    </row>
    <row r="3801" spans="1:15">
      <c r="A3801" s="3563" t="s">
        <v>8023</v>
      </c>
      <c r="B3801" s="3563" t="s">
        <v>4196</v>
      </c>
      <c r="C3801" s="3563" t="s">
        <v>4197</v>
      </c>
      <c r="D3801" s="3563" t="s">
        <v>6429</v>
      </c>
      <c r="E3801" s="3563" t="s">
        <v>6277</v>
      </c>
      <c r="F3801" s="3563" t="s">
        <v>4797</v>
      </c>
      <c r="G3801" s="3564">
        <v>110.06</v>
      </c>
      <c r="H3801" s="3564">
        <v>88.44</v>
      </c>
      <c r="I3801" s="3564">
        <v>21.62</v>
      </c>
      <c r="J3801" s="3565">
        <v>1125832</v>
      </c>
      <c r="K3801" s="3565">
        <v>10229.26</v>
      </c>
      <c r="L3801" s="3565">
        <v>12729.9</v>
      </c>
      <c r="M3801" s="3565">
        <v>0</v>
      </c>
      <c r="N3801" s="3565">
        <v>0</v>
      </c>
      <c r="O3801" s="3563" t="s">
        <v>3453</v>
      </c>
    </row>
    <row r="3802" spans="1:15">
      <c r="A3802" s="3563" t="s">
        <v>8024</v>
      </c>
      <c r="B3802" s="3563" t="s">
        <v>4196</v>
      </c>
      <c r="C3802" s="3563" t="s">
        <v>4197</v>
      </c>
      <c r="D3802" s="3563" t="s">
        <v>6429</v>
      </c>
      <c r="E3802" s="3563" t="s">
        <v>6277</v>
      </c>
      <c r="F3802" s="3563" t="s">
        <v>4797</v>
      </c>
      <c r="G3802" s="3564">
        <v>101.72</v>
      </c>
      <c r="H3802" s="3564">
        <v>81.739999999999995</v>
      </c>
      <c r="I3802" s="3564">
        <v>19.98</v>
      </c>
      <c r="J3802" s="3565">
        <v>1074066</v>
      </c>
      <c r="K3802" s="3565">
        <v>10559.04</v>
      </c>
      <c r="L3802" s="3565">
        <v>13140.03</v>
      </c>
      <c r="M3802" s="3565">
        <v>0</v>
      </c>
      <c r="N3802" s="3565">
        <v>0</v>
      </c>
      <c r="O3802" s="3563" t="s">
        <v>3453</v>
      </c>
    </row>
    <row r="3803" spans="1:15">
      <c r="A3803" s="3563" t="s">
        <v>8025</v>
      </c>
      <c r="B3803" s="3563" t="s">
        <v>4196</v>
      </c>
      <c r="C3803" s="3563" t="s">
        <v>4197</v>
      </c>
      <c r="D3803" s="3563" t="s">
        <v>6429</v>
      </c>
      <c r="E3803" s="3563" t="s">
        <v>6277</v>
      </c>
      <c r="F3803" s="3563" t="s">
        <v>4797</v>
      </c>
      <c r="G3803" s="3564">
        <v>101.72</v>
      </c>
      <c r="H3803" s="3564">
        <v>81.739999999999995</v>
      </c>
      <c r="I3803" s="3564">
        <v>19.98</v>
      </c>
      <c r="J3803" s="3565">
        <v>1074066</v>
      </c>
      <c r="K3803" s="3565">
        <v>10559.04</v>
      </c>
      <c r="L3803" s="3565">
        <v>13140.03</v>
      </c>
      <c r="M3803" s="3565">
        <v>0</v>
      </c>
      <c r="N3803" s="3565">
        <v>0</v>
      </c>
      <c r="O3803" s="3563" t="s">
        <v>3453</v>
      </c>
    </row>
    <row r="3804" spans="1:15">
      <c r="A3804" s="3563" t="s">
        <v>8026</v>
      </c>
      <c r="B3804" s="3563" t="s">
        <v>4196</v>
      </c>
      <c r="C3804" s="3563" t="s">
        <v>4197</v>
      </c>
      <c r="D3804" s="3563" t="s">
        <v>6429</v>
      </c>
      <c r="E3804" s="3563" t="s">
        <v>6277</v>
      </c>
      <c r="F3804" s="3563" t="s">
        <v>4797</v>
      </c>
      <c r="G3804" s="3564">
        <v>90.57</v>
      </c>
      <c r="H3804" s="3564">
        <v>72.78</v>
      </c>
      <c r="I3804" s="3564">
        <v>17.79</v>
      </c>
      <c r="J3804" s="3565">
        <v>893705</v>
      </c>
      <c r="K3804" s="3565">
        <v>9867.56</v>
      </c>
      <c r="L3804" s="3565">
        <v>12279.54</v>
      </c>
      <c r="M3804" s="3565">
        <v>0</v>
      </c>
      <c r="N3804" s="3565">
        <v>0</v>
      </c>
      <c r="O3804" s="3563" t="s">
        <v>3453</v>
      </c>
    </row>
    <row r="3805" spans="1:15">
      <c r="A3805" s="3563" t="s">
        <v>8027</v>
      </c>
      <c r="B3805" s="3563" t="s">
        <v>4196</v>
      </c>
      <c r="C3805" s="3563" t="s">
        <v>4197</v>
      </c>
      <c r="D3805" s="3563" t="s">
        <v>6429</v>
      </c>
      <c r="E3805" s="3563" t="s">
        <v>6277</v>
      </c>
      <c r="F3805" s="3563" t="s">
        <v>4797</v>
      </c>
      <c r="G3805" s="3564">
        <v>78.44</v>
      </c>
      <c r="H3805" s="3564">
        <v>63.03</v>
      </c>
      <c r="I3805" s="3564">
        <v>15.41</v>
      </c>
      <c r="J3805" s="3565">
        <v>782356</v>
      </c>
      <c r="K3805" s="3565">
        <v>9973.94</v>
      </c>
      <c r="L3805" s="3565">
        <v>12412.44</v>
      </c>
      <c r="M3805" s="3565">
        <v>0</v>
      </c>
      <c r="N3805" s="3565">
        <v>0</v>
      </c>
      <c r="O3805" s="3563" t="s">
        <v>3453</v>
      </c>
    </row>
    <row r="3806" spans="1:15">
      <c r="A3806" s="3563" t="s">
        <v>8028</v>
      </c>
      <c r="B3806" s="3563" t="s">
        <v>4196</v>
      </c>
      <c r="C3806" s="3563" t="s">
        <v>4197</v>
      </c>
      <c r="D3806" s="3563" t="s">
        <v>6429</v>
      </c>
      <c r="E3806" s="3563" t="s">
        <v>6277</v>
      </c>
      <c r="F3806" s="3563" t="s">
        <v>4797</v>
      </c>
      <c r="G3806" s="3564">
        <v>78.44</v>
      </c>
      <c r="H3806" s="3564">
        <v>63.03</v>
      </c>
      <c r="I3806" s="3564">
        <v>15.41</v>
      </c>
      <c r="J3806" s="3565">
        <v>782356</v>
      </c>
      <c r="K3806" s="3565">
        <v>9973.94</v>
      </c>
      <c r="L3806" s="3565">
        <v>12412.44</v>
      </c>
      <c r="M3806" s="3565">
        <v>0</v>
      </c>
      <c r="N3806" s="3565">
        <v>0</v>
      </c>
      <c r="O3806" s="3563" t="s">
        <v>3453</v>
      </c>
    </row>
    <row r="3807" spans="1:15">
      <c r="A3807" s="3563" t="s">
        <v>8029</v>
      </c>
      <c r="B3807" s="3563" t="s">
        <v>4196</v>
      </c>
      <c r="C3807" s="3563" t="s">
        <v>4197</v>
      </c>
      <c r="D3807" s="3563" t="s">
        <v>6429</v>
      </c>
      <c r="E3807" s="3563" t="s">
        <v>6277</v>
      </c>
      <c r="F3807" s="3563" t="s">
        <v>4797</v>
      </c>
      <c r="G3807" s="3564">
        <v>110.06</v>
      </c>
      <c r="H3807" s="3564">
        <v>88.44</v>
      </c>
      <c r="I3807" s="3564">
        <v>21.62</v>
      </c>
      <c r="J3807" s="3565">
        <v>1127004</v>
      </c>
      <c r="K3807" s="3565">
        <v>10239.91</v>
      </c>
      <c r="L3807" s="3565">
        <v>12743.15</v>
      </c>
      <c r="M3807" s="3565">
        <v>0</v>
      </c>
      <c r="N3807" s="3565">
        <v>0</v>
      </c>
      <c r="O3807" s="3563" t="s">
        <v>3453</v>
      </c>
    </row>
    <row r="3808" spans="1:15">
      <c r="A3808" s="3563" t="s">
        <v>8030</v>
      </c>
      <c r="B3808" s="3563" t="s">
        <v>4196</v>
      </c>
      <c r="C3808" s="3563" t="s">
        <v>4197</v>
      </c>
      <c r="D3808" s="3563" t="s">
        <v>6429</v>
      </c>
      <c r="E3808" s="3563" t="s">
        <v>6277</v>
      </c>
      <c r="F3808" s="3563" t="s">
        <v>4797</v>
      </c>
      <c r="G3808" s="3564">
        <v>101.72</v>
      </c>
      <c r="H3808" s="3564">
        <v>81.739999999999995</v>
      </c>
      <c r="I3808" s="3564">
        <v>19.98</v>
      </c>
      <c r="J3808" s="3565">
        <v>1075148</v>
      </c>
      <c r="K3808" s="3565">
        <v>10569.68</v>
      </c>
      <c r="L3808" s="3565">
        <v>13153.27</v>
      </c>
      <c r="M3808" s="3565">
        <v>0</v>
      </c>
      <c r="N3808" s="3565">
        <v>0</v>
      </c>
      <c r="O3808" s="3563" t="s">
        <v>3453</v>
      </c>
    </row>
    <row r="3809" spans="1:15">
      <c r="A3809" s="3563" t="s">
        <v>8031</v>
      </c>
      <c r="B3809" s="3563" t="s">
        <v>4196</v>
      </c>
      <c r="C3809" s="3563" t="s">
        <v>4197</v>
      </c>
      <c r="D3809" s="3563" t="s">
        <v>6429</v>
      </c>
      <c r="E3809" s="3563" t="s">
        <v>6277</v>
      </c>
      <c r="F3809" s="3563" t="s">
        <v>4797</v>
      </c>
      <c r="G3809" s="3564">
        <v>101.72</v>
      </c>
      <c r="H3809" s="3564">
        <v>81.739999999999995</v>
      </c>
      <c r="I3809" s="3564">
        <v>19.98</v>
      </c>
      <c r="J3809" s="3565">
        <v>1075148</v>
      </c>
      <c r="K3809" s="3565">
        <v>10569.68</v>
      </c>
      <c r="L3809" s="3565">
        <v>13153.27</v>
      </c>
      <c r="M3809" s="3565">
        <v>0</v>
      </c>
      <c r="N3809" s="3565">
        <v>0</v>
      </c>
      <c r="O3809" s="3563" t="s">
        <v>3453</v>
      </c>
    </row>
    <row r="3810" spans="1:15">
      <c r="A3810" s="3563" t="s">
        <v>8032</v>
      </c>
      <c r="B3810" s="3563" t="s">
        <v>4196</v>
      </c>
      <c r="C3810" s="3563" t="s">
        <v>4197</v>
      </c>
      <c r="D3810" s="3563" t="s">
        <v>6429</v>
      </c>
      <c r="E3810" s="3563" t="s">
        <v>6277</v>
      </c>
      <c r="F3810" s="3563" t="s">
        <v>4797</v>
      </c>
      <c r="G3810" s="3564">
        <v>90.57</v>
      </c>
      <c r="H3810" s="3564">
        <v>72.78</v>
      </c>
      <c r="I3810" s="3564">
        <v>17.79</v>
      </c>
      <c r="J3810" s="3565">
        <v>913939</v>
      </c>
      <c r="K3810" s="3565">
        <v>10090.969999999999</v>
      </c>
      <c r="L3810" s="3565">
        <v>12557.56</v>
      </c>
      <c r="M3810" s="3565">
        <v>0</v>
      </c>
      <c r="N3810" s="3565">
        <v>0</v>
      </c>
      <c r="O3810" s="3563" t="s">
        <v>3453</v>
      </c>
    </row>
    <row r="3811" spans="1:15">
      <c r="A3811" s="3563" t="s">
        <v>8033</v>
      </c>
      <c r="B3811" s="3563" t="s">
        <v>4196</v>
      </c>
      <c r="C3811" s="3563" t="s">
        <v>4197</v>
      </c>
      <c r="D3811" s="3563" t="s">
        <v>6429</v>
      </c>
      <c r="E3811" s="3563" t="s">
        <v>6277</v>
      </c>
      <c r="F3811" s="3563" t="s">
        <v>4797</v>
      </c>
      <c r="G3811" s="3564">
        <v>78.44</v>
      </c>
      <c r="H3811" s="3564">
        <v>63.03</v>
      </c>
      <c r="I3811" s="3564">
        <v>15.41</v>
      </c>
      <c r="J3811" s="3565">
        <v>783191</v>
      </c>
      <c r="K3811" s="3565">
        <v>9984.59</v>
      </c>
      <c r="L3811" s="3565">
        <v>12425.69</v>
      </c>
      <c r="M3811" s="3565">
        <v>0</v>
      </c>
      <c r="N3811" s="3565">
        <v>0</v>
      </c>
      <c r="O3811" s="3563" t="s">
        <v>3453</v>
      </c>
    </row>
    <row r="3812" spans="1:15">
      <c r="A3812" s="3563" t="s">
        <v>8034</v>
      </c>
      <c r="B3812" s="3563" t="s">
        <v>4196</v>
      </c>
      <c r="C3812" s="3563" t="s">
        <v>4197</v>
      </c>
      <c r="D3812" s="3563" t="s">
        <v>6429</v>
      </c>
      <c r="E3812" s="3563" t="s">
        <v>6277</v>
      </c>
      <c r="F3812" s="3563" t="s">
        <v>4797</v>
      </c>
      <c r="G3812" s="3564">
        <v>78.44</v>
      </c>
      <c r="H3812" s="3564">
        <v>63.03</v>
      </c>
      <c r="I3812" s="3564">
        <v>15.41</v>
      </c>
      <c r="J3812" s="3565">
        <v>783191</v>
      </c>
      <c r="K3812" s="3565">
        <v>9984.59</v>
      </c>
      <c r="L3812" s="3565">
        <v>12425.69</v>
      </c>
      <c r="M3812" s="3565">
        <v>0</v>
      </c>
      <c r="N3812" s="3565">
        <v>0</v>
      </c>
      <c r="O3812" s="3563" t="s">
        <v>3453</v>
      </c>
    </row>
    <row r="3813" spans="1:15">
      <c r="A3813" s="3563" t="s">
        <v>8035</v>
      </c>
      <c r="B3813" s="3563" t="s">
        <v>4196</v>
      </c>
      <c r="C3813" s="3563" t="s">
        <v>4197</v>
      </c>
      <c r="D3813" s="3563" t="s">
        <v>6429</v>
      </c>
      <c r="E3813" s="3563" t="s">
        <v>6277</v>
      </c>
      <c r="F3813" s="3563" t="s">
        <v>4797</v>
      </c>
      <c r="G3813" s="3564">
        <v>110.06</v>
      </c>
      <c r="H3813" s="3564">
        <v>88.44</v>
      </c>
      <c r="I3813" s="3564">
        <v>21.62</v>
      </c>
      <c r="J3813" s="3565">
        <v>1151591</v>
      </c>
      <c r="K3813" s="3565">
        <v>10463.299999999999</v>
      </c>
      <c r="L3813" s="3565">
        <v>13021.16</v>
      </c>
      <c r="M3813" s="3565">
        <v>0</v>
      </c>
      <c r="N3813" s="3565">
        <v>0</v>
      </c>
      <c r="O3813" s="3563" t="s">
        <v>3453</v>
      </c>
    </row>
    <row r="3814" spans="1:15">
      <c r="A3814" s="3563" t="s">
        <v>8036</v>
      </c>
      <c r="B3814" s="3563" t="s">
        <v>4196</v>
      </c>
      <c r="C3814" s="3563" t="s">
        <v>4197</v>
      </c>
      <c r="D3814" s="3563" t="s">
        <v>6429</v>
      </c>
      <c r="E3814" s="3563" t="s">
        <v>6277</v>
      </c>
      <c r="F3814" s="3563" t="s">
        <v>4797</v>
      </c>
      <c r="G3814" s="3564">
        <v>101.72</v>
      </c>
      <c r="H3814" s="3564">
        <v>81.739999999999995</v>
      </c>
      <c r="I3814" s="3564">
        <v>19.98</v>
      </c>
      <c r="J3814" s="3565">
        <v>1065409</v>
      </c>
      <c r="K3814" s="3565">
        <v>10473.94</v>
      </c>
      <c r="L3814" s="3565">
        <v>13034.12</v>
      </c>
      <c r="M3814" s="3565">
        <v>0</v>
      </c>
      <c r="N3814" s="3565">
        <v>0</v>
      </c>
      <c r="O3814" s="3563" t="s">
        <v>3453</v>
      </c>
    </row>
    <row r="3815" spans="1:15">
      <c r="A3815" s="3563" t="s">
        <v>8037</v>
      </c>
      <c r="B3815" s="3563" t="s">
        <v>4196</v>
      </c>
      <c r="C3815" s="3563" t="s">
        <v>4197</v>
      </c>
      <c r="D3815" s="3563" t="s">
        <v>6429</v>
      </c>
      <c r="E3815" s="3563" t="s">
        <v>6277</v>
      </c>
      <c r="F3815" s="3563" t="s">
        <v>4797</v>
      </c>
      <c r="G3815" s="3564">
        <v>101.72</v>
      </c>
      <c r="H3815" s="3564">
        <v>81.739999999999995</v>
      </c>
      <c r="I3815" s="3564">
        <v>19.98</v>
      </c>
      <c r="J3815" s="3565">
        <v>1065409</v>
      </c>
      <c r="K3815" s="3565">
        <v>10473.94</v>
      </c>
      <c r="L3815" s="3565">
        <v>13034.12</v>
      </c>
      <c r="M3815" s="3565">
        <v>0</v>
      </c>
      <c r="N3815" s="3565">
        <v>0</v>
      </c>
      <c r="O3815" s="3563" t="s">
        <v>3453</v>
      </c>
    </row>
    <row r="3816" spans="1:15">
      <c r="A3816" s="3563" t="s">
        <v>8038</v>
      </c>
      <c r="B3816" s="3563" t="s">
        <v>4196</v>
      </c>
      <c r="C3816" s="3563" t="s">
        <v>4197</v>
      </c>
      <c r="D3816" s="3563" t="s">
        <v>6429</v>
      </c>
      <c r="E3816" s="3563" t="s">
        <v>6277</v>
      </c>
      <c r="F3816" s="3563" t="s">
        <v>4797</v>
      </c>
      <c r="G3816" s="3564">
        <v>90.57</v>
      </c>
      <c r="H3816" s="3564">
        <v>72.78</v>
      </c>
      <c r="I3816" s="3564">
        <v>17.79</v>
      </c>
      <c r="J3816" s="3565">
        <v>905266</v>
      </c>
      <c r="K3816" s="3565">
        <v>9995.2099999999991</v>
      </c>
      <c r="L3816" s="3565">
        <v>12438.39</v>
      </c>
      <c r="M3816" s="3565">
        <v>0</v>
      </c>
      <c r="N3816" s="3565">
        <v>0</v>
      </c>
      <c r="O3816" s="3563" t="s">
        <v>3453</v>
      </c>
    </row>
    <row r="3817" spans="1:15">
      <c r="A3817" s="3563" t="s">
        <v>8039</v>
      </c>
      <c r="B3817" s="3563" t="s">
        <v>4196</v>
      </c>
      <c r="C3817" s="3563" t="s">
        <v>4197</v>
      </c>
      <c r="D3817" s="3563" t="s">
        <v>6429</v>
      </c>
      <c r="E3817" s="3563" t="s">
        <v>6277</v>
      </c>
      <c r="F3817" s="3563" t="s">
        <v>4797</v>
      </c>
      <c r="G3817" s="3564">
        <v>78.44</v>
      </c>
      <c r="H3817" s="3564">
        <v>63.03</v>
      </c>
      <c r="I3817" s="3564">
        <v>15.41</v>
      </c>
      <c r="J3817" s="3565">
        <v>775680</v>
      </c>
      <c r="K3817" s="3565">
        <v>9888.83</v>
      </c>
      <c r="L3817" s="3565">
        <v>12306.52</v>
      </c>
      <c r="M3817" s="3565">
        <v>0</v>
      </c>
      <c r="N3817" s="3565">
        <v>0</v>
      </c>
      <c r="O3817" s="3563" t="s">
        <v>3453</v>
      </c>
    </row>
    <row r="3818" spans="1:15">
      <c r="A3818" s="3563" t="s">
        <v>8040</v>
      </c>
      <c r="B3818" s="3563" t="s">
        <v>4196</v>
      </c>
      <c r="C3818" s="3563" t="s">
        <v>4197</v>
      </c>
      <c r="D3818" s="3563" t="s">
        <v>6429</v>
      </c>
      <c r="E3818" s="3563" t="s">
        <v>6277</v>
      </c>
      <c r="F3818" s="3563" t="s">
        <v>4797</v>
      </c>
      <c r="G3818" s="3564">
        <v>78.44</v>
      </c>
      <c r="H3818" s="3564">
        <v>63.03</v>
      </c>
      <c r="I3818" s="3564">
        <v>15.41</v>
      </c>
      <c r="J3818" s="3565">
        <v>775680</v>
      </c>
      <c r="K3818" s="3565">
        <v>9888.83</v>
      </c>
      <c r="L3818" s="3565">
        <v>12306.52</v>
      </c>
      <c r="M3818" s="3565">
        <v>0</v>
      </c>
      <c r="N3818" s="3565">
        <v>0</v>
      </c>
      <c r="O3818" s="3563" t="s">
        <v>3453</v>
      </c>
    </row>
    <row r="3819" spans="1:15">
      <c r="A3819" s="3563" t="s">
        <v>8041</v>
      </c>
      <c r="B3819" s="3563" t="s">
        <v>4196</v>
      </c>
      <c r="C3819" s="3563" t="s">
        <v>4197</v>
      </c>
      <c r="D3819" s="3563" t="s">
        <v>6429</v>
      </c>
      <c r="E3819" s="3563" t="s">
        <v>6277</v>
      </c>
      <c r="F3819" s="3563" t="s">
        <v>4797</v>
      </c>
      <c r="G3819" s="3564">
        <v>110.06</v>
      </c>
      <c r="H3819" s="3564">
        <v>88.44</v>
      </c>
      <c r="I3819" s="3564">
        <v>21.62</v>
      </c>
      <c r="J3819" s="3565">
        <v>1141054</v>
      </c>
      <c r="K3819" s="3565">
        <v>10367.56</v>
      </c>
      <c r="L3819" s="3565">
        <v>12902.01</v>
      </c>
      <c r="M3819" s="3565">
        <v>0</v>
      </c>
      <c r="N3819" s="3565">
        <v>0</v>
      </c>
      <c r="O3819" s="3563" t="s">
        <v>3453</v>
      </c>
    </row>
    <row r="3820" spans="1:15">
      <c r="A3820" s="3563" t="s">
        <v>8042</v>
      </c>
      <c r="B3820" s="3563" t="s">
        <v>4196</v>
      </c>
      <c r="C3820" s="3563" t="s">
        <v>4197</v>
      </c>
      <c r="D3820" s="3563" t="s">
        <v>6429</v>
      </c>
      <c r="E3820" s="3563" t="s">
        <v>6277</v>
      </c>
      <c r="F3820" s="3563" t="s">
        <v>4797</v>
      </c>
      <c r="G3820" s="3564">
        <v>101.72</v>
      </c>
      <c r="H3820" s="3564">
        <v>81.739999999999995</v>
      </c>
      <c r="I3820" s="3564">
        <v>19.98</v>
      </c>
      <c r="J3820" s="3565">
        <v>1077312</v>
      </c>
      <c r="K3820" s="3565">
        <v>10590.96</v>
      </c>
      <c r="L3820" s="3565">
        <v>13179.74</v>
      </c>
      <c r="M3820" s="3565">
        <v>0</v>
      </c>
      <c r="N3820" s="3565">
        <v>0</v>
      </c>
      <c r="O3820" s="3563" t="s">
        <v>3453</v>
      </c>
    </row>
    <row r="3821" spans="1:15">
      <c r="A3821" s="3563" t="s">
        <v>8043</v>
      </c>
      <c r="B3821" s="3563" t="s">
        <v>4196</v>
      </c>
      <c r="C3821" s="3563" t="s">
        <v>4197</v>
      </c>
      <c r="D3821" s="3563" t="s">
        <v>6429</v>
      </c>
      <c r="E3821" s="3563" t="s">
        <v>6277</v>
      </c>
      <c r="F3821" s="3563" t="s">
        <v>4797</v>
      </c>
      <c r="G3821" s="3564">
        <v>101.72</v>
      </c>
      <c r="H3821" s="3564">
        <v>81.739999999999995</v>
      </c>
      <c r="I3821" s="3564">
        <v>19.98</v>
      </c>
      <c r="J3821" s="3565">
        <v>1077312</v>
      </c>
      <c r="K3821" s="3565">
        <v>10590.96</v>
      </c>
      <c r="L3821" s="3565">
        <v>13179.74</v>
      </c>
      <c r="M3821" s="3565">
        <v>0</v>
      </c>
      <c r="N3821" s="3565">
        <v>0</v>
      </c>
      <c r="O3821" s="3563" t="s">
        <v>3453</v>
      </c>
    </row>
    <row r="3822" spans="1:15">
      <c r="A3822" s="3563" t="s">
        <v>8044</v>
      </c>
      <c r="B3822" s="3563" t="s">
        <v>4196</v>
      </c>
      <c r="C3822" s="3563" t="s">
        <v>4197</v>
      </c>
      <c r="D3822" s="3563" t="s">
        <v>6429</v>
      </c>
      <c r="E3822" s="3563" t="s">
        <v>6277</v>
      </c>
      <c r="F3822" s="3563" t="s">
        <v>4797</v>
      </c>
      <c r="G3822" s="3564">
        <v>90.57</v>
      </c>
      <c r="H3822" s="3564">
        <v>72.78</v>
      </c>
      <c r="I3822" s="3564">
        <v>17.79</v>
      </c>
      <c r="J3822" s="3565">
        <v>915865</v>
      </c>
      <c r="K3822" s="3565">
        <v>10112.23</v>
      </c>
      <c r="L3822" s="3565">
        <v>12584.02</v>
      </c>
      <c r="M3822" s="3565">
        <v>0</v>
      </c>
      <c r="N3822" s="3565">
        <v>0</v>
      </c>
      <c r="O3822" s="3563" t="s">
        <v>3453</v>
      </c>
    </row>
    <row r="3823" spans="1:15">
      <c r="A3823" s="3563" t="s">
        <v>8045</v>
      </c>
      <c r="B3823" s="3563" t="s">
        <v>4196</v>
      </c>
      <c r="C3823" s="3563" t="s">
        <v>4197</v>
      </c>
      <c r="D3823" s="3563" t="s">
        <v>6429</v>
      </c>
      <c r="E3823" s="3563" t="s">
        <v>6277</v>
      </c>
      <c r="F3823" s="3563" t="s">
        <v>4797</v>
      </c>
      <c r="G3823" s="3564">
        <v>78.44</v>
      </c>
      <c r="H3823" s="3564">
        <v>63.03</v>
      </c>
      <c r="I3823" s="3564">
        <v>15.41</v>
      </c>
      <c r="J3823" s="3565">
        <v>784859</v>
      </c>
      <c r="K3823" s="3565">
        <v>10005.85</v>
      </c>
      <c r="L3823" s="3565">
        <v>12452.15</v>
      </c>
      <c r="M3823" s="3565">
        <v>0</v>
      </c>
      <c r="N3823" s="3565">
        <v>0</v>
      </c>
      <c r="O3823" s="3563" t="s">
        <v>3453</v>
      </c>
    </row>
    <row r="3824" spans="1:15">
      <c r="A3824" s="3563" t="s">
        <v>8046</v>
      </c>
      <c r="B3824" s="3563" t="s">
        <v>4196</v>
      </c>
      <c r="C3824" s="3563" t="s">
        <v>4197</v>
      </c>
      <c r="D3824" s="3563" t="s">
        <v>6429</v>
      </c>
      <c r="E3824" s="3563" t="s">
        <v>6277</v>
      </c>
      <c r="F3824" s="3563" t="s">
        <v>4797</v>
      </c>
      <c r="G3824" s="3564">
        <v>78.44</v>
      </c>
      <c r="H3824" s="3564">
        <v>63.03</v>
      </c>
      <c r="I3824" s="3564">
        <v>15.41</v>
      </c>
      <c r="J3824" s="3565">
        <v>784859</v>
      </c>
      <c r="K3824" s="3565">
        <v>10005.85</v>
      </c>
      <c r="L3824" s="3565">
        <v>12452.15</v>
      </c>
      <c r="M3824" s="3565">
        <v>0</v>
      </c>
      <c r="N3824" s="3565">
        <v>0</v>
      </c>
      <c r="O3824" s="3563" t="s">
        <v>3453</v>
      </c>
    </row>
    <row r="3825" spans="1:15">
      <c r="A3825" s="3563" t="s">
        <v>8047</v>
      </c>
      <c r="B3825" s="3563" t="s">
        <v>4196</v>
      </c>
      <c r="C3825" s="3563" t="s">
        <v>4197</v>
      </c>
      <c r="D3825" s="3563" t="s">
        <v>6429</v>
      </c>
      <c r="E3825" s="3563" t="s">
        <v>6277</v>
      </c>
      <c r="F3825" s="3563" t="s">
        <v>4797</v>
      </c>
      <c r="G3825" s="3564">
        <v>110.06</v>
      </c>
      <c r="H3825" s="3564">
        <v>88.44</v>
      </c>
      <c r="I3825" s="3564">
        <v>21.62</v>
      </c>
      <c r="J3825" s="3565">
        <v>1153932</v>
      </c>
      <c r="K3825" s="3565">
        <v>10484.57</v>
      </c>
      <c r="L3825" s="3565">
        <v>13047.63</v>
      </c>
      <c r="M3825" s="3565">
        <v>0</v>
      </c>
      <c r="N3825" s="3565">
        <v>0</v>
      </c>
      <c r="O3825" s="3563" t="s">
        <v>3453</v>
      </c>
    </row>
    <row r="3826" spans="1:15">
      <c r="A3826" s="3563" t="s">
        <v>8048</v>
      </c>
      <c r="B3826" s="3563" t="s">
        <v>4196</v>
      </c>
      <c r="C3826" s="3563" t="s">
        <v>4197</v>
      </c>
      <c r="D3826" s="3563" t="s">
        <v>6429</v>
      </c>
      <c r="E3826" s="3563" t="s">
        <v>6277</v>
      </c>
      <c r="F3826" s="3563" t="s">
        <v>4797</v>
      </c>
      <c r="G3826" s="3564">
        <v>101.72</v>
      </c>
      <c r="H3826" s="3564">
        <v>81.739999999999995</v>
      </c>
      <c r="I3826" s="3564">
        <v>19.98</v>
      </c>
      <c r="J3826" s="3565">
        <v>1076230</v>
      </c>
      <c r="K3826" s="3565">
        <v>10580.32</v>
      </c>
      <c r="L3826" s="3565">
        <v>13166.5</v>
      </c>
      <c r="M3826" s="3565">
        <v>0</v>
      </c>
      <c r="N3826" s="3565">
        <v>0</v>
      </c>
      <c r="O3826" s="3563" t="s">
        <v>3453</v>
      </c>
    </row>
    <row r="3827" spans="1:15">
      <c r="A3827" s="3563" t="s">
        <v>8049</v>
      </c>
      <c r="B3827" s="3563" t="s">
        <v>4196</v>
      </c>
      <c r="C3827" s="3563" t="s">
        <v>4197</v>
      </c>
      <c r="D3827" s="3563" t="s">
        <v>6429</v>
      </c>
      <c r="E3827" s="3563" t="s">
        <v>6277</v>
      </c>
      <c r="F3827" s="3563" t="s">
        <v>4797</v>
      </c>
      <c r="G3827" s="3564">
        <v>101.72</v>
      </c>
      <c r="H3827" s="3564">
        <v>81.739999999999995</v>
      </c>
      <c r="I3827" s="3564">
        <v>19.98</v>
      </c>
      <c r="J3827" s="3565">
        <v>1076230</v>
      </c>
      <c r="K3827" s="3565">
        <v>10580.32</v>
      </c>
      <c r="L3827" s="3565">
        <v>13166.5</v>
      </c>
      <c r="M3827" s="3565">
        <v>0</v>
      </c>
      <c r="N3827" s="3565">
        <v>0</v>
      </c>
      <c r="O3827" s="3563" t="s">
        <v>3453</v>
      </c>
    </row>
    <row r="3828" spans="1:15">
      <c r="A3828" s="3563" t="s">
        <v>8050</v>
      </c>
      <c r="B3828" s="3563" t="s">
        <v>4196</v>
      </c>
      <c r="C3828" s="3563" t="s">
        <v>4197</v>
      </c>
      <c r="D3828" s="3563" t="s">
        <v>6429</v>
      </c>
      <c r="E3828" s="3563" t="s">
        <v>6277</v>
      </c>
      <c r="F3828" s="3563" t="s">
        <v>4797</v>
      </c>
      <c r="G3828" s="3564">
        <v>90.57</v>
      </c>
      <c r="H3828" s="3564">
        <v>72.78</v>
      </c>
      <c r="I3828" s="3564">
        <v>17.79</v>
      </c>
      <c r="J3828" s="3565">
        <v>914902</v>
      </c>
      <c r="K3828" s="3565">
        <v>10101.6</v>
      </c>
      <c r="L3828" s="3565">
        <v>12570.79</v>
      </c>
      <c r="M3828" s="3565">
        <v>0</v>
      </c>
      <c r="N3828" s="3565">
        <v>0</v>
      </c>
      <c r="O3828" s="3563" t="s">
        <v>3453</v>
      </c>
    </row>
    <row r="3829" spans="1:15">
      <c r="A3829" s="3563" t="s">
        <v>8051</v>
      </c>
      <c r="B3829" s="3563" t="s">
        <v>4196</v>
      </c>
      <c r="C3829" s="3563" t="s">
        <v>4197</v>
      </c>
      <c r="D3829" s="3563" t="s">
        <v>6429</v>
      </c>
      <c r="E3829" s="3563" t="s">
        <v>6277</v>
      </c>
      <c r="F3829" s="3563" t="s">
        <v>4797</v>
      </c>
      <c r="G3829" s="3564">
        <v>78.44</v>
      </c>
      <c r="H3829" s="3564">
        <v>63.03</v>
      </c>
      <c r="I3829" s="3564">
        <v>15.41</v>
      </c>
      <c r="J3829" s="3565">
        <v>784025</v>
      </c>
      <c r="K3829" s="3565">
        <v>9995.2199999999993</v>
      </c>
      <c r="L3829" s="3565">
        <v>12438.92</v>
      </c>
      <c r="M3829" s="3565">
        <v>0</v>
      </c>
      <c r="N3829" s="3565">
        <v>0</v>
      </c>
      <c r="O3829" s="3563" t="s">
        <v>3453</v>
      </c>
    </row>
    <row r="3830" spans="1:15">
      <c r="A3830" s="3563" t="s">
        <v>8052</v>
      </c>
      <c r="B3830" s="3563" t="s">
        <v>4196</v>
      </c>
      <c r="C3830" s="3563" t="s">
        <v>4197</v>
      </c>
      <c r="D3830" s="3563" t="s">
        <v>6429</v>
      </c>
      <c r="E3830" s="3563" t="s">
        <v>6277</v>
      </c>
      <c r="F3830" s="3563" t="s">
        <v>4797</v>
      </c>
      <c r="G3830" s="3564">
        <v>78.44</v>
      </c>
      <c r="H3830" s="3564">
        <v>63.03</v>
      </c>
      <c r="I3830" s="3564">
        <v>15.41</v>
      </c>
      <c r="J3830" s="3565">
        <v>784025</v>
      </c>
      <c r="K3830" s="3565">
        <v>9995.2199999999993</v>
      </c>
      <c r="L3830" s="3565">
        <v>12438.92</v>
      </c>
      <c r="M3830" s="3565">
        <v>0</v>
      </c>
      <c r="N3830" s="3565">
        <v>0</v>
      </c>
      <c r="O3830" s="3563" t="s">
        <v>3453</v>
      </c>
    </row>
    <row r="3831" spans="1:15">
      <c r="A3831" s="3563" t="s">
        <v>8053</v>
      </c>
      <c r="B3831" s="3563" t="s">
        <v>4196</v>
      </c>
      <c r="C3831" s="3563" t="s">
        <v>4197</v>
      </c>
      <c r="D3831" s="3563" t="s">
        <v>6429</v>
      </c>
      <c r="E3831" s="3563" t="s">
        <v>6277</v>
      </c>
      <c r="F3831" s="3563" t="s">
        <v>4797</v>
      </c>
      <c r="G3831" s="3564">
        <v>110.06</v>
      </c>
      <c r="H3831" s="3564">
        <v>88.44</v>
      </c>
      <c r="I3831" s="3564">
        <v>21.62</v>
      </c>
      <c r="J3831" s="3565">
        <v>1152762</v>
      </c>
      <c r="K3831" s="3565">
        <v>10473.94</v>
      </c>
      <c r="L3831" s="3565">
        <v>13034.4</v>
      </c>
      <c r="M3831" s="3565">
        <v>0</v>
      </c>
      <c r="N3831" s="3565">
        <v>0</v>
      </c>
      <c r="O3831" s="3563" t="s">
        <v>3453</v>
      </c>
    </row>
    <row r="3832" spans="1:15">
      <c r="A3832" s="3563" t="s">
        <v>8054</v>
      </c>
      <c r="B3832" s="3563" t="s">
        <v>4196</v>
      </c>
      <c r="C3832" s="3563" t="s">
        <v>4197</v>
      </c>
      <c r="D3832" s="3563" t="s">
        <v>6429</v>
      </c>
      <c r="E3832" s="3563" t="s">
        <v>6277</v>
      </c>
      <c r="F3832" s="3563" t="s">
        <v>4797</v>
      </c>
      <c r="G3832" s="3564">
        <v>101.72</v>
      </c>
      <c r="H3832" s="3564">
        <v>81.739999999999995</v>
      </c>
      <c r="I3832" s="3564">
        <v>19.98</v>
      </c>
      <c r="J3832" s="3565">
        <v>1075148</v>
      </c>
      <c r="K3832" s="3565">
        <v>10569.68</v>
      </c>
      <c r="L3832" s="3565">
        <v>13153.27</v>
      </c>
      <c r="M3832" s="3565">
        <v>0</v>
      </c>
      <c r="N3832" s="3565">
        <v>0</v>
      </c>
      <c r="O3832" s="3563" t="s">
        <v>3453</v>
      </c>
    </row>
    <row r="3833" spans="1:15">
      <c r="A3833" s="3563" t="s">
        <v>8055</v>
      </c>
      <c r="B3833" s="3563" t="s">
        <v>4196</v>
      </c>
      <c r="C3833" s="3563" t="s">
        <v>4197</v>
      </c>
      <c r="D3833" s="3563" t="s">
        <v>6429</v>
      </c>
      <c r="E3833" s="3563" t="s">
        <v>6277</v>
      </c>
      <c r="F3833" s="3563" t="s">
        <v>4797</v>
      </c>
      <c r="G3833" s="3564">
        <v>101.72</v>
      </c>
      <c r="H3833" s="3564">
        <v>81.739999999999995</v>
      </c>
      <c r="I3833" s="3564">
        <v>19.98</v>
      </c>
      <c r="J3833" s="3565">
        <v>1075148</v>
      </c>
      <c r="K3833" s="3565">
        <v>10569.68</v>
      </c>
      <c r="L3833" s="3565">
        <v>13153.27</v>
      </c>
      <c r="M3833" s="3565">
        <v>0</v>
      </c>
      <c r="N3833" s="3565">
        <v>0</v>
      </c>
      <c r="O3833" s="3563" t="s">
        <v>3453</v>
      </c>
    </row>
    <row r="3834" spans="1:15">
      <c r="A3834" s="3563" t="s">
        <v>8056</v>
      </c>
      <c r="B3834" s="3563" t="s">
        <v>4196</v>
      </c>
      <c r="C3834" s="3563" t="s">
        <v>4197</v>
      </c>
      <c r="D3834" s="3563" t="s">
        <v>6429</v>
      </c>
      <c r="E3834" s="3563" t="s">
        <v>6277</v>
      </c>
      <c r="F3834" s="3563" t="s">
        <v>4797</v>
      </c>
      <c r="G3834" s="3564">
        <v>90.57</v>
      </c>
      <c r="H3834" s="3564">
        <v>72.78</v>
      </c>
      <c r="I3834" s="3564">
        <v>17.79</v>
      </c>
      <c r="J3834" s="3565">
        <v>913939</v>
      </c>
      <c r="K3834" s="3565">
        <v>10090.969999999999</v>
      </c>
      <c r="L3834" s="3565">
        <v>12557.56</v>
      </c>
      <c r="M3834" s="3565">
        <v>0</v>
      </c>
      <c r="N3834" s="3565">
        <v>0</v>
      </c>
      <c r="O3834" s="3563" t="s">
        <v>3453</v>
      </c>
    </row>
    <row r="3835" spans="1:15">
      <c r="A3835" s="3563" t="s">
        <v>8057</v>
      </c>
      <c r="B3835" s="3563" t="s">
        <v>4196</v>
      </c>
      <c r="C3835" s="3563" t="s">
        <v>4197</v>
      </c>
      <c r="D3835" s="3563" t="s">
        <v>6429</v>
      </c>
      <c r="E3835" s="3563" t="s">
        <v>6277</v>
      </c>
      <c r="F3835" s="3563" t="s">
        <v>4797</v>
      </c>
      <c r="G3835" s="3564">
        <v>78.44</v>
      </c>
      <c r="H3835" s="3564">
        <v>63.03</v>
      </c>
      <c r="I3835" s="3564">
        <v>15.41</v>
      </c>
      <c r="J3835" s="3565">
        <v>783191</v>
      </c>
      <c r="K3835" s="3565">
        <v>9984.59</v>
      </c>
      <c r="L3835" s="3565">
        <v>12425.69</v>
      </c>
      <c r="M3835" s="3565">
        <v>0</v>
      </c>
      <c r="N3835" s="3565">
        <v>0</v>
      </c>
      <c r="O3835" s="3563" t="s">
        <v>3453</v>
      </c>
    </row>
    <row r="3836" spans="1:15">
      <c r="A3836" s="3563" t="s">
        <v>8058</v>
      </c>
      <c r="B3836" s="3563" t="s">
        <v>4196</v>
      </c>
      <c r="C3836" s="3563" t="s">
        <v>4197</v>
      </c>
      <c r="D3836" s="3563" t="s">
        <v>6429</v>
      </c>
      <c r="E3836" s="3563" t="s">
        <v>6277</v>
      </c>
      <c r="F3836" s="3563" t="s">
        <v>4797</v>
      </c>
      <c r="G3836" s="3564">
        <v>78.44</v>
      </c>
      <c r="H3836" s="3564">
        <v>63.03</v>
      </c>
      <c r="I3836" s="3564">
        <v>15.41</v>
      </c>
      <c r="J3836" s="3565">
        <v>783191</v>
      </c>
      <c r="K3836" s="3565">
        <v>9984.59</v>
      </c>
      <c r="L3836" s="3565">
        <v>12425.69</v>
      </c>
      <c r="M3836" s="3565">
        <v>0</v>
      </c>
      <c r="N3836" s="3565">
        <v>0</v>
      </c>
      <c r="O3836" s="3563" t="s">
        <v>3453</v>
      </c>
    </row>
    <row r="3837" spans="1:15">
      <c r="A3837" s="3563" t="s">
        <v>8059</v>
      </c>
      <c r="B3837" s="3563" t="s">
        <v>4196</v>
      </c>
      <c r="C3837" s="3563" t="s">
        <v>4197</v>
      </c>
      <c r="D3837" s="3563" t="s">
        <v>6429</v>
      </c>
      <c r="E3837" s="3563" t="s">
        <v>6277</v>
      </c>
      <c r="F3837" s="3563" t="s">
        <v>4797</v>
      </c>
      <c r="G3837" s="3564">
        <v>110.06</v>
      </c>
      <c r="H3837" s="3564">
        <v>88.44</v>
      </c>
      <c r="I3837" s="3564">
        <v>21.62</v>
      </c>
      <c r="J3837" s="3565">
        <v>1151591</v>
      </c>
      <c r="K3837" s="3565">
        <v>10463.299999999999</v>
      </c>
      <c r="L3837" s="3565">
        <v>13021.16</v>
      </c>
      <c r="M3837" s="3565">
        <v>0</v>
      </c>
      <c r="N3837" s="3565">
        <v>0</v>
      </c>
      <c r="O3837" s="3563" t="s">
        <v>3453</v>
      </c>
    </row>
    <row r="3838" spans="1:15">
      <c r="A3838" s="3563" t="s">
        <v>8060</v>
      </c>
      <c r="B3838" s="3563" t="s">
        <v>4196</v>
      </c>
      <c r="C3838" s="3563" t="s">
        <v>4197</v>
      </c>
      <c r="D3838" s="3563" t="s">
        <v>6429</v>
      </c>
      <c r="E3838" s="3563" t="s">
        <v>6277</v>
      </c>
      <c r="F3838" s="3563" t="s">
        <v>4797</v>
      </c>
      <c r="G3838" s="3564">
        <v>101.72</v>
      </c>
      <c r="H3838" s="3564">
        <v>81.739999999999995</v>
      </c>
      <c r="I3838" s="3564">
        <v>19.98</v>
      </c>
      <c r="J3838" s="3565">
        <v>1063245</v>
      </c>
      <c r="K3838" s="3565">
        <v>10452.66</v>
      </c>
      <c r="L3838" s="3565">
        <v>13007.65</v>
      </c>
      <c r="M3838" s="3565">
        <v>0</v>
      </c>
      <c r="N3838" s="3565">
        <v>0</v>
      </c>
      <c r="O3838" s="3563" t="s">
        <v>3453</v>
      </c>
    </row>
    <row r="3839" spans="1:15">
      <c r="A3839" s="3563" t="s">
        <v>8061</v>
      </c>
      <c r="B3839" s="3563" t="s">
        <v>4196</v>
      </c>
      <c r="C3839" s="3563" t="s">
        <v>4197</v>
      </c>
      <c r="D3839" s="3563" t="s">
        <v>6429</v>
      </c>
      <c r="E3839" s="3563" t="s">
        <v>6277</v>
      </c>
      <c r="F3839" s="3563" t="s">
        <v>4797</v>
      </c>
      <c r="G3839" s="3564">
        <v>101.72</v>
      </c>
      <c r="H3839" s="3564">
        <v>81.739999999999995</v>
      </c>
      <c r="I3839" s="3564">
        <v>19.98</v>
      </c>
      <c r="J3839" s="3565">
        <v>1063245</v>
      </c>
      <c r="K3839" s="3565">
        <v>10452.66</v>
      </c>
      <c r="L3839" s="3565">
        <v>13007.65</v>
      </c>
      <c r="M3839" s="3565">
        <v>0</v>
      </c>
      <c r="N3839" s="3565">
        <v>0</v>
      </c>
      <c r="O3839" s="3563" t="s">
        <v>3453</v>
      </c>
    </row>
    <row r="3840" spans="1:15">
      <c r="A3840" s="3563" t="s">
        <v>8062</v>
      </c>
      <c r="B3840" s="3563" t="s">
        <v>4196</v>
      </c>
      <c r="C3840" s="3563" t="s">
        <v>4197</v>
      </c>
      <c r="D3840" s="3563" t="s">
        <v>6429</v>
      </c>
      <c r="E3840" s="3563" t="s">
        <v>6277</v>
      </c>
      <c r="F3840" s="3563" t="s">
        <v>4797</v>
      </c>
      <c r="G3840" s="3564">
        <v>90.57</v>
      </c>
      <c r="H3840" s="3564">
        <v>72.78</v>
      </c>
      <c r="I3840" s="3564">
        <v>17.79</v>
      </c>
      <c r="J3840" s="3565">
        <v>903340</v>
      </c>
      <c r="K3840" s="3565">
        <v>9973.94</v>
      </c>
      <c r="L3840" s="3565">
        <v>12411.93</v>
      </c>
      <c r="M3840" s="3565">
        <v>0</v>
      </c>
      <c r="N3840" s="3565">
        <v>0</v>
      </c>
      <c r="O3840" s="3563" t="s">
        <v>3453</v>
      </c>
    </row>
    <row r="3841" spans="1:15">
      <c r="A3841" s="3563" t="s">
        <v>8063</v>
      </c>
      <c r="B3841" s="3563" t="s">
        <v>4196</v>
      </c>
      <c r="C3841" s="3563" t="s">
        <v>4197</v>
      </c>
      <c r="D3841" s="3563" t="s">
        <v>6429</v>
      </c>
      <c r="E3841" s="3563" t="s">
        <v>6277</v>
      </c>
      <c r="F3841" s="3563" t="s">
        <v>4797</v>
      </c>
      <c r="G3841" s="3564">
        <v>78.44</v>
      </c>
      <c r="H3841" s="3564">
        <v>63.03</v>
      </c>
      <c r="I3841" s="3564">
        <v>15.41</v>
      </c>
      <c r="J3841" s="3565">
        <v>774011</v>
      </c>
      <c r="K3841" s="3565">
        <v>9867.5499999999993</v>
      </c>
      <c r="L3841" s="3565">
        <v>12280.04</v>
      </c>
      <c r="M3841" s="3565">
        <v>0</v>
      </c>
      <c r="N3841" s="3565">
        <v>0</v>
      </c>
      <c r="O3841" s="3563" t="s">
        <v>3453</v>
      </c>
    </row>
    <row r="3842" spans="1:15">
      <c r="A3842" s="3563" t="s">
        <v>8064</v>
      </c>
      <c r="B3842" s="3563" t="s">
        <v>4196</v>
      </c>
      <c r="C3842" s="3563" t="s">
        <v>4197</v>
      </c>
      <c r="D3842" s="3563" t="s">
        <v>6429</v>
      </c>
      <c r="E3842" s="3563" t="s">
        <v>6277</v>
      </c>
      <c r="F3842" s="3563" t="s">
        <v>4797</v>
      </c>
      <c r="G3842" s="3564">
        <v>78.44</v>
      </c>
      <c r="H3842" s="3564">
        <v>63.03</v>
      </c>
      <c r="I3842" s="3564">
        <v>15.41</v>
      </c>
      <c r="J3842" s="3565">
        <v>774011</v>
      </c>
      <c r="K3842" s="3565">
        <v>9867.5499999999993</v>
      </c>
      <c r="L3842" s="3565">
        <v>12280.04</v>
      </c>
      <c r="M3842" s="3565">
        <v>0</v>
      </c>
      <c r="N3842" s="3565">
        <v>0</v>
      </c>
      <c r="O3842" s="3563" t="s">
        <v>3453</v>
      </c>
    </row>
    <row r="3843" spans="1:15">
      <c r="A3843" s="3563" t="s">
        <v>8065</v>
      </c>
      <c r="B3843" s="3563" t="s">
        <v>4196</v>
      </c>
      <c r="C3843" s="3563" t="s">
        <v>4197</v>
      </c>
      <c r="D3843" s="3563" t="s">
        <v>6429</v>
      </c>
      <c r="E3843" s="3563" t="s">
        <v>6277</v>
      </c>
      <c r="F3843" s="3563" t="s">
        <v>4797</v>
      </c>
      <c r="G3843" s="3564">
        <v>110.06</v>
      </c>
      <c r="H3843" s="3564">
        <v>88.44</v>
      </c>
      <c r="I3843" s="3564">
        <v>21.62</v>
      </c>
      <c r="J3843" s="3565">
        <v>1138712</v>
      </c>
      <c r="K3843" s="3565">
        <v>10346.280000000001</v>
      </c>
      <c r="L3843" s="3565">
        <v>12875.53</v>
      </c>
      <c r="M3843" s="3565">
        <v>0</v>
      </c>
      <c r="N3843" s="3565">
        <v>0</v>
      </c>
      <c r="O3843" s="3563" t="s">
        <v>3453</v>
      </c>
    </row>
    <row r="3844" spans="1:15">
      <c r="A3844" s="3563" t="s">
        <v>8066</v>
      </c>
      <c r="B3844" s="3563" t="s">
        <v>4196</v>
      </c>
      <c r="C3844" s="3563" t="s">
        <v>4197</v>
      </c>
      <c r="D3844" s="3563" t="s">
        <v>6429</v>
      </c>
      <c r="E3844" s="3563" t="s">
        <v>6277</v>
      </c>
      <c r="F3844" s="3563" t="s">
        <v>4797</v>
      </c>
      <c r="G3844" s="3564">
        <v>101.72</v>
      </c>
      <c r="H3844" s="3564">
        <v>81.739999999999995</v>
      </c>
      <c r="I3844" s="3564">
        <v>19.98</v>
      </c>
      <c r="J3844" s="3565">
        <v>1040521</v>
      </c>
      <c r="K3844" s="3565">
        <v>10229.27</v>
      </c>
      <c r="L3844" s="3565">
        <v>12729.64</v>
      </c>
      <c r="M3844" s="3565">
        <v>0</v>
      </c>
      <c r="N3844" s="3565">
        <v>0</v>
      </c>
      <c r="O3844" s="3563" t="s">
        <v>3453</v>
      </c>
    </row>
    <row r="3845" spans="1:15">
      <c r="A3845" s="3563" t="s">
        <v>8067</v>
      </c>
      <c r="B3845" s="3563" t="s">
        <v>4196</v>
      </c>
      <c r="C3845" s="3563" t="s">
        <v>4197</v>
      </c>
      <c r="D3845" s="3563" t="s">
        <v>6429</v>
      </c>
      <c r="E3845" s="3563" t="s">
        <v>6277</v>
      </c>
      <c r="F3845" s="3563" t="s">
        <v>4797</v>
      </c>
      <c r="G3845" s="3564">
        <v>101.72</v>
      </c>
      <c r="H3845" s="3564">
        <v>81.739999999999995</v>
      </c>
      <c r="I3845" s="3564">
        <v>19.98</v>
      </c>
      <c r="J3845" s="3565">
        <v>1040521</v>
      </c>
      <c r="K3845" s="3565">
        <v>10229.27</v>
      </c>
      <c r="L3845" s="3565">
        <v>12729.64</v>
      </c>
      <c r="M3845" s="3565">
        <v>0</v>
      </c>
      <c r="N3845" s="3565">
        <v>0</v>
      </c>
      <c r="O3845" s="3563" t="s">
        <v>3453</v>
      </c>
    </row>
    <row r="3846" spans="1:15">
      <c r="A3846" s="3563" t="s">
        <v>8068</v>
      </c>
      <c r="B3846" s="3563" t="s">
        <v>4196</v>
      </c>
      <c r="C3846" s="3563" t="s">
        <v>4197</v>
      </c>
      <c r="D3846" s="3563" t="s">
        <v>6429</v>
      </c>
      <c r="E3846" s="3563" t="s">
        <v>6277</v>
      </c>
      <c r="F3846" s="3563" t="s">
        <v>4797</v>
      </c>
      <c r="G3846" s="3564">
        <v>90.57</v>
      </c>
      <c r="H3846" s="3564">
        <v>72.78</v>
      </c>
      <c r="I3846" s="3564">
        <v>17.79</v>
      </c>
      <c r="J3846" s="3565">
        <v>883106</v>
      </c>
      <c r="K3846" s="3565">
        <v>9750.5400000000009</v>
      </c>
      <c r="L3846" s="3565">
        <v>12133.91</v>
      </c>
      <c r="M3846" s="3565">
        <v>0</v>
      </c>
      <c r="N3846" s="3565">
        <v>0</v>
      </c>
      <c r="O3846" s="3563" t="s">
        <v>3453</v>
      </c>
    </row>
    <row r="3847" spans="1:15">
      <c r="A3847" s="3563" t="s">
        <v>8069</v>
      </c>
      <c r="B3847" s="3563" t="s">
        <v>4196</v>
      </c>
      <c r="C3847" s="3563" t="s">
        <v>4197</v>
      </c>
      <c r="D3847" s="3563" t="s">
        <v>6429</v>
      </c>
      <c r="E3847" s="3563" t="s">
        <v>6277</v>
      </c>
      <c r="F3847" s="3563" t="s">
        <v>4797</v>
      </c>
      <c r="G3847" s="3564">
        <v>78.44</v>
      </c>
      <c r="H3847" s="3564">
        <v>63.03</v>
      </c>
      <c r="I3847" s="3564">
        <v>15.41</v>
      </c>
      <c r="J3847" s="3565">
        <v>773177</v>
      </c>
      <c r="K3847" s="3565">
        <v>9856.92</v>
      </c>
      <c r="L3847" s="3565">
        <v>12266.81</v>
      </c>
      <c r="M3847" s="3565">
        <v>0</v>
      </c>
      <c r="N3847" s="3565">
        <v>0</v>
      </c>
      <c r="O3847" s="3563" t="s">
        <v>3453</v>
      </c>
    </row>
    <row r="3848" spans="1:15">
      <c r="A3848" s="3563" t="s">
        <v>8070</v>
      </c>
      <c r="B3848" s="3563" t="s">
        <v>4196</v>
      </c>
      <c r="C3848" s="3563" t="s">
        <v>4197</v>
      </c>
      <c r="D3848" s="3563" t="s">
        <v>6429</v>
      </c>
      <c r="E3848" s="3563" t="s">
        <v>6277</v>
      </c>
      <c r="F3848" s="3563" t="s">
        <v>4797</v>
      </c>
      <c r="G3848" s="3564">
        <v>78.44</v>
      </c>
      <c r="H3848" s="3564">
        <v>63.03</v>
      </c>
      <c r="I3848" s="3564">
        <v>15.41</v>
      </c>
      <c r="J3848" s="3565">
        <v>773177</v>
      </c>
      <c r="K3848" s="3565">
        <v>9856.92</v>
      </c>
      <c r="L3848" s="3565">
        <v>12266.81</v>
      </c>
      <c r="M3848" s="3565">
        <v>0</v>
      </c>
      <c r="N3848" s="3565">
        <v>0</v>
      </c>
      <c r="O3848" s="3563" t="s">
        <v>3453</v>
      </c>
    </row>
    <row r="3849" spans="1:15">
      <c r="A3849" s="3563" t="s">
        <v>8071</v>
      </c>
      <c r="B3849" s="3563" t="s">
        <v>4196</v>
      </c>
      <c r="C3849" s="3563" t="s">
        <v>4197</v>
      </c>
      <c r="D3849" s="3563" t="s">
        <v>6429</v>
      </c>
      <c r="E3849" s="3563" t="s">
        <v>6277</v>
      </c>
      <c r="F3849" s="3563" t="s">
        <v>4797</v>
      </c>
      <c r="G3849" s="3564">
        <v>110.06</v>
      </c>
      <c r="H3849" s="3564">
        <v>88.44</v>
      </c>
      <c r="I3849" s="3564">
        <v>21.62</v>
      </c>
      <c r="J3849" s="3565">
        <v>1114124</v>
      </c>
      <c r="K3849" s="3565">
        <v>10122.879999999999</v>
      </c>
      <c r="L3849" s="3565">
        <v>12597.51</v>
      </c>
      <c r="M3849" s="3565">
        <v>0</v>
      </c>
      <c r="N3849" s="3565">
        <v>0</v>
      </c>
      <c r="O3849" s="3563" t="s">
        <v>3453</v>
      </c>
    </row>
    <row r="3850" spans="1:15">
      <c r="A3850" s="3563" t="s">
        <v>8072</v>
      </c>
      <c r="B3850" s="3563" t="s">
        <v>4196</v>
      </c>
      <c r="C3850" s="3563" t="s">
        <v>4197</v>
      </c>
      <c r="D3850" s="3563" t="s">
        <v>6429</v>
      </c>
      <c r="E3850" s="3563" t="s">
        <v>6277</v>
      </c>
      <c r="F3850" s="3563" t="s">
        <v>4797</v>
      </c>
      <c r="G3850" s="3564">
        <v>103.3</v>
      </c>
      <c r="H3850" s="3564">
        <v>81.739999999999995</v>
      </c>
      <c r="I3850" s="3564">
        <v>21.56</v>
      </c>
      <c r="J3850" s="3565">
        <v>1043495</v>
      </c>
      <c r="K3850" s="3565">
        <v>10101.6</v>
      </c>
      <c r="L3850" s="3565">
        <v>12766.03</v>
      </c>
      <c r="M3850" s="3565">
        <v>0</v>
      </c>
      <c r="N3850" s="3565">
        <v>0</v>
      </c>
      <c r="O3850" s="3563" t="s">
        <v>3453</v>
      </c>
    </row>
    <row r="3851" spans="1:15">
      <c r="A3851" s="3563" t="s">
        <v>8073</v>
      </c>
      <c r="B3851" s="3563" t="s">
        <v>4196</v>
      </c>
      <c r="C3851" s="3563" t="s">
        <v>4197</v>
      </c>
      <c r="D3851" s="3563" t="s">
        <v>6429</v>
      </c>
      <c r="E3851" s="3563" t="s">
        <v>6277</v>
      </c>
      <c r="F3851" s="3563" t="s">
        <v>4797</v>
      </c>
      <c r="G3851" s="3564">
        <v>103.3</v>
      </c>
      <c r="H3851" s="3564">
        <v>81.739999999999995</v>
      </c>
      <c r="I3851" s="3564">
        <v>21.56</v>
      </c>
      <c r="J3851" s="3565">
        <v>1043495</v>
      </c>
      <c r="K3851" s="3565">
        <v>10101.6</v>
      </c>
      <c r="L3851" s="3565">
        <v>12766.03</v>
      </c>
      <c r="M3851" s="3565">
        <v>0</v>
      </c>
      <c r="N3851" s="3565">
        <v>0</v>
      </c>
      <c r="O3851" s="3563" t="s">
        <v>3453</v>
      </c>
    </row>
    <row r="3852" spans="1:15">
      <c r="A3852" s="3563" t="s">
        <v>8074</v>
      </c>
      <c r="B3852" s="3563" t="s">
        <v>4196</v>
      </c>
      <c r="C3852" s="3563" t="s">
        <v>4197</v>
      </c>
      <c r="D3852" s="3563" t="s">
        <v>6429</v>
      </c>
      <c r="E3852" s="3563" t="s">
        <v>6277</v>
      </c>
      <c r="F3852" s="3563" t="s">
        <v>4797</v>
      </c>
      <c r="G3852" s="3564">
        <v>91.98</v>
      </c>
      <c r="H3852" s="3564">
        <v>72.78</v>
      </c>
      <c r="I3852" s="3564">
        <v>19.2</v>
      </c>
      <c r="J3852" s="3565">
        <v>886091</v>
      </c>
      <c r="K3852" s="3565">
        <v>9633.52</v>
      </c>
      <c r="L3852" s="3565">
        <v>12174.92</v>
      </c>
      <c r="M3852" s="3565">
        <v>0</v>
      </c>
      <c r="N3852" s="3565">
        <v>0</v>
      </c>
      <c r="O3852" s="3563" t="s">
        <v>3453</v>
      </c>
    </row>
    <row r="3853" spans="1:15">
      <c r="A3853" s="3563" t="s">
        <v>8075</v>
      </c>
      <c r="B3853" s="3563" t="s">
        <v>4196</v>
      </c>
      <c r="C3853" s="3563" t="s">
        <v>4197</v>
      </c>
      <c r="D3853" s="3563" t="s">
        <v>6429</v>
      </c>
      <c r="E3853" s="3563" t="s">
        <v>6277</v>
      </c>
      <c r="F3853" s="3563" t="s">
        <v>4797</v>
      </c>
      <c r="G3853" s="3564">
        <v>79.66</v>
      </c>
      <c r="H3853" s="3564">
        <v>63.03</v>
      </c>
      <c r="I3853" s="3564">
        <v>16.63</v>
      </c>
      <c r="J3853" s="3565">
        <v>767406</v>
      </c>
      <c r="K3853" s="3565">
        <v>9633.52</v>
      </c>
      <c r="L3853" s="3565">
        <v>12175.25</v>
      </c>
      <c r="M3853" s="3565">
        <v>0</v>
      </c>
      <c r="N3853" s="3565">
        <v>0</v>
      </c>
      <c r="O3853" s="3563" t="s">
        <v>3453</v>
      </c>
    </row>
    <row r="3854" spans="1:15">
      <c r="A3854" s="3563" t="s">
        <v>8076</v>
      </c>
      <c r="B3854" s="3563" t="s">
        <v>4196</v>
      </c>
      <c r="C3854" s="3563" t="s">
        <v>4197</v>
      </c>
      <c r="D3854" s="3563" t="s">
        <v>6429</v>
      </c>
      <c r="E3854" s="3563" t="s">
        <v>6277</v>
      </c>
      <c r="F3854" s="3563" t="s">
        <v>4797</v>
      </c>
      <c r="G3854" s="3564">
        <v>79.66</v>
      </c>
      <c r="H3854" s="3564">
        <v>63.03</v>
      </c>
      <c r="I3854" s="3564">
        <v>16.63</v>
      </c>
      <c r="J3854" s="3565">
        <v>767406</v>
      </c>
      <c r="K3854" s="3565">
        <v>9633.52</v>
      </c>
      <c r="L3854" s="3565">
        <v>12175.25</v>
      </c>
      <c r="M3854" s="3565">
        <v>0</v>
      </c>
      <c r="N3854" s="3565">
        <v>0</v>
      </c>
      <c r="O3854" s="3563" t="s">
        <v>3453</v>
      </c>
    </row>
    <row r="3855" spans="1:15">
      <c r="A3855" s="3563" t="s">
        <v>8077</v>
      </c>
      <c r="B3855" s="3563" t="s">
        <v>4196</v>
      </c>
      <c r="C3855" s="3563" t="s">
        <v>4197</v>
      </c>
      <c r="D3855" s="3563" t="s">
        <v>6429</v>
      </c>
      <c r="E3855" s="3563" t="s">
        <v>6277</v>
      </c>
      <c r="F3855" s="3563" t="s">
        <v>4797</v>
      </c>
      <c r="G3855" s="3564">
        <v>101.72</v>
      </c>
      <c r="H3855" s="3564">
        <v>81.739999999999995</v>
      </c>
      <c r="I3855" s="3564">
        <v>19.98</v>
      </c>
      <c r="J3855" s="3565">
        <v>1040521</v>
      </c>
      <c r="K3855" s="3565">
        <v>10229.27</v>
      </c>
      <c r="L3855" s="3565">
        <v>12729.64</v>
      </c>
      <c r="M3855" s="3565">
        <v>0</v>
      </c>
      <c r="N3855" s="3565">
        <v>0</v>
      </c>
      <c r="O3855" s="3563" t="s">
        <v>3453</v>
      </c>
    </row>
    <row r="3856" spans="1:15">
      <c r="A3856" s="3563" t="s">
        <v>8078</v>
      </c>
      <c r="B3856" s="3563" t="s">
        <v>4196</v>
      </c>
      <c r="C3856" s="3563" t="s">
        <v>4197</v>
      </c>
      <c r="D3856" s="3563" t="s">
        <v>6429</v>
      </c>
      <c r="E3856" s="3563" t="s">
        <v>6277</v>
      </c>
      <c r="F3856" s="3563" t="s">
        <v>4797</v>
      </c>
      <c r="G3856" s="3564">
        <v>101.72</v>
      </c>
      <c r="H3856" s="3564">
        <v>81.739999999999995</v>
      </c>
      <c r="I3856" s="3564">
        <v>19.98</v>
      </c>
      <c r="J3856" s="3565">
        <v>1040521</v>
      </c>
      <c r="K3856" s="3565">
        <v>10229.27</v>
      </c>
      <c r="L3856" s="3565">
        <v>12729.64</v>
      </c>
      <c r="M3856" s="3565">
        <v>0</v>
      </c>
      <c r="N3856" s="3565">
        <v>0</v>
      </c>
      <c r="O3856" s="3563" t="s">
        <v>3453</v>
      </c>
    </row>
    <row r="3857" spans="1:15">
      <c r="A3857" s="3563" t="s">
        <v>8079</v>
      </c>
      <c r="B3857" s="3563" t="s">
        <v>4196</v>
      </c>
      <c r="C3857" s="3563" t="s">
        <v>4197</v>
      </c>
      <c r="D3857" s="3563" t="s">
        <v>6429</v>
      </c>
      <c r="E3857" s="3563" t="s">
        <v>6277</v>
      </c>
      <c r="F3857" s="3563" t="s">
        <v>4797</v>
      </c>
      <c r="G3857" s="3564">
        <v>90.57</v>
      </c>
      <c r="H3857" s="3564">
        <v>72.78</v>
      </c>
      <c r="I3857" s="3564">
        <v>17.79</v>
      </c>
      <c r="J3857" s="3565">
        <v>872508</v>
      </c>
      <c r="K3857" s="3565">
        <v>9633.52</v>
      </c>
      <c r="L3857" s="3565">
        <v>11988.29</v>
      </c>
      <c r="M3857" s="3565">
        <v>0</v>
      </c>
      <c r="N3857" s="3565">
        <v>0</v>
      </c>
      <c r="O3857" s="3563" t="s">
        <v>3453</v>
      </c>
    </row>
    <row r="3858" spans="1:15">
      <c r="A3858" s="3563" t="s">
        <v>8080</v>
      </c>
      <c r="B3858" s="3563" t="s">
        <v>4196</v>
      </c>
      <c r="C3858" s="3563" t="s">
        <v>4197</v>
      </c>
      <c r="D3858" s="3563" t="s">
        <v>6429</v>
      </c>
      <c r="E3858" s="3563" t="s">
        <v>6277</v>
      </c>
      <c r="F3858" s="3563" t="s">
        <v>4797</v>
      </c>
      <c r="G3858" s="3564">
        <v>78.44</v>
      </c>
      <c r="H3858" s="3564">
        <v>63.03</v>
      </c>
      <c r="I3858" s="3564">
        <v>15.41</v>
      </c>
      <c r="J3858" s="3565">
        <v>755653</v>
      </c>
      <c r="K3858" s="3565">
        <v>9633.52</v>
      </c>
      <c r="L3858" s="3565">
        <v>11988.78</v>
      </c>
      <c r="M3858" s="3565">
        <v>0</v>
      </c>
      <c r="N3858" s="3565">
        <v>0</v>
      </c>
      <c r="O3858" s="3563" t="s">
        <v>3453</v>
      </c>
    </row>
    <row r="3859" spans="1:15">
      <c r="A3859" s="3563" t="s">
        <v>8081</v>
      </c>
      <c r="B3859" s="3563" t="s">
        <v>4196</v>
      </c>
      <c r="C3859" s="3563" t="s">
        <v>4197</v>
      </c>
      <c r="D3859" s="3563" t="s">
        <v>6429</v>
      </c>
      <c r="E3859" s="3563" t="s">
        <v>6277</v>
      </c>
      <c r="F3859" s="3563" t="s">
        <v>4797</v>
      </c>
      <c r="G3859" s="3564">
        <v>78.44</v>
      </c>
      <c r="H3859" s="3564">
        <v>63.03</v>
      </c>
      <c r="I3859" s="3564">
        <v>15.41</v>
      </c>
      <c r="J3859" s="3565">
        <v>755653</v>
      </c>
      <c r="K3859" s="3565">
        <v>9633.52</v>
      </c>
      <c r="L3859" s="3565">
        <v>11988.78</v>
      </c>
      <c r="M3859" s="3565">
        <v>0</v>
      </c>
      <c r="N3859" s="3565">
        <v>0</v>
      </c>
      <c r="O3859" s="3563" t="s">
        <v>3453</v>
      </c>
    </row>
    <row r="3860" spans="1:15">
      <c r="A3860" s="3563" t="s">
        <v>8082</v>
      </c>
      <c r="B3860" s="3563" t="s">
        <v>4196</v>
      </c>
      <c r="C3860" s="3563" t="s">
        <v>4197</v>
      </c>
      <c r="D3860" s="3563" t="s">
        <v>6429</v>
      </c>
      <c r="E3860" s="3563" t="s">
        <v>6277</v>
      </c>
      <c r="F3860" s="3563" t="s">
        <v>4797</v>
      </c>
      <c r="G3860" s="3564">
        <v>110.06</v>
      </c>
      <c r="H3860" s="3564">
        <v>88.44</v>
      </c>
      <c r="I3860" s="3564">
        <v>21.62</v>
      </c>
      <c r="J3860" s="3565">
        <v>1090707</v>
      </c>
      <c r="K3860" s="3565">
        <v>9910.11</v>
      </c>
      <c r="L3860" s="3565">
        <v>12332.73</v>
      </c>
      <c r="M3860" s="3565">
        <v>0</v>
      </c>
      <c r="N3860" s="3565">
        <v>0</v>
      </c>
      <c r="O3860" s="3563" t="s">
        <v>3453</v>
      </c>
    </row>
    <row r="3861" spans="1:15">
      <c r="A3861" s="3563" t="s">
        <v>8083</v>
      </c>
      <c r="B3861" s="3563" t="s">
        <v>4196</v>
      </c>
      <c r="C3861" s="3563" t="s">
        <v>4197</v>
      </c>
      <c r="D3861" s="3563" t="s">
        <v>6429</v>
      </c>
      <c r="E3861" s="3563" t="s">
        <v>6277</v>
      </c>
      <c r="F3861" s="3563" t="s">
        <v>4797</v>
      </c>
      <c r="G3861" s="3564">
        <v>101.72</v>
      </c>
      <c r="H3861" s="3564">
        <v>81.739999999999995</v>
      </c>
      <c r="I3861" s="3564">
        <v>19.98</v>
      </c>
      <c r="J3861" s="3565">
        <v>1053506</v>
      </c>
      <c r="K3861" s="3565">
        <v>10356.92</v>
      </c>
      <c r="L3861" s="3565">
        <v>12888.5</v>
      </c>
      <c r="M3861" s="3565">
        <v>0</v>
      </c>
      <c r="N3861" s="3565">
        <v>0</v>
      </c>
      <c r="O3861" s="3563" t="s">
        <v>3453</v>
      </c>
    </row>
    <row r="3862" spans="1:15">
      <c r="A3862" s="3563" t="s">
        <v>8084</v>
      </c>
      <c r="B3862" s="3563" t="s">
        <v>4196</v>
      </c>
      <c r="C3862" s="3563" t="s">
        <v>4197</v>
      </c>
      <c r="D3862" s="3563" t="s">
        <v>6429</v>
      </c>
      <c r="E3862" s="3563" t="s">
        <v>6277</v>
      </c>
      <c r="F3862" s="3563" t="s">
        <v>4797</v>
      </c>
      <c r="G3862" s="3564">
        <v>101.72</v>
      </c>
      <c r="H3862" s="3564">
        <v>81.739999999999995</v>
      </c>
      <c r="I3862" s="3564">
        <v>19.98</v>
      </c>
      <c r="J3862" s="3565">
        <v>1053506</v>
      </c>
      <c r="K3862" s="3565">
        <v>10356.92</v>
      </c>
      <c r="L3862" s="3565">
        <v>12888.5</v>
      </c>
      <c r="M3862" s="3565">
        <v>0</v>
      </c>
      <c r="N3862" s="3565">
        <v>0</v>
      </c>
      <c r="O3862" s="3563" t="s">
        <v>3453</v>
      </c>
    </row>
    <row r="3863" spans="1:15">
      <c r="A3863" s="3563" t="s">
        <v>8085</v>
      </c>
      <c r="B3863" s="3563" t="s">
        <v>4196</v>
      </c>
      <c r="C3863" s="3563" t="s">
        <v>4197</v>
      </c>
      <c r="D3863" s="3563" t="s">
        <v>6429</v>
      </c>
      <c r="E3863" s="3563" t="s">
        <v>6277</v>
      </c>
      <c r="F3863" s="3563" t="s">
        <v>4797</v>
      </c>
      <c r="G3863" s="3564">
        <v>90.57</v>
      </c>
      <c r="H3863" s="3564">
        <v>72.78</v>
      </c>
      <c r="I3863" s="3564">
        <v>17.79</v>
      </c>
      <c r="J3863" s="3565">
        <v>872508</v>
      </c>
      <c r="K3863" s="3565">
        <v>9633.52</v>
      </c>
      <c r="L3863" s="3565">
        <v>11988.29</v>
      </c>
      <c r="M3863" s="3565">
        <v>0</v>
      </c>
      <c r="N3863" s="3565">
        <v>0</v>
      </c>
      <c r="O3863" s="3563" t="s">
        <v>3453</v>
      </c>
    </row>
    <row r="3864" spans="1:15">
      <c r="A3864" s="3563" t="s">
        <v>8086</v>
      </c>
      <c r="B3864" s="3563" t="s">
        <v>4196</v>
      </c>
      <c r="C3864" s="3563" t="s">
        <v>4197</v>
      </c>
      <c r="D3864" s="3563" t="s">
        <v>6429</v>
      </c>
      <c r="E3864" s="3563" t="s">
        <v>6277</v>
      </c>
      <c r="F3864" s="3563" t="s">
        <v>4797</v>
      </c>
      <c r="G3864" s="3564">
        <v>78.44</v>
      </c>
      <c r="H3864" s="3564">
        <v>63.03</v>
      </c>
      <c r="I3864" s="3564">
        <v>15.41</v>
      </c>
      <c r="J3864" s="3565">
        <v>758157</v>
      </c>
      <c r="K3864" s="3565">
        <v>9665.44</v>
      </c>
      <c r="L3864" s="3565">
        <v>12028.51</v>
      </c>
      <c r="M3864" s="3565">
        <v>0</v>
      </c>
      <c r="N3864" s="3565">
        <v>0</v>
      </c>
      <c r="O3864" s="3563" t="s">
        <v>3453</v>
      </c>
    </row>
    <row r="3865" spans="1:15">
      <c r="A3865" s="3563" t="s">
        <v>8087</v>
      </c>
      <c r="B3865" s="3563" t="s">
        <v>4196</v>
      </c>
      <c r="C3865" s="3563" t="s">
        <v>4197</v>
      </c>
      <c r="D3865" s="3563" t="s">
        <v>6429</v>
      </c>
      <c r="E3865" s="3563" t="s">
        <v>6277</v>
      </c>
      <c r="F3865" s="3563" t="s">
        <v>4797</v>
      </c>
      <c r="G3865" s="3564">
        <v>78.44</v>
      </c>
      <c r="H3865" s="3564">
        <v>63.03</v>
      </c>
      <c r="I3865" s="3564">
        <v>15.41</v>
      </c>
      <c r="J3865" s="3565">
        <v>758157</v>
      </c>
      <c r="K3865" s="3565">
        <v>9665.44</v>
      </c>
      <c r="L3865" s="3565">
        <v>12028.51</v>
      </c>
      <c r="M3865" s="3565">
        <v>0</v>
      </c>
      <c r="N3865" s="3565">
        <v>0</v>
      </c>
      <c r="O3865" s="3563" t="s">
        <v>3453</v>
      </c>
    </row>
    <row r="3866" spans="1:15">
      <c r="A3866" s="3563" t="s">
        <v>8088</v>
      </c>
      <c r="B3866" s="3563" t="s">
        <v>4196</v>
      </c>
      <c r="C3866" s="3563" t="s">
        <v>4197</v>
      </c>
      <c r="D3866" s="3563" t="s">
        <v>6429</v>
      </c>
      <c r="E3866" s="3563" t="s">
        <v>6277</v>
      </c>
      <c r="F3866" s="3563" t="s">
        <v>4797</v>
      </c>
      <c r="G3866" s="3564">
        <v>110.06</v>
      </c>
      <c r="H3866" s="3564">
        <v>88.44</v>
      </c>
      <c r="I3866" s="3564">
        <v>21.62</v>
      </c>
      <c r="J3866" s="3565">
        <v>1104757</v>
      </c>
      <c r="K3866" s="3565">
        <v>10037.77</v>
      </c>
      <c r="L3866" s="3565">
        <v>12491.6</v>
      </c>
      <c r="M3866" s="3565">
        <v>0</v>
      </c>
      <c r="N3866" s="3565">
        <v>0</v>
      </c>
      <c r="O3866" s="3563" t="s">
        <v>3453</v>
      </c>
    </row>
    <row r="3867" spans="1:15">
      <c r="A3867" s="3563" t="s">
        <v>8089</v>
      </c>
      <c r="B3867" s="3563" t="s">
        <v>4196</v>
      </c>
      <c r="C3867" s="3563" t="s">
        <v>4197</v>
      </c>
      <c r="D3867" s="3563" t="s">
        <v>6429</v>
      </c>
      <c r="E3867" s="3563" t="s">
        <v>6277</v>
      </c>
      <c r="F3867" s="3563" t="s">
        <v>4797</v>
      </c>
      <c r="G3867" s="3564">
        <v>101.72</v>
      </c>
      <c r="H3867" s="3564">
        <v>81.739999999999995</v>
      </c>
      <c r="I3867" s="3564">
        <v>19.98</v>
      </c>
      <c r="J3867" s="3565">
        <v>1066491</v>
      </c>
      <c r="K3867" s="3565">
        <v>10484.58</v>
      </c>
      <c r="L3867" s="3565">
        <v>13047.36</v>
      </c>
      <c r="M3867" s="3565">
        <v>0</v>
      </c>
      <c r="N3867" s="3565">
        <v>0</v>
      </c>
      <c r="O3867" s="3563" t="s">
        <v>3453</v>
      </c>
    </row>
    <row r="3868" spans="1:15">
      <c r="A3868" s="3563" t="s">
        <v>8090</v>
      </c>
      <c r="B3868" s="3563" t="s">
        <v>4196</v>
      </c>
      <c r="C3868" s="3563" t="s">
        <v>4197</v>
      </c>
      <c r="D3868" s="3563" t="s">
        <v>6429</v>
      </c>
      <c r="E3868" s="3563" t="s">
        <v>6277</v>
      </c>
      <c r="F3868" s="3563" t="s">
        <v>4797</v>
      </c>
      <c r="G3868" s="3564">
        <v>101.72</v>
      </c>
      <c r="H3868" s="3564">
        <v>81.739999999999995</v>
      </c>
      <c r="I3868" s="3564">
        <v>19.98</v>
      </c>
      <c r="J3868" s="3565">
        <v>1066491</v>
      </c>
      <c r="K3868" s="3565">
        <v>10484.58</v>
      </c>
      <c r="L3868" s="3565">
        <v>13047.36</v>
      </c>
      <c r="M3868" s="3565">
        <v>0</v>
      </c>
      <c r="N3868" s="3565">
        <v>0</v>
      </c>
      <c r="O3868" s="3563" t="s">
        <v>3453</v>
      </c>
    </row>
    <row r="3869" spans="1:15">
      <c r="A3869" s="3563" t="s">
        <v>8091</v>
      </c>
      <c r="B3869" s="3563" t="s">
        <v>4196</v>
      </c>
      <c r="C3869" s="3563" t="s">
        <v>4197</v>
      </c>
      <c r="D3869" s="3563" t="s">
        <v>6429</v>
      </c>
      <c r="E3869" s="3563" t="s">
        <v>6277</v>
      </c>
      <c r="F3869" s="3563" t="s">
        <v>4797</v>
      </c>
      <c r="G3869" s="3564">
        <v>90.57</v>
      </c>
      <c r="H3869" s="3564">
        <v>72.78</v>
      </c>
      <c r="I3869" s="3564">
        <v>17.79</v>
      </c>
      <c r="J3869" s="3565">
        <v>877325</v>
      </c>
      <c r="K3869" s="3565">
        <v>9686.7099999999991</v>
      </c>
      <c r="L3869" s="3565">
        <v>12054.48</v>
      </c>
      <c r="M3869" s="3565">
        <v>0</v>
      </c>
      <c r="N3869" s="3565">
        <v>0</v>
      </c>
      <c r="O3869" s="3563" t="s">
        <v>3453</v>
      </c>
    </row>
    <row r="3870" spans="1:15">
      <c r="A3870" s="3563" t="s">
        <v>8092</v>
      </c>
      <c r="B3870" s="3563" t="s">
        <v>4196</v>
      </c>
      <c r="C3870" s="3563" t="s">
        <v>4197</v>
      </c>
      <c r="D3870" s="3563" t="s">
        <v>6429</v>
      </c>
      <c r="E3870" s="3563" t="s">
        <v>6277</v>
      </c>
      <c r="F3870" s="3563" t="s">
        <v>4797</v>
      </c>
      <c r="G3870" s="3564">
        <v>78.44</v>
      </c>
      <c r="H3870" s="3564">
        <v>63.03</v>
      </c>
      <c r="I3870" s="3564">
        <v>15.41</v>
      </c>
      <c r="J3870" s="3565">
        <v>768170</v>
      </c>
      <c r="K3870" s="3565">
        <v>9793.09</v>
      </c>
      <c r="L3870" s="3565">
        <v>12187.37</v>
      </c>
      <c r="M3870" s="3565">
        <v>0</v>
      </c>
      <c r="N3870" s="3565">
        <v>0</v>
      </c>
      <c r="O3870" s="3563" t="s">
        <v>3453</v>
      </c>
    </row>
    <row r="3871" spans="1:15">
      <c r="A3871" s="3563" t="s">
        <v>8093</v>
      </c>
      <c r="B3871" s="3563" t="s">
        <v>4196</v>
      </c>
      <c r="C3871" s="3563" t="s">
        <v>4197</v>
      </c>
      <c r="D3871" s="3563" t="s">
        <v>6429</v>
      </c>
      <c r="E3871" s="3563" t="s">
        <v>6277</v>
      </c>
      <c r="F3871" s="3563" t="s">
        <v>4797</v>
      </c>
      <c r="G3871" s="3564">
        <v>78.44</v>
      </c>
      <c r="H3871" s="3564">
        <v>63.03</v>
      </c>
      <c r="I3871" s="3564">
        <v>15.41</v>
      </c>
      <c r="J3871" s="3565">
        <v>768170</v>
      </c>
      <c r="K3871" s="3565">
        <v>9793.09</v>
      </c>
      <c r="L3871" s="3565">
        <v>12187.37</v>
      </c>
      <c r="M3871" s="3565">
        <v>0</v>
      </c>
      <c r="N3871" s="3565">
        <v>0</v>
      </c>
      <c r="O3871" s="3563" t="s">
        <v>3453</v>
      </c>
    </row>
    <row r="3872" spans="1:15">
      <c r="A3872" s="3563" t="s">
        <v>8094</v>
      </c>
      <c r="B3872" s="3563" t="s">
        <v>4196</v>
      </c>
      <c r="C3872" s="3563" t="s">
        <v>4197</v>
      </c>
      <c r="D3872" s="3563" t="s">
        <v>6429</v>
      </c>
      <c r="E3872" s="3563" t="s">
        <v>6277</v>
      </c>
      <c r="F3872" s="3563" t="s">
        <v>4797</v>
      </c>
      <c r="G3872" s="3564">
        <v>110.06</v>
      </c>
      <c r="H3872" s="3564">
        <v>88.44</v>
      </c>
      <c r="I3872" s="3564">
        <v>21.62</v>
      </c>
      <c r="J3872" s="3565">
        <v>1118807</v>
      </c>
      <c r="K3872" s="3565">
        <v>10165.43</v>
      </c>
      <c r="L3872" s="3565">
        <v>12650.46</v>
      </c>
      <c r="M3872" s="3565">
        <v>0</v>
      </c>
      <c r="N3872" s="3565">
        <v>0</v>
      </c>
      <c r="O3872" s="3563" t="s">
        <v>3453</v>
      </c>
    </row>
    <row r="3873" spans="1:15">
      <c r="A3873" s="3563" t="s">
        <v>8095</v>
      </c>
      <c r="B3873" s="3563" t="s">
        <v>4196</v>
      </c>
      <c r="C3873" s="3563" t="s">
        <v>4197</v>
      </c>
      <c r="D3873" s="3563" t="s">
        <v>6429</v>
      </c>
      <c r="E3873" s="3563" t="s">
        <v>6277</v>
      </c>
      <c r="F3873" s="3563" t="s">
        <v>4797</v>
      </c>
      <c r="G3873" s="3564">
        <v>101.72</v>
      </c>
      <c r="H3873" s="3564">
        <v>81.739999999999995</v>
      </c>
      <c r="I3873" s="3564">
        <v>19.98</v>
      </c>
      <c r="J3873" s="3565">
        <v>1067574</v>
      </c>
      <c r="K3873" s="3565">
        <v>10495.22</v>
      </c>
      <c r="L3873" s="3565">
        <v>13060.61</v>
      </c>
      <c r="M3873" s="3565">
        <v>0</v>
      </c>
      <c r="N3873" s="3565">
        <v>0</v>
      </c>
      <c r="O3873" s="3563" t="s">
        <v>3453</v>
      </c>
    </row>
    <row r="3874" spans="1:15">
      <c r="A3874" s="3563" t="s">
        <v>8096</v>
      </c>
      <c r="B3874" s="3563" t="s">
        <v>4196</v>
      </c>
      <c r="C3874" s="3563" t="s">
        <v>4197</v>
      </c>
      <c r="D3874" s="3563" t="s">
        <v>6429</v>
      </c>
      <c r="E3874" s="3563" t="s">
        <v>6277</v>
      </c>
      <c r="F3874" s="3563" t="s">
        <v>4797</v>
      </c>
      <c r="G3874" s="3564">
        <v>101.72</v>
      </c>
      <c r="H3874" s="3564">
        <v>81.739999999999995</v>
      </c>
      <c r="I3874" s="3564">
        <v>19.98</v>
      </c>
      <c r="J3874" s="3565">
        <v>1067574</v>
      </c>
      <c r="K3874" s="3565">
        <v>10495.22</v>
      </c>
      <c r="L3874" s="3565">
        <v>13060.61</v>
      </c>
      <c r="M3874" s="3565">
        <v>0</v>
      </c>
      <c r="N3874" s="3565">
        <v>0</v>
      </c>
      <c r="O3874" s="3563" t="s">
        <v>3453</v>
      </c>
    </row>
    <row r="3875" spans="1:15">
      <c r="A3875" s="3563" t="s">
        <v>8097</v>
      </c>
      <c r="B3875" s="3563" t="s">
        <v>4196</v>
      </c>
      <c r="C3875" s="3563" t="s">
        <v>4197</v>
      </c>
      <c r="D3875" s="3563" t="s">
        <v>6429</v>
      </c>
      <c r="E3875" s="3563" t="s">
        <v>6277</v>
      </c>
      <c r="F3875" s="3563" t="s">
        <v>4797</v>
      </c>
      <c r="G3875" s="3564">
        <v>90.57</v>
      </c>
      <c r="H3875" s="3564">
        <v>72.78</v>
      </c>
      <c r="I3875" s="3564">
        <v>17.79</v>
      </c>
      <c r="J3875" s="3565">
        <v>878289</v>
      </c>
      <c r="K3875" s="3565">
        <v>9697.35</v>
      </c>
      <c r="L3875" s="3565">
        <v>12067.72</v>
      </c>
      <c r="M3875" s="3565">
        <v>0</v>
      </c>
      <c r="N3875" s="3565">
        <v>0</v>
      </c>
      <c r="O3875" s="3563" t="s">
        <v>3453</v>
      </c>
    </row>
    <row r="3876" spans="1:15">
      <c r="A3876" s="3563" t="s">
        <v>8098</v>
      </c>
      <c r="B3876" s="3563" t="s">
        <v>4196</v>
      </c>
      <c r="C3876" s="3563" t="s">
        <v>4197</v>
      </c>
      <c r="D3876" s="3563" t="s">
        <v>6429</v>
      </c>
      <c r="E3876" s="3563" t="s">
        <v>6277</v>
      </c>
      <c r="F3876" s="3563" t="s">
        <v>4797</v>
      </c>
      <c r="G3876" s="3564">
        <v>78.44</v>
      </c>
      <c r="H3876" s="3564">
        <v>63.03</v>
      </c>
      <c r="I3876" s="3564">
        <v>15.41</v>
      </c>
      <c r="J3876" s="3565">
        <v>769005</v>
      </c>
      <c r="K3876" s="3565">
        <v>9803.74</v>
      </c>
      <c r="L3876" s="3565">
        <v>12200.62</v>
      </c>
      <c r="M3876" s="3565">
        <v>0</v>
      </c>
      <c r="N3876" s="3565">
        <v>0</v>
      </c>
      <c r="O3876" s="3563" t="s">
        <v>3453</v>
      </c>
    </row>
    <row r="3877" spans="1:15">
      <c r="A3877" s="3563" t="s">
        <v>8099</v>
      </c>
      <c r="B3877" s="3563" t="s">
        <v>4196</v>
      </c>
      <c r="C3877" s="3563" t="s">
        <v>4197</v>
      </c>
      <c r="D3877" s="3563" t="s">
        <v>6429</v>
      </c>
      <c r="E3877" s="3563" t="s">
        <v>6277</v>
      </c>
      <c r="F3877" s="3563" t="s">
        <v>4797</v>
      </c>
      <c r="G3877" s="3564">
        <v>78.44</v>
      </c>
      <c r="H3877" s="3564">
        <v>63.03</v>
      </c>
      <c r="I3877" s="3564">
        <v>15.41</v>
      </c>
      <c r="J3877" s="3565">
        <v>769005</v>
      </c>
      <c r="K3877" s="3565">
        <v>9803.74</v>
      </c>
      <c r="L3877" s="3565">
        <v>12200.62</v>
      </c>
      <c r="M3877" s="3565">
        <v>0</v>
      </c>
      <c r="N3877" s="3565">
        <v>0</v>
      </c>
      <c r="O3877" s="3563" t="s">
        <v>3453</v>
      </c>
    </row>
    <row r="3878" spans="1:15">
      <c r="A3878" s="3563" t="s">
        <v>8100</v>
      </c>
      <c r="B3878" s="3563" t="s">
        <v>4196</v>
      </c>
      <c r="C3878" s="3563" t="s">
        <v>4197</v>
      </c>
      <c r="D3878" s="3563" t="s">
        <v>6429</v>
      </c>
      <c r="E3878" s="3563" t="s">
        <v>6277</v>
      </c>
      <c r="F3878" s="3563" t="s">
        <v>4797</v>
      </c>
      <c r="G3878" s="3564">
        <v>110.06</v>
      </c>
      <c r="H3878" s="3564">
        <v>88.44</v>
      </c>
      <c r="I3878" s="3564">
        <v>21.62</v>
      </c>
      <c r="J3878" s="3565">
        <v>1119978</v>
      </c>
      <c r="K3878" s="3565">
        <v>10176.07</v>
      </c>
      <c r="L3878" s="3565">
        <v>12663.7</v>
      </c>
      <c r="M3878" s="3565">
        <v>0</v>
      </c>
      <c r="N3878" s="3565">
        <v>0</v>
      </c>
      <c r="O3878" s="3563" t="s">
        <v>3453</v>
      </c>
    </row>
    <row r="3879" spans="1:15">
      <c r="A3879" s="3563" t="s">
        <v>8101</v>
      </c>
      <c r="B3879" s="3563" t="s">
        <v>4196</v>
      </c>
      <c r="C3879" s="3563" t="s">
        <v>4197</v>
      </c>
      <c r="D3879" s="3563" t="s">
        <v>6429</v>
      </c>
      <c r="E3879" s="3563" t="s">
        <v>6277</v>
      </c>
      <c r="F3879" s="3563" t="s">
        <v>4797</v>
      </c>
      <c r="G3879" s="3564">
        <v>101.72</v>
      </c>
      <c r="H3879" s="3564">
        <v>81.739999999999995</v>
      </c>
      <c r="I3879" s="3564">
        <v>19.98</v>
      </c>
      <c r="J3879" s="3565">
        <v>1068656</v>
      </c>
      <c r="K3879" s="3565">
        <v>10505.86</v>
      </c>
      <c r="L3879" s="3565">
        <v>13073.84</v>
      </c>
      <c r="M3879" s="3565">
        <v>0</v>
      </c>
      <c r="N3879" s="3565">
        <v>0</v>
      </c>
      <c r="O3879" s="3563" t="s">
        <v>3453</v>
      </c>
    </row>
    <row r="3880" spans="1:15">
      <c r="A3880" s="3563" t="s">
        <v>8102</v>
      </c>
      <c r="B3880" s="3563" t="s">
        <v>4196</v>
      </c>
      <c r="C3880" s="3563" t="s">
        <v>4197</v>
      </c>
      <c r="D3880" s="3563" t="s">
        <v>6429</v>
      </c>
      <c r="E3880" s="3563" t="s">
        <v>6277</v>
      </c>
      <c r="F3880" s="3563" t="s">
        <v>4797</v>
      </c>
      <c r="G3880" s="3564">
        <v>101.72</v>
      </c>
      <c r="H3880" s="3564">
        <v>81.739999999999995</v>
      </c>
      <c r="I3880" s="3564">
        <v>19.98</v>
      </c>
      <c r="J3880" s="3565">
        <v>1068656</v>
      </c>
      <c r="K3880" s="3565">
        <v>10505.86</v>
      </c>
      <c r="L3880" s="3565">
        <v>13073.84</v>
      </c>
      <c r="M3880" s="3565">
        <v>0</v>
      </c>
      <c r="N3880" s="3565">
        <v>0</v>
      </c>
      <c r="O3880" s="3563" t="s">
        <v>3453</v>
      </c>
    </row>
    <row r="3881" spans="1:15">
      <c r="A3881" s="3563" t="s">
        <v>8103</v>
      </c>
      <c r="B3881" s="3563" t="s">
        <v>4196</v>
      </c>
      <c r="C3881" s="3563" t="s">
        <v>4197</v>
      </c>
      <c r="D3881" s="3563" t="s">
        <v>6429</v>
      </c>
      <c r="E3881" s="3563" t="s">
        <v>6277</v>
      </c>
      <c r="F3881" s="3563" t="s">
        <v>4797</v>
      </c>
      <c r="G3881" s="3564">
        <v>90.57</v>
      </c>
      <c r="H3881" s="3564">
        <v>72.78</v>
      </c>
      <c r="I3881" s="3564">
        <v>17.79</v>
      </c>
      <c r="J3881" s="3565">
        <v>888888</v>
      </c>
      <c r="K3881" s="3565">
        <v>9814.3799999999992</v>
      </c>
      <c r="L3881" s="3565">
        <v>12213.36</v>
      </c>
      <c r="M3881" s="3565">
        <v>0</v>
      </c>
      <c r="N3881" s="3565">
        <v>0</v>
      </c>
      <c r="O3881" s="3563" t="s">
        <v>3453</v>
      </c>
    </row>
    <row r="3882" spans="1:15">
      <c r="A3882" s="3563" t="s">
        <v>8104</v>
      </c>
      <c r="B3882" s="3563" t="s">
        <v>4196</v>
      </c>
      <c r="C3882" s="3563" t="s">
        <v>4197</v>
      </c>
      <c r="D3882" s="3563" t="s">
        <v>6429</v>
      </c>
      <c r="E3882" s="3563" t="s">
        <v>6277</v>
      </c>
      <c r="F3882" s="3563" t="s">
        <v>4797</v>
      </c>
      <c r="G3882" s="3564">
        <v>78.44</v>
      </c>
      <c r="H3882" s="3564">
        <v>63.03</v>
      </c>
      <c r="I3882" s="3564">
        <v>15.41</v>
      </c>
      <c r="J3882" s="3565">
        <v>778183</v>
      </c>
      <c r="K3882" s="3565">
        <v>9920.74</v>
      </c>
      <c r="L3882" s="3565">
        <v>12346.23</v>
      </c>
      <c r="M3882" s="3565">
        <v>0</v>
      </c>
      <c r="N3882" s="3565">
        <v>0</v>
      </c>
      <c r="O3882" s="3563" t="s">
        <v>3453</v>
      </c>
    </row>
    <row r="3883" spans="1:15">
      <c r="A3883" s="3563" t="s">
        <v>8105</v>
      </c>
      <c r="B3883" s="3563" t="s">
        <v>4196</v>
      </c>
      <c r="C3883" s="3563" t="s">
        <v>4197</v>
      </c>
      <c r="D3883" s="3563" t="s">
        <v>6429</v>
      </c>
      <c r="E3883" s="3563" t="s">
        <v>6277</v>
      </c>
      <c r="F3883" s="3563" t="s">
        <v>4797</v>
      </c>
      <c r="G3883" s="3564">
        <v>78.44</v>
      </c>
      <c r="H3883" s="3564">
        <v>63.03</v>
      </c>
      <c r="I3883" s="3564">
        <v>15.41</v>
      </c>
      <c r="J3883" s="3565">
        <v>778183</v>
      </c>
      <c r="K3883" s="3565">
        <v>9920.74</v>
      </c>
      <c r="L3883" s="3565">
        <v>12346.23</v>
      </c>
      <c r="M3883" s="3565">
        <v>0</v>
      </c>
      <c r="N3883" s="3565">
        <v>0</v>
      </c>
      <c r="O3883" s="3563" t="s">
        <v>3453</v>
      </c>
    </row>
    <row r="3884" spans="1:15">
      <c r="A3884" s="3563" t="s">
        <v>8106</v>
      </c>
      <c r="B3884" s="3563" t="s">
        <v>4196</v>
      </c>
      <c r="C3884" s="3563" t="s">
        <v>4197</v>
      </c>
      <c r="D3884" s="3563" t="s">
        <v>6429</v>
      </c>
      <c r="E3884" s="3563" t="s">
        <v>6277</v>
      </c>
      <c r="F3884" s="3563" t="s">
        <v>4797</v>
      </c>
      <c r="G3884" s="3564">
        <v>110.06</v>
      </c>
      <c r="H3884" s="3564">
        <v>88.44</v>
      </c>
      <c r="I3884" s="3564">
        <v>21.62</v>
      </c>
      <c r="J3884" s="3565">
        <v>1121149</v>
      </c>
      <c r="K3884" s="3565">
        <v>10186.709999999999</v>
      </c>
      <c r="L3884" s="3565">
        <v>12676.94</v>
      </c>
      <c r="M3884" s="3565">
        <v>0</v>
      </c>
      <c r="N3884" s="3565">
        <v>0</v>
      </c>
      <c r="O3884" s="3563" t="s">
        <v>3453</v>
      </c>
    </row>
    <row r="3885" spans="1:15">
      <c r="A3885" s="3563" t="s">
        <v>8107</v>
      </c>
      <c r="B3885" s="3563" t="s">
        <v>4196</v>
      </c>
      <c r="C3885" s="3563" t="s">
        <v>4197</v>
      </c>
      <c r="D3885" s="3563" t="s">
        <v>6429</v>
      </c>
      <c r="E3885" s="3563" t="s">
        <v>6277</v>
      </c>
      <c r="F3885" s="3563" t="s">
        <v>4797</v>
      </c>
      <c r="G3885" s="3564">
        <v>101.72</v>
      </c>
      <c r="H3885" s="3564">
        <v>81.739999999999995</v>
      </c>
      <c r="I3885" s="3564">
        <v>19.98</v>
      </c>
      <c r="J3885" s="3565">
        <v>1069738</v>
      </c>
      <c r="K3885" s="3565">
        <v>10516.5</v>
      </c>
      <c r="L3885" s="3565">
        <v>13087.08</v>
      </c>
      <c r="M3885" s="3565">
        <v>0</v>
      </c>
      <c r="N3885" s="3565">
        <v>0</v>
      </c>
      <c r="O3885" s="3563" t="s">
        <v>3453</v>
      </c>
    </row>
    <row r="3886" spans="1:15">
      <c r="A3886" s="3563" t="s">
        <v>8108</v>
      </c>
      <c r="B3886" s="3563" t="s">
        <v>4196</v>
      </c>
      <c r="C3886" s="3563" t="s">
        <v>4197</v>
      </c>
      <c r="D3886" s="3563" t="s">
        <v>6429</v>
      </c>
      <c r="E3886" s="3563" t="s">
        <v>6277</v>
      </c>
      <c r="F3886" s="3563" t="s">
        <v>4797</v>
      </c>
      <c r="G3886" s="3564">
        <v>101.72</v>
      </c>
      <c r="H3886" s="3564">
        <v>81.739999999999995</v>
      </c>
      <c r="I3886" s="3564">
        <v>19.98</v>
      </c>
      <c r="J3886" s="3565">
        <v>1069738</v>
      </c>
      <c r="K3886" s="3565">
        <v>10516.5</v>
      </c>
      <c r="L3886" s="3565">
        <v>13087.08</v>
      </c>
      <c r="M3886" s="3565">
        <v>0</v>
      </c>
      <c r="N3886" s="3565">
        <v>0</v>
      </c>
      <c r="O3886" s="3563" t="s">
        <v>3453</v>
      </c>
    </row>
    <row r="3887" spans="1:15">
      <c r="A3887" s="3563" t="s">
        <v>8109</v>
      </c>
      <c r="B3887" s="3563" t="s">
        <v>4196</v>
      </c>
      <c r="C3887" s="3563" t="s">
        <v>4197</v>
      </c>
      <c r="D3887" s="3563" t="s">
        <v>6429</v>
      </c>
      <c r="E3887" s="3563" t="s">
        <v>6277</v>
      </c>
      <c r="F3887" s="3563" t="s">
        <v>4797</v>
      </c>
      <c r="G3887" s="3564">
        <v>90.57</v>
      </c>
      <c r="H3887" s="3564">
        <v>72.78</v>
      </c>
      <c r="I3887" s="3564">
        <v>17.79</v>
      </c>
      <c r="J3887" s="3565">
        <v>889850</v>
      </c>
      <c r="K3887" s="3565">
        <v>9825</v>
      </c>
      <c r="L3887" s="3565">
        <v>12226.57</v>
      </c>
      <c r="M3887" s="3565">
        <v>0</v>
      </c>
      <c r="N3887" s="3565">
        <v>0</v>
      </c>
      <c r="O3887" s="3563" t="s">
        <v>3453</v>
      </c>
    </row>
    <row r="3888" spans="1:15">
      <c r="A3888" s="3563" t="s">
        <v>8110</v>
      </c>
      <c r="B3888" s="3563" t="s">
        <v>4196</v>
      </c>
      <c r="C3888" s="3563" t="s">
        <v>4197</v>
      </c>
      <c r="D3888" s="3563" t="s">
        <v>6429</v>
      </c>
      <c r="E3888" s="3563" t="s">
        <v>6277</v>
      </c>
      <c r="F3888" s="3563" t="s">
        <v>4797</v>
      </c>
      <c r="G3888" s="3564">
        <v>78.44</v>
      </c>
      <c r="H3888" s="3564">
        <v>63.03</v>
      </c>
      <c r="I3888" s="3564">
        <v>15.41</v>
      </c>
      <c r="J3888" s="3565">
        <v>779019</v>
      </c>
      <c r="K3888" s="3565">
        <v>9931.4</v>
      </c>
      <c r="L3888" s="3565">
        <v>12359.5</v>
      </c>
      <c r="M3888" s="3565">
        <v>0</v>
      </c>
      <c r="N3888" s="3565">
        <v>0</v>
      </c>
      <c r="O3888" s="3563" t="s">
        <v>3453</v>
      </c>
    </row>
    <row r="3889" spans="1:15">
      <c r="A3889" s="3563" t="s">
        <v>8111</v>
      </c>
      <c r="B3889" s="3563" t="s">
        <v>4196</v>
      </c>
      <c r="C3889" s="3563" t="s">
        <v>4197</v>
      </c>
      <c r="D3889" s="3563" t="s">
        <v>6429</v>
      </c>
      <c r="E3889" s="3563" t="s">
        <v>6277</v>
      </c>
      <c r="F3889" s="3563" t="s">
        <v>4797</v>
      </c>
      <c r="G3889" s="3564">
        <v>78.44</v>
      </c>
      <c r="H3889" s="3564">
        <v>63.03</v>
      </c>
      <c r="I3889" s="3564">
        <v>15.41</v>
      </c>
      <c r="J3889" s="3565">
        <v>779019</v>
      </c>
      <c r="K3889" s="3565">
        <v>9931.4</v>
      </c>
      <c r="L3889" s="3565">
        <v>12359.5</v>
      </c>
      <c r="M3889" s="3565">
        <v>0</v>
      </c>
      <c r="N3889" s="3565">
        <v>0</v>
      </c>
      <c r="O3889" s="3563" t="s">
        <v>3453</v>
      </c>
    </row>
    <row r="3890" spans="1:15">
      <c r="A3890" s="3563" t="s">
        <v>8112</v>
      </c>
      <c r="B3890" s="3563" t="s">
        <v>4196</v>
      </c>
      <c r="C3890" s="3563" t="s">
        <v>4197</v>
      </c>
      <c r="D3890" s="3563" t="s">
        <v>6429</v>
      </c>
      <c r="E3890" s="3563" t="s">
        <v>6277</v>
      </c>
      <c r="F3890" s="3563" t="s">
        <v>4797</v>
      </c>
      <c r="G3890" s="3564">
        <v>110.06</v>
      </c>
      <c r="H3890" s="3564">
        <v>88.44</v>
      </c>
      <c r="I3890" s="3564">
        <v>21.62</v>
      </c>
      <c r="J3890" s="3565">
        <v>1122320</v>
      </c>
      <c r="K3890" s="3565">
        <v>10197.35</v>
      </c>
      <c r="L3890" s="3565">
        <v>12690.19</v>
      </c>
      <c r="M3890" s="3565">
        <v>0</v>
      </c>
      <c r="N3890" s="3565">
        <v>0</v>
      </c>
      <c r="O3890" s="3563" t="s">
        <v>3453</v>
      </c>
    </row>
    <row r="3891" spans="1:15">
      <c r="A3891" s="3563" t="s">
        <v>8113</v>
      </c>
      <c r="B3891" s="3563" t="s">
        <v>4196</v>
      </c>
      <c r="C3891" s="3563" t="s">
        <v>4197</v>
      </c>
      <c r="D3891" s="3563" t="s">
        <v>6429</v>
      </c>
      <c r="E3891" s="3563" t="s">
        <v>6277</v>
      </c>
      <c r="F3891" s="3563" t="s">
        <v>4797</v>
      </c>
      <c r="G3891" s="3564">
        <v>101.72</v>
      </c>
      <c r="H3891" s="3564">
        <v>81.739999999999995</v>
      </c>
      <c r="I3891" s="3564">
        <v>19.98</v>
      </c>
      <c r="J3891" s="3565">
        <v>1070820</v>
      </c>
      <c r="K3891" s="3565">
        <v>10527.13</v>
      </c>
      <c r="L3891" s="3565">
        <v>13100.32</v>
      </c>
      <c r="M3891" s="3565">
        <v>0</v>
      </c>
      <c r="N3891" s="3565">
        <v>0</v>
      </c>
      <c r="O3891" s="3563" t="s">
        <v>3453</v>
      </c>
    </row>
    <row r="3892" spans="1:15">
      <c r="A3892" s="3563" t="s">
        <v>8114</v>
      </c>
      <c r="B3892" s="3563" t="s">
        <v>4196</v>
      </c>
      <c r="C3892" s="3563" t="s">
        <v>4197</v>
      </c>
      <c r="D3892" s="3563" t="s">
        <v>6429</v>
      </c>
      <c r="E3892" s="3563" t="s">
        <v>6277</v>
      </c>
      <c r="F3892" s="3563" t="s">
        <v>4797</v>
      </c>
      <c r="G3892" s="3564">
        <v>101.72</v>
      </c>
      <c r="H3892" s="3564">
        <v>81.739999999999995</v>
      </c>
      <c r="I3892" s="3564">
        <v>19.98</v>
      </c>
      <c r="J3892" s="3565">
        <v>1070820</v>
      </c>
      <c r="K3892" s="3565">
        <v>10527.13</v>
      </c>
      <c r="L3892" s="3565">
        <v>13100.32</v>
      </c>
      <c r="M3892" s="3565">
        <v>0</v>
      </c>
      <c r="N3892" s="3565">
        <v>0</v>
      </c>
      <c r="O3892" s="3563" t="s">
        <v>3453</v>
      </c>
    </row>
    <row r="3893" spans="1:15">
      <c r="A3893" s="3563" t="s">
        <v>8115</v>
      </c>
      <c r="B3893" s="3563" t="s">
        <v>4196</v>
      </c>
      <c r="C3893" s="3563" t="s">
        <v>4197</v>
      </c>
      <c r="D3893" s="3563" t="s">
        <v>6429</v>
      </c>
      <c r="E3893" s="3563" t="s">
        <v>6277</v>
      </c>
      <c r="F3893" s="3563" t="s">
        <v>4797</v>
      </c>
      <c r="G3893" s="3564">
        <v>90.57</v>
      </c>
      <c r="H3893" s="3564">
        <v>72.78</v>
      </c>
      <c r="I3893" s="3564">
        <v>17.79</v>
      </c>
      <c r="J3893" s="3565">
        <v>890814</v>
      </c>
      <c r="K3893" s="3565">
        <v>9835.64</v>
      </c>
      <c r="L3893" s="3565">
        <v>12239.82</v>
      </c>
      <c r="M3893" s="3565">
        <v>0</v>
      </c>
      <c r="N3893" s="3565">
        <v>0</v>
      </c>
      <c r="O3893" s="3563" t="s">
        <v>3453</v>
      </c>
    </row>
    <row r="3894" spans="1:15">
      <c r="A3894" s="3563" t="s">
        <v>8116</v>
      </c>
      <c r="B3894" s="3563" t="s">
        <v>4196</v>
      </c>
      <c r="C3894" s="3563" t="s">
        <v>4197</v>
      </c>
      <c r="D3894" s="3563" t="s">
        <v>6429</v>
      </c>
      <c r="E3894" s="3563" t="s">
        <v>6277</v>
      </c>
      <c r="F3894" s="3563" t="s">
        <v>4797</v>
      </c>
      <c r="G3894" s="3564">
        <v>78.44</v>
      </c>
      <c r="H3894" s="3564">
        <v>63.03</v>
      </c>
      <c r="I3894" s="3564">
        <v>15.41</v>
      </c>
      <c r="J3894" s="3565">
        <v>779853</v>
      </c>
      <c r="K3894" s="3565">
        <v>9942.0300000000007</v>
      </c>
      <c r="L3894" s="3565">
        <v>12372.73</v>
      </c>
      <c r="M3894" s="3565">
        <v>0</v>
      </c>
      <c r="N3894" s="3565">
        <v>0</v>
      </c>
      <c r="O3894" s="3563" t="s">
        <v>3453</v>
      </c>
    </row>
    <row r="3895" spans="1:15">
      <c r="A3895" s="3563" t="s">
        <v>8117</v>
      </c>
      <c r="B3895" s="3563" t="s">
        <v>4196</v>
      </c>
      <c r="C3895" s="3563" t="s">
        <v>4197</v>
      </c>
      <c r="D3895" s="3563" t="s">
        <v>6429</v>
      </c>
      <c r="E3895" s="3563" t="s">
        <v>6277</v>
      </c>
      <c r="F3895" s="3563" t="s">
        <v>4797</v>
      </c>
      <c r="G3895" s="3564">
        <v>78.44</v>
      </c>
      <c r="H3895" s="3564">
        <v>63.03</v>
      </c>
      <c r="I3895" s="3564">
        <v>15.41</v>
      </c>
      <c r="J3895" s="3565">
        <v>779853</v>
      </c>
      <c r="K3895" s="3565">
        <v>9942.0300000000007</v>
      </c>
      <c r="L3895" s="3565">
        <v>12372.73</v>
      </c>
      <c r="M3895" s="3565">
        <v>0</v>
      </c>
      <c r="N3895" s="3565">
        <v>0</v>
      </c>
      <c r="O3895" s="3563" t="s">
        <v>3453</v>
      </c>
    </row>
    <row r="3896" spans="1:15">
      <c r="A3896" s="3563" t="s">
        <v>8118</v>
      </c>
      <c r="B3896" s="3563" t="s">
        <v>4196</v>
      </c>
      <c r="C3896" s="3563" t="s">
        <v>4197</v>
      </c>
      <c r="D3896" s="3563" t="s">
        <v>6429</v>
      </c>
      <c r="E3896" s="3563" t="s">
        <v>6277</v>
      </c>
      <c r="F3896" s="3563" t="s">
        <v>4797</v>
      </c>
      <c r="G3896" s="3564">
        <v>110.06</v>
      </c>
      <c r="H3896" s="3564">
        <v>88.44</v>
      </c>
      <c r="I3896" s="3564">
        <v>21.62</v>
      </c>
      <c r="J3896" s="3565">
        <v>1123491</v>
      </c>
      <c r="K3896" s="3565">
        <v>10207.99</v>
      </c>
      <c r="L3896" s="3565">
        <v>12703.43</v>
      </c>
      <c r="M3896" s="3565">
        <v>0</v>
      </c>
      <c r="N3896" s="3565">
        <v>0</v>
      </c>
      <c r="O3896" s="3563" t="s">
        <v>3453</v>
      </c>
    </row>
    <row r="3897" spans="1:15">
      <c r="A3897" s="3563" t="s">
        <v>8119</v>
      </c>
      <c r="B3897" s="3563" t="s">
        <v>4196</v>
      </c>
      <c r="C3897" s="3563" t="s">
        <v>4197</v>
      </c>
      <c r="D3897" s="3563" t="s">
        <v>6429</v>
      </c>
      <c r="E3897" s="3563" t="s">
        <v>6294</v>
      </c>
      <c r="F3897" s="3563" t="s">
        <v>4797</v>
      </c>
      <c r="G3897" s="3564">
        <v>98.54</v>
      </c>
      <c r="H3897" s="3564">
        <v>81.739999999999995</v>
      </c>
      <c r="I3897" s="3564">
        <v>16.8</v>
      </c>
      <c r="J3897" s="3565">
        <v>961866</v>
      </c>
      <c r="K3897" s="3565">
        <v>9761.17</v>
      </c>
      <c r="L3897" s="3565">
        <v>11767.38</v>
      </c>
      <c r="M3897" s="3565">
        <v>0</v>
      </c>
      <c r="N3897" s="3565">
        <v>0</v>
      </c>
      <c r="O3897" s="3563" t="s">
        <v>3453</v>
      </c>
    </row>
    <row r="3898" spans="1:15">
      <c r="A3898" s="3563" t="s">
        <v>8120</v>
      </c>
      <c r="B3898" s="3563" t="s">
        <v>4196</v>
      </c>
      <c r="C3898" s="3563" t="s">
        <v>4197</v>
      </c>
      <c r="D3898" s="3563" t="s">
        <v>6429</v>
      </c>
      <c r="E3898" s="3563" t="s">
        <v>6294</v>
      </c>
      <c r="F3898" s="3563" t="s">
        <v>4797</v>
      </c>
      <c r="G3898" s="3564">
        <v>98.54</v>
      </c>
      <c r="H3898" s="3564">
        <v>81.739999999999995</v>
      </c>
      <c r="I3898" s="3564">
        <v>16.8</v>
      </c>
      <c r="J3898" s="3565">
        <v>961866</v>
      </c>
      <c r="K3898" s="3565">
        <v>9761.17</v>
      </c>
      <c r="L3898" s="3565">
        <v>11767.38</v>
      </c>
      <c r="M3898" s="3565">
        <v>0</v>
      </c>
      <c r="N3898" s="3565">
        <v>0</v>
      </c>
      <c r="O3898" s="3563" t="s">
        <v>3453</v>
      </c>
    </row>
    <row r="3899" spans="1:15">
      <c r="A3899" s="3563" t="s">
        <v>8121</v>
      </c>
      <c r="B3899" s="3563" t="s">
        <v>4196</v>
      </c>
      <c r="C3899" s="3563" t="s">
        <v>4197</v>
      </c>
      <c r="D3899" s="3563" t="s">
        <v>6429</v>
      </c>
      <c r="E3899" s="3563" t="s">
        <v>6294</v>
      </c>
      <c r="F3899" s="3563" t="s">
        <v>4797</v>
      </c>
      <c r="G3899" s="3564">
        <v>87.74</v>
      </c>
      <c r="H3899" s="3564">
        <v>72.78</v>
      </c>
      <c r="I3899" s="3564">
        <v>14.96</v>
      </c>
      <c r="J3899" s="3565">
        <v>835911</v>
      </c>
      <c r="K3899" s="3565">
        <v>9527.14</v>
      </c>
      <c r="L3899" s="3565">
        <v>11485.45</v>
      </c>
      <c r="M3899" s="3565">
        <v>0</v>
      </c>
      <c r="N3899" s="3565">
        <v>0</v>
      </c>
      <c r="O3899" s="3563" t="s">
        <v>3453</v>
      </c>
    </row>
    <row r="3900" spans="1:15">
      <c r="A3900" s="3563" t="s">
        <v>8122</v>
      </c>
      <c r="B3900" s="3563" t="s">
        <v>4196</v>
      </c>
      <c r="C3900" s="3563" t="s">
        <v>4197</v>
      </c>
      <c r="D3900" s="3563" t="s">
        <v>6429</v>
      </c>
      <c r="E3900" s="3563" t="s">
        <v>6294</v>
      </c>
      <c r="F3900" s="3563" t="s">
        <v>4797</v>
      </c>
      <c r="G3900" s="3564">
        <v>73.459999999999994</v>
      </c>
      <c r="H3900" s="3564">
        <v>63.03</v>
      </c>
      <c r="I3900" s="3564">
        <v>10.43</v>
      </c>
      <c r="J3900" s="3565">
        <v>699863</v>
      </c>
      <c r="K3900" s="3565">
        <v>9527.1299999999992</v>
      </c>
      <c r="L3900" s="3565">
        <v>11103.65</v>
      </c>
      <c r="M3900" s="3565">
        <v>0</v>
      </c>
      <c r="N3900" s="3565">
        <v>0</v>
      </c>
      <c r="O3900" s="3563" t="s">
        <v>3453</v>
      </c>
    </row>
    <row r="3901" spans="1:15">
      <c r="A3901" s="3563" t="s">
        <v>8123</v>
      </c>
      <c r="B3901" s="3563" t="s">
        <v>4196</v>
      </c>
      <c r="C3901" s="3563" t="s">
        <v>4197</v>
      </c>
      <c r="D3901" s="3563" t="s">
        <v>6429</v>
      </c>
      <c r="E3901" s="3563" t="s">
        <v>6294</v>
      </c>
      <c r="F3901" s="3563" t="s">
        <v>4797</v>
      </c>
      <c r="G3901" s="3564">
        <v>73.459999999999994</v>
      </c>
      <c r="H3901" s="3564">
        <v>63.03</v>
      </c>
      <c r="I3901" s="3564">
        <v>10.43</v>
      </c>
      <c r="J3901" s="3565">
        <v>699863</v>
      </c>
      <c r="K3901" s="3565">
        <v>9527.1299999999992</v>
      </c>
      <c r="L3901" s="3565">
        <v>11103.65</v>
      </c>
      <c r="M3901" s="3565">
        <v>0</v>
      </c>
      <c r="N3901" s="3565">
        <v>0</v>
      </c>
      <c r="O3901" s="3563" t="s">
        <v>3453</v>
      </c>
    </row>
    <row r="3902" spans="1:15">
      <c r="A3902" s="3563" t="s">
        <v>8124</v>
      </c>
      <c r="B3902" s="3563" t="s">
        <v>4196</v>
      </c>
      <c r="C3902" s="3563" t="s">
        <v>4197</v>
      </c>
      <c r="D3902" s="3563" t="s">
        <v>6429</v>
      </c>
      <c r="E3902" s="3563" t="s">
        <v>6294</v>
      </c>
      <c r="F3902" s="3563" t="s">
        <v>4797</v>
      </c>
      <c r="G3902" s="3564">
        <v>101.72</v>
      </c>
      <c r="H3902" s="3564">
        <v>81.739999999999995</v>
      </c>
      <c r="I3902" s="3564">
        <v>19.98</v>
      </c>
      <c r="J3902" s="3565">
        <v>1050259</v>
      </c>
      <c r="K3902" s="3565">
        <v>10325</v>
      </c>
      <c r="L3902" s="3565">
        <v>12848.78</v>
      </c>
      <c r="M3902" s="3565">
        <v>0</v>
      </c>
      <c r="N3902" s="3565">
        <v>0</v>
      </c>
      <c r="O3902" s="3563" t="s">
        <v>3453</v>
      </c>
    </row>
    <row r="3903" spans="1:15">
      <c r="A3903" s="3563" t="s">
        <v>8125</v>
      </c>
      <c r="B3903" s="3563" t="s">
        <v>4196</v>
      </c>
      <c r="C3903" s="3563" t="s">
        <v>4197</v>
      </c>
      <c r="D3903" s="3563" t="s">
        <v>6429</v>
      </c>
      <c r="E3903" s="3563" t="s">
        <v>6294</v>
      </c>
      <c r="F3903" s="3563" t="s">
        <v>4797</v>
      </c>
      <c r="G3903" s="3564">
        <v>101.72</v>
      </c>
      <c r="H3903" s="3564">
        <v>81.739999999999995</v>
      </c>
      <c r="I3903" s="3564">
        <v>19.98</v>
      </c>
      <c r="J3903" s="3565">
        <v>1050259</v>
      </c>
      <c r="K3903" s="3565">
        <v>10325</v>
      </c>
      <c r="L3903" s="3565">
        <v>12848.78</v>
      </c>
      <c r="M3903" s="3565">
        <v>0</v>
      </c>
      <c r="N3903" s="3565">
        <v>0</v>
      </c>
      <c r="O3903" s="3563" t="s">
        <v>3453</v>
      </c>
    </row>
    <row r="3904" spans="1:15">
      <c r="A3904" s="3563" t="s">
        <v>8126</v>
      </c>
      <c r="B3904" s="3563" t="s">
        <v>4196</v>
      </c>
      <c r="C3904" s="3563" t="s">
        <v>4197</v>
      </c>
      <c r="D3904" s="3563" t="s">
        <v>6429</v>
      </c>
      <c r="E3904" s="3563" t="s">
        <v>6294</v>
      </c>
      <c r="F3904" s="3563" t="s">
        <v>4797</v>
      </c>
      <c r="G3904" s="3564">
        <v>90.57</v>
      </c>
      <c r="H3904" s="3564">
        <v>72.78</v>
      </c>
      <c r="I3904" s="3564">
        <v>17.79</v>
      </c>
      <c r="J3904" s="3565">
        <v>891778</v>
      </c>
      <c r="K3904" s="3565">
        <v>9846.2800000000007</v>
      </c>
      <c r="L3904" s="3565">
        <v>12253.06</v>
      </c>
      <c r="M3904" s="3565">
        <v>0</v>
      </c>
      <c r="N3904" s="3565">
        <v>0</v>
      </c>
      <c r="O3904" s="3563" t="s">
        <v>3453</v>
      </c>
    </row>
    <row r="3905" spans="1:15">
      <c r="A3905" s="3563" t="s">
        <v>8127</v>
      </c>
      <c r="B3905" s="3563" t="s">
        <v>4196</v>
      </c>
      <c r="C3905" s="3563" t="s">
        <v>4197</v>
      </c>
      <c r="D3905" s="3563" t="s">
        <v>6429</v>
      </c>
      <c r="E3905" s="3563" t="s">
        <v>6294</v>
      </c>
      <c r="F3905" s="3563" t="s">
        <v>4797</v>
      </c>
      <c r="G3905" s="3564">
        <v>78.44</v>
      </c>
      <c r="H3905" s="3564">
        <v>63.03</v>
      </c>
      <c r="I3905" s="3564">
        <v>15.41</v>
      </c>
      <c r="J3905" s="3565">
        <v>780687</v>
      </c>
      <c r="K3905" s="3565">
        <v>9952.66</v>
      </c>
      <c r="L3905" s="3565">
        <v>12385.96</v>
      </c>
      <c r="M3905" s="3565">
        <v>0</v>
      </c>
      <c r="N3905" s="3565">
        <v>0</v>
      </c>
      <c r="O3905" s="3563" t="s">
        <v>3453</v>
      </c>
    </row>
    <row r="3906" spans="1:15">
      <c r="A3906" s="3563" t="s">
        <v>8128</v>
      </c>
      <c r="B3906" s="3563" t="s">
        <v>4196</v>
      </c>
      <c r="C3906" s="3563" t="s">
        <v>4197</v>
      </c>
      <c r="D3906" s="3563" t="s">
        <v>6429</v>
      </c>
      <c r="E3906" s="3563" t="s">
        <v>6294</v>
      </c>
      <c r="F3906" s="3563" t="s">
        <v>4797</v>
      </c>
      <c r="G3906" s="3564">
        <v>78.44</v>
      </c>
      <c r="H3906" s="3564">
        <v>63.03</v>
      </c>
      <c r="I3906" s="3564">
        <v>15.41</v>
      </c>
      <c r="J3906" s="3565">
        <v>780687</v>
      </c>
      <c r="K3906" s="3565">
        <v>9952.66</v>
      </c>
      <c r="L3906" s="3565">
        <v>12385.96</v>
      </c>
      <c r="M3906" s="3565">
        <v>0</v>
      </c>
      <c r="N3906" s="3565">
        <v>0</v>
      </c>
      <c r="O3906" s="3563" t="s">
        <v>3453</v>
      </c>
    </row>
    <row r="3907" spans="1:15">
      <c r="A3907" s="3563" t="s">
        <v>8129</v>
      </c>
      <c r="B3907" s="3563" t="s">
        <v>4196</v>
      </c>
      <c r="C3907" s="3563" t="s">
        <v>4197</v>
      </c>
      <c r="D3907" s="3563" t="s">
        <v>6429</v>
      </c>
      <c r="E3907" s="3563" t="s">
        <v>6294</v>
      </c>
      <c r="F3907" s="3563" t="s">
        <v>4797</v>
      </c>
      <c r="G3907" s="3564">
        <v>110.06</v>
      </c>
      <c r="H3907" s="3564">
        <v>88.44</v>
      </c>
      <c r="I3907" s="3564">
        <v>21.62</v>
      </c>
      <c r="J3907" s="3565">
        <v>1148078</v>
      </c>
      <c r="K3907" s="3565">
        <v>10431.379999999999</v>
      </c>
      <c r="L3907" s="3565">
        <v>12981.43</v>
      </c>
      <c r="M3907" s="3565">
        <v>0</v>
      </c>
      <c r="N3907" s="3565">
        <v>0</v>
      </c>
      <c r="O3907" s="3563" t="s">
        <v>3453</v>
      </c>
    </row>
    <row r="3908" spans="1:15">
      <c r="A3908" s="3563" t="s">
        <v>8130</v>
      </c>
      <c r="B3908" s="3563" t="s">
        <v>4196</v>
      </c>
      <c r="C3908" s="3563" t="s">
        <v>4197</v>
      </c>
      <c r="D3908" s="3563" t="s">
        <v>6429</v>
      </c>
      <c r="E3908" s="3563" t="s">
        <v>6294</v>
      </c>
      <c r="F3908" s="3563" t="s">
        <v>4797</v>
      </c>
      <c r="G3908" s="3564">
        <v>101.72</v>
      </c>
      <c r="H3908" s="3564">
        <v>81.739999999999995</v>
      </c>
      <c r="I3908" s="3564">
        <v>19.98</v>
      </c>
      <c r="J3908" s="3565">
        <v>1051342</v>
      </c>
      <c r="K3908" s="3565">
        <v>10335.65</v>
      </c>
      <c r="L3908" s="3565">
        <v>12862.03</v>
      </c>
      <c r="M3908" s="3565">
        <v>0</v>
      </c>
      <c r="N3908" s="3565">
        <v>0</v>
      </c>
      <c r="O3908" s="3563" t="s">
        <v>3453</v>
      </c>
    </row>
    <row r="3909" spans="1:15">
      <c r="A3909" s="3563" t="s">
        <v>8131</v>
      </c>
      <c r="B3909" s="3563" t="s">
        <v>4196</v>
      </c>
      <c r="C3909" s="3563" t="s">
        <v>4197</v>
      </c>
      <c r="D3909" s="3563" t="s">
        <v>6429</v>
      </c>
      <c r="E3909" s="3563" t="s">
        <v>6294</v>
      </c>
      <c r="F3909" s="3563" t="s">
        <v>4797</v>
      </c>
      <c r="G3909" s="3564">
        <v>101.72</v>
      </c>
      <c r="H3909" s="3564">
        <v>81.739999999999995</v>
      </c>
      <c r="I3909" s="3564">
        <v>19.98</v>
      </c>
      <c r="J3909" s="3565">
        <v>1051342</v>
      </c>
      <c r="K3909" s="3565">
        <v>10335.65</v>
      </c>
      <c r="L3909" s="3565">
        <v>12862.03</v>
      </c>
      <c r="M3909" s="3565">
        <v>0</v>
      </c>
      <c r="N3909" s="3565">
        <v>0</v>
      </c>
      <c r="O3909" s="3563" t="s">
        <v>3453</v>
      </c>
    </row>
    <row r="3910" spans="1:15">
      <c r="A3910" s="3563" t="s">
        <v>8132</v>
      </c>
      <c r="B3910" s="3563" t="s">
        <v>4196</v>
      </c>
      <c r="C3910" s="3563" t="s">
        <v>4197</v>
      </c>
      <c r="D3910" s="3563" t="s">
        <v>6429</v>
      </c>
      <c r="E3910" s="3563" t="s">
        <v>6294</v>
      </c>
      <c r="F3910" s="3563" t="s">
        <v>4797</v>
      </c>
      <c r="G3910" s="3564">
        <v>90.57</v>
      </c>
      <c r="H3910" s="3564">
        <v>72.78</v>
      </c>
      <c r="I3910" s="3564">
        <v>17.79</v>
      </c>
      <c r="J3910" s="3565">
        <v>892741</v>
      </c>
      <c r="K3910" s="3565">
        <v>9856.92</v>
      </c>
      <c r="L3910" s="3565">
        <v>12266.3</v>
      </c>
      <c r="M3910" s="3565">
        <v>0</v>
      </c>
      <c r="N3910" s="3565">
        <v>0</v>
      </c>
      <c r="O3910" s="3563" t="s">
        <v>3453</v>
      </c>
    </row>
    <row r="3911" spans="1:15">
      <c r="A3911" s="3563" t="s">
        <v>8133</v>
      </c>
      <c r="B3911" s="3563" t="s">
        <v>4196</v>
      </c>
      <c r="C3911" s="3563" t="s">
        <v>4197</v>
      </c>
      <c r="D3911" s="3563" t="s">
        <v>6429</v>
      </c>
      <c r="E3911" s="3563" t="s">
        <v>6294</v>
      </c>
      <c r="F3911" s="3563" t="s">
        <v>4797</v>
      </c>
      <c r="G3911" s="3564">
        <v>78.44</v>
      </c>
      <c r="H3911" s="3564">
        <v>63.03</v>
      </c>
      <c r="I3911" s="3564">
        <v>15.41</v>
      </c>
      <c r="J3911" s="3565">
        <v>781522</v>
      </c>
      <c r="K3911" s="3565">
        <v>9963.31</v>
      </c>
      <c r="L3911" s="3565">
        <v>12399.21</v>
      </c>
      <c r="M3911" s="3565">
        <v>0</v>
      </c>
      <c r="N3911" s="3565">
        <v>0</v>
      </c>
      <c r="O3911" s="3563" t="s">
        <v>3453</v>
      </c>
    </row>
    <row r="3912" spans="1:15">
      <c r="A3912" s="3563" t="s">
        <v>8134</v>
      </c>
      <c r="B3912" s="3563" t="s">
        <v>4196</v>
      </c>
      <c r="C3912" s="3563" t="s">
        <v>4197</v>
      </c>
      <c r="D3912" s="3563" t="s">
        <v>6429</v>
      </c>
      <c r="E3912" s="3563" t="s">
        <v>6294</v>
      </c>
      <c r="F3912" s="3563" t="s">
        <v>4797</v>
      </c>
      <c r="G3912" s="3564">
        <v>78.44</v>
      </c>
      <c r="H3912" s="3564">
        <v>63.03</v>
      </c>
      <c r="I3912" s="3564">
        <v>15.41</v>
      </c>
      <c r="J3912" s="3565">
        <v>781522</v>
      </c>
      <c r="K3912" s="3565">
        <v>9963.31</v>
      </c>
      <c r="L3912" s="3565">
        <v>12399.21</v>
      </c>
      <c r="M3912" s="3565">
        <v>0</v>
      </c>
      <c r="N3912" s="3565">
        <v>0</v>
      </c>
      <c r="O3912" s="3563" t="s">
        <v>3453</v>
      </c>
    </row>
    <row r="3913" spans="1:15">
      <c r="A3913" s="3563" t="s">
        <v>8135</v>
      </c>
      <c r="B3913" s="3563" t="s">
        <v>4196</v>
      </c>
      <c r="C3913" s="3563" t="s">
        <v>4197</v>
      </c>
      <c r="D3913" s="3563" t="s">
        <v>6429</v>
      </c>
      <c r="E3913" s="3563" t="s">
        <v>6294</v>
      </c>
      <c r="F3913" s="3563" t="s">
        <v>4797</v>
      </c>
      <c r="G3913" s="3564">
        <v>110.06</v>
      </c>
      <c r="H3913" s="3564">
        <v>88.44</v>
      </c>
      <c r="I3913" s="3564">
        <v>21.62</v>
      </c>
      <c r="J3913" s="3565">
        <v>1149249</v>
      </c>
      <c r="K3913" s="3565">
        <v>10442.02</v>
      </c>
      <c r="L3913" s="3565">
        <v>12994.67</v>
      </c>
      <c r="M3913" s="3565">
        <v>0</v>
      </c>
      <c r="N3913" s="3565">
        <v>0</v>
      </c>
      <c r="O3913" s="3563" t="s">
        <v>3453</v>
      </c>
    </row>
    <row r="3914" spans="1:15">
      <c r="A3914" s="3563" t="s">
        <v>8136</v>
      </c>
      <c r="B3914" s="3563" t="s">
        <v>4196</v>
      </c>
      <c r="C3914" s="3563" t="s">
        <v>4197</v>
      </c>
      <c r="D3914" s="3563" t="s">
        <v>6429</v>
      </c>
      <c r="E3914" s="3563" t="s">
        <v>6294</v>
      </c>
      <c r="F3914" s="3563" t="s">
        <v>4797</v>
      </c>
      <c r="G3914" s="3564">
        <v>101.72</v>
      </c>
      <c r="H3914" s="3564">
        <v>81.739999999999995</v>
      </c>
      <c r="I3914" s="3564">
        <v>19.98</v>
      </c>
      <c r="J3914" s="3565">
        <v>1052424</v>
      </c>
      <c r="K3914" s="3565">
        <v>10346.280000000001</v>
      </c>
      <c r="L3914" s="3565">
        <v>12875.26</v>
      </c>
      <c r="M3914" s="3565">
        <v>0</v>
      </c>
      <c r="N3914" s="3565">
        <v>0</v>
      </c>
      <c r="O3914" s="3563" t="s">
        <v>3453</v>
      </c>
    </row>
    <row r="3915" spans="1:15">
      <c r="A3915" s="3563" t="s">
        <v>8137</v>
      </c>
      <c r="B3915" s="3563" t="s">
        <v>3453</v>
      </c>
      <c r="C3915" s="3563" t="s">
        <v>4197</v>
      </c>
      <c r="D3915" s="3563" t="s">
        <v>6429</v>
      </c>
      <c r="E3915" s="3563" t="s">
        <v>6294</v>
      </c>
      <c r="F3915" s="3563" t="s">
        <v>4797</v>
      </c>
      <c r="G3915" s="3564">
        <v>101.72</v>
      </c>
      <c r="H3915" s="3564">
        <v>81.739999999999995</v>
      </c>
      <c r="I3915" s="3564">
        <v>19.98</v>
      </c>
      <c r="J3915" s="3565">
        <v>1052424</v>
      </c>
      <c r="K3915" s="3565">
        <v>10346.280000000001</v>
      </c>
      <c r="L3915" s="3565">
        <v>12875.26</v>
      </c>
      <c r="M3915" s="3565">
        <v>0</v>
      </c>
      <c r="N3915" s="3565">
        <v>0</v>
      </c>
      <c r="O3915" s="3563" t="s">
        <v>3453</v>
      </c>
    </row>
    <row r="3916" spans="1:15">
      <c r="A3916" s="3563" t="s">
        <v>8138</v>
      </c>
      <c r="B3916" s="3563" t="s">
        <v>4196</v>
      </c>
      <c r="C3916" s="3563" t="s">
        <v>4197</v>
      </c>
      <c r="D3916" s="3563" t="s">
        <v>6429</v>
      </c>
      <c r="E3916" s="3563" t="s">
        <v>6294</v>
      </c>
      <c r="F3916" s="3563" t="s">
        <v>4797</v>
      </c>
      <c r="G3916" s="3564">
        <v>90.57</v>
      </c>
      <c r="H3916" s="3564">
        <v>72.78</v>
      </c>
      <c r="I3916" s="3564">
        <v>17.79</v>
      </c>
      <c r="J3916" s="3565">
        <v>893705</v>
      </c>
      <c r="K3916" s="3565">
        <v>9867.56</v>
      </c>
      <c r="L3916" s="3565">
        <v>12279.54</v>
      </c>
      <c r="M3916" s="3565">
        <v>0</v>
      </c>
      <c r="N3916" s="3565">
        <v>0</v>
      </c>
      <c r="O3916" s="3563" t="s">
        <v>3453</v>
      </c>
    </row>
    <row r="3917" spans="1:15">
      <c r="A3917" s="3563" t="s">
        <v>8139</v>
      </c>
      <c r="B3917" s="3563" t="s">
        <v>4196</v>
      </c>
      <c r="C3917" s="3563" t="s">
        <v>4197</v>
      </c>
      <c r="D3917" s="3563" t="s">
        <v>6429</v>
      </c>
      <c r="E3917" s="3563" t="s">
        <v>6294</v>
      </c>
      <c r="F3917" s="3563" t="s">
        <v>4797</v>
      </c>
      <c r="G3917" s="3564">
        <v>78.44</v>
      </c>
      <c r="H3917" s="3564">
        <v>63.03</v>
      </c>
      <c r="I3917" s="3564">
        <v>15.41</v>
      </c>
      <c r="J3917" s="3565">
        <v>782356</v>
      </c>
      <c r="K3917" s="3565">
        <v>9973.94</v>
      </c>
      <c r="L3917" s="3565">
        <v>12412.44</v>
      </c>
      <c r="M3917" s="3565">
        <v>0</v>
      </c>
      <c r="N3917" s="3565">
        <v>0</v>
      </c>
      <c r="O3917" s="3563" t="s">
        <v>3453</v>
      </c>
    </row>
    <row r="3918" spans="1:15">
      <c r="A3918" s="3563" t="s">
        <v>8140</v>
      </c>
      <c r="B3918" s="3563" t="s">
        <v>3453</v>
      </c>
      <c r="C3918" s="3563" t="s">
        <v>4197</v>
      </c>
      <c r="D3918" s="3563" t="s">
        <v>6429</v>
      </c>
      <c r="E3918" s="3563" t="s">
        <v>6294</v>
      </c>
      <c r="F3918" s="3563" t="s">
        <v>4797</v>
      </c>
      <c r="G3918" s="3564">
        <v>78.44</v>
      </c>
      <c r="H3918" s="3564">
        <v>63.03</v>
      </c>
      <c r="I3918" s="3564">
        <v>15.41</v>
      </c>
      <c r="J3918" s="3565">
        <v>782356</v>
      </c>
      <c r="K3918" s="3565">
        <v>9973.94</v>
      </c>
      <c r="L3918" s="3565">
        <v>12412.44</v>
      </c>
      <c r="M3918" s="3565">
        <v>0</v>
      </c>
      <c r="N3918" s="3565">
        <v>0</v>
      </c>
      <c r="O3918" s="3563" t="s">
        <v>3453</v>
      </c>
    </row>
    <row r="3919" spans="1:15">
      <c r="A3919" s="3563" t="s">
        <v>8141</v>
      </c>
      <c r="B3919" s="3563" t="s">
        <v>4196</v>
      </c>
      <c r="C3919" s="3563" t="s">
        <v>4197</v>
      </c>
      <c r="D3919" s="3563" t="s">
        <v>6429</v>
      </c>
      <c r="E3919" s="3563" t="s">
        <v>6294</v>
      </c>
      <c r="F3919" s="3563" t="s">
        <v>4797</v>
      </c>
      <c r="G3919" s="3564">
        <v>110.06</v>
      </c>
      <c r="H3919" s="3564">
        <v>88.44</v>
      </c>
      <c r="I3919" s="3564">
        <v>21.62</v>
      </c>
      <c r="J3919" s="3565">
        <v>1150421</v>
      </c>
      <c r="K3919" s="3565">
        <v>10452.67</v>
      </c>
      <c r="L3919" s="3565">
        <v>13007.93</v>
      </c>
      <c r="M3919" s="3565">
        <v>0</v>
      </c>
      <c r="N3919" s="3565">
        <v>0</v>
      </c>
      <c r="O3919" s="3563" t="s">
        <v>3453</v>
      </c>
    </row>
    <row r="3920" spans="1:15">
      <c r="A3920" s="3563" t="s">
        <v>8142</v>
      </c>
      <c r="B3920" s="3563" t="s">
        <v>4196</v>
      </c>
      <c r="C3920" s="3563" t="s">
        <v>4197</v>
      </c>
      <c r="D3920" s="3563" t="s">
        <v>6429</v>
      </c>
      <c r="E3920" s="3563" t="s">
        <v>6294</v>
      </c>
      <c r="F3920" s="3563" t="s">
        <v>4797</v>
      </c>
      <c r="G3920" s="3564">
        <v>101.72</v>
      </c>
      <c r="H3920" s="3564">
        <v>81.739999999999995</v>
      </c>
      <c r="I3920" s="3564">
        <v>19.98</v>
      </c>
      <c r="J3920" s="3565">
        <v>1053506</v>
      </c>
      <c r="K3920" s="3565">
        <v>10356.92</v>
      </c>
      <c r="L3920" s="3565">
        <v>12888.5</v>
      </c>
      <c r="M3920" s="3565">
        <v>0</v>
      </c>
      <c r="N3920" s="3565">
        <v>0</v>
      </c>
      <c r="O3920" s="3563" t="s">
        <v>3453</v>
      </c>
    </row>
    <row r="3921" spans="1:15">
      <c r="A3921" s="3563" t="s">
        <v>8143</v>
      </c>
      <c r="B3921" s="3563" t="s">
        <v>4196</v>
      </c>
      <c r="C3921" s="3563" t="s">
        <v>4197</v>
      </c>
      <c r="D3921" s="3563" t="s">
        <v>6429</v>
      </c>
      <c r="E3921" s="3563" t="s">
        <v>6294</v>
      </c>
      <c r="F3921" s="3563" t="s">
        <v>4797</v>
      </c>
      <c r="G3921" s="3564">
        <v>101.72</v>
      </c>
      <c r="H3921" s="3564">
        <v>81.739999999999995</v>
      </c>
      <c r="I3921" s="3564">
        <v>19.98</v>
      </c>
      <c r="J3921" s="3565">
        <v>1053506</v>
      </c>
      <c r="K3921" s="3565">
        <v>10356.92</v>
      </c>
      <c r="L3921" s="3565">
        <v>12888.5</v>
      </c>
      <c r="M3921" s="3565">
        <v>0</v>
      </c>
      <c r="N3921" s="3565">
        <v>0</v>
      </c>
      <c r="O3921" s="3563" t="s">
        <v>3453</v>
      </c>
    </row>
    <row r="3922" spans="1:15">
      <c r="A3922" s="3563" t="s">
        <v>8144</v>
      </c>
      <c r="B3922" s="3563" t="s">
        <v>4196</v>
      </c>
      <c r="C3922" s="3563" t="s">
        <v>4197</v>
      </c>
      <c r="D3922" s="3563" t="s">
        <v>6429</v>
      </c>
      <c r="E3922" s="3563" t="s">
        <v>6294</v>
      </c>
      <c r="F3922" s="3563" t="s">
        <v>4797</v>
      </c>
      <c r="G3922" s="3564">
        <v>90.57</v>
      </c>
      <c r="H3922" s="3564">
        <v>72.78</v>
      </c>
      <c r="I3922" s="3564">
        <v>17.79</v>
      </c>
      <c r="J3922" s="3565">
        <v>913939</v>
      </c>
      <c r="K3922" s="3565">
        <v>10090.969999999999</v>
      </c>
      <c r="L3922" s="3565">
        <v>12557.56</v>
      </c>
      <c r="M3922" s="3565">
        <v>0</v>
      </c>
      <c r="N3922" s="3565">
        <v>0</v>
      </c>
      <c r="O3922" s="3563" t="s">
        <v>3453</v>
      </c>
    </row>
    <row r="3923" spans="1:15">
      <c r="A3923" s="3563" t="s">
        <v>8145</v>
      </c>
      <c r="B3923" s="3563" t="s">
        <v>4196</v>
      </c>
      <c r="C3923" s="3563" t="s">
        <v>4197</v>
      </c>
      <c r="D3923" s="3563" t="s">
        <v>6429</v>
      </c>
      <c r="E3923" s="3563" t="s">
        <v>6294</v>
      </c>
      <c r="F3923" s="3563" t="s">
        <v>4797</v>
      </c>
      <c r="G3923" s="3564">
        <v>78.44</v>
      </c>
      <c r="H3923" s="3564">
        <v>63.03</v>
      </c>
      <c r="I3923" s="3564">
        <v>15.41</v>
      </c>
      <c r="J3923" s="3565">
        <v>783191</v>
      </c>
      <c r="K3923" s="3565">
        <v>9984.59</v>
      </c>
      <c r="L3923" s="3565">
        <v>12425.69</v>
      </c>
      <c r="M3923" s="3565">
        <v>0</v>
      </c>
      <c r="N3923" s="3565">
        <v>0</v>
      </c>
      <c r="O3923" s="3563" t="s">
        <v>3453</v>
      </c>
    </row>
    <row r="3924" spans="1:15">
      <c r="A3924" s="3563" t="s">
        <v>8146</v>
      </c>
      <c r="B3924" s="3563" t="s">
        <v>4196</v>
      </c>
      <c r="C3924" s="3563" t="s">
        <v>4197</v>
      </c>
      <c r="D3924" s="3563" t="s">
        <v>6429</v>
      </c>
      <c r="E3924" s="3563" t="s">
        <v>6294</v>
      </c>
      <c r="F3924" s="3563" t="s">
        <v>4797</v>
      </c>
      <c r="G3924" s="3564">
        <v>78.44</v>
      </c>
      <c r="H3924" s="3564">
        <v>63.03</v>
      </c>
      <c r="I3924" s="3564">
        <v>15.41</v>
      </c>
      <c r="J3924" s="3565">
        <v>783191</v>
      </c>
      <c r="K3924" s="3565">
        <v>9984.59</v>
      </c>
      <c r="L3924" s="3565">
        <v>12425.69</v>
      </c>
      <c r="M3924" s="3565">
        <v>0</v>
      </c>
      <c r="N3924" s="3565">
        <v>0</v>
      </c>
      <c r="O3924" s="3563" t="s">
        <v>3453</v>
      </c>
    </row>
    <row r="3925" spans="1:15">
      <c r="A3925" s="3563" t="s">
        <v>8147</v>
      </c>
      <c r="B3925" s="3563" t="s">
        <v>4196</v>
      </c>
      <c r="C3925" s="3563" t="s">
        <v>4197</v>
      </c>
      <c r="D3925" s="3563" t="s">
        <v>6429</v>
      </c>
      <c r="E3925" s="3563" t="s">
        <v>6294</v>
      </c>
      <c r="F3925" s="3563" t="s">
        <v>4797</v>
      </c>
      <c r="G3925" s="3564">
        <v>110.06</v>
      </c>
      <c r="H3925" s="3564">
        <v>88.44</v>
      </c>
      <c r="I3925" s="3564">
        <v>21.62</v>
      </c>
      <c r="J3925" s="3565">
        <v>1151591</v>
      </c>
      <c r="K3925" s="3565">
        <v>10463.299999999999</v>
      </c>
      <c r="L3925" s="3565">
        <v>13021.16</v>
      </c>
      <c r="M3925" s="3565">
        <v>0</v>
      </c>
      <c r="N3925" s="3565">
        <v>0</v>
      </c>
      <c r="O3925" s="3563" t="s">
        <v>3453</v>
      </c>
    </row>
    <row r="3926" spans="1:15">
      <c r="A3926" s="3563" t="s">
        <v>8148</v>
      </c>
      <c r="B3926" s="3563" t="s">
        <v>4196</v>
      </c>
      <c r="C3926" s="3563" t="s">
        <v>4197</v>
      </c>
      <c r="D3926" s="3563" t="s">
        <v>6429</v>
      </c>
      <c r="E3926" s="3563" t="s">
        <v>6294</v>
      </c>
      <c r="F3926" s="3563" t="s">
        <v>4797</v>
      </c>
      <c r="G3926" s="3564">
        <v>101.72</v>
      </c>
      <c r="H3926" s="3564">
        <v>81.739999999999995</v>
      </c>
      <c r="I3926" s="3564">
        <v>19.98</v>
      </c>
      <c r="J3926" s="3565">
        <v>1043766</v>
      </c>
      <c r="K3926" s="3565">
        <v>10261.17</v>
      </c>
      <c r="L3926" s="3565">
        <v>12769.34</v>
      </c>
      <c r="M3926" s="3565">
        <v>0</v>
      </c>
      <c r="N3926" s="3565">
        <v>0</v>
      </c>
      <c r="O3926" s="3563" t="s">
        <v>3453</v>
      </c>
    </row>
    <row r="3927" spans="1:15">
      <c r="A3927" s="3563" t="s">
        <v>8149</v>
      </c>
      <c r="B3927" s="3563" t="s">
        <v>4196</v>
      </c>
      <c r="C3927" s="3563" t="s">
        <v>4197</v>
      </c>
      <c r="D3927" s="3563" t="s">
        <v>6429</v>
      </c>
      <c r="E3927" s="3563" t="s">
        <v>6294</v>
      </c>
      <c r="F3927" s="3563" t="s">
        <v>4797</v>
      </c>
      <c r="G3927" s="3564">
        <v>101.72</v>
      </c>
      <c r="H3927" s="3564">
        <v>81.739999999999995</v>
      </c>
      <c r="I3927" s="3564">
        <v>19.98</v>
      </c>
      <c r="J3927" s="3565">
        <v>1043766</v>
      </c>
      <c r="K3927" s="3565">
        <v>10261.17</v>
      </c>
      <c r="L3927" s="3565">
        <v>12769.34</v>
      </c>
      <c r="M3927" s="3565">
        <v>0</v>
      </c>
      <c r="N3927" s="3565">
        <v>0</v>
      </c>
      <c r="O3927" s="3563" t="s">
        <v>3453</v>
      </c>
    </row>
    <row r="3928" spans="1:15">
      <c r="A3928" s="3563" t="s">
        <v>8150</v>
      </c>
      <c r="B3928" s="3563" t="s">
        <v>4196</v>
      </c>
      <c r="C3928" s="3563" t="s">
        <v>4197</v>
      </c>
      <c r="D3928" s="3563" t="s">
        <v>6429</v>
      </c>
      <c r="E3928" s="3563" t="s">
        <v>6294</v>
      </c>
      <c r="F3928" s="3563" t="s">
        <v>4797</v>
      </c>
      <c r="G3928" s="3564">
        <v>90.57</v>
      </c>
      <c r="H3928" s="3564">
        <v>72.78</v>
      </c>
      <c r="I3928" s="3564">
        <v>17.79</v>
      </c>
      <c r="J3928" s="3565">
        <v>905266</v>
      </c>
      <c r="K3928" s="3565">
        <v>9995.2099999999991</v>
      </c>
      <c r="L3928" s="3565">
        <v>12438.39</v>
      </c>
      <c r="M3928" s="3565">
        <v>0</v>
      </c>
      <c r="N3928" s="3565">
        <v>0</v>
      </c>
      <c r="O3928" s="3563" t="s">
        <v>3453</v>
      </c>
    </row>
    <row r="3929" spans="1:15">
      <c r="A3929" s="3563" t="s">
        <v>8151</v>
      </c>
      <c r="B3929" s="3563" t="s">
        <v>4196</v>
      </c>
      <c r="C3929" s="3563" t="s">
        <v>4197</v>
      </c>
      <c r="D3929" s="3563" t="s">
        <v>6429</v>
      </c>
      <c r="E3929" s="3563" t="s">
        <v>6294</v>
      </c>
      <c r="F3929" s="3563" t="s">
        <v>4797</v>
      </c>
      <c r="G3929" s="3564">
        <v>78.44</v>
      </c>
      <c r="H3929" s="3564">
        <v>63.03</v>
      </c>
      <c r="I3929" s="3564">
        <v>15.41</v>
      </c>
      <c r="J3929" s="3565">
        <v>775680</v>
      </c>
      <c r="K3929" s="3565">
        <v>9888.83</v>
      </c>
      <c r="L3929" s="3565">
        <v>12306.52</v>
      </c>
      <c r="M3929" s="3565">
        <v>0</v>
      </c>
      <c r="N3929" s="3565">
        <v>0</v>
      </c>
      <c r="O3929" s="3563" t="s">
        <v>3453</v>
      </c>
    </row>
    <row r="3930" spans="1:15">
      <c r="A3930" s="3563" t="s">
        <v>8152</v>
      </c>
      <c r="B3930" s="3563" t="s">
        <v>4196</v>
      </c>
      <c r="C3930" s="3563" t="s">
        <v>4197</v>
      </c>
      <c r="D3930" s="3563" t="s">
        <v>6429</v>
      </c>
      <c r="E3930" s="3563" t="s">
        <v>6294</v>
      </c>
      <c r="F3930" s="3563" t="s">
        <v>4797</v>
      </c>
      <c r="G3930" s="3564">
        <v>78.44</v>
      </c>
      <c r="H3930" s="3564">
        <v>63.03</v>
      </c>
      <c r="I3930" s="3564">
        <v>15.41</v>
      </c>
      <c r="J3930" s="3565">
        <v>775680</v>
      </c>
      <c r="K3930" s="3565">
        <v>9888.83</v>
      </c>
      <c r="L3930" s="3565">
        <v>12306.52</v>
      </c>
      <c r="M3930" s="3565">
        <v>0</v>
      </c>
      <c r="N3930" s="3565">
        <v>0</v>
      </c>
      <c r="O3930" s="3563" t="s">
        <v>3453</v>
      </c>
    </row>
    <row r="3931" spans="1:15">
      <c r="A3931" s="3563" t="s">
        <v>8153</v>
      </c>
      <c r="B3931" s="3563" t="s">
        <v>4196</v>
      </c>
      <c r="C3931" s="3563" t="s">
        <v>4197</v>
      </c>
      <c r="D3931" s="3563" t="s">
        <v>6429</v>
      </c>
      <c r="E3931" s="3563" t="s">
        <v>6294</v>
      </c>
      <c r="F3931" s="3563" t="s">
        <v>4797</v>
      </c>
      <c r="G3931" s="3564">
        <v>110.06</v>
      </c>
      <c r="H3931" s="3564">
        <v>88.44</v>
      </c>
      <c r="I3931" s="3564">
        <v>21.62</v>
      </c>
      <c r="J3931" s="3565">
        <v>1141054</v>
      </c>
      <c r="K3931" s="3565">
        <v>10367.56</v>
      </c>
      <c r="L3931" s="3565">
        <v>12902.01</v>
      </c>
      <c r="M3931" s="3565">
        <v>0</v>
      </c>
      <c r="N3931" s="3565">
        <v>0</v>
      </c>
      <c r="O3931" s="3563" t="s">
        <v>3453</v>
      </c>
    </row>
    <row r="3932" spans="1:15">
      <c r="A3932" s="3563" t="s">
        <v>8154</v>
      </c>
      <c r="B3932" s="3563" t="s">
        <v>4196</v>
      </c>
      <c r="C3932" s="3563" t="s">
        <v>4197</v>
      </c>
      <c r="D3932" s="3563" t="s">
        <v>6429</v>
      </c>
      <c r="E3932" s="3563" t="s">
        <v>6294</v>
      </c>
      <c r="F3932" s="3563" t="s">
        <v>4797</v>
      </c>
      <c r="G3932" s="3564">
        <v>101.72</v>
      </c>
      <c r="H3932" s="3564">
        <v>81.739999999999995</v>
      </c>
      <c r="I3932" s="3564">
        <v>19.98</v>
      </c>
      <c r="J3932" s="3565">
        <v>1055670</v>
      </c>
      <c r="K3932" s="3565">
        <v>10378.200000000001</v>
      </c>
      <c r="L3932" s="3565">
        <v>12914.97</v>
      </c>
      <c r="M3932" s="3565">
        <v>0</v>
      </c>
      <c r="N3932" s="3565">
        <v>0</v>
      </c>
      <c r="O3932" s="3563" t="s">
        <v>3453</v>
      </c>
    </row>
    <row r="3933" spans="1:15">
      <c r="A3933" s="3563" t="s">
        <v>8155</v>
      </c>
      <c r="B3933" s="3563" t="s">
        <v>4196</v>
      </c>
      <c r="C3933" s="3563" t="s">
        <v>4197</v>
      </c>
      <c r="D3933" s="3563" t="s">
        <v>6429</v>
      </c>
      <c r="E3933" s="3563" t="s">
        <v>6294</v>
      </c>
      <c r="F3933" s="3563" t="s">
        <v>4797</v>
      </c>
      <c r="G3933" s="3564">
        <v>101.72</v>
      </c>
      <c r="H3933" s="3564">
        <v>81.739999999999995</v>
      </c>
      <c r="I3933" s="3564">
        <v>19.98</v>
      </c>
      <c r="J3933" s="3565">
        <v>1055670</v>
      </c>
      <c r="K3933" s="3565">
        <v>10378.200000000001</v>
      </c>
      <c r="L3933" s="3565">
        <v>12914.97</v>
      </c>
      <c r="M3933" s="3565">
        <v>0</v>
      </c>
      <c r="N3933" s="3565">
        <v>0</v>
      </c>
      <c r="O3933" s="3563" t="s">
        <v>3453</v>
      </c>
    </row>
    <row r="3934" spans="1:15">
      <c r="A3934" s="3563" t="s">
        <v>8156</v>
      </c>
      <c r="B3934" s="3563" t="s">
        <v>4196</v>
      </c>
      <c r="C3934" s="3563" t="s">
        <v>4197</v>
      </c>
      <c r="D3934" s="3563" t="s">
        <v>6429</v>
      </c>
      <c r="E3934" s="3563" t="s">
        <v>6294</v>
      </c>
      <c r="F3934" s="3563" t="s">
        <v>4797</v>
      </c>
      <c r="G3934" s="3564">
        <v>90.57</v>
      </c>
      <c r="H3934" s="3564">
        <v>72.78</v>
      </c>
      <c r="I3934" s="3564">
        <v>17.79</v>
      </c>
      <c r="J3934" s="3565">
        <v>915865</v>
      </c>
      <c r="K3934" s="3565">
        <v>10112.23</v>
      </c>
      <c r="L3934" s="3565">
        <v>12584.02</v>
      </c>
      <c r="M3934" s="3565">
        <v>0</v>
      </c>
      <c r="N3934" s="3565">
        <v>0</v>
      </c>
      <c r="O3934" s="3563" t="s">
        <v>3453</v>
      </c>
    </row>
    <row r="3935" spans="1:15">
      <c r="A3935" s="3563" t="s">
        <v>8157</v>
      </c>
      <c r="B3935" s="3563" t="s">
        <v>4196</v>
      </c>
      <c r="C3935" s="3563" t="s">
        <v>4197</v>
      </c>
      <c r="D3935" s="3563" t="s">
        <v>6429</v>
      </c>
      <c r="E3935" s="3563" t="s">
        <v>6294</v>
      </c>
      <c r="F3935" s="3563" t="s">
        <v>4797</v>
      </c>
      <c r="G3935" s="3564">
        <v>78.44</v>
      </c>
      <c r="H3935" s="3564">
        <v>63.03</v>
      </c>
      <c r="I3935" s="3564">
        <v>15.41</v>
      </c>
      <c r="J3935" s="3565">
        <v>784859</v>
      </c>
      <c r="K3935" s="3565">
        <v>10005.85</v>
      </c>
      <c r="L3935" s="3565">
        <v>12452.15</v>
      </c>
      <c r="M3935" s="3565">
        <v>0</v>
      </c>
      <c r="N3935" s="3565">
        <v>0</v>
      </c>
      <c r="O3935" s="3563" t="s">
        <v>3453</v>
      </c>
    </row>
    <row r="3936" spans="1:15">
      <c r="A3936" s="3563" t="s">
        <v>8158</v>
      </c>
      <c r="B3936" s="3563" t="s">
        <v>4196</v>
      </c>
      <c r="C3936" s="3563" t="s">
        <v>4197</v>
      </c>
      <c r="D3936" s="3563" t="s">
        <v>6429</v>
      </c>
      <c r="E3936" s="3563" t="s">
        <v>6294</v>
      </c>
      <c r="F3936" s="3563" t="s">
        <v>4797</v>
      </c>
      <c r="G3936" s="3564">
        <v>78.44</v>
      </c>
      <c r="H3936" s="3564">
        <v>63.03</v>
      </c>
      <c r="I3936" s="3564">
        <v>15.41</v>
      </c>
      <c r="J3936" s="3565">
        <v>784859</v>
      </c>
      <c r="K3936" s="3565">
        <v>10005.85</v>
      </c>
      <c r="L3936" s="3565">
        <v>12452.15</v>
      </c>
      <c r="M3936" s="3565">
        <v>0</v>
      </c>
      <c r="N3936" s="3565">
        <v>0</v>
      </c>
      <c r="O3936" s="3563" t="s">
        <v>3453</v>
      </c>
    </row>
    <row r="3937" spans="1:15">
      <c r="A3937" s="3563" t="s">
        <v>8159</v>
      </c>
      <c r="B3937" s="3563" t="s">
        <v>4196</v>
      </c>
      <c r="C3937" s="3563" t="s">
        <v>4197</v>
      </c>
      <c r="D3937" s="3563" t="s">
        <v>6429</v>
      </c>
      <c r="E3937" s="3563" t="s">
        <v>6294</v>
      </c>
      <c r="F3937" s="3563" t="s">
        <v>4797</v>
      </c>
      <c r="G3937" s="3564">
        <v>110.06</v>
      </c>
      <c r="H3937" s="3564">
        <v>88.44</v>
      </c>
      <c r="I3937" s="3564">
        <v>21.62</v>
      </c>
      <c r="J3937" s="3565">
        <v>1153932</v>
      </c>
      <c r="K3937" s="3565">
        <v>10484.57</v>
      </c>
      <c r="L3937" s="3565">
        <v>13047.63</v>
      </c>
      <c r="M3937" s="3565">
        <v>0</v>
      </c>
      <c r="N3937" s="3565">
        <v>0</v>
      </c>
      <c r="O3937" s="3563" t="s">
        <v>3453</v>
      </c>
    </row>
    <row r="3938" spans="1:15">
      <c r="A3938" s="3563" t="s">
        <v>8160</v>
      </c>
      <c r="B3938" s="3563" t="s">
        <v>3453</v>
      </c>
      <c r="C3938" s="3563" t="s">
        <v>4197</v>
      </c>
      <c r="D3938" s="3563" t="s">
        <v>6429</v>
      </c>
      <c r="E3938" s="3563" t="s">
        <v>6294</v>
      </c>
      <c r="F3938" s="3563" t="s">
        <v>4797</v>
      </c>
      <c r="G3938" s="3564">
        <v>101.72</v>
      </c>
      <c r="H3938" s="3564">
        <v>81.739999999999995</v>
      </c>
      <c r="I3938" s="3564">
        <v>19.98</v>
      </c>
      <c r="J3938" s="3565">
        <v>1054588</v>
      </c>
      <c r="K3938" s="3565">
        <v>10367.56</v>
      </c>
      <c r="L3938" s="3565">
        <v>12901.74</v>
      </c>
      <c r="M3938" s="3565">
        <v>0</v>
      </c>
      <c r="N3938" s="3565">
        <v>0</v>
      </c>
      <c r="O3938" s="3563" t="s">
        <v>3453</v>
      </c>
    </row>
    <row r="3939" spans="1:15">
      <c r="A3939" s="3563" t="s">
        <v>8161</v>
      </c>
      <c r="B3939" s="3563" t="s">
        <v>3453</v>
      </c>
      <c r="C3939" s="3563" t="s">
        <v>4197</v>
      </c>
      <c r="D3939" s="3563" t="s">
        <v>6429</v>
      </c>
      <c r="E3939" s="3563" t="s">
        <v>6294</v>
      </c>
      <c r="F3939" s="3563" t="s">
        <v>4797</v>
      </c>
      <c r="G3939" s="3564">
        <v>101.72</v>
      </c>
      <c r="H3939" s="3564">
        <v>81.739999999999995</v>
      </c>
      <c r="I3939" s="3564">
        <v>19.98</v>
      </c>
      <c r="J3939" s="3565">
        <v>1054588</v>
      </c>
      <c r="K3939" s="3565">
        <v>10367.56</v>
      </c>
      <c r="L3939" s="3565">
        <v>12901.74</v>
      </c>
      <c r="M3939" s="3565">
        <v>0</v>
      </c>
      <c r="N3939" s="3565">
        <v>0</v>
      </c>
      <c r="O3939" s="3563" t="s">
        <v>3453</v>
      </c>
    </row>
    <row r="3940" spans="1:15">
      <c r="A3940" s="3563" t="s">
        <v>8162</v>
      </c>
      <c r="B3940" s="3563" t="s">
        <v>4196</v>
      </c>
      <c r="C3940" s="3563" t="s">
        <v>4197</v>
      </c>
      <c r="D3940" s="3563" t="s">
        <v>6429</v>
      </c>
      <c r="E3940" s="3563" t="s">
        <v>6294</v>
      </c>
      <c r="F3940" s="3563" t="s">
        <v>4797</v>
      </c>
      <c r="G3940" s="3564">
        <v>90.57</v>
      </c>
      <c r="H3940" s="3564">
        <v>72.78</v>
      </c>
      <c r="I3940" s="3564">
        <v>17.79</v>
      </c>
      <c r="J3940" s="3565">
        <v>914902</v>
      </c>
      <c r="K3940" s="3565">
        <v>10101.6</v>
      </c>
      <c r="L3940" s="3565">
        <v>12570.79</v>
      </c>
      <c r="M3940" s="3565">
        <v>0</v>
      </c>
      <c r="N3940" s="3565">
        <v>0</v>
      </c>
      <c r="O3940" s="3563" t="s">
        <v>3453</v>
      </c>
    </row>
    <row r="3941" spans="1:15">
      <c r="A3941" s="3563" t="s">
        <v>8163</v>
      </c>
      <c r="B3941" s="3563" t="s">
        <v>4196</v>
      </c>
      <c r="C3941" s="3563" t="s">
        <v>4197</v>
      </c>
      <c r="D3941" s="3563" t="s">
        <v>6429</v>
      </c>
      <c r="E3941" s="3563" t="s">
        <v>6294</v>
      </c>
      <c r="F3941" s="3563" t="s">
        <v>4797</v>
      </c>
      <c r="G3941" s="3564">
        <v>78.44</v>
      </c>
      <c r="H3941" s="3564">
        <v>63.03</v>
      </c>
      <c r="I3941" s="3564">
        <v>15.41</v>
      </c>
      <c r="J3941" s="3565">
        <v>784025</v>
      </c>
      <c r="K3941" s="3565">
        <v>9995.2199999999993</v>
      </c>
      <c r="L3941" s="3565">
        <v>12438.92</v>
      </c>
      <c r="M3941" s="3565">
        <v>0</v>
      </c>
      <c r="N3941" s="3565">
        <v>0</v>
      </c>
      <c r="O3941" s="3563" t="s">
        <v>3453</v>
      </c>
    </row>
    <row r="3942" spans="1:15">
      <c r="A3942" s="3563" t="s">
        <v>8164</v>
      </c>
      <c r="B3942" s="3563" t="s">
        <v>4196</v>
      </c>
      <c r="C3942" s="3563" t="s">
        <v>4197</v>
      </c>
      <c r="D3942" s="3563" t="s">
        <v>6429</v>
      </c>
      <c r="E3942" s="3563" t="s">
        <v>6294</v>
      </c>
      <c r="F3942" s="3563" t="s">
        <v>4797</v>
      </c>
      <c r="G3942" s="3564">
        <v>78.44</v>
      </c>
      <c r="H3942" s="3564">
        <v>63.03</v>
      </c>
      <c r="I3942" s="3564">
        <v>15.41</v>
      </c>
      <c r="J3942" s="3565">
        <v>784025</v>
      </c>
      <c r="K3942" s="3565">
        <v>9995.2199999999993</v>
      </c>
      <c r="L3942" s="3565">
        <v>12438.92</v>
      </c>
      <c r="M3942" s="3565">
        <v>0</v>
      </c>
      <c r="N3942" s="3565">
        <v>0</v>
      </c>
      <c r="O3942" s="3563" t="s">
        <v>3453</v>
      </c>
    </row>
    <row r="3943" spans="1:15">
      <c r="A3943" s="3563" t="s">
        <v>8165</v>
      </c>
      <c r="B3943" s="3563" t="s">
        <v>4196</v>
      </c>
      <c r="C3943" s="3563" t="s">
        <v>4197</v>
      </c>
      <c r="D3943" s="3563" t="s">
        <v>6429</v>
      </c>
      <c r="E3943" s="3563" t="s">
        <v>6294</v>
      </c>
      <c r="F3943" s="3563" t="s">
        <v>4797</v>
      </c>
      <c r="G3943" s="3564">
        <v>110.06</v>
      </c>
      <c r="H3943" s="3564">
        <v>88.44</v>
      </c>
      <c r="I3943" s="3564">
        <v>21.62</v>
      </c>
      <c r="J3943" s="3565">
        <v>1152762</v>
      </c>
      <c r="K3943" s="3565">
        <v>10473.94</v>
      </c>
      <c r="L3943" s="3565">
        <v>13034.4</v>
      </c>
      <c r="M3943" s="3565">
        <v>0</v>
      </c>
      <c r="N3943" s="3565">
        <v>0</v>
      </c>
      <c r="O3943" s="3563" t="s">
        <v>3453</v>
      </c>
    </row>
    <row r="3944" spans="1:15">
      <c r="A3944" s="3563" t="s">
        <v>8166</v>
      </c>
      <c r="B3944" s="3563" t="s">
        <v>4196</v>
      </c>
      <c r="C3944" s="3563" t="s">
        <v>4197</v>
      </c>
      <c r="D3944" s="3563" t="s">
        <v>6429</v>
      </c>
      <c r="E3944" s="3563" t="s">
        <v>6294</v>
      </c>
      <c r="F3944" s="3563" t="s">
        <v>4797</v>
      </c>
      <c r="G3944" s="3564">
        <v>101.72</v>
      </c>
      <c r="H3944" s="3564">
        <v>81.739999999999995</v>
      </c>
      <c r="I3944" s="3564">
        <v>19.98</v>
      </c>
      <c r="J3944" s="3565">
        <v>1053506</v>
      </c>
      <c r="K3944" s="3565">
        <v>10356.92</v>
      </c>
      <c r="L3944" s="3565">
        <v>12888.5</v>
      </c>
      <c r="M3944" s="3565">
        <v>0</v>
      </c>
      <c r="N3944" s="3565">
        <v>0</v>
      </c>
      <c r="O3944" s="3563" t="s">
        <v>3453</v>
      </c>
    </row>
    <row r="3945" spans="1:15">
      <c r="A3945" s="3563" t="s">
        <v>8167</v>
      </c>
      <c r="B3945" s="3563" t="s">
        <v>4196</v>
      </c>
      <c r="C3945" s="3563" t="s">
        <v>4197</v>
      </c>
      <c r="D3945" s="3563" t="s">
        <v>6429</v>
      </c>
      <c r="E3945" s="3563" t="s">
        <v>6294</v>
      </c>
      <c r="F3945" s="3563" t="s">
        <v>4797</v>
      </c>
      <c r="G3945" s="3564">
        <v>101.72</v>
      </c>
      <c r="H3945" s="3564">
        <v>81.739999999999995</v>
      </c>
      <c r="I3945" s="3564">
        <v>19.98</v>
      </c>
      <c r="J3945" s="3565">
        <v>1053506</v>
      </c>
      <c r="K3945" s="3565">
        <v>10356.92</v>
      </c>
      <c r="L3945" s="3565">
        <v>12888.5</v>
      </c>
      <c r="M3945" s="3565">
        <v>0</v>
      </c>
      <c r="N3945" s="3565">
        <v>0</v>
      </c>
      <c r="O3945" s="3563" t="s">
        <v>3453</v>
      </c>
    </row>
    <row r="3946" spans="1:15">
      <c r="A3946" s="3563" t="s">
        <v>8168</v>
      </c>
      <c r="B3946" s="3563" t="s">
        <v>4196</v>
      </c>
      <c r="C3946" s="3563" t="s">
        <v>4197</v>
      </c>
      <c r="D3946" s="3563" t="s">
        <v>6429</v>
      </c>
      <c r="E3946" s="3563" t="s">
        <v>6294</v>
      </c>
      <c r="F3946" s="3563" t="s">
        <v>4797</v>
      </c>
      <c r="G3946" s="3564">
        <v>90.57</v>
      </c>
      <c r="H3946" s="3564">
        <v>72.78</v>
      </c>
      <c r="I3946" s="3564">
        <v>17.79</v>
      </c>
      <c r="J3946" s="3565">
        <v>913939</v>
      </c>
      <c r="K3946" s="3565">
        <v>10090.969999999999</v>
      </c>
      <c r="L3946" s="3565">
        <v>12557.56</v>
      </c>
      <c r="M3946" s="3565">
        <v>0</v>
      </c>
      <c r="N3946" s="3565">
        <v>0</v>
      </c>
      <c r="O3946" s="3563" t="s">
        <v>3453</v>
      </c>
    </row>
    <row r="3947" spans="1:15">
      <c r="A3947" s="3563" t="s">
        <v>8169</v>
      </c>
      <c r="B3947" s="3563" t="s">
        <v>4196</v>
      </c>
      <c r="C3947" s="3563" t="s">
        <v>4197</v>
      </c>
      <c r="D3947" s="3563" t="s">
        <v>6429</v>
      </c>
      <c r="E3947" s="3563" t="s">
        <v>6294</v>
      </c>
      <c r="F3947" s="3563" t="s">
        <v>4797</v>
      </c>
      <c r="G3947" s="3564">
        <v>78.44</v>
      </c>
      <c r="H3947" s="3564">
        <v>63.03</v>
      </c>
      <c r="I3947" s="3564">
        <v>15.41</v>
      </c>
      <c r="J3947" s="3565">
        <v>783191</v>
      </c>
      <c r="K3947" s="3565">
        <v>9984.59</v>
      </c>
      <c r="L3947" s="3565">
        <v>12425.69</v>
      </c>
      <c r="M3947" s="3565">
        <v>0</v>
      </c>
      <c r="N3947" s="3565">
        <v>0</v>
      </c>
      <c r="O3947" s="3563" t="s">
        <v>3453</v>
      </c>
    </row>
    <row r="3948" spans="1:15">
      <c r="A3948" s="3563" t="s">
        <v>8170</v>
      </c>
      <c r="B3948" s="3563" t="s">
        <v>4196</v>
      </c>
      <c r="C3948" s="3563" t="s">
        <v>4197</v>
      </c>
      <c r="D3948" s="3563" t="s">
        <v>6429</v>
      </c>
      <c r="E3948" s="3563" t="s">
        <v>6294</v>
      </c>
      <c r="F3948" s="3563" t="s">
        <v>4797</v>
      </c>
      <c r="G3948" s="3564">
        <v>78.44</v>
      </c>
      <c r="H3948" s="3564">
        <v>63.03</v>
      </c>
      <c r="I3948" s="3564">
        <v>15.41</v>
      </c>
      <c r="J3948" s="3565">
        <v>783191</v>
      </c>
      <c r="K3948" s="3565">
        <v>9984.59</v>
      </c>
      <c r="L3948" s="3565">
        <v>12425.69</v>
      </c>
      <c r="M3948" s="3565">
        <v>0</v>
      </c>
      <c r="N3948" s="3565">
        <v>0</v>
      </c>
      <c r="O3948" s="3563" t="s">
        <v>3453</v>
      </c>
    </row>
    <row r="3949" spans="1:15">
      <c r="A3949" s="3563" t="s">
        <v>8171</v>
      </c>
      <c r="B3949" s="3563" t="s">
        <v>4196</v>
      </c>
      <c r="C3949" s="3563" t="s">
        <v>4197</v>
      </c>
      <c r="D3949" s="3563" t="s">
        <v>6429</v>
      </c>
      <c r="E3949" s="3563" t="s">
        <v>6294</v>
      </c>
      <c r="F3949" s="3563" t="s">
        <v>4797</v>
      </c>
      <c r="G3949" s="3564">
        <v>110.06</v>
      </c>
      <c r="H3949" s="3564">
        <v>88.44</v>
      </c>
      <c r="I3949" s="3564">
        <v>21.62</v>
      </c>
      <c r="J3949" s="3565">
        <v>1151591</v>
      </c>
      <c r="K3949" s="3565">
        <v>10463.299999999999</v>
      </c>
      <c r="L3949" s="3565">
        <v>13021.16</v>
      </c>
      <c r="M3949" s="3565">
        <v>0</v>
      </c>
      <c r="N3949" s="3565">
        <v>0</v>
      </c>
      <c r="O3949" s="3563" t="s">
        <v>3453</v>
      </c>
    </row>
    <row r="3950" spans="1:15">
      <c r="A3950" s="3563" t="s">
        <v>8172</v>
      </c>
      <c r="B3950" s="3563" t="s">
        <v>4196</v>
      </c>
      <c r="C3950" s="3563" t="s">
        <v>4197</v>
      </c>
      <c r="D3950" s="3563" t="s">
        <v>6429</v>
      </c>
      <c r="E3950" s="3563" t="s">
        <v>6294</v>
      </c>
      <c r="F3950" s="3563" t="s">
        <v>4797</v>
      </c>
      <c r="G3950" s="3564">
        <v>101.72</v>
      </c>
      <c r="H3950" s="3564">
        <v>81.739999999999995</v>
      </c>
      <c r="I3950" s="3564">
        <v>19.98</v>
      </c>
      <c r="J3950" s="3565">
        <v>1063245</v>
      </c>
      <c r="K3950" s="3565">
        <v>10452.66</v>
      </c>
      <c r="L3950" s="3565">
        <v>13007.65</v>
      </c>
      <c r="M3950" s="3565">
        <v>0</v>
      </c>
      <c r="N3950" s="3565">
        <v>0</v>
      </c>
      <c r="O3950" s="3563" t="s">
        <v>3453</v>
      </c>
    </row>
    <row r="3951" spans="1:15">
      <c r="A3951" s="3563" t="s">
        <v>8173</v>
      </c>
      <c r="B3951" s="3563" t="s">
        <v>4196</v>
      </c>
      <c r="C3951" s="3563" t="s">
        <v>4197</v>
      </c>
      <c r="D3951" s="3563" t="s">
        <v>6429</v>
      </c>
      <c r="E3951" s="3563" t="s">
        <v>6294</v>
      </c>
      <c r="F3951" s="3563" t="s">
        <v>4797</v>
      </c>
      <c r="G3951" s="3564">
        <v>101.72</v>
      </c>
      <c r="H3951" s="3564">
        <v>81.739999999999995</v>
      </c>
      <c r="I3951" s="3564">
        <v>19.98</v>
      </c>
      <c r="J3951" s="3565">
        <v>1063245</v>
      </c>
      <c r="K3951" s="3565">
        <v>10452.66</v>
      </c>
      <c r="L3951" s="3565">
        <v>13007.65</v>
      </c>
      <c r="M3951" s="3565">
        <v>0</v>
      </c>
      <c r="N3951" s="3565">
        <v>0</v>
      </c>
      <c r="O3951" s="3563" t="s">
        <v>3453</v>
      </c>
    </row>
    <row r="3952" spans="1:15">
      <c r="A3952" s="3563" t="s">
        <v>8174</v>
      </c>
      <c r="B3952" s="3563" t="s">
        <v>4196</v>
      </c>
      <c r="C3952" s="3563" t="s">
        <v>4197</v>
      </c>
      <c r="D3952" s="3563" t="s">
        <v>6429</v>
      </c>
      <c r="E3952" s="3563" t="s">
        <v>6294</v>
      </c>
      <c r="F3952" s="3563" t="s">
        <v>4797</v>
      </c>
      <c r="G3952" s="3564">
        <v>90.57</v>
      </c>
      <c r="H3952" s="3564">
        <v>72.78</v>
      </c>
      <c r="I3952" s="3564">
        <v>17.79</v>
      </c>
      <c r="J3952" s="3565">
        <v>903340</v>
      </c>
      <c r="K3952" s="3565">
        <v>9973.94</v>
      </c>
      <c r="L3952" s="3565">
        <v>12411.93</v>
      </c>
      <c r="M3952" s="3565">
        <v>0</v>
      </c>
      <c r="N3952" s="3565">
        <v>0</v>
      </c>
      <c r="O3952" s="3563" t="s">
        <v>3453</v>
      </c>
    </row>
    <row r="3953" spans="1:15">
      <c r="A3953" s="3563" t="s">
        <v>8175</v>
      </c>
      <c r="B3953" s="3563" t="s">
        <v>4196</v>
      </c>
      <c r="C3953" s="3563" t="s">
        <v>4197</v>
      </c>
      <c r="D3953" s="3563" t="s">
        <v>6429</v>
      </c>
      <c r="E3953" s="3563" t="s">
        <v>6294</v>
      </c>
      <c r="F3953" s="3563" t="s">
        <v>4797</v>
      </c>
      <c r="G3953" s="3564">
        <v>78.44</v>
      </c>
      <c r="H3953" s="3564">
        <v>63.03</v>
      </c>
      <c r="I3953" s="3564">
        <v>15.41</v>
      </c>
      <c r="J3953" s="3565">
        <v>774011</v>
      </c>
      <c r="K3953" s="3565">
        <v>9867.5499999999993</v>
      </c>
      <c r="L3953" s="3565">
        <v>12280.04</v>
      </c>
      <c r="M3953" s="3565">
        <v>0</v>
      </c>
      <c r="N3953" s="3565">
        <v>0</v>
      </c>
      <c r="O3953" s="3563" t="s">
        <v>3453</v>
      </c>
    </row>
    <row r="3954" spans="1:15">
      <c r="A3954" s="3563" t="s">
        <v>8176</v>
      </c>
      <c r="B3954" s="3563" t="s">
        <v>4196</v>
      </c>
      <c r="C3954" s="3563" t="s">
        <v>4197</v>
      </c>
      <c r="D3954" s="3563" t="s">
        <v>6429</v>
      </c>
      <c r="E3954" s="3563" t="s">
        <v>6294</v>
      </c>
      <c r="F3954" s="3563" t="s">
        <v>4797</v>
      </c>
      <c r="G3954" s="3564">
        <v>78.44</v>
      </c>
      <c r="H3954" s="3564">
        <v>63.03</v>
      </c>
      <c r="I3954" s="3564">
        <v>15.41</v>
      </c>
      <c r="J3954" s="3565">
        <v>774011</v>
      </c>
      <c r="K3954" s="3565">
        <v>9867.5499999999993</v>
      </c>
      <c r="L3954" s="3565">
        <v>12280.04</v>
      </c>
      <c r="M3954" s="3565">
        <v>0</v>
      </c>
      <c r="N3954" s="3565">
        <v>0</v>
      </c>
      <c r="O3954" s="3563" t="s">
        <v>3453</v>
      </c>
    </row>
    <row r="3955" spans="1:15">
      <c r="A3955" s="3563" t="s">
        <v>8177</v>
      </c>
      <c r="B3955" s="3563" t="s">
        <v>3453</v>
      </c>
      <c r="C3955" s="3563" t="s">
        <v>4197</v>
      </c>
      <c r="D3955" s="3563" t="s">
        <v>6429</v>
      </c>
      <c r="E3955" s="3563" t="s">
        <v>6294</v>
      </c>
      <c r="F3955" s="3563" t="s">
        <v>4797</v>
      </c>
      <c r="G3955" s="3564">
        <v>110.06</v>
      </c>
      <c r="H3955" s="3564">
        <v>88.44</v>
      </c>
      <c r="I3955" s="3564">
        <v>21.62</v>
      </c>
      <c r="J3955" s="3565">
        <v>1138712</v>
      </c>
      <c r="K3955" s="3565">
        <v>10346.280000000001</v>
      </c>
      <c r="L3955" s="3565">
        <v>12875.53</v>
      </c>
      <c r="M3955" s="3565">
        <v>0</v>
      </c>
      <c r="N3955" s="3565">
        <v>0</v>
      </c>
      <c r="O3955" s="3563" t="s">
        <v>3453</v>
      </c>
    </row>
    <row r="3956" spans="1:15">
      <c r="A3956" s="3563" t="s">
        <v>8178</v>
      </c>
      <c r="B3956" s="3563" t="s">
        <v>4196</v>
      </c>
      <c r="C3956" s="3563" t="s">
        <v>4197</v>
      </c>
      <c r="D3956" s="3563" t="s">
        <v>6429</v>
      </c>
      <c r="E3956" s="3563" t="s">
        <v>6294</v>
      </c>
      <c r="F3956" s="3563" t="s">
        <v>4797</v>
      </c>
      <c r="G3956" s="3564">
        <v>101.72</v>
      </c>
      <c r="H3956" s="3564">
        <v>81.739999999999995</v>
      </c>
      <c r="I3956" s="3564">
        <v>19.98</v>
      </c>
      <c r="J3956" s="3565">
        <v>1040521</v>
      </c>
      <c r="K3956" s="3565">
        <v>10229.27</v>
      </c>
      <c r="L3956" s="3565">
        <v>12729.64</v>
      </c>
      <c r="M3956" s="3565">
        <v>0</v>
      </c>
      <c r="N3956" s="3565">
        <v>0</v>
      </c>
      <c r="O3956" s="3563" t="s">
        <v>3453</v>
      </c>
    </row>
    <row r="3957" spans="1:15">
      <c r="A3957" s="3563" t="s">
        <v>8179</v>
      </c>
      <c r="B3957" s="3563" t="s">
        <v>4196</v>
      </c>
      <c r="C3957" s="3563" t="s">
        <v>4197</v>
      </c>
      <c r="D3957" s="3563" t="s">
        <v>6429</v>
      </c>
      <c r="E3957" s="3563" t="s">
        <v>6294</v>
      </c>
      <c r="F3957" s="3563" t="s">
        <v>4797</v>
      </c>
      <c r="G3957" s="3564">
        <v>101.72</v>
      </c>
      <c r="H3957" s="3564">
        <v>81.739999999999995</v>
      </c>
      <c r="I3957" s="3564">
        <v>19.98</v>
      </c>
      <c r="J3957" s="3565">
        <v>1040521</v>
      </c>
      <c r="K3957" s="3565">
        <v>10229.27</v>
      </c>
      <c r="L3957" s="3565">
        <v>12729.64</v>
      </c>
      <c r="M3957" s="3565">
        <v>0</v>
      </c>
      <c r="N3957" s="3565">
        <v>0</v>
      </c>
      <c r="O3957" s="3563" t="s">
        <v>3453</v>
      </c>
    </row>
    <row r="3958" spans="1:15">
      <c r="A3958" s="3563" t="s">
        <v>8180</v>
      </c>
      <c r="B3958" s="3563" t="s">
        <v>4196</v>
      </c>
      <c r="C3958" s="3563" t="s">
        <v>4197</v>
      </c>
      <c r="D3958" s="3563" t="s">
        <v>6429</v>
      </c>
      <c r="E3958" s="3563" t="s">
        <v>6294</v>
      </c>
      <c r="F3958" s="3563" t="s">
        <v>4797</v>
      </c>
      <c r="G3958" s="3564">
        <v>90.57</v>
      </c>
      <c r="H3958" s="3564">
        <v>72.78</v>
      </c>
      <c r="I3958" s="3564">
        <v>17.79</v>
      </c>
      <c r="J3958" s="3565">
        <v>883106</v>
      </c>
      <c r="K3958" s="3565">
        <v>9750.5400000000009</v>
      </c>
      <c r="L3958" s="3565">
        <v>12133.91</v>
      </c>
      <c r="M3958" s="3565">
        <v>0</v>
      </c>
      <c r="N3958" s="3565">
        <v>0</v>
      </c>
      <c r="O3958" s="3563" t="s">
        <v>3453</v>
      </c>
    </row>
    <row r="3959" spans="1:15">
      <c r="A3959" s="3563" t="s">
        <v>8181</v>
      </c>
      <c r="B3959" s="3563" t="s">
        <v>4196</v>
      </c>
      <c r="C3959" s="3563" t="s">
        <v>4197</v>
      </c>
      <c r="D3959" s="3563" t="s">
        <v>6429</v>
      </c>
      <c r="E3959" s="3563" t="s">
        <v>6294</v>
      </c>
      <c r="F3959" s="3563" t="s">
        <v>4797</v>
      </c>
      <c r="G3959" s="3564">
        <v>78.44</v>
      </c>
      <c r="H3959" s="3564">
        <v>63.03</v>
      </c>
      <c r="I3959" s="3564">
        <v>15.41</v>
      </c>
      <c r="J3959" s="3565">
        <v>773177</v>
      </c>
      <c r="K3959" s="3565">
        <v>9856.92</v>
      </c>
      <c r="L3959" s="3565">
        <v>12266.81</v>
      </c>
      <c r="M3959" s="3565">
        <v>0</v>
      </c>
      <c r="N3959" s="3565">
        <v>0</v>
      </c>
      <c r="O3959" s="3563" t="s">
        <v>3453</v>
      </c>
    </row>
    <row r="3960" spans="1:15">
      <c r="A3960" s="3563" t="s">
        <v>8182</v>
      </c>
      <c r="B3960" s="3563" t="s">
        <v>4196</v>
      </c>
      <c r="C3960" s="3563" t="s">
        <v>4197</v>
      </c>
      <c r="D3960" s="3563" t="s">
        <v>6429</v>
      </c>
      <c r="E3960" s="3563" t="s">
        <v>6294</v>
      </c>
      <c r="F3960" s="3563" t="s">
        <v>4797</v>
      </c>
      <c r="G3960" s="3564">
        <v>78.44</v>
      </c>
      <c r="H3960" s="3564">
        <v>63.03</v>
      </c>
      <c r="I3960" s="3564">
        <v>15.41</v>
      </c>
      <c r="J3960" s="3565">
        <v>773177</v>
      </c>
      <c r="K3960" s="3565">
        <v>9856.92</v>
      </c>
      <c r="L3960" s="3565">
        <v>12266.81</v>
      </c>
      <c r="M3960" s="3565">
        <v>0</v>
      </c>
      <c r="N3960" s="3565">
        <v>0</v>
      </c>
      <c r="O3960" s="3563" t="s">
        <v>3453</v>
      </c>
    </row>
    <row r="3961" spans="1:15">
      <c r="A3961" s="3563" t="s">
        <v>8183</v>
      </c>
      <c r="B3961" s="3563" t="s">
        <v>4196</v>
      </c>
      <c r="C3961" s="3563" t="s">
        <v>4197</v>
      </c>
      <c r="D3961" s="3563" t="s">
        <v>6429</v>
      </c>
      <c r="E3961" s="3563" t="s">
        <v>6294</v>
      </c>
      <c r="F3961" s="3563" t="s">
        <v>4797</v>
      </c>
      <c r="G3961" s="3564">
        <v>110.06</v>
      </c>
      <c r="H3961" s="3564">
        <v>88.44</v>
      </c>
      <c r="I3961" s="3564">
        <v>21.62</v>
      </c>
      <c r="J3961" s="3565">
        <v>1114124</v>
      </c>
      <c r="K3961" s="3565">
        <v>10122.879999999999</v>
      </c>
      <c r="L3961" s="3565">
        <v>12597.51</v>
      </c>
      <c r="M3961" s="3565">
        <v>0</v>
      </c>
      <c r="N3961" s="3565">
        <v>0</v>
      </c>
      <c r="O3961" s="3563" t="s">
        <v>3453</v>
      </c>
    </row>
    <row r="3962" spans="1:15">
      <c r="A3962" s="3563" t="s">
        <v>8184</v>
      </c>
      <c r="B3962" s="3563" t="s">
        <v>4196</v>
      </c>
      <c r="C3962" s="3563" t="s">
        <v>4197</v>
      </c>
      <c r="D3962" s="3563" t="s">
        <v>6429</v>
      </c>
      <c r="E3962" s="3563" t="s">
        <v>6294</v>
      </c>
      <c r="F3962" s="3563" t="s">
        <v>4797</v>
      </c>
      <c r="G3962" s="3564">
        <v>103.3</v>
      </c>
      <c r="H3962" s="3564">
        <v>81.739999999999995</v>
      </c>
      <c r="I3962" s="3564">
        <v>21.56</v>
      </c>
      <c r="J3962" s="3565">
        <v>1021516</v>
      </c>
      <c r="K3962" s="3565">
        <v>9888.83</v>
      </c>
      <c r="L3962" s="3565">
        <v>12497.14</v>
      </c>
      <c r="M3962" s="3565">
        <v>0</v>
      </c>
      <c r="N3962" s="3565">
        <v>0</v>
      </c>
      <c r="O3962" s="3563" t="s">
        <v>3453</v>
      </c>
    </row>
    <row r="3963" spans="1:15">
      <c r="A3963" s="3563" t="s">
        <v>8185</v>
      </c>
      <c r="B3963" s="3563" t="s">
        <v>4196</v>
      </c>
      <c r="C3963" s="3563" t="s">
        <v>4197</v>
      </c>
      <c r="D3963" s="3563" t="s">
        <v>6429</v>
      </c>
      <c r="E3963" s="3563" t="s">
        <v>6294</v>
      </c>
      <c r="F3963" s="3563" t="s">
        <v>4797</v>
      </c>
      <c r="G3963" s="3564">
        <v>103.3</v>
      </c>
      <c r="H3963" s="3564">
        <v>81.739999999999995</v>
      </c>
      <c r="I3963" s="3564">
        <v>21.56</v>
      </c>
      <c r="J3963" s="3565">
        <v>1021516</v>
      </c>
      <c r="K3963" s="3565">
        <v>9888.83</v>
      </c>
      <c r="L3963" s="3565">
        <v>12497.14</v>
      </c>
      <c r="M3963" s="3565">
        <v>0</v>
      </c>
      <c r="N3963" s="3565">
        <v>0</v>
      </c>
      <c r="O3963" s="3563" t="s">
        <v>3453</v>
      </c>
    </row>
    <row r="3964" spans="1:15">
      <c r="A3964" s="3563" t="s">
        <v>8186</v>
      </c>
      <c r="B3964" s="3563" t="s">
        <v>4196</v>
      </c>
      <c r="C3964" s="3563" t="s">
        <v>4197</v>
      </c>
      <c r="D3964" s="3563" t="s">
        <v>6429</v>
      </c>
      <c r="E3964" s="3563" t="s">
        <v>6294</v>
      </c>
      <c r="F3964" s="3563" t="s">
        <v>4797</v>
      </c>
      <c r="G3964" s="3564">
        <v>91.98</v>
      </c>
      <c r="H3964" s="3564">
        <v>72.78</v>
      </c>
      <c r="I3964" s="3564">
        <v>19.2</v>
      </c>
      <c r="J3964" s="3565">
        <v>876306</v>
      </c>
      <c r="K3964" s="3565">
        <v>9527.14</v>
      </c>
      <c r="L3964" s="3565">
        <v>12040.48</v>
      </c>
      <c r="M3964" s="3565">
        <v>0</v>
      </c>
      <c r="N3964" s="3565">
        <v>0</v>
      </c>
      <c r="O3964" s="3563" t="s">
        <v>3453</v>
      </c>
    </row>
    <row r="3965" spans="1:15">
      <c r="A3965" s="3563" t="s">
        <v>8187</v>
      </c>
      <c r="B3965" s="3563" t="s">
        <v>4196</v>
      </c>
      <c r="C3965" s="3563" t="s">
        <v>4197</v>
      </c>
      <c r="D3965" s="3563" t="s">
        <v>6429</v>
      </c>
      <c r="E3965" s="3563" t="s">
        <v>6294</v>
      </c>
      <c r="F3965" s="3563" t="s">
        <v>4797</v>
      </c>
      <c r="G3965" s="3564">
        <v>79.66</v>
      </c>
      <c r="H3965" s="3564">
        <v>63.03</v>
      </c>
      <c r="I3965" s="3564">
        <v>16.63</v>
      </c>
      <c r="J3965" s="3565">
        <v>758931</v>
      </c>
      <c r="K3965" s="3565">
        <v>9527.1299999999992</v>
      </c>
      <c r="L3965" s="3565">
        <v>12040.79</v>
      </c>
      <c r="M3965" s="3565">
        <v>0</v>
      </c>
      <c r="N3965" s="3565">
        <v>0</v>
      </c>
      <c r="O3965" s="3563" t="s">
        <v>3453</v>
      </c>
    </row>
    <row r="3966" spans="1:15">
      <c r="A3966" s="3563" t="s">
        <v>8188</v>
      </c>
      <c r="B3966" s="3563" t="s">
        <v>4196</v>
      </c>
      <c r="C3966" s="3563" t="s">
        <v>4197</v>
      </c>
      <c r="D3966" s="3563" t="s">
        <v>6429</v>
      </c>
      <c r="E3966" s="3563" t="s">
        <v>6294</v>
      </c>
      <c r="F3966" s="3563" t="s">
        <v>4797</v>
      </c>
      <c r="G3966" s="3564">
        <v>79.66</v>
      </c>
      <c r="H3966" s="3564">
        <v>63.03</v>
      </c>
      <c r="I3966" s="3564">
        <v>16.63</v>
      </c>
      <c r="J3966" s="3565">
        <v>758931</v>
      </c>
      <c r="K3966" s="3565">
        <v>9527.1299999999992</v>
      </c>
      <c r="L3966" s="3565">
        <v>12040.79</v>
      </c>
      <c r="M3966" s="3565">
        <v>0</v>
      </c>
      <c r="N3966" s="3565">
        <v>0</v>
      </c>
      <c r="O3966" s="3563" t="s">
        <v>3453</v>
      </c>
    </row>
    <row r="3967" spans="1:15">
      <c r="A3967" s="3563" t="s">
        <v>8189</v>
      </c>
      <c r="B3967" s="3563" t="s">
        <v>4196</v>
      </c>
      <c r="C3967" s="3563" t="s">
        <v>4197</v>
      </c>
      <c r="D3967" s="3563" t="s">
        <v>6429</v>
      </c>
      <c r="E3967" s="3563" t="s">
        <v>6294</v>
      </c>
      <c r="F3967" s="3563" t="s">
        <v>4797</v>
      </c>
      <c r="G3967" s="3564">
        <v>101.72</v>
      </c>
      <c r="H3967" s="3564">
        <v>81.739999999999995</v>
      </c>
      <c r="I3967" s="3564">
        <v>19.98</v>
      </c>
      <c r="J3967" s="3565">
        <v>1018878</v>
      </c>
      <c r="K3967" s="3565">
        <v>10016.5</v>
      </c>
      <c r="L3967" s="3565">
        <v>12464.86</v>
      </c>
      <c r="M3967" s="3565">
        <v>0</v>
      </c>
      <c r="N3967" s="3565">
        <v>0</v>
      </c>
      <c r="O3967" s="3563" t="s">
        <v>3453</v>
      </c>
    </row>
    <row r="3968" spans="1:15">
      <c r="A3968" s="3563" t="s">
        <v>8190</v>
      </c>
      <c r="B3968" s="3563" t="s">
        <v>4196</v>
      </c>
      <c r="C3968" s="3563" t="s">
        <v>4197</v>
      </c>
      <c r="D3968" s="3563" t="s">
        <v>6429</v>
      </c>
      <c r="E3968" s="3563" t="s">
        <v>6294</v>
      </c>
      <c r="F3968" s="3563" t="s">
        <v>4797</v>
      </c>
      <c r="G3968" s="3564">
        <v>101.72</v>
      </c>
      <c r="H3968" s="3564">
        <v>81.739999999999995</v>
      </c>
      <c r="I3968" s="3564">
        <v>19.98</v>
      </c>
      <c r="J3968" s="3565">
        <v>1018878</v>
      </c>
      <c r="K3968" s="3565">
        <v>10016.5</v>
      </c>
      <c r="L3968" s="3565">
        <v>12464.86</v>
      </c>
      <c r="M3968" s="3565">
        <v>0</v>
      </c>
      <c r="N3968" s="3565">
        <v>0</v>
      </c>
      <c r="O3968" s="3563" t="s">
        <v>3453</v>
      </c>
    </row>
    <row r="3969" spans="1:15">
      <c r="A3969" s="3563" t="s">
        <v>8191</v>
      </c>
      <c r="B3969" s="3563" t="s">
        <v>4196</v>
      </c>
      <c r="C3969" s="3563" t="s">
        <v>4197</v>
      </c>
      <c r="D3969" s="3563" t="s">
        <v>6429</v>
      </c>
      <c r="E3969" s="3563" t="s">
        <v>6294</v>
      </c>
      <c r="F3969" s="3563" t="s">
        <v>4797</v>
      </c>
      <c r="G3969" s="3564">
        <v>90.57</v>
      </c>
      <c r="H3969" s="3564">
        <v>72.78</v>
      </c>
      <c r="I3969" s="3564">
        <v>17.79</v>
      </c>
      <c r="J3969" s="3565">
        <v>862873</v>
      </c>
      <c r="K3969" s="3565">
        <v>9527.14</v>
      </c>
      <c r="L3969" s="3565">
        <v>11855.91</v>
      </c>
      <c r="M3969" s="3565">
        <v>0</v>
      </c>
      <c r="N3969" s="3565">
        <v>0</v>
      </c>
      <c r="O3969" s="3563" t="s">
        <v>3453</v>
      </c>
    </row>
    <row r="3970" spans="1:15">
      <c r="A3970" s="3563" t="s">
        <v>8192</v>
      </c>
      <c r="B3970" s="3563" t="s">
        <v>4196</v>
      </c>
      <c r="C3970" s="3563" t="s">
        <v>4197</v>
      </c>
      <c r="D3970" s="3563" t="s">
        <v>6429</v>
      </c>
      <c r="E3970" s="3563" t="s">
        <v>6294</v>
      </c>
      <c r="F3970" s="3563" t="s">
        <v>4797</v>
      </c>
      <c r="G3970" s="3564">
        <v>78.44</v>
      </c>
      <c r="H3970" s="3564">
        <v>63.03</v>
      </c>
      <c r="I3970" s="3564">
        <v>15.41</v>
      </c>
      <c r="J3970" s="3565">
        <v>748143</v>
      </c>
      <c r="K3970" s="3565">
        <v>9537.77</v>
      </c>
      <c r="L3970" s="3565">
        <v>11869.63</v>
      </c>
      <c r="M3970" s="3565">
        <v>0</v>
      </c>
      <c r="N3970" s="3565">
        <v>0</v>
      </c>
      <c r="O3970" s="3563" t="s">
        <v>3453</v>
      </c>
    </row>
    <row r="3971" spans="1:15">
      <c r="A3971" s="3563" t="s">
        <v>8193</v>
      </c>
      <c r="B3971" s="3563" t="s">
        <v>4196</v>
      </c>
      <c r="C3971" s="3563" t="s">
        <v>4197</v>
      </c>
      <c r="D3971" s="3563" t="s">
        <v>6429</v>
      </c>
      <c r="E3971" s="3563" t="s">
        <v>6294</v>
      </c>
      <c r="F3971" s="3563" t="s">
        <v>4797</v>
      </c>
      <c r="G3971" s="3564">
        <v>78.44</v>
      </c>
      <c r="H3971" s="3564">
        <v>63.03</v>
      </c>
      <c r="I3971" s="3564">
        <v>15.41</v>
      </c>
      <c r="J3971" s="3565">
        <v>748143</v>
      </c>
      <c r="K3971" s="3565">
        <v>9537.77</v>
      </c>
      <c r="L3971" s="3565">
        <v>11869.63</v>
      </c>
      <c r="M3971" s="3565">
        <v>0</v>
      </c>
      <c r="N3971" s="3565">
        <v>0</v>
      </c>
      <c r="O3971" s="3563" t="s">
        <v>3453</v>
      </c>
    </row>
    <row r="3972" spans="1:15">
      <c r="A3972" s="3563" t="s">
        <v>8194</v>
      </c>
      <c r="B3972" s="3563" t="s">
        <v>4196</v>
      </c>
      <c r="C3972" s="3563" t="s">
        <v>4197</v>
      </c>
      <c r="D3972" s="3563" t="s">
        <v>6429</v>
      </c>
      <c r="E3972" s="3563" t="s">
        <v>6294</v>
      </c>
      <c r="F3972" s="3563" t="s">
        <v>4797</v>
      </c>
      <c r="G3972" s="3564">
        <v>110.06</v>
      </c>
      <c r="H3972" s="3564">
        <v>88.44</v>
      </c>
      <c r="I3972" s="3564">
        <v>21.62</v>
      </c>
      <c r="J3972" s="3565">
        <v>1114124</v>
      </c>
      <c r="K3972" s="3565">
        <v>10122.879999999999</v>
      </c>
      <c r="L3972" s="3565">
        <v>12597.51</v>
      </c>
      <c r="M3972" s="3565">
        <v>0</v>
      </c>
      <c r="N3972" s="3565">
        <v>0</v>
      </c>
      <c r="O3972" s="3563" t="s">
        <v>3453</v>
      </c>
    </row>
    <row r="3973" spans="1:15">
      <c r="A3973" s="3563" t="s">
        <v>8195</v>
      </c>
      <c r="B3973" s="3563" t="s">
        <v>4196</v>
      </c>
      <c r="C3973" s="3563" t="s">
        <v>4197</v>
      </c>
      <c r="D3973" s="3563" t="s">
        <v>6429</v>
      </c>
      <c r="E3973" s="3563" t="s">
        <v>6294</v>
      </c>
      <c r="F3973" s="3563" t="s">
        <v>4797</v>
      </c>
      <c r="G3973" s="3564">
        <v>101.72</v>
      </c>
      <c r="H3973" s="3564">
        <v>81.739999999999995</v>
      </c>
      <c r="I3973" s="3564">
        <v>19.98</v>
      </c>
      <c r="J3973" s="3565">
        <v>1031863</v>
      </c>
      <c r="K3973" s="3565">
        <v>10144.15</v>
      </c>
      <c r="L3973" s="3565">
        <v>12623.72</v>
      </c>
      <c r="M3973" s="3565">
        <v>0</v>
      </c>
      <c r="N3973" s="3565">
        <v>0</v>
      </c>
      <c r="O3973" s="3563" t="s">
        <v>3453</v>
      </c>
    </row>
    <row r="3974" spans="1:15">
      <c r="A3974" s="3563" t="s">
        <v>8196</v>
      </c>
      <c r="B3974" s="3563" t="s">
        <v>4196</v>
      </c>
      <c r="C3974" s="3563" t="s">
        <v>4197</v>
      </c>
      <c r="D3974" s="3563" t="s">
        <v>6429</v>
      </c>
      <c r="E3974" s="3563" t="s">
        <v>6294</v>
      </c>
      <c r="F3974" s="3563" t="s">
        <v>4797</v>
      </c>
      <c r="G3974" s="3564">
        <v>101.72</v>
      </c>
      <c r="H3974" s="3564">
        <v>81.739999999999995</v>
      </c>
      <c r="I3974" s="3564">
        <v>19.98</v>
      </c>
      <c r="J3974" s="3565">
        <v>1031863</v>
      </c>
      <c r="K3974" s="3565">
        <v>10144.15</v>
      </c>
      <c r="L3974" s="3565">
        <v>12623.72</v>
      </c>
      <c r="M3974" s="3565">
        <v>0</v>
      </c>
      <c r="N3974" s="3565">
        <v>0</v>
      </c>
      <c r="O3974" s="3563" t="s">
        <v>3453</v>
      </c>
    </row>
    <row r="3975" spans="1:15">
      <c r="A3975" s="3563" t="s">
        <v>8197</v>
      </c>
      <c r="B3975" s="3563" t="s">
        <v>4196</v>
      </c>
      <c r="C3975" s="3563" t="s">
        <v>4197</v>
      </c>
      <c r="D3975" s="3563" t="s">
        <v>6429</v>
      </c>
      <c r="E3975" s="3563" t="s">
        <v>6294</v>
      </c>
      <c r="F3975" s="3563" t="s">
        <v>4797</v>
      </c>
      <c r="G3975" s="3564">
        <v>90.57</v>
      </c>
      <c r="H3975" s="3564">
        <v>72.78</v>
      </c>
      <c r="I3975" s="3564">
        <v>17.79</v>
      </c>
      <c r="J3975" s="3565">
        <v>865763</v>
      </c>
      <c r="K3975" s="3565">
        <v>9559.0499999999993</v>
      </c>
      <c r="L3975" s="3565">
        <v>11895.62</v>
      </c>
      <c r="M3975" s="3565">
        <v>0</v>
      </c>
      <c r="N3975" s="3565">
        <v>0</v>
      </c>
      <c r="O3975" s="3563" t="s">
        <v>3453</v>
      </c>
    </row>
    <row r="3976" spans="1:15">
      <c r="A3976" s="3563" t="s">
        <v>8198</v>
      </c>
      <c r="B3976" s="3563" t="s">
        <v>4196</v>
      </c>
      <c r="C3976" s="3563" t="s">
        <v>4197</v>
      </c>
      <c r="D3976" s="3563" t="s">
        <v>6429</v>
      </c>
      <c r="E3976" s="3563" t="s">
        <v>6294</v>
      </c>
      <c r="F3976" s="3563" t="s">
        <v>4797</v>
      </c>
      <c r="G3976" s="3564">
        <v>78.44</v>
      </c>
      <c r="H3976" s="3564">
        <v>63.03</v>
      </c>
      <c r="I3976" s="3564">
        <v>15.41</v>
      </c>
      <c r="J3976" s="3565">
        <v>758157</v>
      </c>
      <c r="K3976" s="3565">
        <v>9665.44</v>
      </c>
      <c r="L3976" s="3565">
        <v>12028.51</v>
      </c>
      <c r="M3976" s="3565">
        <v>0</v>
      </c>
      <c r="N3976" s="3565">
        <v>0</v>
      </c>
      <c r="O3976" s="3563" t="s">
        <v>3453</v>
      </c>
    </row>
    <row r="3977" spans="1:15">
      <c r="A3977" s="3563" t="s">
        <v>8199</v>
      </c>
      <c r="B3977" s="3563" t="s">
        <v>4196</v>
      </c>
      <c r="C3977" s="3563" t="s">
        <v>4197</v>
      </c>
      <c r="D3977" s="3563" t="s">
        <v>6429</v>
      </c>
      <c r="E3977" s="3563" t="s">
        <v>6294</v>
      </c>
      <c r="F3977" s="3563" t="s">
        <v>4797</v>
      </c>
      <c r="G3977" s="3564">
        <v>78.44</v>
      </c>
      <c r="H3977" s="3564">
        <v>63.03</v>
      </c>
      <c r="I3977" s="3564">
        <v>15.41</v>
      </c>
      <c r="J3977" s="3565">
        <v>758157</v>
      </c>
      <c r="K3977" s="3565">
        <v>9665.44</v>
      </c>
      <c r="L3977" s="3565">
        <v>12028.51</v>
      </c>
      <c r="M3977" s="3565">
        <v>0</v>
      </c>
      <c r="N3977" s="3565">
        <v>0</v>
      </c>
      <c r="O3977" s="3563" t="s">
        <v>3453</v>
      </c>
    </row>
    <row r="3978" spans="1:15">
      <c r="A3978" s="3563" t="s">
        <v>8200</v>
      </c>
      <c r="B3978" s="3563" t="s">
        <v>4196</v>
      </c>
      <c r="C3978" s="3563" t="s">
        <v>4197</v>
      </c>
      <c r="D3978" s="3563" t="s">
        <v>6429</v>
      </c>
      <c r="E3978" s="3563" t="s">
        <v>6294</v>
      </c>
      <c r="F3978" s="3563" t="s">
        <v>4797</v>
      </c>
      <c r="G3978" s="3564">
        <v>110.06</v>
      </c>
      <c r="H3978" s="3564">
        <v>88.44</v>
      </c>
      <c r="I3978" s="3564">
        <v>21.62</v>
      </c>
      <c r="J3978" s="3565">
        <v>1128174</v>
      </c>
      <c r="K3978" s="3565">
        <v>10250.540000000001</v>
      </c>
      <c r="L3978" s="3565">
        <v>12756.38</v>
      </c>
      <c r="M3978" s="3565">
        <v>0</v>
      </c>
      <c r="N3978" s="3565">
        <v>0</v>
      </c>
      <c r="O3978" s="3563" t="s">
        <v>3453</v>
      </c>
    </row>
    <row r="3979" spans="1:15">
      <c r="A3979" s="3563" t="s">
        <v>8201</v>
      </c>
      <c r="B3979" s="3563" t="s">
        <v>4196</v>
      </c>
      <c r="C3979" s="3563" t="s">
        <v>4197</v>
      </c>
      <c r="D3979" s="3563" t="s">
        <v>6429</v>
      </c>
      <c r="E3979" s="3563" t="s">
        <v>6294</v>
      </c>
      <c r="F3979" s="3563" t="s">
        <v>4797</v>
      </c>
      <c r="G3979" s="3564">
        <v>101.72</v>
      </c>
      <c r="H3979" s="3564">
        <v>81.739999999999995</v>
      </c>
      <c r="I3979" s="3564">
        <v>19.98</v>
      </c>
      <c r="J3979" s="3565">
        <v>1044848</v>
      </c>
      <c r="K3979" s="3565">
        <v>10271.799999999999</v>
      </c>
      <c r="L3979" s="3565">
        <v>12782.58</v>
      </c>
      <c r="M3979" s="3565">
        <v>0</v>
      </c>
      <c r="N3979" s="3565">
        <v>0</v>
      </c>
      <c r="O3979" s="3563" t="s">
        <v>3453</v>
      </c>
    </row>
    <row r="3980" spans="1:15">
      <c r="A3980" s="3563" t="s">
        <v>8202</v>
      </c>
      <c r="B3980" s="3563" t="s">
        <v>4196</v>
      </c>
      <c r="C3980" s="3563" t="s">
        <v>4197</v>
      </c>
      <c r="D3980" s="3563" t="s">
        <v>6429</v>
      </c>
      <c r="E3980" s="3563" t="s">
        <v>6294</v>
      </c>
      <c r="F3980" s="3563" t="s">
        <v>4797</v>
      </c>
      <c r="G3980" s="3564">
        <v>101.72</v>
      </c>
      <c r="H3980" s="3564">
        <v>81.739999999999995</v>
      </c>
      <c r="I3980" s="3564">
        <v>19.98</v>
      </c>
      <c r="J3980" s="3565">
        <v>1044848</v>
      </c>
      <c r="K3980" s="3565">
        <v>10271.799999999999</v>
      </c>
      <c r="L3980" s="3565">
        <v>12782.58</v>
      </c>
      <c r="M3980" s="3565">
        <v>0</v>
      </c>
      <c r="N3980" s="3565">
        <v>0</v>
      </c>
      <c r="O3980" s="3563" t="s">
        <v>3453</v>
      </c>
    </row>
    <row r="3981" spans="1:15">
      <c r="A3981" s="3563" t="s">
        <v>8203</v>
      </c>
      <c r="B3981" s="3563" t="s">
        <v>4196</v>
      </c>
      <c r="C3981" s="3563" t="s">
        <v>4197</v>
      </c>
      <c r="D3981" s="3563" t="s">
        <v>6429</v>
      </c>
      <c r="E3981" s="3563" t="s">
        <v>6294</v>
      </c>
      <c r="F3981" s="3563" t="s">
        <v>4797</v>
      </c>
      <c r="G3981" s="3564">
        <v>90.57</v>
      </c>
      <c r="H3981" s="3564">
        <v>72.78</v>
      </c>
      <c r="I3981" s="3564">
        <v>17.79</v>
      </c>
      <c r="J3981" s="3565">
        <v>877325</v>
      </c>
      <c r="K3981" s="3565">
        <v>9686.7099999999991</v>
      </c>
      <c r="L3981" s="3565">
        <v>12054.48</v>
      </c>
      <c r="M3981" s="3565">
        <v>0</v>
      </c>
      <c r="N3981" s="3565">
        <v>0</v>
      </c>
      <c r="O3981" s="3563" t="s">
        <v>3453</v>
      </c>
    </row>
    <row r="3982" spans="1:15">
      <c r="A3982" s="3563" t="s">
        <v>8204</v>
      </c>
      <c r="B3982" s="3563" t="s">
        <v>4196</v>
      </c>
      <c r="C3982" s="3563" t="s">
        <v>4197</v>
      </c>
      <c r="D3982" s="3563" t="s">
        <v>6429</v>
      </c>
      <c r="E3982" s="3563" t="s">
        <v>6294</v>
      </c>
      <c r="F3982" s="3563" t="s">
        <v>4797</v>
      </c>
      <c r="G3982" s="3564">
        <v>78.44</v>
      </c>
      <c r="H3982" s="3564">
        <v>63.03</v>
      </c>
      <c r="I3982" s="3564">
        <v>15.41</v>
      </c>
      <c r="J3982" s="3565">
        <v>768170</v>
      </c>
      <c r="K3982" s="3565">
        <v>9793.09</v>
      </c>
      <c r="L3982" s="3565">
        <v>12187.37</v>
      </c>
      <c r="M3982" s="3565">
        <v>0</v>
      </c>
      <c r="N3982" s="3565">
        <v>0</v>
      </c>
      <c r="O3982" s="3563" t="s">
        <v>3453</v>
      </c>
    </row>
    <row r="3983" spans="1:15">
      <c r="A3983" s="3563" t="s">
        <v>8205</v>
      </c>
      <c r="B3983" s="3563" t="s">
        <v>4196</v>
      </c>
      <c r="C3983" s="3563" t="s">
        <v>4197</v>
      </c>
      <c r="D3983" s="3563" t="s">
        <v>6429</v>
      </c>
      <c r="E3983" s="3563" t="s">
        <v>6294</v>
      </c>
      <c r="F3983" s="3563" t="s">
        <v>4797</v>
      </c>
      <c r="G3983" s="3564">
        <v>78.44</v>
      </c>
      <c r="H3983" s="3564">
        <v>63.03</v>
      </c>
      <c r="I3983" s="3564">
        <v>15.41</v>
      </c>
      <c r="J3983" s="3565">
        <v>768170</v>
      </c>
      <c r="K3983" s="3565">
        <v>9793.09</v>
      </c>
      <c r="L3983" s="3565">
        <v>12187.37</v>
      </c>
      <c r="M3983" s="3565">
        <v>0</v>
      </c>
      <c r="N3983" s="3565">
        <v>0</v>
      </c>
      <c r="O3983" s="3563" t="s">
        <v>3453</v>
      </c>
    </row>
    <row r="3984" spans="1:15">
      <c r="A3984" s="3563" t="s">
        <v>8206</v>
      </c>
      <c r="B3984" s="3563" t="s">
        <v>4196</v>
      </c>
      <c r="C3984" s="3563" t="s">
        <v>4197</v>
      </c>
      <c r="D3984" s="3563" t="s">
        <v>6429</v>
      </c>
      <c r="E3984" s="3563" t="s">
        <v>6294</v>
      </c>
      <c r="F3984" s="3563" t="s">
        <v>4797</v>
      </c>
      <c r="G3984" s="3564">
        <v>110.06</v>
      </c>
      <c r="H3984" s="3564">
        <v>88.44</v>
      </c>
      <c r="I3984" s="3564">
        <v>21.62</v>
      </c>
      <c r="J3984" s="3565">
        <v>1142224</v>
      </c>
      <c r="K3984" s="3565">
        <v>10378.19</v>
      </c>
      <c r="L3984" s="3565">
        <v>12915.24</v>
      </c>
      <c r="M3984" s="3565">
        <v>0</v>
      </c>
      <c r="N3984" s="3565">
        <v>0</v>
      </c>
      <c r="O3984" s="3563" t="s">
        <v>3453</v>
      </c>
    </row>
    <row r="3985" spans="1:15">
      <c r="A3985" s="3563" t="s">
        <v>8207</v>
      </c>
      <c r="B3985" s="3563" t="s">
        <v>4196</v>
      </c>
      <c r="C3985" s="3563" t="s">
        <v>4197</v>
      </c>
      <c r="D3985" s="3563" t="s">
        <v>6429</v>
      </c>
      <c r="E3985" s="3563" t="s">
        <v>6294</v>
      </c>
      <c r="F3985" s="3563" t="s">
        <v>4797</v>
      </c>
      <c r="G3985" s="3564">
        <v>101.72</v>
      </c>
      <c r="H3985" s="3564">
        <v>81.739999999999995</v>
      </c>
      <c r="I3985" s="3564">
        <v>19.98</v>
      </c>
      <c r="J3985" s="3565">
        <v>1045931</v>
      </c>
      <c r="K3985" s="3565">
        <v>10282.450000000001</v>
      </c>
      <c r="L3985" s="3565">
        <v>12795.83</v>
      </c>
      <c r="M3985" s="3565">
        <v>0</v>
      </c>
      <c r="N3985" s="3565">
        <v>0</v>
      </c>
      <c r="O3985" s="3563" t="s">
        <v>3453</v>
      </c>
    </row>
    <row r="3986" spans="1:15">
      <c r="A3986" s="3563" t="s">
        <v>8208</v>
      </c>
      <c r="B3986" s="3563" t="s">
        <v>4196</v>
      </c>
      <c r="C3986" s="3563" t="s">
        <v>4197</v>
      </c>
      <c r="D3986" s="3563" t="s">
        <v>6429</v>
      </c>
      <c r="E3986" s="3563" t="s">
        <v>6294</v>
      </c>
      <c r="F3986" s="3563" t="s">
        <v>4797</v>
      </c>
      <c r="G3986" s="3564">
        <v>101.72</v>
      </c>
      <c r="H3986" s="3564">
        <v>81.739999999999995</v>
      </c>
      <c r="I3986" s="3564">
        <v>19.98</v>
      </c>
      <c r="J3986" s="3565">
        <v>1045931</v>
      </c>
      <c r="K3986" s="3565">
        <v>10282.450000000001</v>
      </c>
      <c r="L3986" s="3565">
        <v>12795.83</v>
      </c>
      <c r="M3986" s="3565">
        <v>0</v>
      </c>
      <c r="N3986" s="3565">
        <v>0</v>
      </c>
      <c r="O3986" s="3563" t="s">
        <v>3453</v>
      </c>
    </row>
    <row r="3987" spans="1:15">
      <c r="A3987" s="3563" t="s">
        <v>8209</v>
      </c>
      <c r="B3987" s="3563" t="s">
        <v>4196</v>
      </c>
      <c r="C3987" s="3563" t="s">
        <v>4197</v>
      </c>
      <c r="D3987" s="3563" t="s">
        <v>6429</v>
      </c>
      <c r="E3987" s="3563" t="s">
        <v>6294</v>
      </c>
      <c r="F3987" s="3563" t="s">
        <v>4797</v>
      </c>
      <c r="G3987" s="3564">
        <v>90.57</v>
      </c>
      <c r="H3987" s="3564">
        <v>72.78</v>
      </c>
      <c r="I3987" s="3564">
        <v>17.79</v>
      </c>
      <c r="J3987" s="3565">
        <v>878289</v>
      </c>
      <c r="K3987" s="3565">
        <v>9697.35</v>
      </c>
      <c r="L3987" s="3565">
        <v>12067.72</v>
      </c>
      <c r="M3987" s="3565">
        <v>0</v>
      </c>
      <c r="N3987" s="3565">
        <v>0</v>
      </c>
      <c r="O3987" s="3563" t="s">
        <v>3453</v>
      </c>
    </row>
    <row r="3988" spans="1:15">
      <c r="A3988" s="3563" t="s">
        <v>8210</v>
      </c>
      <c r="B3988" s="3563" t="s">
        <v>4196</v>
      </c>
      <c r="C3988" s="3563" t="s">
        <v>4197</v>
      </c>
      <c r="D3988" s="3563" t="s">
        <v>6429</v>
      </c>
      <c r="E3988" s="3563" t="s">
        <v>6294</v>
      </c>
      <c r="F3988" s="3563" t="s">
        <v>4797</v>
      </c>
      <c r="G3988" s="3564">
        <v>78.44</v>
      </c>
      <c r="H3988" s="3564">
        <v>63.03</v>
      </c>
      <c r="I3988" s="3564">
        <v>15.41</v>
      </c>
      <c r="J3988" s="3565">
        <v>769005</v>
      </c>
      <c r="K3988" s="3565">
        <v>9803.74</v>
      </c>
      <c r="L3988" s="3565">
        <v>12200.62</v>
      </c>
      <c r="M3988" s="3565">
        <v>0</v>
      </c>
      <c r="N3988" s="3565">
        <v>0</v>
      </c>
      <c r="O3988" s="3563" t="s">
        <v>3453</v>
      </c>
    </row>
    <row r="3989" spans="1:15">
      <c r="A3989" s="3563" t="s">
        <v>8211</v>
      </c>
      <c r="B3989" s="3563" t="s">
        <v>4196</v>
      </c>
      <c r="C3989" s="3563" t="s">
        <v>4197</v>
      </c>
      <c r="D3989" s="3563" t="s">
        <v>6429</v>
      </c>
      <c r="E3989" s="3563" t="s">
        <v>6294</v>
      </c>
      <c r="F3989" s="3563" t="s">
        <v>4797</v>
      </c>
      <c r="G3989" s="3564">
        <v>78.44</v>
      </c>
      <c r="H3989" s="3564">
        <v>63.03</v>
      </c>
      <c r="I3989" s="3564">
        <v>15.41</v>
      </c>
      <c r="J3989" s="3565">
        <v>769005</v>
      </c>
      <c r="K3989" s="3565">
        <v>9803.74</v>
      </c>
      <c r="L3989" s="3565">
        <v>12200.62</v>
      </c>
      <c r="M3989" s="3565">
        <v>0</v>
      </c>
      <c r="N3989" s="3565">
        <v>0</v>
      </c>
      <c r="O3989" s="3563" t="s">
        <v>3453</v>
      </c>
    </row>
    <row r="3990" spans="1:15">
      <c r="A3990" s="3563" t="s">
        <v>8212</v>
      </c>
      <c r="B3990" s="3563" t="s">
        <v>4196</v>
      </c>
      <c r="C3990" s="3563" t="s">
        <v>4197</v>
      </c>
      <c r="D3990" s="3563" t="s">
        <v>6429</v>
      </c>
      <c r="E3990" s="3563" t="s">
        <v>6294</v>
      </c>
      <c r="F3990" s="3563" t="s">
        <v>4797</v>
      </c>
      <c r="G3990" s="3564">
        <v>110.06</v>
      </c>
      <c r="H3990" s="3564">
        <v>88.44</v>
      </c>
      <c r="I3990" s="3564">
        <v>21.62</v>
      </c>
      <c r="J3990" s="3565">
        <v>1143395</v>
      </c>
      <c r="K3990" s="3565">
        <v>10388.83</v>
      </c>
      <c r="L3990" s="3565">
        <v>12928.48</v>
      </c>
      <c r="M3990" s="3565">
        <v>0</v>
      </c>
      <c r="N3990" s="3565">
        <v>0</v>
      </c>
      <c r="O3990" s="3563" t="s">
        <v>3453</v>
      </c>
    </row>
    <row r="3991" spans="1:15">
      <c r="A3991" s="3563" t="s">
        <v>8213</v>
      </c>
      <c r="B3991" s="3563" t="s">
        <v>4196</v>
      </c>
      <c r="C3991" s="3563" t="s">
        <v>4197</v>
      </c>
      <c r="D3991" s="3563" t="s">
        <v>6429</v>
      </c>
      <c r="E3991" s="3563" t="s">
        <v>6294</v>
      </c>
      <c r="F3991" s="3563" t="s">
        <v>4797</v>
      </c>
      <c r="G3991" s="3564">
        <v>101.72</v>
      </c>
      <c r="H3991" s="3564">
        <v>81.739999999999995</v>
      </c>
      <c r="I3991" s="3564">
        <v>19.98</v>
      </c>
      <c r="J3991" s="3565">
        <v>1047013</v>
      </c>
      <c r="K3991" s="3565">
        <v>10293.09</v>
      </c>
      <c r="L3991" s="3565">
        <v>12809.07</v>
      </c>
      <c r="M3991" s="3565">
        <v>0</v>
      </c>
      <c r="N3991" s="3565">
        <v>0</v>
      </c>
      <c r="O3991" s="3563" t="s">
        <v>3453</v>
      </c>
    </row>
    <row r="3992" spans="1:15">
      <c r="A3992" s="3563" t="s">
        <v>8214</v>
      </c>
      <c r="B3992" s="3563" t="s">
        <v>4196</v>
      </c>
      <c r="C3992" s="3563" t="s">
        <v>4197</v>
      </c>
      <c r="D3992" s="3563" t="s">
        <v>6429</v>
      </c>
      <c r="E3992" s="3563" t="s">
        <v>6294</v>
      </c>
      <c r="F3992" s="3563" t="s">
        <v>4797</v>
      </c>
      <c r="G3992" s="3564">
        <v>101.72</v>
      </c>
      <c r="H3992" s="3564">
        <v>81.739999999999995</v>
      </c>
      <c r="I3992" s="3564">
        <v>19.98</v>
      </c>
      <c r="J3992" s="3565">
        <v>1047013</v>
      </c>
      <c r="K3992" s="3565">
        <v>10293.09</v>
      </c>
      <c r="L3992" s="3565">
        <v>12809.07</v>
      </c>
      <c r="M3992" s="3565">
        <v>0</v>
      </c>
      <c r="N3992" s="3565">
        <v>0</v>
      </c>
      <c r="O3992" s="3563" t="s">
        <v>3453</v>
      </c>
    </row>
    <row r="3993" spans="1:15">
      <c r="A3993" s="3563" t="s">
        <v>8215</v>
      </c>
      <c r="B3993" s="3563" t="s">
        <v>4196</v>
      </c>
      <c r="C3993" s="3563" t="s">
        <v>4197</v>
      </c>
      <c r="D3993" s="3563" t="s">
        <v>6429</v>
      </c>
      <c r="E3993" s="3563" t="s">
        <v>6294</v>
      </c>
      <c r="F3993" s="3563" t="s">
        <v>4797</v>
      </c>
      <c r="G3993" s="3564">
        <v>90.57</v>
      </c>
      <c r="H3993" s="3564">
        <v>72.78</v>
      </c>
      <c r="I3993" s="3564">
        <v>17.79</v>
      </c>
      <c r="J3993" s="3565">
        <v>888888</v>
      </c>
      <c r="K3993" s="3565">
        <v>9814.3799999999992</v>
      </c>
      <c r="L3993" s="3565">
        <v>12213.36</v>
      </c>
      <c r="M3993" s="3565">
        <v>0</v>
      </c>
      <c r="N3993" s="3565">
        <v>0</v>
      </c>
      <c r="O3993" s="3563" t="s">
        <v>3453</v>
      </c>
    </row>
    <row r="3994" spans="1:15">
      <c r="A3994" s="3563" t="s">
        <v>8216</v>
      </c>
      <c r="B3994" s="3563" t="s">
        <v>4196</v>
      </c>
      <c r="C3994" s="3563" t="s">
        <v>4197</v>
      </c>
      <c r="D3994" s="3563" t="s">
        <v>6429</v>
      </c>
      <c r="E3994" s="3563" t="s">
        <v>6294</v>
      </c>
      <c r="F3994" s="3563" t="s">
        <v>4797</v>
      </c>
      <c r="G3994" s="3564">
        <v>78.44</v>
      </c>
      <c r="H3994" s="3564">
        <v>63.03</v>
      </c>
      <c r="I3994" s="3564">
        <v>15.41</v>
      </c>
      <c r="J3994" s="3565">
        <v>778183</v>
      </c>
      <c r="K3994" s="3565">
        <v>9920.74</v>
      </c>
      <c r="L3994" s="3565">
        <v>12346.23</v>
      </c>
      <c r="M3994" s="3565">
        <v>0</v>
      </c>
      <c r="N3994" s="3565">
        <v>0</v>
      </c>
      <c r="O3994" s="3563" t="s">
        <v>3453</v>
      </c>
    </row>
    <row r="3995" spans="1:15">
      <c r="A3995" s="3563" t="s">
        <v>8217</v>
      </c>
      <c r="B3995" s="3563" t="s">
        <v>4196</v>
      </c>
      <c r="C3995" s="3563" t="s">
        <v>4197</v>
      </c>
      <c r="D3995" s="3563" t="s">
        <v>6429</v>
      </c>
      <c r="E3995" s="3563" t="s">
        <v>6294</v>
      </c>
      <c r="F3995" s="3563" t="s">
        <v>4797</v>
      </c>
      <c r="G3995" s="3564">
        <v>78.44</v>
      </c>
      <c r="H3995" s="3564">
        <v>63.03</v>
      </c>
      <c r="I3995" s="3564">
        <v>15.41</v>
      </c>
      <c r="J3995" s="3565">
        <v>778183</v>
      </c>
      <c r="K3995" s="3565">
        <v>9920.74</v>
      </c>
      <c r="L3995" s="3565">
        <v>12346.23</v>
      </c>
      <c r="M3995" s="3565">
        <v>0</v>
      </c>
      <c r="N3995" s="3565">
        <v>0</v>
      </c>
      <c r="O3995" s="3563" t="s">
        <v>3453</v>
      </c>
    </row>
    <row r="3996" spans="1:15">
      <c r="A3996" s="3563" t="s">
        <v>8218</v>
      </c>
      <c r="B3996" s="3563" t="s">
        <v>4196</v>
      </c>
      <c r="C3996" s="3563" t="s">
        <v>4197</v>
      </c>
      <c r="D3996" s="3563" t="s">
        <v>6429</v>
      </c>
      <c r="E3996" s="3563" t="s">
        <v>6294</v>
      </c>
      <c r="F3996" s="3563" t="s">
        <v>4797</v>
      </c>
      <c r="G3996" s="3564">
        <v>110.06</v>
      </c>
      <c r="H3996" s="3564">
        <v>88.44</v>
      </c>
      <c r="I3996" s="3564">
        <v>21.62</v>
      </c>
      <c r="J3996" s="3565">
        <v>1144566</v>
      </c>
      <c r="K3996" s="3565">
        <v>10399.469999999999</v>
      </c>
      <c r="L3996" s="3565">
        <v>12941.72</v>
      </c>
      <c r="M3996" s="3565">
        <v>0</v>
      </c>
      <c r="N3996" s="3565">
        <v>0</v>
      </c>
      <c r="O3996" s="3563" t="s">
        <v>3453</v>
      </c>
    </row>
    <row r="3997" spans="1:15">
      <c r="A3997" s="3563" t="s">
        <v>8219</v>
      </c>
      <c r="B3997" s="3563" t="s">
        <v>4196</v>
      </c>
      <c r="C3997" s="3563" t="s">
        <v>4197</v>
      </c>
      <c r="D3997" s="3563" t="s">
        <v>6429</v>
      </c>
      <c r="E3997" s="3563" t="s">
        <v>6294</v>
      </c>
      <c r="F3997" s="3563" t="s">
        <v>4797</v>
      </c>
      <c r="G3997" s="3564">
        <v>101.72</v>
      </c>
      <c r="H3997" s="3564">
        <v>81.739999999999995</v>
      </c>
      <c r="I3997" s="3564">
        <v>19.98</v>
      </c>
      <c r="J3997" s="3565">
        <v>1048095</v>
      </c>
      <c r="K3997" s="3565">
        <v>10303.73</v>
      </c>
      <c r="L3997" s="3565">
        <v>12822.3</v>
      </c>
      <c r="M3997" s="3565">
        <v>0</v>
      </c>
      <c r="N3997" s="3565">
        <v>0</v>
      </c>
      <c r="O3997" s="3563" t="s">
        <v>3453</v>
      </c>
    </row>
    <row r="3998" spans="1:15">
      <c r="A3998" s="3563" t="s">
        <v>8220</v>
      </c>
      <c r="B3998" s="3563" t="s">
        <v>4196</v>
      </c>
      <c r="C3998" s="3563" t="s">
        <v>4197</v>
      </c>
      <c r="D3998" s="3563" t="s">
        <v>6429</v>
      </c>
      <c r="E3998" s="3563" t="s">
        <v>6294</v>
      </c>
      <c r="F3998" s="3563" t="s">
        <v>4797</v>
      </c>
      <c r="G3998" s="3564">
        <v>101.72</v>
      </c>
      <c r="H3998" s="3564">
        <v>81.739999999999995</v>
      </c>
      <c r="I3998" s="3564">
        <v>19.98</v>
      </c>
      <c r="J3998" s="3565">
        <v>1048095</v>
      </c>
      <c r="K3998" s="3565">
        <v>10303.73</v>
      </c>
      <c r="L3998" s="3565">
        <v>12822.3</v>
      </c>
      <c r="M3998" s="3565">
        <v>0</v>
      </c>
      <c r="N3998" s="3565">
        <v>0</v>
      </c>
      <c r="O3998" s="3563" t="s">
        <v>3453</v>
      </c>
    </row>
    <row r="3999" spans="1:15">
      <c r="A3999" s="3563" t="s">
        <v>8221</v>
      </c>
      <c r="B3999" s="3563" t="s">
        <v>4196</v>
      </c>
      <c r="C3999" s="3563" t="s">
        <v>4197</v>
      </c>
      <c r="D3999" s="3563" t="s">
        <v>6429</v>
      </c>
      <c r="E3999" s="3563" t="s">
        <v>6294</v>
      </c>
      <c r="F3999" s="3563" t="s">
        <v>4797</v>
      </c>
      <c r="G3999" s="3564">
        <v>90.57</v>
      </c>
      <c r="H3999" s="3564">
        <v>72.78</v>
      </c>
      <c r="I3999" s="3564">
        <v>17.79</v>
      </c>
      <c r="J3999" s="3565">
        <v>889850</v>
      </c>
      <c r="K3999" s="3565">
        <v>9825</v>
      </c>
      <c r="L3999" s="3565">
        <v>12226.57</v>
      </c>
      <c r="M3999" s="3565">
        <v>0</v>
      </c>
      <c r="N3999" s="3565">
        <v>0</v>
      </c>
      <c r="O3999" s="3563" t="s">
        <v>3453</v>
      </c>
    </row>
    <row r="4000" spans="1:15">
      <c r="A4000" s="3563" t="s">
        <v>8222</v>
      </c>
      <c r="B4000" s="3563" t="s">
        <v>4196</v>
      </c>
      <c r="C4000" s="3563" t="s">
        <v>4197</v>
      </c>
      <c r="D4000" s="3563" t="s">
        <v>6429</v>
      </c>
      <c r="E4000" s="3563" t="s">
        <v>6294</v>
      </c>
      <c r="F4000" s="3563" t="s">
        <v>4797</v>
      </c>
      <c r="G4000" s="3564">
        <v>78.44</v>
      </c>
      <c r="H4000" s="3564">
        <v>63.03</v>
      </c>
      <c r="I4000" s="3564">
        <v>15.41</v>
      </c>
      <c r="J4000" s="3565">
        <v>779019</v>
      </c>
      <c r="K4000" s="3565">
        <v>9931.4</v>
      </c>
      <c r="L4000" s="3565">
        <v>12359.5</v>
      </c>
      <c r="M4000" s="3565">
        <v>0</v>
      </c>
      <c r="N4000" s="3565">
        <v>0</v>
      </c>
      <c r="O4000" s="3563" t="s">
        <v>3453</v>
      </c>
    </row>
    <row r="4001" spans="1:15">
      <c r="A4001" s="3563" t="s">
        <v>8223</v>
      </c>
      <c r="B4001" s="3563" t="s">
        <v>4196</v>
      </c>
      <c r="C4001" s="3563" t="s">
        <v>4197</v>
      </c>
      <c r="D4001" s="3563" t="s">
        <v>6429</v>
      </c>
      <c r="E4001" s="3563" t="s">
        <v>6294</v>
      </c>
      <c r="F4001" s="3563" t="s">
        <v>4797</v>
      </c>
      <c r="G4001" s="3564">
        <v>78.44</v>
      </c>
      <c r="H4001" s="3564">
        <v>63.03</v>
      </c>
      <c r="I4001" s="3564">
        <v>15.41</v>
      </c>
      <c r="J4001" s="3565">
        <v>779019</v>
      </c>
      <c r="K4001" s="3565">
        <v>9931.4</v>
      </c>
      <c r="L4001" s="3565">
        <v>12359.5</v>
      </c>
      <c r="M4001" s="3565">
        <v>0</v>
      </c>
      <c r="N4001" s="3565">
        <v>0</v>
      </c>
      <c r="O4001" s="3563" t="s">
        <v>3453</v>
      </c>
    </row>
    <row r="4002" spans="1:15">
      <c r="A4002" s="3563" t="s">
        <v>8224</v>
      </c>
      <c r="B4002" s="3563" t="s">
        <v>4196</v>
      </c>
      <c r="C4002" s="3563" t="s">
        <v>4197</v>
      </c>
      <c r="D4002" s="3563" t="s">
        <v>6429</v>
      </c>
      <c r="E4002" s="3563" t="s">
        <v>6294</v>
      </c>
      <c r="F4002" s="3563" t="s">
        <v>4797</v>
      </c>
      <c r="G4002" s="3564">
        <v>110.06</v>
      </c>
      <c r="H4002" s="3564">
        <v>88.44</v>
      </c>
      <c r="I4002" s="3564">
        <v>21.62</v>
      </c>
      <c r="J4002" s="3565">
        <v>1145737</v>
      </c>
      <c r="K4002" s="3565">
        <v>10410.11</v>
      </c>
      <c r="L4002" s="3565">
        <v>12954.96</v>
      </c>
      <c r="M4002" s="3565">
        <v>0</v>
      </c>
      <c r="N4002" s="3565">
        <v>0</v>
      </c>
      <c r="O4002" s="3563" t="s">
        <v>3453</v>
      </c>
    </row>
    <row r="4003" spans="1:15">
      <c r="A4003" s="3563" t="s">
        <v>8225</v>
      </c>
      <c r="B4003" s="3563" t="s">
        <v>3453</v>
      </c>
      <c r="C4003" s="3563" t="s">
        <v>4197</v>
      </c>
      <c r="D4003" s="3563" t="s">
        <v>6429</v>
      </c>
      <c r="E4003" s="3563" t="s">
        <v>6294</v>
      </c>
      <c r="F4003" s="3563" t="s">
        <v>4797</v>
      </c>
      <c r="G4003" s="3564">
        <v>101.72</v>
      </c>
      <c r="H4003" s="3564">
        <v>81.739999999999995</v>
      </c>
      <c r="I4003" s="3564">
        <v>19.98</v>
      </c>
      <c r="J4003" s="3565">
        <v>1049177</v>
      </c>
      <c r="K4003" s="3565">
        <v>10314.36</v>
      </c>
      <c r="L4003" s="3565">
        <v>12835.54</v>
      </c>
      <c r="M4003" s="3565">
        <v>0</v>
      </c>
      <c r="N4003" s="3565">
        <v>0</v>
      </c>
      <c r="O4003" s="3563" t="s">
        <v>3453</v>
      </c>
    </row>
    <row r="4004" spans="1:15">
      <c r="A4004" s="3563" t="s">
        <v>8226</v>
      </c>
      <c r="B4004" s="3563" t="s">
        <v>4196</v>
      </c>
      <c r="C4004" s="3563" t="s">
        <v>4197</v>
      </c>
      <c r="D4004" s="3563" t="s">
        <v>6429</v>
      </c>
      <c r="E4004" s="3563" t="s">
        <v>6294</v>
      </c>
      <c r="F4004" s="3563" t="s">
        <v>4797</v>
      </c>
      <c r="G4004" s="3564">
        <v>101.72</v>
      </c>
      <c r="H4004" s="3564">
        <v>81.739999999999995</v>
      </c>
      <c r="I4004" s="3564">
        <v>19.98</v>
      </c>
      <c r="J4004" s="3565">
        <v>1049177</v>
      </c>
      <c r="K4004" s="3565">
        <v>10314.36</v>
      </c>
      <c r="L4004" s="3565">
        <v>12835.54</v>
      </c>
      <c r="M4004" s="3565">
        <v>0</v>
      </c>
      <c r="N4004" s="3565">
        <v>0</v>
      </c>
      <c r="O4004" s="3563" t="s">
        <v>3453</v>
      </c>
    </row>
    <row r="4005" spans="1:15">
      <c r="A4005" s="3563" t="s">
        <v>8227</v>
      </c>
      <c r="B4005" s="3563" t="s">
        <v>4196</v>
      </c>
      <c r="C4005" s="3563" t="s">
        <v>4197</v>
      </c>
      <c r="D4005" s="3563" t="s">
        <v>6429</v>
      </c>
      <c r="E4005" s="3563" t="s">
        <v>6294</v>
      </c>
      <c r="F4005" s="3563" t="s">
        <v>4797</v>
      </c>
      <c r="G4005" s="3564">
        <v>90.57</v>
      </c>
      <c r="H4005" s="3564">
        <v>72.78</v>
      </c>
      <c r="I4005" s="3564">
        <v>17.79</v>
      </c>
      <c r="J4005" s="3565">
        <v>890814</v>
      </c>
      <c r="K4005" s="3565">
        <v>9835.64</v>
      </c>
      <c r="L4005" s="3565">
        <v>12239.82</v>
      </c>
      <c r="M4005" s="3565">
        <v>0</v>
      </c>
      <c r="N4005" s="3565">
        <v>0</v>
      </c>
      <c r="O4005" s="3563" t="s">
        <v>3453</v>
      </c>
    </row>
    <row r="4006" spans="1:15">
      <c r="A4006" s="3563" t="s">
        <v>8228</v>
      </c>
      <c r="B4006" s="3563" t="s">
        <v>4196</v>
      </c>
      <c r="C4006" s="3563" t="s">
        <v>4197</v>
      </c>
      <c r="D4006" s="3563" t="s">
        <v>6429</v>
      </c>
      <c r="E4006" s="3563" t="s">
        <v>6294</v>
      </c>
      <c r="F4006" s="3563" t="s">
        <v>4797</v>
      </c>
      <c r="G4006" s="3564">
        <v>78.44</v>
      </c>
      <c r="H4006" s="3564">
        <v>63.03</v>
      </c>
      <c r="I4006" s="3564">
        <v>15.41</v>
      </c>
      <c r="J4006" s="3565">
        <v>779853</v>
      </c>
      <c r="K4006" s="3565">
        <v>9942.0300000000007</v>
      </c>
      <c r="L4006" s="3565">
        <v>12372.73</v>
      </c>
      <c r="M4006" s="3565">
        <v>0</v>
      </c>
      <c r="N4006" s="3565">
        <v>0</v>
      </c>
      <c r="O4006" s="3563" t="s">
        <v>3453</v>
      </c>
    </row>
    <row r="4007" spans="1:15">
      <c r="A4007" s="3563" t="s">
        <v>8229</v>
      </c>
      <c r="B4007" s="3563" t="s">
        <v>4196</v>
      </c>
      <c r="C4007" s="3563" t="s">
        <v>4197</v>
      </c>
      <c r="D4007" s="3563" t="s">
        <v>6429</v>
      </c>
      <c r="E4007" s="3563" t="s">
        <v>6294</v>
      </c>
      <c r="F4007" s="3563" t="s">
        <v>4797</v>
      </c>
      <c r="G4007" s="3564">
        <v>78.44</v>
      </c>
      <c r="H4007" s="3564">
        <v>63.03</v>
      </c>
      <c r="I4007" s="3564">
        <v>15.41</v>
      </c>
      <c r="J4007" s="3565">
        <v>779853</v>
      </c>
      <c r="K4007" s="3565">
        <v>9942.0300000000007</v>
      </c>
      <c r="L4007" s="3565">
        <v>12372.73</v>
      </c>
      <c r="M4007" s="3565">
        <v>0</v>
      </c>
      <c r="N4007" s="3565">
        <v>0</v>
      </c>
      <c r="O4007" s="3563" t="s">
        <v>3453</v>
      </c>
    </row>
    <row r="4008" spans="1:15">
      <c r="A4008" s="3563" t="s">
        <v>8230</v>
      </c>
      <c r="B4008" s="3563" t="s">
        <v>3453</v>
      </c>
      <c r="C4008" s="3563" t="s">
        <v>4197</v>
      </c>
      <c r="D4008" s="3563" t="s">
        <v>6429</v>
      </c>
      <c r="E4008" s="3563" t="s">
        <v>6294</v>
      </c>
      <c r="F4008" s="3563" t="s">
        <v>4797</v>
      </c>
      <c r="G4008" s="3564">
        <v>110.06</v>
      </c>
      <c r="H4008" s="3564">
        <v>88.44</v>
      </c>
      <c r="I4008" s="3564">
        <v>21.62</v>
      </c>
      <c r="J4008" s="3565">
        <v>1146908</v>
      </c>
      <c r="K4008" s="3565">
        <v>10420.75</v>
      </c>
      <c r="L4008" s="3565">
        <v>12968.2</v>
      </c>
      <c r="M4008" s="3565">
        <v>0</v>
      </c>
      <c r="N4008" s="3565">
        <v>0</v>
      </c>
      <c r="O4008" s="3563" t="s">
        <v>3453</v>
      </c>
    </row>
    <row r="4009" spans="1:15">
      <c r="A4009" s="3563" t="s">
        <v>8231</v>
      </c>
      <c r="B4009" s="3563" t="s">
        <v>4196</v>
      </c>
      <c r="C4009" s="3563" t="s">
        <v>4197</v>
      </c>
      <c r="D4009" s="3563" t="s">
        <v>6429</v>
      </c>
      <c r="E4009" s="3563" t="s">
        <v>6319</v>
      </c>
      <c r="F4009" s="3563" t="s">
        <v>4797</v>
      </c>
      <c r="G4009" s="3564">
        <v>98.54</v>
      </c>
      <c r="H4009" s="3564">
        <v>81.739999999999995</v>
      </c>
      <c r="I4009" s="3564">
        <v>16.8</v>
      </c>
      <c r="J4009" s="3565">
        <v>961866</v>
      </c>
      <c r="K4009" s="3565">
        <v>9761.17</v>
      </c>
      <c r="L4009" s="3565">
        <v>11767.38</v>
      </c>
      <c r="M4009" s="3565">
        <v>0</v>
      </c>
      <c r="N4009" s="3565">
        <v>0</v>
      </c>
      <c r="O4009" s="3563" t="s">
        <v>3453</v>
      </c>
    </row>
    <row r="4010" spans="1:15">
      <c r="A4010" s="3563" t="s">
        <v>8232</v>
      </c>
      <c r="B4010" s="3563" t="s">
        <v>4196</v>
      </c>
      <c r="C4010" s="3563" t="s">
        <v>4197</v>
      </c>
      <c r="D4010" s="3563" t="s">
        <v>6429</v>
      </c>
      <c r="E4010" s="3563" t="s">
        <v>6319</v>
      </c>
      <c r="F4010" s="3563" t="s">
        <v>4797</v>
      </c>
      <c r="G4010" s="3564">
        <v>98.54</v>
      </c>
      <c r="H4010" s="3564">
        <v>81.739999999999995</v>
      </c>
      <c r="I4010" s="3564">
        <v>16.8</v>
      </c>
      <c r="J4010" s="3565">
        <v>961866</v>
      </c>
      <c r="K4010" s="3565">
        <v>9761.17</v>
      </c>
      <c r="L4010" s="3565">
        <v>11767.38</v>
      </c>
      <c r="M4010" s="3565">
        <v>0</v>
      </c>
      <c r="N4010" s="3565">
        <v>0</v>
      </c>
      <c r="O4010" s="3563" t="s">
        <v>3453</v>
      </c>
    </row>
    <row r="4011" spans="1:15">
      <c r="A4011" s="3563" t="s">
        <v>8233</v>
      </c>
      <c r="B4011" s="3563" t="s">
        <v>4196</v>
      </c>
      <c r="C4011" s="3563" t="s">
        <v>4197</v>
      </c>
      <c r="D4011" s="3563" t="s">
        <v>6429</v>
      </c>
      <c r="E4011" s="3563" t="s">
        <v>6319</v>
      </c>
      <c r="F4011" s="3563" t="s">
        <v>4797</v>
      </c>
      <c r="G4011" s="3564">
        <v>87.74</v>
      </c>
      <c r="H4011" s="3564">
        <v>72.78</v>
      </c>
      <c r="I4011" s="3564">
        <v>14.96</v>
      </c>
      <c r="J4011" s="3565">
        <v>845245</v>
      </c>
      <c r="K4011" s="3565">
        <v>9633.52</v>
      </c>
      <c r="L4011" s="3565">
        <v>11613.7</v>
      </c>
      <c r="M4011" s="3565">
        <v>0</v>
      </c>
      <c r="N4011" s="3565">
        <v>0</v>
      </c>
      <c r="O4011" s="3563" t="s">
        <v>3453</v>
      </c>
    </row>
    <row r="4012" spans="1:15">
      <c r="A4012" s="3563" t="s">
        <v>8234</v>
      </c>
      <c r="B4012" s="3563" t="s">
        <v>4196</v>
      </c>
      <c r="C4012" s="3563" t="s">
        <v>4197</v>
      </c>
      <c r="D4012" s="3563" t="s">
        <v>6429</v>
      </c>
      <c r="E4012" s="3563" t="s">
        <v>6319</v>
      </c>
      <c r="F4012" s="3563" t="s">
        <v>4797</v>
      </c>
      <c r="G4012" s="3564">
        <v>73.45</v>
      </c>
      <c r="H4012" s="3564">
        <v>63.03</v>
      </c>
      <c r="I4012" s="3564">
        <v>10.42</v>
      </c>
      <c r="J4012" s="3565">
        <v>707581</v>
      </c>
      <c r="K4012" s="3565">
        <v>9633.51</v>
      </c>
      <c r="L4012" s="3565">
        <v>11226.1</v>
      </c>
      <c r="M4012" s="3565">
        <v>0</v>
      </c>
      <c r="N4012" s="3565">
        <v>0</v>
      </c>
      <c r="O4012" s="3563" t="s">
        <v>3453</v>
      </c>
    </row>
    <row r="4013" spans="1:15">
      <c r="A4013" s="3563" t="s">
        <v>8235</v>
      </c>
      <c r="B4013" s="3563" t="s">
        <v>4196</v>
      </c>
      <c r="C4013" s="3563" t="s">
        <v>4197</v>
      </c>
      <c r="D4013" s="3563" t="s">
        <v>6429</v>
      </c>
      <c r="E4013" s="3563" t="s">
        <v>6319</v>
      </c>
      <c r="F4013" s="3563" t="s">
        <v>4797</v>
      </c>
      <c r="G4013" s="3564">
        <v>73.45</v>
      </c>
      <c r="H4013" s="3564">
        <v>63.03</v>
      </c>
      <c r="I4013" s="3564">
        <v>10.42</v>
      </c>
      <c r="J4013" s="3565">
        <v>707581</v>
      </c>
      <c r="K4013" s="3565">
        <v>9633.51</v>
      </c>
      <c r="L4013" s="3565">
        <v>11226.1</v>
      </c>
      <c r="M4013" s="3565">
        <v>0</v>
      </c>
      <c r="N4013" s="3565">
        <v>0</v>
      </c>
      <c r="O4013" s="3563" t="s">
        <v>3453</v>
      </c>
    </row>
    <row r="4014" spans="1:15">
      <c r="A4014" s="3563" t="s">
        <v>8236</v>
      </c>
      <c r="B4014" s="3563" t="s">
        <v>4196</v>
      </c>
      <c r="C4014" s="3563" t="s">
        <v>4197</v>
      </c>
      <c r="D4014" s="3563" t="s">
        <v>6429</v>
      </c>
      <c r="E4014" s="3563" t="s">
        <v>6319</v>
      </c>
      <c r="F4014" s="3563" t="s">
        <v>4797</v>
      </c>
      <c r="G4014" s="3564">
        <v>101.72</v>
      </c>
      <c r="H4014" s="3564">
        <v>81.739999999999995</v>
      </c>
      <c r="I4014" s="3564">
        <v>19.98</v>
      </c>
      <c r="J4014" s="3565">
        <v>1050259</v>
      </c>
      <c r="K4014" s="3565">
        <v>10325</v>
      </c>
      <c r="L4014" s="3565">
        <v>12848.78</v>
      </c>
      <c r="M4014" s="3565">
        <v>0</v>
      </c>
      <c r="N4014" s="3565">
        <v>0</v>
      </c>
      <c r="O4014" s="3563" t="s">
        <v>3453</v>
      </c>
    </row>
    <row r="4015" spans="1:15">
      <c r="A4015" s="3563" t="s">
        <v>8237</v>
      </c>
      <c r="B4015" s="3563" t="s">
        <v>4196</v>
      </c>
      <c r="C4015" s="3563" t="s">
        <v>4197</v>
      </c>
      <c r="D4015" s="3563" t="s">
        <v>6429</v>
      </c>
      <c r="E4015" s="3563" t="s">
        <v>6319</v>
      </c>
      <c r="F4015" s="3563" t="s">
        <v>4797</v>
      </c>
      <c r="G4015" s="3564">
        <v>101.72</v>
      </c>
      <c r="H4015" s="3564">
        <v>81.739999999999995</v>
      </c>
      <c r="I4015" s="3564">
        <v>19.98</v>
      </c>
      <c r="J4015" s="3565">
        <v>1050259</v>
      </c>
      <c r="K4015" s="3565">
        <v>10325</v>
      </c>
      <c r="L4015" s="3565">
        <v>12848.78</v>
      </c>
      <c r="M4015" s="3565">
        <v>0</v>
      </c>
      <c r="N4015" s="3565">
        <v>0</v>
      </c>
      <c r="O4015" s="3563" t="s">
        <v>3453</v>
      </c>
    </row>
    <row r="4016" spans="1:15">
      <c r="A4016" s="3563" t="s">
        <v>8238</v>
      </c>
      <c r="B4016" s="3563" t="s">
        <v>4196</v>
      </c>
      <c r="C4016" s="3563" t="s">
        <v>4197</v>
      </c>
      <c r="D4016" s="3563" t="s">
        <v>6429</v>
      </c>
      <c r="E4016" s="3563" t="s">
        <v>6319</v>
      </c>
      <c r="F4016" s="3563" t="s">
        <v>4797</v>
      </c>
      <c r="G4016" s="3564">
        <v>90.57</v>
      </c>
      <c r="H4016" s="3564">
        <v>72.78</v>
      </c>
      <c r="I4016" s="3564">
        <v>17.79</v>
      </c>
      <c r="J4016" s="3565">
        <v>891778</v>
      </c>
      <c r="K4016" s="3565">
        <v>9846.2800000000007</v>
      </c>
      <c r="L4016" s="3565">
        <v>12253.06</v>
      </c>
      <c r="M4016" s="3565">
        <v>0</v>
      </c>
      <c r="N4016" s="3565">
        <v>0</v>
      </c>
      <c r="O4016" s="3563" t="s">
        <v>3453</v>
      </c>
    </row>
    <row r="4017" spans="1:15">
      <c r="A4017" s="3563" t="s">
        <v>8239</v>
      </c>
      <c r="B4017" s="3563" t="s">
        <v>4196</v>
      </c>
      <c r="C4017" s="3563" t="s">
        <v>4197</v>
      </c>
      <c r="D4017" s="3563" t="s">
        <v>6429</v>
      </c>
      <c r="E4017" s="3563" t="s">
        <v>6319</v>
      </c>
      <c r="F4017" s="3563" t="s">
        <v>4797</v>
      </c>
      <c r="G4017" s="3564">
        <v>78.44</v>
      </c>
      <c r="H4017" s="3564">
        <v>63.03</v>
      </c>
      <c r="I4017" s="3564">
        <v>15.41</v>
      </c>
      <c r="J4017" s="3565">
        <v>780687</v>
      </c>
      <c r="K4017" s="3565">
        <v>9952.66</v>
      </c>
      <c r="L4017" s="3565">
        <v>12385.96</v>
      </c>
      <c r="M4017" s="3565">
        <v>0</v>
      </c>
      <c r="N4017" s="3565">
        <v>0</v>
      </c>
      <c r="O4017" s="3563" t="s">
        <v>3453</v>
      </c>
    </row>
    <row r="4018" spans="1:15">
      <c r="A4018" s="3563" t="s">
        <v>8240</v>
      </c>
      <c r="B4018" s="3563" t="s">
        <v>3453</v>
      </c>
      <c r="C4018" s="3563" t="s">
        <v>4197</v>
      </c>
      <c r="D4018" s="3563" t="s">
        <v>6429</v>
      </c>
      <c r="E4018" s="3563" t="s">
        <v>6319</v>
      </c>
      <c r="F4018" s="3563" t="s">
        <v>4797</v>
      </c>
      <c r="G4018" s="3564">
        <v>78.44</v>
      </c>
      <c r="H4018" s="3564">
        <v>63.03</v>
      </c>
      <c r="I4018" s="3564">
        <v>15.41</v>
      </c>
      <c r="J4018" s="3565">
        <v>780687</v>
      </c>
      <c r="K4018" s="3565">
        <v>9952.66</v>
      </c>
      <c r="L4018" s="3565">
        <v>12385.96</v>
      </c>
      <c r="M4018" s="3565">
        <v>0</v>
      </c>
      <c r="N4018" s="3565">
        <v>0</v>
      </c>
      <c r="O4018" s="3563" t="s">
        <v>3453</v>
      </c>
    </row>
    <row r="4019" spans="1:15">
      <c r="A4019" s="3563" t="s">
        <v>8241</v>
      </c>
      <c r="B4019" s="3563" t="s">
        <v>4196</v>
      </c>
      <c r="C4019" s="3563" t="s">
        <v>4197</v>
      </c>
      <c r="D4019" s="3563" t="s">
        <v>6429</v>
      </c>
      <c r="E4019" s="3563" t="s">
        <v>6319</v>
      </c>
      <c r="F4019" s="3563" t="s">
        <v>4797</v>
      </c>
      <c r="G4019" s="3564">
        <v>110.06</v>
      </c>
      <c r="H4019" s="3564">
        <v>88.44</v>
      </c>
      <c r="I4019" s="3564">
        <v>21.62</v>
      </c>
      <c r="J4019" s="3565">
        <v>1089536</v>
      </c>
      <c r="K4019" s="3565">
        <v>9899.4699999999993</v>
      </c>
      <c r="L4019" s="3565">
        <v>12319.49</v>
      </c>
      <c r="M4019" s="3565">
        <v>0</v>
      </c>
      <c r="N4019" s="3565">
        <v>0</v>
      </c>
      <c r="O4019" s="3563" t="s">
        <v>3453</v>
      </c>
    </row>
    <row r="4020" spans="1:15">
      <c r="A4020" s="3563" t="s">
        <v>8242</v>
      </c>
      <c r="B4020" s="3563" t="s">
        <v>4196</v>
      </c>
      <c r="C4020" s="3563" t="s">
        <v>4197</v>
      </c>
      <c r="D4020" s="3563" t="s">
        <v>6429</v>
      </c>
      <c r="E4020" s="3563" t="s">
        <v>6319</v>
      </c>
      <c r="F4020" s="3563" t="s">
        <v>4797</v>
      </c>
      <c r="G4020" s="3564">
        <v>101.72</v>
      </c>
      <c r="H4020" s="3564">
        <v>81.739999999999995</v>
      </c>
      <c r="I4020" s="3564">
        <v>19.98</v>
      </c>
      <c r="J4020" s="3565">
        <v>1072985</v>
      </c>
      <c r="K4020" s="3565">
        <v>10548.42</v>
      </c>
      <c r="L4020" s="3565">
        <v>13126.8</v>
      </c>
      <c r="M4020" s="3565">
        <v>0</v>
      </c>
      <c r="N4020" s="3565">
        <v>0</v>
      </c>
      <c r="O4020" s="3563" t="s">
        <v>3453</v>
      </c>
    </row>
    <row r="4021" spans="1:15">
      <c r="A4021" s="3563" t="s">
        <v>8243</v>
      </c>
      <c r="B4021" s="3563" t="s">
        <v>4196</v>
      </c>
      <c r="C4021" s="3563" t="s">
        <v>4197</v>
      </c>
      <c r="D4021" s="3563" t="s">
        <v>6429</v>
      </c>
      <c r="E4021" s="3563" t="s">
        <v>6319</v>
      </c>
      <c r="F4021" s="3563" t="s">
        <v>4797</v>
      </c>
      <c r="G4021" s="3564">
        <v>101.72</v>
      </c>
      <c r="H4021" s="3564">
        <v>81.739999999999995</v>
      </c>
      <c r="I4021" s="3564">
        <v>19.98</v>
      </c>
      <c r="J4021" s="3565">
        <v>1051342</v>
      </c>
      <c r="K4021" s="3565">
        <v>10335.65</v>
      </c>
      <c r="L4021" s="3565">
        <v>12862.03</v>
      </c>
      <c r="M4021" s="3565">
        <v>0</v>
      </c>
      <c r="N4021" s="3565">
        <v>0</v>
      </c>
      <c r="O4021" s="3563" t="s">
        <v>3453</v>
      </c>
    </row>
    <row r="4022" spans="1:15">
      <c r="A4022" s="3563" t="s">
        <v>8244</v>
      </c>
      <c r="B4022" s="3563" t="s">
        <v>4196</v>
      </c>
      <c r="C4022" s="3563" t="s">
        <v>4197</v>
      </c>
      <c r="D4022" s="3563" t="s">
        <v>6429</v>
      </c>
      <c r="E4022" s="3563" t="s">
        <v>6319</v>
      </c>
      <c r="F4022" s="3563" t="s">
        <v>4797</v>
      </c>
      <c r="G4022" s="3564">
        <v>90.57</v>
      </c>
      <c r="H4022" s="3564">
        <v>72.78</v>
      </c>
      <c r="I4022" s="3564">
        <v>17.79</v>
      </c>
      <c r="J4022" s="3565">
        <v>892741</v>
      </c>
      <c r="K4022" s="3565">
        <v>9856.92</v>
      </c>
      <c r="L4022" s="3565">
        <v>12266.3</v>
      </c>
      <c r="M4022" s="3565">
        <v>0</v>
      </c>
      <c r="N4022" s="3565">
        <v>0</v>
      </c>
      <c r="O4022" s="3563" t="s">
        <v>3453</v>
      </c>
    </row>
    <row r="4023" spans="1:15">
      <c r="A4023" s="3563" t="s">
        <v>8245</v>
      </c>
      <c r="B4023" s="3563" t="s">
        <v>4196</v>
      </c>
      <c r="C4023" s="3563" t="s">
        <v>4197</v>
      </c>
      <c r="D4023" s="3563" t="s">
        <v>6429</v>
      </c>
      <c r="E4023" s="3563" t="s">
        <v>6319</v>
      </c>
      <c r="F4023" s="3563" t="s">
        <v>4797</v>
      </c>
      <c r="G4023" s="3564">
        <v>78.44</v>
      </c>
      <c r="H4023" s="3564">
        <v>63.03</v>
      </c>
      <c r="I4023" s="3564">
        <v>15.41</v>
      </c>
      <c r="J4023" s="3565">
        <v>781522</v>
      </c>
      <c r="K4023" s="3565">
        <v>9963.31</v>
      </c>
      <c r="L4023" s="3565">
        <v>12399.21</v>
      </c>
      <c r="M4023" s="3565">
        <v>0</v>
      </c>
      <c r="N4023" s="3565">
        <v>0</v>
      </c>
      <c r="O4023" s="3563" t="s">
        <v>3453</v>
      </c>
    </row>
    <row r="4024" spans="1:15">
      <c r="A4024" s="3563" t="s">
        <v>8246</v>
      </c>
      <c r="B4024" s="3563" t="s">
        <v>4196</v>
      </c>
      <c r="C4024" s="3563" t="s">
        <v>4197</v>
      </c>
      <c r="D4024" s="3563" t="s">
        <v>6429</v>
      </c>
      <c r="E4024" s="3563" t="s">
        <v>6319</v>
      </c>
      <c r="F4024" s="3563" t="s">
        <v>4797</v>
      </c>
      <c r="G4024" s="3564">
        <v>78.44</v>
      </c>
      <c r="H4024" s="3564">
        <v>63.03</v>
      </c>
      <c r="I4024" s="3564">
        <v>15.41</v>
      </c>
      <c r="J4024" s="3565">
        <v>781522</v>
      </c>
      <c r="K4024" s="3565">
        <v>9963.31</v>
      </c>
      <c r="L4024" s="3565">
        <v>12399.21</v>
      </c>
      <c r="M4024" s="3565">
        <v>0</v>
      </c>
      <c r="N4024" s="3565">
        <v>0</v>
      </c>
      <c r="O4024" s="3563" t="s">
        <v>3453</v>
      </c>
    </row>
    <row r="4025" spans="1:15">
      <c r="A4025" s="3563" t="s">
        <v>8247</v>
      </c>
      <c r="B4025" s="3563" t="s">
        <v>4196</v>
      </c>
      <c r="C4025" s="3563" t="s">
        <v>4197</v>
      </c>
      <c r="D4025" s="3563" t="s">
        <v>6429</v>
      </c>
      <c r="E4025" s="3563" t="s">
        <v>6319</v>
      </c>
      <c r="F4025" s="3563" t="s">
        <v>4797</v>
      </c>
      <c r="G4025" s="3564">
        <v>110.06</v>
      </c>
      <c r="H4025" s="3564">
        <v>88.44</v>
      </c>
      <c r="I4025" s="3564">
        <v>21.62</v>
      </c>
      <c r="J4025" s="3565">
        <v>1090707</v>
      </c>
      <c r="K4025" s="3565">
        <v>9910.11</v>
      </c>
      <c r="L4025" s="3565">
        <v>12332.73</v>
      </c>
      <c r="M4025" s="3565">
        <v>0</v>
      </c>
      <c r="N4025" s="3565">
        <v>0</v>
      </c>
      <c r="O4025" s="3563" t="s">
        <v>3453</v>
      </c>
    </row>
    <row r="4026" spans="1:15">
      <c r="A4026" s="3563" t="s">
        <v>8248</v>
      </c>
      <c r="B4026" s="3563" t="s">
        <v>4196</v>
      </c>
      <c r="C4026" s="3563" t="s">
        <v>4197</v>
      </c>
      <c r="D4026" s="3563" t="s">
        <v>6429</v>
      </c>
      <c r="E4026" s="3563" t="s">
        <v>6319</v>
      </c>
      <c r="F4026" s="3563" t="s">
        <v>4797</v>
      </c>
      <c r="G4026" s="3564">
        <v>101.72</v>
      </c>
      <c r="H4026" s="3564">
        <v>81.739999999999995</v>
      </c>
      <c r="I4026" s="3564">
        <v>19.98</v>
      </c>
      <c r="J4026" s="3565">
        <v>1074066</v>
      </c>
      <c r="K4026" s="3565">
        <v>10559.04</v>
      </c>
      <c r="L4026" s="3565">
        <v>13140.03</v>
      </c>
      <c r="M4026" s="3565">
        <v>0</v>
      </c>
      <c r="N4026" s="3565">
        <v>0</v>
      </c>
      <c r="O4026" s="3563" t="s">
        <v>3453</v>
      </c>
    </row>
    <row r="4027" spans="1:15">
      <c r="A4027" s="3563" t="s">
        <v>8249</v>
      </c>
      <c r="B4027" s="3563" t="s">
        <v>4196</v>
      </c>
      <c r="C4027" s="3563" t="s">
        <v>4197</v>
      </c>
      <c r="D4027" s="3563" t="s">
        <v>6429</v>
      </c>
      <c r="E4027" s="3563" t="s">
        <v>6319</v>
      </c>
      <c r="F4027" s="3563" t="s">
        <v>4797</v>
      </c>
      <c r="G4027" s="3564">
        <v>101.72</v>
      </c>
      <c r="H4027" s="3564">
        <v>81.739999999999995</v>
      </c>
      <c r="I4027" s="3564">
        <v>19.98</v>
      </c>
      <c r="J4027" s="3565">
        <v>1074066</v>
      </c>
      <c r="K4027" s="3565">
        <v>10559.04</v>
      </c>
      <c r="L4027" s="3565">
        <v>13140.03</v>
      </c>
      <c r="M4027" s="3565">
        <v>0</v>
      </c>
      <c r="N4027" s="3565">
        <v>0</v>
      </c>
      <c r="O4027" s="3563" t="s">
        <v>3453</v>
      </c>
    </row>
    <row r="4028" spans="1:15">
      <c r="A4028" s="3563" t="s">
        <v>8250</v>
      </c>
      <c r="B4028" s="3563" t="s">
        <v>4196</v>
      </c>
      <c r="C4028" s="3563" t="s">
        <v>4197</v>
      </c>
      <c r="D4028" s="3563" t="s">
        <v>6429</v>
      </c>
      <c r="E4028" s="3563" t="s">
        <v>6319</v>
      </c>
      <c r="F4028" s="3563" t="s">
        <v>4797</v>
      </c>
      <c r="G4028" s="3564">
        <v>90.57</v>
      </c>
      <c r="H4028" s="3564">
        <v>72.78</v>
      </c>
      <c r="I4028" s="3564">
        <v>17.79</v>
      </c>
      <c r="J4028" s="3565">
        <v>893705</v>
      </c>
      <c r="K4028" s="3565">
        <v>9867.56</v>
      </c>
      <c r="L4028" s="3565">
        <v>12279.54</v>
      </c>
      <c r="M4028" s="3565">
        <v>0</v>
      </c>
      <c r="N4028" s="3565">
        <v>0</v>
      </c>
      <c r="O4028" s="3563" t="s">
        <v>3453</v>
      </c>
    </row>
    <row r="4029" spans="1:15">
      <c r="A4029" s="3563" t="s">
        <v>8251</v>
      </c>
      <c r="B4029" s="3563" t="s">
        <v>4196</v>
      </c>
      <c r="C4029" s="3563" t="s">
        <v>4197</v>
      </c>
      <c r="D4029" s="3563" t="s">
        <v>6429</v>
      </c>
      <c r="E4029" s="3563" t="s">
        <v>6319</v>
      </c>
      <c r="F4029" s="3563" t="s">
        <v>4797</v>
      </c>
      <c r="G4029" s="3564">
        <v>78.44</v>
      </c>
      <c r="H4029" s="3564">
        <v>63.03</v>
      </c>
      <c r="I4029" s="3564">
        <v>15.41</v>
      </c>
      <c r="J4029" s="3565">
        <v>782356</v>
      </c>
      <c r="K4029" s="3565">
        <v>9973.94</v>
      </c>
      <c r="L4029" s="3565">
        <v>12412.44</v>
      </c>
      <c r="M4029" s="3565">
        <v>0</v>
      </c>
      <c r="N4029" s="3565">
        <v>0</v>
      </c>
      <c r="O4029" s="3563" t="s">
        <v>3453</v>
      </c>
    </row>
    <row r="4030" spans="1:15">
      <c r="A4030" s="3563" t="s">
        <v>8252</v>
      </c>
      <c r="B4030" s="3563" t="s">
        <v>4196</v>
      </c>
      <c r="C4030" s="3563" t="s">
        <v>4197</v>
      </c>
      <c r="D4030" s="3563" t="s">
        <v>6429</v>
      </c>
      <c r="E4030" s="3563" t="s">
        <v>6319</v>
      </c>
      <c r="F4030" s="3563" t="s">
        <v>4797</v>
      </c>
      <c r="G4030" s="3564">
        <v>78.44</v>
      </c>
      <c r="H4030" s="3564">
        <v>63.03</v>
      </c>
      <c r="I4030" s="3564">
        <v>15.41</v>
      </c>
      <c r="J4030" s="3565">
        <v>782356</v>
      </c>
      <c r="K4030" s="3565">
        <v>9973.94</v>
      </c>
      <c r="L4030" s="3565">
        <v>12412.44</v>
      </c>
      <c r="M4030" s="3565">
        <v>0</v>
      </c>
      <c r="N4030" s="3565">
        <v>0</v>
      </c>
      <c r="O4030" s="3563" t="s">
        <v>3453</v>
      </c>
    </row>
    <row r="4031" spans="1:15">
      <c r="A4031" s="3563" t="s">
        <v>8253</v>
      </c>
      <c r="B4031" s="3563" t="s">
        <v>4196</v>
      </c>
      <c r="C4031" s="3563" t="s">
        <v>4197</v>
      </c>
      <c r="D4031" s="3563" t="s">
        <v>6429</v>
      </c>
      <c r="E4031" s="3563" t="s">
        <v>6319</v>
      </c>
      <c r="F4031" s="3563" t="s">
        <v>4797</v>
      </c>
      <c r="G4031" s="3564">
        <v>110.06</v>
      </c>
      <c r="H4031" s="3564">
        <v>88.44</v>
      </c>
      <c r="I4031" s="3564">
        <v>21.62</v>
      </c>
      <c r="J4031" s="3565">
        <v>1091878</v>
      </c>
      <c r="K4031" s="3565">
        <v>9920.75</v>
      </c>
      <c r="L4031" s="3565">
        <v>12345.97</v>
      </c>
      <c r="M4031" s="3565">
        <v>0</v>
      </c>
      <c r="N4031" s="3565">
        <v>0</v>
      </c>
      <c r="O4031" s="3563" t="s">
        <v>3453</v>
      </c>
    </row>
    <row r="4032" spans="1:15">
      <c r="A4032" s="3563" t="s">
        <v>8254</v>
      </c>
      <c r="B4032" s="3563" t="s">
        <v>4196</v>
      </c>
      <c r="C4032" s="3563" t="s">
        <v>4197</v>
      </c>
      <c r="D4032" s="3563" t="s">
        <v>6429</v>
      </c>
      <c r="E4032" s="3563" t="s">
        <v>6319</v>
      </c>
      <c r="F4032" s="3563" t="s">
        <v>4797</v>
      </c>
      <c r="G4032" s="3564">
        <v>101.72</v>
      </c>
      <c r="H4032" s="3564">
        <v>81.739999999999995</v>
      </c>
      <c r="I4032" s="3564">
        <v>19.98</v>
      </c>
      <c r="J4032" s="3565">
        <v>1075148</v>
      </c>
      <c r="K4032" s="3565">
        <v>10569.68</v>
      </c>
      <c r="L4032" s="3565">
        <v>13153.27</v>
      </c>
      <c r="M4032" s="3565">
        <v>0</v>
      </c>
      <c r="N4032" s="3565">
        <v>0</v>
      </c>
      <c r="O4032" s="3563" t="s">
        <v>3453</v>
      </c>
    </row>
    <row r="4033" spans="1:15">
      <c r="A4033" s="3563" t="s">
        <v>8255</v>
      </c>
      <c r="B4033" s="3563" t="s">
        <v>4196</v>
      </c>
      <c r="C4033" s="3563" t="s">
        <v>4197</v>
      </c>
      <c r="D4033" s="3563" t="s">
        <v>6429</v>
      </c>
      <c r="E4033" s="3563" t="s">
        <v>6319</v>
      </c>
      <c r="F4033" s="3563" t="s">
        <v>4797</v>
      </c>
      <c r="G4033" s="3564">
        <v>101.72</v>
      </c>
      <c r="H4033" s="3564">
        <v>81.739999999999995</v>
      </c>
      <c r="I4033" s="3564">
        <v>19.98</v>
      </c>
      <c r="J4033" s="3565">
        <v>1075148</v>
      </c>
      <c r="K4033" s="3565">
        <v>10569.68</v>
      </c>
      <c r="L4033" s="3565">
        <v>13153.27</v>
      </c>
      <c r="M4033" s="3565">
        <v>0</v>
      </c>
      <c r="N4033" s="3565">
        <v>0</v>
      </c>
      <c r="O4033" s="3563" t="s">
        <v>3453</v>
      </c>
    </row>
    <row r="4034" spans="1:15">
      <c r="A4034" s="3563" t="s">
        <v>8256</v>
      </c>
      <c r="B4034" s="3563" t="s">
        <v>4196</v>
      </c>
      <c r="C4034" s="3563" t="s">
        <v>4197</v>
      </c>
      <c r="D4034" s="3563" t="s">
        <v>6429</v>
      </c>
      <c r="E4034" s="3563" t="s">
        <v>6319</v>
      </c>
      <c r="F4034" s="3563" t="s">
        <v>4797</v>
      </c>
      <c r="G4034" s="3564">
        <v>90.57</v>
      </c>
      <c r="H4034" s="3564">
        <v>72.78</v>
      </c>
      <c r="I4034" s="3564">
        <v>17.79</v>
      </c>
      <c r="J4034" s="3565">
        <v>894669</v>
      </c>
      <c r="K4034" s="3565">
        <v>9878.2000000000007</v>
      </c>
      <c r="L4034" s="3565">
        <v>12292.79</v>
      </c>
      <c r="M4034" s="3565">
        <v>0</v>
      </c>
      <c r="N4034" s="3565">
        <v>0</v>
      </c>
      <c r="O4034" s="3563" t="s">
        <v>3453</v>
      </c>
    </row>
    <row r="4035" spans="1:15">
      <c r="A4035" s="3563" t="s">
        <v>8257</v>
      </c>
      <c r="B4035" s="3563" t="s">
        <v>4196</v>
      </c>
      <c r="C4035" s="3563" t="s">
        <v>4197</v>
      </c>
      <c r="D4035" s="3563" t="s">
        <v>6429</v>
      </c>
      <c r="E4035" s="3563" t="s">
        <v>6319</v>
      </c>
      <c r="F4035" s="3563" t="s">
        <v>4797</v>
      </c>
      <c r="G4035" s="3564">
        <v>78.44</v>
      </c>
      <c r="H4035" s="3564">
        <v>63.03</v>
      </c>
      <c r="I4035" s="3564">
        <v>15.41</v>
      </c>
      <c r="J4035" s="3565">
        <v>783191</v>
      </c>
      <c r="K4035" s="3565">
        <v>9984.59</v>
      </c>
      <c r="L4035" s="3565">
        <v>12425.69</v>
      </c>
      <c r="M4035" s="3565">
        <v>0</v>
      </c>
      <c r="N4035" s="3565">
        <v>0</v>
      </c>
      <c r="O4035" s="3563" t="s">
        <v>3453</v>
      </c>
    </row>
    <row r="4036" spans="1:15">
      <c r="A4036" s="3563" t="s">
        <v>8258</v>
      </c>
      <c r="B4036" s="3563" t="s">
        <v>4196</v>
      </c>
      <c r="C4036" s="3563" t="s">
        <v>4197</v>
      </c>
      <c r="D4036" s="3563" t="s">
        <v>6429</v>
      </c>
      <c r="E4036" s="3563" t="s">
        <v>6319</v>
      </c>
      <c r="F4036" s="3563" t="s">
        <v>4797</v>
      </c>
      <c r="G4036" s="3564">
        <v>78.44</v>
      </c>
      <c r="H4036" s="3564">
        <v>63.03</v>
      </c>
      <c r="I4036" s="3564">
        <v>15.41</v>
      </c>
      <c r="J4036" s="3565">
        <v>783191</v>
      </c>
      <c r="K4036" s="3565">
        <v>9984.59</v>
      </c>
      <c r="L4036" s="3565">
        <v>12425.69</v>
      </c>
      <c r="M4036" s="3565">
        <v>0</v>
      </c>
      <c r="N4036" s="3565">
        <v>0</v>
      </c>
      <c r="O4036" s="3563" t="s">
        <v>3453</v>
      </c>
    </row>
    <row r="4037" spans="1:15">
      <c r="A4037" s="3563" t="s">
        <v>8259</v>
      </c>
      <c r="B4037" s="3563" t="s">
        <v>4196</v>
      </c>
      <c r="C4037" s="3563" t="s">
        <v>4197</v>
      </c>
      <c r="D4037" s="3563" t="s">
        <v>6429</v>
      </c>
      <c r="E4037" s="3563" t="s">
        <v>6319</v>
      </c>
      <c r="F4037" s="3563" t="s">
        <v>4797</v>
      </c>
      <c r="G4037" s="3564">
        <v>110.06</v>
      </c>
      <c r="H4037" s="3564">
        <v>88.44</v>
      </c>
      <c r="I4037" s="3564">
        <v>21.62</v>
      </c>
      <c r="J4037" s="3565">
        <v>1116465</v>
      </c>
      <c r="K4037" s="3565">
        <v>10144.15</v>
      </c>
      <c r="L4037" s="3565">
        <v>12623.98</v>
      </c>
      <c r="M4037" s="3565">
        <v>0</v>
      </c>
      <c r="N4037" s="3565">
        <v>0</v>
      </c>
      <c r="O4037" s="3563" t="s">
        <v>3453</v>
      </c>
    </row>
    <row r="4038" spans="1:15">
      <c r="A4038" s="3563" t="s">
        <v>8260</v>
      </c>
      <c r="B4038" s="3563" t="s">
        <v>4196</v>
      </c>
      <c r="C4038" s="3563" t="s">
        <v>4197</v>
      </c>
      <c r="D4038" s="3563" t="s">
        <v>6429</v>
      </c>
      <c r="E4038" s="3563" t="s">
        <v>6319</v>
      </c>
      <c r="F4038" s="3563" t="s">
        <v>4797</v>
      </c>
      <c r="G4038" s="3564">
        <v>101.72</v>
      </c>
      <c r="H4038" s="3564">
        <v>81.739999999999995</v>
      </c>
      <c r="I4038" s="3564">
        <v>19.98</v>
      </c>
      <c r="J4038" s="3565">
        <v>1065409</v>
      </c>
      <c r="K4038" s="3565">
        <v>10473.94</v>
      </c>
      <c r="L4038" s="3565">
        <v>13034.12</v>
      </c>
      <c r="M4038" s="3565">
        <v>0</v>
      </c>
      <c r="N4038" s="3565">
        <v>0</v>
      </c>
      <c r="O4038" s="3563" t="s">
        <v>3453</v>
      </c>
    </row>
    <row r="4039" spans="1:15">
      <c r="A4039" s="3563" t="s">
        <v>8261</v>
      </c>
      <c r="B4039" s="3563" t="s">
        <v>4196</v>
      </c>
      <c r="C4039" s="3563" t="s">
        <v>4197</v>
      </c>
      <c r="D4039" s="3563" t="s">
        <v>6429</v>
      </c>
      <c r="E4039" s="3563" t="s">
        <v>6319</v>
      </c>
      <c r="F4039" s="3563" t="s">
        <v>4797</v>
      </c>
      <c r="G4039" s="3564">
        <v>101.72</v>
      </c>
      <c r="H4039" s="3564">
        <v>81.739999999999995</v>
      </c>
      <c r="I4039" s="3564">
        <v>19.98</v>
      </c>
      <c r="J4039" s="3565">
        <v>1065409</v>
      </c>
      <c r="K4039" s="3565">
        <v>10473.94</v>
      </c>
      <c r="L4039" s="3565">
        <v>13034.12</v>
      </c>
      <c r="M4039" s="3565">
        <v>0</v>
      </c>
      <c r="N4039" s="3565">
        <v>0</v>
      </c>
      <c r="O4039" s="3563" t="s">
        <v>3453</v>
      </c>
    </row>
    <row r="4040" spans="1:15">
      <c r="A4040" s="3563" t="s">
        <v>8262</v>
      </c>
      <c r="B4040" s="3563" t="s">
        <v>4196</v>
      </c>
      <c r="C4040" s="3563" t="s">
        <v>4197</v>
      </c>
      <c r="D4040" s="3563" t="s">
        <v>6429</v>
      </c>
      <c r="E4040" s="3563" t="s">
        <v>6319</v>
      </c>
      <c r="F4040" s="3563" t="s">
        <v>4797</v>
      </c>
      <c r="G4040" s="3564">
        <v>90.57</v>
      </c>
      <c r="H4040" s="3564">
        <v>72.78</v>
      </c>
      <c r="I4040" s="3564">
        <v>17.79</v>
      </c>
      <c r="J4040" s="3565">
        <v>885996</v>
      </c>
      <c r="K4040" s="3565">
        <v>9782.44</v>
      </c>
      <c r="L4040" s="3565">
        <v>12173.62</v>
      </c>
      <c r="M4040" s="3565">
        <v>0</v>
      </c>
      <c r="N4040" s="3565">
        <v>0</v>
      </c>
      <c r="O4040" s="3563" t="s">
        <v>3453</v>
      </c>
    </row>
    <row r="4041" spans="1:15">
      <c r="A4041" s="3563" t="s">
        <v>8263</v>
      </c>
      <c r="B4041" s="3563" t="s">
        <v>4196</v>
      </c>
      <c r="C4041" s="3563" t="s">
        <v>4197</v>
      </c>
      <c r="D4041" s="3563" t="s">
        <v>6429</v>
      </c>
      <c r="E4041" s="3563" t="s">
        <v>6319</v>
      </c>
      <c r="F4041" s="3563" t="s">
        <v>4797</v>
      </c>
      <c r="G4041" s="3564">
        <v>78.44</v>
      </c>
      <c r="H4041" s="3564">
        <v>63.03</v>
      </c>
      <c r="I4041" s="3564">
        <v>15.41</v>
      </c>
      <c r="J4041" s="3565">
        <v>775680</v>
      </c>
      <c r="K4041" s="3565">
        <v>9888.83</v>
      </c>
      <c r="L4041" s="3565">
        <v>12306.52</v>
      </c>
      <c r="M4041" s="3565">
        <v>0</v>
      </c>
      <c r="N4041" s="3565">
        <v>0</v>
      </c>
      <c r="O4041" s="3563" t="s">
        <v>3453</v>
      </c>
    </row>
    <row r="4042" spans="1:15">
      <c r="A4042" s="3563" t="s">
        <v>8264</v>
      </c>
      <c r="B4042" s="3563" t="s">
        <v>4196</v>
      </c>
      <c r="C4042" s="3563" t="s">
        <v>4197</v>
      </c>
      <c r="D4042" s="3563" t="s">
        <v>6429</v>
      </c>
      <c r="E4042" s="3563" t="s">
        <v>6319</v>
      </c>
      <c r="F4042" s="3563" t="s">
        <v>4797</v>
      </c>
      <c r="G4042" s="3564">
        <v>78.44</v>
      </c>
      <c r="H4042" s="3564">
        <v>63.03</v>
      </c>
      <c r="I4042" s="3564">
        <v>15.41</v>
      </c>
      <c r="J4042" s="3565">
        <v>792370</v>
      </c>
      <c r="K4042" s="3565">
        <v>10101.61</v>
      </c>
      <c r="L4042" s="3565">
        <v>12571.32</v>
      </c>
      <c r="M4042" s="3565">
        <v>0</v>
      </c>
      <c r="N4042" s="3565">
        <v>0</v>
      </c>
      <c r="O4042" s="3563" t="s">
        <v>3453</v>
      </c>
    </row>
    <row r="4043" spans="1:15">
      <c r="A4043" s="3563" t="s">
        <v>8265</v>
      </c>
      <c r="B4043" s="3563" t="s">
        <v>4196</v>
      </c>
      <c r="C4043" s="3563" t="s">
        <v>4197</v>
      </c>
      <c r="D4043" s="3563" t="s">
        <v>6429</v>
      </c>
      <c r="E4043" s="3563" t="s">
        <v>6319</v>
      </c>
      <c r="F4043" s="3563" t="s">
        <v>4797</v>
      </c>
      <c r="G4043" s="3564">
        <v>110.06</v>
      </c>
      <c r="H4043" s="3564">
        <v>88.44</v>
      </c>
      <c r="I4043" s="3564">
        <v>21.62</v>
      </c>
      <c r="J4043" s="3565">
        <v>1105928</v>
      </c>
      <c r="K4043" s="3565">
        <v>10048.41</v>
      </c>
      <c r="L4043" s="3565">
        <v>12504.84</v>
      </c>
      <c r="M4043" s="3565">
        <v>0</v>
      </c>
      <c r="N4043" s="3565">
        <v>0</v>
      </c>
      <c r="O4043" s="3563" t="s">
        <v>3453</v>
      </c>
    </row>
    <row r="4044" spans="1:15">
      <c r="A4044" s="3563" t="s">
        <v>8266</v>
      </c>
      <c r="B4044" s="3563" t="s">
        <v>4196</v>
      </c>
      <c r="C4044" s="3563" t="s">
        <v>4197</v>
      </c>
      <c r="D4044" s="3563" t="s">
        <v>6429</v>
      </c>
      <c r="E4044" s="3563" t="s">
        <v>6319</v>
      </c>
      <c r="F4044" s="3563" t="s">
        <v>4797</v>
      </c>
      <c r="G4044" s="3564">
        <v>101.72</v>
      </c>
      <c r="H4044" s="3564">
        <v>81.739999999999995</v>
      </c>
      <c r="I4044" s="3564">
        <v>19.98</v>
      </c>
      <c r="J4044" s="3565">
        <v>1077312</v>
      </c>
      <c r="K4044" s="3565">
        <v>10590.96</v>
      </c>
      <c r="L4044" s="3565">
        <v>13179.74</v>
      </c>
      <c r="M4044" s="3565">
        <v>0</v>
      </c>
      <c r="N4044" s="3565">
        <v>0</v>
      </c>
      <c r="O4044" s="3563" t="s">
        <v>3453</v>
      </c>
    </row>
    <row r="4045" spans="1:15">
      <c r="A4045" s="3563" t="s">
        <v>8267</v>
      </c>
      <c r="B4045" s="3563" t="s">
        <v>4196</v>
      </c>
      <c r="C4045" s="3563" t="s">
        <v>4197</v>
      </c>
      <c r="D4045" s="3563" t="s">
        <v>6429</v>
      </c>
      <c r="E4045" s="3563" t="s">
        <v>6319</v>
      </c>
      <c r="F4045" s="3563" t="s">
        <v>4797</v>
      </c>
      <c r="G4045" s="3564">
        <v>101.72</v>
      </c>
      <c r="H4045" s="3564">
        <v>81.739999999999995</v>
      </c>
      <c r="I4045" s="3564">
        <v>19.98</v>
      </c>
      <c r="J4045" s="3565">
        <v>1077312</v>
      </c>
      <c r="K4045" s="3565">
        <v>10590.96</v>
      </c>
      <c r="L4045" s="3565">
        <v>13179.74</v>
      </c>
      <c r="M4045" s="3565">
        <v>0</v>
      </c>
      <c r="N4045" s="3565">
        <v>0</v>
      </c>
      <c r="O4045" s="3563" t="s">
        <v>3453</v>
      </c>
    </row>
    <row r="4046" spans="1:15">
      <c r="A4046" s="3563" t="s">
        <v>8268</v>
      </c>
      <c r="B4046" s="3563" t="s">
        <v>4196</v>
      </c>
      <c r="C4046" s="3563" t="s">
        <v>4197</v>
      </c>
      <c r="D4046" s="3563" t="s">
        <v>6429</v>
      </c>
      <c r="E4046" s="3563" t="s">
        <v>6319</v>
      </c>
      <c r="F4046" s="3563" t="s">
        <v>4797</v>
      </c>
      <c r="G4046" s="3564">
        <v>90.57</v>
      </c>
      <c r="H4046" s="3564">
        <v>72.78</v>
      </c>
      <c r="I4046" s="3564">
        <v>17.79</v>
      </c>
      <c r="J4046" s="3565">
        <v>896595</v>
      </c>
      <c r="K4046" s="3565">
        <v>9899.4699999999993</v>
      </c>
      <c r="L4046" s="3565">
        <v>12319.25</v>
      </c>
      <c r="M4046" s="3565">
        <v>0</v>
      </c>
      <c r="N4046" s="3565">
        <v>0</v>
      </c>
      <c r="O4046" s="3563" t="s">
        <v>3453</v>
      </c>
    </row>
    <row r="4047" spans="1:15">
      <c r="A4047" s="3563" t="s">
        <v>8269</v>
      </c>
      <c r="B4047" s="3563" t="s">
        <v>4196</v>
      </c>
      <c r="C4047" s="3563" t="s">
        <v>4197</v>
      </c>
      <c r="D4047" s="3563" t="s">
        <v>6429</v>
      </c>
      <c r="E4047" s="3563" t="s">
        <v>6319</v>
      </c>
      <c r="F4047" s="3563" t="s">
        <v>4797</v>
      </c>
      <c r="G4047" s="3564">
        <v>78.44</v>
      </c>
      <c r="H4047" s="3564">
        <v>63.03</v>
      </c>
      <c r="I4047" s="3564">
        <v>15.41</v>
      </c>
      <c r="J4047" s="3565">
        <v>784859</v>
      </c>
      <c r="K4047" s="3565">
        <v>10005.85</v>
      </c>
      <c r="L4047" s="3565">
        <v>12452.15</v>
      </c>
      <c r="M4047" s="3565">
        <v>0</v>
      </c>
      <c r="N4047" s="3565">
        <v>0</v>
      </c>
      <c r="O4047" s="3563" t="s">
        <v>3453</v>
      </c>
    </row>
    <row r="4048" spans="1:15">
      <c r="A4048" s="3563" t="s">
        <v>8270</v>
      </c>
      <c r="B4048" s="3563" t="s">
        <v>4196</v>
      </c>
      <c r="C4048" s="3563" t="s">
        <v>4197</v>
      </c>
      <c r="D4048" s="3563" t="s">
        <v>6429</v>
      </c>
      <c r="E4048" s="3563" t="s">
        <v>6319</v>
      </c>
      <c r="F4048" s="3563" t="s">
        <v>4797</v>
      </c>
      <c r="G4048" s="3564">
        <v>78.44</v>
      </c>
      <c r="H4048" s="3564">
        <v>63.03</v>
      </c>
      <c r="I4048" s="3564">
        <v>15.41</v>
      </c>
      <c r="J4048" s="3565">
        <v>801548</v>
      </c>
      <c r="K4048" s="3565">
        <v>10218.61</v>
      </c>
      <c r="L4048" s="3565">
        <v>12716.93</v>
      </c>
      <c r="M4048" s="3565">
        <v>0</v>
      </c>
      <c r="N4048" s="3565">
        <v>0</v>
      </c>
      <c r="O4048" s="3563" t="s">
        <v>3453</v>
      </c>
    </row>
    <row r="4049" spans="1:15">
      <c r="A4049" s="3563" t="s">
        <v>8271</v>
      </c>
      <c r="B4049" s="3563" t="s">
        <v>4196</v>
      </c>
      <c r="C4049" s="3563" t="s">
        <v>4197</v>
      </c>
      <c r="D4049" s="3563" t="s">
        <v>6429</v>
      </c>
      <c r="E4049" s="3563" t="s">
        <v>6319</v>
      </c>
      <c r="F4049" s="3563" t="s">
        <v>4797</v>
      </c>
      <c r="G4049" s="3564">
        <v>110.06</v>
      </c>
      <c r="H4049" s="3564">
        <v>88.44</v>
      </c>
      <c r="I4049" s="3564">
        <v>21.62</v>
      </c>
      <c r="J4049" s="3565">
        <v>1118807</v>
      </c>
      <c r="K4049" s="3565">
        <v>10165.43</v>
      </c>
      <c r="L4049" s="3565">
        <v>12650.46</v>
      </c>
      <c r="M4049" s="3565">
        <v>0</v>
      </c>
      <c r="N4049" s="3565">
        <v>0</v>
      </c>
      <c r="O4049" s="3563" t="s">
        <v>3453</v>
      </c>
    </row>
    <row r="4050" spans="1:15">
      <c r="A4050" s="3563" t="s">
        <v>8272</v>
      </c>
      <c r="B4050" s="3563" t="s">
        <v>4196</v>
      </c>
      <c r="C4050" s="3563" t="s">
        <v>4197</v>
      </c>
      <c r="D4050" s="3563" t="s">
        <v>6429</v>
      </c>
      <c r="E4050" s="3563" t="s">
        <v>6319</v>
      </c>
      <c r="F4050" s="3563" t="s">
        <v>4797</v>
      </c>
      <c r="G4050" s="3564">
        <v>101.72</v>
      </c>
      <c r="H4050" s="3564">
        <v>81.739999999999995</v>
      </c>
      <c r="I4050" s="3564">
        <v>19.98</v>
      </c>
      <c r="J4050" s="3565">
        <v>1076230</v>
      </c>
      <c r="K4050" s="3565">
        <v>10580.32</v>
      </c>
      <c r="L4050" s="3565">
        <v>13166.5</v>
      </c>
      <c r="M4050" s="3565">
        <v>0</v>
      </c>
      <c r="N4050" s="3565">
        <v>0</v>
      </c>
      <c r="O4050" s="3563" t="s">
        <v>3453</v>
      </c>
    </row>
    <row r="4051" spans="1:15">
      <c r="A4051" s="3563" t="s">
        <v>8273</v>
      </c>
      <c r="B4051" s="3563" t="s">
        <v>4196</v>
      </c>
      <c r="C4051" s="3563" t="s">
        <v>4197</v>
      </c>
      <c r="D4051" s="3563" t="s">
        <v>6429</v>
      </c>
      <c r="E4051" s="3563" t="s">
        <v>6319</v>
      </c>
      <c r="F4051" s="3563" t="s">
        <v>4797</v>
      </c>
      <c r="G4051" s="3564">
        <v>101.72</v>
      </c>
      <c r="H4051" s="3564">
        <v>81.739999999999995</v>
      </c>
      <c r="I4051" s="3564">
        <v>19.98</v>
      </c>
      <c r="J4051" s="3565">
        <v>1076230</v>
      </c>
      <c r="K4051" s="3565">
        <v>10580.32</v>
      </c>
      <c r="L4051" s="3565">
        <v>13166.5</v>
      </c>
      <c r="M4051" s="3565">
        <v>0</v>
      </c>
      <c r="N4051" s="3565">
        <v>0</v>
      </c>
      <c r="O4051" s="3563" t="s">
        <v>3453</v>
      </c>
    </row>
    <row r="4052" spans="1:15">
      <c r="A4052" s="3563" t="s">
        <v>8274</v>
      </c>
      <c r="B4052" s="3563" t="s">
        <v>4196</v>
      </c>
      <c r="C4052" s="3563" t="s">
        <v>4197</v>
      </c>
      <c r="D4052" s="3563" t="s">
        <v>6429</v>
      </c>
      <c r="E4052" s="3563" t="s">
        <v>6319</v>
      </c>
      <c r="F4052" s="3563" t="s">
        <v>4797</v>
      </c>
      <c r="G4052" s="3564">
        <v>90.57</v>
      </c>
      <c r="H4052" s="3564">
        <v>72.78</v>
      </c>
      <c r="I4052" s="3564">
        <v>17.79</v>
      </c>
      <c r="J4052" s="3565">
        <v>895631</v>
      </c>
      <c r="K4052" s="3565">
        <v>9888.83</v>
      </c>
      <c r="L4052" s="3565">
        <v>12306</v>
      </c>
      <c r="M4052" s="3565">
        <v>0</v>
      </c>
      <c r="N4052" s="3565">
        <v>0</v>
      </c>
      <c r="O4052" s="3563" t="s">
        <v>3453</v>
      </c>
    </row>
    <row r="4053" spans="1:15">
      <c r="A4053" s="3563" t="s">
        <v>8275</v>
      </c>
      <c r="B4053" s="3563" t="s">
        <v>4196</v>
      </c>
      <c r="C4053" s="3563" t="s">
        <v>4197</v>
      </c>
      <c r="D4053" s="3563" t="s">
        <v>6429</v>
      </c>
      <c r="E4053" s="3563" t="s">
        <v>6319</v>
      </c>
      <c r="F4053" s="3563" t="s">
        <v>4797</v>
      </c>
      <c r="G4053" s="3564">
        <v>78.44</v>
      </c>
      <c r="H4053" s="3564">
        <v>63.03</v>
      </c>
      <c r="I4053" s="3564">
        <v>15.41</v>
      </c>
      <c r="J4053" s="3565">
        <v>784025</v>
      </c>
      <c r="K4053" s="3565">
        <v>9995.2199999999993</v>
      </c>
      <c r="L4053" s="3565">
        <v>12438.92</v>
      </c>
      <c r="M4053" s="3565">
        <v>0</v>
      </c>
      <c r="N4053" s="3565">
        <v>0</v>
      </c>
      <c r="O4053" s="3563" t="s">
        <v>3453</v>
      </c>
    </row>
    <row r="4054" spans="1:15">
      <c r="A4054" s="3563" t="s">
        <v>8276</v>
      </c>
      <c r="B4054" s="3563" t="s">
        <v>4196</v>
      </c>
      <c r="C4054" s="3563" t="s">
        <v>4197</v>
      </c>
      <c r="D4054" s="3563" t="s">
        <v>6429</v>
      </c>
      <c r="E4054" s="3563" t="s">
        <v>6319</v>
      </c>
      <c r="F4054" s="3563" t="s">
        <v>4797</v>
      </c>
      <c r="G4054" s="3564">
        <v>78.44</v>
      </c>
      <c r="H4054" s="3564">
        <v>63.03</v>
      </c>
      <c r="I4054" s="3564">
        <v>15.41</v>
      </c>
      <c r="J4054" s="3565">
        <v>800714</v>
      </c>
      <c r="K4054" s="3565">
        <v>10207.98</v>
      </c>
      <c r="L4054" s="3565">
        <v>12703.7</v>
      </c>
      <c r="M4054" s="3565">
        <v>0</v>
      </c>
      <c r="N4054" s="3565">
        <v>0</v>
      </c>
      <c r="O4054" s="3563" t="s">
        <v>3453</v>
      </c>
    </row>
    <row r="4055" spans="1:15">
      <c r="A4055" s="3563" t="s">
        <v>8277</v>
      </c>
      <c r="B4055" s="3563" t="s">
        <v>4196</v>
      </c>
      <c r="C4055" s="3563" t="s">
        <v>4197</v>
      </c>
      <c r="D4055" s="3563" t="s">
        <v>6429</v>
      </c>
      <c r="E4055" s="3563" t="s">
        <v>6319</v>
      </c>
      <c r="F4055" s="3563" t="s">
        <v>4797</v>
      </c>
      <c r="G4055" s="3564">
        <v>110.06</v>
      </c>
      <c r="H4055" s="3564">
        <v>88.44</v>
      </c>
      <c r="I4055" s="3564">
        <v>21.62</v>
      </c>
      <c r="J4055" s="3565">
        <v>1117637</v>
      </c>
      <c r="K4055" s="3565">
        <v>10154.799999999999</v>
      </c>
      <c r="L4055" s="3565">
        <v>12637.23</v>
      </c>
      <c r="M4055" s="3565">
        <v>0</v>
      </c>
      <c r="N4055" s="3565">
        <v>0</v>
      </c>
      <c r="O4055" s="3563" t="s">
        <v>3453</v>
      </c>
    </row>
    <row r="4056" spans="1:15">
      <c r="A4056" s="3563" t="s">
        <v>8278</v>
      </c>
      <c r="B4056" s="3563" t="s">
        <v>4196</v>
      </c>
      <c r="C4056" s="3563" t="s">
        <v>4197</v>
      </c>
      <c r="D4056" s="3563" t="s">
        <v>6429</v>
      </c>
      <c r="E4056" s="3563" t="s">
        <v>6319</v>
      </c>
      <c r="F4056" s="3563" t="s">
        <v>4797</v>
      </c>
      <c r="G4056" s="3564">
        <v>101.72</v>
      </c>
      <c r="H4056" s="3564">
        <v>81.739999999999995</v>
      </c>
      <c r="I4056" s="3564">
        <v>19.98</v>
      </c>
      <c r="J4056" s="3565">
        <v>1075148</v>
      </c>
      <c r="K4056" s="3565">
        <v>10569.68</v>
      </c>
      <c r="L4056" s="3565">
        <v>13153.27</v>
      </c>
      <c r="M4056" s="3565">
        <v>0</v>
      </c>
      <c r="N4056" s="3565">
        <v>0</v>
      </c>
      <c r="O4056" s="3563" t="s">
        <v>3453</v>
      </c>
    </row>
    <row r="4057" spans="1:15">
      <c r="A4057" s="3563" t="s">
        <v>8279</v>
      </c>
      <c r="B4057" s="3563" t="s">
        <v>4196</v>
      </c>
      <c r="C4057" s="3563" t="s">
        <v>4197</v>
      </c>
      <c r="D4057" s="3563" t="s">
        <v>6429</v>
      </c>
      <c r="E4057" s="3563" t="s">
        <v>6319</v>
      </c>
      <c r="F4057" s="3563" t="s">
        <v>4797</v>
      </c>
      <c r="G4057" s="3564">
        <v>101.72</v>
      </c>
      <c r="H4057" s="3564">
        <v>81.739999999999995</v>
      </c>
      <c r="I4057" s="3564">
        <v>19.98</v>
      </c>
      <c r="J4057" s="3565">
        <v>1075148</v>
      </c>
      <c r="K4057" s="3565">
        <v>10569.68</v>
      </c>
      <c r="L4057" s="3565">
        <v>13153.27</v>
      </c>
      <c r="M4057" s="3565">
        <v>0</v>
      </c>
      <c r="N4057" s="3565">
        <v>0</v>
      </c>
      <c r="O4057" s="3563" t="s">
        <v>3453</v>
      </c>
    </row>
    <row r="4058" spans="1:15">
      <c r="A4058" s="3563" t="s">
        <v>8280</v>
      </c>
      <c r="B4058" s="3563" t="s">
        <v>4196</v>
      </c>
      <c r="C4058" s="3563" t="s">
        <v>4197</v>
      </c>
      <c r="D4058" s="3563" t="s">
        <v>6429</v>
      </c>
      <c r="E4058" s="3563" t="s">
        <v>6319</v>
      </c>
      <c r="F4058" s="3563" t="s">
        <v>4797</v>
      </c>
      <c r="G4058" s="3564">
        <v>90.57</v>
      </c>
      <c r="H4058" s="3564">
        <v>72.78</v>
      </c>
      <c r="I4058" s="3564">
        <v>17.79</v>
      </c>
      <c r="J4058" s="3565">
        <v>894669</v>
      </c>
      <c r="K4058" s="3565">
        <v>9878.2000000000007</v>
      </c>
      <c r="L4058" s="3565">
        <v>12292.79</v>
      </c>
      <c r="M4058" s="3565">
        <v>0</v>
      </c>
      <c r="N4058" s="3565">
        <v>0</v>
      </c>
      <c r="O4058" s="3563" t="s">
        <v>3453</v>
      </c>
    </row>
    <row r="4059" spans="1:15">
      <c r="A4059" s="3563" t="s">
        <v>8281</v>
      </c>
      <c r="B4059" s="3563" t="s">
        <v>4196</v>
      </c>
      <c r="C4059" s="3563" t="s">
        <v>4197</v>
      </c>
      <c r="D4059" s="3563" t="s">
        <v>6429</v>
      </c>
      <c r="E4059" s="3563" t="s">
        <v>6319</v>
      </c>
      <c r="F4059" s="3563" t="s">
        <v>4797</v>
      </c>
      <c r="G4059" s="3564">
        <v>78.44</v>
      </c>
      <c r="H4059" s="3564">
        <v>63.03</v>
      </c>
      <c r="I4059" s="3564">
        <v>15.41</v>
      </c>
      <c r="J4059" s="3565">
        <v>783191</v>
      </c>
      <c r="K4059" s="3565">
        <v>9984.59</v>
      </c>
      <c r="L4059" s="3565">
        <v>12425.69</v>
      </c>
      <c r="M4059" s="3565">
        <v>0</v>
      </c>
      <c r="N4059" s="3565">
        <v>0</v>
      </c>
      <c r="O4059" s="3563" t="s">
        <v>3453</v>
      </c>
    </row>
    <row r="4060" spans="1:15">
      <c r="A4060" s="3563" t="s">
        <v>8282</v>
      </c>
      <c r="B4060" s="3563" t="s">
        <v>3453</v>
      </c>
      <c r="C4060" s="3563" t="s">
        <v>4197</v>
      </c>
      <c r="D4060" s="3563" t="s">
        <v>6429</v>
      </c>
      <c r="E4060" s="3563" t="s">
        <v>6319</v>
      </c>
      <c r="F4060" s="3563" t="s">
        <v>4797</v>
      </c>
      <c r="G4060" s="3564">
        <v>78.44</v>
      </c>
      <c r="H4060" s="3564">
        <v>63.03</v>
      </c>
      <c r="I4060" s="3564">
        <v>15.41</v>
      </c>
      <c r="J4060" s="3565">
        <v>799880</v>
      </c>
      <c r="K4060" s="3565">
        <v>10197.35</v>
      </c>
      <c r="L4060" s="3565">
        <v>12690.46</v>
      </c>
      <c r="M4060" s="3565">
        <v>0</v>
      </c>
      <c r="N4060" s="3565">
        <v>0</v>
      </c>
      <c r="O4060" s="3563" t="s">
        <v>3453</v>
      </c>
    </row>
    <row r="4061" spans="1:15">
      <c r="A4061" s="3563" t="s">
        <v>8283</v>
      </c>
      <c r="B4061" s="3563" t="s">
        <v>4196</v>
      </c>
      <c r="C4061" s="3563" t="s">
        <v>4197</v>
      </c>
      <c r="D4061" s="3563" t="s">
        <v>6429</v>
      </c>
      <c r="E4061" s="3563" t="s">
        <v>6319</v>
      </c>
      <c r="F4061" s="3563" t="s">
        <v>4797</v>
      </c>
      <c r="G4061" s="3564">
        <v>110.06</v>
      </c>
      <c r="H4061" s="3564">
        <v>88.44</v>
      </c>
      <c r="I4061" s="3564">
        <v>21.62</v>
      </c>
      <c r="J4061" s="3565">
        <v>1116465</v>
      </c>
      <c r="K4061" s="3565">
        <v>10144.15</v>
      </c>
      <c r="L4061" s="3565">
        <v>12623.98</v>
      </c>
      <c r="M4061" s="3565">
        <v>0</v>
      </c>
      <c r="N4061" s="3565">
        <v>0</v>
      </c>
      <c r="O4061" s="3563" t="s">
        <v>3453</v>
      </c>
    </row>
    <row r="4062" spans="1:15">
      <c r="A4062" s="3563" t="s">
        <v>8284</v>
      </c>
      <c r="B4062" s="3563" t="s">
        <v>4196</v>
      </c>
      <c r="C4062" s="3563" t="s">
        <v>4197</v>
      </c>
      <c r="D4062" s="3563" t="s">
        <v>6429</v>
      </c>
      <c r="E4062" s="3563" t="s">
        <v>6319</v>
      </c>
      <c r="F4062" s="3563" t="s">
        <v>4797</v>
      </c>
      <c r="G4062" s="3564">
        <v>101.72</v>
      </c>
      <c r="H4062" s="3564">
        <v>81.739999999999995</v>
      </c>
      <c r="I4062" s="3564">
        <v>19.98</v>
      </c>
      <c r="J4062" s="3565">
        <v>1063245</v>
      </c>
      <c r="K4062" s="3565">
        <v>10452.66</v>
      </c>
      <c r="L4062" s="3565">
        <v>13007.65</v>
      </c>
      <c r="M4062" s="3565">
        <v>0</v>
      </c>
      <c r="N4062" s="3565">
        <v>0</v>
      </c>
      <c r="O4062" s="3563" t="s">
        <v>3453</v>
      </c>
    </row>
    <row r="4063" spans="1:15">
      <c r="A4063" s="3563" t="s">
        <v>8285</v>
      </c>
      <c r="B4063" s="3563" t="s">
        <v>4196</v>
      </c>
      <c r="C4063" s="3563" t="s">
        <v>4197</v>
      </c>
      <c r="D4063" s="3563" t="s">
        <v>6429</v>
      </c>
      <c r="E4063" s="3563" t="s">
        <v>6319</v>
      </c>
      <c r="F4063" s="3563" t="s">
        <v>4797</v>
      </c>
      <c r="G4063" s="3564">
        <v>101.72</v>
      </c>
      <c r="H4063" s="3564">
        <v>81.739999999999995</v>
      </c>
      <c r="I4063" s="3564">
        <v>19.98</v>
      </c>
      <c r="J4063" s="3565">
        <v>1063245</v>
      </c>
      <c r="K4063" s="3565">
        <v>10452.66</v>
      </c>
      <c r="L4063" s="3565">
        <v>13007.65</v>
      </c>
      <c r="M4063" s="3565">
        <v>0</v>
      </c>
      <c r="N4063" s="3565">
        <v>0</v>
      </c>
      <c r="O4063" s="3563" t="s">
        <v>3453</v>
      </c>
    </row>
    <row r="4064" spans="1:15">
      <c r="A4064" s="3563" t="s">
        <v>8286</v>
      </c>
      <c r="B4064" s="3563" t="s">
        <v>4196</v>
      </c>
      <c r="C4064" s="3563" t="s">
        <v>4197</v>
      </c>
      <c r="D4064" s="3563" t="s">
        <v>6429</v>
      </c>
      <c r="E4064" s="3563" t="s">
        <v>6319</v>
      </c>
      <c r="F4064" s="3563" t="s">
        <v>4797</v>
      </c>
      <c r="G4064" s="3564">
        <v>90.57</v>
      </c>
      <c r="H4064" s="3564">
        <v>72.78</v>
      </c>
      <c r="I4064" s="3564">
        <v>17.79</v>
      </c>
      <c r="J4064" s="3565">
        <v>884070</v>
      </c>
      <c r="K4064" s="3565">
        <v>9761.18</v>
      </c>
      <c r="L4064" s="3565">
        <v>12147.16</v>
      </c>
      <c r="M4064" s="3565">
        <v>0</v>
      </c>
      <c r="N4064" s="3565">
        <v>0</v>
      </c>
      <c r="O4064" s="3563" t="s">
        <v>3453</v>
      </c>
    </row>
    <row r="4065" spans="1:15">
      <c r="A4065" s="3563" t="s">
        <v>8287</v>
      </c>
      <c r="B4065" s="3563" t="s">
        <v>4196</v>
      </c>
      <c r="C4065" s="3563" t="s">
        <v>4197</v>
      </c>
      <c r="D4065" s="3563" t="s">
        <v>6429</v>
      </c>
      <c r="E4065" s="3563" t="s">
        <v>6319</v>
      </c>
      <c r="F4065" s="3563" t="s">
        <v>4797</v>
      </c>
      <c r="G4065" s="3564">
        <v>78.44</v>
      </c>
      <c r="H4065" s="3564">
        <v>63.03</v>
      </c>
      <c r="I4065" s="3564">
        <v>15.41</v>
      </c>
      <c r="J4065" s="3565">
        <v>774011</v>
      </c>
      <c r="K4065" s="3565">
        <v>9867.5499999999993</v>
      </c>
      <c r="L4065" s="3565">
        <v>12280.04</v>
      </c>
      <c r="M4065" s="3565">
        <v>0</v>
      </c>
      <c r="N4065" s="3565">
        <v>0</v>
      </c>
      <c r="O4065" s="3563" t="s">
        <v>3453</v>
      </c>
    </row>
    <row r="4066" spans="1:15">
      <c r="A4066" s="3563" t="s">
        <v>8288</v>
      </c>
      <c r="B4066" s="3563" t="s">
        <v>4196</v>
      </c>
      <c r="C4066" s="3563" t="s">
        <v>4197</v>
      </c>
      <c r="D4066" s="3563" t="s">
        <v>6429</v>
      </c>
      <c r="E4066" s="3563" t="s">
        <v>6319</v>
      </c>
      <c r="F4066" s="3563" t="s">
        <v>4797</v>
      </c>
      <c r="G4066" s="3564">
        <v>78.44</v>
      </c>
      <c r="H4066" s="3564">
        <v>63.03</v>
      </c>
      <c r="I4066" s="3564">
        <v>15.41</v>
      </c>
      <c r="J4066" s="3565">
        <v>790700</v>
      </c>
      <c r="K4066" s="3565">
        <v>10080.32</v>
      </c>
      <c r="L4066" s="3565">
        <v>12544.82</v>
      </c>
      <c r="M4066" s="3565">
        <v>0</v>
      </c>
      <c r="N4066" s="3565">
        <v>0</v>
      </c>
      <c r="O4066" s="3563" t="s">
        <v>3453</v>
      </c>
    </row>
    <row r="4067" spans="1:15">
      <c r="A4067" s="3563" t="s">
        <v>8289</v>
      </c>
      <c r="B4067" s="3563" t="s">
        <v>4196</v>
      </c>
      <c r="C4067" s="3563" t="s">
        <v>4197</v>
      </c>
      <c r="D4067" s="3563" t="s">
        <v>6429</v>
      </c>
      <c r="E4067" s="3563" t="s">
        <v>6319</v>
      </c>
      <c r="F4067" s="3563" t="s">
        <v>4797</v>
      </c>
      <c r="G4067" s="3564">
        <v>110.06</v>
      </c>
      <c r="H4067" s="3564">
        <v>88.44</v>
      </c>
      <c r="I4067" s="3564">
        <v>21.62</v>
      </c>
      <c r="J4067" s="3565">
        <v>1103587</v>
      </c>
      <c r="K4067" s="3565">
        <v>10027.14</v>
      </c>
      <c r="L4067" s="3565">
        <v>12478.37</v>
      </c>
      <c r="M4067" s="3565">
        <v>0</v>
      </c>
      <c r="N4067" s="3565">
        <v>0</v>
      </c>
      <c r="O4067" s="3563" t="s">
        <v>3453</v>
      </c>
    </row>
    <row r="4068" spans="1:15">
      <c r="A4068" s="3563" t="s">
        <v>8290</v>
      </c>
      <c r="B4068" s="3563" t="s">
        <v>4196</v>
      </c>
      <c r="C4068" s="3563" t="s">
        <v>4197</v>
      </c>
      <c r="D4068" s="3563" t="s">
        <v>6429</v>
      </c>
      <c r="E4068" s="3563" t="s">
        <v>6319</v>
      </c>
      <c r="F4068" s="3563" t="s">
        <v>4797</v>
      </c>
      <c r="G4068" s="3564">
        <v>101.72</v>
      </c>
      <c r="H4068" s="3564">
        <v>81.739999999999995</v>
      </c>
      <c r="I4068" s="3564">
        <v>19.98</v>
      </c>
      <c r="J4068" s="3565">
        <v>1040521</v>
      </c>
      <c r="K4068" s="3565">
        <v>10229.27</v>
      </c>
      <c r="L4068" s="3565">
        <v>12729.64</v>
      </c>
      <c r="M4068" s="3565">
        <v>0</v>
      </c>
      <c r="N4068" s="3565">
        <v>0</v>
      </c>
      <c r="O4068" s="3563" t="s">
        <v>3453</v>
      </c>
    </row>
    <row r="4069" spans="1:15">
      <c r="A4069" s="3563" t="s">
        <v>8291</v>
      </c>
      <c r="B4069" s="3563" t="s">
        <v>4196</v>
      </c>
      <c r="C4069" s="3563" t="s">
        <v>4197</v>
      </c>
      <c r="D4069" s="3563" t="s">
        <v>6429</v>
      </c>
      <c r="E4069" s="3563" t="s">
        <v>6319</v>
      </c>
      <c r="F4069" s="3563" t="s">
        <v>4797</v>
      </c>
      <c r="G4069" s="3564">
        <v>101.72</v>
      </c>
      <c r="H4069" s="3564">
        <v>81.739999999999995</v>
      </c>
      <c r="I4069" s="3564">
        <v>19.98</v>
      </c>
      <c r="J4069" s="3565">
        <v>1040521</v>
      </c>
      <c r="K4069" s="3565">
        <v>10229.27</v>
      </c>
      <c r="L4069" s="3565">
        <v>12729.64</v>
      </c>
      <c r="M4069" s="3565">
        <v>0</v>
      </c>
      <c r="N4069" s="3565">
        <v>0</v>
      </c>
      <c r="O4069" s="3563" t="s">
        <v>3453</v>
      </c>
    </row>
    <row r="4070" spans="1:15">
      <c r="A4070" s="3563" t="s">
        <v>8292</v>
      </c>
      <c r="B4070" s="3563" t="s">
        <v>4196</v>
      </c>
      <c r="C4070" s="3563" t="s">
        <v>4197</v>
      </c>
      <c r="D4070" s="3563" t="s">
        <v>6429</v>
      </c>
      <c r="E4070" s="3563" t="s">
        <v>6319</v>
      </c>
      <c r="F4070" s="3563" t="s">
        <v>4797</v>
      </c>
      <c r="G4070" s="3564">
        <v>90.57</v>
      </c>
      <c r="H4070" s="3564">
        <v>72.78</v>
      </c>
      <c r="I4070" s="3564">
        <v>17.79</v>
      </c>
      <c r="J4070" s="3565">
        <v>883106</v>
      </c>
      <c r="K4070" s="3565">
        <v>9750.5400000000009</v>
      </c>
      <c r="L4070" s="3565">
        <v>12133.91</v>
      </c>
      <c r="M4070" s="3565">
        <v>0</v>
      </c>
      <c r="N4070" s="3565">
        <v>0</v>
      </c>
      <c r="O4070" s="3563" t="s">
        <v>3453</v>
      </c>
    </row>
    <row r="4071" spans="1:15">
      <c r="A4071" s="3563" t="s">
        <v>8293</v>
      </c>
      <c r="B4071" s="3563" t="s">
        <v>4196</v>
      </c>
      <c r="C4071" s="3563" t="s">
        <v>4197</v>
      </c>
      <c r="D4071" s="3563" t="s">
        <v>6429</v>
      </c>
      <c r="E4071" s="3563" t="s">
        <v>6319</v>
      </c>
      <c r="F4071" s="3563" t="s">
        <v>4797</v>
      </c>
      <c r="G4071" s="3564">
        <v>78.44</v>
      </c>
      <c r="H4071" s="3564">
        <v>63.03</v>
      </c>
      <c r="I4071" s="3564">
        <v>15.41</v>
      </c>
      <c r="J4071" s="3565">
        <v>773177</v>
      </c>
      <c r="K4071" s="3565">
        <v>9856.92</v>
      </c>
      <c r="L4071" s="3565">
        <v>12266.81</v>
      </c>
      <c r="M4071" s="3565">
        <v>0</v>
      </c>
      <c r="N4071" s="3565">
        <v>0</v>
      </c>
      <c r="O4071" s="3563" t="s">
        <v>3453</v>
      </c>
    </row>
    <row r="4072" spans="1:15">
      <c r="A4072" s="3563" t="s">
        <v>8294</v>
      </c>
      <c r="B4072" s="3563" t="s">
        <v>3453</v>
      </c>
      <c r="C4072" s="3563" t="s">
        <v>4197</v>
      </c>
      <c r="D4072" s="3563" t="s">
        <v>6429</v>
      </c>
      <c r="E4072" s="3563" t="s">
        <v>6319</v>
      </c>
      <c r="F4072" s="3563" t="s">
        <v>4797</v>
      </c>
      <c r="G4072" s="3564">
        <v>78.44</v>
      </c>
      <c r="H4072" s="3564">
        <v>63.03</v>
      </c>
      <c r="I4072" s="3564">
        <v>15.41</v>
      </c>
      <c r="J4072" s="3565">
        <v>773177</v>
      </c>
      <c r="K4072" s="3565">
        <v>9856.92</v>
      </c>
      <c r="L4072" s="3565">
        <v>12266.81</v>
      </c>
      <c r="M4072" s="3565">
        <v>0</v>
      </c>
      <c r="N4072" s="3565">
        <v>0</v>
      </c>
      <c r="O4072" s="3563" t="s">
        <v>3453</v>
      </c>
    </row>
    <row r="4073" spans="1:15">
      <c r="A4073" s="3563" t="s">
        <v>8295</v>
      </c>
      <c r="B4073" s="3563" t="s">
        <v>4196</v>
      </c>
      <c r="C4073" s="3563" t="s">
        <v>4197</v>
      </c>
      <c r="D4073" s="3563" t="s">
        <v>6429</v>
      </c>
      <c r="E4073" s="3563" t="s">
        <v>6319</v>
      </c>
      <c r="F4073" s="3563" t="s">
        <v>4797</v>
      </c>
      <c r="G4073" s="3564">
        <v>110.06</v>
      </c>
      <c r="H4073" s="3564">
        <v>88.44</v>
      </c>
      <c r="I4073" s="3564">
        <v>21.62</v>
      </c>
      <c r="J4073" s="3565">
        <v>1078998</v>
      </c>
      <c r="K4073" s="3565">
        <v>9803.73</v>
      </c>
      <c r="L4073" s="3565">
        <v>12200.34</v>
      </c>
      <c r="M4073" s="3565">
        <v>0</v>
      </c>
      <c r="N4073" s="3565">
        <v>0</v>
      </c>
      <c r="O4073" s="3563" t="s">
        <v>3453</v>
      </c>
    </row>
    <row r="4074" spans="1:15">
      <c r="A4074" s="3563" t="s">
        <v>8296</v>
      </c>
      <c r="B4074" s="3563" t="s">
        <v>4196</v>
      </c>
      <c r="C4074" s="3563" t="s">
        <v>4197</v>
      </c>
      <c r="D4074" s="3563" t="s">
        <v>6429</v>
      </c>
      <c r="E4074" s="3563" t="s">
        <v>6319</v>
      </c>
      <c r="F4074" s="3563" t="s">
        <v>4797</v>
      </c>
      <c r="G4074" s="3564">
        <v>103.3</v>
      </c>
      <c r="H4074" s="3564">
        <v>81.739999999999995</v>
      </c>
      <c r="I4074" s="3564">
        <v>21.56</v>
      </c>
      <c r="J4074" s="3565">
        <v>1021516</v>
      </c>
      <c r="K4074" s="3565">
        <v>9888.83</v>
      </c>
      <c r="L4074" s="3565">
        <v>12497.14</v>
      </c>
      <c r="M4074" s="3565">
        <v>0</v>
      </c>
      <c r="N4074" s="3565">
        <v>0</v>
      </c>
      <c r="O4074" s="3563" t="s">
        <v>3453</v>
      </c>
    </row>
    <row r="4075" spans="1:15">
      <c r="A4075" s="3563" t="s">
        <v>8297</v>
      </c>
      <c r="B4075" s="3563" t="s">
        <v>4196</v>
      </c>
      <c r="C4075" s="3563" t="s">
        <v>4197</v>
      </c>
      <c r="D4075" s="3563" t="s">
        <v>6429</v>
      </c>
      <c r="E4075" s="3563" t="s">
        <v>6319</v>
      </c>
      <c r="F4075" s="3563" t="s">
        <v>4797</v>
      </c>
      <c r="G4075" s="3564">
        <v>103.3</v>
      </c>
      <c r="H4075" s="3564">
        <v>81.739999999999995</v>
      </c>
      <c r="I4075" s="3564">
        <v>21.56</v>
      </c>
      <c r="J4075" s="3565">
        <v>1021516</v>
      </c>
      <c r="K4075" s="3565">
        <v>9888.83</v>
      </c>
      <c r="L4075" s="3565">
        <v>12497.14</v>
      </c>
      <c r="M4075" s="3565">
        <v>0</v>
      </c>
      <c r="N4075" s="3565">
        <v>0</v>
      </c>
      <c r="O4075" s="3563" t="s">
        <v>3453</v>
      </c>
    </row>
    <row r="4076" spans="1:15">
      <c r="A4076" s="3563" t="s">
        <v>8298</v>
      </c>
      <c r="B4076" s="3563" t="s">
        <v>4196</v>
      </c>
      <c r="C4076" s="3563" t="s">
        <v>4197</v>
      </c>
      <c r="D4076" s="3563" t="s">
        <v>6429</v>
      </c>
      <c r="E4076" s="3563" t="s">
        <v>6319</v>
      </c>
      <c r="F4076" s="3563" t="s">
        <v>4797</v>
      </c>
      <c r="G4076" s="3564">
        <v>91.98</v>
      </c>
      <c r="H4076" s="3564">
        <v>72.78</v>
      </c>
      <c r="I4076" s="3564">
        <v>19.2</v>
      </c>
      <c r="J4076" s="3565">
        <v>886091</v>
      </c>
      <c r="K4076" s="3565">
        <v>9633.52</v>
      </c>
      <c r="L4076" s="3565">
        <v>12174.92</v>
      </c>
      <c r="M4076" s="3565">
        <v>0</v>
      </c>
      <c r="N4076" s="3565">
        <v>0</v>
      </c>
      <c r="O4076" s="3563" t="s">
        <v>3453</v>
      </c>
    </row>
    <row r="4077" spans="1:15">
      <c r="A4077" s="3563" t="s">
        <v>8299</v>
      </c>
      <c r="B4077" s="3563" t="s">
        <v>4196</v>
      </c>
      <c r="C4077" s="3563" t="s">
        <v>4197</v>
      </c>
      <c r="D4077" s="3563" t="s">
        <v>6429</v>
      </c>
      <c r="E4077" s="3563" t="s">
        <v>6319</v>
      </c>
      <c r="F4077" s="3563" t="s">
        <v>4797</v>
      </c>
      <c r="G4077" s="3564">
        <v>79.66</v>
      </c>
      <c r="H4077" s="3564">
        <v>63.03</v>
      </c>
      <c r="I4077" s="3564">
        <v>16.63</v>
      </c>
      <c r="J4077" s="3565">
        <v>767406</v>
      </c>
      <c r="K4077" s="3565">
        <v>9633.52</v>
      </c>
      <c r="L4077" s="3565">
        <v>12175.25</v>
      </c>
      <c r="M4077" s="3565">
        <v>0</v>
      </c>
      <c r="N4077" s="3565">
        <v>0</v>
      </c>
      <c r="O4077" s="3563" t="s">
        <v>3453</v>
      </c>
    </row>
    <row r="4078" spans="1:15">
      <c r="A4078" s="3563" t="s">
        <v>8300</v>
      </c>
      <c r="B4078" s="3563" t="s">
        <v>4196</v>
      </c>
      <c r="C4078" s="3563" t="s">
        <v>4197</v>
      </c>
      <c r="D4078" s="3563" t="s">
        <v>6429</v>
      </c>
      <c r="E4078" s="3563" t="s">
        <v>6319</v>
      </c>
      <c r="F4078" s="3563" t="s">
        <v>4797</v>
      </c>
      <c r="G4078" s="3564">
        <v>79.66</v>
      </c>
      <c r="H4078" s="3564">
        <v>63.03</v>
      </c>
      <c r="I4078" s="3564">
        <v>16.63</v>
      </c>
      <c r="J4078" s="3565">
        <v>767406</v>
      </c>
      <c r="K4078" s="3565">
        <v>9633.52</v>
      </c>
      <c r="L4078" s="3565">
        <v>12175.25</v>
      </c>
      <c r="M4078" s="3565">
        <v>0</v>
      </c>
      <c r="N4078" s="3565">
        <v>0</v>
      </c>
      <c r="O4078" s="3563" t="s">
        <v>3453</v>
      </c>
    </row>
    <row r="4079" spans="1:15">
      <c r="A4079" s="3563" t="s">
        <v>8301</v>
      </c>
      <c r="B4079" s="3563" t="s">
        <v>4196</v>
      </c>
      <c r="C4079" s="3563" t="s">
        <v>4197</v>
      </c>
      <c r="D4079" s="3563" t="s">
        <v>6429</v>
      </c>
      <c r="E4079" s="3563" t="s">
        <v>6319</v>
      </c>
      <c r="F4079" s="3563" t="s">
        <v>4797</v>
      </c>
      <c r="G4079" s="3564">
        <v>101.72</v>
      </c>
      <c r="H4079" s="3564">
        <v>81.739999999999995</v>
      </c>
      <c r="I4079" s="3564">
        <v>19.98</v>
      </c>
      <c r="J4079" s="3565">
        <v>1018878</v>
      </c>
      <c r="K4079" s="3565">
        <v>10016.5</v>
      </c>
      <c r="L4079" s="3565">
        <v>12464.86</v>
      </c>
      <c r="M4079" s="3565">
        <v>0</v>
      </c>
      <c r="N4079" s="3565">
        <v>0</v>
      </c>
      <c r="O4079" s="3563" t="s">
        <v>3453</v>
      </c>
    </row>
    <row r="4080" spans="1:15">
      <c r="A4080" s="3563" t="s">
        <v>8302</v>
      </c>
      <c r="B4080" s="3563" t="s">
        <v>4196</v>
      </c>
      <c r="C4080" s="3563" t="s">
        <v>4197</v>
      </c>
      <c r="D4080" s="3563" t="s">
        <v>6429</v>
      </c>
      <c r="E4080" s="3563" t="s">
        <v>6319</v>
      </c>
      <c r="F4080" s="3563" t="s">
        <v>4797</v>
      </c>
      <c r="G4080" s="3564">
        <v>101.72</v>
      </c>
      <c r="H4080" s="3564">
        <v>81.739999999999995</v>
      </c>
      <c r="I4080" s="3564">
        <v>19.98</v>
      </c>
      <c r="J4080" s="3565">
        <v>1018878</v>
      </c>
      <c r="K4080" s="3565">
        <v>10016.5</v>
      </c>
      <c r="L4080" s="3565">
        <v>12464.86</v>
      </c>
      <c r="M4080" s="3565">
        <v>0</v>
      </c>
      <c r="N4080" s="3565">
        <v>0</v>
      </c>
      <c r="O4080" s="3563" t="s">
        <v>3453</v>
      </c>
    </row>
    <row r="4081" spans="1:15">
      <c r="A4081" s="3563" t="s">
        <v>8303</v>
      </c>
      <c r="B4081" s="3563" t="s">
        <v>4196</v>
      </c>
      <c r="C4081" s="3563" t="s">
        <v>4197</v>
      </c>
      <c r="D4081" s="3563" t="s">
        <v>6429</v>
      </c>
      <c r="E4081" s="3563" t="s">
        <v>6319</v>
      </c>
      <c r="F4081" s="3563" t="s">
        <v>4797</v>
      </c>
      <c r="G4081" s="3564">
        <v>90.57</v>
      </c>
      <c r="H4081" s="3564">
        <v>72.78</v>
      </c>
      <c r="I4081" s="3564">
        <v>17.79</v>
      </c>
      <c r="J4081" s="3565">
        <v>872508</v>
      </c>
      <c r="K4081" s="3565">
        <v>9633.52</v>
      </c>
      <c r="L4081" s="3565">
        <v>11988.29</v>
      </c>
      <c r="M4081" s="3565">
        <v>0</v>
      </c>
      <c r="N4081" s="3565">
        <v>0</v>
      </c>
      <c r="O4081" s="3563" t="s">
        <v>3453</v>
      </c>
    </row>
    <row r="4082" spans="1:15">
      <c r="A4082" s="3563" t="s">
        <v>8304</v>
      </c>
      <c r="B4082" s="3563" t="s">
        <v>4196</v>
      </c>
      <c r="C4082" s="3563" t="s">
        <v>4197</v>
      </c>
      <c r="D4082" s="3563" t="s">
        <v>6429</v>
      </c>
      <c r="E4082" s="3563" t="s">
        <v>6319</v>
      </c>
      <c r="F4082" s="3563" t="s">
        <v>4797</v>
      </c>
      <c r="G4082" s="3564">
        <v>78.44</v>
      </c>
      <c r="H4082" s="3564">
        <v>63.03</v>
      </c>
      <c r="I4082" s="3564">
        <v>15.41</v>
      </c>
      <c r="J4082" s="3565">
        <v>755653</v>
      </c>
      <c r="K4082" s="3565">
        <v>9633.52</v>
      </c>
      <c r="L4082" s="3565">
        <v>11988.78</v>
      </c>
      <c r="M4082" s="3565">
        <v>0</v>
      </c>
      <c r="N4082" s="3565">
        <v>0</v>
      </c>
      <c r="O4082" s="3563" t="s">
        <v>3453</v>
      </c>
    </row>
    <row r="4083" spans="1:15">
      <c r="A4083" s="3563" t="s">
        <v>8305</v>
      </c>
      <c r="B4083" s="3563" t="s">
        <v>4196</v>
      </c>
      <c r="C4083" s="3563" t="s">
        <v>4197</v>
      </c>
      <c r="D4083" s="3563" t="s">
        <v>6429</v>
      </c>
      <c r="E4083" s="3563" t="s">
        <v>6319</v>
      </c>
      <c r="F4083" s="3563" t="s">
        <v>4797</v>
      </c>
      <c r="G4083" s="3564">
        <v>78.44</v>
      </c>
      <c r="H4083" s="3564">
        <v>63.03</v>
      </c>
      <c r="I4083" s="3564">
        <v>15.41</v>
      </c>
      <c r="J4083" s="3565">
        <v>755653</v>
      </c>
      <c r="K4083" s="3565">
        <v>9633.52</v>
      </c>
      <c r="L4083" s="3565">
        <v>11988.78</v>
      </c>
      <c r="M4083" s="3565">
        <v>0</v>
      </c>
      <c r="N4083" s="3565">
        <v>0</v>
      </c>
      <c r="O4083" s="3563" t="s">
        <v>3453</v>
      </c>
    </row>
    <row r="4084" spans="1:15">
      <c r="A4084" s="3563" t="s">
        <v>8306</v>
      </c>
      <c r="B4084" s="3563" t="s">
        <v>4196</v>
      </c>
      <c r="C4084" s="3563" t="s">
        <v>4197</v>
      </c>
      <c r="D4084" s="3563" t="s">
        <v>6429</v>
      </c>
      <c r="E4084" s="3563" t="s">
        <v>6319</v>
      </c>
      <c r="F4084" s="3563" t="s">
        <v>4797</v>
      </c>
      <c r="G4084" s="3564">
        <v>110.06</v>
      </c>
      <c r="H4084" s="3564">
        <v>88.44</v>
      </c>
      <c r="I4084" s="3564">
        <v>21.62</v>
      </c>
      <c r="J4084" s="3565">
        <v>1060264</v>
      </c>
      <c r="K4084" s="3565">
        <v>9633.51</v>
      </c>
      <c r="L4084" s="3565">
        <v>11988.51</v>
      </c>
      <c r="M4084" s="3565">
        <v>0</v>
      </c>
      <c r="N4084" s="3565">
        <v>0</v>
      </c>
      <c r="O4084" s="3563" t="s">
        <v>3453</v>
      </c>
    </row>
    <row r="4085" spans="1:15">
      <c r="A4085" s="3563" t="s">
        <v>8307</v>
      </c>
      <c r="B4085" s="3563" t="s">
        <v>4196</v>
      </c>
      <c r="C4085" s="3563" t="s">
        <v>4197</v>
      </c>
      <c r="D4085" s="3563" t="s">
        <v>6429</v>
      </c>
      <c r="E4085" s="3563" t="s">
        <v>6319</v>
      </c>
      <c r="F4085" s="3563" t="s">
        <v>4797</v>
      </c>
      <c r="G4085" s="3564">
        <v>101.72</v>
      </c>
      <c r="H4085" s="3564">
        <v>81.739999999999995</v>
      </c>
      <c r="I4085" s="3564">
        <v>19.98</v>
      </c>
      <c r="J4085" s="3565">
        <v>1031863</v>
      </c>
      <c r="K4085" s="3565">
        <v>10144.15</v>
      </c>
      <c r="L4085" s="3565">
        <v>12623.72</v>
      </c>
      <c r="M4085" s="3565">
        <v>0</v>
      </c>
      <c r="N4085" s="3565">
        <v>0</v>
      </c>
      <c r="O4085" s="3563" t="s">
        <v>3453</v>
      </c>
    </row>
    <row r="4086" spans="1:15">
      <c r="A4086" s="3563" t="s">
        <v>8308</v>
      </c>
      <c r="B4086" s="3563" t="s">
        <v>4196</v>
      </c>
      <c r="C4086" s="3563" t="s">
        <v>4197</v>
      </c>
      <c r="D4086" s="3563" t="s">
        <v>6429</v>
      </c>
      <c r="E4086" s="3563" t="s">
        <v>6319</v>
      </c>
      <c r="F4086" s="3563" t="s">
        <v>4797</v>
      </c>
      <c r="G4086" s="3564">
        <v>101.72</v>
      </c>
      <c r="H4086" s="3564">
        <v>81.739999999999995</v>
      </c>
      <c r="I4086" s="3564">
        <v>19.98</v>
      </c>
      <c r="J4086" s="3565">
        <v>1031863</v>
      </c>
      <c r="K4086" s="3565">
        <v>10144.15</v>
      </c>
      <c r="L4086" s="3565">
        <v>12623.72</v>
      </c>
      <c r="M4086" s="3565">
        <v>0</v>
      </c>
      <c r="N4086" s="3565">
        <v>0</v>
      </c>
      <c r="O4086" s="3563" t="s">
        <v>3453</v>
      </c>
    </row>
    <row r="4087" spans="1:15">
      <c r="A4087" s="3563" t="s">
        <v>8309</v>
      </c>
      <c r="B4087" s="3563" t="s">
        <v>4196</v>
      </c>
      <c r="C4087" s="3563" t="s">
        <v>4197</v>
      </c>
      <c r="D4087" s="3563" t="s">
        <v>6429</v>
      </c>
      <c r="E4087" s="3563" t="s">
        <v>6319</v>
      </c>
      <c r="F4087" s="3563" t="s">
        <v>4797</v>
      </c>
      <c r="G4087" s="3564">
        <v>90.57</v>
      </c>
      <c r="H4087" s="3564">
        <v>72.78</v>
      </c>
      <c r="I4087" s="3564">
        <v>17.79</v>
      </c>
      <c r="J4087" s="3565">
        <v>872508</v>
      </c>
      <c r="K4087" s="3565">
        <v>9633.52</v>
      </c>
      <c r="L4087" s="3565">
        <v>11988.29</v>
      </c>
      <c r="M4087" s="3565">
        <v>0</v>
      </c>
      <c r="N4087" s="3565">
        <v>0</v>
      </c>
      <c r="O4087" s="3563" t="s">
        <v>3453</v>
      </c>
    </row>
    <row r="4088" spans="1:15">
      <c r="A4088" s="3563" t="s">
        <v>8310</v>
      </c>
      <c r="B4088" s="3563" t="s">
        <v>4196</v>
      </c>
      <c r="C4088" s="3563" t="s">
        <v>4197</v>
      </c>
      <c r="D4088" s="3563" t="s">
        <v>6429</v>
      </c>
      <c r="E4088" s="3563" t="s">
        <v>6319</v>
      </c>
      <c r="F4088" s="3563" t="s">
        <v>4797</v>
      </c>
      <c r="G4088" s="3564">
        <v>78.44</v>
      </c>
      <c r="H4088" s="3564">
        <v>63.03</v>
      </c>
      <c r="I4088" s="3564">
        <v>15.41</v>
      </c>
      <c r="J4088" s="3565">
        <v>758157</v>
      </c>
      <c r="K4088" s="3565">
        <v>9665.44</v>
      </c>
      <c r="L4088" s="3565">
        <v>12028.51</v>
      </c>
      <c r="M4088" s="3565">
        <v>0</v>
      </c>
      <c r="N4088" s="3565">
        <v>0</v>
      </c>
      <c r="O4088" s="3563" t="s">
        <v>3453</v>
      </c>
    </row>
    <row r="4089" spans="1:15">
      <c r="A4089" s="3563" t="s">
        <v>8311</v>
      </c>
      <c r="B4089" s="3563" t="s">
        <v>4196</v>
      </c>
      <c r="C4089" s="3563" t="s">
        <v>4197</v>
      </c>
      <c r="D4089" s="3563" t="s">
        <v>6429</v>
      </c>
      <c r="E4089" s="3563" t="s">
        <v>6319</v>
      </c>
      <c r="F4089" s="3563" t="s">
        <v>4797</v>
      </c>
      <c r="G4089" s="3564">
        <v>78.44</v>
      </c>
      <c r="H4089" s="3564">
        <v>63.03</v>
      </c>
      <c r="I4089" s="3564">
        <v>15.41</v>
      </c>
      <c r="J4089" s="3565">
        <v>758157</v>
      </c>
      <c r="K4089" s="3565">
        <v>9665.44</v>
      </c>
      <c r="L4089" s="3565">
        <v>12028.51</v>
      </c>
      <c r="M4089" s="3565">
        <v>0</v>
      </c>
      <c r="N4089" s="3565">
        <v>0</v>
      </c>
      <c r="O4089" s="3563" t="s">
        <v>3453</v>
      </c>
    </row>
    <row r="4090" spans="1:15">
      <c r="A4090" s="3563" t="s">
        <v>8312</v>
      </c>
      <c r="B4090" s="3563" t="s">
        <v>4196</v>
      </c>
      <c r="C4090" s="3563" t="s">
        <v>4197</v>
      </c>
      <c r="D4090" s="3563" t="s">
        <v>6429</v>
      </c>
      <c r="E4090" s="3563" t="s">
        <v>6319</v>
      </c>
      <c r="F4090" s="3563" t="s">
        <v>4797</v>
      </c>
      <c r="G4090" s="3564">
        <v>110.06</v>
      </c>
      <c r="H4090" s="3564">
        <v>88.44</v>
      </c>
      <c r="I4090" s="3564">
        <v>21.62</v>
      </c>
      <c r="J4090" s="3565">
        <v>1069631</v>
      </c>
      <c r="K4090" s="3565">
        <v>9718.6200000000008</v>
      </c>
      <c r="L4090" s="3565">
        <v>12094.43</v>
      </c>
      <c r="M4090" s="3565">
        <v>0</v>
      </c>
      <c r="N4090" s="3565">
        <v>0</v>
      </c>
      <c r="O4090" s="3563" t="s">
        <v>3453</v>
      </c>
    </row>
    <row r="4091" spans="1:15">
      <c r="A4091" s="3563" t="s">
        <v>8313</v>
      </c>
      <c r="B4091" s="3563" t="s">
        <v>4196</v>
      </c>
      <c r="C4091" s="3563" t="s">
        <v>4197</v>
      </c>
      <c r="D4091" s="3563" t="s">
        <v>6429</v>
      </c>
      <c r="E4091" s="3563" t="s">
        <v>6319</v>
      </c>
      <c r="F4091" s="3563" t="s">
        <v>4797</v>
      </c>
      <c r="G4091" s="3564">
        <v>101.72</v>
      </c>
      <c r="H4091" s="3564">
        <v>81.739999999999995</v>
      </c>
      <c r="I4091" s="3564">
        <v>19.98</v>
      </c>
      <c r="J4091" s="3565">
        <v>1044848</v>
      </c>
      <c r="K4091" s="3565">
        <v>10271.799999999999</v>
      </c>
      <c r="L4091" s="3565">
        <v>12782.58</v>
      </c>
      <c r="M4091" s="3565">
        <v>0</v>
      </c>
      <c r="N4091" s="3565">
        <v>0</v>
      </c>
      <c r="O4091" s="3563" t="s">
        <v>3453</v>
      </c>
    </row>
    <row r="4092" spans="1:15">
      <c r="A4092" s="3563" t="s">
        <v>8314</v>
      </c>
      <c r="B4092" s="3563" t="s">
        <v>4196</v>
      </c>
      <c r="C4092" s="3563" t="s">
        <v>4197</v>
      </c>
      <c r="D4092" s="3563" t="s">
        <v>6429</v>
      </c>
      <c r="E4092" s="3563" t="s">
        <v>6319</v>
      </c>
      <c r="F4092" s="3563" t="s">
        <v>4797</v>
      </c>
      <c r="G4092" s="3564">
        <v>101.72</v>
      </c>
      <c r="H4092" s="3564">
        <v>81.739999999999995</v>
      </c>
      <c r="I4092" s="3564">
        <v>19.98</v>
      </c>
      <c r="J4092" s="3565">
        <v>1044848</v>
      </c>
      <c r="K4092" s="3565">
        <v>10271.799999999999</v>
      </c>
      <c r="L4092" s="3565">
        <v>12782.58</v>
      </c>
      <c r="M4092" s="3565">
        <v>0</v>
      </c>
      <c r="N4092" s="3565">
        <v>0</v>
      </c>
      <c r="O4092" s="3563" t="s">
        <v>3453</v>
      </c>
    </row>
    <row r="4093" spans="1:15">
      <c r="A4093" s="3563" t="s">
        <v>8315</v>
      </c>
      <c r="B4093" s="3563" t="s">
        <v>4196</v>
      </c>
      <c r="C4093" s="3563" t="s">
        <v>4197</v>
      </c>
      <c r="D4093" s="3563" t="s">
        <v>6429</v>
      </c>
      <c r="E4093" s="3563" t="s">
        <v>6319</v>
      </c>
      <c r="F4093" s="3563" t="s">
        <v>4797</v>
      </c>
      <c r="G4093" s="3564">
        <v>90.57</v>
      </c>
      <c r="H4093" s="3564">
        <v>72.78</v>
      </c>
      <c r="I4093" s="3564">
        <v>17.79</v>
      </c>
      <c r="J4093" s="3565">
        <v>877325</v>
      </c>
      <c r="K4093" s="3565">
        <v>9686.7099999999991</v>
      </c>
      <c r="L4093" s="3565">
        <v>12054.48</v>
      </c>
      <c r="M4093" s="3565">
        <v>0</v>
      </c>
      <c r="N4093" s="3565">
        <v>0</v>
      </c>
      <c r="O4093" s="3563" t="s">
        <v>3453</v>
      </c>
    </row>
    <row r="4094" spans="1:15">
      <c r="A4094" s="3563" t="s">
        <v>8316</v>
      </c>
      <c r="B4094" s="3563" t="s">
        <v>4196</v>
      </c>
      <c r="C4094" s="3563" t="s">
        <v>4197</v>
      </c>
      <c r="D4094" s="3563" t="s">
        <v>6429</v>
      </c>
      <c r="E4094" s="3563" t="s">
        <v>6319</v>
      </c>
      <c r="F4094" s="3563" t="s">
        <v>4797</v>
      </c>
      <c r="G4094" s="3564">
        <v>78.44</v>
      </c>
      <c r="H4094" s="3564">
        <v>63.03</v>
      </c>
      <c r="I4094" s="3564">
        <v>15.41</v>
      </c>
      <c r="J4094" s="3565">
        <v>768170</v>
      </c>
      <c r="K4094" s="3565">
        <v>9793.09</v>
      </c>
      <c r="L4094" s="3565">
        <v>12187.37</v>
      </c>
      <c r="M4094" s="3565">
        <v>0</v>
      </c>
      <c r="N4094" s="3565">
        <v>0</v>
      </c>
      <c r="O4094" s="3563" t="s">
        <v>3453</v>
      </c>
    </row>
    <row r="4095" spans="1:15">
      <c r="A4095" s="3563" t="s">
        <v>8317</v>
      </c>
      <c r="B4095" s="3563" t="s">
        <v>4196</v>
      </c>
      <c r="C4095" s="3563" t="s">
        <v>4197</v>
      </c>
      <c r="D4095" s="3563" t="s">
        <v>6429</v>
      </c>
      <c r="E4095" s="3563" t="s">
        <v>6319</v>
      </c>
      <c r="F4095" s="3563" t="s">
        <v>4797</v>
      </c>
      <c r="G4095" s="3564">
        <v>78.44</v>
      </c>
      <c r="H4095" s="3564">
        <v>63.03</v>
      </c>
      <c r="I4095" s="3564">
        <v>15.41</v>
      </c>
      <c r="J4095" s="3565">
        <v>768170</v>
      </c>
      <c r="K4095" s="3565">
        <v>9793.09</v>
      </c>
      <c r="L4095" s="3565">
        <v>12187.37</v>
      </c>
      <c r="M4095" s="3565">
        <v>0</v>
      </c>
      <c r="N4095" s="3565">
        <v>0</v>
      </c>
      <c r="O4095" s="3563" t="s">
        <v>3453</v>
      </c>
    </row>
    <row r="4096" spans="1:15">
      <c r="A4096" s="3563" t="s">
        <v>8318</v>
      </c>
      <c r="B4096" s="3563" t="s">
        <v>4196</v>
      </c>
      <c r="C4096" s="3563" t="s">
        <v>4197</v>
      </c>
      <c r="D4096" s="3563" t="s">
        <v>6429</v>
      </c>
      <c r="E4096" s="3563" t="s">
        <v>6319</v>
      </c>
      <c r="F4096" s="3563" t="s">
        <v>4797</v>
      </c>
      <c r="G4096" s="3564">
        <v>110.06</v>
      </c>
      <c r="H4096" s="3564">
        <v>88.44</v>
      </c>
      <c r="I4096" s="3564">
        <v>21.62</v>
      </c>
      <c r="J4096" s="3565">
        <v>1083681</v>
      </c>
      <c r="K4096" s="3565">
        <v>9846.27</v>
      </c>
      <c r="L4096" s="3565">
        <v>12253.29</v>
      </c>
      <c r="M4096" s="3565">
        <v>0</v>
      </c>
      <c r="N4096" s="3565">
        <v>0</v>
      </c>
      <c r="O4096" s="3563" t="s">
        <v>3453</v>
      </c>
    </row>
    <row r="4097" spans="1:15">
      <c r="A4097" s="3563" t="s">
        <v>8319</v>
      </c>
      <c r="B4097" s="3563" t="s">
        <v>4196</v>
      </c>
      <c r="C4097" s="3563" t="s">
        <v>4197</v>
      </c>
      <c r="D4097" s="3563" t="s">
        <v>6429</v>
      </c>
      <c r="E4097" s="3563" t="s">
        <v>6319</v>
      </c>
      <c r="F4097" s="3563" t="s">
        <v>4797</v>
      </c>
      <c r="G4097" s="3564">
        <v>101.72</v>
      </c>
      <c r="H4097" s="3564">
        <v>81.739999999999995</v>
      </c>
      <c r="I4097" s="3564">
        <v>19.98</v>
      </c>
      <c r="J4097" s="3565">
        <v>1045931</v>
      </c>
      <c r="K4097" s="3565">
        <v>10282.450000000001</v>
      </c>
      <c r="L4097" s="3565">
        <v>12795.83</v>
      </c>
      <c r="M4097" s="3565">
        <v>0</v>
      </c>
      <c r="N4097" s="3565">
        <v>0</v>
      </c>
      <c r="O4097" s="3563" t="s">
        <v>3453</v>
      </c>
    </row>
    <row r="4098" spans="1:15">
      <c r="A4098" s="3563" t="s">
        <v>8320</v>
      </c>
      <c r="B4098" s="3563" t="s">
        <v>4196</v>
      </c>
      <c r="C4098" s="3563" t="s">
        <v>4197</v>
      </c>
      <c r="D4098" s="3563" t="s">
        <v>6429</v>
      </c>
      <c r="E4098" s="3563" t="s">
        <v>6319</v>
      </c>
      <c r="F4098" s="3563" t="s">
        <v>4797</v>
      </c>
      <c r="G4098" s="3564">
        <v>101.72</v>
      </c>
      <c r="H4098" s="3564">
        <v>81.739999999999995</v>
      </c>
      <c r="I4098" s="3564">
        <v>19.98</v>
      </c>
      <c r="J4098" s="3565">
        <v>1045931</v>
      </c>
      <c r="K4098" s="3565">
        <v>10282.450000000001</v>
      </c>
      <c r="L4098" s="3565">
        <v>12795.83</v>
      </c>
      <c r="M4098" s="3565">
        <v>0</v>
      </c>
      <c r="N4098" s="3565">
        <v>0</v>
      </c>
      <c r="O4098" s="3563" t="s">
        <v>3453</v>
      </c>
    </row>
    <row r="4099" spans="1:15">
      <c r="A4099" s="3563" t="s">
        <v>8321</v>
      </c>
      <c r="B4099" s="3563" t="s">
        <v>4196</v>
      </c>
      <c r="C4099" s="3563" t="s">
        <v>4197</v>
      </c>
      <c r="D4099" s="3563" t="s">
        <v>6429</v>
      </c>
      <c r="E4099" s="3563" t="s">
        <v>6319</v>
      </c>
      <c r="F4099" s="3563" t="s">
        <v>4797</v>
      </c>
      <c r="G4099" s="3564">
        <v>90.57</v>
      </c>
      <c r="H4099" s="3564">
        <v>72.78</v>
      </c>
      <c r="I4099" s="3564">
        <v>17.79</v>
      </c>
      <c r="J4099" s="3565">
        <v>878289</v>
      </c>
      <c r="K4099" s="3565">
        <v>9697.35</v>
      </c>
      <c r="L4099" s="3565">
        <v>12067.72</v>
      </c>
      <c r="M4099" s="3565">
        <v>0</v>
      </c>
      <c r="N4099" s="3565">
        <v>0</v>
      </c>
      <c r="O4099" s="3563" t="s">
        <v>3453</v>
      </c>
    </row>
    <row r="4100" spans="1:15">
      <c r="A4100" s="3563" t="s">
        <v>8322</v>
      </c>
      <c r="B4100" s="3563" t="s">
        <v>4196</v>
      </c>
      <c r="C4100" s="3563" t="s">
        <v>4197</v>
      </c>
      <c r="D4100" s="3563" t="s">
        <v>6429</v>
      </c>
      <c r="E4100" s="3563" t="s">
        <v>6319</v>
      </c>
      <c r="F4100" s="3563" t="s">
        <v>4797</v>
      </c>
      <c r="G4100" s="3564">
        <v>78.44</v>
      </c>
      <c r="H4100" s="3564">
        <v>63.03</v>
      </c>
      <c r="I4100" s="3564">
        <v>15.41</v>
      </c>
      <c r="J4100" s="3565">
        <v>769005</v>
      </c>
      <c r="K4100" s="3565">
        <v>9803.74</v>
      </c>
      <c r="L4100" s="3565">
        <v>12200.62</v>
      </c>
      <c r="M4100" s="3565">
        <v>0</v>
      </c>
      <c r="N4100" s="3565">
        <v>0</v>
      </c>
      <c r="O4100" s="3563" t="s">
        <v>3453</v>
      </c>
    </row>
    <row r="4101" spans="1:15">
      <c r="A4101" s="3563" t="s">
        <v>8323</v>
      </c>
      <c r="B4101" s="3563" t="s">
        <v>4196</v>
      </c>
      <c r="C4101" s="3563" t="s">
        <v>4197</v>
      </c>
      <c r="D4101" s="3563" t="s">
        <v>6429</v>
      </c>
      <c r="E4101" s="3563" t="s">
        <v>6319</v>
      </c>
      <c r="F4101" s="3563" t="s">
        <v>4797</v>
      </c>
      <c r="G4101" s="3564">
        <v>78.44</v>
      </c>
      <c r="H4101" s="3564">
        <v>63.03</v>
      </c>
      <c r="I4101" s="3564">
        <v>15.41</v>
      </c>
      <c r="J4101" s="3565">
        <v>769005</v>
      </c>
      <c r="K4101" s="3565">
        <v>9803.74</v>
      </c>
      <c r="L4101" s="3565">
        <v>12200.62</v>
      </c>
      <c r="M4101" s="3565">
        <v>0</v>
      </c>
      <c r="N4101" s="3565">
        <v>0</v>
      </c>
      <c r="O4101" s="3563" t="s">
        <v>3453</v>
      </c>
    </row>
    <row r="4102" spans="1:15">
      <c r="A4102" s="3563" t="s">
        <v>8324</v>
      </c>
      <c r="B4102" s="3563" t="s">
        <v>4196</v>
      </c>
      <c r="C4102" s="3563" t="s">
        <v>4197</v>
      </c>
      <c r="D4102" s="3563" t="s">
        <v>6429</v>
      </c>
      <c r="E4102" s="3563" t="s">
        <v>6319</v>
      </c>
      <c r="F4102" s="3563" t="s">
        <v>4797</v>
      </c>
      <c r="G4102" s="3564">
        <v>110.06</v>
      </c>
      <c r="H4102" s="3564">
        <v>88.44</v>
      </c>
      <c r="I4102" s="3564">
        <v>21.62</v>
      </c>
      <c r="J4102" s="3565">
        <v>1084853</v>
      </c>
      <c r="K4102" s="3565">
        <v>9856.92</v>
      </c>
      <c r="L4102" s="3565">
        <v>12266.54</v>
      </c>
      <c r="M4102" s="3565">
        <v>0</v>
      </c>
      <c r="N4102" s="3565">
        <v>0</v>
      </c>
      <c r="O4102" s="3563" t="s">
        <v>3453</v>
      </c>
    </row>
    <row r="4103" spans="1:15">
      <c r="A4103" s="3563" t="s">
        <v>8325</v>
      </c>
      <c r="B4103" s="3563" t="s">
        <v>4196</v>
      </c>
      <c r="C4103" s="3563" t="s">
        <v>4197</v>
      </c>
      <c r="D4103" s="3563" t="s">
        <v>6429</v>
      </c>
      <c r="E4103" s="3563" t="s">
        <v>6319</v>
      </c>
      <c r="F4103" s="3563" t="s">
        <v>4797</v>
      </c>
      <c r="G4103" s="3564">
        <v>101.72</v>
      </c>
      <c r="H4103" s="3564">
        <v>81.739999999999995</v>
      </c>
      <c r="I4103" s="3564">
        <v>19.98</v>
      </c>
      <c r="J4103" s="3565">
        <v>1047013</v>
      </c>
      <c r="K4103" s="3565">
        <v>10293.09</v>
      </c>
      <c r="L4103" s="3565">
        <v>12809.07</v>
      </c>
      <c r="M4103" s="3565">
        <v>0</v>
      </c>
      <c r="N4103" s="3565">
        <v>0</v>
      </c>
      <c r="O4103" s="3563" t="s">
        <v>3453</v>
      </c>
    </row>
    <row r="4104" spans="1:15">
      <c r="A4104" s="3563" t="s">
        <v>8326</v>
      </c>
      <c r="B4104" s="3563" t="s">
        <v>4196</v>
      </c>
      <c r="C4104" s="3563" t="s">
        <v>4197</v>
      </c>
      <c r="D4104" s="3563" t="s">
        <v>6429</v>
      </c>
      <c r="E4104" s="3563" t="s">
        <v>6319</v>
      </c>
      <c r="F4104" s="3563" t="s">
        <v>4797</v>
      </c>
      <c r="G4104" s="3564">
        <v>101.72</v>
      </c>
      <c r="H4104" s="3564">
        <v>81.739999999999995</v>
      </c>
      <c r="I4104" s="3564">
        <v>19.98</v>
      </c>
      <c r="J4104" s="3565">
        <v>1047013</v>
      </c>
      <c r="K4104" s="3565">
        <v>10293.09</v>
      </c>
      <c r="L4104" s="3565">
        <v>12809.07</v>
      </c>
      <c r="M4104" s="3565">
        <v>0</v>
      </c>
      <c r="N4104" s="3565">
        <v>0</v>
      </c>
      <c r="O4104" s="3563" t="s">
        <v>3453</v>
      </c>
    </row>
    <row r="4105" spans="1:15">
      <c r="A4105" s="3563" t="s">
        <v>8327</v>
      </c>
      <c r="B4105" s="3563" t="s">
        <v>4196</v>
      </c>
      <c r="C4105" s="3563" t="s">
        <v>4197</v>
      </c>
      <c r="D4105" s="3563" t="s">
        <v>6429</v>
      </c>
      <c r="E4105" s="3563" t="s">
        <v>6319</v>
      </c>
      <c r="F4105" s="3563" t="s">
        <v>4797</v>
      </c>
      <c r="G4105" s="3564">
        <v>90.57</v>
      </c>
      <c r="H4105" s="3564">
        <v>72.78</v>
      </c>
      <c r="I4105" s="3564">
        <v>17.79</v>
      </c>
      <c r="J4105" s="3565">
        <v>888888</v>
      </c>
      <c r="K4105" s="3565">
        <v>9814.3799999999992</v>
      </c>
      <c r="L4105" s="3565">
        <v>12213.36</v>
      </c>
      <c r="M4105" s="3565">
        <v>0</v>
      </c>
      <c r="N4105" s="3565">
        <v>0</v>
      </c>
      <c r="O4105" s="3563" t="s">
        <v>3453</v>
      </c>
    </row>
    <row r="4106" spans="1:15">
      <c r="A4106" s="3563" t="s">
        <v>8328</v>
      </c>
      <c r="B4106" s="3563" t="s">
        <v>4196</v>
      </c>
      <c r="C4106" s="3563" t="s">
        <v>4197</v>
      </c>
      <c r="D4106" s="3563" t="s">
        <v>6429</v>
      </c>
      <c r="E4106" s="3563" t="s">
        <v>6319</v>
      </c>
      <c r="F4106" s="3563" t="s">
        <v>4797</v>
      </c>
      <c r="G4106" s="3564">
        <v>78.44</v>
      </c>
      <c r="H4106" s="3564">
        <v>63.03</v>
      </c>
      <c r="I4106" s="3564">
        <v>15.41</v>
      </c>
      <c r="J4106" s="3565">
        <v>778183</v>
      </c>
      <c r="K4106" s="3565">
        <v>9920.74</v>
      </c>
      <c r="L4106" s="3565">
        <v>12346.23</v>
      </c>
      <c r="M4106" s="3565">
        <v>0</v>
      </c>
      <c r="N4106" s="3565">
        <v>0</v>
      </c>
      <c r="O4106" s="3563" t="s">
        <v>3453</v>
      </c>
    </row>
    <row r="4107" spans="1:15">
      <c r="A4107" s="3563" t="s">
        <v>8329</v>
      </c>
      <c r="B4107" s="3563" t="s">
        <v>4196</v>
      </c>
      <c r="C4107" s="3563" t="s">
        <v>4197</v>
      </c>
      <c r="D4107" s="3563" t="s">
        <v>6429</v>
      </c>
      <c r="E4107" s="3563" t="s">
        <v>6319</v>
      </c>
      <c r="F4107" s="3563" t="s">
        <v>4797</v>
      </c>
      <c r="G4107" s="3564">
        <v>78.44</v>
      </c>
      <c r="H4107" s="3564">
        <v>63.03</v>
      </c>
      <c r="I4107" s="3564">
        <v>15.41</v>
      </c>
      <c r="J4107" s="3565">
        <v>778183</v>
      </c>
      <c r="K4107" s="3565">
        <v>9920.74</v>
      </c>
      <c r="L4107" s="3565">
        <v>12346.23</v>
      </c>
      <c r="M4107" s="3565">
        <v>0</v>
      </c>
      <c r="N4107" s="3565">
        <v>0</v>
      </c>
      <c r="O4107" s="3563" t="s">
        <v>3453</v>
      </c>
    </row>
    <row r="4108" spans="1:15">
      <c r="A4108" s="3563" t="s">
        <v>8330</v>
      </c>
      <c r="B4108" s="3563" t="s">
        <v>4196</v>
      </c>
      <c r="C4108" s="3563" t="s">
        <v>4197</v>
      </c>
      <c r="D4108" s="3563" t="s">
        <v>6429</v>
      </c>
      <c r="E4108" s="3563" t="s">
        <v>6319</v>
      </c>
      <c r="F4108" s="3563" t="s">
        <v>4797</v>
      </c>
      <c r="G4108" s="3564">
        <v>110.06</v>
      </c>
      <c r="H4108" s="3564">
        <v>88.44</v>
      </c>
      <c r="I4108" s="3564">
        <v>21.62</v>
      </c>
      <c r="J4108" s="3565">
        <v>1086024</v>
      </c>
      <c r="K4108" s="3565">
        <v>9867.56</v>
      </c>
      <c r="L4108" s="3565">
        <v>12279.78</v>
      </c>
      <c r="M4108" s="3565">
        <v>0</v>
      </c>
      <c r="N4108" s="3565">
        <v>0</v>
      </c>
      <c r="O4108" s="3563" t="s">
        <v>3453</v>
      </c>
    </row>
    <row r="4109" spans="1:15">
      <c r="A4109" s="3563" t="s">
        <v>8331</v>
      </c>
      <c r="B4109" s="3563" t="s">
        <v>4196</v>
      </c>
      <c r="C4109" s="3563" t="s">
        <v>4197</v>
      </c>
      <c r="D4109" s="3563" t="s">
        <v>6429</v>
      </c>
      <c r="E4109" s="3563" t="s">
        <v>6319</v>
      </c>
      <c r="F4109" s="3563" t="s">
        <v>4797</v>
      </c>
      <c r="G4109" s="3564">
        <v>101.72</v>
      </c>
      <c r="H4109" s="3564">
        <v>81.739999999999995</v>
      </c>
      <c r="I4109" s="3564">
        <v>19.98</v>
      </c>
      <c r="J4109" s="3565">
        <v>1048095</v>
      </c>
      <c r="K4109" s="3565">
        <v>10303.73</v>
      </c>
      <c r="L4109" s="3565">
        <v>12822.3</v>
      </c>
      <c r="M4109" s="3565">
        <v>0</v>
      </c>
      <c r="N4109" s="3565">
        <v>0</v>
      </c>
      <c r="O4109" s="3563" t="s">
        <v>3453</v>
      </c>
    </row>
    <row r="4110" spans="1:15">
      <c r="A4110" s="3563" t="s">
        <v>8332</v>
      </c>
      <c r="B4110" s="3563" t="s">
        <v>4196</v>
      </c>
      <c r="C4110" s="3563" t="s">
        <v>4197</v>
      </c>
      <c r="D4110" s="3563" t="s">
        <v>6429</v>
      </c>
      <c r="E4110" s="3563" t="s">
        <v>6319</v>
      </c>
      <c r="F4110" s="3563" t="s">
        <v>4797</v>
      </c>
      <c r="G4110" s="3564">
        <v>101.72</v>
      </c>
      <c r="H4110" s="3564">
        <v>81.739999999999995</v>
      </c>
      <c r="I4110" s="3564">
        <v>19.98</v>
      </c>
      <c r="J4110" s="3565">
        <v>1048095</v>
      </c>
      <c r="K4110" s="3565">
        <v>10303.73</v>
      </c>
      <c r="L4110" s="3565">
        <v>12822.3</v>
      </c>
      <c r="M4110" s="3565">
        <v>0</v>
      </c>
      <c r="N4110" s="3565">
        <v>0</v>
      </c>
      <c r="O4110" s="3563" t="s">
        <v>3453</v>
      </c>
    </row>
    <row r="4111" spans="1:15">
      <c r="A4111" s="3563" t="s">
        <v>8333</v>
      </c>
      <c r="B4111" s="3563" t="s">
        <v>4196</v>
      </c>
      <c r="C4111" s="3563" t="s">
        <v>4197</v>
      </c>
      <c r="D4111" s="3563" t="s">
        <v>6429</v>
      </c>
      <c r="E4111" s="3563" t="s">
        <v>6319</v>
      </c>
      <c r="F4111" s="3563" t="s">
        <v>4797</v>
      </c>
      <c r="G4111" s="3564">
        <v>90.57</v>
      </c>
      <c r="H4111" s="3564">
        <v>72.78</v>
      </c>
      <c r="I4111" s="3564">
        <v>17.79</v>
      </c>
      <c r="J4111" s="3565">
        <v>889850</v>
      </c>
      <c r="K4111" s="3565">
        <v>9825</v>
      </c>
      <c r="L4111" s="3565">
        <v>12226.57</v>
      </c>
      <c r="M4111" s="3565">
        <v>0</v>
      </c>
      <c r="N4111" s="3565">
        <v>0</v>
      </c>
      <c r="O4111" s="3563" t="s">
        <v>3453</v>
      </c>
    </row>
    <row r="4112" spans="1:15">
      <c r="A4112" s="3563" t="s">
        <v>8334</v>
      </c>
      <c r="B4112" s="3563" t="s">
        <v>3453</v>
      </c>
      <c r="C4112" s="3563" t="s">
        <v>4197</v>
      </c>
      <c r="D4112" s="3563" t="s">
        <v>6429</v>
      </c>
      <c r="E4112" s="3563" t="s">
        <v>6319</v>
      </c>
      <c r="F4112" s="3563" t="s">
        <v>4797</v>
      </c>
      <c r="G4112" s="3564">
        <v>78.44</v>
      </c>
      <c r="H4112" s="3564">
        <v>63.03</v>
      </c>
      <c r="I4112" s="3564">
        <v>15.41</v>
      </c>
      <c r="J4112" s="3565">
        <v>779019</v>
      </c>
      <c r="K4112" s="3565">
        <v>9931.4</v>
      </c>
      <c r="L4112" s="3565">
        <v>12359.5</v>
      </c>
      <c r="M4112" s="3565">
        <v>0</v>
      </c>
      <c r="N4112" s="3565">
        <v>0</v>
      </c>
      <c r="O4112" s="3563" t="s">
        <v>3453</v>
      </c>
    </row>
    <row r="4113" spans="1:15">
      <c r="A4113" s="3563" t="s">
        <v>8335</v>
      </c>
      <c r="B4113" s="3563" t="s">
        <v>3453</v>
      </c>
      <c r="C4113" s="3563" t="s">
        <v>4197</v>
      </c>
      <c r="D4113" s="3563" t="s">
        <v>6429</v>
      </c>
      <c r="E4113" s="3563" t="s">
        <v>6319</v>
      </c>
      <c r="F4113" s="3563" t="s">
        <v>4797</v>
      </c>
      <c r="G4113" s="3564">
        <v>78.44</v>
      </c>
      <c r="H4113" s="3564">
        <v>63.03</v>
      </c>
      <c r="I4113" s="3564">
        <v>15.41</v>
      </c>
      <c r="J4113" s="3565">
        <v>779019</v>
      </c>
      <c r="K4113" s="3565">
        <v>9931.4</v>
      </c>
      <c r="L4113" s="3565">
        <v>12359.5</v>
      </c>
      <c r="M4113" s="3565">
        <v>0</v>
      </c>
      <c r="N4113" s="3565">
        <v>0</v>
      </c>
      <c r="O4113" s="3563" t="s">
        <v>3453</v>
      </c>
    </row>
    <row r="4114" spans="1:15">
      <c r="A4114" s="3563" t="s">
        <v>8336</v>
      </c>
      <c r="B4114" s="3563" t="s">
        <v>4196</v>
      </c>
      <c r="C4114" s="3563" t="s">
        <v>4197</v>
      </c>
      <c r="D4114" s="3563" t="s">
        <v>6429</v>
      </c>
      <c r="E4114" s="3563" t="s">
        <v>6319</v>
      </c>
      <c r="F4114" s="3563" t="s">
        <v>4797</v>
      </c>
      <c r="G4114" s="3564">
        <v>110.06</v>
      </c>
      <c r="H4114" s="3564">
        <v>88.44</v>
      </c>
      <c r="I4114" s="3564">
        <v>21.62</v>
      </c>
      <c r="J4114" s="3565">
        <v>1087194</v>
      </c>
      <c r="K4114" s="3565">
        <v>9878.19</v>
      </c>
      <c r="L4114" s="3565">
        <v>12293.01</v>
      </c>
      <c r="M4114" s="3565">
        <v>0</v>
      </c>
      <c r="N4114" s="3565">
        <v>0</v>
      </c>
      <c r="O4114" s="3563" t="s">
        <v>3453</v>
      </c>
    </row>
    <row r="4115" spans="1:15">
      <c r="A4115" s="3563" t="s">
        <v>8337</v>
      </c>
      <c r="B4115" s="3563" t="s">
        <v>4196</v>
      </c>
      <c r="C4115" s="3563" t="s">
        <v>4197</v>
      </c>
      <c r="D4115" s="3563" t="s">
        <v>6429</v>
      </c>
      <c r="E4115" s="3563" t="s">
        <v>6319</v>
      </c>
      <c r="F4115" s="3563" t="s">
        <v>4797</v>
      </c>
      <c r="G4115" s="3564">
        <v>101.72</v>
      </c>
      <c r="H4115" s="3564">
        <v>81.739999999999995</v>
      </c>
      <c r="I4115" s="3564">
        <v>19.98</v>
      </c>
      <c r="J4115" s="3565">
        <v>1049177</v>
      </c>
      <c r="K4115" s="3565">
        <v>10314.36</v>
      </c>
      <c r="L4115" s="3565">
        <v>12835.54</v>
      </c>
      <c r="M4115" s="3565">
        <v>0</v>
      </c>
      <c r="N4115" s="3565">
        <v>0</v>
      </c>
      <c r="O4115" s="3563" t="s">
        <v>3453</v>
      </c>
    </row>
    <row r="4116" spans="1:15">
      <c r="A4116" s="3563" t="s">
        <v>8338</v>
      </c>
      <c r="B4116" s="3563" t="s">
        <v>4196</v>
      </c>
      <c r="C4116" s="3563" t="s">
        <v>4197</v>
      </c>
      <c r="D4116" s="3563" t="s">
        <v>6429</v>
      </c>
      <c r="E4116" s="3563" t="s">
        <v>6319</v>
      </c>
      <c r="F4116" s="3563" t="s">
        <v>4797</v>
      </c>
      <c r="G4116" s="3564">
        <v>101.72</v>
      </c>
      <c r="H4116" s="3564">
        <v>81.739999999999995</v>
      </c>
      <c r="I4116" s="3564">
        <v>19.98</v>
      </c>
      <c r="J4116" s="3565">
        <v>1049177</v>
      </c>
      <c r="K4116" s="3565">
        <v>10314.36</v>
      </c>
      <c r="L4116" s="3565">
        <v>12835.54</v>
      </c>
      <c r="M4116" s="3565">
        <v>0</v>
      </c>
      <c r="N4116" s="3565">
        <v>0</v>
      </c>
      <c r="O4116" s="3563" t="s">
        <v>3453</v>
      </c>
    </row>
    <row r="4117" spans="1:15">
      <c r="A4117" s="3563" t="s">
        <v>8339</v>
      </c>
      <c r="B4117" s="3563" t="s">
        <v>4196</v>
      </c>
      <c r="C4117" s="3563" t="s">
        <v>4197</v>
      </c>
      <c r="D4117" s="3563" t="s">
        <v>6429</v>
      </c>
      <c r="E4117" s="3563" t="s">
        <v>6319</v>
      </c>
      <c r="F4117" s="3563" t="s">
        <v>4797</v>
      </c>
      <c r="G4117" s="3564">
        <v>90.57</v>
      </c>
      <c r="H4117" s="3564">
        <v>72.78</v>
      </c>
      <c r="I4117" s="3564">
        <v>17.79</v>
      </c>
      <c r="J4117" s="3565">
        <v>890814</v>
      </c>
      <c r="K4117" s="3565">
        <v>9835.64</v>
      </c>
      <c r="L4117" s="3565">
        <v>12239.82</v>
      </c>
      <c r="M4117" s="3565">
        <v>0</v>
      </c>
      <c r="N4117" s="3565">
        <v>0</v>
      </c>
      <c r="O4117" s="3563" t="s">
        <v>3453</v>
      </c>
    </row>
    <row r="4118" spans="1:15">
      <c r="A4118" s="3563" t="s">
        <v>8340</v>
      </c>
      <c r="B4118" s="3563" t="s">
        <v>4196</v>
      </c>
      <c r="C4118" s="3563" t="s">
        <v>4197</v>
      </c>
      <c r="D4118" s="3563" t="s">
        <v>6429</v>
      </c>
      <c r="E4118" s="3563" t="s">
        <v>6319</v>
      </c>
      <c r="F4118" s="3563" t="s">
        <v>4797</v>
      </c>
      <c r="G4118" s="3564">
        <v>78.44</v>
      </c>
      <c r="H4118" s="3564">
        <v>63.03</v>
      </c>
      <c r="I4118" s="3564">
        <v>15.41</v>
      </c>
      <c r="J4118" s="3565">
        <v>779853</v>
      </c>
      <c r="K4118" s="3565">
        <v>9942.0300000000007</v>
      </c>
      <c r="L4118" s="3565">
        <v>12372.73</v>
      </c>
      <c r="M4118" s="3565">
        <v>0</v>
      </c>
      <c r="N4118" s="3565">
        <v>0</v>
      </c>
      <c r="O4118" s="3563" t="s">
        <v>3453</v>
      </c>
    </row>
    <row r="4119" spans="1:15">
      <c r="A4119" s="3563" t="s">
        <v>8341</v>
      </c>
      <c r="B4119" s="3563" t="s">
        <v>4196</v>
      </c>
      <c r="C4119" s="3563" t="s">
        <v>4197</v>
      </c>
      <c r="D4119" s="3563" t="s">
        <v>6429</v>
      </c>
      <c r="E4119" s="3563" t="s">
        <v>6319</v>
      </c>
      <c r="F4119" s="3563" t="s">
        <v>4797</v>
      </c>
      <c r="G4119" s="3564">
        <v>78.44</v>
      </c>
      <c r="H4119" s="3564">
        <v>63.03</v>
      </c>
      <c r="I4119" s="3564">
        <v>15.41</v>
      </c>
      <c r="J4119" s="3565">
        <v>779853</v>
      </c>
      <c r="K4119" s="3565">
        <v>9942.0300000000007</v>
      </c>
      <c r="L4119" s="3565">
        <v>12372.73</v>
      </c>
      <c r="M4119" s="3565">
        <v>0</v>
      </c>
      <c r="N4119" s="3565">
        <v>0</v>
      </c>
      <c r="O4119" s="3563" t="s">
        <v>3453</v>
      </c>
    </row>
    <row r="4120" spans="1:15">
      <c r="A4120" s="3563" t="s">
        <v>8342</v>
      </c>
      <c r="B4120" s="3563" t="s">
        <v>4196</v>
      </c>
      <c r="C4120" s="3563" t="s">
        <v>4197</v>
      </c>
      <c r="D4120" s="3563" t="s">
        <v>6429</v>
      </c>
      <c r="E4120" s="3563" t="s">
        <v>6319</v>
      </c>
      <c r="F4120" s="3563" t="s">
        <v>4797</v>
      </c>
      <c r="G4120" s="3564">
        <v>110.06</v>
      </c>
      <c r="H4120" s="3564">
        <v>88.44</v>
      </c>
      <c r="I4120" s="3564">
        <v>21.62</v>
      </c>
      <c r="J4120" s="3565">
        <v>1088365</v>
      </c>
      <c r="K4120" s="3565">
        <v>9888.83</v>
      </c>
      <c r="L4120" s="3565">
        <v>12306.25</v>
      </c>
      <c r="M4120" s="3565">
        <v>0</v>
      </c>
      <c r="N4120" s="3565">
        <v>0</v>
      </c>
      <c r="O4120" s="3563" t="s">
        <v>3453</v>
      </c>
    </row>
    <row r="4121" spans="1:15">
      <c r="A4121" s="3563" t="s">
        <v>8343</v>
      </c>
      <c r="B4121" s="3563" t="s">
        <v>4196</v>
      </c>
      <c r="C4121" s="3563" t="s">
        <v>4197</v>
      </c>
      <c r="D4121" s="3563" t="s">
        <v>6429</v>
      </c>
      <c r="E4121" s="3563" t="s">
        <v>6344</v>
      </c>
      <c r="F4121" s="3563" t="s">
        <v>4797</v>
      </c>
      <c r="G4121" s="3564">
        <v>98.29</v>
      </c>
      <c r="H4121" s="3564">
        <v>81.739999999999995</v>
      </c>
      <c r="I4121" s="3564">
        <v>16.55</v>
      </c>
      <c r="J4121" s="3565">
        <v>969882</v>
      </c>
      <c r="K4121" s="3565">
        <v>9867.56</v>
      </c>
      <c r="L4121" s="3565">
        <v>11865.45</v>
      </c>
      <c r="M4121" s="3565">
        <v>0</v>
      </c>
      <c r="N4121" s="3565">
        <v>0</v>
      </c>
      <c r="O4121" s="3563" t="s">
        <v>3453</v>
      </c>
    </row>
    <row r="4122" spans="1:15">
      <c r="A4122" s="3563" t="s">
        <v>8344</v>
      </c>
      <c r="B4122" s="3563" t="s">
        <v>4196</v>
      </c>
      <c r="C4122" s="3563" t="s">
        <v>4197</v>
      </c>
      <c r="D4122" s="3563" t="s">
        <v>6429</v>
      </c>
      <c r="E4122" s="3563" t="s">
        <v>6344</v>
      </c>
      <c r="F4122" s="3563" t="s">
        <v>4797</v>
      </c>
      <c r="G4122" s="3564">
        <v>98.29</v>
      </c>
      <c r="H4122" s="3564">
        <v>81.739999999999995</v>
      </c>
      <c r="I4122" s="3564">
        <v>16.55</v>
      </c>
      <c r="J4122" s="3565">
        <v>969882</v>
      </c>
      <c r="K4122" s="3565">
        <v>9867.56</v>
      </c>
      <c r="L4122" s="3565">
        <v>11865.45</v>
      </c>
      <c r="M4122" s="3565">
        <v>0</v>
      </c>
      <c r="N4122" s="3565">
        <v>0</v>
      </c>
      <c r="O4122" s="3563" t="s">
        <v>3453</v>
      </c>
    </row>
    <row r="4123" spans="1:15">
      <c r="A4123" s="3563" t="s">
        <v>8345</v>
      </c>
      <c r="B4123" s="3563" t="s">
        <v>4196</v>
      </c>
      <c r="C4123" s="3563" t="s">
        <v>4197</v>
      </c>
      <c r="D4123" s="3563" t="s">
        <v>6429</v>
      </c>
      <c r="E4123" s="3563" t="s">
        <v>6344</v>
      </c>
      <c r="F4123" s="3563" t="s">
        <v>4797</v>
      </c>
      <c r="G4123" s="3564">
        <v>87.52</v>
      </c>
      <c r="H4123" s="3564">
        <v>72.78</v>
      </c>
      <c r="I4123" s="3564">
        <v>14.74</v>
      </c>
      <c r="J4123" s="3565">
        <v>852436</v>
      </c>
      <c r="K4123" s="3565">
        <v>9739.9</v>
      </c>
      <c r="L4123" s="3565">
        <v>11712.5</v>
      </c>
      <c r="M4123" s="3565">
        <v>0</v>
      </c>
      <c r="N4123" s="3565">
        <v>0</v>
      </c>
      <c r="O4123" s="3563" t="s">
        <v>3453</v>
      </c>
    </row>
    <row r="4124" spans="1:15">
      <c r="A4124" s="3563" t="s">
        <v>8346</v>
      </c>
      <c r="B4124" s="3563" t="s">
        <v>4196</v>
      </c>
      <c r="C4124" s="3563" t="s">
        <v>4197</v>
      </c>
      <c r="D4124" s="3563" t="s">
        <v>6429</v>
      </c>
      <c r="E4124" s="3563" t="s">
        <v>6344</v>
      </c>
      <c r="F4124" s="3563" t="s">
        <v>4797</v>
      </c>
      <c r="G4124" s="3564">
        <v>73.27</v>
      </c>
      <c r="H4124" s="3564">
        <v>63.03</v>
      </c>
      <c r="I4124" s="3564">
        <v>10.24</v>
      </c>
      <c r="J4124" s="3565">
        <v>713642</v>
      </c>
      <c r="K4124" s="3565">
        <v>9739.89</v>
      </c>
      <c r="L4124" s="3565">
        <v>11322.26</v>
      </c>
      <c r="M4124" s="3565">
        <v>0</v>
      </c>
      <c r="N4124" s="3565">
        <v>0</v>
      </c>
      <c r="O4124" s="3563" t="s">
        <v>3453</v>
      </c>
    </row>
    <row r="4125" spans="1:15">
      <c r="A4125" s="3563" t="s">
        <v>8347</v>
      </c>
      <c r="B4125" s="3563" t="s">
        <v>4196</v>
      </c>
      <c r="C4125" s="3563" t="s">
        <v>4197</v>
      </c>
      <c r="D4125" s="3563" t="s">
        <v>6429</v>
      </c>
      <c r="E4125" s="3563" t="s">
        <v>6344</v>
      </c>
      <c r="F4125" s="3563" t="s">
        <v>4797</v>
      </c>
      <c r="G4125" s="3564">
        <v>73.27</v>
      </c>
      <c r="H4125" s="3564">
        <v>63.03</v>
      </c>
      <c r="I4125" s="3564">
        <v>10.24</v>
      </c>
      <c r="J4125" s="3565">
        <v>713642</v>
      </c>
      <c r="K4125" s="3565">
        <v>9739.89</v>
      </c>
      <c r="L4125" s="3565">
        <v>11322.26</v>
      </c>
      <c r="M4125" s="3565">
        <v>0</v>
      </c>
      <c r="N4125" s="3565">
        <v>0</v>
      </c>
      <c r="O4125" s="3563" t="s">
        <v>3453</v>
      </c>
    </row>
    <row r="4126" spans="1:15">
      <c r="A4126" s="3563" t="s">
        <v>8348</v>
      </c>
      <c r="B4126" s="3563" t="s">
        <v>3453</v>
      </c>
      <c r="C4126" s="3563" t="s">
        <v>4197</v>
      </c>
      <c r="D4126" s="3563" t="s">
        <v>6429</v>
      </c>
      <c r="E4126" s="3563" t="s">
        <v>6344</v>
      </c>
      <c r="F4126" s="3563" t="s">
        <v>4797</v>
      </c>
      <c r="G4126" s="3564">
        <v>101.47</v>
      </c>
      <c r="H4126" s="3564">
        <v>81.739999999999995</v>
      </c>
      <c r="I4126" s="3564">
        <v>19.73</v>
      </c>
      <c r="J4126" s="3565">
        <v>1058473</v>
      </c>
      <c r="K4126" s="3565">
        <v>10431.39</v>
      </c>
      <c r="L4126" s="3565">
        <v>12949.27</v>
      </c>
      <c r="M4126" s="3565">
        <v>0</v>
      </c>
      <c r="N4126" s="3565">
        <v>0</v>
      </c>
      <c r="O4126" s="3563" t="s">
        <v>3453</v>
      </c>
    </row>
    <row r="4127" spans="1:15">
      <c r="A4127" s="3563" t="s">
        <v>8349</v>
      </c>
      <c r="B4127" s="3563" t="s">
        <v>4196</v>
      </c>
      <c r="C4127" s="3563" t="s">
        <v>4197</v>
      </c>
      <c r="D4127" s="3563" t="s">
        <v>6429</v>
      </c>
      <c r="E4127" s="3563" t="s">
        <v>6344</v>
      </c>
      <c r="F4127" s="3563" t="s">
        <v>4797</v>
      </c>
      <c r="G4127" s="3564">
        <v>101.47</v>
      </c>
      <c r="H4127" s="3564">
        <v>81.739999999999995</v>
      </c>
      <c r="I4127" s="3564">
        <v>19.73</v>
      </c>
      <c r="J4127" s="3565">
        <v>1080062</v>
      </c>
      <c r="K4127" s="3565">
        <v>10644.15</v>
      </c>
      <c r="L4127" s="3565">
        <v>13213.38</v>
      </c>
      <c r="M4127" s="3565">
        <v>0</v>
      </c>
      <c r="N4127" s="3565">
        <v>0</v>
      </c>
      <c r="O4127" s="3563" t="s">
        <v>3453</v>
      </c>
    </row>
    <row r="4128" spans="1:15">
      <c r="A4128" s="3563" t="s">
        <v>8350</v>
      </c>
      <c r="B4128" s="3563" t="s">
        <v>4811</v>
      </c>
      <c r="C4128" s="3563" t="s">
        <v>4197</v>
      </c>
      <c r="D4128" s="3563" t="s">
        <v>6429</v>
      </c>
      <c r="E4128" s="3563" t="s">
        <v>6344</v>
      </c>
      <c r="F4128" s="3563" t="s">
        <v>4797</v>
      </c>
      <c r="G4128" s="3564">
        <v>90.34</v>
      </c>
      <c r="H4128" s="3564">
        <v>72.78</v>
      </c>
      <c r="I4128" s="3564">
        <v>17.559999999999999</v>
      </c>
      <c r="J4128" s="3565">
        <v>879903</v>
      </c>
      <c r="K4128" s="3565">
        <v>9739.9</v>
      </c>
      <c r="L4128" s="3565">
        <v>12089.9</v>
      </c>
      <c r="M4128" s="3565">
        <v>835908</v>
      </c>
      <c r="N4128" s="3565">
        <v>9252.91</v>
      </c>
      <c r="O4128" s="3566">
        <v>44192</v>
      </c>
    </row>
    <row r="4129" spans="1:15">
      <c r="A4129" s="3563" t="s">
        <v>8351</v>
      </c>
      <c r="B4129" s="3563" t="s">
        <v>4196</v>
      </c>
      <c r="C4129" s="3563" t="s">
        <v>4197</v>
      </c>
      <c r="D4129" s="3563" t="s">
        <v>6429</v>
      </c>
      <c r="E4129" s="3563" t="s">
        <v>6344</v>
      </c>
      <c r="F4129" s="3563" t="s">
        <v>4797</v>
      </c>
      <c r="G4129" s="3564">
        <v>78.239999999999995</v>
      </c>
      <c r="H4129" s="3564">
        <v>63.03</v>
      </c>
      <c r="I4129" s="3564">
        <v>15.21</v>
      </c>
      <c r="J4129" s="3565">
        <v>770373</v>
      </c>
      <c r="K4129" s="3565">
        <v>9846.2800000000007</v>
      </c>
      <c r="L4129" s="3565">
        <v>12222.32</v>
      </c>
      <c r="M4129" s="3565">
        <v>0</v>
      </c>
      <c r="N4129" s="3565">
        <v>0</v>
      </c>
      <c r="O4129" s="3563" t="s">
        <v>3453</v>
      </c>
    </row>
    <row r="4130" spans="1:15">
      <c r="A4130" s="3563" t="s">
        <v>8352</v>
      </c>
      <c r="B4130" s="3563" t="s">
        <v>4811</v>
      </c>
      <c r="C4130" s="3563" t="s">
        <v>4197</v>
      </c>
      <c r="D4130" s="3563" t="s">
        <v>6429</v>
      </c>
      <c r="E4130" s="3563" t="s">
        <v>6344</v>
      </c>
      <c r="F4130" s="3563" t="s">
        <v>4797</v>
      </c>
      <c r="G4130" s="3564">
        <v>78.239999999999995</v>
      </c>
      <c r="H4130" s="3564">
        <v>63.03</v>
      </c>
      <c r="I4130" s="3564">
        <v>15.21</v>
      </c>
      <c r="J4130" s="3565">
        <v>770373</v>
      </c>
      <c r="K4130" s="3565">
        <v>9846.2800000000007</v>
      </c>
      <c r="L4130" s="3565">
        <v>12222.32</v>
      </c>
      <c r="M4130" s="3565">
        <v>739559</v>
      </c>
      <c r="N4130" s="3565">
        <v>9452.44</v>
      </c>
      <c r="O4130" s="3566">
        <v>44192</v>
      </c>
    </row>
    <row r="4131" spans="1:15">
      <c r="A4131" s="3563" t="s">
        <v>8353</v>
      </c>
      <c r="B4131" s="3563" t="s">
        <v>4811</v>
      </c>
      <c r="C4131" s="3563" t="s">
        <v>4197</v>
      </c>
      <c r="D4131" s="3563" t="s">
        <v>6429</v>
      </c>
      <c r="E4131" s="3563" t="s">
        <v>6344</v>
      </c>
      <c r="F4131" s="3563" t="s">
        <v>4797</v>
      </c>
      <c r="G4131" s="3564">
        <v>109.78</v>
      </c>
      <c r="H4131" s="3564">
        <v>88.44</v>
      </c>
      <c r="I4131" s="3564">
        <v>21.34</v>
      </c>
      <c r="J4131" s="3565">
        <v>1098443</v>
      </c>
      <c r="K4131" s="3565">
        <v>10005.86</v>
      </c>
      <c r="L4131" s="3565">
        <v>12420.21</v>
      </c>
      <c r="M4131" s="3565">
        <v>1043521</v>
      </c>
      <c r="N4131" s="3565">
        <v>9505.57</v>
      </c>
      <c r="O4131" s="3566">
        <v>44192</v>
      </c>
    </row>
    <row r="4132" spans="1:15">
      <c r="A4132" s="3563" t="s">
        <v>8354</v>
      </c>
      <c r="B4132" s="3563" t="s">
        <v>3453</v>
      </c>
      <c r="C4132" s="3563" t="s">
        <v>4197</v>
      </c>
      <c r="D4132" s="3563" t="s">
        <v>6429</v>
      </c>
      <c r="E4132" s="3563" t="s">
        <v>6344</v>
      </c>
      <c r="F4132" s="3563" t="s">
        <v>4797</v>
      </c>
      <c r="G4132" s="3564">
        <v>101.47</v>
      </c>
      <c r="H4132" s="3564">
        <v>81.739999999999995</v>
      </c>
      <c r="I4132" s="3564">
        <v>19.73</v>
      </c>
      <c r="J4132" s="3565">
        <v>1059553</v>
      </c>
      <c r="K4132" s="3565">
        <v>10442.030000000001</v>
      </c>
      <c r="L4132" s="3565">
        <v>12962.48</v>
      </c>
      <c r="M4132" s="3565">
        <v>0</v>
      </c>
      <c r="N4132" s="3565">
        <v>0</v>
      </c>
      <c r="O4132" s="3563" t="s">
        <v>3453</v>
      </c>
    </row>
    <row r="4133" spans="1:15">
      <c r="A4133" s="3563" t="s">
        <v>8355</v>
      </c>
      <c r="B4133" s="3563" t="s">
        <v>4196</v>
      </c>
      <c r="C4133" s="3563" t="s">
        <v>4197</v>
      </c>
      <c r="D4133" s="3563" t="s">
        <v>6429</v>
      </c>
      <c r="E4133" s="3563" t="s">
        <v>6344</v>
      </c>
      <c r="F4133" s="3563" t="s">
        <v>4797</v>
      </c>
      <c r="G4133" s="3564">
        <v>101.47</v>
      </c>
      <c r="H4133" s="3564">
        <v>81.739999999999995</v>
      </c>
      <c r="I4133" s="3564">
        <v>19.73</v>
      </c>
      <c r="J4133" s="3565">
        <v>1081142</v>
      </c>
      <c r="K4133" s="3565">
        <v>10654.79</v>
      </c>
      <c r="L4133" s="3565">
        <v>13226.6</v>
      </c>
      <c r="M4133" s="3565">
        <v>0</v>
      </c>
      <c r="N4133" s="3565">
        <v>0</v>
      </c>
      <c r="O4133" s="3563" t="s">
        <v>3453</v>
      </c>
    </row>
    <row r="4134" spans="1:15">
      <c r="A4134" s="3563" t="s">
        <v>8356</v>
      </c>
      <c r="B4134" s="3563" t="s">
        <v>4196</v>
      </c>
      <c r="C4134" s="3563" t="s">
        <v>4197</v>
      </c>
      <c r="D4134" s="3563" t="s">
        <v>6429</v>
      </c>
      <c r="E4134" s="3563" t="s">
        <v>6344</v>
      </c>
      <c r="F4134" s="3563" t="s">
        <v>4797</v>
      </c>
      <c r="G4134" s="3564">
        <v>90.34</v>
      </c>
      <c r="H4134" s="3564">
        <v>72.78</v>
      </c>
      <c r="I4134" s="3564">
        <v>17.559999999999999</v>
      </c>
      <c r="J4134" s="3565">
        <v>880863</v>
      </c>
      <c r="K4134" s="3565">
        <v>9750.5300000000007</v>
      </c>
      <c r="L4134" s="3565">
        <v>12103.09</v>
      </c>
      <c r="M4134" s="3565">
        <v>0</v>
      </c>
      <c r="N4134" s="3565">
        <v>0</v>
      </c>
      <c r="O4134" s="3563" t="s">
        <v>3453</v>
      </c>
    </row>
    <row r="4135" spans="1:15">
      <c r="A4135" s="3563" t="s">
        <v>8357</v>
      </c>
      <c r="B4135" s="3563" t="s">
        <v>4811</v>
      </c>
      <c r="C4135" s="3563" t="s">
        <v>4197</v>
      </c>
      <c r="D4135" s="3563" t="s">
        <v>6429</v>
      </c>
      <c r="E4135" s="3563" t="s">
        <v>6344</v>
      </c>
      <c r="F4135" s="3563" t="s">
        <v>4797</v>
      </c>
      <c r="G4135" s="3564">
        <v>78.239999999999995</v>
      </c>
      <c r="H4135" s="3564">
        <v>63.03</v>
      </c>
      <c r="I4135" s="3564">
        <v>15.21</v>
      </c>
      <c r="J4135" s="3565">
        <v>771206</v>
      </c>
      <c r="K4135" s="3565">
        <v>9856.93</v>
      </c>
      <c r="L4135" s="3565">
        <v>12235.54</v>
      </c>
      <c r="M4135" s="3565">
        <v>732646</v>
      </c>
      <c r="N4135" s="3565">
        <v>9364.08</v>
      </c>
      <c r="O4135" s="3566">
        <v>44192</v>
      </c>
    </row>
    <row r="4136" spans="1:15">
      <c r="A4136" s="3563" t="s">
        <v>8358</v>
      </c>
      <c r="B4136" s="3563" t="s">
        <v>4811</v>
      </c>
      <c r="C4136" s="3563" t="s">
        <v>4197</v>
      </c>
      <c r="D4136" s="3563" t="s">
        <v>6429</v>
      </c>
      <c r="E4136" s="3563" t="s">
        <v>6344</v>
      </c>
      <c r="F4136" s="3563" t="s">
        <v>4797</v>
      </c>
      <c r="G4136" s="3564">
        <v>78.239999999999995</v>
      </c>
      <c r="H4136" s="3564">
        <v>63.03</v>
      </c>
      <c r="I4136" s="3564">
        <v>15.21</v>
      </c>
      <c r="J4136" s="3565">
        <v>771206</v>
      </c>
      <c r="K4136" s="3565">
        <v>9856.93</v>
      </c>
      <c r="L4136" s="3565">
        <v>12235.54</v>
      </c>
      <c r="M4136" s="3565">
        <v>724934</v>
      </c>
      <c r="N4136" s="3565">
        <v>9265.52</v>
      </c>
      <c r="O4136" s="3566">
        <v>44192</v>
      </c>
    </row>
    <row r="4137" spans="1:15">
      <c r="A4137" s="3563" t="s">
        <v>8359</v>
      </c>
      <c r="B4137" s="3563" t="s">
        <v>4811</v>
      </c>
      <c r="C4137" s="3563" t="s">
        <v>4197</v>
      </c>
      <c r="D4137" s="3563" t="s">
        <v>6429</v>
      </c>
      <c r="E4137" s="3563" t="s">
        <v>6344</v>
      </c>
      <c r="F4137" s="3563" t="s">
        <v>4797</v>
      </c>
      <c r="G4137" s="3564">
        <v>109.78</v>
      </c>
      <c r="H4137" s="3564">
        <v>88.44</v>
      </c>
      <c r="I4137" s="3564">
        <v>21.34</v>
      </c>
      <c r="J4137" s="3565">
        <v>1099611</v>
      </c>
      <c r="K4137" s="3565">
        <v>10016.5</v>
      </c>
      <c r="L4137" s="3565">
        <v>12433.41</v>
      </c>
      <c r="M4137" s="3565">
        <v>1044631</v>
      </c>
      <c r="N4137" s="3565">
        <v>9515.68</v>
      </c>
      <c r="O4137" s="3566">
        <v>44192</v>
      </c>
    </row>
    <row r="4138" spans="1:15">
      <c r="A4138" s="3563" t="s">
        <v>8360</v>
      </c>
      <c r="B4138" s="3563" t="s">
        <v>3453</v>
      </c>
      <c r="C4138" s="3563" t="s">
        <v>4197</v>
      </c>
      <c r="D4138" s="3563" t="s">
        <v>6429</v>
      </c>
      <c r="E4138" s="3563" t="s">
        <v>6344</v>
      </c>
      <c r="F4138" s="3563" t="s">
        <v>4797</v>
      </c>
      <c r="G4138" s="3564">
        <v>101.47</v>
      </c>
      <c r="H4138" s="3564">
        <v>81.739999999999995</v>
      </c>
      <c r="I4138" s="3564">
        <v>19.73</v>
      </c>
      <c r="J4138" s="3565">
        <v>1060631</v>
      </c>
      <c r="K4138" s="3565">
        <v>10452.66</v>
      </c>
      <c r="L4138" s="3565">
        <v>12975.67</v>
      </c>
      <c r="M4138" s="3565">
        <v>0</v>
      </c>
      <c r="N4138" s="3565">
        <v>0</v>
      </c>
      <c r="O4138" s="3563" t="s">
        <v>3453</v>
      </c>
    </row>
    <row r="4139" spans="1:15">
      <c r="A4139" s="3563" t="s">
        <v>8361</v>
      </c>
      <c r="B4139" s="3563" t="s">
        <v>4811</v>
      </c>
      <c r="C4139" s="3563" t="s">
        <v>4197</v>
      </c>
      <c r="D4139" s="3563" t="s">
        <v>6429</v>
      </c>
      <c r="E4139" s="3563" t="s">
        <v>6344</v>
      </c>
      <c r="F4139" s="3563" t="s">
        <v>4797</v>
      </c>
      <c r="G4139" s="3564">
        <v>101.47</v>
      </c>
      <c r="H4139" s="3564">
        <v>81.739999999999995</v>
      </c>
      <c r="I4139" s="3564">
        <v>19.73</v>
      </c>
      <c r="J4139" s="3565">
        <v>1082221</v>
      </c>
      <c r="K4139" s="3565">
        <v>10665.43</v>
      </c>
      <c r="L4139" s="3565">
        <v>13239.8</v>
      </c>
      <c r="M4139" s="3565">
        <v>1028110</v>
      </c>
      <c r="N4139" s="3565">
        <v>10132.16</v>
      </c>
      <c r="O4139" s="3566">
        <v>44192</v>
      </c>
    </row>
    <row r="4140" spans="1:15">
      <c r="A4140" s="3563" t="s">
        <v>8362</v>
      </c>
      <c r="B4140" s="3563" t="s">
        <v>4811</v>
      </c>
      <c r="C4140" s="3563" t="s">
        <v>4197</v>
      </c>
      <c r="D4140" s="3563" t="s">
        <v>6429</v>
      </c>
      <c r="E4140" s="3563" t="s">
        <v>6344</v>
      </c>
      <c r="F4140" s="3563" t="s">
        <v>4797</v>
      </c>
      <c r="G4140" s="3564">
        <v>90.34</v>
      </c>
      <c r="H4140" s="3564">
        <v>72.78</v>
      </c>
      <c r="I4140" s="3564">
        <v>17.559999999999999</v>
      </c>
      <c r="J4140" s="3565">
        <v>881825</v>
      </c>
      <c r="K4140" s="3565">
        <v>9761.18</v>
      </c>
      <c r="L4140" s="3565">
        <v>12116.31</v>
      </c>
      <c r="M4140" s="3565">
        <v>837734</v>
      </c>
      <c r="N4140" s="3565">
        <v>9273.1200000000008</v>
      </c>
      <c r="O4140" s="3566">
        <v>44192</v>
      </c>
    </row>
    <row r="4141" spans="1:15">
      <c r="A4141" s="3563" t="s">
        <v>8363</v>
      </c>
      <c r="B4141" s="3563" t="s">
        <v>4196</v>
      </c>
      <c r="C4141" s="3563" t="s">
        <v>4197</v>
      </c>
      <c r="D4141" s="3563" t="s">
        <v>6429</v>
      </c>
      <c r="E4141" s="3563" t="s">
        <v>6344</v>
      </c>
      <c r="F4141" s="3563" t="s">
        <v>4797</v>
      </c>
      <c r="G4141" s="3564">
        <v>78.239999999999995</v>
      </c>
      <c r="H4141" s="3564">
        <v>63.03</v>
      </c>
      <c r="I4141" s="3564">
        <v>15.21</v>
      </c>
      <c r="J4141" s="3565">
        <v>772038</v>
      </c>
      <c r="K4141" s="3565">
        <v>9867.56</v>
      </c>
      <c r="L4141" s="3565">
        <v>12248.74</v>
      </c>
      <c r="M4141" s="3565">
        <v>0</v>
      </c>
      <c r="N4141" s="3565">
        <v>0</v>
      </c>
      <c r="O4141" s="3563" t="s">
        <v>3453</v>
      </c>
    </row>
    <row r="4142" spans="1:15">
      <c r="A4142" s="3563" t="s">
        <v>8364</v>
      </c>
      <c r="B4142" s="3563" t="s">
        <v>4811</v>
      </c>
      <c r="C4142" s="3563" t="s">
        <v>4197</v>
      </c>
      <c r="D4142" s="3563" t="s">
        <v>6429</v>
      </c>
      <c r="E4142" s="3563" t="s">
        <v>6344</v>
      </c>
      <c r="F4142" s="3563" t="s">
        <v>4797</v>
      </c>
      <c r="G4142" s="3564">
        <v>78.239999999999995</v>
      </c>
      <c r="H4142" s="3564">
        <v>63.03</v>
      </c>
      <c r="I4142" s="3564">
        <v>15.21</v>
      </c>
      <c r="J4142" s="3565">
        <v>772038</v>
      </c>
      <c r="K4142" s="3565">
        <v>9867.56</v>
      </c>
      <c r="L4142" s="3565">
        <v>12248.74</v>
      </c>
      <c r="M4142" s="3565">
        <v>733437</v>
      </c>
      <c r="N4142" s="3565">
        <v>9374.19</v>
      </c>
      <c r="O4142" s="3566">
        <v>44192</v>
      </c>
    </row>
    <row r="4143" spans="1:15">
      <c r="A4143" s="3563" t="s">
        <v>8365</v>
      </c>
      <c r="B4143" s="3563" t="s">
        <v>4811</v>
      </c>
      <c r="C4143" s="3563" t="s">
        <v>4197</v>
      </c>
      <c r="D4143" s="3563" t="s">
        <v>6429</v>
      </c>
      <c r="E4143" s="3563" t="s">
        <v>6344</v>
      </c>
      <c r="F4143" s="3563" t="s">
        <v>4797</v>
      </c>
      <c r="G4143" s="3564">
        <v>109.78</v>
      </c>
      <c r="H4143" s="3564">
        <v>88.44</v>
      </c>
      <c r="I4143" s="3564">
        <v>21.34</v>
      </c>
      <c r="J4143" s="3565">
        <v>1100778</v>
      </c>
      <c r="K4143" s="3565">
        <v>10027.129999999999</v>
      </c>
      <c r="L4143" s="3565">
        <v>12446.61</v>
      </c>
      <c r="M4143" s="3565">
        <v>1067755</v>
      </c>
      <c r="N4143" s="3565">
        <v>9726.32</v>
      </c>
      <c r="O4143" s="3566">
        <v>44192</v>
      </c>
    </row>
    <row r="4144" spans="1:15">
      <c r="A4144" s="3563" t="s">
        <v>8366</v>
      </c>
      <c r="B4144" s="3563" t="s">
        <v>4196</v>
      </c>
      <c r="C4144" s="3563" t="s">
        <v>4197</v>
      </c>
      <c r="D4144" s="3563" t="s">
        <v>6429</v>
      </c>
      <c r="E4144" s="3563" t="s">
        <v>6344</v>
      </c>
      <c r="F4144" s="3563" t="s">
        <v>4797</v>
      </c>
      <c r="G4144" s="3564">
        <v>101.47</v>
      </c>
      <c r="H4144" s="3564">
        <v>81.739999999999995</v>
      </c>
      <c r="I4144" s="3564">
        <v>19.73</v>
      </c>
      <c r="J4144" s="3565">
        <v>1083300</v>
      </c>
      <c r="K4144" s="3565">
        <v>10676.06</v>
      </c>
      <c r="L4144" s="3565">
        <v>13253</v>
      </c>
      <c r="M4144" s="3565">
        <v>0</v>
      </c>
      <c r="N4144" s="3565">
        <v>0</v>
      </c>
      <c r="O4144" s="3563" t="s">
        <v>3453</v>
      </c>
    </row>
    <row r="4145" spans="1:15">
      <c r="A4145" s="3563" t="s">
        <v>8367</v>
      </c>
      <c r="B4145" s="3563" t="s">
        <v>4196</v>
      </c>
      <c r="C4145" s="3563" t="s">
        <v>4197</v>
      </c>
      <c r="D4145" s="3563" t="s">
        <v>6429</v>
      </c>
      <c r="E4145" s="3563" t="s">
        <v>6344</v>
      </c>
      <c r="F4145" s="3563" t="s">
        <v>4797</v>
      </c>
      <c r="G4145" s="3564">
        <v>101.47</v>
      </c>
      <c r="H4145" s="3564">
        <v>81.739999999999995</v>
      </c>
      <c r="I4145" s="3564">
        <v>19.73</v>
      </c>
      <c r="J4145" s="3565">
        <v>1083300</v>
      </c>
      <c r="K4145" s="3565">
        <v>10676.06</v>
      </c>
      <c r="L4145" s="3565">
        <v>13253</v>
      </c>
      <c r="M4145" s="3565">
        <v>0</v>
      </c>
      <c r="N4145" s="3565">
        <v>0</v>
      </c>
      <c r="O4145" s="3563" t="s">
        <v>3453</v>
      </c>
    </row>
    <row r="4146" spans="1:15">
      <c r="A4146" s="3563" t="s">
        <v>8368</v>
      </c>
      <c r="B4146" s="3563" t="s">
        <v>4196</v>
      </c>
      <c r="C4146" s="3563" t="s">
        <v>4197</v>
      </c>
      <c r="D4146" s="3563" t="s">
        <v>6429</v>
      </c>
      <c r="E4146" s="3563" t="s">
        <v>6344</v>
      </c>
      <c r="F4146" s="3563" t="s">
        <v>4797</v>
      </c>
      <c r="G4146" s="3564">
        <v>90.34</v>
      </c>
      <c r="H4146" s="3564">
        <v>72.78</v>
      </c>
      <c r="I4146" s="3564">
        <v>17.559999999999999</v>
      </c>
      <c r="J4146" s="3565">
        <v>902007</v>
      </c>
      <c r="K4146" s="3565">
        <v>9984.58</v>
      </c>
      <c r="L4146" s="3565">
        <v>12393.61</v>
      </c>
      <c r="M4146" s="3565">
        <v>0</v>
      </c>
      <c r="N4146" s="3565">
        <v>0</v>
      </c>
      <c r="O4146" s="3563" t="s">
        <v>3453</v>
      </c>
    </row>
    <row r="4147" spans="1:15">
      <c r="A4147" s="3563" t="s">
        <v>8369</v>
      </c>
      <c r="B4147" s="3563" t="s">
        <v>4196</v>
      </c>
      <c r="C4147" s="3563" t="s">
        <v>4197</v>
      </c>
      <c r="D4147" s="3563" t="s">
        <v>6429</v>
      </c>
      <c r="E4147" s="3563" t="s">
        <v>6344</v>
      </c>
      <c r="F4147" s="3563" t="s">
        <v>4797</v>
      </c>
      <c r="G4147" s="3564">
        <v>78.239999999999995</v>
      </c>
      <c r="H4147" s="3564">
        <v>63.03</v>
      </c>
      <c r="I4147" s="3564">
        <v>15.21</v>
      </c>
      <c r="J4147" s="3565">
        <v>772871</v>
      </c>
      <c r="K4147" s="3565">
        <v>9878.2099999999991</v>
      </c>
      <c r="L4147" s="3565">
        <v>12261.95</v>
      </c>
      <c r="M4147" s="3565">
        <v>0</v>
      </c>
      <c r="N4147" s="3565">
        <v>0</v>
      </c>
      <c r="O4147" s="3563" t="s">
        <v>3453</v>
      </c>
    </row>
    <row r="4148" spans="1:15">
      <c r="A4148" s="3563" t="s">
        <v>8370</v>
      </c>
      <c r="B4148" s="3563" t="s">
        <v>4811</v>
      </c>
      <c r="C4148" s="3563" t="s">
        <v>4197</v>
      </c>
      <c r="D4148" s="3563" t="s">
        <v>6429</v>
      </c>
      <c r="E4148" s="3563" t="s">
        <v>6344</v>
      </c>
      <c r="F4148" s="3563" t="s">
        <v>4797</v>
      </c>
      <c r="G4148" s="3564">
        <v>78.239999999999995</v>
      </c>
      <c r="H4148" s="3564">
        <v>63.03</v>
      </c>
      <c r="I4148" s="3564">
        <v>15.21</v>
      </c>
      <c r="J4148" s="3565">
        <v>772871</v>
      </c>
      <c r="K4148" s="3565">
        <v>9878.2099999999991</v>
      </c>
      <c r="L4148" s="3565">
        <v>12261.95</v>
      </c>
      <c r="M4148" s="3565">
        <v>749685</v>
      </c>
      <c r="N4148" s="3565">
        <v>9581.86</v>
      </c>
      <c r="O4148" s="3566">
        <v>44192</v>
      </c>
    </row>
    <row r="4149" spans="1:15">
      <c r="A4149" s="3563" t="s">
        <v>8371</v>
      </c>
      <c r="B4149" s="3563" t="s">
        <v>4811</v>
      </c>
      <c r="C4149" s="3563" t="s">
        <v>4197</v>
      </c>
      <c r="D4149" s="3563" t="s">
        <v>6429</v>
      </c>
      <c r="E4149" s="3563" t="s">
        <v>6344</v>
      </c>
      <c r="F4149" s="3563" t="s">
        <v>4797</v>
      </c>
      <c r="G4149" s="3564">
        <v>109.78</v>
      </c>
      <c r="H4149" s="3564">
        <v>88.44</v>
      </c>
      <c r="I4149" s="3564">
        <v>21.34</v>
      </c>
      <c r="J4149" s="3565">
        <v>1125304</v>
      </c>
      <c r="K4149" s="3565">
        <v>10250.540000000001</v>
      </c>
      <c r="L4149" s="3565">
        <v>12723.93</v>
      </c>
      <c r="M4149" s="3565">
        <v>1069039</v>
      </c>
      <c r="N4149" s="3565">
        <v>9738.01</v>
      </c>
      <c r="O4149" s="3566">
        <v>44192</v>
      </c>
    </row>
    <row r="4150" spans="1:15">
      <c r="A4150" s="3563" t="s">
        <v>8372</v>
      </c>
      <c r="B4150" s="3563" t="s">
        <v>4196</v>
      </c>
      <c r="C4150" s="3563" t="s">
        <v>4197</v>
      </c>
      <c r="D4150" s="3563" t="s">
        <v>6429</v>
      </c>
      <c r="E4150" s="3563" t="s">
        <v>6344</v>
      </c>
      <c r="F4150" s="3563" t="s">
        <v>4797</v>
      </c>
      <c r="G4150" s="3564">
        <v>101.47</v>
      </c>
      <c r="H4150" s="3564">
        <v>81.739999999999995</v>
      </c>
      <c r="I4150" s="3564">
        <v>19.73</v>
      </c>
      <c r="J4150" s="3565">
        <v>1073586</v>
      </c>
      <c r="K4150" s="3565">
        <v>10580.33</v>
      </c>
      <c r="L4150" s="3565">
        <v>13134.16</v>
      </c>
      <c r="M4150" s="3565">
        <v>0</v>
      </c>
      <c r="N4150" s="3565">
        <v>0</v>
      </c>
      <c r="O4150" s="3563" t="s">
        <v>3453</v>
      </c>
    </row>
    <row r="4151" spans="1:15">
      <c r="A4151" s="3563" t="s">
        <v>8373</v>
      </c>
      <c r="B4151" s="3563" t="s">
        <v>4196</v>
      </c>
      <c r="C4151" s="3563" t="s">
        <v>4197</v>
      </c>
      <c r="D4151" s="3563" t="s">
        <v>6429</v>
      </c>
      <c r="E4151" s="3563" t="s">
        <v>6344</v>
      </c>
      <c r="F4151" s="3563" t="s">
        <v>4797</v>
      </c>
      <c r="G4151" s="3564">
        <v>101.47</v>
      </c>
      <c r="H4151" s="3564">
        <v>81.739999999999995</v>
      </c>
      <c r="I4151" s="3564">
        <v>19.73</v>
      </c>
      <c r="J4151" s="3565">
        <v>1073586</v>
      </c>
      <c r="K4151" s="3565">
        <v>10580.33</v>
      </c>
      <c r="L4151" s="3565">
        <v>13134.16</v>
      </c>
      <c r="M4151" s="3565">
        <v>0</v>
      </c>
      <c r="N4151" s="3565">
        <v>0</v>
      </c>
      <c r="O4151" s="3563" t="s">
        <v>3453</v>
      </c>
    </row>
    <row r="4152" spans="1:15">
      <c r="A4152" s="3563" t="s">
        <v>8374</v>
      </c>
      <c r="B4152" s="3563" t="s">
        <v>4196</v>
      </c>
      <c r="C4152" s="3563" t="s">
        <v>4197</v>
      </c>
      <c r="D4152" s="3563" t="s">
        <v>6429</v>
      </c>
      <c r="E4152" s="3563" t="s">
        <v>6344</v>
      </c>
      <c r="F4152" s="3563" t="s">
        <v>4797</v>
      </c>
      <c r="G4152" s="3564">
        <v>90.34</v>
      </c>
      <c r="H4152" s="3564">
        <v>72.78</v>
      </c>
      <c r="I4152" s="3564">
        <v>17.559999999999999</v>
      </c>
      <c r="J4152" s="3565">
        <v>893357</v>
      </c>
      <c r="K4152" s="3565">
        <v>9888.83</v>
      </c>
      <c r="L4152" s="3565">
        <v>12274.76</v>
      </c>
      <c r="M4152" s="3565">
        <v>0</v>
      </c>
      <c r="N4152" s="3565">
        <v>0</v>
      </c>
      <c r="O4152" s="3563" t="s">
        <v>3453</v>
      </c>
    </row>
    <row r="4153" spans="1:15">
      <c r="A4153" s="3563" t="s">
        <v>8375</v>
      </c>
      <c r="B4153" s="3563" t="s">
        <v>4196</v>
      </c>
      <c r="C4153" s="3563" t="s">
        <v>4197</v>
      </c>
      <c r="D4153" s="3563" t="s">
        <v>6429</v>
      </c>
      <c r="E4153" s="3563" t="s">
        <v>6344</v>
      </c>
      <c r="F4153" s="3563" t="s">
        <v>4797</v>
      </c>
      <c r="G4153" s="3564">
        <v>78.239999999999995</v>
      </c>
      <c r="H4153" s="3564">
        <v>63.03</v>
      </c>
      <c r="I4153" s="3564">
        <v>15.21</v>
      </c>
      <c r="J4153" s="3565">
        <v>765379</v>
      </c>
      <c r="K4153" s="3565">
        <v>9782.4500000000007</v>
      </c>
      <c r="L4153" s="3565">
        <v>12143.09</v>
      </c>
      <c r="M4153" s="3565">
        <v>0</v>
      </c>
      <c r="N4153" s="3565">
        <v>0</v>
      </c>
      <c r="O4153" s="3563" t="s">
        <v>3453</v>
      </c>
    </row>
    <row r="4154" spans="1:15">
      <c r="A4154" s="3563" t="s">
        <v>8376</v>
      </c>
      <c r="B4154" s="3563" t="s">
        <v>4196</v>
      </c>
      <c r="C4154" s="3563" t="s">
        <v>4197</v>
      </c>
      <c r="D4154" s="3563" t="s">
        <v>6429</v>
      </c>
      <c r="E4154" s="3563" t="s">
        <v>6344</v>
      </c>
      <c r="F4154" s="3563" t="s">
        <v>4797</v>
      </c>
      <c r="G4154" s="3564">
        <v>78.239999999999995</v>
      </c>
      <c r="H4154" s="3564">
        <v>63.03</v>
      </c>
      <c r="I4154" s="3564">
        <v>15.21</v>
      </c>
      <c r="J4154" s="3565">
        <v>765379</v>
      </c>
      <c r="K4154" s="3565">
        <v>9782.4500000000007</v>
      </c>
      <c r="L4154" s="3565">
        <v>12143.09</v>
      </c>
      <c r="M4154" s="3565">
        <v>0</v>
      </c>
      <c r="N4154" s="3565">
        <v>0</v>
      </c>
      <c r="O4154" s="3563" t="s">
        <v>3453</v>
      </c>
    </row>
    <row r="4155" spans="1:15">
      <c r="A4155" s="3563" t="s">
        <v>8377</v>
      </c>
      <c r="B4155" s="3563" t="s">
        <v>4811</v>
      </c>
      <c r="C4155" s="3563" t="s">
        <v>4197</v>
      </c>
      <c r="D4155" s="3563" t="s">
        <v>6429</v>
      </c>
      <c r="E4155" s="3563" t="s">
        <v>6344</v>
      </c>
      <c r="F4155" s="3563" t="s">
        <v>4797</v>
      </c>
      <c r="G4155" s="3564">
        <v>109.78</v>
      </c>
      <c r="H4155" s="3564">
        <v>88.44</v>
      </c>
      <c r="I4155" s="3564">
        <v>21.34</v>
      </c>
      <c r="J4155" s="3565">
        <v>1114793</v>
      </c>
      <c r="K4155" s="3565">
        <v>10154.790000000001</v>
      </c>
      <c r="L4155" s="3565">
        <v>12605.08</v>
      </c>
      <c r="M4155" s="3565">
        <v>1059054</v>
      </c>
      <c r="N4155" s="3565">
        <v>9647.06</v>
      </c>
      <c r="O4155" s="3566">
        <v>44192</v>
      </c>
    </row>
    <row r="4156" spans="1:15">
      <c r="A4156" s="3563" t="s">
        <v>8378</v>
      </c>
      <c r="B4156" s="3563" t="s">
        <v>4196</v>
      </c>
      <c r="C4156" s="3563" t="s">
        <v>4197</v>
      </c>
      <c r="D4156" s="3563" t="s">
        <v>6429</v>
      </c>
      <c r="E4156" s="3563" t="s">
        <v>6344</v>
      </c>
      <c r="F4156" s="3563" t="s">
        <v>4797</v>
      </c>
      <c r="G4156" s="3564">
        <v>101.47</v>
      </c>
      <c r="H4156" s="3564">
        <v>81.739999999999995</v>
      </c>
      <c r="I4156" s="3564">
        <v>19.73</v>
      </c>
      <c r="J4156" s="3565">
        <v>1085460</v>
      </c>
      <c r="K4156" s="3565">
        <v>10697.35</v>
      </c>
      <c r="L4156" s="3565">
        <v>13279.42</v>
      </c>
      <c r="M4156" s="3565">
        <v>0</v>
      </c>
      <c r="N4156" s="3565">
        <v>0</v>
      </c>
      <c r="O4156" s="3563" t="s">
        <v>3453</v>
      </c>
    </row>
    <row r="4157" spans="1:15">
      <c r="A4157" s="3563" t="s">
        <v>8379</v>
      </c>
      <c r="B4157" s="3563" t="s">
        <v>3453</v>
      </c>
      <c r="C4157" s="3563" t="s">
        <v>4197</v>
      </c>
      <c r="D4157" s="3563" t="s">
        <v>6429</v>
      </c>
      <c r="E4157" s="3563" t="s">
        <v>6344</v>
      </c>
      <c r="F4157" s="3563" t="s">
        <v>4797</v>
      </c>
      <c r="G4157" s="3564">
        <v>101.47</v>
      </c>
      <c r="H4157" s="3564">
        <v>81.739999999999995</v>
      </c>
      <c r="I4157" s="3564">
        <v>19.73</v>
      </c>
      <c r="J4157" s="3565">
        <v>1085460</v>
      </c>
      <c r="K4157" s="3565">
        <v>10697.35</v>
      </c>
      <c r="L4157" s="3565">
        <v>13279.42</v>
      </c>
      <c r="M4157" s="3565">
        <v>0</v>
      </c>
      <c r="N4157" s="3565">
        <v>0</v>
      </c>
      <c r="O4157" s="3563" t="s">
        <v>3453</v>
      </c>
    </row>
    <row r="4158" spans="1:15">
      <c r="A4158" s="3563" t="s">
        <v>8380</v>
      </c>
      <c r="B4158" s="3563" t="s">
        <v>4196</v>
      </c>
      <c r="C4158" s="3563" t="s">
        <v>4197</v>
      </c>
      <c r="D4158" s="3563" t="s">
        <v>6429</v>
      </c>
      <c r="E4158" s="3563" t="s">
        <v>6344</v>
      </c>
      <c r="F4158" s="3563" t="s">
        <v>4797</v>
      </c>
      <c r="G4158" s="3564">
        <v>90.34</v>
      </c>
      <c r="H4158" s="3564">
        <v>72.78</v>
      </c>
      <c r="I4158" s="3564">
        <v>17.559999999999999</v>
      </c>
      <c r="J4158" s="3565">
        <v>903929</v>
      </c>
      <c r="K4158" s="3565">
        <v>10005.86</v>
      </c>
      <c r="L4158" s="3565">
        <v>12420.02</v>
      </c>
      <c r="M4158" s="3565">
        <v>0</v>
      </c>
      <c r="N4158" s="3565">
        <v>0</v>
      </c>
      <c r="O4158" s="3563" t="s">
        <v>3453</v>
      </c>
    </row>
    <row r="4159" spans="1:15">
      <c r="A4159" s="3563" t="s">
        <v>8381</v>
      </c>
      <c r="B4159" s="3563" t="s">
        <v>4196</v>
      </c>
      <c r="C4159" s="3563" t="s">
        <v>4197</v>
      </c>
      <c r="D4159" s="3563" t="s">
        <v>6429</v>
      </c>
      <c r="E4159" s="3563" t="s">
        <v>6344</v>
      </c>
      <c r="F4159" s="3563" t="s">
        <v>4797</v>
      </c>
      <c r="G4159" s="3564">
        <v>78.239999999999995</v>
      </c>
      <c r="H4159" s="3564">
        <v>63.03</v>
      </c>
      <c r="I4159" s="3564">
        <v>15.21</v>
      </c>
      <c r="J4159" s="3565">
        <v>774535</v>
      </c>
      <c r="K4159" s="3565">
        <v>9899.48</v>
      </c>
      <c r="L4159" s="3565">
        <v>12288.35</v>
      </c>
      <c r="M4159" s="3565">
        <v>0</v>
      </c>
      <c r="N4159" s="3565">
        <v>0</v>
      </c>
      <c r="O4159" s="3563" t="s">
        <v>3453</v>
      </c>
    </row>
    <row r="4160" spans="1:15">
      <c r="A4160" s="3563" t="s">
        <v>8382</v>
      </c>
      <c r="B4160" s="3563" t="s">
        <v>4811</v>
      </c>
      <c r="C4160" s="3563" t="s">
        <v>4197</v>
      </c>
      <c r="D4160" s="3563" t="s">
        <v>6429</v>
      </c>
      <c r="E4160" s="3563" t="s">
        <v>6344</v>
      </c>
      <c r="F4160" s="3563" t="s">
        <v>4797</v>
      </c>
      <c r="G4160" s="3564">
        <v>78.239999999999995</v>
      </c>
      <c r="H4160" s="3564">
        <v>63.03</v>
      </c>
      <c r="I4160" s="3564">
        <v>15.21</v>
      </c>
      <c r="J4160" s="3565">
        <v>774535</v>
      </c>
      <c r="K4160" s="3565">
        <v>9899.48</v>
      </c>
      <c r="L4160" s="3565">
        <v>12288.35</v>
      </c>
      <c r="M4160" s="3565">
        <v>735809</v>
      </c>
      <c r="N4160" s="3565">
        <v>9404.51</v>
      </c>
      <c r="O4160" s="3566">
        <v>44192</v>
      </c>
    </row>
    <row r="4161" spans="1:15">
      <c r="A4161" s="3563" t="s">
        <v>8383</v>
      </c>
      <c r="B4161" s="3563" t="s">
        <v>4811</v>
      </c>
      <c r="C4161" s="3563" t="s">
        <v>4197</v>
      </c>
      <c r="D4161" s="3563" t="s">
        <v>6429</v>
      </c>
      <c r="E4161" s="3563" t="s">
        <v>6344</v>
      </c>
      <c r="F4161" s="3563" t="s">
        <v>4797</v>
      </c>
      <c r="G4161" s="3564">
        <v>109.78</v>
      </c>
      <c r="H4161" s="3564">
        <v>88.44</v>
      </c>
      <c r="I4161" s="3564">
        <v>21.34</v>
      </c>
      <c r="J4161" s="3565">
        <v>1127640</v>
      </c>
      <c r="K4161" s="3565">
        <v>10271.82</v>
      </c>
      <c r="L4161" s="3565">
        <v>12750.34</v>
      </c>
      <c r="M4161" s="3565">
        <v>1071258</v>
      </c>
      <c r="N4161" s="3565">
        <v>9758.23</v>
      </c>
      <c r="O4161" s="3566">
        <v>44192</v>
      </c>
    </row>
    <row r="4162" spans="1:15">
      <c r="A4162" s="3563" t="s">
        <v>8384</v>
      </c>
      <c r="B4162" s="3563" t="s">
        <v>3453</v>
      </c>
      <c r="C4162" s="3563" t="s">
        <v>4197</v>
      </c>
      <c r="D4162" s="3563" t="s">
        <v>6429</v>
      </c>
      <c r="E4162" s="3563" t="s">
        <v>6344</v>
      </c>
      <c r="F4162" s="3563" t="s">
        <v>4797</v>
      </c>
      <c r="G4162" s="3564">
        <v>101.47</v>
      </c>
      <c r="H4162" s="3564">
        <v>81.739999999999995</v>
      </c>
      <c r="I4162" s="3564">
        <v>19.73</v>
      </c>
      <c r="J4162" s="3565">
        <v>1084380</v>
      </c>
      <c r="K4162" s="3565">
        <v>10686.71</v>
      </c>
      <c r="L4162" s="3565">
        <v>13266.21</v>
      </c>
      <c r="M4162" s="3565">
        <v>0</v>
      </c>
      <c r="N4162" s="3565">
        <v>0</v>
      </c>
      <c r="O4162" s="3563" t="s">
        <v>3453</v>
      </c>
    </row>
    <row r="4163" spans="1:15">
      <c r="A4163" s="3563" t="s">
        <v>8385</v>
      </c>
      <c r="B4163" s="3563" t="s">
        <v>4811</v>
      </c>
      <c r="C4163" s="3563" t="s">
        <v>4197</v>
      </c>
      <c r="D4163" s="3563" t="s">
        <v>6429</v>
      </c>
      <c r="E4163" s="3563" t="s">
        <v>6344</v>
      </c>
      <c r="F4163" s="3563" t="s">
        <v>4797</v>
      </c>
      <c r="G4163" s="3564">
        <v>101.47</v>
      </c>
      <c r="H4163" s="3564">
        <v>81.739999999999995</v>
      </c>
      <c r="I4163" s="3564">
        <v>19.73</v>
      </c>
      <c r="J4163" s="3565">
        <v>1084380</v>
      </c>
      <c r="K4163" s="3565">
        <v>10686.71</v>
      </c>
      <c r="L4163" s="3565">
        <v>13266.21</v>
      </c>
      <c r="M4163" s="3565">
        <v>1084380</v>
      </c>
      <c r="N4163" s="3565">
        <v>10686.71</v>
      </c>
      <c r="O4163" s="3566">
        <v>44192</v>
      </c>
    </row>
    <row r="4164" spans="1:15">
      <c r="A4164" s="3563" t="s">
        <v>8386</v>
      </c>
      <c r="B4164" s="3563" t="s">
        <v>4196</v>
      </c>
      <c r="C4164" s="3563" t="s">
        <v>4197</v>
      </c>
      <c r="D4164" s="3563" t="s">
        <v>6429</v>
      </c>
      <c r="E4164" s="3563" t="s">
        <v>6344</v>
      </c>
      <c r="F4164" s="3563" t="s">
        <v>4797</v>
      </c>
      <c r="G4164" s="3564">
        <v>90.34</v>
      </c>
      <c r="H4164" s="3564">
        <v>72.78</v>
      </c>
      <c r="I4164" s="3564">
        <v>17.559999999999999</v>
      </c>
      <c r="J4164" s="3565">
        <v>902968</v>
      </c>
      <c r="K4164" s="3565">
        <v>9995.2199999999993</v>
      </c>
      <c r="L4164" s="3565">
        <v>12406.82</v>
      </c>
      <c r="M4164" s="3565">
        <v>0</v>
      </c>
      <c r="N4164" s="3565">
        <v>0</v>
      </c>
      <c r="O4164" s="3563" t="s">
        <v>3453</v>
      </c>
    </row>
    <row r="4165" spans="1:15">
      <c r="A4165" s="3563" t="s">
        <v>8387</v>
      </c>
      <c r="B4165" s="3563" t="s">
        <v>4811</v>
      </c>
      <c r="C4165" s="3563" t="s">
        <v>4197</v>
      </c>
      <c r="D4165" s="3563" t="s">
        <v>6429</v>
      </c>
      <c r="E4165" s="3563" t="s">
        <v>6344</v>
      </c>
      <c r="F4165" s="3563" t="s">
        <v>4797</v>
      </c>
      <c r="G4165" s="3564">
        <v>78.239999999999995</v>
      </c>
      <c r="H4165" s="3564">
        <v>63.03</v>
      </c>
      <c r="I4165" s="3564">
        <v>15.21</v>
      </c>
      <c r="J4165" s="3565">
        <v>773703</v>
      </c>
      <c r="K4165" s="3565">
        <v>9888.84</v>
      </c>
      <c r="L4165" s="3565">
        <v>12275.15</v>
      </c>
      <c r="M4165" s="3565">
        <v>742755</v>
      </c>
      <c r="N4165" s="3565">
        <v>9493.2900000000009</v>
      </c>
      <c r="O4165" s="3566">
        <v>44192</v>
      </c>
    </row>
    <row r="4166" spans="1:15">
      <c r="A4166" s="3563" t="s">
        <v>8388</v>
      </c>
      <c r="B4166" s="3563" t="s">
        <v>4811</v>
      </c>
      <c r="C4166" s="3563" t="s">
        <v>4197</v>
      </c>
      <c r="D4166" s="3563" t="s">
        <v>6429</v>
      </c>
      <c r="E4166" s="3563" t="s">
        <v>6344</v>
      </c>
      <c r="F4166" s="3563" t="s">
        <v>4797</v>
      </c>
      <c r="G4166" s="3564">
        <v>78.239999999999995</v>
      </c>
      <c r="H4166" s="3564">
        <v>63.03</v>
      </c>
      <c r="I4166" s="3564">
        <v>15.21</v>
      </c>
      <c r="J4166" s="3565">
        <v>773703</v>
      </c>
      <c r="K4166" s="3565">
        <v>9888.84</v>
      </c>
      <c r="L4166" s="3565">
        <v>12275.15</v>
      </c>
      <c r="M4166" s="3565">
        <v>750492</v>
      </c>
      <c r="N4166" s="3565">
        <v>9592.18</v>
      </c>
      <c r="O4166" s="3566">
        <v>44192</v>
      </c>
    </row>
    <row r="4167" spans="1:15">
      <c r="A4167" s="3563" t="s">
        <v>8389</v>
      </c>
      <c r="B4167" s="3563" t="s">
        <v>4811</v>
      </c>
      <c r="C4167" s="3563" t="s">
        <v>4197</v>
      </c>
      <c r="D4167" s="3563" t="s">
        <v>6429</v>
      </c>
      <c r="E4167" s="3563" t="s">
        <v>6344</v>
      </c>
      <c r="F4167" s="3563" t="s">
        <v>4797</v>
      </c>
      <c r="G4167" s="3564">
        <v>109.78</v>
      </c>
      <c r="H4167" s="3564">
        <v>88.44</v>
      </c>
      <c r="I4167" s="3564">
        <v>21.34</v>
      </c>
      <c r="J4167" s="3565">
        <v>1126472</v>
      </c>
      <c r="K4167" s="3565">
        <v>10261.18</v>
      </c>
      <c r="L4167" s="3565">
        <v>12737.13</v>
      </c>
      <c r="M4167" s="3565">
        <v>1126472</v>
      </c>
      <c r="N4167" s="3565">
        <v>10261.18</v>
      </c>
      <c r="O4167" s="3566">
        <v>44192</v>
      </c>
    </row>
    <row r="4168" spans="1:15">
      <c r="A4168" s="3563" t="s">
        <v>8390</v>
      </c>
      <c r="B4168" s="3563" t="s">
        <v>4196</v>
      </c>
      <c r="C4168" s="3563" t="s">
        <v>4197</v>
      </c>
      <c r="D4168" s="3563" t="s">
        <v>6429</v>
      </c>
      <c r="E4168" s="3563" t="s">
        <v>6344</v>
      </c>
      <c r="F4168" s="3563" t="s">
        <v>4797</v>
      </c>
      <c r="G4168" s="3564">
        <v>101.47</v>
      </c>
      <c r="H4168" s="3564">
        <v>81.739999999999995</v>
      </c>
      <c r="I4168" s="3564">
        <v>19.73</v>
      </c>
      <c r="J4168" s="3565">
        <v>1083300</v>
      </c>
      <c r="K4168" s="3565">
        <v>10676.06</v>
      </c>
      <c r="L4168" s="3565">
        <v>13253</v>
      </c>
      <c r="M4168" s="3565">
        <v>0</v>
      </c>
      <c r="N4168" s="3565">
        <v>0</v>
      </c>
      <c r="O4168" s="3563" t="s">
        <v>3453</v>
      </c>
    </row>
    <row r="4169" spans="1:15">
      <c r="A4169" s="3563" t="s">
        <v>8391</v>
      </c>
      <c r="B4169" s="3563" t="s">
        <v>3453</v>
      </c>
      <c r="C4169" s="3563" t="s">
        <v>4197</v>
      </c>
      <c r="D4169" s="3563" t="s">
        <v>6429</v>
      </c>
      <c r="E4169" s="3563" t="s">
        <v>6344</v>
      </c>
      <c r="F4169" s="3563" t="s">
        <v>4797</v>
      </c>
      <c r="G4169" s="3564">
        <v>101.47</v>
      </c>
      <c r="H4169" s="3564">
        <v>81.739999999999995</v>
      </c>
      <c r="I4169" s="3564">
        <v>19.73</v>
      </c>
      <c r="J4169" s="3565">
        <v>1083300</v>
      </c>
      <c r="K4169" s="3565">
        <v>10676.06</v>
      </c>
      <c r="L4169" s="3565">
        <v>13253</v>
      </c>
      <c r="M4169" s="3565">
        <v>0</v>
      </c>
      <c r="N4169" s="3565">
        <v>0</v>
      </c>
      <c r="O4169" s="3563" t="s">
        <v>3453</v>
      </c>
    </row>
    <row r="4170" spans="1:15">
      <c r="A4170" s="3563" t="s">
        <v>8392</v>
      </c>
      <c r="B4170" s="3563" t="s">
        <v>3453</v>
      </c>
      <c r="C4170" s="3563" t="s">
        <v>4197</v>
      </c>
      <c r="D4170" s="3563" t="s">
        <v>6429</v>
      </c>
      <c r="E4170" s="3563" t="s">
        <v>6344</v>
      </c>
      <c r="F4170" s="3563" t="s">
        <v>4797</v>
      </c>
      <c r="G4170" s="3564">
        <v>90.34</v>
      </c>
      <c r="H4170" s="3564">
        <v>72.78</v>
      </c>
      <c r="I4170" s="3564">
        <v>17.559999999999999</v>
      </c>
      <c r="J4170" s="3565">
        <v>902007</v>
      </c>
      <c r="K4170" s="3565">
        <v>9984.58</v>
      </c>
      <c r="L4170" s="3565">
        <v>12393.61</v>
      </c>
      <c r="M4170" s="3565">
        <v>0</v>
      </c>
      <c r="N4170" s="3565">
        <v>0</v>
      </c>
      <c r="O4170" s="3563" t="s">
        <v>3453</v>
      </c>
    </row>
    <row r="4171" spans="1:15">
      <c r="A4171" s="3563" t="s">
        <v>8393</v>
      </c>
      <c r="B4171" s="3563" t="s">
        <v>4196</v>
      </c>
      <c r="C4171" s="3563" t="s">
        <v>4197</v>
      </c>
      <c r="D4171" s="3563" t="s">
        <v>6429</v>
      </c>
      <c r="E4171" s="3563" t="s">
        <v>6344</v>
      </c>
      <c r="F4171" s="3563" t="s">
        <v>4797</v>
      </c>
      <c r="G4171" s="3564">
        <v>78.239999999999995</v>
      </c>
      <c r="H4171" s="3564">
        <v>63.03</v>
      </c>
      <c r="I4171" s="3564">
        <v>15.21</v>
      </c>
      <c r="J4171" s="3565">
        <v>772871</v>
      </c>
      <c r="K4171" s="3565">
        <v>9878.2099999999991</v>
      </c>
      <c r="L4171" s="3565">
        <v>12261.95</v>
      </c>
      <c r="M4171" s="3565">
        <v>0</v>
      </c>
      <c r="N4171" s="3565">
        <v>0</v>
      </c>
      <c r="O4171" s="3563" t="s">
        <v>3453</v>
      </c>
    </row>
    <row r="4172" spans="1:15">
      <c r="A4172" s="3563" t="s">
        <v>8394</v>
      </c>
      <c r="B4172" s="3563" t="s">
        <v>4811</v>
      </c>
      <c r="C4172" s="3563" t="s">
        <v>4197</v>
      </c>
      <c r="D4172" s="3563" t="s">
        <v>6429</v>
      </c>
      <c r="E4172" s="3563" t="s">
        <v>6344</v>
      </c>
      <c r="F4172" s="3563" t="s">
        <v>4797</v>
      </c>
      <c r="G4172" s="3564">
        <v>78.239999999999995</v>
      </c>
      <c r="H4172" s="3564">
        <v>63.03</v>
      </c>
      <c r="I4172" s="3564">
        <v>15.21</v>
      </c>
      <c r="J4172" s="3565">
        <v>772871</v>
      </c>
      <c r="K4172" s="3565">
        <v>9878.2099999999991</v>
      </c>
      <c r="L4172" s="3565">
        <v>12261.95</v>
      </c>
      <c r="M4172" s="3565">
        <v>734228</v>
      </c>
      <c r="N4172" s="3565">
        <v>9384.2999999999993</v>
      </c>
      <c r="O4172" s="3566">
        <v>44192</v>
      </c>
    </row>
    <row r="4173" spans="1:15">
      <c r="A4173" s="3563" t="s">
        <v>8395</v>
      </c>
      <c r="B4173" s="3563" t="s">
        <v>4811</v>
      </c>
      <c r="C4173" s="3563" t="s">
        <v>4197</v>
      </c>
      <c r="D4173" s="3563" t="s">
        <v>6429</v>
      </c>
      <c r="E4173" s="3563" t="s">
        <v>6344</v>
      </c>
      <c r="F4173" s="3563" t="s">
        <v>4797</v>
      </c>
      <c r="G4173" s="3564">
        <v>109.78</v>
      </c>
      <c r="H4173" s="3564">
        <v>88.44</v>
      </c>
      <c r="I4173" s="3564">
        <v>21.34</v>
      </c>
      <c r="J4173" s="3565">
        <v>1125304</v>
      </c>
      <c r="K4173" s="3565">
        <v>10250.540000000001</v>
      </c>
      <c r="L4173" s="3565">
        <v>12723.93</v>
      </c>
      <c r="M4173" s="3565">
        <v>1069039</v>
      </c>
      <c r="N4173" s="3565">
        <v>9738.01</v>
      </c>
      <c r="O4173" s="3566">
        <v>44192</v>
      </c>
    </row>
    <row r="4174" spans="1:15">
      <c r="A4174" s="3563" t="s">
        <v>8396</v>
      </c>
      <c r="B4174" s="3563" t="s">
        <v>4196</v>
      </c>
      <c r="C4174" s="3563" t="s">
        <v>4197</v>
      </c>
      <c r="D4174" s="3563" t="s">
        <v>6429</v>
      </c>
      <c r="E4174" s="3563" t="s">
        <v>6344</v>
      </c>
      <c r="F4174" s="3563" t="s">
        <v>4797</v>
      </c>
      <c r="G4174" s="3564">
        <v>101.47</v>
      </c>
      <c r="H4174" s="3564">
        <v>81.739999999999995</v>
      </c>
      <c r="I4174" s="3564">
        <v>19.73</v>
      </c>
      <c r="J4174" s="3565">
        <v>1071426</v>
      </c>
      <c r="K4174" s="3565">
        <v>10559.04</v>
      </c>
      <c r="L4174" s="3565">
        <v>13107.73</v>
      </c>
      <c r="M4174" s="3565">
        <v>0</v>
      </c>
      <c r="N4174" s="3565">
        <v>0</v>
      </c>
      <c r="O4174" s="3563" t="s">
        <v>3453</v>
      </c>
    </row>
    <row r="4175" spans="1:15">
      <c r="A4175" s="3563" t="s">
        <v>8397</v>
      </c>
      <c r="B4175" s="3563" t="s">
        <v>4196</v>
      </c>
      <c r="C4175" s="3563" t="s">
        <v>4197</v>
      </c>
      <c r="D4175" s="3563" t="s">
        <v>6429</v>
      </c>
      <c r="E4175" s="3563" t="s">
        <v>6344</v>
      </c>
      <c r="F4175" s="3563" t="s">
        <v>4797</v>
      </c>
      <c r="G4175" s="3564">
        <v>101.47</v>
      </c>
      <c r="H4175" s="3564">
        <v>81.739999999999995</v>
      </c>
      <c r="I4175" s="3564">
        <v>19.73</v>
      </c>
      <c r="J4175" s="3565">
        <v>1071426</v>
      </c>
      <c r="K4175" s="3565">
        <v>10559.04</v>
      </c>
      <c r="L4175" s="3565">
        <v>13107.73</v>
      </c>
      <c r="M4175" s="3565">
        <v>0</v>
      </c>
      <c r="N4175" s="3565">
        <v>0</v>
      </c>
      <c r="O4175" s="3563" t="s">
        <v>3453</v>
      </c>
    </row>
    <row r="4176" spans="1:15">
      <c r="A4176" s="3563" t="s">
        <v>8398</v>
      </c>
      <c r="B4176" s="3563" t="s">
        <v>4196</v>
      </c>
      <c r="C4176" s="3563" t="s">
        <v>4197</v>
      </c>
      <c r="D4176" s="3563" t="s">
        <v>6429</v>
      </c>
      <c r="E4176" s="3563" t="s">
        <v>6344</v>
      </c>
      <c r="F4176" s="3563" t="s">
        <v>4797</v>
      </c>
      <c r="G4176" s="3564">
        <v>90.34</v>
      </c>
      <c r="H4176" s="3564">
        <v>72.78</v>
      </c>
      <c r="I4176" s="3564">
        <v>17.559999999999999</v>
      </c>
      <c r="J4176" s="3565">
        <v>891436</v>
      </c>
      <c r="K4176" s="3565">
        <v>9867.57</v>
      </c>
      <c r="L4176" s="3565">
        <v>12248.36</v>
      </c>
      <c r="M4176" s="3565">
        <v>0</v>
      </c>
      <c r="N4176" s="3565">
        <v>0</v>
      </c>
      <c r="O4176" s="3563" t="s">
        <v>3453</v>
      </c>
    </row>
    <row r="4177" spans="1:15">
      <c r="A4177" s="3563" t="s">
        <v>8399</v>
      </c>
      <c r="B4177" s="3563" t="s">
        <v>4196</v>
      </c>
      <c r="C4177" s="3563" t="s">
        <v>4197</v>
      </c>
      <c r="D4177" s="3563" t="s">
        <v>6429</v>
      </c>
      <c r="E4177" s="3563" t="s">
        <v>6344</v>
      </c>
      <c r="F4177" s="3563" t="s">
        <v>4797</v>
      </c>
      <c r="G4177" s="3564">
        <v>78.239999999999995</v>
      </c>
      <c r="H4177" s="3564">
        <v>63.03</v>
      </c>
      <c r="I4177" s="3564">
        <v>15.21</v>
      </c>
      <c r="J4177" s="3565">
        <v>763714</v>
      </c>
      <c r="K4177" s="3565">
        <v>9761.17</v>
      </c>
      <c r="L4177" s="3565">
        <v>12116.67</v>
      </c>
      <c r="M4177" s="3565">
        <v>0</v>
      </c>
      <c r="N4177" s="3565">
        <v>0</v>
      </c>
      <c r="O4177" s="3563" t="s">
        <v>3453</v>
      </c>
    </row>
    <row r="4178" spans="1:15">
      <c r="A4178" s="3563" t="s">
        <v>8400</v>
      </c>
      <c r="B4178" s="3563" t="s">
        <v>3453</v>
      </c>
      <c r="C4178" s="3563" t="s">
        <v>4197</v>
      </c>
      <c r="D4178" s="3563" t="s">
        <v>6429</v>
      </c>
      <c r="E4178" s="3563" t="s">
        <v>6344</v>
      </c>
      <c r="F4178" s="3563" t="s">
        <v>4797</v>
      </c>
      <c r="G4178" s="3564">
        <v>78.239999999999995</v>
      </c>
      <c r="H4178" s="3564">
        <v>63.03</v>
      </c>
      <c r="I4178" s="3564">
        <v>15.21</v>
      </c>
      <c r="J4178" s="3565">
        <v>763714</v>
      </c>
      <c r="K4178" s="3565">
        <v>9761.17</v>
      </c>
      <c r="L4178" s="3565">
        <v>12116.67</v>
      </c>
      <c r="M4178" s="3565">
        <v>0</v>
      </c>
      <c r="N4178" s="3565">
        <v>0</v>
      </c>
      <c r="O4178" s="3563" t="s">
        <v>3453</v>
      </c>
    </row>
    <row r="4179" spans="1:15">
      <c r="A4179" s="3563" t="s">
        <v>8401</v>
      </c>
      <c r="B4179" s="3563" t="s">
        <v>4196</v>
      </c>
      <c r="C4179" s="3563" t="s">
        <v>4197</v>
      </c>
      <c r="D4179" s="3563" t="s">
        <v>6429</v>
      </c>
      <c r="E4179" s="3563" t="s">
        <v>6344</v>
      </c>
      <c r="F4179" s="3563" t="s">
        <v>4797</v>
      </c>
      <c r="G4179" s="3564">
        <v>109.78</v>
      </c>
      <c r="H4179" s="3564">
        <v>88.44</v>
      </c>
      <c r="I4179" s="3564">
        <v>21.34</v>
      </c>
      <c r="J4179" s="3565">
        <v>1112457</v>
      </c>
      <c r="K4179" s="3565">
        <v>10133.51</v>
      </c>
      <c r="L4179" s="3565">
        <v>12578.66</v>
      </c>
      <c r="M4179" s="3565">
        <v>0</v>
      </c>
      <c r="N4179" s="3565">
        <v>0</v>
      </c>
      <c r="O4179" s="3563" t="s">
        <v>3453</v>
      </c>
    </row>
    <row r="4180" spans="1:15">
      <c r="A4180" s="3563" t="s">
        <v>8402</v>
      </c>
      <c r="B4180" s="3563" t="s">
        <v>4196</v>
      </c>
      <c r="C4180" s="3563" t="s">
        <v>4197</v>
      </c>
      <c r="D4180" s="3563" t="s">
        <v>6429</v>
      </c>
      <c r="E4180" s="3563" t="s">
        <v>6344</v>
      </c>
      <c r="F4180" s="3563" t="s">
        <v>4797</v>
      </c>
      <c r="G4180" s="3564">
        <v>101.47</v>
      </c>
      <c r="H4180" s="3564">
        <v>81.739999999999995</v>
      </c>
      <c r="I4180" s="3564">
        <v>19.73</v>
      </c>
      <c r="J4180" s="3565">
        <v>1081142</v>
      </c>
      <c r="K4180" s="3565">
        <v>10654.79</v>
      </c>
      <c r="L4180" s="3565">
        <v>13226.6</v>
      </c>
      <c r="M4180" s="3565">
        <v>0</v>
      </c>
      <c r="N4180" s="3565">
        <v>0</v>
      </c>
      <c r="O4180" s="3563" t="s">
        <v>3453</v>
      </c>
    </row>
    <row r="4181" spans="1:15">
      <c r="A4181" s="3563" t="s">
        <v>8403</v>
      </c>
      <c r="B4181" s="3563" t="s">
        <v>4196</v>
      </c>
      <c r="C4181" s="3563" t="s">
        <v>4197</v>
      </c>
      <c r="D4181" s="3563" t="s">
        <v>6429</v>
      </c>
      <c r="E4181" s="3563" t="s">
        <v>6344</v>
      </c>
      <c r="F4181" s="3563" t="s">
        <v>4797</v>
      </c>
      <c r="G4181" s="3564">
        <v>101.47</v>
      </c>
      <c r="H4181" s="3564">
        <v>81.739999999999995</v>
      </c>
      <c r="I4181" s="3564">
        <v>19.73</v>
      </c>
      <c r="J4181" s="3565">
        <v>1081142</v>
      </c>
      <c r="K4181" s="3565">
        <v>10654.79</v>
      </c>
      <c r="L4181" s="3565">
        <v>13226.6</v>
      </c>
      <c r="M4181" s="3565">
        <v>0</v>
      </c>
      <c r="N4181" s="3565">
        <v>0</v>
      </c>
      <c r="O4181" s="3563" t="s">
        <v>3453</v>
      </c>
    </row>
    <row r="4182" spans="1:15">
      <c r="A4182" s="3563" t="s">
        <v>8404</v>
      </c>
      <c r="B4182" s="3563" t="s">
        <v>3453</v>
      </c>
      <c r="C4182" s="3563" t="s">
        <v>4197</v>
      </c>
      <c r="D4182" s="3563" t="s">
        <v>6429</v>
      </c>
      <c r="E4182" s="3563" t="s">
        <v>6344</v>
      </c>
      <c r="F4182" s="3563" t="s">
        <v>4797</v>
      </c>
      <c r="G4182" s="3564">
        <v>90.34</v>
      </c>
      <c r="H4182" s="3564">
        <v>72.78</v>
      </c>
      <c r="I4182" s="3564">
        <v>17.559999999999999</v>
      </c>
      <c r="J4182" s="3565">
        <v>900085</v>
      </c>
      <c r="K4182" s="3565">
        <v>9963.31</v>
      </c>
      <c r="L4182" s="3565">
        <v>12367.2</v>
      </c>
      <c r="M4182" s="3565">
        <v>0</v>
      </c>
      <c r="N4182" s="3565">
        <v>0</v>
      </c>
      <c r="O4182" s="3563" t="s">
        <v>3453</v>
      </c>
    </row>
    <row r="4183" spans="1:15">
      <c r="A4183" s="3563" t="s">
        <v>8405</v>
      </c>
      <c r="B4183" s="3563" t="s">
        <v>4196</v>
      </c>
      <c r="C4183" s="3563" t="s">
        <v>4197</v>
      </c>
      <c r="D4183" s="3563" t="s">
        <v>6429</v>
      </c>
      <c r="E4183" s="3563" t="s">
        <v>6344</v>
      </c>
      <c r="F4183" s="3563" t="s">
        <v>4797</v>
      </c>
      <c r="G4183" s="3564">
        <v>78.239999999999995</v>
      </c>
      <c r="H4183" s="3564">
        <v>63.03</v>
      </c>
      <c r="I4183" s="3564">
        <v>15.21</v>
      </c>
      <c r="J4183" s="3565">
        <v>771206</v>
      </c>
      <c r="K4183" s="3565">
        <v>9856.93</v>
      </c>
      <c r="L4183" s="3565">
        <v>12235.54</v>
      </c>
      <c r="M4183" s="3565">
        <v>0</v>
      </c>
      <c r="N4183" s="3565">
        <v>0</v>
      </c>
      <c r="O4183" s="3563" t="s">
        <v>3453</v>
      </c>
    </row>
    <row r="4184" spans="1:15">
      <c r="A4184" s="3563" t="s">
        <v>8406</v>
      </c>
      <c r="B4184" s="3563" t="s">
        <v>4811</v>
      </c>
      <c r="C4184" s="3563" t="s">
        <v>4197</v>
      </c>
      <c r="D4184" s="3563" t="s">
        <v>6429</v>
      </c>
      <c r="E4184" s="3563" t="s">
        <v>6344</v>
      </c>
      <c r="F4184" s="3563" t="s">
        <v>4797</v>
      </c>
      <c r="G4184" s="3564">
        <v>78.239999999999995</v>
      </c>
      <c r="H4184" s="3564">
        <v>63.03</v>
      </c>
      <c r="I4184" s="3564">
        <v>15.21</v>
      </c>
      <c r="J4184" s="3565">
        <v>771206</v>
      </c>
      <c r="K4184" s="3565">
        <v>9856.93</v>
      </c>
      <c r="L4184" s="3565">
        <v>12235.54</v>
      </c>
      <c r="M4184" s="3565">
        <v>724934</v>
      </c>
      <c r="N4184" s="3565">
        <v>9265.52</v>
      </c>
      <c r="O4184" s="3566">
        <v>44192</v>
      </c>
    </row>
    <row r="4185" spans="1:15">
      <c r="A4185" s="3563" t="s">
        <v>8407</v>
      </c>
      <c r="B4185" s="3563" t="s">
        <v>4811</v>
      </c>
      <c r="C4185" s="3563" t="s">
        <v>4197</v>
      </c>
      <c r="D4185" s="3563" t="s">
        <v>6429</v>
      </c>
      <c r="E4185" s="3563" t="s">
        <v>6344</v>
      </c>
      <c r="F4185" s="3563" t="s">
        <v>4797</v>
      </c>
      <c r="G4185" s="3564">
        <v>109.78</v>
      </c>
      <c r="H4185" s="3564">
        <v>88.44</v>
      </c>
      <c r="I4185" s="3564">
        <v>21.34</v>
      </c>
      <c r="J4185" s="3565">
        <v>1122969</v>
      </c>
      <c r="K4185" s="3565">
        <v>10229.27</v>
      </c>
      <c r="L4185" s="3565">
        <v>12697.52</v>
      </c>
      <c r="M4185" s="3565">
        <v>1066821</v>
      </c>
      <c r="N4185" s="3565">
        <v>9717.81</v>
      </c>
      <c r="O4185" s="3566">
        <v>44192</v>
      </c>
    </row>
    <row r="4186" spans="1:15">
      <c r="A4186" s="3563" t="s">
        <v>8408</v>
      </c>
      <c r="B4186" s="3563" t="s">
        <v>4196</v>
      </c>
      <c r="C4186" s="3563" t="s">
        <v>4197</v>
      </c>
      <c r="D4186" s="3563" t="s">
        <v>6429</v>
      </c>
      <c r="E4186" s="3563" t="s">
        <v>6344</v>
      </c>
      <c r="F4186" s="3563" t="s">
        <v>4797</v>
      </c>
      <c r="G4186" s="3564">
        <v>103.04</v>
      </c>
      <c r="H4186" s="3564">
        <v>81.739999999999995</v>
      </c>
      <c r="I4186" s="3564">
        <v>21.3</v>
      </c>
      <c r="J4186" s="3565">
        <v>1029907</v>
      </c>
      <c r="K4186" s="3565">
        <v>9995.2199999999993</v>
      </c>
      <c r="L4186" s="3565">
        <v>12599.79</v>
      </c>
      <c r="M4186" s="3565">
        <v>0</v>
      </c>
      <c r="N4186" s="3565">
        <v>0</v>
      </c>
      <c r="O4186" s="3563" t="s">
        <v>3453</v>
      </c>
    </row>
    <row r="4187" spans="1:15">
      <c r="A4187" s="3563" t="s">
        <v>8409</v>
      </c>
      <c r="B4187" s="3563" t="s">
        <v>4196</v>
      </c>
      <c r="C4187" s="3563" t="s">
        <v>4197</v>
      </c>
      <c r="D4187" s="3563" t="s">
        <v>6429</v>
      </c>
      <c r="E4187" s="3563" t="s">
        <v>6344</v>
      </c>
      <c r="F4187" s="3563" t="s">
        <v>4797</v>
      </c>
      <c r="G4187" s="3564">
        <v>103.04</v>
      </c>
      <c r="H4187" s="3564">
        <v>81.739999999999995</v>
      </c>
      <c r="I4187" s="3564">
        <v>21.3</v>
      </c>
      <c r="J4187" s="3565">
        <v>1029907</v>
      </c>
      <c r="K4187" s="3565">
        <v>9995.2199999999993</v>
      </c>
      <c r="L4187" s="3565">
        <v>12599.79</v>
      </c>
      <c r="M4187" s="3565">
        <v>0</v>
      </c>
      <c r="N4187" s="3565">
        <v>0</v>
      </c>
      <c r="O4187" s="3563" t="s">
        <v>3453</v>
      </c>
    </row>
    <row r="4188" spans="1:15">
      <c r="A4188" s="3563" t="s">
        <v>8410</v>
      </c>
      <c r="B4188" s="3563" t="s">
        <v>4196</v>
      </c>
      <c r="C4188" s="3563" t="s">
        <v>4197</v>
      </c>
      <c r="D4188" s="3563" t="s">
        <v>6429</v>
      </c>
      <c r="E4188" s="3563" t="s">
        <v>6344</v>
      </c>
      <c r="F4188" s="3563" t="s">
        <v>4797</v>
      </c>
      <c r="G4188" s="3564">
        <v>91.74</v>
      </c>
      <c r="H4188" s="3564">
        <v>72.78</v>
      </c>
      <c r="I4188" s="3564">
        <v>18.96</v>
      </c>
      <c r="J4188" s="3565">
        <v>893539</v>
      </c>
      <c r="K4188" s="3565">
        <v>9739.91</v>
      </c>
      <c r="L4188" s="3565">
        <v>12277.26</v>
      </c>
      <c r="M4188" s="3565">
        <v>0</v>
      </c>
      <c r="N4188" s="3565">
        <v>0</v>
      </c>
      <c r="O4188" s="3563" t="s">
        <v>3453</v>
      </c>
    </row>
    <row r="4189" spans="1:15">
      <c r="A4189" s="3563" t="s">
        <v>8411</v>
      </c>
      <c r="B4189" s="3563" t="s">
        <v>4811</v>
      </c>
      <c r="C4189" s="3563" t="s">
        <v>4197</v>
      </c>
      <c r="D4189" s="3563" t="s">
        <v>6429</v>
      </c>
      <c r="E4189" s="3563" t="s">
        <v>6344</v>
      </c>
      <c r="F4189" s="3563" t="s">
        <v>4797</v>
      </c>
      <c r="G4189" s="3564">
        <v>79.45</v>
      </c>
      <c r="H4189" s="3564">
        <v>63.03</v>
      </c>
      <c r="I4189" s="3564">
        <v>16.420000000000002</v>
      </c>
      <c r="J4189" s="3565">
        <v>773835</v>
      </c>
      <c r="K4189" s="3565">
        <v>9739.9</v>
      </c>
      <c r="L4189" s="3565">
        <v>12277.25</v>
      </c>
      <c r="M4189" s="3565">
        <v>742882</v>
      </c>
      <c r="N4189" s="3565">
        <v>9350.31</v>
      </c>
      <c r="O4189" s="3566">
        <v>44192</v>
      </c>
    </row>
    <row r="4190" spans="1:15">
      <c r="A4190" s="3563" t="s">
        <v>8412</v>
      </c>
      <c r="B4190" s="3563" t="s">
        <v>4196</v>
      </c>
      <c r="C4190" s="3563" t="s">
        <v>4197</v>
      </c>
      <c r="D4190" s="3563" t="s">
        <v>6429</v>
      </c>
      <c r="E4190" s="3563" t="s">
        <v>6344</v>
      </c>
      <c r="F4190" s="3563" t="s">
        <v>4797</v>
      </c>
      <c r="G4190" s="3564">
        <v>79.45</v>
      </c>
      <c r="H4190" s="3564">
        <v>63.03</v>
      </c>
      <c r="I4190" s="3564">
        <v>16.420000000000002</v>
      </c>
      <c r="J4190" s="3565">
        <v>773835</v>
      </c>
      <c r="K4190" s="3565">
        <v>9739.9</v>
      </c>
      <c r="L4190" s="3565">
        <v>12277.25</v>
      </c>
      <c r="M4190" s="3565">
        <v>0</v>
      </c>
      <c r="N4190" s="3565">
        <v>0</v>
      </c>
      <c r="O4190" s="3563" t="s">
        <v>3453</v>
      </c>
    </row>
    <row r="4191" spans="1:15">
      <c r="A4191" s="3563" t="s">
        <v>8413</v>
      </c>
      <c r="B4191" s="3563" t="s">
        <v>3453</v>
      </c>
      <c r="C4191" s="3563" t="s">
        <v>4197</v>
      </c>
      <c r="D4191" s="3563" t="s">
        <v>6429</v>
      </c>
      <c r="E4191" s="3563" t="s">
        <v>6344</v>
      </c>
      <c r="F4191" s="3563" t="s">
        <v>4797</v>
      </c>
      <c r="G4191" s="3564">
        <v>101.47</v>
      </c>
      <c r="H4191" s="3564">
        <v>81.739999999999995</v>
      </c>
      <c r="I4191" s="3564">
        <v>19.73</v>
      </c>
      <c r="J4191" s="3565">
        <v>1080062</v>
      </c>
      <c r="K4191" s="3565">
        <v>10644.15</v>
      </c>
      <c r="L4191" s="3565">
        <v>13213.38</v>
      </c>
      <c r="M4191" s="3565">
        <v>0</v>
      </c>
      <c r="N4191" s="3565">
        <v>0</v>
      </c>
      <c r="O4191" s="3563" t="s">
        <v>3453</v>
      </c>
    </row>
    <row r="4192" spans="1:15">
      <c r="A4192" s="3563" t="s">
        <v>8414</v>
      </c>
      <c r="B4192" s="3563" t="s">
        <v>4196</v>
      </c>
      <c r="C4192" s="3563" t="s">
        <v>4197</v>
      </c>
      <c r="D4192" s="3563" t="s">
        <v>6429</v>
      </c>
      <c r="E4192" s="3563" t="s">
        <v>6344</v>
      </c>
      <c r="F4192" s="3563" t="s">
        <v>4797</v>
      </c>
      <c r="G4192" s="3564">
        <v>101.47</v>
      </c>
      <c r="H4192" s="3564">
        <v>81.739999999999995</v>
      </c>
      <c r="I4192" s="3564">
        <v>19.73</v>
      </c>
      <c r="J4192" s="3565">
        <v>1080062</v>
      </c>
      <c r="K4192" s="3565">
        <v>10644.15</v>
      </c>
      <c r="L4192" s="3565">
        <v>13213.38</v>
      </c>
      <c r="M4192" s="3565">
        <v>0</v>
      </c>
      <c r="N4192" s="3565">
        <v>0</v>
      </c>
      <c r="O4192" s="3563" t="s">
        <v>3453</v>
      </c>
    </row>
    <row r="4193" spans="1:15">
      <c r="A4193" s="3563" t="s">
        <v>8415</v>
      </c>
      <c r="B4193" s="3563" t="s">
        <v>4196</v>
      </c>
      <c r="C4193" s="3563" t="s">
        <v>4197</v>
      </c>
      <c r="D4193" s="3563" t="s">
        <v>6429</v>
      </c>
      <c r="E4193" s="3563" t="s">
        <v>6344</v>
      </c>
      <c r="F4193" s="3563" t="s">
        <v>4797</v>
      </c>
      <c r="G4193" s="3564">
        <v>90.34</v>
      </c>
      <c r="H4193" s="3564">
        <v>72.78</v>
      </c>
      <c r="I4193" s="3564">
        <v>17.559999999999999</v>
      </c>
      <c r="J4193" s="3565">
        <v>899124</v>
      </c>
      <c r="K4193" s="3565">
        <v>9952.67</v>
      </c>
      <c r="L4193" s="3565">
        <v>12354</v>
      </c>
      <c r="M4193" s="3565">
        <v>0</v>
      </c>
      <c r="N4193" s="3565">
        <v>0</v>
      </c>
      <c r="O4193" s="3563" t="s">
        <v>3453</v>
      </c>
    </row>
    <row r="4194" spans="1:15">
      <c r="A4194" s="3563" t="s">
        <v>8416</v>
      </c>
      <c r="B4194" s="3563" t="s">
        <v>4811</v>
      </c>
      <c r="C4194" s="3563" t="s">
        <v>4197</v>
      </c>
      <c r="D4194" s="3563" t="s">
        <v>6429</v>
      </c>
      <c r="E4194" s="3563" t="s">
        <v>6344</v>
      </c>
      <c r="F4194" s="3563" t="s">
        <v>4797</v>
      </c>
      <c r="G4194" s="3564">
        <v>78.239999999999995</v>
      </c>
      <c r="H4194" s="3564">
        <v>63.03</v>
      </c>
      <c r="I4194" s="3564">
        <v>15.21</v>
      </c>
      <c r="J4194" s="3565">
        <v>770373</v>
      </c>
      <c r="K4194" s="3565">
        <v>9846.2800000000007</v>
      </c>
      <c r="L4194" s="3565">
        <v>12222.32</v>
      </c>
      <c r="M4194" s="3565">
        <v>747262</v>
      </c>
      <c r="N4194" s="3565">
        <v>9550.89</v>
      </c>
      <c r="O4194" s="3566">
        <v>44192</v>
      </c>
    </row>
    <row r="4195" spans="1:15">
      <c r="A4195" s="3563" t="s">
        <v>8417</v>
      </c>
      <c r="B4195" s="3563" t="s">
        <v>4811</v>
      </c>
      <c r="C4195" s="3563" t="s">
        <v>4197</v>
      </c>
      <c r="D4195" s="3563" t="s">
        <v>6429</v>
      </c>
      <c r="E4195" s="3563" t="s">
        <v>6344</v>
      </c>
      <c r="F4195" s="3563" t="s">
        <v>4797</v>
      </c>
      <c r="G4195" s="3564">
        <v>78.239999999999995</v>
      </c>
      <c r="H4195" s="3564">
        <v>63.03</v>
      </c>
      <c r="I4195" s="3564">
        <v>15.21</v>
      </c>
      <c r="J4195" s="3565">
        <v>770373</v>
      </c>
      <c r="K4195" s="3565">
        <v>9846.2800000000007</v>
      </c>
      <c r="L4195" s="3565">
        <v>12222.32</v>
      </c>
      <c r="M4195" s="3565">
        <v>731855</v>
      </c>
      <c r="N4195" s="3565">
        <v>9353.9699999999993</v>
      </c>
      <c r="O4195" s="3566">
        <v>44192</v>
      </c>
    </row>
    <row r="4196" spans="1:15">
      <c r="A4196" s="3563" t="s">
        <v>8418</v>
      </c>
      <c r="B4196" s="3563" t="s">
        <v>4811</v>
      </c>
      <c r="C4196" s="3563" t="s">
        <v>4197</v>
      </c>
      <c r="D4196" s="3563" t="s">
        <v>6429</v>
      </c>
      <c r="E4196" s="3563" t="s">
        <v>6344</v>
      </c>
      <c r="F4196" s="3563" t="s">
        <v>4797</v>
      </c>
      <c r="G4196" s="3564">
        <v>109.78</v>
      </c>
      <c r="H4196" s="3564">
        <v>88.44</v>
      </c>
      <c r="I4196" s="3564">
        <v>21.34</v>
      </c>
      <c r="J4196" s="3565">
        <v>1121800</v>
      </c>
      <c r="K4196" s="3565">
        <v>10218.620000000001</v>
      </c>
      <c r="L4196" s="3565">
        <v>12684.31</v>
      </c>
      <c r="M4196" s="3565">
        <v>1065711</v>
      </c>
      <c r="N4196" s="3565">
        <v>9707.7000000000007</v>
      </c>
      <c r="O4196" s="3566">
        <v>44192</v>
      </c>
    </row>
    <row r="4197" spans="1:15">
      <c r="A4197" s="3563" t="s">
        <v>8419</v>
      </c>
      <c r="B4197" s="3563" t="s">
        <v>4196</v>
      </c>
      <c r="C4197" s="3563" t="s">
        <v>4197</v>
      </c>
      <c r="D4197" s="3563" t="s">
        <v>6429</v>
      </c>
      <c r="E4197" s="3563" t="s">
        <v>6344</v>
      </c>
      <c r="F4197" s="3563" t="s">
        <v>4797</v>
      </c>
      <c r="G4197" s="3564">
        <v>101.47</v>
      </c>
      <c r="H4197" s="3564">
        <v>81.739999999999995</v>
      </c>
      <c r="I4197" s="3564">
        <v>19.73</v>
      </c>
      <c r="J4197" s="3565">
        <v>1078982</v>
      </c>
      <c r="K4197" s="3565">
        <v>10633.51</v>
      </c>
      <c r="L4197" s="3565">
        <v>13200.17</v>
      </c>
      <c r="M4197" s="3565">
        <v>0</v>
      </c>
      <c r="N4197" s="3565">
        <v>0</v>
      </c>
      <c r="O4197" s="3563" t="s">
        <v>3453</v>
      </c>
    </row>
    <row r="4198" spans="1:15">
      <c r="A4198" s="3563" t="s">
        <v>8420</v>
      </c>
      <c r="B4198" s="3563" t="s">
        <v>4811</v>
      </c>
      <c r="C4198" s="3563" t="s">
        <v>4197</v>
      </c>
      <c r="D4198" s="3563" t="s">
        <v>6429</v>
      </c>
      <c r="E4198" s="3563" t="s">
        <v>6344</v>
      </c>
      <c r="F4198" s="3563" t="s">
        <v>4797</v>
      </c>
      <c r="G4198" s="3564">
        <v>101.47</v>
      </c>
      <c r="H4198" s="3564">
        <v>81.739999999999995</v>
      </c>
      <c r="I4198" s="3564">
        <v>19.73</v>
      </c>
      <c r="J4198" s="3565">
        <v>1078982</v>
      </c>
      <c r="K4198" s="3565">
        <v>10633.51</v>
      </c>
      <c r="L4198" s="3565">
        <v>13200.17</v>
      </c>
      <c r="M4198" s="3565">
        <v>1025033</v>
      </c>
      <c r="N4198" s="3565">
        <v>10101.83</v>
      </c>
      <c r="O4198" s="3566">
        <v>44192</v>
      </c>
    </row>
    <row r="4199" spans="1:15">
      <c r="A4199" s="3563" t="s">
        <v>8421</v>
      </c>
      <c r="B4199" s="3563" t="s">
        <v>4196</v>
      </c>
      <c r="C4199" s="3563" t="s">
        <v>4197</v>
      </c>
      <c r="D4199" s="3563" t="s">
        <v>6429</v>
      </c>
      <c r="E4199" s="3563" t="s">
        <v>6344</v>
      </c>
      <c r="F4199" s="3563" t="s">
        <v>4797</v>
      </c>
      <c r="G4199" s="3564">
        <v>90.34</v>
      </c>
      <c r="H4199" s="3564">
        <v>72.78</v>
      </c>
      <c r="I4199" s="3564">
        <v>17.559999999999999</v>
      </c>
      <c r="J4199" s="3565">
        <v>898162</v>
      </c>
      <c r="K4199" s="3565">
        <v>9942.02</v>
      </c>
      <c r="L4199" s="3565">
        <v>12340.78</v>
      </c>
      <c r="M4199" s="3565">
        <v>0</v>
      </c>
      <c r="N4199" s="3565">
        <v>0</v>
      </c>
      <c r="O4199" s="3563" t="s">
        <v>3453</v>
      </c>
    </row>
    <row r="4200" spans="1:15">
      <c r="A4200" s="3563" t="s">
        <v>8422</v>
      </c>
      <c r="B4200" s="3563" t="s">
        <v>4196</v>
      </c>
      <c r="C4200" s="3563" t="s">
        <v>4197</v>
      </c>
      <c r="D4200" s="3563" t="s">
        <v>6429</v>
      </c>
      <c r="E4200" s="3563" t="s">
        <v>6344</v>
      </c>
      <c r="F4200" s="3563" t="s">
        <v>4797</v>
      </c>
      <c r="G4200" s="3564">
        <v>78.239999999999995</v>
      </c>
      <c r="H4200" s="3564">
        <v>63.03</v>
      </c>
      <c r="I4200" s="3564">
        <v>15.21</v>
      </c>
      <c r="J4200" s="3565">
        <v>769541</v>
      </c>
      <c r="K4200" s="3565">
        <v>9835.65</v>
      </c>
      <c r="L4200" s="3565">
        <v>12209.12</v>
      </c>
      <c r="M4200" s="3565">
        <v>0</v>
      </c>
      <c r="N4200" s="3565">
        <v>0</v>
      </c>
      <c r="O4200" s="3563" t="s">
        <v>3453</v>
      </c>
    </row>
    <row r="4201" spans="1:15">
      <c r="A4201" s="3563" t="s">
        <v>8423</v>
      </c>
      <c r="B4201" s="3563" t="s">
        <v>4811</v>
      </c>
      <c r="C4201" s="3563" t="s">
        <v>4197</v>
      </c>
      <c r="D4201" s="3563" t="s">
        <v>6429</v>
      </c>
      <c r="E4201" s="3563" t="s">
        <v>6344</v>
      </c>
      <c r="F4201" s="3563" t="s">
        <v>4797</v>
      </c>
      <c r="G4201" s="3564">
        <v>78.239999999999995</v>
      </c>
      <c r="H4201" s="3564">
        <v>63.03</v>
      </c>
      <c r="I4201" s="3564">
        <v>15.21</v>
      </c>
      <c r="J4201" s="3565">
        <v>769541</v>
      </c>
      <c r="K4201" s="3565">
        <v>9835.65</v>
      </c>
      <c r="L4201" s="3565">
        <v>12209.12</v>
      </c>
      <c r="M4201" s="3565">
        <v>746455</v>
      </c>
      <c r="N4201" s="3565">
        <v>9540.58</v>
      </c>
      <c r="O4201" s="3566">
        <v>44192</v>
      </c>
    </row>
    <row r="4202" spans="1:15">
      <c r="A4202" s="3563" t="s">
        <v>8424</v>
      </c>
      <c r="B4202" s="3563" t="s">
        <v>4811</v>
      </c>
      <c r="C4202" s="3563" t="s">
        <v>4197</v>
      </c>
      <c r="D4202" s="3563" t="s">
        <v>6429</v>
      </c>
      <c r="E4202" s="3563" t="s">
        <v>6344</v>
      </c>
      <c r="F4202" s="3563" t="s">
        <v>4797</v>
      </c>
      <c r="G4202" s="3564">
        <v>109.78</v>
      </c>
      <c r="H4202" s="3564">
        <v>88.44</v>
      </c>
      <c r="I4202" s="3564">
        <v>21.34</v>
      </c>
      <c r="J4202" s="3565">
        <v>1120632</v>
      </c>
      <c r="K4202" s="3565">
        <v>10207.98</v>
      </c>
      <c r="L4202" s="3565">
        <v>12671.1</v>
      </c>
      <c r="M4202" s="3565">
        <v>1064601</v>
      </c>
      <c r="N4202" s="3565">
        <v>9697.59</v>
      </c>
      <c r="O4202" s="3566">
        <v>44192</v>
      </c>
    </row>
    <row r="4203" spans="1:15">
      <c r="A4203" s="3563" t="s">
        <v>8425</v>
      </c>
      <c r="B4203" s="3563" t="s">
        <v>4196</v>
      </c>
      <c r="C4203" s="3563" t="s">
        <v>4197</v>
      </c>
      <c r="D4203" s="3563" t="s">
        <v>6429</v>
      </c>
      <c r="E4203" s="3563" t="s">
        <v>6344</v>
      </c>
      <c r="F4203" s="3563" t="s">
        <v>4797</v>
      </c>
      <c r="G4203" s="3564">
        <v>101.47</v>
      </c>
      <c r="H4203" s="3564">
        <v>81.739999999999995</v>
      </c>
      <c r="I4203" s="3564">
        <v>19.73</v>
      </c>
      <c r="J4203" s="3565">
        <v>1077904</v>
      </c>
      <c r="K4203" s="3565">
        <v>10622.88</v>
      </c>
      <c r="L4203" s="3565">
        <v>13186.98</v>
      </c>
      <c r="M4203" s="3565">
        <v>0</v>
      </c>
      <c r="N4203" s="3565">
        <v>0</v>
      </c>
      <c r="O4203" s="3563" t="s">
        <v>3453</v>
      </c>
    </row>
    <row r="4204" spans="1:15">
      <c r="A4204" s="3563" t="s">
        <v>8426</v>
      </c>
      <c r="B4204" s="3563" t="s">
        <v>4196</v>
      </c>
      <c r="C4204" s="3563" t="s">
        <v>4197</v>
      </c>
      <c r="D4204" s="3563" t="s">
        <v>6429</v>
      </c>
      <c r="E4204" s="3563" t="s">
        <v>6344</v>
      </c>
      <c r="F4204" s="3563" t="s">
        <v>4797</v>
      </c>
      <c r="G4204" s="3564">
        <v>101.47</v>
      </c>
      <c r="H4204" s="3564">
        <v>81.739999999999995</v>
      </c>
      <c r="I4204" s="3564">
        <v>19.73</v>
      </c>
      <c r="J4204" s="3565">
        <v>1077904</v>
      </c>
      <c r="K4204" s="3565">
        <v>10622.88</v>
      </c>
      <c r="L4204" s="3565">
        <v>13186.98</v>
      </c>
      <c r="M4204" s="3565">
        <v>0</v>
      </c>
      <c r="N4204" s="3565">
        <v>0</v>
      </c>
      <c r="O4204" s="3563" t="s">
        <v>3453</v>
      </c>
    </row>
    <row r="4205" spans="1:15">
      <c r="A4205" s="3563" t="s">
        <v>8427</v>
      </c>
      <c r="B4205" s="3563" t="s">
        <v>4196</v>
      </c>
      <c r="C4205" s="3563" t="s">
        <v>4197</v>
      </c>
      <c r="D4205" s="3563" t="s">
        <v>6429</v>
      </c>
      <c r="E4205" s="3563" t="s">
        <v>6344</v>
      </c>
      <c r="F4205" s="3563" t="s">
        <v>4797</v>
      </c>
      <c r="G4205" s="3564">
        <v>90.34</v>
      </c>
      <c r="H4205" s="3564">
        <v>72.78</v>
      </c>
      <c r="I4205" s="3564">
        <v>17.559999999999999</v>
      </c>
      <c r="J4205" s="3565">
        <v>897202</v>
      </c>
      <c r="K4205" s="3565">
        <v>9931.39</v>
      </c>
      <c r="L4205" s="3565">
        <v>12327.59</v>
      </c>
      <c r="M4205" s="3565">
        <v>0</v>
      </c>
      <c r="N4205" s="3565">
        <v>0</v>
      </c>
      <c r="O4205" s="3563" t="s">
        <v>3453</v>
      </c>
    </row>
    <row r="4206" spans="1:15">
      <c r="A4206" s="3563" t="s">
        <v>8428</v>
      </c>
      <c r="B4206" s="3563" t="s">
        <v>4196</v>
      </c>
      <c r="C4206" s="3563" t="s">
        <v>4197</v>
      </c>
      <c r="D4206" s="3563" t="s">
        <v>6429</v>
      </c>
      <c r="E4206" s="3563" t="s">
        <v>6344</v>
      </c>
      <c r="F4206" s="3563" t="s">
        <v>4797</v>
      </c>
      <c r="G4206" s="3564">
        <v>78.239999999999995</v>
      </c>
      <c r="H4206" s="3564">
        <v>63.03</v>
      </c>
      <c r="I4206" s="3564">
        <v>15.21</v>
      </c>
      <c r="J4206" s="3565">
        <v>768709</v>
      </c>
      <c r="K4206" s="3565">
        <v>9825.01</v>
      </c>
      <c r="L4206" s="3565">
        <v>12195.92</v>
      </c>
      <c r="M4206" s="3565">
        <v>0</v>
      </c>
      <c r="N4206" s="3565">
        <v>0</v>
      </c>
      <c r="O4206" s="3563" t="s">
        <v>3453</v>
      </c>
    </row>
    <row r="4207" spans="1:15">
      <c r="A4207" s="3563" t="s">
        <v>8429</v>
      </c>
      <c r="B4207" s="3563" t="s">
        <v>4811</v>
      </c>
      <c r="C4207" s="3563" t="s">
        <v>4197</v>
      </c>
      <c r="D4207" s="3563" t="s">
        <v>6429</v>
      </c>
      <c r="E4207" s="3563" t="s">
        <v>6344</v>
      </c>
      <c r="F4207" s="3563" t="s">
        <v>4797</v>
      </c>
      <c r="G4207" s="3564">
        <v>78.239999999999995</v>
      </c>
      <c r="H4207" s="3564">
        <v>63.03</v>
      </c>
      <c r="I4207" s="3564">
        <v>15.21</v>
      </c>
      <c r="J4207" s="3565">
        <v>768709</v>
      </c>
      <c r="K4207" s="3565">
        <v>9825.01</v>
      </c>
      <c r="L4207" s="3565">
        <v>12195.92</v>
      </c>
      <c r="M4207" s="3565">
        <v>722587</v>
      </c>
      <c r="N4207" s="3565">
        <v>9235.52</v>
      </c>
      <c r="O4207" s="3566">
        <v>44192</v>
      </c>
    </row>
    <row r="4208" spans="1:15">
      <c r="A4208" s="3563" t="s">
        <v>8430</v>
      </c>
      <c r="B4208" s="3563" t="s">
        <v>5277</v>
      </c>
      <c r="C4208" s="3563" t="s">
        <v>4197</v>
      </c>
      <c r="D4208" s="3563" t="s">
        <v>6429</v>
      </c>
      <c r="E4208" s="3563" t="s">
        <v>6344</v>
      </c>
      <c r="F4208" s="3563" t="s">
        <v>4797</v>
      </c>
      <c r="G4208" s="3564">
        <v>109.78</v>
      </c>
      <c r="H4208" s="3564">
        <v>88.44</v>
      </c>
      <c r="I4208" s="3564">
        <v>21.34</v>
      </c>
      <c r="J4208" s="3565">
        <v>1119464</v>
      </c>
      <c r="K4208" s="3565">
        <v>10197.34</v>
      </c>
      <c r="L4208" s="3565">
        <v>12657.89</v>
      </c>
      <c r="M4208" s="3565">
        <v>1063491</v>
      </c>
      <c r="N4208" s="3565">
        <v>9687.4699999999993</v>
      </c>
      <c r="O4208" s="3566">
        <v>44192</v>
      </c>
    </row>
    <row r="4209" spans="1:15">
      <c r="A4209" s="3563" t="s">
        <v>8431</v>
      </c>
      <c r="B4209" s="3563" t="s">
        <v>4196</v>
      </c>
      <c r="C4209" s="3563" t="s">
        <v>4197</v>
      </c>
      <c r="D4209" s="3563" t="s">
        <v>6429</v>
      </c>
      <c r="E4209" s="3563" t="s">
        <v>6344</v>
      </c>
      <c r="F4209" s="3563" t="s">
        <v>4797</v>
      </c>
      <c r="G4209" s="3564">
        <v>101.47</v>
      </c>
      <c r="H4209" s="3564">
        <v>81.739999999999995</v>
      </c>
      <c r="I4209" s="3564">
        <v>19.73</v>
      </c>
      <c r="J4209" s="3565">
        <v>1076824</v>
      </c>
      <c r="K4209" s="3565">
        <v>10612.24</v>
      </c>
      <c r="L4209" s="3565">
        <v>13173.77</v>
      </c>
      <c r="M4209" s="3565">
        <v>0</v>
      </c>
      <c r="N4209" s="3565">
        <v>0</v>
      </c>
      <c r="O4209" s="3563" t="s">
        <v>3453</v>
      </c>
    </row>
    <row r="4210" spans="1:15">
      <c r="A4210" s="3563" t="s">
        <v>8432</v>
      </c>
      <c r="B4210" s="3563" t="s">
        <v>4196</v>
      </c>
      <c r="C4210" s="3563" t="s">
        <v>4197</v>
      </c>
      <c r="D4210" s="3563" t="s">
        <v>6429</v>
      </c>
      <c r="E4210" s="3563" t="s">
        <v>6344</v>
      </c>
      <c r="F4210" s="3563" t="s">
        <v>4797</v>
      </c>
      <c r="G4210" s="3564">
        <v>101.47</v>
      </c>
      <c r="H4210" s="3564">
        <v>81.739999999999995</v>
      </c>
      <c r="I4210" s="3564">
        <v>19.73</v>
      </c>
      <c r="J4210" s="3565">
        <v>1076824</v>
      </c>
      <c r="K4210" s="3565">
        <v>10612.24</v>
      </c>
      <c r="L4210" s="3565">
        <v>13173.77</v>
      </c>
      <c r="M4210" s="3565">
        <v>0</v>
      </c>
      <c r="N4210" s="3565">
        <v>0</v>
      </c>
      <c r="O4210" s="3563" t="s">
        <v>3453</v>
      </c>
    </row>
    <row r="4211" spans="1:15">
      <c r="A4211" s="3563" t="s">
        <v>8433</v>
      </c>
      <c r="B4211" s="3563" t="s">
        <v>4196</v>
      </c>
      <c r="C4211" s="3563" t="s">
        <v>4197</v>
      </c>
      <c r="D4211" s="3563" t="s">
        <v>6429</v>
      </c>
      <c r="E4211" s="3563" t="s">
        <v>6344</v>
      </c>
      <c r="F4211" s="3563" t="s">
        <v>4797</v>
      </c>
      <c r="G4211" s="3564">
        <v>90.34</v>
      </c>
      <c r="H4211" s="3564">
        <v>72.78</v>
      </c>
      <c r="I4211" s="3564">
        <v>17.559999999999999</v>
      </c>
      <c r="J4211" s="3565">
        <v>896241</v>
      </c>
      <c r="K4211" s="3565">
        <v>9920.75</v>
      </c>
      <c r="L4211" s="3565">
        <v>12314.39</v>
      </c>
      <c r="M4211" s="3565">
        <v>0</v>
      </c>
      <c r="N4211" s="3565">
        <v>0</v>
      </c>
      <c r="O4211" s="3563" t="s">
        <v>3453</v>
      </c>
    </row>
    <row r="4212" spans="1:15">
      <c r="A4212" s="3563" t="s">
        <v>8434</v>
      </c>
      <c r="B4212" s="3563" t="s">
        <v>4196</v>
      </c>
      <c r="C4212" s="3563" t="s">
        <v>4197</v>
      </c>
      <c r="D4212" s="3563" t="s">
        <v>6429</v>
      </c>
      <c r="E4212" s="3563" t="s">
        <v>6344</v>
      </c>
      <c r="F4212" s="3563" t="s">
        <v>4797</v>
      </c>
      <c r="G4212" s="3564">
        <v>78.239999999999995</v>
      </c>
      <c r="H4212" s="3564">
        <v>63.03</v>
      </c>
      <c r="I4212" s="3564">
        <v>15.21</v>
      </c>
      <c r="J4212" s="3565">
        <v>767876</v>
      </c>
      <c r="K4212" s="3565">
        <v>9814.3700000000008</v>
      </c>
      <c r="L4212" s="3565">
        <v>12182.71</v>
      </c>
      <c r="M4212" s="3565">
        <v>0</v>
      </c>
      <c r="N4212" s="3565">
        <v>0</v>
      </c>
      <c r="O4212" s="3563" t="s">
        <v>3453</v>
      </c>
    </row>
    <row r="4213" spans="1:15">
      <c r="A4213" s="3563" t="s">
        <v>8435</v>
      </c>
      <c r="B4213" s="3563" t="s">
        <v>4196</v>
      </c>
      <c r="C4213" s="3563" t="s">
        <v>4197</v>
      </c>
      <c r="D4213" s="3563" t="s">
        <v>6429</v>
      </c>
      <c r="E4213" s="3563" t="s">
        <v>6344</v>
      </c>
      <c r="F4213" s="3563" t="s">
        <v>4797</v>
      </c>
      <c r="G4213" s="3564">
        <v>78.239999999999995</v>
      </c>
      <c r="H4213" s="3564">
        <v>63.03</v>
      </c>
      <c r="I4213" s="3564">
        <v>15.21</v>
      </c>
      <c r="J4213" s="3565">
        <v>767876</v>
      </c>
      <c r="K4213" s="3565">
        <v>9814.3700000000008</v>
      </c>
      <c r="L4213" s="3565">
        <v>12182.71</v>
      </c>
      <c r="M4213" s="3565">
        <v>0</v>
      </c>
      <c r="N4213" s="3565">
        <v>0</v>
      </c>
      <c r="O4213" s="3563" t="s">
        <v>3453</v>
      </c>
    </row>
    <row r="4214" spans="1:15">
      <c r="A4214" s="3563" t="s">
        <v>8436</v>
      </c>
      <c r="B4214" s="3563" t="s">
        <v>4811</v>
      </c>
      <c r="C4214" s="3563" t="s">
        <v>4197</v>
      </c>
      <c r="D4214" s="3563" t="s">
        <v>6429</v>
      </c>
      <c r="E4214" s="3563" t="s">
        <v>6344</v>
      </c>
      <c r="F4214" s="3563" t="s">
        <v>4797</v>
      </c>
      <c r="G4214" s="3564">
        <v>109.78</v>
      </c>
      <c r="H4214" s="3564">
        <v>88.44</v>
      </c>
      <c r="I4214" s="3564">
        <v>21.34</v>
      </c>
      <c r="J4214" s="3565">
        <v>1118296</v>
      </c>
      <c r="K4214" s="3565">
        <v>10186.700000000001</v>
      </c>
      <c r="L4214" s="3565">
        <v>12644.69</v>
      </c>
      <c r="M4214" s="3565">
        <v>1084748</v>
      </c>
      <c r="N4214" s="3565">
        <v>9881.11</v>
      </c>
      <c r="O4214" s="3566">
        <v>44192</v>
      </c>
    </row>
    <row r="4215" spans="1:15">
      <c r="A4215" s="3563" t="s">
        <v>8437</v>
      </c>
      <c r="B4215" s="3563" t="s">
        <v>4196</v>
      </c>
      <c r="C4215" s="3563" t="s">
        <v>4197</v>
      </c>
      <c r="D4215" s="3563" t="s">
        <v>6429</v>
      </c>
      <c r="E4215" s="3563" t="s">
        <v>6344</v>
      </c>
      <c r="F4215" s="3563" t="s">
        <v>4797</v>
      </c>
      <c r="G4215" s="3564">
        <v>101.47</v>
      </c>
      <c r="H4215" s="3564">
        <v>81.739999999999995</v>
      </c>
      <c r="I4215" s="3564">
        <v>19.73</v>
      </c>
      <c r="J4215" s="3565">
        <v>1043360</v>
      </c>
      <c r="K4215" s="3565">
        <v>10282.450000000001</v>
      </c>
      <c r="L4215" s="3565">
        <v>12764.37</v>
      </c>
      <c r="M4215" s="3565">
        <v>0</v>
      </c>
      <c r="N4215" s="3565">
        <v>0</v>
      </c>
      <c r="O4215" s="3563" t="s">
        <v>3453</v>
      </c>
    </row>
    <row r="4216" spans="1:15">
      <c r="A4216" s="3563" t="s">
        <v>8438</v>
      </c>
      <c r="B4216" s="3563" t="s">
        <v>4196</v>
      </c>
      <c r="C4216" s="3563" t="s">
        <v>4197</v>
      </c>
      <c r="D4216" s="3563" t="s">
        <v>6429</v>
      </c>
      <c r="E4216" s="3563" t="s">
        <v>6344</v>
      </c>
      <c r="F4216" s="3563" t="s">
        <v>4797</v>
      </c>
      <c r="G4216" s="3564">
        <v>101.47</v>
      </c>
      <c r="H4216" s="3564">
        <v>81.739999999999995</v>
      </c>
      <c r="I4216" s="3564">
        <v>19.73</v>
      </c>
      <c r="J4216" s="3565">
        <v>1043360</v>
      </c>
      <c r="K4216" s="3565">
        <v>10282.450000000001</v>
      </c>
      <c r="L4216" s="3565">
        <v>12764.37</v>
      </c>
      <c r="M4216" s="3565">
        <v>0</v>
      </c>
      <c r="N4216" s="3565">
        <v>0</v>
      </c>
      <c r="O4216" s="3563" t="s">
        <v>3453</v>
      </c>
    </row>
    <row r="4217" spans="1:15">
      <c r="A4217" s="3563" t="s">
        <v>8439</v>
      </c>
      <c r="B4217" s="3563" t="s">
        <v>4196</v>
      </c>
      <c r="C4217" s="3563" t="s">
        <v>4197</v>
      </c>
      <c r="D4217" s="3563" t="s">
        <v>6429</v>
      </c>
      <c r="E4217" s="3563" t="s">
        <v>6344</v>
      </c>
      <c r="F4217" s="3563" t="s">
        <v>4797</v>
      </c>
      <c r="G4217" s="3564">
        <v>90.34</v>
      </c>
      <c r="H4217" s="3564">
        <v>72.78</v>
      </c>
      <c r="I4217" s="3564">
        <v>17.559999999999999</v>
      </c>
      <c r="J4217" s="3565">
        <v>879903</v>
      </c>
      <c r="K4217" s="3565">
        <v>9739.9</v>
      </c>
      <c r="L4217" s="3565">
        <v>12089.9</v>
      </c>
      <c r="M4217" s="3565">
        <v>0</v>
      </c>
      <c r="N4217" s="3565">
        <v>0</v>
      </c>
      <c r="O4217" s="3563" t="s">
        <v>3453</v>
      </c>
    </row>
    <row r="4218" spans="1:15">
      <c r="A4218" s="3563" t="s">
        <v>8440</v>
      </c>
      <c r="B4218" s="3563" t="s">
        <v>4196</v>
      </c>
      <c r="C4218" s="3563" t="s">
        <v>4197</v>
      </c>
      <c r="D4218" s="3563" t="s">
        <v>6429</v>
      </c>
      <c r="E4218" s="3563" t="s">
        <v>6344</v>
      </c>
      <c r="F4218" s="3563" t="s">
        <v>4797</v>
      </c>
      <c r="G4218" s="3564">
        <v>78.239999999999995</v>
      </c>
      <c r="H4218" s="3564">
        <v>63.03</v>
      </c>
      <c r="I4218" s="3564">
        <v>15.21</v>
      </c>
      <c r="J4218" s="3565">
        <v>762049</v>
      </c>
      <c r="K4218" s="3565">
        <v>9739.89</v>
      </c>
      <c r="L4218" s="3565">
        <v>12090.26</v>
      </c>
      <c r="M4218" s="3565">
        <v>0</v>
      </c>
      <c r="N4218" s="3565">
        <v>0</v>
      </c>
      <c r="O4218" s="3563" t="s">
        <v>3453</v>
      </c>
    </row>
    <row r="4219" spans="1:15">
      <c r="A4219" s="3563" t="s">
        <v>8441</v>
      </c>
      <c r="B4219" s="3563" t="s">
        <v>4196</v>
      </c>
      <c r="C4219" s="3563" t="s">
        <v>4197</v>
      </c>
      <c r="D4219" s="3563" t="s">
        <v>6429</v>
      </c>
      <c r="E4219" s="3563" t="s">
        <v>6344</v>
      </c>
      <c r="F4219" s="3563" t="s">
        <v>4797</v>
      </c>
      <c r="G4219" s="3564">
        <v>78.239999999999995</v>
      </c>
      <c r="H4219" s="3564">
        <v>63.03</v>
      </c>
      <c r="I4219" s="3564">
        <v>15.21</v>
      </c>
      <c r="J4219" s="3565">
        <v>762049</v>
      </c>
      <c r="K4219" s="3565">
        <v>9739.89</v>
      </c>
      <c r="L4219" s="3565">
        <v>12090.26</v>
      </c>
      <c r="M4219" s="3565">
        <v>0</v>
      </c>
      <c r="N4219" s="3565">
        <v>0</v>
      </c>
      <c r="O4219" s="3563" t="s">
        <v>3453</v>
      </c>
    </row>
    <row r="4220" spans="1:15">
      <c r="A4220" s="3563" t="s">
        <v>8442</v>
      </c>
      <c r="B4220" s="3563" t="s">
        <v>4811</v>
      </c>
      <c r="C4220" s="3563" t="s">
        <v>4197</v>
      </c>
      <c r="D4220" s="3563" t="s">
        <v>6429</v>
      </c>
      <c r="E4220" s="3563" t="s">
        <v>6344</v>
      </c>
      <c r="F4220" s="3563" t="s">
        <v>4797</v>
      </c>
      <c r="G4220" s="3564">
        <v>109.78</v>
      </c>
      <c r="H4220" s="3564">
        <v>88.44</v>
      </c>
      <c r="I4220" s="3564">
        <v>21.34</v>
      </c>
      <c r="J4220" s="3565">
        <v>1082093</v>
      </c>
      <c r="K4220" s="3565">
        <v>9856.92</v>
      </c>
      <c r="L4220" s="3565">
        <v>12235.33</v>
      </c>
      <c r="M4220" s="3565">
        <v>1027989</v>
      </c>
      <c r="N4220" s="3565">
        <v>9364.08</v>
      </c>
      <c r="O4220" s="3566">
        <v>44192</v>
      </c>
    </row>
    <row r="4221" spans="1:15">
      <c r="A4221" s="3563" t="s">
        <v>8443</v>
      </c>
      <c r="B4221" s="3563" t="s">
        <v>4196</v>
      </c>
      <c r="C4221" s="3563" t="s">
        <v>4197</v>
      </c>
      <c r="D4221" s="3563" t="s">
        <v>6429</v>
      </c>
      <c r="E4221" s="3563" t="s">
        <v>6344</v>
      </c>
      <c r="F4221" s="3563" t="s">
        <v>4797</v>
      </c>
      <c r="G4221" s="3564">
        <v>101.47</v>
      </c>
      <c r="H4221" s="3564">
        <v>81.739999999999995</v>
      </c>
      <c r="I4221" s="3564">
        <v>19.73</v>
      </c>
      <c r="J4221" s="3565">
        <v>1027169</v>
      </c>
      <c r="K4221" s="3565">
        <v>10122.879999999999</v>
      </c>
      <c r="L4221" s="3565">
        <v>12566.3</v>
      </c>
      <c r="M4221" s="3565">
        <v>0</v>
      </c>
      <c r="N4221" s="3565">
        <v>0</v>
      </c>
      <c r="O4221" s="3563" t="s">
        <v>3453</v>
      </c>
    </row>
    <row r="4222" spans="1:15">
      <c r="A4222" s="3563" t="s">
        <v>8444</v>
      </c>
      <c r="B4222" s="3563" t="s">
        <v>4196</v>
      </c>
      <c r="C4222" s="3563" t="s">
        <v>4197</v>
      </c>
      <c r="D4222" s="3563" t="s">
        <v>6429</v>
      </c>
      <c r="E4222" s="3563" t="s">
        <v>6344</v>
      </c>
      <c r="F4222" s="3563" t="s">
        <v>4797</v>
      </c>
      <c r="G4222" s="3564">
        <v>101.47</v>
      </c>
      <c r="H4222" s="3564">
        <v>81.739999999999995</v>
      </c>
      <c r="I4222" s="3564">
        <v>19.73</v>
      </c>
      <c r="J4222" s="3565">
        <v>1027169</v>
      </c>
      <c r="K4222" s="3565">
        <v>10122.879999999999</v>
      </c>
      <c r="L4222" s="3565">
        <v>12566.3</v>
      </c>
      <c r="M4222" s="3565">
        <v>0</v>
      </c>
      <c r="N4222" s="3565">
        <v>0</v>
      </c>
      <c r="O4222" s="3563" t="s">
        <v>3453</v>
      </c>
    </row>
    <row r="4223" spans="1:15">
      <c r="A4223" s="3563" t="s">
        <v>8445</v>
      </c>
      <c r="B4223" s="3563" t="s">
        <v>4196</v>
      </c>
      <c r="C4223" s="3563" t="s">
        <v>4197</v>
      </c>
      <c r="D4223" s="3563" t="s">
        <v>6429</v>
      </c>
      <c r="E4223" s="3563" t="s">
        <v>6344</v>
      </c>
      <c r="F4223" s="3563" t="s">
        <v>4797</v>
      </c>
      <c r="G4223" s="3564">
        <v>90.34</v>
      </c>
      <c r="H4223" s="3564">
        <v>72.78</v>
      </c>
      <c r="I4223" s="3564">
        <v>17.559999999999999</v>
      </c>
      <c r="J4223" s="3565">
        <v>879903</v>
      </c>
      <c r="K4223" s="3565">
        <v>9739.9</v>
      </c>
      <c r="L4223" s="3565">
        <v>12089.9</v>
      </c>
      <c r="M4223" s="3565">
        <v>0</v>
      </c>
      <c r="N4223" s="3565">
        <v>0</v>
      </c>
      <c r="O4223" s="3563" t="s">
        <v>3453</v>
      </c>
    </row>
    <row r="4224" spans="1:15">
      <c r="A4224" s="3563" t="s">
        <v>8446</v>
      </c>
      <c r="B4224" s="3563" t="s">
        <v>4196</v>
      </c>
      <c r="C4224" s="3563" t="s">
        <v>4197</v>
      </c>
      <c r="D4224" s="3563" t="s">
        <v>6429</v>
      </c>
      <c r="E4224" s="3563" t="s">
        <v>6344</v>
      </c>
      <c r="F4224" s="3563" t="s">
        <v>4797</v>
      </c>
      <c r="G4224" s="3564">
        <v>78.239999999999995</v>
      </c>
      <c r="H4224" s="3564">
        <v>63.03</v>
      </c>
      <c r="I4224" s="3564">
        <v>15.21</v>
      </c>
      <c r="J4224" s="3565">
        <v>762049</v>
      </c>
      <c r="K4224" s="3565">
        <v>9739.89</v>
      </c>
      <c r="L4224" s="3565">
        <v>12090.26</v>
      </c>
      <c r="M4224" s="3565">
        <v>0</v>
      </c>
      <c r="N4224" s="3565">
        <v>0</v>
      </c>
      <c r="O4224" s="3563" t="s">
        <v>3453</v>
      </c>
    </row>
    <row r="4225" spans="1:15">
      <c r="A4225" s="3563" t="s">
        <v>8447</v>
      </c>
      <c r="B4225" s="3563" t="s">
        <v>4196</v>
      </c>
      <c r="C4225" s="3563" t="s">
        <v>4197</v>
      </c>
      <c r="D4225" s="3563" t="s">
        <v>6429</v>
      </c>
      <c r="E4225" s="3563" t="s">
        <v>6344</v>
      </c>
      <c r="F4225" s="3563" t="s">
        <v>4797</v>
      </c>
      <c r="G4225" s="3564">
        <v>78.239999999999995</v>
      </c>
      <c r="H4225" s="3564">
        <v>63.03</v>
      </c>
      <c r="I4225" s="3564">
        <v>15.21</v>
      </c>
      <c r="J4225" s="3565">
        <v>762049</v>
      </c>
      <c r="K4225" s="3565">
        <v>9739.89</v>
      </c>
      <c r="L4225" s="3565">
        <v>12090.26</v>
      </c>
      <c r="M4225" s="3565">
        <v>0</v>
      </c>
      <c r="N4225" s="3565">
        <v>0</v>
      </c>
      <c r="O4225" s="3563" t="s">
        <v>3453</v>
      </c>
    </row>
    <row r="4226" spans="1:15">
      <c r="A4226" s="3563" t="s">
        <v>8448</v>
      </c>
      <c r="B4226" s="3563" t="s">
        <v>4811</v>
      </c>
      <c r="C4226" s="3563" t="s">
        <v>4197</v>
      </c>
      <c r="D4226" s="3563" t="s">
        <v>6429</v>
      </c>
      <c r="E4226" s="3563" t="s">
        <v>6344</v>
      </c>
      <c r="F4226" s="3563" t="s">
        <v>4797</v>
      </c>
      <c r="G4226" s="3564">
        <v>109.78</v>
      </c>
      <c r="H4226" s="3564">
        <v>88.44</v>
      </c>
      <c r="I4226" s="3564">
        <v>21.34</v>
      </c>
      <c r="J4226" s="3565">
        <v>1069246</v>
      </c>
      <c r="K4226" s="3565">
        <v>9739.9</v>
      </c>
      <c r="L4226" s="3565">
        <v>12090.07</v>
      </c>
      <c r="M4226" s="3565">
        <v>1015784</v>
      </c>
      <c r="N4226" s="3565">
        <v>9252.91</v>
      </c>
      <c r="O4226" s="3566">
        <v>44192</v>
      </c>
    </row>
    <row r="4227" spans="1:15">
      <c r="A4227" s="3563" t="s">
        <v>8449</v>
      </c>
      <c r="B4227" s="3563" t="s">
        <v>4196</v>
      </c>
      <c r="C4227" s="3563" t="s">
        <v>4197</v>
      </c>
      <c r="D4227" s="3563" t="s">
        <v>6429</v>
      </c>
      <c r="E4227" s="3563" t="s">
        <v>6344</v>
      </c>
      <c r="F4227" s="3563" t="s">
        <v>4797</v>
      </c>
      <c r="G4227" s="3564">
        <v>101.47</v>
      </c>
      <c r="H4227" s="3564">
        <v>81.739999999999995</v>
      </c>
      <c r="I4227" s="3564">
        <v>19.73</v>
      </c>
      <c r="J4227" s="3565">
        <v>1040122</v>
      </c>
      <c r="K4227" s="3565">
        <v>10250.540000000001</v>
      </c>
      <c r="L4227" s="3565">
        <v>12724.76</v>
      </c>
      <c r="M4227" s="3565">
        <v>0</v>
      </c>
      <c r="N4227" s="3565">
        <v>0</v>
      </c>
      <c r="O4227" s="3563" t="s">
        <v>3453</v>
      </c>
    </row>
    <row r="4228" spans="1:15">
      <c r="A4228" s="3563" t="s">
        <v>8450</v>
      </c>
      <c r="B4228" s="3563" t="s">
        <v>4196</v>
      </c>
      <c r="C4228" s="3563" t="s">
        <v>4197</v>
      </c>
      <c r="D4228" s="3563" t="s">
        <v>6429</v>
      </c>
      <c r="E4228" s="3563" t="s">
        <v>6344</v>
      </c>
      <c r="F4228" s="3563" t="s">
        <v>4797</v>
      </c>
      <c r="G4228" s="3564">
        <v>101.47</v>
      </c>
      <c r="H4228" s="3564">
        <v>81.739999999999995</v>
      </c>
      <c r="I4228" s="3564">
        <v>19.73</v>
      </c>
      <c r="J4228" s="3565">
        <v>1040122</v>
      </c>
      <c r="K4228" s="3565">
        <v>10250.540000000001</v>
      </c>
      <c r="L4228" s="3565">
        <v>12724.76</v>
      </c>
      <c r="M4228" s="3565">
        <v>0</v>
      </c>
      <c r="N4228" s="3565">
        <v>0</v>
      </c>
      <c r="O4228" s="3563" t="s">
        <v>3453</v>
      </c>
    </row>
    <row r="4229" spans="1:15">
      <c r="A4229" s="3563" t="s">
        <v>8451</v>
      </c>
      <c r="B4229" s="3563" t="s">
        <v>4196</v>
      </c>
      <c r="C4229" s="3563" t="s">
        <v>4197</v>
      </c>
      <c r="D4229" s="3563" t="s">
        <v>6429</v>
      </c>
      <c r="E4229" s="3563" t="s">
        <v>6344</v>
      </c>
      <c r="F4229" s="3563" t="s">
        <v>4797</v>
      </c>
      <c r="G4229" s="3564">
        <v>90.34</v>
      </c>
      <c r="H4229" s="3564">
        <v>72.78</v>
      </c>
      <c r="I4229" s="3564">
        <v>17.559999999999999</v>
      </c>
      <c r="J4229" s="3565">
        <v>879903</v>
      </c>
      <c r="K4229" s="3565">
        <v>9739.9</v>
      </c>
      <c r="L4229" s="3565">
        <v>12089.9</v>
      </c>
      <c r="M4229" s="3565">
        <v>0</v>
      </c>
      <c r="N4229" s="3565">
        <v>0</v>
      </c>
      <c r="O4229" s="3563" t="s">
        <v>3453</v>
      </c>
    </row>
    <row r="4230" spans="1:15">
      <c r="A4230" s="3563" t="s">
        <v>8452</v>
      </c>
      <c r="B4230" s="3563" t="s">
        <v>4196</v>
      </c>
      <c r="C4230" s="3563" t="s">
        <v>4197</v>
      </c>
      <c r="D4230" s="3563" t="s">
        <v>6429</v>
      </c>
      <c r="E4230" s="3563" t="s">
        <v>6344</v>
      </c>
      <c r="F4230" s="3563" t="s">
        <v>4797</v>
      </c>
      <c r="G4230" s="3564">
        <v>78.239999999999995</v>
      </c>
      <c r="H4230" s="3564">
        <v>63.03</v>
      </c>
      <c r="I4230" s="3564">
        <v>15.21</v>
      </c>
      <c r="J4230" s="3565">
        <v>762049</v>
      </c>
      <c r="K4230" s="3565">
        <v>9739.89</v>
      </c>
      <c r="L4230" s="3565">
        <v>12090.26</v>
      </c>
      <c r="M4230" s="3565">
        <v>0</v>
      </c>
      <c r="N4230" s="3565">
        <v>0</v>
      </c>
      <c r="O4230" s="3563" t="s">
        <v>3453</v>
      </c>
    </row>
    <row r="4231" spans="1:15">
      <c r="A4231" s="3563" t="s">
        <v>8453</v>
      </c>
      <c r="B4231" s="3563" t="s">
        <v>4196</v>
      </c>
      <c r="C4231" s="3563" t="s">
        <v>4197</v>
      </c>
      <c r="D4231" s="3563" t="s">
        <v>6429</v>
      </c>
      <c r="E4231" s="3563" t="s">
        <v>6344</v>
      </c>
      <c r="F4231" s="3563" t="s">
        <v>4797</v>
      </c>
      <c r="G4231" s="3564">
        <v>78.239999999999995</v>
      </c>
      <c r="H4231" s="3564">
        <v>63.03</v>
      </c>
      <c r="I4231" s="3564">
        <v>15.21</v>
      </c>
      <c r="J4231" s="3565">
        <v>762049</v>
      </c>
      <c r="K4231" s="3565">
        <v>9739.89</v>
      </c>
      <c r="L4231" s="3565">
        <v>12090.26</v>
      </c>
      <c r="M4231" s="3565">
        <v>0</v>
      </c>
      <c r="N4231" s="3565">
        <v>0</v>
      </c>
      <c r="O4231" s="3563" t="s">
        <v>3453</v>
      </c>
    </row>
    <row r="4232" spans="1:15">
      <c r="A4232" s="3563" t="s">
        <v>8454</v>
      </c>
      <c r="B4232" s="3563" t="s">
        <v>4811</v>
      </c>
      <c r="C4232" s="3563" t="s">
        <v>4197</v>
      </c>
      <c r="D4232" s="3563" t="s">
        <v>6429</v>
      </c>
      <c r="E4232" s="3563" t="s">
        <v>6344</v>
      </c>
      <c r="F4232" s="3563" t="s">
        <v>4797</v>
      </c>
      <c r="G4232" s="3564">
        <v>109.78</v>
      </c>
      <c r="H4232" s="3564">
        <v>88.44</v>
      </c>
      <c r="I4232" s="3564">
        <v>21.34</v>
      </c>
      <c r="J4232" s="3565">
        <v>1078589</v>
      </c>
      <c r="K4232" s="3565">
        <v>9825</v>
      </c>
      <c r="L4232" s="3565">
        <v>12195.71</v>
      </c>
      <c r="M4232" s="3565">
        <v>1013874</v>
      </c>
      <c r="N4232" s="3565">
        <v>9235.51</v>
      </c>
      <c r="O4232" s="3566">
        <v>44192</v>
      </c>
    </row>
    <row r="4233" spans="1:15">
      <c r="A4233" s="3563" t="s">
        <v>8455</v>
      </c>
      <c r="B4233" s="3563" t="s">
        <v>4196</v>
      </c>
      <c r="C4233" s="3563" t="s">
        <v>4197</v>
      </c>
      <c r="D4233" s="3563" t="s">
        <v>6429</v>
      </c>
      <c r="E4233" s="3563" t="s">
        <v>6344</v>
      </c>
      <c r="F4233" s="3563" t="s">
        <v>4797</v>
      </c>
      <c r="G4233" s="3564">
        <v>101.47</v>
      </c>
      <c r="H4233" s="3564">
        <v>81.739999999999995</v>
      </c>
      <c r="I4233" s="3564">
        <v>19.73</v>
      </c>
      <c r="J4233" s="3565">
        <v>1053076</v>
      </c>
      <c r="K4233" s="3565">
        <v>10378.200000000001</v>
      </c>
      <c r="L4233" s="3565">
        <v>12883.24</v>
      </c>
      <c r="M4233" s="3565">
        <v>0</v>
      </c>
      <c r="N4233" s="3565">
        <v>0</v>
      </c>
      <c r="O4233" s="3563" t="s">
        <v>3453</v>
      </c>
    </row>
    <row r="4234" spans="1:15">
      <c r="A4234" s="3563" t="s">
        <v>8456</v>
      </c>
      <c r="B4234" s="3563" t="s">
        <v>4196</v>
      </c>
      <c r="C4234" s="3563" t="s">
        <v>4197</v>
      </c>
      <c r="D4234" s="3563" t="s">
        <v>6429</v>
      </c>
      <c r="E4234" s="3563" t="s">
        <v>6344</v>
      </c>
      <c r="F4234" s="3563" t="s">
        <v>4797</v>
      </c>
      <c r="G4234" s="3564">
        <v>101.47</v>
      </c>
      <c r="H4234" s="3564">
        <v>81.739999999999995</v>
      </c>
      <c r="I4234" s="3564">
        <v>19.73</v>
      </c>
      <c r="J4234" s="3565">
        <v>1074665</v>
      </c>
      <c r="K4234" s="3565">
        <v>10590.96</v>
      </c>
      <c r="L4234" s="3565">
        <v>13147.36</v>
      </c>
      <c r="M4234" s="3565">
        <v>0</v>
      </c>
      <c r="N4234" s="3565">
        <v>0</v>
      </c>
      <c r="O4234" s="3563" t="s">
        <v>3453</v>
      </c>
    </row>
    <row r="4235" spans="1:15">
      <c r="A4235" s="3563" t="s">
        <v>8457</v>
      </c>
      <c r="B4235" s="3563" t="s">
        <v>4196</v>
      </c>
      <c r="C4235" s="3563" t="s">
        <v>4197</v>
      </c>
      <c r="D4235" s="3563" t="s">
        <v>6429</v>
      </c>
      <c r="E4235" s="3563" t="s">
        <v>6344</v>
      </c>
      <c r="F4235" s="3563" t="s">
        <v>4797</v>
      </c>
      <c r="G4235" s="3564">
        <v>90.34</v>
      </c>
      <c r="H4235" s="3564">
        <v>72.78</v>
      </c>
      <c r="I4235" s="3564">
        <v>17.559999999999999</v>
      </c>
      <c r="J4235" s="3565">
        <v>879903</v>
      </c>
      <c r="K4235" s="3565">
        <v>9739.9</v>
      </c>
      <c r="L4235" s="3565">
        <v>12089.9</v>
      </c>
      <c r="M4235" s="3565">
        <v>0</v>
      </c>
      <c r="N4235" s="3565">
        <v>0</v>
      </c>
      <c r="O4235" s="3563" t="s">
        <v>3453</v>
      </c>
    </row>
    <row r="4236" spans="1:15">
      <c r="A4236" s="3563" t="s">
        <v>8458</v>
      </c>
      <c r="B4236" s="3563" t="s">
        <v>4196</v>
      </c>
      <c r="C4236" s="3563" t="s">
        <v>4197</v>
      </c>
      <c r="D4236" s="3563" t="s">
        <v>6429</v>
      </c>
      <c r="E4236" s="3563" t="s">
        <v>6344</v>
      </c>
      <c r="F4236" s="3563" t="s">
        <v>4797</v>
      </c>
      <c r="G4236" s="3564">
        <v>78.239999999999995</v>
      </c>
      <c r="H4236" s="3564">
        <v>63.03</v>
      </c>
      <c r="I4236" s="3564">
        <v>15.21</v>
      </c>
      <c r="J4236" s="3565">
        <v>762049</v>
      </c>
      <c r="K4236" s="3565">
        <v>9739.89</v>
      </c>
      <c r="L4236" s="3565">
        <v>12090.26</v>
      </c>
      <c r="M4236" s="3565">
        <v>0</v>
      </c>
      <c r="N4236" s="3565">
        <v>0</v>
      </c>
      <c r="O4236" s="3563" t="s">
        <v>3453</v>
      </c>
    </row>
    <row r="4237" spans="1:15">
      <c r="A4237" s="3563" t="s">
        <v>8459</v>
      </c>
      <c r="B4237" s="3563" t="s">
        <v>4196</v>
      </c>
      <c r="C4237" s="3563" t="s">
        <v>4197</v>
      </c>
      <c r="D4237" s="3563" t="s">
        <v>6429</v>
      </c>
      <c r="E4237" s="3563" t="s">
        <v>6344</v>
      </c>
      <c r="F4237" s="3563" t="s">
        <v>4797</v>
      </c>
      <c r="G4237" s="3564">
        <v>78.239999999999995</v>
      </c>
      <c r="H4237" s="3564">
        <v>63.03</v>
      </c>
      <c r="I4237" s="3564">
        <v>15.21</v>
      </c>
      <c r="J4237" s="3565">
        <v>762049</v>
      </c>
      <c r="K4237" s="3565">
        <v>9739.89</v>
      </c>
      <c r="L4237" s="3565">
        <v>12090.26</v>
      </c>
      <c r="M4237" s="3565">
        <v>0</v>
      </c>
      <c r="N4237" s="3565">
        <v>0</v>
      </c>
      <c r="O4237" s="3563" t="s">
        <v>3453</v>
      </c>
    </row>
    <row r="4238" spans="1:15">
      <c r="A4238" s="3563" t="s">
        <v>8460</v>
      </c>
      <c r="B4238" s="3563" t="s">
        <v>4811</v>
      </c>
      <c r="C4238" s="3563" t="s">
        <v>4197</v>
      </c>
      <c r="D4238" s="3563" t="s">
        <v>6429</v>
      </c>
      <c r="E4238" s="3563" t="s">
        <v>6344</v>
      </c>
      <c r="F4238" s="3563" t="s">
        <v>4797</v>
      </c>
      <c r="G4238" s="3564">
        <v>109.78</v>
      </c>
      <c r="H4238" s="3564">
        <v>88.44</v>
      </c>
      <c r="I4238" s="3564">
        <v>21.34</v>
      </c>
      <c r="J4238" s="3565">
        <v>1092604</v>
      </c>
      <c r="K4238" s="3565">
        <v>9952.67</v>
      </c>
      <c r="L4238" s="3565">
        <v>12354.18</v>
      </c>
      <c r="M4238" s="3565">
        <v>1092604</v>
      </c>
      <c r="N4238" s="3565">
        <v>9952.67</v>
      </c>
      <c r="O4238" s="3566">
        <v>44192</v>
      </c>
    </row>
    <row r="4239" spans="1:15">
      <c r="A4239" s="3563" t="s">
        <v>8461</v>
      </c>
      <c r="B4239" s="3563" t="s">
        <v>4196</v>
      </c>
      <c r="C4239" s="3563" t="s">
        <v>4197</v>
      </c>
      <c r="D4239" s="3563" t="s">
        <v>6429</v>
      </c>
      <c r="E4239" s="3563" t="s">
        <v>6344</v>
      </c>
      <c r="F4239" s="3563" t="s">
        <v>4797</v>
      </c>
      <c r="G4239" s="3564">
        <v>101.47</v>
      </c>
      <c r="H4239" s="3564">
        <v>81.739999999999995</v>
      </c>
      <c r="I4239" s="3564">
        <v>19.73</v>
      </c>
      <c r="J4239" s="3565">
        <v>1054155</v>
      </c>
      <c r="K4239" s="3565">
        <v>10388.83</v>
      </c>
      <c r="L4239" s="3565">
        <v>12896.44</v>
      </c>
      <c r="M4239" s="3565">
        <v>0</v>
      </c>
      <c r="N4239" s="3565">
        <v>0</v>
      </c>
      <c r="O4239" s="3563" t="s">
        <v>3453</v>
      </c>
    </row>
    <row r="4240" spans="1:15">
      <c r="A4240" s="3563" t="s">
        <v>8462</v>
      </c>
      <c r="B4240" s="3563" t="s">
        <v>4196</v>
      </c>
      <c r="C4240" s="3563" t="s">
        <v>4197</v>
      </c>
      <c r="D4240" s="3563" t="s">
        <v>6429</v>
      </c>
      <c r="E4240" s="3563" t="s">
        <v>6344</v>
      </c>
      <c r="F4240" s="3563" t="s">
        <v>4797</v>
      </c>
      <c r="G4240" s="3564">
        <v>101.47</v>
      </c>
      <c r="H4240" s="3564">
        <v>81.739999999999995</v>
      </c>
      <c r="I4240" s="3564">
        <v>19.73</v>
      </c>
      <c r="J4240" s="3565">
        <v>1075744</v>
      </c>
      <c r="K4240" s="3565">
        <v>10601.6</v>
      </c>
      <c r="L4240" s="3565">
        <v>13160.56</v>
      </c>
      <c r="M4240" s="3565">
        <v>0</v>
      </c>
      <c r="N4240" s="3565">
        <v>0</v>
      </c>
      <c r="O4240" s="3563" t="s">
        <v>3453</v>
      </c>
    </row>
    <row r="4241" spans="1:15">
      <c r="A4241" s="3563" t="s">
        <v>8463</v>
      </c>
      <c r="B4241" s="3563" t="s">
        <v>4196</v>
      </c>
      <c r="C4241" s="3563" t="s">
        <v>4197</v>
      </c>
      <c r="D4241" s="3563" t="s">
        <v>6429</v>
      </c>
      <c r="E4241" s="3563" t="s">
        <v>6344</v>
      </c>
      <c r="F4241" s="3563" t="s">
        <v>4797</v>
      </c>
      <c r="G4241" s="3564">
        <v>90.34</v>
      </c>
      <c r="H4241" s="3564">
        <v>72.78</v>
      </c>
      <c r="I4241" s="3564">
        <v>17.559999999999999</v>
      </c>
      <c r="J4241" s="3565">
        <v>879903</v>
      </c>
      <c r="K4241" s="3565">
        <v>9739.9</v>
      </c>
      <c r="L4241" s="3565">
        <v>12089.9</v>
      </c>
      <c r="M4241" s="3565">
        <v>0</v>
      </c>
      <c r="N4241" s="3565">
        <v>0</v>
      </c>
      <c r="O4241" s="3563" t="s">
        <v>3453</v>
      </c>
    </row>
    <row r="4242" spans="1:15">
      <c r="A4242" s="3563" t="s">
        <v>8464</v>
      </c>
      <c r="B4242" s="3563" t="s">
        <v>4196</v>
      </c>
      <c r="C4242" s="3563" t="s">
        <v>4197</v>
      </c>
      <c r="D4242" s="3563" t="s">
        <v>6429</v>
      </c>
      <c r="E4242" s="3563" t="s">
        <v>6344</v>
      </c>
      <c r="F4242" s="3563" t="s">
        <v>4797</v>
      </c>
      <c r="G4242" s="3564">
        <v>78.239999999999995</v>
      </c>
      <c r="H4242" s="3564">
        <v>63.03</v>
      </c>
      <c r="I4242" s="3564">
        <v>15.21</v>
      </c>
      <c r="J4242" s="3565">
        <v>762049</v>
      </c>
      <c r="K4242" s="3565">
        <v>9739.89</v>
      </c>
      <c r="L4242" s="3565">
        <v>12090.26</v>
      </c>
      <c r="M4242" s="3565">
        <v>0</v>
      </c>
      <c r="N4242" s="3565">
        <v>0</v>
      </c>
      <c r="O4242" s="3563" t="s">
        <v>3453</v>
      </c>
    </row>
    <row r="4243" spans="1:15">
      <c r="A4243" s="3563" t="s">
        <v>8465</v>
      </c>
      <c r="B4243" s="3563" t="s">
        <v>4811</v>
      </c>
      <c r="C4243" s="3563" t="s">
        <v>4197</v>
      </c>
      <c r="D4243" s="3563" t="s">
        <v>6429</v>
      </c>
      <c r="E4243" s="3563" t="s">
        <v>6344</v>
      </c>
      <c r="F4243" s="3563" t="s">
        <v>4797</v>
      </c>
      <c r="G4243" s="3564">
        <v>78.239999999999995</v>
      </c>
      <c r="H4243" s="3564">
        <v>63.03</v>
      </c>
      <c r="I4243" s="3564">
        <v>15.21</v>
      </c>
      <c r="J4243" s="3565">
        <v>762049</v>
      </c>
      <c r="K4243" s="3565">
        <v>9739.89</v>
      </c>
      <c r="L4243" s="3565">
        <v>12090.26</v>
      </c>
      <c r="M4243" s="3565">
        <v>723947</v>
      </c>
      <c r="N4243" s="3565">
        <v>9252.9</v>
      </c>
      <c r="O4243" s="3566">
        <v>44192</v>
      </c>
    </row>
    <row r="4244" spans="1:15">
      <c r="A4244" s="3563" t="s">
        <v>8466</v>
      </c>
      <c r="B4244" s="3563" t="s">
        <v>4811</v>
      </c>
      <c r="C4244" s="3563" t="s">
        <v>4197</v>
      </c>
      <c r="D4244" s="3563" t="s">
        <v>6429</v>
      </c>
      <c r="E4244" s="3563" t="s">
        <v>6344</v>
      </c>
      <c r="F4244" s="3563" t="s">
        <v>4797</v>
      </c>
      <c r="G4244" s="3564">
        <v>109.78</v>
      </c>
      <c r="H4244" s="3564">
        <v>88.44</v>
      </c>
      <c r="I4244" s="3564">
        <v>21.34</v>
      </c>
      <c r="J4244" s="3565">
        <v>1093772</v>
      </c>
      <c r="K4244" s="3565">
        <v>9963.31</v>
      </c>
      <c r="L4244" s="3565">
        <v>12367.39</v>
      </c>
      <c r="M4244" s="3565">
        <v>1060959</v>
      </c>
      <c r="N4244" s="3565">
        <v>9664.41</v>
      </c>
      <c r="O4244" s="3566">
        <v>44192</v>
      </c>
    </row>
    <row r="4245" spans="1:15">
      <c r="A4245" s="3563" t="s">
        <v>8467</v>
      </c>
      <c r="B4245" s="3563" t="s">
        <v>4196</v>
      </c>
      <c r="C4245" s="3563" t="s">
        <v>4197</v>
      </c>
      <c r="D4245" s="3563" t="s">
        <v>6429</v>
      </c>
      <c r="E4245" s="3563" t="s">
        <v>6344</v>
      </c>
      <c r="F4245" s="3563" t="s">
        <v>4797</v>
      </c>
      <c r="G4245" s="3564">
        <v>101.47</v>
      </c>
      <c r="H4245" s="3564">
        <v>81.739999999999995</v>
      </c>
      <c r="I4245" s="3564">
        <v>19.73</v>
      </c>
      <c r="J4245" s="3565">
        <v>1055235</v>
      </c>
      <c r="K4245" s="3565">
        <v>10399.48</v>
      </c>
      <c r="L4245" s="3565">
        <v>12909.65</v>
      </c>
      <c r="M4245" s="3565">
        <v>0</v>
      </c>
      <c r="N4245" s="3565">
        <v>0</v>
      </c>
      <c r="O4245" s="3563" t="s">
        <v>3453</v>
      </c>
    </row>
    <row r="4246" spans="1:15">
      <c r="A4246" s="3563" t="s">
        <v>8468</v>
      </c>
      <c r="B4246" s="3563" t="s">
        <v>3453</v>
      </c>
      <c r="C4246" s="3563" t="s">
        <v>4197</v>
      </c>
      <c r="D4246" s="3563" t="s">
        <v>6429</v>
      </c>
      <c r="E4246" s="3563" t="s">
        <v>6344</v>
      </c>
      <c r="F4246" s="3563" t="s">
        <v>4797</v>
      </c>
      <c r="G4246" s="3564">
        <v>101.47</v>
      </c>
      <c r="H4246" s="3564">
        <v>81.739999999999995</v>
      </c>
      <c r="I4246" s="3564">
        <v>19.73</v>
      </c>
      <c r="J4246" s="3565">
        <v>1076824</v>
      </c>
      <c r="K4246" s="3565">
        <v>10612.24</v>
      </c>
      <c r="L4246" s="3565">
        <v>13173.77</v>
      </c>
      <c r="M4246" s="3565">
        <v>0</v>
      </c>
      <c r="N4246" s="3565">
        <v>0</v>
      </c>
      <c r="O4246" s="3563" t="s">
        <v>3453</v>
      </c>
    </row>
    <row r="4247" spans="1:15">
      <c r="A4247" s="3563" t="s">
        <v>8469</v>
      </c>
      <c r="B4247" s="3563" t="s">
        <v>4196</v>
      </c>
      <c r="C4247" s="3563" t="s">
        <v>4197</v>
      </c>
      <c r="D4247" s="3563" t="s">
        <v>6429</v>
      </c>
      <c r="E4247" s="3563" t="s">
        <v>6344</v>
      </c>
      <c r="F4247" s="3563" t="s">
        <v>4797</v>
      </c>
      <c r="G4247" s="3564">
        <v>90.34</v>
      </c>
      <c r="H4247" s="3564">
        <v>72.78</v>
      </c>
      <c r="I4247" s="3564">
        <v>17.559999999999999</v>
      </c>
      <c r="J4247" s="3565">
        <v>879903</v>
      </c>
      <c r="K4247" s="3565">
        <v>9739.9</v>
      </c>
      <c r="L4247" s="3565">
        <v>12089.9</v>
      </c>
      <c r="M4247" s="3565">
        <v>0</v>
      </c>
      <c r="N4247" s="3565">
        <v>0</v>
      </c>
      <c r="O4247" s="3563" t="s">
        <v>3453</v>
      </c>
    </row>
    <row r="4248" spans="1:15">
      <c r="A4248" s="3563" t="s">
        <v>8470</v>
      </c>
      <c r="B4248" s="3563" t="s">
        <v>4196</v>
      </c>
      <c r="C4248" s="3563" t="s">
        <v>4197</v>
      </c>
      <c r="D4248" s="3563" t="s">
        <v>6429</v>
      </c>
      <c r="E4248" s="3563" t="s">
        <v>6344</v>
      </c>
      <c r="F4248" s="3563" t="s">
        <v>4797</v>
      </c>
      <c r="G4248" s="3564">
        <v>78.239999999999995</v>
      </c>
      <c r="H4248" s="3564">
        <v>63.03</v>
      </c>
      <c r="I4248" s="3564">
        <v>15.21</v>
      </c>
      <c r="J4248" s="3565">
        <v>767876</v>
      </c>
      <c r="K4248" s="3565">
        <v>9814.3700000000008</v>
      </c>
      <c r="L4248" s="3565">
        <v>12182.71</v>
      </c>
      <c r="M4248" s="3565">
        <v>0</v>
      </c>
      <c r="N4248" s="3565">
        <v>0</v>
      </c>
      <c r="O4248" s="3563" t="s">
        <v>3453</v>
      </c>
    </row>
    <row r="4249" spans="1:15">
      <c r="A4249" s="3563" t="s">
        <v>8471</v>
      </c>
      <c r="B4249" s="3563" t="s">
        <v>3453</v>
      </c>
      <c r="C4249" s="3563" t="s">
        <v>4197</v>
      </c>
      <c r="D4249" s="3563" t="s">
        <v>6429</v>
      </c>
      <c r="E4249" s="3563" t="s">
        <v>6344</v>
      </c>
      <c r="F4249" s="3563" t="s">
        <v>4797</v>
      </c>
      <c r="G4249" s="3564">
        <v>78.239999999999995</v>
      </c>
      <c r="H4249" s="3564">
        <v>63.03</v>
      </c>
      <c r="I4249" s="3564">
        <v>15.21</v>
      </c>
      <c r="J4249" s="3565">
        <v>767876</v>
      </c>
      <c r="K4249" s="3565">
        <v>9814.3700000000008</v>
      </c>
      <c r="L4249" s="3565">
        <v>12182.71</v>
      </c>
      <c r="M4249" s="3565">
        <v>0</v>
      </c>
      <c r="N4249" s="3565">
        <v>0</v>
      </c>
      <c r="O4249" s="3563" t="s">
        <v>3453</v>
      </c>
    </row>
    <row r="4250" spans="1:15">
      <c r="A4250" s="3563" t="s">
        <v>8472</v>
      </c>
      <c r="B4250" s="3563" t="s">
        <v>4811</v>
      </c>
      <c r="C4250" s="3563" t="s">
        <v>4197</v>
      </c>
      <c r="D4250" s="3563" t="s">
        <v>6429</v>
      </c>
      <c r="E4250" s="3563" t="s">
        <v>6344</v>
      </c>
      <c r="F4250" s="3563" t="s">
        <v>4797</v>
      </c>
      <c r="G4250" s="3564">
        <v>109.78</v>
      </c>
      <c r="H4250" s="3564">
        <v>88.44</v>
      </c>
      <c r="I4250" s="3564">
        <v>21.34</v>
      </c>
      <c r="J4250" s="3565">
        <v>1094939</v>
      </c>
      <c r="K4250" s="3565">
        <v>9973.94</v>
      </c>
      <c r="L4250" s="3565">
        <v>12380.59</v>
      </c>
      <c r="M4250" s="3565">
        <v>1040193</v>
      </c>
      <c r="N4250" s="3565">
        <v>9475.25</v>
      </c>
      <c r="O4250" s="3566">
        <v>44192</v>
      </c>
    </row>
    <row r="4251" spans="1:15">
      <c r="A4251" s="3563" t="s">
        <v>8473</v>
      </c>
      <c r="B4251" s="3563" t="s">
        <v>4196</v>
      </c>
      <c r="C4251" s="3563" t="s">
        <v>4197</v>
      </c>
      <c r="D4251" s="3563" t="s">
        <v>6429</v>
      </c>
      <c r="E4251" s="3563" t="s">
        <v>6344</v>
      </c>
      <c r="F4251" s="3563" t="s">
        <v>4797</v>
      </c>
      <c r="G4251" s="3564">
        <v>101.47</v>
      </c>
      <c r="H4251" s="3564">
        <v>81.739999999999995</v>
      </c>
      <c r="I4251" s="3564">
        <v>19.73</v>
      </c>
      <c r="J4251" s="3565">
        <v>1056314</v>
      </c>
      <c r="K4251" s="3565">
        <v>10410.11</v>
      </c>
      <c r="L4251" s="3565">
        <v>12922.85</v>
      </c>
      <c r="M4251" s="3565">
        <v>0</v>
      </c>
      <c r="N4251" s="3565">
        <v>0</v>
      </c>
      <c r="O4251" s="3563" t="s">
        <v>3453</v>
      </c>
    </row>
    <row r="4252" spans="1:15">
      <c r="A4252" s="3563" t="s">
        <v>8474</v>
      </c>
      <c r="B4252" s="3563" t="s">
        <v>4196</v>
      </c>
      <c r="C4252" s="3563" t="s">
        <v>4197</v>
      </c>
      <c r="D4252" s="3563" t="s">
        <v>6429</v>
      </c>
      <c r="E4252" s="3563" t="s">
        <v>6344</v>
      </c>
      <c r="F4252" s="3563" t="s">
        <v>4797</v>
      </c>
      <c r="G4252" s="3564">
        <v>101.47</v>
      </c>
      <c r="H4252" s="3564">
        <v>81.739999999999995</v>
      </c>
      <c r="I4252" s="3564">
        <v>19.73</v>
      </c>
      <c r="J4252" s="3565">
        <v>1077904</v>
      </c>
      <c r="K4252" s="3565">
        <v>10622.88</v>
      </c>
      <c r="L4252" s="3565">
        <v>13186.98</v>
      </c>
      <c r="M4252" s="3565">
        <v>0</v>
      </c>
      <c r="N4252" s="3565">
        <v>0</v>
      </c>
      <c r="O4252" s="3563" t="s">
        <v>3453</v>
      </c>
    </row>
    <row r="4253" spans="1:15">
      <c r="A4253" s="3563" t="s">
        <v>8475</v>
      </c>
      <c r="B4253" s="3563" t="s">
        <v>4196</v>
      </c>
      <c r="C4253" s="3563" t="s">
        <v>4197</v>
      </c>
      <c r="D4253" s="3563" t="s">
        <v>6429</v>
      </c>
      <c r="E4253" s="3563" t="s">
        <v>6344</v>
      </c>
      <c r="F4253" s="3563" t="s">
        <v>4797</v>
      </c>
      <c r="G4253" s="3564">
        <v>90.34</v>
      </c>
      <c r="H4253" s="3564">
        <v>72.78</v>
      </c>
      <c r="I4253" s="3564">
        <v>17.559999999999999</v>
      </c>
      <c r="J4253" s="3565">
        <v>879903</v>
      </c>
      <c r="K4253" s="3565">
        <v>9739.9</v>
      </c>
      <c r="L4253" s="3565">
        <v>12089.9</v>
      </c>
      <c r="M4253" s="3565">
        <v>0</v>
      </c>
      <c r="N4253" s="3565">
        <v>0</v>
      </c>
      <c r="O4253" s="3563" t="s">
        <v>3453</v>
      </c>
    </row>
    <row r="4254" spans="1:15">
      <c r="A4254" s="3563" t="s">
        <v>8476</v>
      </c>
      <c r="B4254" s="3563" t="s">
        <v>4196</v>
      </c>
      <c r="C4254" s="3563" t="s">
        <v>4197</v>
      </c>
      <c r="D4254" s="3563" t="s">
        <v>6429</v>
      </c>
      <c r="E4254" s="3563" t="s">
        <v>6344</v>
      </c>
      <c r="F4254" s="3563" t="s">
        <v>4797</v>
      </c>
      <c r="G4254" s="3564">
        <v>78.239999999999995</v>
      </c>
      <c r="H4254" s="3564">
        <v>63.03</v>
      </c>
      <c r="I4254" s="3564">
        <v>15.21</v>
      </c>
      <c r="J4254" s="3565">
        <v>768709</v>
      </c>
      <c r="K4254" s="3565">
        <v>9825.01</v>
      </c>
      <c r="L4254" s="3565">
        <v>12195.92</v>
      </c>
      <c r="M4254" s="3565">
        <v>0</v>
      </c>
      <c r="N4254" s="3565">
        <v>0</v>
      </c>
      <c r="O4254" s="3563" t="s">
        <v>3453</v>
      </c>
    </row>
    <row r="4255" spans="1:15">
      <c r="A4255" s="3563" t="s">
        <v>8477</v>
      </c>
      <c r="B4255" s="3563" t="s">
        <v>4196</v>
      </c>
      <c r="C4255" s="3563" t="s">
        <v>4197</v>
      </c>
      <c r="D4255" s="3563" t="s">
        <v>6429</v>
      </c>
      <c r="E4255" s="3563" t="s">
        <v>6344</v>
      </c>
      <c r="F4255" s="3563" t="s">
        <v>4797</v>
      </c>
      <c r="G4255" s="3564">
        <v>78.239999999999995</v>
      </c>
      <c r="H4255" s="3564">
        <v>63.03</v>
      </c>
      <c r="I4255" s="3564">
        <v>15.21</v>
      </c>
      <c r="J4255" s="3565">
        <v>768709</v>
      </c>
      <c r="K4255" s="3565">
        <v>9825.01</v>
      </c>
      <c r="L4255" s="3565">
        <v>12195.92</v>
      </c>
      <c r="M4255" s="3565">
        <v>0</v>
      </c>
      <c r="N4255" s="3565">
        <v>0</v>
      </c>
      <c r="O4255" s="3563" t="s">
        <v>3453</v>
      </c>
    </row>
    <row r="4256" spans="1:15">
      <c r="A4256" s="3563" t="s">
        <v>8478</v>
      </c>
      <c r="B4256" s="3563" t="s">
        <v>4811</v>
      </c>
      <c r="C4256" s="3563" t="s">
        <v>4197</v>
      </c>
      <c r="D4256" s="3563" t="s">
        <v>6429</v>
      </c>
      <c r="E4256" s="3563" t="s">
        <v>6344</v>
      </c>
      <c r="F4256" s="3563" t="s">
        <v>4797</v>
      </c>
      <c r="G4256" s="3564">
        <v>109.78</v>
      </c>
      <c r="H4256" s="3564">
        <v>88.44</v>
      </c>
      <c r="I4256" s="3564">
        <v>21.34</v>
      </c>
      <c r="J4256" s="3565">
        <v>1096107</v>
      </c>
      <c r="K4256" s="3565">
        <v>9984.58</v>
      </c>
      <c r="L4256" s="3565">
        <v>12393.79</v>
      </c>
      <c r="M4256" s="3565">
        <v>1030889</v>
      </c>
      <c r="N4256" s="3565">
        <v>9390.5</v>
      </c>
      <c r="O4256" s="3566">
        <v>44192</v>
      </c>
    </row>
    <row r="4257" spans="1:15">
      <c r="A4257" s="3563" t="s">
        <v>8479</v>
      </c>
      <c r="B4257" s="3563" t="s">
        <v>4196</v>
      </c>
      <c r="C4257" s="3563" t="s">
        <v>4197</v>
      </c>
      <c r="D4257" s="3563" t="s">
        <v>6429</v>
      </c>
      <c r="E4257" s="3563" t="s">
        <v>6344</v>
      </c>
      <c r="F4257" s="3563" t="s">
        <v>4797</v>
      </c>
      <c r="G4257" s="3564">
        <v>101.47</v>
      </c>
      <c r="H4257" s="3564">
        <v>81.739999999999995</v>
      </c>
      <c r="I4257" s="3564">
        <v>19.73</v>
      </c>
      <c r="J4257" s="3565">
        <v>1057393</v>
      </c>
      <c r="K4257" s="3565">
        <v>10420.75</v>
      </c>
      <c r="L4257" s="3565">
        <v>12936.05</v>
      </c>
      <c r="M4257" s="3565">
        <v>0</v>
      </c>
      <c r="N4257" s="3565">
        <v>0</v>
      </c>
      <c r="O4257" s="3563" t="s">
        <v>3453</v>
      </c>
    </row>
    <row r="4258" spans="1:15">
      <c r="A4258" s="3563" t="s">
        <v>8480</v>
      </c>
      <c r="B4258" s="3563" t="s">
        <v>4811</v>
      </c>
      <c r="C4258" s="3563" t="s">
        <v>4197</v>
      </c>
      <c r="D4258" s="3563" t="s">
        <v>6429</v>
      </c>
      <c r="E4258" s="3563" t="s">
        <v>6344</v>
      </c>
      <c r="F4258" s="3563" t="s">
        <v>4797</v>
      </c>
      <c r="G4258" s="3564">
        <v>101.47</v>
      </c>
      <c r="H4258" s="3564">
        <v>81.739999999999995</v>
      </c>
      <c r="I4258" s="3564">
        <v>19.73</v>
      </c>
      <c r="J4258" s="3565">
        <v>1078982</v>
      </c>
      <c r="K4258" s="3565">
        <v>10633.51</v>
      </c>
      <c r="L4258" s="3565">
        <v>13200.17</v>
      </c>
      <c r="M4258" s="3565">
        <v>1014244</v>
      </c>
      <c r="N4258" s="3565">
        <v>9995.51</v>
      </c>
      <c r="O4258" s="3566">
        <v>44192</v>
      </c>
    </row>
    <row r="4259" spans="1:15">
      <c r="A4259" s="3563" t="s">
        <v>8481</v>
      </c>
      <c r="B4259" s="3563" t="s">
        <v>4811</v>
      </c>
      <c r="C4259" s="3563" t="s">
        <v>4197</v>
      </c>
      <c r="D4259" s="3563" t="s">
        <v>6429</v>
      </c>
      <c r="E4259" s="3563" t="s">
        <v>6344</v>
      </c>
      <c r="F4259" s="3563" t="s">
        <v>4797</v>
      </c>
      <c r="G4259" s="3564">
        <v>90.34</v>
      </c>
      <c r="H4259" s="3564">
        <v>72.78</v>
      </c>
      <c r="I4259" s="3564">
        <v>17.559999999999999</v>
      </c>
      <c r="J4259" s="3565">
        <v>879903</v>
      </c>
      <c r="K4259" s="3565">
        <v>9739.9</v>
      </c>
      <c r="L4259" s="3565">
        <v>12089.9</v>
      </c>
      <c r="M4259" s="3565">
        <v>844707</v>
      </c>
      <c r="N4259" s="3565">
        <v>9350.31</v>
      </c>
      <c r="O4259" s="3566">
        <v>44192</v>
      </c>
    </row>
    <row r="4260" spans="1:15">
      <c r="A4260" s="3563" t="s">
        <v>8482</v>
      </c>
      <c r="B4260" s="3563" t="s">
        <v>4811</v>
      </c>
      <c r="C4260" s="3563" t="s">
        <v>4197</v>
      </c>
      <c r="D4260" s="3563" t="s">
        <v>6429</v>
      </c>
      <c r="E4260" s="3563" t="s">
        <v>6344</v>
      </c>
      <c r="F4260" s="3563" t="s">
        <v>4797</v>
      </c>
      <c r="G4260" s="3564">
        <v>78.239999999999995</v>
      </c>
      <c r="H4260" s="3564">
        <v>63.03</v>
      </c>
      <c r="I4260" s="3564">
        <v>15.21</v>
      </c>
      <c r="J4260" s="3565">
        <v>769541</v>
      </c>
      <c r="K4260" s="3565">
        <v>9835.65</v>
      </c>
      <c r="L4260" s="3565">
        <v>12209.12</v>
      </c>
      <c r="M4260" s="3565">
        <v>731064</v>
      </c>
      <c r="N4260" s="3565">
        <v>9343.8700000000008</v>
      </c>
      <c r="O4260" s="3566">
        <v>44192</v>
      </c>
    </row>
    <row r="4261" spans="1:15">
      <c r="A4261" s="3563" t="s">
        <v>8483</v>
      </c>
      <c r="B4261" s="3563" t="s">
        <v>3453</v>
      </c>
      <c r="C4261" s="3563" t="s">
        <v>4197</v>
      </c>
      <c r="D4261" s="3563" t="s">
        <v>6429</v>
      </c>
      <c r="E4261" s="3563" t="s">
        <v>6344</v>
      </c>
      <c r="F4261" s="3563" t="s">
        <v>4797</v>
      </c>
      <c r="G4261" s="3564">
        <v>78.239999999999995</v>
      </c>
      <c r="H4261" s="3564">
        <v>63.03</v>
      </c>
      <c r="I4261" s="3564">
        <v>15.21</v>
      </c>
      <c r="J4261" s="3565">
        <v>769541</v>
      </c>
      <c r="K4261" s="3565">
        <v>9835.65</v>
      </c>
      <c r="L4261" s="3565">
        <v>12209.12</v>
      </c>
      <c r="M4261" s="3565">
        <v>0</v>
      </c>
      <c r="N4261" s="3565">
        <v>0</v>
      </c>
      <c r="O4261" s="3563" t="s">
        <v>3453</v>
      </c>
    </row>
    <row r="4262" spans="1:15">
      <c r="A4262" s="3563" t="s">
        <v>8484</v>
      </c>
      <c r="B4262" s="3563" t="s">
        <v>4811</v>
      </c>
      <c r="C4262" s="3563" t="s">
        <v>4197</v>
      </c>
      <c r="D4262" s="3563" t="s">
        <v>6429</v>
      </c>
      <c r="E4262" s="3563" t="s">
        <v>6344</v>
      </c>
      <c r="F4262" s="3563" t="s">
        <v>4797</v>
      </c>
      <c r="G4262" s="3564">
        <v>109.78</v>
      </c>
      <c r="H4262" s="3564">
        <v>88.44</v>
      </c>
      <c r="I4262" s="3564">
        <v>21.34</v>
      </c>
      <c r="J4262" s="3565">
        <v>1097275</v>
      </c>
      <c r="K4262" s="3565">
        <v>9995.2199999999993</v>
      </c>
      <c r="L4262" s="3565">
        <v>12407</v>
      </c>
      <c r="M4262" s="3565">
        <v>1042412</v>
      </c>
      <c r="N4262" s="3565">
        <v>9495.4599999999991</v>
      </c>
      <c r="O4262" s="3566">
        <v>44192</v>
      </c>
    </row>
    <row r="4263" spans="1:15">
      <c r="A4263" s="3563" t="s">
        <v>8485</v>
      </c>
      <c r="B4263" s="3563" t="s">
        <v>4196</v>
      </c>
      <c r="C4263" s="3563" t="s">
        <v>4197</v>
      </c>
      <c r="D4263" s="3563" t="s">
        <v>6429</v>
      </c>
      <c r="E4263" s="3563" t="s">
        <v>6369</v>
      </c>
      <c r="F4263" s="3563" t="s">
        <v>4797</v>
      </c>
      <c r="G4263" s="3564">
        <v>98.22</v>
      </c>
      <c r="H4263" s="3564">
        <v>81.739999999999995</v>
      </c>
      <c r="I4263" s="3564">
        <v>16.48</v>
      </c>
      <c r="J4263" s="3565">
        <v>990759</v>
      </c>
      <c r="K4263" s="3565">
        <v>10087.14</v>
      </c>
      <c r="L4263" s="3565">
        <v>12120.86</v>
      </c>
      <c r="M4263" s="3565">
        <v>0</v>
      </c>
      <c r="N4263" s="3565">
        <v>0</v>
      </c>
      <c r="O4263" s="3563" t="s">
        <v>3453</v>
      </c>
    </row>
    <row r="4264" spans="1:15">
      <c r="A4264" s="3563" t="s">
        <v>8486</v>
      </c>
      <c r="B4264" s="3563" t="s">
        <v>4196</v>
      </c>
      <c r="C4264" s="3563" t="s">
        <v>4197</v>
      </c>
      <c r="D4264" s="3563" t="s">
        <v>6429</v>
      </c>
      <c r="E4264" s="3563" t="s">
        <v>6369</v>
      </c>
      <c r="F4264" s="3563" t="s">
        <v>4797</v>
      </c>
      <c r="G4264" s="3564">
        <v>98.22</v>
      </c>
      <c r="H4264" s="3564">
        <v>81.739999999999995</v>
      </c>
      <c r="I4264" s="3564">
        <v>16.48</v>
      </c>
      <c r="J4264" s="3565">
        <v>990759</v>
      </c>
      <c r="K4264" s="3565">
        <v>10087.14</v>
      </c>
      <c r="L4264" s="3565">
        <v>12120.86</v>
      </c>
      <c r="M4264" s="3565">
        <v>0</v>
      </c>
      <c r="N4264" s="3565">
        <v>0</v>
      </c>
      <c r="O4264" s="3563" t="s">
        <v>3453</v>
      </c>
    </row>
    <row r="4265" spans="1:15">
      <c r="A4265" s="3563" t="s">
        <v>8487</v>
      </c>
      <c r="B4265" s="3563" t="s">
        <v>4196</v>
      </c>
      <c r="C4265" s="3563" t="s">
        <v>4197</v>
      </c>
      <c r="D4265" s="3563" t="s">
        <v>6429</v>
      </c>
      <c r="E4265" s="3563" t="s">
        <v>6369</v>
      </c>
      <c r="F4265" s="3563" t="s">
        <v>4797</v>
      </c>
      <c r="G4265" s="3564">
        <v>87.45</v>
      </c>
      <c r="H4265" s="3564">
        <v>72.78</v>
      </c>
      <c r="I4265" s="3564">
        <v>14.67</v>
      </c>
      <c r="J4265" s="3565">
        <v>843047</v>
      </c>
      <c r="K4265" s="3565">
        <v>9640.33</v>
      </c>
      <c r="L4265" s="3565">
        <v>11583.5</v>
      </c>
      <c r="M4265" s="3565">
        <v>0</v>
      </c>
      <c r="N4265" s="3565">
        <v>0</v>
      </c>
      <c r="O4265" s="3563" t="s">
        <v>3453</v>
      </c>
    </row>
    <row r="4266" spans="1:15">
      <c r="A4266" s="3563" t="s">
        <v>8488</v>
      </c>
      <c r="B4266" s="3563" t="s">
        <v>4196</v>
      </c>
      <c r="C4266" s="3563" t="s">
        <v>4197</v>
      </c>
      <c r="D4266" s="3563" t="s">
        <v>6429</v>
      </c>
      <c r="E4266" s="3563" t="s">
        <v>6369</v>
      </c>
      <c r="F4266" s="3563" t="s">
        <v>4797</v>
      </c>
      <c r="G4266" s="3564">
        <v>73.209999999999994</v>
      </c>
      <c r="H4266" s="3564">
        <v>63.03</v>
      </c>
      <c r="I4266" s="3564">
        <v>10.18</v>
      </c>
      <c r="J4266" s="3565">
        <v>705768</v>
      </c>
      <c r="K4266" s="3565">
        <v>9640.32</v>
      </c>
      <c r="L4266" s="3565">
        <v>11197.33</v>
      </c>
      <c r="M4266" s="3565">
        <v>0</v>
      </c>
      <c r="N4266" s="3565">
        <v>0</v>
      </c>
      <c r="O4266" s="3563" t="s">
        <v>3453</v>
      </c>
    </row>
    <row r="4267" spans="1:15">
      <c r="A4267" s="3563" t="s">
        <v>8489</v>
      </c>
      <c r="B4267" s="3563" t="s">
        <v>4196</v>
      </c>
      <c r="C4267" s="3563" t="s">
        <v>4197</v>
      </c>
      <c r="D4267" s="3563" t="s">
        <v>6429</v>
      </c>
      <c r="E4267" s="3563" t="s">
        <v>6369</v>
      </c>
      <c r="F4267" s="3563" t="s">
        <v>4797</v>
      </c>
      <c r="G4267" s="3564">
        <v>73.209999999999994</v>
      </c>
      <c r="H4267" s="3564">
        <v>63.03</v>
      </c>
      <c r="I4267" s="3564">
        <v>10.18</v>
      </c>
      <c r="J4267" s="3565">
        <v>705768</v>
      </c>
      <c r="K4267" s="3565">
        <v>9640.32</v>
      </c>
      <c r="L4267" s="3565">
        <v>11197.33</v>
      </c>
      <c r="M4267" s="3565">
        <v>0</v>
      </c>
      <c r="N4267" s="3565">
        <v>0</v>
      </c>
      <c r="O4267" s="3563" t="s">
        <v>3453</v>
      </c>
    </row>
    <row r="4268" spans="1:15">
      <c r="A4268" s="3563" t="s">
        <v>8490</v>
      </c>
      <c r="B4268" s="3563" t="s">
        <v>4196</v>
      </c>
      <c r="C4268" s="3563" t="s">
        <v>4197</v>
      </c>
      <c r="D4268" s="3563" t="s">
        <v>6429</v>
      </c>
      <c r="E4268" s="3563" t="s">
        <v>6369</v>
      </c>
      <c r="F4268" s="3563" t="s">
        <v>4797</v>
      </c>
      <c r="G4268" s="3564">
        <v>101.39</v>
      </c>
      <c r="H4268" s="3564">
        <v>81.739999999999995</v>
      </c>
      <c r="I4268" s="3564">
        <v>19.649999999999999</v>
      </c>
      <c r="J4268" s="3565">
        <v>1079901</v>
      </c>
      <c r="K4268" s="3565">
        <v>10650.96</v>
      </c>
      <c r="L4268" s="3565">
        <v>13211.41</v>
      </c>
      <c r="M4268" s="3565">
        <v>0</v>
      </c>
      <c r="N4268" s="3565">
        <v>0</v>
      </c>
      <c r="O4268" s="3563" t="s">
        <v>3453</v>
      </c>
    </row>
    <row r="4269" spans="1:15">
      <c r="A4269" s="3563" t="s">
        <v>8491</v>
      </c>
      <c r="B4269" s="3563" t="s">
        <v>4196</v>
      </c>
      <c r="C4269" s="3563" t="s">
        <v>4197</v>
      </c>
      <c r="D4269" s="3563" t="s">
        <v>6429</v>
      </c>
      <c r="E4269" s="3563" t="s">
        <v>6369</v>
      </c>
      <c r="F4269" s="3563" t="s">
        <v>4797</v>
      </c>
      <c r="G4269" s="3564">
        <v>101.39</v>
      </c>
      <c r="H4269" s="3564">
        <v>81.739999999999995</v>
      </c>
      <c r="I4269" s="3564">
        <v>19.649999999999999</v>
      </c>
      <c r="J4269" s="3565">
        <v>1079901</v>
      </c>
      <c r="K4269" s="3565">
        <v>10650.96</v>
      </c>
      <c r="L4269" s="3565">
        <v>13211.41</v>
      </c>
      <c r="M4269" s="3565">
        <v>0</v>
      </c>
      <c r="N4269" s="3565">
        <v>0</v>
      </c>
      <c r="O4269" s="3563" t="s">
        <v>3453</v>
      </c>
    </row>
    <row r="4270" spans="1:15">
      <c r="A4270" s="3563" t="s">
        <v>8492</v>
      </c>
      <c r="B4270" s="3563" t="s">
        <v>4196</v>
      </c>
      <c r="C4270" s="3563" t="s">
        <v>4197</v>
      </c>
      <c r="D4270" s="3563" t="s">
        <v>6429</v>
      </c>
      <c r="E4270" s="3563" t="s">
        <v>6369</v>
      </c>
      <c r="F4270" s="3563" t="s">
        <v>4797</v>
      </c>
      <c r="G4270" s="3564">
        <v>90.28</v>
      </c>
      <c r="H4270" s="3564">
        <v>72.78</v>
      </c>
      <c r="I4270" s="3564">
        <v>17.5</v>
      </c>
      <c r="J4270" s="3565">
        <v>899141</v>
      </c>
      <c r="K4270" s="3565">
        <v>9959.4699999999993</v>
      </c>
      <c r="L4270" s="3565">
        <v>12354.23</v>
      </c>
      <c r="M4270" s="3565">
        <v>0</v>
      </c>
      <c r="N4270" s="3565">
        <v>0</v>
      </c>
      <c r="O4270" s="3563" t="s">
        <v>3453</v>
      </c>
    </row>
    <row r="4271" spans="1:15">
      <c r="A4271" s="3563" t="s">
        <v>8493</v>
      </c>
      <c r="B4271" s="3563" t="s">
        <v>4196</v>
      </c>
      <c r="C4271" s="3563" t="s">
        <v>4197</v>
      </c>
      <c r="D4271" s="3563" t="s">
        <v>6429</v>
      </c>
      <c r="E4271" s="3563" t="s">
        <v>6369</v>
      </c>
      <c r="F4271" s="3563" t="s">
        <v>4797</v>
      </c>
      <c r="G4271" s="3564">
        <v>78.180000000000007</v>
      </c>
      <c r="H4271" s="3564">
        <v>63.03</v>
      </c>
      <c r="I4271" s="3564">
        <v>15.15</v>
      </c>
      <c r="J4271" s="3565">
        <v>770315</v>
      </c>
      <c r="K4271" s="3565">
        <v>9853.1</v>
      </c>
      <c r="L4271" s="3565">
        <v>12221.4</v>
      </c>
      <c r="M4271" s="3565">
        <v>0</v>
      </c>
      <c r="N4271" s="3565">
        <v>0</v>
      </c>
      <c r="O4271" s="3563" t="s">
        <v>3453</v>
      </c>
    </row>
    <row r="4272" spans="1:15">
      <c r="A4272" s="3563" t="s">
        <v>8494</v>
      </c>
      <c r="B4272" s="3563" t="s">
        <v>4196</v>
      </c>
      <c r="C4272" s="3563" t="s">
        <v>4197</v>
      </c>
      <c r="D4272" s="3563" t="s">
        <v>6429</v>
      </c>
      <c r="E4272" s="3563" t="s">
        <v>6369</v>
      </c>
      <c r="F4272" s="3563" t="s">
        <v>4797</v>
      </c>
      <c r="G4272" s="3564">
        <v>78.180000000000007</v>
      </c>
      <c r="H4272" s="3564">
        <v>63.03</v>
      </c>
      <c r="I4272" s="3564">
        <v>15.15</v>
      </c>
      <c r="J4272" s="3565">
        <v>770315</v>
      </c>
      <c r="K4272" s="3565">
        <v>9853.1</v>
      </c>
      <c r="L4272" s="3565">
        <v>12221.4</v>
      </c>
      <c r="M4272" s="3565">
        <v>0</v>
      </c>
      <c r="N4272" s="3565">
        <v>0</v>
      </c>
      <c r="O4272" s="3563" t="s">
        <v>3453</v>
      </c>
    </row>
    <row r="4273" spans="1:15">
      <c r="A4273" s="3563" t="s">
        <v>8495</v>
      </c>
      <c r="B4273" s="3563" t="s">
        <v>4196</v>
      </c>
      <c r="C4273" s="3563" t="s">
        <v>4197</v>
      </c>
      <c r="D4273" s="3563" t="s">
        <v>6429</v>
      </c>
      <c r="E4273" s="3563" t="s">
        <v>6369</v>
      </c>
      <c r="F4273" s="3563" t="s">
        <v>4797</v>
      </c>
      <c r="G4273" s="3564">
        <v>109.7</v>
      </c>
      <c r="H4273" s="3564">
        <v>88.44</v>
      </c>
      <c r="I4273" s="3564">
        <v>21.26</v>
      </c>
      <c r="J4273" s="3565">
        <v>1156740</v>
      </c>
      <c r="K4273" s="3565">
        <v>10544.58</v>
      </c>
      <c r="L4273" s="3565">
        <v>13079.38</v>
      </c>
      <c r="M4273" s="3565">
        <v>0</v>
      </c>
      <c r="N4273" s="3565">
        <v>0</v>
      </c>
      <c r="O4273" s="3563" t="s">
        <v>3453</v>
      </c>
    </row>
    <row r="4274" spans="1:15">
      <c r="A4274" s="3563" t="s">
        <v>8496</v>
      </c>
      <c r="B4274" s="3563" t="s">
        <v>4196</v>
      </c>
      <c r="C4274" s="3563" t="s">
        <v>4197</v>
      </c>
      <c r="D4274" s="3563" t="s">
        <v>6429</v>
      </c>
      <c r="E4274" s="3563" t="s">
        <v>6369</v>
      </c>
      <c r="F4274" s="3563" t="s">
        <v>4797</v>
      </c>
      <c r="G4274" s="3564">
        <v>101.39</v>
      </c>
      <c r="H4274" s="3564">
        <v>81.739999999999995</v>
      </c>
      <c r="I4274" s="3564">
        <v>19.649999999999999</v>
      </c>
      <c r="J4274" s="3565">
        <v>1080980</v>
      </c>
      <c r="K4274" s="3565">
        <v>10661.6</v>
      </c>
      <c r="L4274" s="3565">
        <v>13224.61</v>
      </c>
      <c r="M4274" s="3565">
        <v>0</v>
      </c>
      <c r="N4274" s="3565">
        <v>0</v>
      </c>
      <c r="O4274" s="3563" t="s">
        <v>3453</v>
      </c>
    </row>
    <row r="4275" spans="1:15">
      <c r="A4275" s="3563" t="s">
        <v>8497</v>
      </c>
      <c r="B4275" s="3563" t="s">
        <v>4196</v>
      </c>
      <c r="C4275" s="3563" t="s">
        <v>4197</v>
      </c>
      <c r="D4275" s="3563" t="s">
        <v>6429</v>
      </c>
      <c r="E4275" s="3563" t="s">
        <v>6369</v>
      </c>
      <c r="F4275" s="3563" t="s">
        <v>4797</v>
      </c>
      <c r="G4275" s="3564">
        <v>101.39</v>
      </c>
      <c r="H4275" s="3564">
        <v>81.739999999999995</v>
      </c>
      <c r="I4275" s="3564">
        <v>19.649999999999999</v>
      </c>
      <c r="J4275" s="3565">
        <v>1080980</v>
      </c>
      <c r="K4275" s="3565">
        <v>10661.6</v>
      </c>
      <c r="L4275" s="3565">
        <v>13224.61</v>
      </c>
      <c r="M4275" s="3565">
        <v>0</v>
      </c>
      <c r="N4275" s="3565">
        <v>0</v>
      </c>
      <c r="O4275" s="3563" t="s">
        <v>3453</v>
      </c>
    </row>
    <row r="4276" spans="1:15">
      <c r="A4276" s="3563" t="s">
        <v>8498</v>
      </c>
      <c r="B4276" s="3563" t="s">
        <v>4196</v>
      </c>
      <c r="C4276" s="3563" t="s">
        <v>4197</v>
      </c>
      <c r="D4276" s="3563" t="s">
        <v>6429</v>
      </c>
      <c r="E4276" s="3563" t="s">
        <v>6369</v>
      </c>
      <c r="F4276" s="3563" t="s">
        <v>4797</v>
      </c>
      <c r="G4276" s="3564">
        <v>90.28</v>
      </c>
      <c r="H4276" s="3564">
        <v>72.78</v>
      </c>
      <c r="I4276" s="3564">
        <v>17.5</v>
      </c>
      <c r="J4276" s="3565">
        <v>900102</v>
      </c>
      <c r="K4276" s="3565">
        <v>9970.1200000000008</v>
      </c>
      <c r="L4276" s="3565">
        <v>12367.44</v>
      </c>
      <c r="M4276" s="3565">
        <v>0</v>
      </c>
      <c r="N4276" s="3565">
        <v>0</v>
      </c>
      <c r="O4276" s="3563" t="s">
        <v>3453</v>
      </c>
    </row>
    <row r="4277" spans="1:15">
      <c r="A4277" s="3563" t="s">
        <v>8499</v>
      </c>
      <c r="B4277" s="3563" t="s">
        <v>4196</v>
      </c>
      <c r="C4277" s="3563" t="s">
        <v>4197</v>
      </c>
      <c r="D4277" s="3563" t="s">
        <v>6429</v>
      </c>
      <c r="E4277" s="3563" t="s">
        <v>6369</v>
      </c>
      <c r="F4277" s="3563" t="s">
        <v>4797</v>
      </c>
      <c r="G4277" s="3564">
        <v>78.180000000000007</v>
      </c>
      <c r="H4277" s="3564">
        <v>63.03</v>
      </c>
      <c r="I4277" s="3564">
        <v>15.15</v>
      </c>
      <c r="J4277" s="3565">
        <v>771147</v>
      </c>
      <c r="K4277" s="3565">
        <v>9863.74</v>
      </c>
      <c r="L4277" s="3565">
        <v>12234.6</v>
      </c>
      <c r="M4277" s="3565">
        <v>0</v>
      </c>
      <c r="N4277" s="3565">
        <v>0</v>
      </c>
      <c r="O4277" s="3563" t="s">
        <v>3453</v>
      </c>
    </row>
    <row r="4278" spans="1:15">
      <c r="A4278" s="3563" t="s">
        <v>8500</v>
      </c>
      <c r="B4278" s="3563" t="s">
        <v>4196</v>
      </c>
      <c r="C4278" s="3563" t="s">
        <v>4197</v>
      </c>
      <c r="D4278" s="3563" t="s">
        <v>6429</v>
      </c>
      <c r="E4278" s="3563" t="s">
        <v>6369</v>
      </c>
      <c r="F4278" s="3563" t="s">
        <v>4797</v>
      </c>
      <c r="G4278" s="3564">
        <v>78.180000000000007</v>
      </c>
      <c r="H4278" s="3564">
        <v>63.03</v>
      </c>
      <c r="I4278" s="3564">
        <v>15.15</v>
      </c>
      <c r="J4278" s="3565">
        <v>771147</v>
      </c>
      <c r="K4278" s="3565">
        <v>9863.74</v>
      </c>
      <c r="L4278" s="3565">
        <v>12234.6</v>
      </c>
      <c r="M4278" s="3565">
        <v>0</v>
      </c>
      <c r="N4278" s="3565">
        <v>0</v>
      </c>
      <c r="O4278" s="3563" t="s">
        <v>3453</v>
      </c>
    </row>
    <row r="4279" spans="1:15">
      <c r="A4279" s="3563" t="s">
        <v>8501</v>
      </c>
      <c r="B4279" s="3563" t="s">
        <v>4196</v>
      </c>
      <c r="C4279" s="3563" t="s">
        <v>4197</v>
      </c>
      <c r="D4279" s="3563" t="s">
        <v>6429</v>
      </c>
      <c r="E4279" s="3563" t="s">
        <v>6369</v>
      </c>
      <c r="F4279" s="3563" t="s">
        <v>4797</v>
      </c>
      <c r="G4279" s="3564">
        <v>109.7</v>
      </c>
      <c r="H4279" s="3564">
        <v>88.44</v>
      </c>
      <c r="I4279" s="3564">
        <v>21.26</v>
      </c>
      <c r="J4279" s="3565">
        <v>1157907</v>
      </c>
      <c r="K4279" s="3565">
        <v>10555.21</v>
      </c>
      <c r="L4279" s="3565">
        <v>13092.57</v>
      </c>
      <c r="M4279" s="3565">
        <v>0</v>
      </c>
      <c r="N4279" s="3565">
        <v>0</v>
      </c>
      <c r="O4279" s="3563" t="s">
        <v>3453</v>
      </c>
    </row>
    <row r="4280" spans="1:15">
      <c r="A4280" s="3563" t="s">
        <v>8502</v>
      </c>
      <c r="B4280" s="3563" t="s">
        <v>4196</v>
      </c>
      <c r="C4280" s="3563" t="s">
        <v>4197</v>
      </c>
      <c r="D4280" s="3563" t="s">
        <v>6429</v>
      </c>
      <c r="E4280" s="3563" t="s">
        <v>6369</v>
      </c>
      <c r="F4280" s="3563" t="s">
        <v>4797</v>
      </c>
      <c r="G4280" s="3564">
        <v>101.39</v>
      </c>
      <c r="H4280" s="3564">
        <v>81.739999999999995</v>
      </c>
      <c r="I4280" s="3564">
        <v>19.649999999999999</v>
      </c>
      <c r="J4280" s="3565">
        <v>1082059</v>
      </c>
      <c r="K4280" s="3565">
        <v>10672.25</v>
      </c>
      <c r="L4280" s="3565">
        <v>13237.82</v>
      </c>
      <c r="M4280" s="3565">
        <v>0</v>
      </c>
      <c r="N4280" s="3565">
        <v>0</v>
      </c>
      <c r="O4280" s="3563" t="s">
        <v>3453</v>
      </c>
    </row>
    <row r="4281" spans="1:15">
      <c r="A4281" s="3563" t="s">
        <v>8503</v>
      </c>
      <c r="B4281" s="3563" t="s">
        <v>4196</v>
      </c>
      <c r="C4281" s="3563" t="s">
        <v>4197</v>
      </c>
      <c r="D4281" s="3563" t="s">
        <v>6429</v>
      </c>
      <c r="E4281" s="3563" t="s">
        <v>6369</v>
      </c>
      <c r="F4281" s="3563" t="s">
        <v>4797</v>
      </c>
      <c r="G4281" s="3564">
        <v>101.39</v>
      </c>
      <c r="H4281" s="3564">
        <v>81.739999999999995</v>
      </c>
      <c r="I4281" s="3564">
        <v>19.649999999999999</v>
      </c>
      <c r="J4281" s="3565">
        <v>1082059</v>
      </c>
      <c r="K4281" s="3565">
        <v>10672.25</v>
      </c>
      <c r="L4281" s="3565">
        <v>13237.82</v>
      </c>
      <c r="M4281" s="3565">
        <v>0</v>
      </c>
      <c r="N4281" s="3565">
        <v>0</v>
      </c>
      <c r="O4281" s="3563" t="s">
        <v>3453</v>
      </c>
    </row>
    <row r="4282" spans="1:15">
      <c r="A4282" s="3563" t="s">
        <v>8504</v>
      </c>
      <c r="B4282" s="3563" t="s">
        <v>4196</v>
      </c>
      <c r="C4282" s="3563" t="s">
        <v>4197</v>
      </c>
      <c r="D4282" s="3563" t="s">
        <v>6429</v>
      </c>
      <c r="E4282" s="3563" t="s">
        <v>6369</v>
      </c>
      <c r="F4282" s="3563" t="s">
        <v>4797</v>
      </c>
      <c r="G4282" s="3564">
        <v>90.28</v>
      </c>
      <c r="H4282" s="3564">
        <v>72.78</v>
      </c>
      <c r="I4282" s="3564">
        <v>17.5</v>
      </c>
      <c r="J4282" s="3565">
        <v>901062</v>
      </c>
      <c r="K4282" s="3565">
        <v>9980.75</v>
      </c>
      <c r="L4282" s="3565">
        <v>12380.63</v>
      </c>
      <c r="M4282" s="3565">
        <v>0</v>
      </c>
      <c r="N4282" s="3565">
        <v>0</v>
      </c>
      <c r="O4282" s="3563" t="s">
        <v>3453</v>
      </c>
    </row>
    <row r="4283" spans="1:15">
      <c r="A4283" s="3563" t="s">
        <v>8505</v>
      </c>
      <c r="B4283" s="3563" t="s">
        <v>4196</v>
      </c>
      <c r="C4283" s="3563" t="s">
        <v>4197</v>
      </c>
      <c r="D4283" s="3563" t="s">
        <v>6429</v>
      </c>
      <c r="E4283" s="3563" t="s">
        <v>6369</v>
      </c>
      <c r="F4283" s="3563" t="s">
        <v>4797</v>
      </c>
      <c r="G4283" s="3564">
        <v>78.180000000000007</v>
      </c>
      <c r="H4283" s="3564">
        <v>63.03</v>
      </c>
      <c r="I4283" s="3564">
        <v>15.15</v>
      </c>
      <c r="J4283" s="3565">
        <v>771978</v>
      </c>
      <c r="K4283" s="3565">
        <v>9874.3700000000008</v>
      </c>
      <c r="L4283" s="3565">
        <v>12247.79</v>
      </c>
      <c r="M4283" s="3565">
        <v>0</v>
      </c>
      <c r="N4283" s="3565">
        <v>0</v>
      </c>
      <c r="O4283" s="3563" t="s">
        <v>3453</v>
      </c>
    </row>
    <row r="4284" spans="1:15">
      <c r="A4284" s="3563" t="s">
        <v>8506</v>
      </c>
      <c r="B4284" s="3563" t="s">
        <v>4196</v>
      </c>
      <c r="C4284" s="3563" t="s">
        <v>4197</v>
      </c>
      <c r="D4284" s="3563" t="s">
        <v>6429</v>
      </c>
      <c r="E4284" s="3563" t="s">
        <v>6369</v>
      </c>
      <c r="F4284" s="3563" t="s">
        <v>4797</v>
      </c>
      <c r="G4284" s="3564">
        <v>78.180000000000007</v>
      </c>
      <c r="H4284" s="3564">
        <v>63.03</v>
      </c>
      <c r="I4284" s="3564">
        <v>15.15</v>
      </c>
      <c r="J4284" s="3565">
        <v>771978</v>
      </c>
      <c r="K4284" s="3565">
        <v>9874.3700000000008</v>
      </c>
      <c r="L4284" s="3565">
        <v>12247.79</v>
      </c>
      <c r="M4284" s="3565">
        <v>0</v>
      </c>
      <c r="N4284" s="3565">
        <v>0</v>
      </c>
      <c r="O4284" s="3563" t="s">
        <v>3453</v>
      </c>
    </row>
    <row r="4285" spans="1:15">
      <c r="A4285" s="3563" t="s">
        <v>8507</v>
      </c>
      <c r="B4285" s="3563" t="s">
        <v>4196</v>
      </c>
      <c r="C4285" s="3563" t="s">
        <v>4197</v>
      </c>
      <c r="D4285" s="3563" t="s">
        <v>6429</v>
      </c>
      <c r="E4285" s="3563" t="s">
        <v>6369</v>
      </c>
      <c r="F4285" s="3563" t="s">
        <v>4797</v>
      </c>
      <c r="G4285" s="3564">
        <v>109.7</v>
      </c>
      <c r="H4285" s="3564">
        <v>88.44</v>
      </c>
      <c r="I4285" s="3564">
        <v>21.26</v>
      </c>
      <c r="J4285" s="3565">
        <v>1159074</v>
      </c>
      <c r="K4285" s="3565">
        <v>10565.85</v>
      </c>
      <c r="L4285" s="3565">
        <v>13105.77</v>
      </c>
      <c r="M4285" s="3565">
        <v>0</v>
      </c>
      <c r="N4285" s="3565">
        <v>0</v>
      </c>
      <c r="O4285" s="3563" t="s">
        <v>3453</v>
      </c>
    </row>
    <row r="4286" spans="1:15">
      <c r="A4286" s="3563" t="s">
        <v>8508</v>
      </c>
      <c r="B4286" s="3563" t="s">
        <v>4196</v>
      </c>
      <c r="C4286" s="3563" t="s">
        <v>4197</v>
      </c>
      <c r="D4286" s="3563" t="s">
        <v>6429</v>
      </c>
      <c r="E4286" s="3563" t="s">
        <v>6369</v>
      </c>
      <c r="F4286" s="3563" t="s">
        <v>4797</v>
      </c>
      <c r="G4286" s="3564">
        <v>101.39</v>
      </c>
      <c r="H4286" s="3564">
        <v>81.739999999999995</v>
      </c>
      <c r="I4286" s="3564">
        <v>19.649999999999999</v>
      </c>
      <c r="J4286" s="3565">
        <v>1083137</v>
      </c>
      <c r="K4286" s="3565">
        <v>10682.88</v>
      </c>
      <c r="L4286" s="3565">
        <v>13251</v>
      </c>
      <c r="M4286" s="3565">
        <v>0</v>
      </c>
      <c r="N4286" s="3565">
        <v>0</v>
      </c>
      <c r="O4286" s="3563" t="s">
        <v>3453</v>
      </c>
    </row>
    <row r="4287" spans="1:15">
      <c r="A4287" s="3563" t="s">
        <v>8509</v>
      </c>
      <c r="B4287" s="3563" t="s">
        <v>4196</v>
      </c>
      <c r="C4287" s="3563" t="s">
        <v>4197</v>
      </c>
      <c r="D4287" s="3563" t="s">
        <v>6429</v>
      </c>
      <c r="E4287" s="3563" t="s">
        <v>6369</v>
      </c>
      <c r="F4287" s="3563" t="s">
        <v>4797</v>
      </c>
      <c r="G4287" s="3564">
        <v>101.39</v>
      </c>
      <c r="H4287" s="3564">
        <v>81.739999999999995</v>
      </c>
      <c r="I4287" s="3564">
        <v>19.649999999999999</v>
      </c>
      <c r="J4287" s="3565">
        <v>1083137</v>
      </c>
      <c r="K4287" s="3565">
        <v>10682.88</v>
      </c>
      <c r="L4287" s="3565">
        <v>13251</v>
      </c>
      <c r="M4287" s="3565">
        <v>0</v>
      </c>
      <c r="N4287" s="3565">
        <v>0</v>
      </c>
      <c r="O4287" s="3563" t="s">
        <v>3453</v>
      </c>
    </row>
    <row r="4288" spans="1:15">
      <c r="A4288" s="3563" t="s">
        <v>8510</v>
      </c>
      <c r="B4288" s="3563" t="s">
        <v>4196</v>
      </c>
      <c r="C4288" s="3563" t="s">
        <v>4197</v>
      </c>
      <c r="D4288" s="3563" t="s">
        <v>6429</v>
      </c>
      <c r="E4288" s="3563" t="s">
        <v>6369</v>
      </c>
      <c r="F4288" s="3563" t="s">
        <v>4797</v>
      </c>
      <c r="G4288" s="3564">
        <v>90.28</v>
      </c>
      <c r="H4288" s="3564">
        <v>72.78</v>
      </c>
      <c r="I4288" s="3564">
        <v>17.5</v>
      </c>
      <c r="J4288" s="3565">
        <v>902022</v>
      </c>
      <c r="K4288" s="3565">
        <v>9991.3799999999992</v>
      </c>
      <c r="L4288" s="3565">
        <v>12393.82</v>
      </c>
      <c r="M4288" s="3565">
        <v>0</v>
      </c>
      <c r="N4288" s="3565">
        <v>0</v>
      </c>
      <c r="O4288" s="3563" t="s">
        <v>3453</v>
      </c>
    </row>
    <row r="4289" spans="1:15">
      <c r="A4289" s="3563" t="s">
        <v>8511</v>
      </c>
      <c r="B4289" s="3563" t="s">
        <v>4196</v>
      </c>
      <c r="C4289" s="3563" t="s">
        <v>4197</v>
      </c>
      <c r="D4289" s="3563" t="s">
        <v>6429</v>
      </c>
      <c r="E4289" s="3563" t="s">
        <v>6369</v>
      </c>
      <c r="F4289" s="3563" t="s">
        <v>4797</v>
      </c>
      <c r="G4289" s="3564">
        <v>78.180000000000007</v>
      </c>
      <c r="H4289" s="3564">
        <v>63.03</v>
      </c>
      <c r="I4289" s="3564">
        <v>15.15</v>
      </c>
      <c r="J4289" s="3565">
        <v>772810</v>
      </c>
      <c r="K4289" s="3565">
        <v>9885.01</v>
      </c>
      <c r="L4289" s="3565">
        <v>12260.99</v>
      </c>
      <c r="M4289" s="3565">
        <v>0</v>
      </c>
      <c r="N4289" s="3565">
        <v>0</v>
      </c>
      <c r="O4289" s="3563" t="s">
        <v>3453</v>
      </c>
    </row>
    <row r="4290" spans="1:15">
      <c r="A4290" s="3563" t="s">
        <v>8512</v>
      </c>
      <c r="B4290" s="3563" t="s">
        <v>4196</v>
      </c>
      <c r="C4290" s="3563" t="s">
        <v>4197</v>
      </c>
      <c r="D4290" s="3563" t="s">
        <v>6429</v>
      </c>
      <c r="E4290" s="3563" t="s">
        <v>6369</v>
      </c>
      <c r="F4290" s="3563" t="s">
        <v>4797</v>
      </c>
      <c r="G4290" s="3564">
        <v>78.180000000000007</v>
      </c>
      <c r="H4290" s="3564">
        <v>63.03</v>
      </c>
      <c r="I4290" s="3564">
        <v>15.15</v>
      </c>
      <c r="J4290" s="3565">
        <v>772810</v>
      </c>
      <c r="K4290" s="3565">
        <v>9885.01</v>
      </c>
      <c r="L4290" s="3565">
        <v>12260.99</v>
      </c>
      <c r="M4290" s="3565">
        <v>0</v>
      </c>
      <c r="N4290" s="3565">
        <v>0</v>
      </c>
      <c r="O4290" s="3563" t="s">
        <v>3453</v>
      </c>
    </row>
    <row r="4291" spans="1:15">
      <c r="A4291" s="3563" t="s">
        <v>8513</v>
      </c>
      <c r="B4291" s="3563" t="s">
        <v>4196</v>
      </c>
      <c r="C4291" s="3563" t="s">
        <v>4197</v>
      </c>
      <c r="D4291" s="3563" t="s">
        <v>6429</v>
      </c>
      <c r="E4291" s="3563" t="s">
        <v>6369</v>
      </c>
      <c r="F4291" s="3563" t="s">
        <v>4797</v>
      </c>
      <c r="G4291" s="3564">
        <v>109.7</v>
      </c>
      <c r="H4291" s="3564">
        <v>88.44</v>
      </c>
      <c r="I4291" s="3564">
        <v>21.26</v>
      </c>
      <c r="J4291" s="3565">
        <v>1160241</v>
      </c>
      <c r="K4291" s="3565">
        <v>10576.49</v>
      </c>
      <c r="L4291" s="3565">
        <v>13118.96</v>
      </c>
      <c r="M4291" s="3565">
        <v>0</v>
      </c>
      <c r="N4291" s="3565">
        <v>0</v>
      </c>
      <c r="O4291" s="3563" t="s">
        <v>3453</v>
      </c>
    </row>
    <row r="4292" spans="1:15">
      <c r="A4292" s="3563" t="s">
        <v>8514</v>
      </c>
      <c r="B4292" s="3563" t="s">
        <v>4196</v>
      </c>
      <c r="C4292" s="3563" t="s">
        <v>4197</v>
      </c>
      <c r="D4292" s="3563" t="s">
        <v>6429</v>
      </c>
      <c r="E4292" s="3563" t="s">
        <v>6369</v>
      </c>
      <c r="F4292" s="3563" t="s">
        <v>4797</v>
      </c>
      <c r="G4292" s="3564">
        <v>101.39</v>
      </c>
      <c r="H4292" s="3564">
        <v>81.739999999999995</v>
      </c>
      <c r="I4292" s="3564">
        <v>19.649999999999999</v>
      </c>
      <c r="J4292" s="3565">
        <v>1073430</v>
      </c>
      <c r="K4292" s="3565">
        <v>10587.14</v>
      </c>
      <c r="L4292" s="3565">
        <v>13132.25</v>
      </c>
      <c r="M4292" s="3565">
        <v>0</v>
      </c>
      <c r="N4292" s="3565">
        <v>0</v>
      </c>
      <c r="O4292" s="3563" t="s">
        <v>3453</v>
      </c>
    </row>
    <row r="4293" spans="1:15">
      <c r="A4293" s="3563" t="s">
        <v>8515</v>
      </c>
      <c r="B4293" s="3563" t="s">
        <v>4196</v>
      </c>
      <c r="C4293" s="3563" t="s">
        <v>4197</v>
      </c>
      <c r="D4293" s="3563" t="s">
        <v>6429</v>
      </c>
      <c r="E4293" s="3563" t="s">
        <v>6369</v>
      </c>
      <c r="F4293" s="3563" t="s">
        <v>4797</v>
      </c>
      <c r="G4293" s="3564">
        <v>101.39</v>
      </c>
      <c r="H4293" s="3564">
        <v>81.739999999999995</v>
      </c>
      <c r="I4293" s="3564">
        <v>19.649999999999999</v>
      </c>
      <c r="J4293" s="3565">
        <v>1073430</v>
      </c>
      <c r="K4293" s="3565">
        <v>10587.14</v>
      </c>
      <c r="L4293" s="3565">
        <v>13132.25</v>
      </c>
      <c r="M4293" s="3565">
        <v>0</v>
      </c>
      <c r="N4293" s="3565">
        <v>0</v>
      </c>
      <c r="O4293" s="3563" t="s">
        <v>3453</v>
      </c>
    </row>
    <row r="4294" spans="1:15">
      <c r="A4294" s="3563" t="s">
        <v>8516</v>
      </c>
      <c r="B4294" s="3563" t="s">
        <v>4196</v>
      </c>
      <c r="C4294" s="3563" t="s">
        <v>4197</v>
      </c>
      <c r="D4294" s="3563" t="s">
        <v>6429</v>
      </c>
      <c r="E4294" s="3563" t="s">
        <v>6369</v>
      </c>
      <c r="F4294" s="3563" t="s">
        <v>4797</v>
      </c>
      <c r="G4294" s="3564">
        <v>90.28</v>
      </c>
      <c r="H4294" s="3564">
        <v>72.78</v>
      </c>
      <c r="I4294" s="3564">
        <v>17.5</v>
      </c>
      <c r="J4294" s="3565">
        <v>893379</v>
      </c>
      <c r="K4294" s="3565">
        <v>9895.65</v>
      </c>
      <c r="L4294" s="3565">
        <v>12275.06</v>
      </c>
      <c r="M4294" s="3565">
        <v>0</v>
      </c>
      <c r="N4294" s="3565">
        <v>0</v>
      </c>
      <c r="O4294" s="3563" t="s">
        <v>3453</v>
      </c>
    </row>
    <row r="4295" spans="1:15">
      <c r="A4295" s="3563" t="s">
        <v>8517</v>
      </c>
      <c r="B4295" s="3563" t="s">
        <v>4196</v>
      </c>
      <c r="C4295" s="3563" t="s">
        <v>4197</v>
      </c>
      <c r="D4295" s="3563" t="s">
        <v>6429</v>
      </c>
      <c r="E4295" s="3563" t="s">
        <v>6369</v>
      </c>
      <c r="F4295" s="3563" t="s">
        <v>4797</v>
      </c>
      <c r="G4295" s="3564">
        <v>78.180000000000007</v>
      </c>
      <c r="H4295" s="3564">
        <v>63.03</v>
      </c>
      <c r="I4295" s="3564">
        <v>15.15</v>
      </c>
      <c r="J4295" s="3565">
        <v>765324</v>
      </c>
      <c r="K4295" s="3565">
        <v>9789.26</v>
      </c>
      <c r="L4295" s="3565">
        <v>12142.22</v>
      </c>
      <c r="M4295" s="3565">
        <v>0</v>
      </c>
      <c r="N4295" s="3565">
        <v>0</v>
      </c>
      <c r="O4295" s="3563" t="s">
        <v>3453</v>
      </c>
    </row>
    <row r="4296" spans="1:15">
      <c r="A4296" s="3563" t="s">
        <v>8518</v>
      </c>
      <c r="B4296" s="3563" t="s">
        <v>4196</v>
      </c>
      <c r="C4296" s="3563" t="s">
        <v>4197</v>
      </c>
      <c r="D4296" s="3563" t="s">
        <v>6429</v>
      </c>
      <c r="E4296" s="3563" t="s">
        <v>6369</v>
      </c>
      <c r="F4296" s="3563" t="s">
        <v>4797</v>
      </c>
      <c r="G4296" s="3564">
        <v>78.180000000000007</v>
      </c>
      <c r="H4296" s="3564">
        <v>63.03</v>
      </c>
      <c r="I4296" s="3564">
        <v>15.15</v>
      </c>
      <c r="J4296" s="3565">
        <v>765324</v>
      </c>
      <c r="K4296" s="3565">
        <v>9789.26</v>
      </c>
      <c r="L4296" s="3565">
        <v>12142.22</v>
      </c>
      <c r="M4296" s="3565">
        <v>0</v>
      </c>
      <c r="N4296" s="3565">
        <v>0</v>
      </c>
      <c r="O4296" s="3563" t="s">
        <v>3453</v>
      </c>
    </row>
    <row r="4297" spans="1:15">
      <c r="A4297" s="3563" t="s">
        <v>8519</v>
      </c>
      <c r="B4297" s="3563" t="s">
        <v>4196</v>
      </c>
      <c r="C4297" s="3563" t="s">
        <v>4197</v>
      </c>
      <c r="D4297" s="3563" t="s">
        <v>6429</v>
      </c>
      <c r="E4297" s="3563" t="s">
        <v>6369</v>
      </c>
      <c r="F4297" s="3563" t="s">
        <v>4797</v>
      </c>
      <c r="G4297" s="3564">
        <v>109.7</v>
      </c>
      <c r="H4297" s="3564">
        <v>88.44</v>
      </c>
      <c r="I4297" s="3564">
        <v>21.26</v>
      </c>
      <c r="J4297" s="3565">
        <v>1149738</v>
      </c>
      <c r="K4297" s="3565">
        <v>10480.75</v>
      </c>
      <c r="L4297" s="3565">
        <v>13000.2</v>
      </c>
      <c r="M4297" s="3565">
        <v>0</v>
      </c>
      <c r="N4297" s="3565">
        <v>0</v>
      </c>
      <c r="O4297" s="3563" t="s">
        <v>3453</v>
      </c>
    </row>
    <row r="4298" spans="1:15">
      <c r="A4298" s="3563" t="s">
        <v>8520</v>
      </c>
      <c r="B4298" s="3563" t="s">
        <v>4196</v>
      </c>
      <c r="C4298" s="3563" t="s">
        <v>4197</v>
      </c>
      <c r="D4298" s="3563" t="s">
        <v>6429</v>
      </c>
      <c r="E4298" s="3563" t="s">
        <v>6369</v>
      </c>
      <c r="F4298" s="3563" t="s">
        <v>4797</v>
      </c>
      <c r="G4298" s="3564">
        <v>101.39</v>
      </c>
      <c r="H4298" s="3564">
        <v>81.739999999999995</v>
      </c>
      <c r="I4298" s="3564">
        <v>19.649999999999999</v>
      </c>
      <c r="J4298" s="3565">
        <v>1085295</v>
      </c>
      <c r="K4298" s="3565">
        <v>10704.16</v>
      </c>
      <c r="L4298" s="3565">
        <v>13277.4</v>
      </c>
      <c r="M4298" s="3565">
        <v>0</v>
      </c>
      <c r="N4298" s="3565">
        <v>0</v>
      </c>
      <c r="O4298" s="3563" t="s">
        <v>3453</v>
      </c>
    </row>
    <row r="4299" spans="1:15">
      <c r="A4299" s="3563" t="s">
        <v>8521</v>
      </c>
      <c r="B4299" s="3563" t="s">
        <v>4196</v>
      </c>
      <c r="C4299" s="3563" t="s">
        <v>4197</v>
      </c>
      <c r="D4299" s="3563" t="s">
        <v>6429</v>
      </c>
      <c r="E4299" s="3563" t="s">
        <v>6369</v>
      </c>
      <c r="F4299" s="3563" t="s">
        <v>4797</v>
      </c>
      <c r="G4299" s="3564">
        <v>101.39</v>
      </c>
      <c r="H4299" s="3564">
        <v>81.739999999999995</v>
      </c>
      <c r="I4299" s="3564">
        <v>19.649999999999999</v>
      </c>
      <c r="J4299" s="3565">
        <v>1085295</v>
      </c>
      <c r="K4299" s="3565">
        <v>10704.16</v>
      </c>
      <c r="L4299" s="3565">
        <v>13277.4</v>
      </c>
      <c r="M4299" s="3565">
        <v>0</v>
      </c>
      <c r="N4299" s="3565">
        <v>0</v>
      </c>
      <c r="O4299" s="3563" t="s">
        <v>3453</v>
      </c>
    </row>
    <row r="4300" spans="1:15">
      <c r="A4300" s="3563" t="s">
        <v>8522</v>
      </c>
      <c r="B4300" s="3563" t="s">
        <v>4196</v>
      </c>
      <c r="C4300" s="3563" t="s">
        <v>4197</v>
      </c>
      <c r="D4300" s="3563" t="s">
        <v>6429</v>
      </c>
      <c r="E4300" s="3563" t="s">
        <v>6369</v>
      </c>
      <c r="F4300" s="3563" t="s">
        <v>4797</v>
      </c>
      <c r="G4300" s="3564">
        <v>90.28</v>
      </c>
      <c r="H4300" s="3564">
        <v>72.78</v>
      </c>
      <c r="I4300" s="3564">
        <v>17.5</v>
      </c>
      <c r="J4300" s="3565">
        <v>903944</v>
      </c>
      <c r="K4300" s="3565">
        <v>10012.67</v>
      </c>
      <c r="L4300" s="3565">
        <v>12420.23</v>
      </c>
      <c r="M4300" s="3565">
        <v>0</v>
      </c>
      <c r="N4300" s="3565">
        <v>0</v>
      </c>
      <c r="O4300" s="3563" t="s">
        <v>3453</v>
      </c>
    </row>
    <row r="4301" spans="1:15">
      <c r="A4301" s="3563" t="s">
        <v>8523</v>
      </c>
      <c r="B4301" s="3563" t="s">
        <v>4196</v>
      </c>
      <c r="C4301" s="3563" t="s">
        <v>4197</v>
      </c>
      <c r="D4301" s="3563" t="s">
        <v>6429</v>
      </c>
      <c r="E4301" s="3563" t="s">
        <v>6369</v>
      </c>
      <c r="F4301" s="3563" t="s">
        <v>4797</v>
      </c>
      <c r="G4301" s="3564">
        <v>78.180000000000007</v>
      </c>
      <c r="H4301" s="3564">
        <v>63.03</v>
      </c>
      <c r="I4301" s="3564">
        <v>15.15</v>
      </c>
      <c r="J4301" s="3565">
        <v>774473</v>
      </c>
      <c r="K4301" s="3565">
        <v>9906.2800000000007</v>
      </c>
      <c r="L4301" s="3565">
        <v>12287.37</v>
      </c>
      <c r="M4301" s="3565">
        <v>0</v>
      </c>
      <c r="N4301" s="3565">
        <v>0</v>
      </c>
      <c r="O4301" s="3563" t="s">
        <v>3453</v>
      </c>
    </row>
    <row r="4302" spans="1:15">
      <c r="A4302" s="3563" t="s">
        <v>8524</v>
      </c>
      <c r="B4302" s="3563" t="s">
        <v>4196</v>
      </c>
      <c r="C4302" s="3563" t="s">
        <v>4197</v>
      </c>
      <c r="D4302" s="3563" t="s">
        <v>6429</v>
      </c>
      <c r="E4302" s="3563" t="s">
        <v>6369</v>
      </c>
      <c r="F4302" s="3563" t="s">
        <v>4797</v>
      </c>
      <c r="G4302" s="3564">
        <v>78.180000000000007</v>
      </c>
      <c r="H4302" s="3564">
        <v>63.03</v>
      </c>
      <c r="I4302" s="3564">
        <v>15.15</v>
      </c>
      <c r="J4302" s="3565">
        <v>774473</v>
      </c>
      <c r="K4302" s="3565">
        <v>9906.2800000000007</v>
      </c>
      <c r="L4302" s="3565">
        <v>12287.37</v>
      </c>
      <c r="M4302" s="3565">
        <v>0</v>
      </c>
      <c r="N4302" s="3565">
        <v>0</v>
      </c>
      <c r="O4302" s="3563" t="s">
        <v>3453</v>
      </c>
    </row>
    <row r="4303" spans="1:15">
      <c r="A4303" s="3563" t="s">
        <v>8525</v>
      </c>
      <c r="B4303" s="3563" t="s">
        <v>4196</v>
      </c>
      <c r="C4303" s="3563" t="s">
        <v>4197</v>
      </c>
      <c r="D4303" s="3563" t="s">
        <v>6429</v>
      </c>
      <c r="E4303" s="3563" t="s">
        <v>6369</v>
      </c>
      <c r="F4303" s="3563" t="s">
        <v>4797</v>
      </c>
      <c r="G4303" s="3564">
        <v>109.7</v>
      </c>
      <c r="H4303" s="3564">
        <v>88.44</v>
      </c>
      <c r="I4303" s="3564">
        <v>21.26</v>
      </c>
      <c r="J4303" s="3565">
        <v>1162576</v>
      </c>
      <c r="K4303" s="3565">
        <v>10597.78</v>
      </c>
      <c r="L4303" s="3565">
        <v>13145.36</v>
      </c>
      <c r="M4303" s="3565">
        <v>0</v>
      </c>
      <c r="N4303" s="3565">
        <v>0</v>
      </c>
      <c r="O4303" s="3563" t="s">
        <v>3453</v>
      </c>
    </row>
    <row r="4304" spans="1:15">
      <c r="A4304" s="3563" t="s">
        <v>8526</v>
      </c>
      <c r="B4304" s="3563" t="s">
        <v>4196</v>
      </c>
      <c r="C4304" s="3563" t="s">
        <v>4197</v>
      </c>
      <c r="D4304" s="3563" t="s">
        <v>6429</v>
      </c>
      <c r="E4304" s="3563" t="s">
        <v>6369</v>
      </c>
      <c r="F4304" s="3563" t="s">
        <v>4797</v>
      </c>
      <c r="G4304" s="3564">
        <v>101.39</v>
      </c>
      <c r="H4304" s="3564">
        <v>81.739999999999995</v>
      </c>
      <c r="I4304" s="3564">
        <v>19.649999999999999</v>
      </c>
      <c r="J4304" s="3565">
        <v>1084216</v>
      </c>
      <c r="K4304" s="3565">
        <v>10693.52</v>
      </c>
      <c r="L4304" s="3565">
        <v>13264.2</v>
      </c>
      <c r="M4304" s="3565">
        <v>0</v>
      </c>
      <c r="N4304" s="3565">
        <v>0</v>
      </c>
      <c r="O4304" s="3563" t="s">
        <v>3453</v>
      </c>
    </row>
    <row r="4305" spans="1:15">
      <c r="A4305" s="3563" t="s">
        <v>8527</v>
      </c>
      <c r="B4305" s="3563" t="s">
        <v>4196</v>
      </c>
      <c r="C4305" s="3563" t="s">
        <v>4197</v>
      </c>
      <c r="D4305" s="3563" t="s">
        <v>6429</v>
      </c>
      <c r="E4305" s="3563" t="s">
        <v>6369</v>
      </c>
      <c r="F4305" s="3563" t="s">
        <v>4797</v>
      </c>
      <c r="G4305" s="3564">
        <v>101.39</v>
      </c>
      <c r="H4305" s="3564">
        <v>81.739999999999995</v>
      </c>
      <c r="I4305" s="3564">
        <v>19.649999999999999</v>
      </c>
      <c r="J4305" s="3565">
        <v>1084216</v>
      </c>
      <c r="K4305" s="3565">
        <v>10693.52</v>
      </c>
      <c r="L4305" s="3565">
        <v>13264.2</v>
      </c>
      <c r="M4305" s="3565">
        <v>0</v>
      </c>
      <c r="N4305" s="3565">
        <v>0</v>
      </c>
      <c r="O4305" s="3563" t="s">
        <v>3453</v>
      </c>
    </row>
    <row r="4306" spans="1:15">
      <c r="A4306" s="3563" t="s">
        <v>8528</v>
      </c>
      <c r="B4306" s="3563" t="s">
        <v>4196</v>
      </c>
      <c r="C4306" s="3563" t="s">
        <v>4197</v>
      </c>
      <c r="D4306" s="3563" t="s">
        <v>6429</v>
      </c>
      <c r="E4306" s="3563" t="s">
        <v>6369</v>
      </c>
      <c r="F4306" s="3563" t="s">
        <v>4797</v>
      </c>
      <c r="G4306" s="3564">
        <v>90.28</v>
      </c>
      <c r="H4306" s="3564">
        <v>72.78</v>
      </c>
      <c r="I4306" s="3564">
        <v>17.5</v>
      </c>
      <c r="J4306" s="3565">
        <v>902983</v>
      </c>
      <c r="K4306" s="3565">
        <v>10002.030000000001</v>
      </c>
      <c r="L4306" s="3565">
        <v>12407.02</v>
      </c>
      <c r="M4306" s="3565">
        <v>0</v>
      </c>
      <c r="N4306" s="3565">
        <v>0</v>
      </c>
      <c r="O4306" s="3563" t="s">
        <v>3453</v>
      </c>
    </row>
    <row r="4307" spans="1:15">
      <c r="A4307" s="3563" t="s">
        <v>8529</v>
      </c>
      <c r="B4307" s="3563" t="s">
        <v>4196</v>
      </c>
      <c r="C4307" s="3563" t="s">
        <v>4197</v>
      </c>
      <c r="D4307" s="3563" t="s">
        <v>6429</v>
      </c>
      <c r="E4307" s="3563" t="s">
        <v>6369</v>
      </c>
      <c r="F4307" s="3563" t="s">
        <v>4797</v>
      </c>
      <c r="G4307" s="3564">
        <v>78.180000000000007</v>
      </c>
      <c r="H4307" s="3564">
        <v>63.03</v>
      </c>
      <c r="I4307" s="3564">
        <v>15.15</v>
      </c>
      <c r="J4307" s="3565">
        <v>773641</v>
      </c>
      <c r="K4307" s="3565">
        <v>9895.64</v>
      </c>
      <c r="L4307" s="3565">
        <v>12274.17</v>
      </c>
      <c r="M4307" s="3565">
        <v>0</v>
      </c>
      <c r="N4307" s="3565">
        <v>0</v>
      </c>
      <c r="O4307" s="3563" t="s">
        <v>3453</v>
      </c>
    </row>
    <row r="4308" spans="1:15">
      <c r="A4308" s="3563" t="s">
        <v>8530</v>
      </c>
      <c r="B4308" s="3563" t="s">
        <v>4196</v>
      </c>
      <c r="C4308" s="3563" t="s">
        <v>4197</v>
      </c>
      <c r="D4308" s="3563" t="s">
        <v>6429</v>
      </c>
      <c r="E4308" s="3563" t="s">
        <v>6369</v>
      </c>
      <c r="F4308" s="3563" t="s">
        <v>4797</v>
      </c>
      <c r="G4308" s="3564">
        <v>78.180000000000007</v>
      </c>
      <c r="H4308" s="3564">
        <v>63.03</v>
      </c>
      <c r="I4308" s="3564">
        <v>15.15</v>
      </c>
      <c r="J4308" s="3565">
        <v>773641</v>
      </c>
      <c r="K4308" s="3565">
        <v>9895.64</v>
      </c>
      <c r="L4308" s="3565">
        <v>12274.17</v>
      </c>
      <c r="M4308" s="3565">
        <v>0</v>
      </c>
      <c r="N4308" s="3565">
        <v>0</v>
      </c>
      <c r="O4308" s="3563" t="s">
        <v>3453</v>
      </c>
    </row>
    <row r="4309" spans="1:15">
      <c r="A4309" s="3563" t="s">
        <v>8531</v>
      </c>
      <c r="B4309" s="3563" t="s">
        <v>4196</v>
      </c>
      <c r="C4309" s="3563" t="s">
        <v>4197</v>
      </c>
      <c r="D4309" s="3563" t="s">
        <v>6429</v>
      </c>
      <c r="E4309" s="3563" t="s">
        <v>6369</v>
      </c>
      <c r="F4309" s="3563" t="s">
        <v>4797</v>
      </c>
      <c r="G4309" s="3564">
        <v>109.7</v>
      </c>
      <c r="H4309" s="3564">
        <v>88.44</v>
      </c>
      <c r="I4309" s="3564">
        <v>21.26</v>
      </c>
      <c r="J4309" s="3565">
        <v>1161409</v>
      </c>
      <c r="K4309" s="3565">
        <v>10587.14</v>
      </c>
      <c r="L4309" s="3565">
        <v>13132.17</v>
      </c>
      <c r="M4309" s="3565">
        <v>0</v>
      </c>
      <c r="N4309" s="3565">
        <v>0</v>
      </c>
      <c r="O4309" s="3563" t="s">
        <v>3453</v>
      </c>
    </row>
    <row r="4310" spans="1:15">
      <c r="A4310" s="3563" t="s">
        <v>8532</v>
      </c>
      <c r="B4310" s="3563" t="s">
        <v>4196</v>
      </c>
      <c r="C4310" s="3563" t="s">
        <v>4197</v>
      </c>
      <c r="D4310" s="3563" t="s">
        <v>6429</v>
      </c>
      <c r="E4310" s="3563" t="s">
        <v>6369</v>
      </c>
      <c r="F4310" s="3563" t="s">
        <v>4797</v>
      </c>
      <c r="G4310" s="3564">
        <v>101.39</v>
      </c>
      <c r="H4310" s="3564">
        <v>81.739999999999995</v>
      </c>
      <c r="I4310" s="3564">
        <v>19.649999999999999</v>
      </c>
      <c r="J4310" s="3565">
        <v>1083137</v>
      </c>
      <c r="K4310" s="3565">
        <v>10682.88</v>
      </c>
      <c r="L4310" s="3565">
        <v>13251</v>
      </c>
      <c r="M4310" s="3565">
        <v>0</v>
      </c>
      <c r="N4310" s="3565">
        <v>0</v>
      </c>
      <c r="O4310" s="3563" t="s">
        <v>3453</v>
      </c>
    </row>
    <row r="4311" spans="1:15">
      <c r="A4311" s="3563" t="s">
        <v>8533</v>
      </c>
      <c r="B4311" s="3563" t="s">
        <v>4196</v>
      </c>
      <c r="C4311" s="3563" t="s">
        <v>4197</v>
      </c>
      <c r="D4311" s="3563" t="s">
        <v>6429</v>
      </c>
      <c r="E4311" s="3563" t="s">
        <v>6369</v>
      </c>
      <c r="F4311" s="3563" t="s">
        <v>4797</v>
      </c>
      <c r="G4311" s="3564">
        <v>101.39</v>
      </c>
      <c r="H4311" s="3564">
        <v>81.739999999999995</v>
      </c>
      <c r="I4311" s="3564">
        <v>19.649999999999999</v>
      </c>
      <c r="J4311" s="3565">
        <v>1083137</v>
      </c>
      <c r="K4311" s="3565">
        <v>10682.88</v>
      </c>
      <c r="L4311" s="3565">
        <v>13251</v>
      </c>
      <c r="M4311" s="3565">
        <v>0</v>
      </c>
      <c r="N4311" s="3565">
        <v>0</v>
      </c>
      <c r="O4311" s="3563" t="s">
        <v>3453</v>
      </c>
    </row>
    <row r="4312" spans="1:15">
      <c r="A4312" s="3563" t="s">
        <v>8534</v>
      </c>
      <c r="B4312" s="3563" t="s">
        <v>4196</v>
      </c>
      <c r="C4312" s="3563" t="s">
        <v>4197</v>
      </c>
      <c r="D4312" s="3563" t="s">
        <v>6429</v>
      </c>
      <c r="E4312" s="3563" t="s">
        <v>6369</v>
      </c>
      <c r="F4312" s="3563" t="s">
        <v>4797</v>
      </c>
      <c r="G4312" s="3564">
        <v>90.28</v>
      </c>
      <c r="H4312" s="3564">
        <v>72.78</v>
      </c>
      <c r="I4312" s="3564">
        <v>17.5</v>
      </c>
      <c r="J4312" s="3565">
        <v>902022</v>
      </c>
      <c r="K4312" s="3565">
        <v>9991.3799999999992</v>
      </c>
      <c r="L4312" s="3565">
        <v>12393.82</v>
      </c>
      <c r="M4312" s="3565">
        <v>0</v>
      </c>
      <c r="N4312" s="3565">
        <v>0</v>
      </c>
      <c r="O4312" s="3563" t="s">
        <v>3453</v>
      </c>
    </row>
    <row r="4313" spans="1:15">
      <c r="A4313" s="3563" t="s">
        <v>8535</v>
      </c>
      <c r="B4313" s="3563" t="s">
        <v>4196</v>
      </c>
      <c r="C4313" s="3563" t="s">
        <v>4197</v>
      </c>
      <c r="D4313" s="3563" t="s">
        <v>6429</v>
      </c>
      <c r="E4313" s="3563" t="s">
        <v>6369</v>
      </c>
      <c r="F4313" s="3563" t="s">
        <v>4797</v>
      </c>
      <c r="G4313" s="3564">
        <v>78.180000000000007</v>
      </c>
      <c r="H4313" s="3564">
        <v>63.03</v>
      </c>
      <c r="I4313" s="3564">
        <v>15.15</v>
      </c>
      <c r="J4313" s="3565">
        <v>772810</v>
      </c>
      <c r="K4313" s="3565">
        <v>9885.01</v>
      </c>
      <c r="L4313" s="3565">
        <v>12260.99</v>
      </c>
      <c r="M4313" s="3565">
        <v>0</v>
      </c>
      <c r="N4313" s="3565">
        <v>0</v>
      </c>
      <c r="O4313" s="3563" t="s">
        <v>3453</v>
      </c>
    </row>
    <row r="4314" spans="1:15">
      <c r="A4314" s="3563" t="s">
        <v>8536</v>
      </c>
      <c r="B4314" s="3563" t="s">
        <v>4196</v>
      </c>
      <c r="C4314" s="3563" t="s">
        <v>4197</v>
      </c>
      <c r="D4314" s="3563" t="s">
        <v>6429</v>
      </c>
      <c r="E4314" s="3563" t="s">
        <v>6369</v>
      </c>
      <c r="F4314" s="3563" t="s">
        <v>4797</v>
      </c>
      <c r="G4314" s="3564">
        <v>78.180000000000007</v>
      </c>
      <c r="H4314" s="3564">
        <v>63.03</v>
      </c>
      <c r="I4314" s="3564">
        <v>15.15</v>
      </c>
      <c r="J4314" s="3565">
        <v>772810</v>
      </c>
      <c r="K4314" s="3565">
        <v>9885.01</v>
      </c>
      <c r="L4314" s="3565">
        <v>12260.99</v>
      </c>
      <c r="M4314" s="3565">
        <v>0</v>
      </c>
      <c r="N4314" s="3565">
        <v>0</v>
      </c>
      <c r="O4314" s="3563" t="s">
        <v>3453</v>
      </c>
    </row>
    <row r="4315" spans="1:15">
      <c r="A4315" s="3563" t="s">
        <v>8537</v>
      </c>
      <c r="B4315" s="3563" t="s">
        <v>4196</v>
      </c>
      <c r="C4315" s="3563" t="s">
        <v>4197</v>
      </c>
      <c r="D4315" s="3563" t="s">
        <v>6429</v>
      </c>
      <c r="E4315" s="3563" t="s">
        <v>6369</v>
      </c>
      <c r="F4315" s="3563" t="s">
        <v>4797</v>
      </c>
      <c r="G4315" s="3564">
        <v>109.7</v>
      </c>
      <c r="H4315" s="3564">
        <v>88.44</v>
      </c>
      <c r="I4315" s="3564">
        <v>21.26</v>
      </c>
      <c r="J4315" s="3565">
        <v>1160241</v>
      </c>
      <c r="K4315" s="3565">
        <v>10576.49</v>
      </c>
      <c r="L4315" s="3565">
        <v>13118.96</v>
      </c>
      <c r="M4315" s="3565">
        <v>0</v>
      </c>
      <c r="N4315" s="3565">
        <v>0</v>
      </c>
      <c r="O4315" s="3563" t="s">
        <v>3453</v>
      </c>
    </row>
    <row r="4316" spans="1:15">
      <c r="A4316" s="3563" t="s">
        <v>8538</v>
      </c>
      <c r="B4316" s="3563" t="s">
        <v>4196</v>
      </c>
      <c r="C4316" s="3563" t="s">
        <v>4197</v>
      </c>
      <c r="D4316" s="3563" t="s">
        <v>6429</v>
      </c>
      <c r="E4316" s="3563" t="s">
        <v>6369</v>
      </c>
      <c r="F4316" s="3563" t="s">
        <v>4797</v>
      </c>
      <c r="G4316" s="3564">
        <v>101.39</v>
      </c>
      <c r="H4316" s="3564">
        <v>81.739999999999995</v>
      </c>
      <c r="I4316" s="3564">
        <v>19.649999999999999</v>
      </c>
      <c r="J4316" s="3565">
        <v>1071272</v>
      </c>
      <c r="K4316" s="3565">
        <v>10565.85</v>
      </c>
      <c r="L4316" s="3565">
        <v>13105.85</v>
      </c>
      <c r="M4316" s="3565">
        <v>0</v>
      </c>
      <c r="N4316" s="3565">
        <v>0</v>
      </c>
      <c r="O4316" s="3563" t="s">
        <v>3453</v>
      </c>
    </row>
    <row r="4317" spans="1:15">
      <c r="A4317" s="3563" t="s">
        <v>8539</v>
      </c>
      <c r="B4317" s="3563" t="s">
        <v>4196</v>
      </c>
      <c r="C4317" s="3563" t="s">
        <v>4197</v>
      </c>
      <c r="D4317" s="3563" t="s">
        <v>6429</v>
      </c>
      <c r="E4317" s="3563" t="s">
        <v>6369</v>
      </c>
      <c r="F4317" s="3563" t="s">
        <v>4797</v>
      </c>
      <c r="G4317" s="3564">
        <v>101.39</v>
      </c>
      <c r="H4317" s="3564">
        <v>81.739999999999995</v>
      </c>
      <c r="I4317" s="3564">
        <v>19.649999999999999</v>
      </c>
      <c r="J4317" s="3565">
        <v>1071272</v>
      </c>
      <c r="K4317" s="3565">
        <v>10565.85</v>
      </c>
      <c r="L4317" s="3565">
        <v>13105.85</v>
      </c>
      <c r="M4317" s="3565">
        <v>0</v>
      </c>
      <c r="N4317" s="3565">
        <v>0</v>
      </c>
      <c r="O4317" s="3563" t="s">
        <v>3453</v>
      </c>
    </row>
    <row r="4318" spans="1:15">
      <c r="A4318" s="3563" t="s">
        <v>8540</v>
      </c>
      <c r="B4318" s="3563" t="s">
        <v>4196</v>
      </c>
      <c r="C4318" s="3563" t="s">
        <v>4197</v>
      </c>
      <c r="D4318" s="3563" t="s">
        <v>6429</v>
      </c>
      <c r="E4318" s="3563" t="s">
        <v>6369</v>
      </c>
      <c r="F4318" s="3563" t="s">
        <v>4797</v>
      </c>
      <c r="G4318" s="3564">
        <v>90.28</v>
      </c>
      <c r="H4318" s="3564">
        <v>72.78</v>
      </c>
      <c r="I4318" s="3564">
        <v>17.5</v>
      </c>
      <c r="J4318" s="3565">
        <v>891457</v>
      </c>
      <c r="K4318" s="3565">
        <v>9874.36</v>
      </c>
      <c r="L4318" s="3565">
        <v>12248.65</v>
      </c>
      <c r="M4318" s="3565">
        <v>0</v>
      </c>
      <c r="N4318" s="3565">
        <v>0</v>
      </c>
      <c r="O4318" s="3563" t="s">
        <v>3453</v>
      </c>
    </row>
    <row r="4319" spans="1:15">
      <c r="A4319" s="3563" t="s">
        <v>8541</v>
      </c>
      <c r="B4319" s="3563" t="s">
        <v>4196</v>
      </c>
      <c r="C4319" s="3563" t="s">
        <v>4197</v>
      </c>
      <c r="D4319" s="3563" t="s">
        <v>6429</v>
      </c>
      <c r="E4319" s="3563" t="s">
        <v>6369</v>
      </c>
      <c r="F4319" s="3563" t="s">
        <v>4797</v>
      </c>
      <c r="G4319" s="3564">
        <v>78.180000000000007</v>
      </c>
      <c r="H4319" s="3564">
        <v>63.03</v>
      </c>
      <c r="I4319" s="3564">
        <v>15.15</v>
      </c>
      <c r="J4319" s="3565">
        <v>763661</v>
      </c>
      <c r="K4319" s="3565">
        <v>9767.98</v>
      </c>
      <c r="L4319" s="3565">
        <v>12115.83</v>
      </c>
      <c r="M4319" s="3565">
        <v>0</v>
      </c>
      <c r="N4319" s="3565">
        <v>0</v>
      </c>
      <c r="O4319" s="3563" t="s">
        <v>3453</v>
      </c>
    </row>
    <row r="4320" spans="1:15">
      <c r="A4320" s="3563" t="s">
        <v>8542</v>
      </c>
      <c r="B4320" s="3563" t="s">
        <v>4196</v>
      </c>
      <c r="C4320" s="3563" t="s">
        <v>4197</v>
      </c>
      <c r="D4320" s="3563" t="s">
        <v>6429</v>
      </c>
      <c r="E4320" s="3563" t="s">
        <v>6369</v>
      </c>
      <c r="F4320" s="3563" t="s">
        <v>4797</v>
      </c>
      <c r="G4320" s="3564">
        <v>78.180000000000007</v>
      </c>
      <c r="H4320" s="3564">
        <v>63.03</v>
      </c>
      <c r="I4320" s="3564">
        <v>15.15</v>
      </c>
      <c r="J4320" s="3565">
        <v>763661</v>
      </c>
      <c r="K4320" s="3565">
        <v>9767.98</v>
      </c>
      <c r="L4320" s="3565">
        <v>12115.83</v>
      </c>
      <c r="M4320" s="3565">
        <v>0</v>
      </c>
      <c r="N4320" s="3565">
        <v>0</v>
      </c>
      <c r="O4320" s="3563" t="s">
        <v>3453</v>
      </c>
    </row>
    <row r="4321" spans="1:15">
      <c r="A4321" s="3563" t="s">
        <v>8543</v>
      </c>
      <c r="B4321" s="3563" t="s">
        <v>4196</v>
      </c>
      <c r="C4321" s="3563" t="s">
        <v>4197</v>
      </c>
      <c r="D4321" s="3563" t="s">
        <v>6429</v>
      </c>
      <c r="E4321" s="3563" t="s">
        <v>6369</v>
      </c>
      <c r="F4321" s="3563" t="s">
        <v>4797</v>
      </c>
      <c r="G4321" s="3564">
        <v>109.7</v>
      </c>
      <c r="H4321" s="3564">
        <v>88.44</v>
      </c>
      <c r="I4321" s="3564">
        <v>21.26</v>
      </c>
      <c r="J4321" s="3565">
        <v>1147404</v>
      </c>
      <c r="K4321" s="3565">
        <v>10459.469999999999</v>
      </c>
      <c r="L4321" s="3565">
        <v>12973.81</v>
      </c>
      <c r="M4321" s="3565">
        <v>0</v>
      </c>
      <c r="N4321" s="3565">
        <v>0</v>
      </c>
      <c r="O4321" s="3563" t="s">
        <v>3453</v>
      </c>
    </row>
    <row r="4322" spans="1:15">
      <c r="A4322" s="3563" t="s">
        <v>8544</v>
      </c>
      <c r="B4322" s="3563" t="s">
        <v>4196</v>
      </c>
      <c r="C4322" s="3563" t="s">
        <v>4197</v>
      </c>
      <c r="D4322" s="3563" t="s">
        <v>6429</v>
      </c>
      <c r="E4322" s="3563" t="s">
        <v>6369</v>
      </c>
      <c r="F4322" s="3563" t="s">
        <v>4797</v>
      </c>
      <c r="G4322" s="3564">
        <v>101.39</v>
      </c>
      <c r="H4322" s="3564">
        <v>81.739999999999995</v>
      </c>
      <c r="I4322" s="3564">
        <v>19.649999999999999</v>
      </c>
      <c r="J4322" s="3565">
        <v>1080980</v>
      </c>
      <c r="K4322" s="3565">
        <v>10661.6</v>
      </c>
      <c r="L4322" s="3565">
        <v>13224.61</v>
      </c>
      <c r="M4322" s="3565">
        <v>0</v>
      </c>
      <c r="N4322" s="3565">
        <v>0</v>
      </c>
      <c r="O4322" s="3563" t="s">
        <v>3453</v>
      </c>
    </row>
    <row r="4323" spans="1:15">
      <c r="A4323" s="3563" t="s">
        <v>8545</v>
      </c>
      <c r="B4323" s="3563" t="s">
        <v>4196</v>
      </c>
      <c r="C4323" s="3563" t="s">
        <v>4197</v>
      </c>
      <c r="D4323" s="3563" t="s">
        <v>6429</v>
      </c>
      <c r="E4323" s="3563" t="s">
        <v>6369</v>
      </c>
      <c r="F4323" s="3563" t="s">
        <v>4797</v>
      </c>
      <c r="G4323" s="3564">
        <v>101.39</v>
      </c>
      <c r="H4323" s="3564">
        <v>81.739999999999995</v>
      </c>
      <c r="I4323" s="3564">
        <v>19.649999999999999</v>
      </c>
      <c r="J4323" s="3565">
        <v>1080980</v>
      </c>
      <c r="K4323" s="3565">
        <v>10661.6</v>
      </c>
      <c r="L4323" s="3565">
        <v>13224.61</v>
      </c>
      <c r="M4323" s="3565">
        <v>0</v>
      </c>
      <c r="N4323" s="3565">
        <v>0</v>
      </c>
      <c r="O4323" s="3563" t="s">
        <v>3453</v>
      </c>
    </row>
    <row r="4324" spans="1:15">
      <c r="A4324" s="3563" t="s">
        <v>8546</v>
      </c>
      <c r="B4324" s="3563" t="s">
        <v>4196</v>
      </c>
      <c r="C4324" s="3563" t="s">
        <v>4197</v>
      </c>
      <c r="D4324" s="3563" t="s">
        <v>6429</v>
      </c>
      <c r="E4324" s="3563" t="s">
        <v>6369</v>
      </c>
      <c r="F4324" s="3563" t="s">
        <v>4797</v>
      </c>
      <c r="G4324" s="3564">
        <v>90.28</v>
      </c>
      <c r="H4324" s="3564">
        <v>72.78</v>
      </c>
      <c r="I4324" s="3564">
        <v>17.5</v>
      </c>
      <c r="J4324" s="3565">
        <v>900102</v>
      </c>
      <c r="K4324" s="3565">
        <v>9970.1200000000008</v>
      </c>
      <c r="L4324" s="3565">
        <v>12367.44</v>
      </c>
      <c r="M4324" s="3565">
        <v>0</v>
      </c>
      <c r="N4324" s="3565">
        <v>0</v>
      </c>
      <c r="O4324" s="3563" t="s">
        <v>3453</v>
      </c>
    </row>
    <row r="4325" spans="1:15">
      <c r="A4325" s="3563" t="s">
        <v>8547</v>
      </c>
      <c r="B4325" s="3563" t="s">
        <v>4196</v>
      </c>
      <c r="C4325" s="3563" t="s">
        <v>4197</v>
      </c>
      <c r="D4325" s="3563" t="s">
        <v>6429</v>
      </c>
      <c r="E4325" s="3563" t="s">
        <v>6369</v>
      </c>
      <c r="F4325" s="3563" t="s">
        <v>4797</v>
      </c>
      <c r="G4325" s="3564">
        <v>78.180000000000007</v>
      </c>
      <c r="H4325" s="3564">
        <v>63.03</v>
      </c>
      <c r="I4325" s="3564">
        <v>15.15</v>
      </c>
      <c r="J4325" s="3565">
        <v>771147</v>
      </c>
      <c r="K4325" s="3565">
        <v>9863.74</v>
      </c>
      <c r="L4325" s="3565">
        <v>12234.6</v>
      </c>
      <c r="M4325" s="3565">
        <v>0</v>
      </c>
      <c r="N4325" s="3565">
        <v>0</v>
      </c>
      <c r="O4325" s="3563" t="s">
        <v>3453</v>
      </c>
    </row>
    <row r="4326" spans="1:15">
      <c r="A4326" s="3563" t="s">
        <v>8548</v>
      </c>
      <c r="B4326" s="3563" t="s">
        <v>4196</v>
      </c>
      <c r="C4326" s="3563" t="s">
        <v>4197</v>
      </c>
      <c r="D4326" s="3563" t="s">
        <v>6429</v>
      </c>
      <c r="E4326" s="3563" t="s">
        <v>6369</v>
      </c>
      <c r="F4326" s="3563" t="s">
        <v>4797</v>
      </c>
      <c r="G4326" s="3564">
        <v>78.180000000000007</v>
      </c>
      <c r="H4326" s="3564">
        <v>63.03</v>
      </c>
      <c r="I4326" s="3564">
        <v>15.15</v>
      </c>
      <c r="J4326" s="3565">
        <v>771147</v>
      </c>
      <c r="K4326" s="3565">
        <v>9863.74</v>
      </c>
      <c r="L4326" s="3565">
        <v>12234.6</v>
      </c>
      <c r="M4326" s="3565">
        <v>0</v>
      </c>
      <c r="N4326" s="3565">
        <v>0</v>
      </c>
      <c r="O4326" s="3563" t="s">
        <v>3453</v>
      </c>
    </row>
    <row r="4327" spans="1:15">
      <c r="A4327" s="3563" t="s">
        <v>8549</v>
      </c>
      <c r="B4327" s="3563" t="s">
        <v>4196</v>
      </c>
      <c r="C4327" s="3563" t="s">
        <v>4197</v>
      </c>
      <c r="D4327" s="3563" t="s">
        <v>6429</v>
      </c>
      <c r="E4327" s="3563" t="s">
        <v>6369</v>
      </c>
      <c r="F4327" s="3563" t="s">
        <v>4797</v>
      </c>
      <c r="G4327" s="3564">
        <v>109.7</v>
      </c>
      <c r="H4327" s="3564">
        <v>88.44</v>
      </c>
      <c r="I4327" s="3564">
        <v>21.26</v>
      </c>
      <c r="J4327" s="3565">
        <v>1157907</v>
      </c>
      <c r="K4327" s="3565">
        <v>10555.21</v>
      </c>
      <c r="L4327" s="3565">
        <v>13092.57</v>
      </c>
      <c r="M4327" s="3565">
        <v>0</v>
      </c>
      <c r="N4327" s="3565">
        <v>0</v>
      </c>
      <c r="O4327" s="3563" t="s">
        <v>3453</v>
      </c>
    </row>
    <row r="4328" spans="1:15">
      <c r="A4328" s="3563" t="s">
        <v>8550</v>
      </c>
      <c r="B4328" s="3563" t="s">
        <v>4196</v>
      </c>
      <c r="C4328" s="3563" t="s">
        <v>4197</v>
      </c>
      <c r="D4328" s="3563" t="s">
        <v>6429</v>
      </c>
      <c r="E4328" s="3563" t="s">
        <v>6369</v>
      </c>
      <c r="F4328" s="3563" t="s">
        <v>4797</v>
      </c>
      <c r="G4328" s="3564">
        <v>102.96</v>
      </c>
      <c r="H4328" s="3564">
        <v>81.739999999999995</v>
      </c>
      <c r="I4328" s="3564">
        <v>21.22</v>
      </c>
      <c r="J4328" s="3565">
        <v>1051715</v>
      </c>
      <c r="K4328" s="3565">
        <v>10214.790000000001</v>
      </c>
      <c r="L4328" s="3565">
        <v>12866.59</v>
      </c>
      <c r="M4328" s="3565">
        <v>0</v>
      </c>
      <c r="N4328" s="3565">
        <v>0</v>
      </c>
      <c r="O4328" s="3563" t="s">
        <v>3453</v>
      </c>
    </row>
    <row r="4329" spans="1:15">
      <c r="A4329" s="3563" t="s">
        <v>8551</v>
      </c>
      <c r="B4329" s="3563" t="s">
        <v>4196</v>
      </c>
      <c r="C4329" s="3563" t="s">
        <v>4197</v>
      </c>
      <c r="D4329" s="3563" t="s">
        <v>6429</v>
      </c>
      <c r="E4329" s="3563" t="s">
        <v>6369</v>
      </c>
      <c r="F4329" s="3563" t="s">
        <v>4797</v>
      </c>
      <c r="G4329" s="3564">
        <v>102.96</v>
      </c>
      <c r="H4329" s="3564">
        <v>81.739999999999995</v>
      </c>
      <c r="I4329" s="3564">
        <v>21.22</v>
      </c>
      <c r="J4329" s="3565">
        <v>1051715</v>
      </c>
      <c r="K4329" s="3565">
        <v>10214.790000000001</v>
      </c>
      <c r="L4329" s="3565">
        <v>12866.59</v>
      </c>
      <c r="M4329" s="3565">
        <v>0</v>
      </c>
      <c r="N4329" s="3565">
        <v>0</v>
      </c>
      <c r="O4329" s="3563" t="s">
        <v>3453</v>
      </c>
    </row>
    <row r="4330" spans="1:15">
      <c r="A4330" s="3563" t="s">
        <v>8552</v>
      </c>
      <c r="B4330" s="3563" t="s">
        <v>4196</v>
      </c>
      <c r="C4330" s="3563" t="s">
        <v>4197</v>
      </c>
      <c r="D4330" s="3563" t="s">
        <v>6429</v>
      </c>
      <c r="E4330" s="3563" t="s">
        <v>6369</v>
      </c>
      <c r="F4330" s="3563" t="s">
        <v>4797</v>
      </c>
      <c r="G4330" s="3564">
        <v>91.68</v>
      </c>
      <c r="H4330" s="3564">
        <v>72.78</v>
      </c>
      <c r="I4330" s="3564">
        <v>18.899999999999999</v>
      </c>
      <c r="J4330" s="3565">
        <v>883824</v>
      </c>
      <c r="K4330" s="3565">
        <v>9640.31</v>
      </c>
      <c r="L4330" s="3565">
        <v>12143.78</v>
      </c>
      <c r="M4330" s="3565">
        <v>0</v>
      </c>
      <c r="N4330" s="3565">
        <v>0</v>
      </c>
      <c r="O4330" s="3563" t="s">
        <v>3453</v>
      </c>
    </row>
    <row r="4331" spans="1:15">
      <c r="A4331" s="3563" t="s">
        <v>8553</v>
      </c>
      <c r="B4331" s="3563" t="s">
        <v>4196</v>
      </c>
      <c r="C4331" s="3563" t="s">
        <v>4197</v>
      </c>
      <c r="D4331" s="3563" t="s">
        <v>6429</v>
      </c>
      <c r="E4331" s="3563" t="s">
        <v>6369</v>
      </c>
      <c r="F4331" s="3563" t="s">
        <v>4797</v>
      </c>
      <c r="G4331" s="3564">
        <v>79.400000000000006</v>
      </c>
      <c r="H4331" s="3564">
        <v>63.03</v>
      </c>
      <c r="I4331" s="3564">
        <v>16.37</v>
      </c>
      <c r="J4331" s="3565">
        <v>765441</v>
      </c>
      <c r="K4331" s="3565">
        <v>9640.31</v>
      </c>
      <c r="L4331" s="3565">
        <v>12144.07</v>
      </c>
      <c r="M4331" s="3565">
        <v>0</v>
      </c>
      <c r="N4331" s="3565">
        <v>0</v>
      </c>
      <c r="O4331" s="3563" t="s">
        <v>3453</v>
      </c>
    </row>
    <row r="4332" spans="1:15">
      <c r="A4332" s="3563" t="s">
        <v>8554</v>
      </c>
      <c r="B4332" s="3563" t="s">
        <v>4196</v>
      </c>
      <c r="C4332" s="3563" t="s">
        <v>4197</v>
      </c>
      <c r="D4332" s="3563" t="s">
        <v>6429</v>
      </c>
      <c r="E4332" s="3563" t="s">
        <v>6369</v>
      </c>
      <c r="F4332" s="3563" t="s">
        <v>4797</v>
      </c>
      <c r="G4332" s="3564">
        <v>79.400000000000006</v>
      </c>
      <c r="H4332" s="3564">
        <v>63.03</v>
      </c>
      <c r="I4332" s="3564">
        <v>16.37</v>
      </c>
      <c r="J4332" s="3565">
        <v>765441</v>
      </c>
      <c r="K4332" s="3565">
        <v>9640.31</v>
      </c>
      <c r="L4332" s="3565">
        <v>12144.07</v>
      </c>
      <c r="M4332" s="3565">
        <v>0</v>
      </c>
      <c r="N4332" s="3565">
        <v>0</v>
      </c>
      <c r="O4332" s="3563" t="s">
        <v>3453</v>
      </c>
    </row>
    <row r="4333" spans="1:15">
      <c r="A4333" s="3563" t="s">
        <v>8555</v>
      </c>
      <c r="B4333" s="3563" t="s">
        <v>4196</v>
      </c>
      <c r="C4333" s="3563" t="s">
        <v>4197</v>
      </c>
      <c r="D4333" s="3563" t="s">
        <v>6429</v>
      </c>
      <c r="E4333" s="3563" t="s">
        <v>6369</v>
      </c>
      <c r="F4333" s="3563" t="s">
        <v>4797</v>
      </c>
      <c r="G4333" s="3564">
        <v>101.39</v>
      </c>
      <c r="H4333" s="3564">
        <v>81.739999999999995</v>
      </c>
      <c r="I4333" s="3564">
        <v>19.649999999999999</v>
      </c>
      <c r="J4333" s="3565">
        <v>1079901</v>
      </c>
      <c r="K4333" s="3565">
        <v>10650.96</v>
      </c>
      <c r="L4333" s="3565">
        <v>13211.41</v>
      </c>
      <c r="M4333" s="3565">
        <v>0</v>
      </c>
      <c r="N4333" s="3565">
        <v>0</v>
      </c>
      <c r="O4333" s="3563" t="s">
        <v>3453</v>
      </c>
    </row>
    <row r="4334" spans="1:15">
      <c r="A4334" s="3563" t="s">
        <v>8556</v>
      </c>
      <c r="B4334" s="3563" t="s">
        <v>4196</v>
      </c>
      <c r="C4334" s="3563" t="s">
        <v>4197</v>
      </c>
      <c r="D4334" s="3563" t="s">
        <v>6429</v>
      </c>
      <c r="E4334" s="3563" t="s">
        <v>6369</v>
      </c>
      <c r="F4334" s="3563" t="s">
        <v>4797</v>
      </c>
      <c r="G4334" s="3564">
        <v>101.39</v>
      </c>
      <c r="H4334" s="3564">
        <v>81.739999999999995</v>
      </c>
      <c r="I4334" s="3564">
        <v>19.649999999999999</v>
      </c>
      <c r="J4334" s="3565">
        <v>1079901</v>
      </c>
      <c r="K4334" s="3565">
        <v>10650.96</v>
      </c>
      <c r="L4334" s="3565">
        <v>13211.41</v>
      </c>
      <c r="M4334" s="3565">
        <v>0</v>
      </c>
      <c r="N4334" s="3565">
        <v>0</v>
      </c>
      <c r="O4334" s="3563" t="s">
        <v>3453</v>
      </c>
    </row>
    <row r="4335" spans="1:15">
      <c r="A4335" s="3563" t="s">
        <v>8557</v>
      </c>
      <c r="B4335" s="3563" t="s">
        <v>4196</v>
      </c>
      <c r="C4335" s="3563" t="s">
        <v>4197</v>
      </c>
      <c r="D4335" s="3563" t="s">
        <v>6429</v>
      </c>
      <c r="E4335" s="3563" t="s">
        <v>6369</v>
      </c>
      <c r="F4335" s="3563" t="s">
        <v>4797</v>
      </c>
      <c r="G4335" s="3564">
        <v>90.28</v>
      </c>
      <c r="H4335" s="3564">
        <v>72.78</v>
      </c>
      <c r="I4335" s="3564">
        <v>17.5</v>
      </c>
      <c r="J4335" s="3565">
        <v>899141</v>
      </c>
      <c r="K4335" s="3565">
        <v>9959.4699999999993</v>
      </c>
      <c r="L4335" s="3565">
        <v>12354.23</v>
      </c>
      <c r="M4335" s="3565">
        <v>0</v>
      </c>
      <c r="N4335" s="3565">
        <v>0</v>
      </c>
      <c r="O4335" s="3563" t="s">
        <v>3453</v>
      </c>
    </row>
    <row r="4336" spans="1:15">
      <c r="A4336" s="3563" t="s">
        <v>8558</v>
      </c>
      <c r="B4336" s="3563" t="s">
        <v>4196</v>
      </c>
      <c r="C4336" s="3563" t="s">
        <v>4197</v>
      </c>
      <c r="D4336" s="3563" t="s">
        <v>6429</v>
      </c>
      <c r="E4336" s="3563" t="s">
        <v>6369</v>
      </c>
      <c r="F4336" s="3563" t="s">
        <v>4797</v>
      </c>
      <c r="G4336" s="3564">
        <v>78.180000000000007</v>
      </c>
      <c r="H4336" s="3564">
        <v>63.03</v>
      </c>
      <c r="I4336" s="3564">
        <v>15.15</v>
      </c>
      <c r="J4336" s="3565">
        <v>770315</v>
      </c>
      <c r="K4336" s="3565">
        <v>9853.1</v>
      </c>
      <c r="L4336" s="3565">
        <v>12221.4</v>
      </c>
      <c r="M4336" s="3565">
        <v>0</v>
      </c>
      <c r="N4336" s="3565">
        <v>0</v>
      </c>
      <c r="O4336" s="3563" t="s">
        <v>3453</v>
      </c>
    </row>
    <row r="4337" spans="1:15">
      <c r="A4337" s="3563" t="s">
        <v>8559</v>
      </c>
      <c r="B4337" s="3563" t="s">
        <v>4196</v>
      </c>
      <c r="C4337" s="3563" t="s">
        <v>4197</v>
      </c>
      <c r="D4337" s="3563" t="s">
        <v>6429</v>
      </c>
      <c r="E4337" s="3563" t="s">
        <v>6369</v>
      </c>
      <c r="F4337" s="3563" t="s">
        <v>4797</v>
      </c>
      <c r="G4337" s="3564">
        <v>78.180000000000007</v>
      </c>
      <c r="H4337" s="3564">
        <v>63.03</v>
      </c>
      <c r="I4337" s="3564">
        <v>15.15</v>
      </c>
      <c r="J4337" s="3565">
        <v>770315</v>
      </c>
      <c r="K4337" s="3565">
        <v>9853.1</v>
      </c>
      <c r="L4337" s="3565">
        <v>12221.4</v>
      </c>
      <c r="M4337" s="3565">
        <v>0</v>
      </c>
      <c r="N4337" s="3565">
        <v>0</v>
      </c>
      <c r="O4337" s="3563" t="s">
        <v>3453</v>
      </c>
    </row>
    <row r="4338" spans="1:15">
      <c r="A4338" s="3563" t="s">
        <v>8560</v>
      </c>
      <c r="B4338" s="3563" t="s">
        <v>4196</v>
      </c>
      <c r="C4338" s="3563" t="s">
        <v>4197</v>
      </c>
      <c r="D4338" s="3563" t="s">
        <v>6429</v>
      </c>
      <c r="E4338" s="3563" t="s">
        <v>6369</v>
      </c>
      <c r="F4338" s="3563" t="s">
        <v>4797</v>
      </c>
      <c r="G4338" s="3564">
        <v>109.7</v>
      </c>
      <c r="H4338" s="3564">
        <v>88.44</v>
      </c>
      <c r="I4338" s="3564">
        <v>21.26</v>
      </c>
      <c r="J4338" s="3565">
        <v>1156740</v>
      </c>
      <c r="K4338" s="3565">
        <v>10544.58</v>
      </c>
      <c r="L4338" s="3565">
        <v>13079.38</v>
      </c>
      <c r="M4338" s="3565">
        <v>0</v>
      </c>
      <c r="N4338" s="3565">
        <v>0</v>
      </c>
      <c r="O4338" s="3563" t="s">
        <v>3453</v>
      </c>
    </row>
    <row r="4339" spans="1:15">
      <c r="A4339" s="3563" t="s">
        <v>8561</v>
      </c>
      <c r="B4339" s="3563" t="s">
        <v>4196</v>
      </c>
      <c r="C4339" s="3563" t="s">
        <v>4197</v>
      </c>
      <c r="D4339" s="3563" t="s">
        <v>6429</v>
      </c>
      <c r="E4339" s="3563" t="s">
        <v>6369</v>
      </c>
      <c r="F4339" s="3563" t="s">
        <v>4797</v>
      </c>
      <c r="G4339" s="3564">
        <v>101.39</v>
      </c>
      <c r="H4339" s="3564">
        <v>81.739999999999995</v>
      </c>
      <c r="I4339" s="3564">
        <v>19.649999999999999</v>
      </c>
      <c r="J4339" s="3565">
        <v>1078822</v>
      </c>
      <c r="K4339" s="3565">
        <v>10640.32</v>
      </c>
      <c r="L4339" s="3565">
        <v>13198.21</v>
      </c>
      <c r="M4339" s="3565">
        <v>0</v>
      </c>
      <c r="N4339" s="3565">
        <v>0</v>
      </c>
      <c r="O4339" s="3563" t="s">
        <v>3453</v>
      </c>
    </row>
    <row r="4340" spans="1:15">
      <c r="A4340" s="3563" t="s">
        <v>8562</v>
      </c>
      <c r="B4340" s="3563" t="s">
        <v>4196</v>
      </c>
      <c r="C4340" s="3563" t="s">
        <v>4197</v>
      </c>
      <c r="D4340" s="3563" t="s">
        <v>6429</v>
      </c>
      <c r="E4340" s="3563" t="s">
        <v>6369</v>
      </c>
      <c r="F4340" s="3563" t="s">
        <v>4797</v>
      </c>
      <c r="G4340" s="3564">
        <v>101.39</v>
      </c>
      <c r="H4340" s="3564">
        <v>81.739999999999995</v>
      </c>
      <c r="I4340" s="3564">
        <v>19.649999999999999</v>
      </c>
      <c r="J4340" s="3565">
        <v>1078822</v>
      </c>
      <c r="K4340" s="3565">
        <v>10640.32</v>
      </c>
      <c r="L4340" s="3565">
        <v>13198.21</v>
      </c>
      <c r="M4340" s="3565">
        <v>0</v>
      </c>
      <c r="N4340" s="3565">
        <v>0</v>
      </c>
      <c r="O4340" s="3563" t="s">
        <v>3453</v>
      </c>
    </row>
    <row r="4341" spans="1:15">
      <c r="A4341" s="3563" t="s">
        <v>8563</v>
      </c>
      <c r="B4341" s="3563" t="s">
        <v>4196</v>
      </c>
      <c r="C4341" s="3563" t="s">
        <v>4197</v>
      </c>
      <c r="D4341" s="3563" t="s">
        <v>6429</v>
      </c>
      <c r="E4341" s="3563" t="s">
        <v>6369</v>
      </c>
      <c r="F4341" s="3563" t="s">
        <v>4797</v>
      </c>
      <c r="G4341" s="3564">
        <v>90.28</v>
      </c>
      <c r="H4341" s="3564">
        <v>72.78</v>
      </c>
      <c r="I4341" s="3564">
        <v>17.5</v>
      </c>
      <c r="J4341" s="3565">
        <v>898181</v>
      </c>
      <c r="K4341" s="3565">
        <v>9948.84</v>
      </c>
      <c r="L4341" s="3565">
        <v>12341.04</v>
      </c>
      <c r="M4341" s="3565">
        <v>0</v>
      </c>
      <c r="N4341" s="3565">
        <v>0</v>
      </c>
      <c r="O4341" s="3563" t="s">
        <v>3453</v>
      </c>
    </row>
    <row r="4342" spans="1:15">
      <c r="A4342" s="3563" t="s">
        <v>8564</v>
      </c>
      <c r="B4342" s="3563" t="s">
        <v>4196</v>
      </c>
      <c r="C4342" s="3563" t="s">
        <v>4197</v>
      </c>
      <c r="D4342" s="3563" t="s">
        <v>6429</v>
      </c>
      <c r="E4342" s="3563" t="s">
        <v>6369</v>
      </c>
      <c r="F4342" s="3563" t="s">
        <v>4797</v>
      </c>
      <c r="G4342" s="3564">
        <v>78.180000000000007</v>
      </c>
      <c r="H4342" s="3564">
        <v>63.03</v>
      </c>
      <c r="I4342" s="3564">
        <v>15.15</v>
      </c>
      <c r="J4342" s="3565">
        <v>769483</v>
      </c>
      <c r="K4342" s="3565">
        <v>9842.4500000000007</v>
      </c>
      <c r="L4342" s="3565">
        <v>12208.2</v>
      </c>
      <c r="M4342" s="3565">
        <v>0</v>
      </c>
      <c r="N4342" s="3565">
        <v>0</v>
      </c>
      <c r="O4342" s="3563" t="s">
        <v>3453</v>
      </c>
    </row>
    <row r="4343" spans="1:15">
      <c r="A4343" s="3563" t="s">
        <v>8565</v>
      </c>
      <c r="B4343" s="3563" t="s">
        <v>4196</v>
      </c>
      <c r="C4343" s="3563" t="s">
        <v>4197</v>
      </c>
      <c r="D4343" s="3563" t="s">
        <v>6429</v>
      </c>
      <c r="E4343" s="3563" t="s">
        <v>6369</v>
      </c>
      <c r="F4343" s="3563" t="s">
        <v>4797</v>
      </c>
      <c r="G4343" s="3564">
        <v>78.180000000000007</v>
      </c>
      <c r="H4343" s="3564">
        <v>63.03</v>
      </c>
      <c r="I4343" s="3564">
        <v>15.15</v>
      </c>
      <c r="J4343" s="3565">
        <v>769483</v>
      </c>
      <c r="K4343" s="3565">
        <v>9842.4500000000007</v>
      </c>
      <c r="L4343" s="3565">
        <v>12208.2</v>
      </c>
      <c r="M4343" s="3565">
        <v>0</v>
      </c>
      <c r="N4343" s="3565">
        <v>0</v>
      </c>
      <c r="O4343" s="3563" t="s">
        <v>3453</v>
      </c>
    </row>
    <row r="4344" spans="1:15">
      <c r="A4344" s="3563" t="s">
        <v>8566</v>
      </c>
      <c r="B4344" s="3563" t="s">
        <v>4196</v>
      </c>
      <c r="C4344" s="3563" t="s">
        <v>4197</v>
      </c>
      <c r="D4344" s="3563" t="s">
        <v>6429</v>
      </c>
      <c r="E4344" s="3563" t="s">
        <v>6369</v>
      </c>
      <c r="F4344" s="3563" t="s">
        <v>4797</v>
      </c>
      <c r="G4344" s="3564">
        <v>109.7</v>
      </c>
      <c r="H4344" s="3564">
        <v>88.44</v>
      </c>
      <c r="I4344" s="3564">
        <v>21.26</v>
      </c>
      <c r="J4344" s="3565">
        <v>1155573</v>
      </c>
      <c r="K4344" s="3565">
        <v>10533.94</v>
      </c>
      <c r="L4344" s="3565">
        <v>13066.18</v>
      </c>
      <c r="M4344" s="3565">
        <v>0</v>
      </c>
      <c r="N4344" s="3565">
        <v>0</v>
      </c>
      <c r="O4344" s="3563" t="s">
        <v>3453</v>
      </c>
    </row>
    <row r="4345" spans="1:15">
      <c r="A4345" s="3563" t="s">
        <v>8567</v>
      </c>
      <c r="B4345" s="3563" t="s">
        <v>4196</v>
      </c>
      <c r="C4345" s="3563" t="s">
        <v>4197</v>
      </c>
      <c r="D4345" s="3563" t="s">
        <v>6429</v>
      </c>
      <c r="E4345" s="3563" t="s">
        <v>6369</v>
      </c>
      <c r="F4345" s="3563" t="s">
        <v>4797</v>
      </c>
      <c r="G4345" s="3564">
        <v>101.39</v>
      </c>
      <c r="H4345" s="3564">
        <v>81.739999999999995</v>
      </c>
      <c r="I4345" s="3564">
        <v>19.649999999999999</v>
      </c>
      <c r="J4345" s="3565">
        <v>1077744</v>
      </c>
      <c r="K4345" s="3565">
        <v>10629.69</v>
      </c>
      <c r="L4345" s="3565">
        <v>13185.03</v>
      </c>
      <c r="M4345" s="3565">
        <v>0</v>
      </c>
      <c r="N4345" s="3565">
        <v>0</v>
      </c>
      <c r="O4345" s="3563" t="s">
        <v>3453</v>
      </c>
    </row>
    <row r="4346" spans="1:15">
      <c r="A4346" s="3563" t="s">
        <v>8568</v>
      </c>
      <c r="B4346" s="3563" t="s">
        <v>4196</v>
      </c>
      <c r="C4346" s="3563" t="s">
        <v>4197</v>
      </c>
      <c r="D4346" s="3563" t="s">
        <v>6429</v>
      </c>
      <c r="E4346" s="3563" t="s">
        <v>6369</v>
      </c>
      <c r="F4346" s="3563" t="s">
        <v>4797</v>
      </c>
      <c r="G4346" s="3564">
        <v>101.39</v>
      </c>
      <c r="H4346" s="3564">
        <v>81.739999999999995</v>
      </c>
      <c r="I4346" s="3564">
        <v>19.649999999999999</v>
      </c>
      <c r="J4346" s="3565">
        <v>1077744</v>
      </c>
      <c r="K4346" s="3565">
        <v>10629.69</v>
      </c>
      <c r="L4346" s="3565">
        <v>13185.03</v>
      </c>
      <c r="M4346" s="3565">
        <v>0</v>
      </c>
      <c r="N4346" s="3565">
        <v>0</v>
      </c>
      <c r="O4346" s="3563" t="s">
        <v>3453</v>
      </c>
    </row>
    <row r="4347" spans="1:15">
      <c r="A4347" s="3563" t="s">
        <v>8569</v>
      </c>
      <c r="B4347" s="3563" t="s">
        <v>4196</v>
      </c>
      <c r="C4347" s="3563" t="s">
        <v>4197</v>
      </c>
      <c r="D4347" s="3563" t="s">
        <v>6429</v>
      </c>
      <c r="E4347" s="3563" t="s">
        <v>6369</v>
      </c>
      <c r="F4347" s="3563" t="s">
        <v>4797</v>
      </c>
      <c r="G4347" s="3564">
        <v>90.28</v>
      </c>
      <c r="H4347" s="3564">
        <v>72.78</v>
      </c>
      <c r="I4347" s="3564">
        <v>17.5</v>
      </c>
      <c r="J4347" s="3565">
        <v>897220</v>
      </c>
      <c r="K4347" s="3565">
        <v>9938.19</v>
      </c>
      <c r="L4347" s="3565">
        <v>12327.84</v>
      </c>
      <c r="M4347" s="3565">
        <v>0</v>
      </c>
      <c r="N4347" s="3565">
        <v>0</v>
      </c>
      <c r="O4347" s="3563" t="s">
        <v>3453</v>
      </c>
    </row>
    <row r="4348" spans="1:15">
      <c r="A4348" s="3563" t="s">
        <v>8570</v>
      </c>
      <c r="B4348" s="3563" t="s">
        <v>4196</v>
      </c>
      <c r="C4348" s="3563" t="s">
        <v>4197</v>
      </c>
      <c r="D4348" s="3563" t="s">
        <v>6429</v>
      </c>
      <c r="E4348" s="3563" t="s">
        <v>6369</v>
      </c>
      <c r="F4348" s="3563" t="s">
        <v>4797</v>
      </c>
      <c r="G4348" s="3564">
        <v>78.180000000000007</v>
      </c>
      <c r="H4348" s="3564">
        <v>63.03</v>
      </c>
      <c r="I4348" s="3564">
        <v>15.15</v>
      </c>
      <c r="J4348" s="3565">
        <v>768651</v>
      </c>
      <c r="K4348" s="3565">
        <v>9831.81</v>
      </c>
      <c r="L4348" s="3565">
        <v>12195</v>
      </c>
      <c r="M4348" s="3565">
        <v>0</v>
      </c>
      <c r="N4348" s="3565">
        <v>0</v>
      </c>
      <c r="O4348" s="3563" t="s">
        <v>3453</v>
      </c>
    </row>
    <row r="4349" spans="1:15">
      <c r="A4349" s="3563" t="s">
        <v>8571</v>
      </c>
      <c r="B4349" s="3563" t="s">
        <v>4196</v>
      </c>
      <c r="C4349" s="3563" t="s">
        <v>4197</v>
      </c>
      <c r="D4349" s="3563" t="s">
        <v>6429</v>
      </c>
      <c r="E4349" s="3563" t="s">
        <v>6369</v>
      </c>
      <c r="F4349" s="3563" t="s">
        <v>4797</v>
      </c>
      <c r="G4349" s="3564">
        <v>78.180000000000007</v>
      </c>
      <c r="H4349" s="3564">
        <v>63.03</v>
      </c>
      <c r="I4349" s="3564">
        <v>15.15</v>
      </c>
      <c r="J4349" s="3565">
        <v>768651</v>
      </c>
      <c r="K4349" s="3565">
        <v>9831.81</v>
      </c>
      <c r="L4349" s="3565">
        <v>12195</v>
      </c>
      <c r="M4349" s="3565">
        <v>0</v>
      </c>
      <c r="N4349" s="3565">
        <v>0</v>
      </c>
      <c r="O4349" s="3563" t="s">
        <v>3453</v>
      </c>
    </row>
    <row r="4350" spans="1:15">
      <c r="A4350" s="3563" t="s">
        <v>8572</v>
      </c>
      <c r="B4350" s="3563" t="s">
        <v>4196</v>
      </c>
      <c r="C4350" s="3563" t="s">
        <v>4197</v>
      </c>
      <c r="D4350" s="3563" t="s">
        <v>6429</v>
      </c>
      <c r="E4350" s="3563" t="s">
        <v>6369</v>
      </c>
      <c r="F4350" s="3563" t="s">
        <v>4797</v>
      </c>
      <c r="G4350" s="3564">
        <v>109.7</v>
      </c>
      <c r="H4350" s="3564">
        <v>88.44</v>
      </c>
      <c r="I4350" s="3564">
        <v>21.26</v>
      </c>
      <c r="J4350" s="3565">
        <v>1154406</v>
      </c>
      <c r="K4350" s="3565">
        <v>10523.3</v>
      </c>
      <c r="L4350" s="3565">
        <v>13052.99</v>
      </c>
      <c r="M4350" s="3565">
        <v>0</v>
      </c>
      <c r="N4350" s="3565">
        <v>0</v>
      </c>
      <c r="O4350" s="3563" t="s">
        <v>3453</v>
      </c>
    </row>
    <row r="4351" spans="1:15">
      <c r="A4351" s="3563" t="s">
        <v>8573</v>
      </c>
      <c r="B4351" s="3563" t="s">
        <v>4196</v>
      </c>
      <c r="C4351" s="3563" t="s">
        <v>4197</v>
      </c>
      <c r="D4351" s="3563" t="s">
        <v>6429</v>
      </c>
      <c r="E4351" s="3563" t="s">
        <v>6369</v>
      </c>
      <c r="F4351" s="3563" t="s">
        <v>4797</v>
      </c>
      <c r="G4351" s="3564">
        <v>101.39</v>
      </c>
      <c r="H4351" s="3564">
        <v>81.739999999999995</v>
      </c>
      <c r="I4351" s="3564">
        <v>19.649999999999999</v>
      </c>
      <c r="J4351" s="3565">
        <v>1076665</v>
      </c>
      <c r="K4351" s="3565">
        <v>10619.05</v>
      </c>
      <c r="L4351" s="3565">
        <v>13171.83</v>
      </c>
      <c r="M4351" s="3565">
        <v>0</v>
      </c>
      <c r="N4351" s="3565">
        <v>0</v>
      </c>
      <c r="O4351" s="3563" t="s">
        <v>3453</v>
      </c>
    </row>
    <row r="4352" spans="1:15">
      <c r="A4352" s="3563" t="s">
        <v>8574</v>
      </c>
      <c r="B4352" s="3563" t="s">
        <v>4196</v>
      </c>
      <c r="C4352" s="3563" t="s">
        <v>4197</v>
      </c>
      <c r="D4352" s="3563" t="s">
        <v>6429</v>
      </c>
      <c r="E4352" s="3563" t="s">
        <v>6369</v>
      </c>
      <c r="F4352" s="3563" t="s">
        <v>4797</v>
      </c>
      <c r="G4352" s="3564">
        <v>101.39</v>
      </c>
      <c r="H4352" s="3564">
        <v>81.739999999999995</v>
      </c>
      <c r="I4352" s="3564">
        <v>19.649999999999999</v>
      </c>
      <c r="J4352" s="3565">
        <v>1076665</v>
      </c>
      <c r="K4352" s="3565">
        <v>10619.05</v>
      </c>
      <c r="L4352" s="3565">
        <v>13171.83</v>
      </c>
      <c r="M4352" s="3565">
        <v>0</v>
      </c>
      <c r="N4352" s="3565">
        <v>0</v>
      </c>
      <c r="O4352" s="3563" t="s">
        <v>3453</v>
      </c>
    </row>
    <row r="4353" spans="1:15">
      <c r="A4353" s="3563" t="s">
        <v>8575</v>
      </c>
      <c r="B4353" s="3563" t="s">
        <v>4196</v>
      </c>
      <c r="C4353" s="3563" t="s">
        <v>4197</v>
      </c>
      <c r="D4353" s="3563" t="s">
        <v>6429</v>
      </c>
      <c r="E4353" s="3563" t="s">
        <v>6369</v>
      </c>
      <c r="F4353" s="3563" t="s">
        <v>4797</v>
      </c>
      <c r="G4353" s="3564">
        <v>90.28</v>
      </c>
      <c r="H4353" s="3564">
        <v>72.78</v>
      </c>
      <c r="I4353" s="3564">
        <v>17.5</v>
      </c>
      <c r="J4353" s="3565">
        <v>896260</v>
      </c>
      <c r="K4353" s="3565">
        <v>9927.56</v>
      </c>
      <c r="L4353" s="3565">
        <v>12314.65</v>
      </c>
      <c r="M4353" s="3565">
        <v>0</v>
      </c>
      <c r="N4353" s="3565">
        <v>0</v>
      </c>
      <c r="O4353" s="3563" t="s">
        <v>3453</v>
      </c>
    </row>
    <row r="4354" spans="1:15">
      <c r="A4354" s="3563" t="s">
        <v>8576</v>
      </c>
      <c r="B4354" s="3563" t="s">
        <v>4196</v>
      </c>
      <c r="C4354" s="3563" t="s">
        <v>4197</v>
      </c>
      <c r="D4354" s="3563" t="s">
        <v>6429</v>
      </c>
      <c r="E4354" s="3563" t="s">
        <v>6369</v>
      </c>
      <c r="F4354" s="3563" t="s">
        <v>4797</v>
      </c>
      <c r="G4354" s="3564">
        <v>78.180000000000007</v>
      </c>
      <c r="H4354" s="3564">
        <v>63.03</v>
      </c>
      <c r="I4354" s="3564">
        <v>15.15</v>
      </c>
      <c r="J4354" s="3565">
        <v>767819</v>
      </c>
      <c r="K4354" s="3565">
        <v>9821.17</v>
      </c>
      <c r="L4354" s="3565">
        <v>12181.8</v>
      </c>
      <c r="M4354" s="3565">
        <v>0</v>
      </c>
      <c r="N4354" s="3565">
        <v>0</v>
      </c>
      <c r="O4354" s="3563" t="s">
        <v>3453</v>
      </c>
    </row>
    <row r="4355" spans="1:15">
      <c r="A4355" s="3563" t="s">
        <v>8577</v>
      </c>
      <c r="B4355" s="3563" t="s">
        <v>4196</v>
      </c>
      <c r="C4355" s="3563" t="s">
        <v>4197</v>
      </c>
      <c r="D4355" s="3563" t="s">
        <v>6429</v>
      </c>
      <c r="E4355" s="3563" t="s">
        <v>6369</v>
      </c>
      <c r="F4355" s="3563" t="s">
        <v>4797</v>
      </c>
      <c r="G4355" s="3564">
        <v>78.180000000000007</v>
      </c>
      <c r="H4355" s="3564">
        <v>63.03</v>
      </c>
      <c r="I4355" s="3564">
        <v>15.15</v>
      </c>
      <c r="J4355" s="3565">
        <v>767819</v>
      </c>
      <c r="K4355" s="3565">
        <v>9821.17</v>
      </c>
      <c r="L4355" s="3565">
        <v>12181.8</v>
      </c>
      <c r="M4355" s="3565">
        <v>0</v>
      </c>
      <c r="N4355" s="3565">
        <v>0</v>
      </c>
      <c r="O4355" s="3563" t="s">
        <v>3453</v>
      </c>
    </row>
    <row r="4356" spans="1:15">
      <c r="A4356" s="3563" t="s">
        <v>8578</v>
      </c>
      <c r="B4356" s="3563" t="s">
        <v>4196</v>
      </c>
      <c r="C4356" s="3563" t="s">
        <v>4197</v>
      </c>
      <c r="D4356" s="3563" t="s">
        <v>6429</v>
      </c>
      <c r="E4356" s="3563" t="s">
        <v>6369</v>
      </c>
      <c r="F4356" s="3563" t="s">
        <v>4797</v>
      </c>
      <c r="G4356" s="3564">
        <v>109.7</v>
      </c>
      <c r="H4356" s="3564">
        <v>88.44</v>
      </c>
      <c r="I4356" s="3564">
        <v>21.26</v>
      </c>
      <c r="J4356" s="3565">
        <v>1153239</v>
      </c>
      <c r="K4356" s="3565">
        <v>10512.66</v>
      </c>
      <c r="L4356" s="3565">
        <v>13039.79</v>
      </c>
      <c r="M4356" s="3565">
        <v>0</v>
      </c>
      <c r="N4356" s="3565">
        <v>0</v>
      </c>
      <c r="O4356" s="3563" t="s">
        <v>3453</v>
      </c>
    </row>
    <row r="4357" spans="1:15">
      <c r="A4357" s="3563" t="s">
        <v>8579</v>
      </c>
      <c r="B4357" s="3563" t="s">
        <v>4196</v>
      </c>
      <c r="C4357" s="3563" t="s">
        <v>4197</v>
      </c>
      <c r="D4357" s="3563" t="s">
        <v>6429</v>
      </c>
      <c r="E4357" s="3563" t="s">
        <v>6369</v>
      </c>
      <c r="F4357" s="3563" t="s">
        <v>4797</v>
      </c>
      <c r="G4357" s="3564">
        <v>101.39</v>
      </c>
      <c r="H4357" s="3564">
        <v>81.739999999999995</v>
      </c>
      <c r="I4357" s="3564">
        <v>19.649999999999999</v>
      </c>
      <c r="J4357" s="3565">
        <v>1075586</v>
      </c>
      <c r="K4357" s="3565">
        <v>10608.4</v>
      </c>
      <c r="L4357" s="3565">
        <v>13158.62</v>
      </c>
      <c r="M4357" s="3565">
        <v>0</v>
      </c>
      <c r="N4357" s="3565">
        <v>0</v>
      </c>
      <c r="O4357" s="3563" t="s">
        <v>3453</v>
      </c>
    </row>
    <row r="4358" spans="1:15">
      <c r="A4358" s="3563" t="s">
        <v>8580</v>
      </c>
      <c r="B4358" s="3563" t="s">
        <v>4196</v>
      </c>
      <c r="C4358" s="3563" t="s">
        <v>4197</v>
      </c>
      <c r="D4358" s="3563" t="s">
        <v>6429</v>
      </c>
      <c r="E4358" s="3563" t="s">
        <v>6369</v>
      </c>
      <c r="F4358" s="3563" t="s">
        <v>4797</v>
      </c>
      <c r="G4358" s="3564">
        <v>101.39</v>
      </c>
      <c r="H4358" s="3564">
        <v>81.739999999999995</v>
      </c>
      <c r="I4358" s="3564">
        <v>19.649999999999999</v>
      </c>
      <c r="J4358" s="3565">
        <v>1075586</v>
      </c>
      <c r="K4358" s="3565">
        <v>10608.4</v>
      </c>
      <c r="L4358" s="3565">
        <v>13158.62</v>
      </c>
      <c r="M4358" s="3565">
        <v>0</v>
      </c>
      <c r="N4358" s="3565">
        <v>0</v>
      </c>
      <c r="O4358" s="3563" t="s">
        <v>3453</v>
      </c>
    </row>
    <row r="4359" spans="1:15">
      <c r="A4359" s="3563" t="s">
        <v>8581</v>
      </c>
      <c r="B4359" s="3563" t="s">
        <v>4196</v>
      </c>
      <c r="C4359" s="3563" t="s">
        <v>4197</v>
      </c>
      <c r="D4359" s="3563" t="s">
        <v>6429</v>
      </c>
      <c r="E4359" s="3563" t="s">
        <v>6369</v>
      </c>
      <c r="F4359" s="3563" t="s">
        <v>4797</v>
      </c>
      <c r="G4359" s="3564">
        <v>90.28</v>
      </c>
      <c r="H4359" s="3564">
        <v>72.78</v>
      </c>
      <c r="I4359" s="3564">
        <v>17.5</v>
      </c>
      <c r="J4359" s="3565">
        <v>895300</v>
      </c>
      <c r="K4359" s="3565">
        <v>9916.93</v>
      </c>
      <c r="L4359" s="3565">
        <v>12301.46</v>
      </c>
      <c r="M4359" s="3565">
        <v>0</v>
      </c>
      <c r="N4359" s="3565">
        <v>0</v>
      </c>
      <c r="O4359" s="3563" t="s">
        <v>3453</v>
      </c>
    </row>
    <row r="4360" spans="1:15">
      <c r="A4360" s="3563" t="s">
        <v>8582</v>
      </c>
      <c r="B4360" s="3563" t="s">
        <v>4196</v>
      </c>
      <c r="C4360" s="3563" t="s">
        <v>4197</v>
      </c>
      <c r="D4360" s="3563" t="s">
        <v>6429</v>
      </c>
      <c r="E4360" s="3563" t="s">
        <v>6369</v>
      </c>
      <c r="F4360" s="3563" t="s">
        <v>4797</v>
      </c>
      <c r="G4360" s="3564">
        <v>78.180000000000007</v>
      </c>
      <c r="H4360" s="3564">
        <v>63.03</v>
      </c>
      <c r="I4360" s="3564">
        <v>15.15</v>
      </c>
      <c r="J4360" s="3565">
        <v>766988</v>
      </c>
      <c r="K4360" s="3565">
        <v>9810.5400000000009</v>
      </c>
      <c r="L4360" s="3565">
        <v>12168.62</v>
      </c>
      <c r="M4360" s="3565">
        <v>0</v>
      </c>
      <c r="N4360" s="3565">
        <v>0</v>
      </c>
      <c r="O4360" s="3563" t="s">
        <v>3453</v>
      </c>
    </row>
    <row r="4361" spans="1:15">
      <c r="A4361" s="3563" t="s">
        <v>8583</v>
      </c>
      <c r="B4361" s="3563" t="s">
        <v>4196</v>
      </c>
      <c r="C4361" s="3563" t="s">
        <v>4197</v>
      </c>
      <c r="D4361" s="3563" t="s">
        <v>6429</v>
      </c>
      <c r="E4361" s="3563" t="s">
        <v>6369</v>
      </c>
      <c r="F4361" s="3563" t="s">
        <v>4797</v>
      </c>
      <c r="G4361" s="3564">
        <v>78.180000000000007</v>
      </c>
      <c r="H4361" s="3564">
        <v>63.03</v>
      </c>
      <c r="I4361" s="3564">
        <v>15.15</v>
      </c>
      <c r="J4361" s="3565">
        <v>766988</v>
      </c>
      <c r="K4361" s="3565">
        <v>9810.5400000000009</v>
      </c>
      <c r="L4361" s="3565">
        <v>12168.62</v>
      </c>
      <c r="M4361" s="3565">
        <v>0</v>
      </c>
      <c r="N4361" s="3565">
        <v>0</v>
      </c>
      <c r="O4361" s="3563" t="s">
        <v>3453</v>
      </c>
    </row>
    <row r="4362" spans="1:15">
      <c r="A4362" s="3563" t="s">
        <v>8584</v>
      </c>
      <c r="B4362" s="3563" t="s">
        <v>4196</v>
      </c>
      <c r="C4362" s="3563" t="s">
        <v>4197</v>
      </c>
      <c r="D4362" s="3563" t="s">
        <v>6429</v>
      </c>
      <c r="E4362" s="3563" t="s">
        <v>6369</v>
      </c>
      <c r="F4362" s="3563" t="s">
        <v>4797</v>
      </c>
      <c r="G4362" s="3564">
        <v>109.7</v>
      </c>
      <c r="H4362" s="3564">
        <v>88.44</v>
      </c>
      <c r="I4362" s="3564">
        <v>21.26</v>
      </c>
      <c r="J4362" s="3565">
        <v>1152072</v>
      </c>
      <c r="K4362" s="3565">
        <v>10502.02</v>
      </c>
      <c r="L4362" s="3565">
        <v>13026.59</v>
      </c>
      <c r="M4362" s="3565">
        <v>0</v>
      </c>
      <c r="N4362" s="3565">
        <v>0</v>
      </c>
      <c r="O4362" s="3563" t="s">
        <v>3453</v>
      </c>
    </row>
    <row r="4363" spans="1:15">
      <c r="A4363" s="3563" t="s">
        <v>8585</v>
      </c>
      <c r="B4363" s="3563" t="s">
        <v>4196</v>
      </c>
      <c r="C4363" s="3563" t="s">
        <v>4197</v>
      </c>
      <c r="D4363" s="3563" t="s">
        <v>6429</v>
      </c>
      <c r="E4363" s="3563" t="s">
        <v>6369</v>
      </c>
      <c r="F4363" s="3563" t="s">
        <v>4797</v>
      </c>
      <c r="G4363" s="3564">
        <v>101.39</v>
      </c>
      <c r="H4363" s="3564">
        <v>81.739999999999995</v>
      </c>
      <c r="I4363" s="3564">
        <v>19.649999999999999</v>
      </c>
      <c r="J4363" s="3565">
        <v>1074509</v>
      </c>
      <c r="K4363" s="3565">
        <v>10597.78</v>
      </c>
      <c r="L4363" s="3565">
        <v>13145.45</v>
      </c>
      <c r="M4363" s="3565">
        <v>0</v>
      </c>
      <c r="N4363" s="3565">
        <v>0</v>
      </c>
      <c r="O4363" s="3563" t="s">
        <v>3453</v>
      </c>
    </row>
    <row r="4364" spans="1:15">
      <c r="A4364" s="3563" t="s">
        <v>8586</v>
      </c>
      <c r="B4364" s="3563" t="s">
        <v>4196</v>
      </c>
      <c r="C4364" s="3563" t="s">
        <v>4197</v>
      </c>
      <c r="D4364" s="3563" t="s">
        <v>6429</v>
      </c>
      <c r="E4364" s="3563" t="s">
        <v>6369</v>
      </c>
      <c r="F4364" s="3563" t="s">
        <v>4797</v>
      </c>
      <c r="G4364" s="3564">
        <v>101.39</v>
      </c>
      <c r="H4364" s="3564">
        <v>81.739999999999995</v>
      </c>
      <c r="I4364" s="3564">
        <v>19.649999999999999</v>
      </c>
      <c r="J4364" s="3565">
        <v>1074509</v>
      </c>
      <c r="K4364" s="3565">
        <v>10597.78</v>
      </c>
      <c r="L4364" s="3565">
        <v>13145.45</v>
      </c>
      <c r="M4364" s="3565">
        <v>0</v>
      </c>
      <c r="N4364" s="3565">
        <v>0</v>
      </c>
      <c r="O4364" s="3563" t="s">
        <v>3453</v>
      </c>
    </row>
    <row r="4365" spans="1:15">
      <c r="A4365" s="3563" t="s">
        <v>8587</v>
      </c>
      <c r="B4365" s="3563" t="s">
        <v>4196</v>
      </c>
      <c r="C4365" s="3563" t="s">
        <v>4197</v>
      </c>
      <c r="D4365" s="3563" t="s">
        <v>6429</v>
      </c>
      <c r="E4365" s="3563" t="s">
        <v>6369</v>
      </c>
      <c r="F4365" s="3563" t="s">
        <v>4797</v>
      </c>
      <c r="G4365" s="3564">
        <v>90.28</v>
      </c>
      <c r="H4365" s="3564">
        <v>72.78</v>
      </c>
      <c r="I4365" s="3564">
        <v>17.5</v>
      </c>
      <c r="J4365" s="3565">
        <v>894339</v>
      </c>
      <c r="K4365" s="3565">
        <v>9906.2800000000007</v>
      </c>
      <c r="L4365" s="3565">
        <v>12288.25</v>
      </c>
      <c r="M4365" s="3565">
        <v>0</v>
      </c>
      <c r="N4365" s="3565">
        <v>0</v>
      </c>
      <c r="O4365" s="3563" t="s">
        <v>3453</v>
      </c>
    </row>
    <row r="4366" spans="1:15">
      <c r="A4366" s="3563" t="s">
        <v>8588</v>
      </c>
      <c r="B4366" s="3563" t="s">
        <v>4196</v>
      </c>
      <c r="C4366" s="3563" t="s">
        <v>4197</v>
      </c>
      <c r="D4366" s="3563" t="s">
        <v>6429</v>
      </c>
      <c r="E4366" s="3563" t="s">
        <v>6369</v>
      </c>
      <c r="F4366" s="3563" t="s">
        <v>4797</v>
      </c>
      <c r="G4366" s="3564">
        <v>78.180000000000007</v>
      </c>
      <c r="H4366" s="3564">
        <v>63.03</v>
      </c>
      <c r="I4366" s="3564">
        <v>15.15</v>
      </c>
      <c r="J4366" s="3565">
        <v>782790</v>
      </c>
      <c r="K4366" s="3565">
        <v>10012.66</v>
      </c>
      <c r="L4366" s="3565">
        <v>12419.32</v>
      </c>
      <c r="M4366" s="3565">
        <v>0</v>
      </c>
      <c r="N4366" s="3565">
        <v>0</v>
      </c>
      <c r="O4366" s="3563" t="s">
        <v>3453</v>
      </c>
    </row>
    <row r="4367" spans="1:15">
      <c r="A4367" s="3563" t="s">
        <v>8589</v>
      </c>
      <c r="B4367" s="3563" t="s">
        <v>4196</v>
      </c>
      <c r="C4367" s="3563" t="s">
        <v>4197</v>
      </c>
      <c r="D4367" s="3563" t="s">
        <v>6429</v>
      </c>
      <c r="E4367" s="3563" t="s">
        <v>6369</v>
      </c>
      <c r="F4367" s="3563" t="s">
        <v>4797</v>
      </c>
      <c r="G4367" s="3564">
        <v>78.180000000000007</v>
      </c>
      <c r="H4367" s="3564">
        <v>63.03</v>
      </c>
      <c r="I4367" s="3564">
        <v>15.15</v>
      </c>
      <c r="J4367" s="3565">
        <v>782790</v>
      </c>
      <c r="K4367" s="3565">
        <v>10012.66</v>
      </c>
      <c r="L4367" s="3565">
        <v>12419.32</v>
      </c>
      <c r="M4367" s="3565">
        <v>0</v>
      </c>
      <c r="N4367" s="3565">
        <v>0</v>
      </c>
      <c r="O4367" s="3563" t="s">
        <v>3453</v>
      </c>
    </row>
    <row r="4368" spans="1:15">
      <c r="A4368" s="3563" t="s">
        <v>8590</v>
      </c>
      <c r="B4368" s="3563" t="s">
        <v>4196</v>
      </c>
      <c r="C4368" s="3563" t="s">
        <v>4197</v>
      </c>
      <c r="D4368" s="3563" t="s">
        <v>6429</v>
      </c>
      <c r="E4368" s="3563" t="s">
        <v>6369</v>
      </c>
      <c r="F4368" s="3563" t="s">
        <v>4797</v>
      </c>
      <c r="G4368" s="3564">
        <v>109.7</v>
      </c>
      <c r="H4368" s="3564">
        <v>88.44</v>
      </c>
      <c r="I4368" s="3564">
        <v>21.26</v>
      </c>
      <c r="J4368" s="3565">
        <v>1150905</v>
      </c>
      <c r="K4368" s="3565">
        <v>10491.39</v>
      </c>
      <c r="L4368" s="3565">
        <v>13013.4</v>
      </c>
      <c r="M4368" s="3565">
        <v>0</v>
      </c>
      <c r="N4368" s="3565">
        <v>0</v>
      </c>
      <c r="O4368" s="3563" t="s">
        <v>3453</v>
      </c>
    </row>
    <row r="4369" spans="1:15">
      <c r="A4369" s="3563" t="s">
        <v>8591</v>
      </c>
      <c r="B4369" s="3563" t="s">
        <v>4196</v>
      </c>
      <c r="C4369" s="3563" t="s">
        <v>4197</v>
      </c>
      <c r="D4369" s="3563" t="s">
        <v>6429</v>
      </c>
      <c r="E4369" s="3563" t="s">
        <v>6369</v>
      </c>
      <c r="F4369" s="3563" t="s">
        <v>4797</v>
      </c>
      <c r="G4369" s="3564">
        <v>101.39</v>
      </c>
      <c r="H4369" s="3564">
        <v>81.739999999999995</v>
      </c>
      <c r="I4369" s="3564">
        <v>19.649999999999999</v>
      </c>
      <c r="J4369" s="3565">
        <v>1041071</v>
      </c>
      <c r="K4369" s="3565">
        <v>10267.99</v>
      </c>
      <c r="L4369" s="3565">
        <v>12736.37</v>
      </c>
      <c r="M4369" s="3565">
        <v>0</v>
      </c>
      <c r="N4369" s="3565">
        <v>0</v>
      </c>
      <c r="O4369" s="3563" t="s">
        <v>3453</v>
      </c>
    </row>
    <row r="4370" spans="1:15">
      <c r="A4370" s="3563" t="s">
        <v>8592</v>
      </c>
      <c r="B4370" s="3563" t="s">
        <v>4196</v>
      </c>
      <c r="C4370" s="3563" t="s">
        <v>4197</v>
      </c>
      <c r="D4370" s="3563" t="s">
        <v>6429</v>
      </c>
      <c r="E4370" s="3563" t="s">
        <v>6369</v>
      </c>
      <c r="F4370" s="3563" t="s">
        <v>4797</v>
      </c>
      <c r="G4370" s="3564">
        <v>101.39</v>
      </c>
      <c r="H4370" s="3564">
        <v>81.739999999999995</v>
      </c>
      <c r="I4370" s="3564">
        <v>19.649999999999999</v>
      </c>
      <c r="J4370" s="3565">
        <v>1041071</v>
      </c>
      <c r="K4370" s="3565">
        <v>10267.99</v>
      </c>
      <c r="L4370" s="3565">
        <v>12736.37</v>
      </c>
      <c r="M4370" s="3565">
        <v>0</v>
      </c>
      <c r="N4370" s="3565">
        <v>0</v>
      </c>
      <c r="O4370" s="3563" t="s">
        <v>3453</v>
      </c>
    </row>
    <row r="4371" spans="1:15">
      <c r="A4371" s="3563" t="s">
        <v>8593</v>
      </c>
      <c r="B4371" s="3563" t="s">
        <v>4196</v>
      </c>
      <c r="C4371" s="3563" t="s">
        <v>4197</v>
      </c>
      <c r="D4371" s="3563" t="s">
        <v>6429</v>
      </c>
      <c r="E4371" s="3563" t="s">
        <v>6369</v>
      </c>
      <c r="F4371" s="3563" t="s">
        <v>4797</v>
      </c>
      <c r="G4371" s="3564">
        <v>90.28</v>
      </c>
      <c r="H4371" s="3564">
        <v>72.78</v>
      </c>
      <c r="I4371" s="3564">
        <v>17.5</v>
      </c>
      <c r="J4371" s="3565">
        <v>870329</v>
      </c>
      <c r="K4371" s="3565">
        <v>9640.33</v>
      </c>
      <c r="L4371" s="3565">
        <v>11958.35</v>
      </c>
      <c r="M4371" s="3565">
        <v>0</v>
      </c>
      <c r="N4371" s="3565">
        <v>0</v>
      </c>
      <c r="O4371" s="3563" t="s">
        <v>3453</v>
      </c>
    </row>
    <row r="4372" spans="1:15">
      <c r="A4372" s="3563" t="s">
        <v>8594</v>
      </c>
      <c r="B4372" s="3563" t="s">
        <v>4196</v>
      </c>
      <c r="C4372" s="3563" t="s">
        <v>4197</v>
      </c>
      <c r="D4372" s="3563" t="s">
        <v>6429</v>
      </c>
      <c r="E4372" s="3563" t="s">
        <v>6369</v>
      </c>
      <c r="F4372" s="3563" t="s">
        <v>4797</v>
      </c>
      <c r="G4372" s="3564">
        <v>78.180000000000007</v>
      </c>
      <c r="H4372" s="3564">
        <v>63.03</v>
      </c>
      <c r="I4372" s="3564">
        <v>15.15</v>
      </c>
      <c r="J4372" s="3565">
        <v>757007</v>
      </c>
      <c r="K4372" s="3565">
        <v>9682.8700000000008</v>
      </c>
      <c r="L4372" s="3565">
        <v>12010.26</v>
      </c>
      <c r="M4372" s="3565">
        <v>0</v>
      </c>
      <c r="N4372" s="3565">
        <v>0</v>
      </c>
      <c r="O4372" s="3563" t="s">
        <v>3453</v>
      </c>
    </row>
    <row r="4373" spans="1:15">
      <c r="A4373" s="3563" t="s">
        <v>8595</v>
      </c>
      <c r="B4373" s="3563" t="s">
        <v>4196</v>
      </c>
      <c r="C4373" s="3563" t="s">
        <v>4197</v>
      </c>
      <c r="D4373" s="3563" t="s">
        <v>6429</v>
      </c>
      <c r="E4373" s="3563" t="s">
        <v>6369</v>
      </c>
      <c r="F4373" s="3563" t="s">
        <v>4797</v>
      </c>
      <c r="G4373" s="3564">
        <v>78.180000000000007</v>
      </c>
      <c r="H4373" s="3564">
        <v>63.03</v>
      </c>
      <c r="I4373" s="3564">
        <v>15.15</v>
      </c>
      <c r="J4373" s="3565">
        <v>757007</v>
      </c>
      <c r="K4373" s="3565">
        <v>9682.8700000000008</v>
      </c>
      <c r="L4373" s="3565">
        <v>12010.26</v>
      </c>
      <c r="M4373" s="3565">
        <v>0</v>
      </c>
      <c r="N4373" s="3565">
        <v>0</v>
      </c>
      <c r="O4373" s="3563" t="s">
        <v>3453</v>
      </c>
    </row>
    <row r="4374" spans="1:15">
      <c r="A4374" s="3563" t="s">
        <v>8596</v>
      </c>
      <c r="B4374" s="3563" t="s">
        <v>4196</v>
      </c>
      <c r="C4374" s="3563" t="s">
        <v>4197</v>
      </c>
      <c r="D4374" s="3563" t="s">
        <v>6429</v>
      </c>
      <c r="E4374" s="3563" t="s">
        <v>6369</v>
      </c>
      <c r="F4374" s="3563" t="s">
        <v>4797</v>
      </c>
      <c r="G4374" s="3564">
        <v>109.7</v>
      </c>
      <c r="H4374" s="3564">
        <v>88.44</v>
      </c>
      <c r="I4374" s="3564">
        <v>21.26</v>
      </c>
      <c r="J4374" s="3565">
        <v>1114728</v>
      </c>
      <c r="K4374" s="3565">
        <v>10161.6</v>
      </c>
      <c r="L4374" s="3565">
        <v>12604.34</v>
      </c>
      <c r="M4374" s="3565">
        <v>0</v>
      </c>
      <c r="N4374" s="3565">
        <v>0</v>
      </c>
      <c r="O4374" s="3563" t="s">
        <v>3453</v>
      </c>
    </row>
    <row r="4375" spans="1:15">
      <c r="A4375" s="3563" t="s">
        <v>8597</v>
      </c>
      <c r="B4375" s="3563" t="s">
        <v>4196</v>
      </c>
      <c r="C4375" s="3563" t="s">
        <v>4197</v>
      </c>
      <c r="D4375" s="3563" t="s">
        <v>6429</v>
      </c>
      <c r="E4375" s="3563" t="s">
        <v>6369</v>
      </c>
      <c r="F4375" s="3563" t="s">
        <v>4797</v>
      </c>
      <c r="G4375" s="3564">
        <v>101.39</v>
      </c>
      <c r="H4375" s="3564">
        <v>81.739999999999995</v>
      </c>
      <c r="I4375" s="3564">
        <v>19.649999999999999</v>
      </c>
      <c r="J4375" s="3565">
        <v>1048621</v>
      </c>
      <c r="K4375" s="3565">
        <v>10342.450000000001</v>
      </c>
      <c r="L4375" s="3565">
        <v>12828.74</v>
      </c>
      <c r="M4375" s="3565">
        <v>0</v>
      </c>
      <c r="N4375" s="3565">
        <v>0</v>
      </c>
      <c r="O4375" s="3563" t="s">
        <v>3453</v>
      </c>
    </row>
    <row r="4376" spans="1:15">
      <c r="A4376" s="3563" t="s">
        <v>8598</v>
      </c>
      <c r="B4376" s="3563" t="s">
        <v>4196</v>
      </c>
      <c r="C4376" s="3563" t="s">
        <v>4197</v>
      </c>
      <c r="D4376" s="3563" t="s">
        <v>6429</v>
      </c>
      <c r="E4376" s="3563" t="s">
        <v>6369</v>
      </c>
      <c r="F4376" s="3563" t="s">
        <v>4797</v>
      </c>
      <c r="G4376" s="3564">
        <v>101.39</v>
      </c>
      <c r="H4376" s="3564">
        <v>81.739999999999995</v>
      </c>
      <c r="I4376" s="3564">
        <v>19.649999999999999</v>
      </c>
      <c r="J4376" s="3565">
        <v>1048621</v>
      </c>
      <c r="K4376" s="3565">
        <v>10342.450000000001</v>
      </c>
      <c r="L4376" s="3565">
        <v>12828.74</v>
      </c>
      <c r="M4376" s="3565">
        <v>0</v>
      </c>
      <c r="N4376" s="3565">
        <v>0</v>
      </c>
      <c r="O4376" s="3563" t="s">
        <v>3453</v>
      </c>
    </row>
    <row r="4377" spans="1:15">
      <c r="A4377" s="3563" t="s">
        <v>8599</v>
      </c>
      <c r="B4377" s="3563" t="s">
        <v>4196</v>
      </c>
      <c r="C4377" s="3563" t="s">
        <v>4197</v>
      </c>
      <c r="D4377" s="3563" t="s">
        <v>6429</v>
      </c>
      <c r="E4377" s="3563" t="s">
        <v>6369</v>
      </c>
      <c r="F4377" s="3563" t="s">
        <v>4797</v>
      </c>
      <c r="G4377" s="3564">
        <v>90.28</v>
      </c>
      <c r="H4377" s="3564">
        <v>72.78</v>
      </c>
      <c r="I4377" s="3564">
        <v>17.5</v>
      </c>
      <c r="J4377" s="3565">
        <v>870329</v>
      </c>
      <c r="K4377" s="3565">
        <v>9640.33</v>
      </c>
      <c r="L4377" s="3565">
        <v>11958.35</v>
      </c>
      <c r="M4377" s="3565">
        <v>0</v>
      </c>
      <c r="N4377" s="3565">
        <v>0</v>
      </c>
      <c r="O4377" s="3563" t="s">
        <v>3453</v>
      </c>
    </row>
    <row r="4378" spans="1:15">
      <c r="A4378" s="3563" t="s">
        <v>8600</v>
      </c>
      <c r="B4378" s="3563" t="s">
        <v>4196</v>
      </c>
      <c r="C4378" s="3563" t="s">
        <v>4197</v>
      </c>
      <c r="D4378" s="3563" t="s">
        <v>6429</v>
      </c>
      <c r="E4378" s="3563" t="s">
        <v>6369</v>
      </c>
      <c r="F4378" s="3563" t="s">
        <v>4797</v>
      </c>
      <c r="G4378" s="3564">
        <v>78.180000000000007</v>
      </c>
      <c r="H4378" s="3564">
        <v>63.03</v>
      </c>
      <c r="I4378" s="3564">
        <v>15.15</v>
      </c>
      <c r="J4378" s="3565">
        <v>753681</v>
      </c>
      <c r="K4378" s="3565">
        <v>9640.33</v>
      </c>
      <c r="L4378" s="3565">
        <v>11957.5</v>
      </c>
      <c r="M4378" s="3565">
        <v>0</v>
      </c>
      <c r="N4378" s="3565">
        <v>0</v>
      </c>
      <c r="O4378" s="3563" t="s">
        <v>3453</v>
      </c>
    </row>
    <row r="4379" spans="1:15">
      <c r="A4379" s="3563" t="s">
        <v>8601</v>
      </c>
      <c r="B4379" s="3563" t="s">
        <v>4196</v>
      </c>
      <c r="C4379" s="3563" t="s">
        <v>4197</v>
      </c>
      <c r="D4379" s="3563" t="s">
        <v>6429</v>
      </c>
      <c r="E4379" s="3563" t="s">
        <v>6369</v>
      </c>
      <c r="F4379" s="3563" t="s">
        <v>4797</v>
      </c>
      <c r="G4379" s="3564">
        <v>78.180000000000007</v>
      </c>
      <c r="H4379" s="3564">
        <v>63.03</v>
      </c>
      <c r="I4379" s="3564">
        <v>15.15</v>
      </c>
      <c r="J4379" s="3565">
        <v>753681</v>
      </c>
      <c r="K4379" s="3565">
        <v>9640.33</v>
      </c>
      <c r="L4379" s="3565">
        <v>11957.5</v>
      </c>
      <c r="M4379" s="3565">
        <v>0</v>
      </c>
      <c r="N4379" s="3565">
        <v>0</v>
      </c>
      <c r="O4379" s="3563" t="s">
        <v>3453</v>
      </c>
    </row>
    <row r="4380" spans="1:15">
      <c r="A4380" s="3563" t="s">
        <v>8602</v>
      </c>
      <c r="B4380" s="3563" t="s">
        <v>4196</v>
      </c>
      <c r="C4380" s="3563" t="s">
        <v>4197</v>
      </c>
      <c r="D4380" s="3563" t="s">
        <v>6429</v>
      </c>
      <c r="E4380" s="3563" t="s">
        <v>6369</v>
      </c>
      <c r="F4380" s="3563" t="s">
        <v>4797</v>
      </c>
      <c r="G4380" s="3564">
        <v>109.7</v>
      </c>
      <c r="H4380" s="3564">
        <v>88.44</v>
      </c>
      <c r="I4380" s="3564">
        <v>21.26</v>
      </c>
      <c r="J4380" s="3565">
        <v>1122897</v>
      </c>
      <c r="K4380" s="3565">
        <v>10236.07</v>
      </c>
      <c r="L4380" s="3565">
        <v>12696.71</v>
      </c>
      <c r="M4380" s="3565">
        <v>0</v>
      </c>
      <c r="N4380" s="3565">
        <v>0</v>
      </c>
      <c r="O4380" s="3563" t="s">
        <v>3453</v>
      </c>
    </row>
    <row r="4381" spans="1:15">
      <c r="A4381" s="3563" t="s">
        <v>8603</v>
      </c>
      <c r="B4381" s="3563" t="s">
        <v>4196</v>
      </c>
      <c r="C4381" s="3563" t="s">
        <v>4197</v>
      </c>
      <c r="D4381" s="3563" t="s">
        <v>6429</v>
      </c>
      <c r="E4381" s="3563" t="s">
        <v>6369</v>
      </c>
      <c r="F4381" s="3563" t="s">
        <v>4797</v>
      </c>
      <c r="G4381" s="3564">
        <v>101.39</v>
      </c>
      <c r="H4381" s="3564">
        <v>81.739999999999995</v>
      </c>
      <c r="I4381" s="3564">
        <v>19.649999999999999</v>
      </c>
      <c r="J4381" s="3565">
        <v>1061565</v>
      </c>
      <c r="K4381" s="3565">
        <v>10470.120000000001</v>
      </c>
      <c r="L4381" s="3565">
        <v>12987.09</v>
      </c>
      <c r="M4381" s="3565">
        <v>0</v>
      </c>
      <c r="N4381" s="3565">
        <v>0</v>
      </c>
      <c r="O4381" s="3563" t="s">
        <v>3453</v>
      </c>
    </row>
    <row r="4382" spans="1:15">
      <c r="A4382" s="3563" t="s">
        <v>8604</v>
      </c>
      <c r="B4382" s="3563" t="s">
        <v>4196</v>
      </c>
      <c r="C4382" s="3563" t="s">
        <v>4197</v>
      </c>
      <c r="D4382" s="3563" t="s">
        <v>6429</v>
      </c>
      <c r="E4382" s="3563" t="s">
        <v>6369</v>
      </c>
      <c r="F4382" s="3563" t="s">
        <v>4797</v>
      </c>
      <c r="G4382" s="3564">
        <v>101.39</v>
      </c>
      <c r="H4382" s="3564">
        <v>81.739999999999995</v>
      </c>
      <c r="I4382" s="3564">
        <v>19.649999999999999</v>
      </c>
      <c r="J4382" s="3565">
        <v>1061565</v>
      </c>
      <c r="K4382" s="3565">
        <v>10470.120000000001</v>
      </c>
      <c r="L4382" s="3565">
        <v>12987.09</v>
      </c>
      <c r="M4382" s="3565">
        <v>0</v>
      </c>
      <c r="N4382" s="3565">
        <v>0</v>
      </c>
      <c r="O4382" s="3563" t="s">
        <v>3453</v>
      </c>
    </row>
    <row r="4383" spans="1:15">
      <c r="A4383" s="3563" t="s">
        <v>8605</v>
      </c>
      <c r="B4383" s="3563" t="s">
        <v>4196</v>
      </c>
      <c r="C4383" s="3563" t="s">
        <v>4197</v>
      </c>
      <c r="D4383" s="3563" t="s">
        <v>6429</v>
      </c>
      <c r="E4383" s="3563" t="s">
        <v>6369</v>
      </c>
      <c r="F4383" s="3563" t="s">
        <v>4797</v>
      </c>
      <c r="G4383" s="3564">
        <v>90.28</v>
      </c>
      <c r="H4383" s="3564">
        <v>72.78</v>
      </c>
      <c r="I4383" s="3564">
        <v>17.5</v>
      </c>
      <c r="J4383" s="3565">
        <v>870329</v>
      </c>
      <c r="K4383" s="3565">
        <v>9640.33</v>
      </c>
      <c r="L4383" s="3565">
        <v>11958.35</v>
      </c>
      <c r="M4383" s="3565">
        <v>0</v>
      </c>
      <c r="N4383" s="3565">
        <v>0</v>
      </c>
      <c r="O4383" s="3563" t="s">
        <v>3453</v>
      </c>
    </row>
    <row r="4384" spans="1:15">
      <c r="A4384" s="3563" t="s">
        <v>8606</v>
      </c>
      <c r="B4384" s="3563" t="s">
        <v>4196</v>
      </c>
      <c r="C4384" s="3563" t="s">
        <v>4197</v>
      </c>
      <c r="D4384" s="3563" t="s">
        <v>6429</v>
      </c>
      <c r="E4384" s="3563" t="s">
        <v>6369</v>
      </c>
      <c r="F4384" s="3563" t="s">
        <v>4797</v>
      </c>
      <c r="G4384" s="3564">
        <v>78.180000000000007</v>
      </c>
      <c r="H4384" s="3564">
        <v>63.03</v>
      </c>
      <c r="I4384" s="3564">
        <v>15.15</v>
      </c>
      <c r="J4384" s="3565">
        <v>753681</v>
      </c>
      <c r="K4384" s="3565">
        <v>9640.33</v>
      </c>
      <c r="L4384" s="3565">
        <v>11957.5</v>
      </c>
      <c r="M4384" s="3565">
        <v>0</v>
      </c>
      <c r="N4384" s="3565">
        <v>0</v>
      </c>
      <c r="O4384" s="3563" t="s">
        <v>3453</v>
      </c>
    </row>
    <row r="4385" spans="1:15">
      <c r="A4385" s="3563" t="s">
        <v>8607</v>
      </c>
      <c r="B4385" s="3563" t="s">
        <v>4196</v>
      </c>
      <c r="C4385" s="3563" t="s">
        <v>4197</v>
      </c>
      <c r="D4385" s="3563" t="s">
        <v>6429</v>
      </c>
      <c r="E4385" s="3563" t="s">
        <v>6369</v>
      </c>
      <c r="F4385" s="3563" t="s">
        <v>4797</v>
      </c>
      <c r="G4385" s="3564">
        <v>78.180000000000007</v>
      </c>
      <c r="H4385" s="3564">
        <v>63.03</v>
      </c>
      <c r="I4385" s="3564">
        <v>15.15</v>
      </c>
      <c r="J4385" s="3565">
        <v>753681</v>
      </c>
      <c r="K4385" s="3565">
        <v>9640.33</v>
      </c>
      <c r="L4385" s="3565">
        <v>11957.5</v>
      </c>
      <c r="M4385" s="3565">
        <v>0</v>
      </c>
      <c r="N4385" s="3565">
        <v>0</v>
      </c>
      <c r="O4385" s="3563" t="s">
        <v>3453</v>
      </c>
    </row>
    <row r="4386" spans="1:15">
      <c r="A4386" s="3563" t="s">
        <v>8608</v>
      </c>
      <c r="B4386" s="3563" t="s">
        <v>4196</v>
      </c>
      <c r="C4386" s="3563" t="s">
        <v>4197</v>
      </c>
      <c r="D4386" s="3563" t="s">
        <v>6429</v>
      </c>
      <c r="E4386" s="3563" t="s">
        <v>6369</v>
      </c>
      <c r="F4386" s="3563" t="s">
        <v>4797</v>
      </c>
      <c r="G4386" s="3564">
        <v>109.7</v>
      </c>
      <c r="H4386" s="3564">
        <v>88.44</v>
      </c>
      <c r="I4386" s="3564">
        <v>21.26</v>
      </c>
      <c r="J4386" s="3565">
        <v>1136901</v>
      </c>
      <c r="K4386" s="3565">
        <v>10363.73</v>
      </c>
      <c r="L4386" s="3565">
        <v>12855.05</v>
      </c>
      <c r="M4386" s="3565">
        <v>0</v>
      </c>
      <c r="N4386" s="3565">
        <v>0</v>
      </c>
      <c r="O4386" s="3563" t="s">
        <v>3453</v>
      </c>
    </row>
    <row r="4387" spans="1:15">
      <c r="A4387" s="3563" t="s">
        <v>8609</v>
      </c>
      <c r="B4387" s="3563" t="s">
        <v>4196</v>
      </c>
      <c r="C4387" s="3563" t="s">
        <v>4197</v>
      </c>
      <c r="D4387" s="3563" t="s">
        <v>6429</v>
      </c>
      <c r="E4387" s="3563" t="s">
        <v>6369</v>
      </c>
      <c r="F4387" s="3563" t="s">
        <v>4797</v>
      </c>
      <c r="G4387" s="3564">
        <v>101.39</v>
      </c>
      <c r="H4387" s="3564">
        <v>81.739999999999995</v>
      </c>
      <c r="I4387" s="3564">
        <v>19.649999999999999</v>
      </c>
      <c r="J4387" s="3565">
        <v>1074509</v>
      </c>
      <c r="K4387" s="3565">
        <v>10597.78</v>
      </c>
      <c r="L4387" s="3565">
        <v>13145.45</v>
      </c>
      <c r="M4387" s="3565">
        <v>0</v>
      </c>
      <c r="N4387" s="3565">
        <v>0</v>
      </c>
      <c r="O4387" s="3563" t="s">
        <v>3453</v>
      </c>
    </row>
    <row r="4388" spans="1:15">
      <c r="A4388" s="3563" t="s">
        <v>8610</v>
      </c>
      <c r="B4388" s="3563" t="s">
        <v>4196</v>
      </c>
      <c r="C4388" s="3563" t="s">
        <v>4197</v>
      </c>
      <c r="D4388" s="3563" t="s">
        <v>6429</v>
      </c>
      <c r="E4388" s="3563" t="s">
        <v>6369</v>
      </c>
      <c r="F4388" s="3563" t="s">
        <v>4797</v>
      </c>
      <c r="G4388" s="3564">
        <v>101.39</v>
      </c>
      <c r="H4388" s="3564">
        <v>81.739999999999995</v>
      </c>
      <c r="I4388" s="3564">
        <v>19.649999999999999</v>
      </c>
      <c r="J4388" s="3565">
        <v>1074509</v>
      </c>
      <c r="K4388" s="3565">
        <v>10597.78</v>
      </c>
      <c r="L4388" s="3565">
        <v>13145.45</v>
      </c>
      <c r="M4388" s="3565">
        <v>0</v>
      </c>
      <c r="N4388" s="3565">
        <v>0</v>
      </c>
      <c r="O4388" s="3563" t="s">
        <v>3453</v>
      </c>
    </row>
    <row r="4389" spans="1:15">
      <c r="A4389" s="3563" t="s">
        <v>8611</v>
      </c>
      <c r="B4389" s="3563" t="s">
        <v>4196</v>
      </c>
      <c r="C4389" s="3563" t="s">
        <v>4197</v>
      </c>
      <c r="D4389" s="3563" t="s">
        <v>6429</v>
      </c>
      <c r="E4389" s="3563" t="s">
        <v>6369</v>
      </c>
      <c r="F4389" s="3563" t="s">
        <v>4797</v>
      </c>
      <c r="G4389" s="3564">
        <v>90.28</v>
      </c>
      <c r="H4389" s="3564">
        <v>72.78</v>
      </c>
      <c r="I4389" s="3564">
        <v>17.5</v>
      </c>
      <c r="J4389" s="3565">
        <v>870329</v>
      </c>
      <c r="K4389" s="3565">
        <v>9640.33</v>
      </c>
      <c r="L4389" s="3565">
        <v>11958.35</v>
      </c>
      <c r="M4389" s="3565">
        <v>0</v>
      </c>
      <c r="N4389" s="3565">
        <v>0</v>
      </c>
      <c r="O4389" s="3563" t="s">
        <v>3453</v>
      </c>
    </row>
    <row r="4390" spans="1:15">
      <c r="A4390" s="3563" t="s">
        <v>8612</v>
      </c>
      <c r="B4390" s="3563" t="s">
        <v>4196</v>
      </c>
      <c r="C4390" s="3563" t="s">
        <v>4197</v>
      </c>
      <c r="D4390" s="3563" t="s">
        <v>6429</v>
      </c>
      <c r="E4390" s="3563" t="s">
        <v>6369</v>
      </c>
      <c r="F4390" s="3563" t="s">
        <v>4797</v>
      </c>
      <c r="G4390" s="3564">
        <v>78.180000000000007</v>
      </c>
      <c r="H4390" s="3564">
        <v>63.03</v>
      </c>
      <c r="I4390" s="3564">
        <v>15.15</v>
      </c>
      <c r="J4390" s="3565">
        <v>757839</v>
      </c>
      <c r="K4390" s="3565">
        <v>9693.51</v>
      </c>
      <c r="L4390" s="3565">
        <v>12023.47</v>
      </c>
      <c r="M4390" s="3565">
        <v>0</v>
      </c>
      <c r="N4390" s="3565">
        <v>0</v>
      </c>
      <c r="O4390" s="3563" t="s">
        <v>3453</v>
      </c>
    </row>
    <row r="4391" spans="1:15">
      <c r="A4391" s="3563" t="s">
        <v>8613</v>
      </c>
      <c r="B4391" s="3563" t="s">
        <v>4196</v>
      </c>
      <c r="C4391" s="3563" t="s">
        <v>4197</v>
      </c>
      <c r="D4391" s="3563" t="s">
        <v>6429</v>
      </c>
      <c r="E4391" s="3563" t="s">
        <v>6369</v>
      </c>
      <c r="F4391" s="3563" t="s">
        <v>4797</v>
      </c>
      <c r="G4391" s="3564">
        <v>78.180000000000007</v>
      </c>
      <c r="H4391" s="3564">
        <v>63.03</v>
      </c>
      <c r="I4391" s="3564">
        <v>15.15</v>
      </c>
      <c r="J4391" s="3565">
        <v>757839</v>
      </c>
      <c r="K4391" s="3565">
        <v>9693.51</v>
      </c>
      <c r="L4391" s="3565">
        <v>12023.47</v>
      </c>
      <c r="M4391" s="3565">
        <v>0</v>
      </c>
      <c r="N4391" s="3565">
        <v>0</v>
      </c>
      <c r="O4391" s="3563" t="s">
        <v>3453</v>
      </c>
    </row>
    <row r="4392" spans="1:15">
      <c r="A4392" s="3563" t="s">
        <v>8614</v>
      </c>
      <c r="B4392" s="3563" t="s">
        <v>4196</v>
      </c>
      <c r="C4392" s="3563" t="s">
        <v>4197</v>
      </c>
      <c r="D4392" s="3563" t="s">
        <v>6429</v>
      </c>
      <c r="E4392" s="3563" t="s">
        <v>6369</v>
      </c>
      <c r="F4392" s="3563" t="s">
        <v>4797</v>
      </c>
      <c r="G4392" s="3564">
        <v>109.7</v>
      </c>
      <c r="H4392" s="3564">
        <v>88.44</v>
      </c>
      <c r="I4392" s="3564">
        <v>21.26</v>
      </c>
      <c r="J4392" s="3565">
        <v>1150905</v>
      </c>
      <c r="K4392" s="3565">
        <v>10491.39</v>
      </c>
      <c r="L4392" s="3565">
        <v>13013.4</v>
      </c>
      <c r="M4392" s="3565">
        <v>0</v>
      </c>
      <c r="N4392" s="3565">
        <v>0</v>
      </c>
      <c r="O4392" s="3563" t="s">
        <v>3453</v>
      </c>
    </row>
    <row r="4393" spans="1:15">
      <c r="A4393" s="3563" t="s">
        <v>8615</v>
      </c>
      <c r="B4393" s="3563" t="s">
        <v>4196</v>
      </c>
      <c r="C4393" s="3563" t="s">
        <v>4197</v>
      </c>
      <c r="D4393" s="3563" t="s">
        <v>6429</v>
      </c>
      <c r="E4393" s="3563" t="s">
        <v>6369</v>
      </c>
      <c r="F4393" s="3563" t="s">
        <v>4797</v>
      </c>
      <c r="G4393" s="3564">
        <v>101.39</v>
      </c>
      <c r="H4393" s="3564">
        <v>81.739999999999995</v>
      </c>
      <c r="I4393" s="3564">
        <v>19.649999999999999</v>
      </c>
      <c r="J4393" s="3565">
        <v>1075586</v>
      </c>
      <c r="K4393" s="3565">
        <v>10608.4</v>
      </c>
      <c r="L4393" s="3565">
        <v>13158.62</v>
      </c>
      <c r="M4393" s="3565">
        <v>0</v>
      </c>
      <c r="N4393" s="3565">
        <v>0</v>
      </c>
      <c r="O4393" s="3563" t="s">
        <v>3453</v>
      </c>
    </row>
    <row r="4394" spans="1:15">
      <c r="A4394" s="3563" t="s">
        <v>8616</v>
      </c>
      <c r="B4394" s="3563" t="s">
        <v>4196</v>
      </c>
      <c r="C4394" s="3563" t="s">
        <v>4197</v>
      </c>
      <c r="D4394" s="3563" t="s">
        <v>6429</v>
      </c>
      <c r="E4394" s="3563" t="s">
        <v>6369</v>
      </c>
      <c r="F4394" s="3563" t="s">
        <v>4797</v>
      </c>
      <c r="G4394" s="3564">
        <v>101.39</v>
      </c>
      <c r="H4394" s="3564">
        <v>81.739999999999995</v>
      </c>
      <c r="I4394" s="3564">
        <v>19.649999999999999</v>
      </c>
      <c r="J4394" s="3565">
        <v>1075586</v>
      </c>
      <c r="K4394" s="3565">
        <v>10608.4</v>
      </c>
      <c r="L4394" s="3565">
        <v>13158.62</v>
      </c>
      <c r="M4394" s="3565">
        <v>0</v>
      </c>
      <c r="N4394" s="3565">
        <v>0</v>
      </c>
      <c r="O4394" s="3563" t="s">
        <v>3453</v>
      </c>
    </row>
    <row r="4395" spans="1:15">
      <c r="A4395" s="3563" t="s">
        <v>8617</v>
      </c>
      <c r="B4395" s="3563" t="s">
        <v>4196</v>
      </c>
      <c r="C4395" s="3563" t="s">
        <v>4197</v>
      </c>
      <c r="D4395" s="3563" t="s">
        <v>6429</v>
      </c>
      <c r="E4395" s="3563" t="s">
        <v>6369</v>
      </c>
      <c r="F4395" s="3563" t="s">
        <v>4797</v>
      </c>
      <c r="G4395" s="3564">
        <v>90.28</v>
      </c>
      <c r="H4395" s="3564">
        <v>72.78</v>
      </c>
      <c r="I4395" s="3564">
        <v>17.5</v>
      </c>
      <c r="J4395" s="3565">
        <v>870329</v>
      </c>
      <c r="K4395" s="3565">
        <v>9640.33</v>
      </c>
      <c r="L4395" s="3565">
        <v>11958.35</v>
      </c>
      <c r="M4395" s="3565">
        <v>0</v>
      </c>
      <c r="N4395" s="3565">
        <v>0</v>
      </c>
      <c r="O4395" s="3563" t="s">
        <v>3453</v>
      </c>
    </row>
    <row r="4396" spans="1:15">
      <c r="A4396" s="3563" t="s">
        <v>8618</v>
      </c>
      <c r="B4396" s="3563" t="s">
        <v>4196</v>
      </c>
      <c r="C4396" s="3563" t="s">
        <v>4197</v>
      </c>
      <c r="D4396" s="3563" t="s">
        <v>6429</v>
      </c>
      <c r="E4396" s="3563" t="s">
        <v>6369</v>
      </c>
      <c r="F4396" s="3563" t="s">
        <v>4797</v>
      </c>
      <c r="G4396" s="3564">
        <v>78.180000000000007</v>
      </c>
      <c r="H4396" s="3564">
        <v>63.03</v>
      </c>
      <c r="I4396" s="3564">
        <v>15.15</v>
      </c>
      <c r="J4396" s="3565">
        <v>758671</v>
      </c>
      <c r="K4396" s="3565">
        <v>9704.16</v>
      </c>
      <c r="L4396" s="3565">
        <v>12036.67</v>
      </c>
      <c r="M4396" s="3565">
        <v>0</v>
      </c>
      <c r="N4396" s="3565">
        <v>0</v>
      </c>
      <c r="O4396" s="3563" t="s">
        <v>3453</v>
      </c>
    </row>
    <row r="4397" spans="1:15">
      <c r="A4397" s="3563" t="s">
        <v>8619</v>
      </c>
      <c r="B4397" s="3563" t="s">
        <v>4196</v>
      </c>
      <c r="C4397" s="3563" t="s">
        <v>4197</v>
      </c>
      <c r="D4397" s="3563" t="s">
        <v>6429</v>
      </c>
      <c r="E4397" s="3563" t="s">
        <v>6369</v>
      </c>
      <c r="F4397" s="3563" t="s">
        <v>4797</v>
      </c>
      <c r="G4397" s="3564">
        <v>78.180000000000007</v>
      </c>
      <c r="H4397" s="3564">
        <v>63.03</v>
      </c>
      <c r="I4397" s="3564">
        <v>15.15</v>
      </c>
      <c r="J4397" s="3565">
        <v>758671</v>
      </c>
      <c r="K4397" s="3565">
        <v>9704.16</v>
      </c>
      <c r="L4397" s="3565">
        <v>12036.67</v>
      </c>
      <c r="M4397" s="3565">
        <v>0</v>
      </c>
      <c r="N4397" s="3565">
        <v>0</v>
      </c>
      <c r="O4397" s="3563" t="s">
        <v>3453</v>
      </c>
    </row>
    <row r="4398" spans="1:15">
      <c r="A4398" s="3563" t="s">
        <v>8620</v>
      </c>
      <c r="B4398" s="3563" t="s">
        <v>4196</v>
      </c>
      <c r="C4398" s="3563" t="s">
        <v>4197</v>
      </c>
      <c r="D4398" s="3563" t="s">
        <v>6429</v>
      </c>
      <c r="E4398" s="3563" t="s">
        <v>6369</v>
      </c>
      <c r="F4398" s="3563" t="s">
        <v>4797</v>
      </c>
      <c r="G4398" s="3564">
        <v>109.7</v>
      </c>
      <c r="H4398" s="3564">
        <v>88.44</v>
      </c>
      <c r="I4398" s="3564">
        <v>21.26</v>
      </c>
      <c r="J4398" s="3565">
        <v>1152072</v>
      </c>
      <c r="K4398" s="3565">
        <v>10502.02</v>
      </c>
      <c r="L4398" s="3565">
        <v>13026.59</v>
      </c>
      <c r="M4398" s="3565">
        <v>0</v>
      </c>
      <c r="N4398" s="3565">
        <v>0</v>
      </c>
      <c r="O4398" s="3563" t="s">
        <v>3453</v>
      </c>
    </row>
    <row r="4399" spans="1:15">
      <c r="A4399" s="3563" t="s">
        <v>8621</v>
      </c>
      <c r="B4399" s="3563" t="s">
        <v>4196</v>
      </c>
      <c r="C4399" s="3563" t="s">
        <v>4197</v>
      </c>
      <c r="D4399" s="3563" t="s">
        <v>6429</v>
      </c>
      <c r="E4399" s="3563" t="s">
        <v>6369</v>
      </c>
      <c r="F4399" s="3563" t="s">
        <v>4797</v>
      </c>
      <c r="G4399" s="3564">
        <v>101.39</v>
      </c>
      <c r="H4399" s="3564">
        <v>81.739999999999995</v>
      </c>
      <c r="I4399" s="3564">
        <v>19.649999999999999</v>
      </c>
      <c r="J4399" s="3565">
        <v>1076665</v>
      </c>
      <c r="K4399" s="3565">
        <v>10619.05</v>
      </c>
      <c r="L4399" s="3565">
        <v>13171.83</v>
      </c>
      <c r="M4399" s="3565">
        <v>0</v>
      </c>
      <c r="N4399" s="3565">
        <v>0</v>
      </c>
      <c r="O4399" s="3563" t="s">
        <v>3453</v>
      </c>
    </row>
    <row r="4400" spans="1:15">
      <c r="A4400" s="3563" t="s">
        <v>8622</v>
      </c>
      <c r="B4400" s="3563" t="s">
        <v>4196</v>
      </c>
      <c r="C4400" s="3563" t="s">
        <v>4197</v>
      </c>
      <c r="D4400" s="3563" t="s">
        <v>6429</v>
      </c>
      <c r="E4400" s="3563" t="s">
        <v>6369</v>
      </c>
      <c r="F4400" s="3563" t="s">
        <v>4797</v>
      </c>
      <c r="G4400" s="3564">
        <v>101.39</v>
      </c>
      <c r="H4400" s="3564">
        <v>81.739999999999995</v>
      </c>
      <c r="I4400" s="3564">
        <v>19.649999999999999</v>
      </c>
      <c r="J4400" s="3565">
        <v>1076665</v>
      </c>
      <c r="K4400" s="3565">
        <v>10619.05</v>
      </c>
      <c r="L4400" s="3565">
        <v>13171.83</v>
      </c>
      <c r="M4400" s="3565">
        <v>0</v>
      </c>
      <c r="N4400" s="3565">
        <v>0</v>
      </c>
      <c r="O4400" s="3563" t="s">
        <v>3453</v>
      </c>
    </row>
    <row r="4401" spans="1:15">
      <c r="A4401" s="3563" t="s">
        <v>8623</v>
      </c>
      <c r="B4401" s="3563" t="s">
        <v>4196</v>
      </c>
      <c r="C4401" s="3563" t="s">
        <v>4197</v>
      </c>
      <c r="D4401" s="3563" t="s">
        <v>6429</v>
      </c>
      <c r="E4401" s="3563" t="s">
        <v>6369</v>
      </c>
      <c r="F4401" s="3563" t="s">
        <v>4797</v>
      </c>
      <c r="G4401" s="3564">
        <v>90.28</v>
      </c>
      <c r="H4401" s="3564">
        <v>72.78</v>
      </c>
      <c r="I4401" s="3564">
        <v>17.5</v>
      </c>
      <c r="J4401" s="3565">
        <v>877051</v>
      </c>
      <c r="K4401" s="3565">
        <v>9714.7900000000009</v>
      </c>
      <c r="L4401" s="3565">
        <v>12050.71</v>
      </c>
      <c r="M4401" s="3565">
        <v>0</v>
      </c>
      <c r="N4401" s="3565">
        <v>0</v>
      </c>
      <c r="O4401" s="3563" t="s">
        <v>3453</v>
      </c>
    </row>
    <row r="4402" spans="1:15">
      <c r="A4402" s="3563" t="s">
        <v>8624</v>
      </c>
      <c r="B4402" s="3563" t="s">
        <v>4196</v>
      </c>
      <c r="C4402" s="3563" t="s">
        <v>4197</v>
      </c>
      <c r="D4402" s="3563" t="s">
        <v>6429</v>
      </c>
      <c r="E4402" s="3563" t="s">
        <v>6369</v>
      </c>
      <c r="F4402" s="3563" t="s">
        <v>4797</v>
      </c>
      <c r="G4402" s="3564">
        <v>78.180000000000007</v>
      </c>
      <c r="H4402" s="3564">
        <v>63.03</v>
      </c>
      <c r="I4402" s="3564">
        <v>15.15</v>
      </c>
      <c r="J4402" s="3565">
        <v>767819</v>
      </c>
      <c r="K4402" s="3565">
        <v>9821.17</v>
      </c>
      <c r="L4402" s="3565">
        <v>12181.8</v>
      </c>
      <c r="M4402" s="3565">
        <v>0</v>
      </c>
      <c r="N4402" s="3565">
        <v>0</v>
      </c>
      <c r="O4402" s="3563" t="s">
        <v>3453</v>
      </c>
    </row>
    <row r="4403" spans="1:15">
      <c r="A4403" s="3563" t="s">
        <v>8625</v>
      </c>
      <c r="B4403" s="3563" t="s">
        <v>4196</v>
      </c>
      <c r="C4403" s="3563" t="s">
        <v>4197</v>
      </c>
      <c r="D4403" s="3563" t="s">
        <v>6429</v>
      </c>
      <c r="E4403" s="3563" t="s">
        <v>6369</v>
      </c>
      <c r="F4403" s="3563" t="s">
        <v>4797</v>
      </c>
      <c r="G4403" s="3564">
        <v>78.180000000000007</v>
      </c>
      <c r="H4403" s="3564">
        <v>63.03</v>
      </c>
      <c r="I4403" s="3564">
        <v>15.15</v>
      </c>
      <c r="J4403" s="3565">
        <v>767819</v>
      </c>
      <c r="K4403" s="3565">
        <v>9821.17</v>
      </c>
      <c r="L4403" s="3565">
        <v>12181.8</v>
      </c>
      <c r="M4403" s="3565">
        <v>0</v>
      </c>
      <c r="N4403" s="3565">
        <v>0</v>
      </c>
      <c r="O4403" s="3563" t="s">
        <v>3453</v>
      </c>
    </row>
    <row r="4404" spans="1:15">
      <c r="A4404" s="3563" t="s">
        <v>8626</v>
      </c>
      <c r="B4404" s="3563" t="s">
        <v>4196</v>
      </c>
      <c r="C4404" s="3563" t="s">
        <v>4197</v>
      </c>
      <c r="D4404" s="3563" t="s">
        <v>6429</v>
      </c>
      <c r="E4404" s="3563" t="s">
        <v>6369</v>
      </c>
      <c r="F4404" s="3563" t="s">
        <v>4797</v>
      </c>
      <c r="G4404" s="3564">
        <v>109.7</v>
      </c>
      <c r="H4404" s="3564">
        <v>88.44</v>
      </c>
      <c r="I4404" s="3564">
        <v>21.26</v>
      </c>
      <c r="J4404" s="3565">
        <v>1153239</v>
      </c>
      <c r="K4404" s="3565">
        <v>10512.66</v>
      </c>
      <c r="L4404" s="3565">
        <v>13039.79</v>
      </c>
      <c r="M4404" s="3565">
        <v>0</v>
      </c>
      <c r="N4404" s="3565">
        <v>0</v>
      </c>
      <c r="O4404" s="3563" t="s">
        <v>3453</v>
      </c>
    </row>
    <row r="4405" spans="1:15">
      <c r="A4405" s="3563" t="s">
        <v>8627</v>
      </c>
      <c r="B4405" s="3563" t="s">
        <v>4196</v>
      </c>
      <c r="C4405" s="3563" t="s">
        <v>4197</v>
      </c>
      <c r="D4405" s="3563" t="s">
        <v>6429</v>
      </c>
      <c r="E4405" s="3563" t="s">
        <v>6369</v>
      </c>
      <c r="F4405" s="3563" t="s">
        <v>4797</v>
      </c>
      <c r="G4405" s="3564">
        <v>101.39</v>
      </c>
      <c r="H4405" s="3564">
        <v>81.739999999999995</v>
      </c>
      <c r="I4405" s="3564">
        <v>19.649999999999999</v>
      </c>
      <c r="J4405" s="3565">
        <v>1077744</v>
      </c>
      <c r="K4405" s="3565">
        <v>10629.69</v>
      </c>
      <c r="L4405" s="3565">
        <v>13185.03</v>
      </c>
      <c r="M4405" s="3565">
        <v>0</v>
      </c>
      <c r="N4405" s="3565">
        <v>0</v>
      </c>
      <c r="O4405" s="3563" t="s">
        <v>3453</v>
      </c>
    </row>
    <row r="4406" spans="1:15">
      <c r="A4406" s="3563" t="s">
        <v>8628</v>
      </c>
      <c r="B4406" s="3563" t="s">
        <v>4196</v>
      </c>
      <c r="C4406" s="3563" t="s">
        <v>4197</v>
      </c>
      <c r="D4406" s="3563" t="s">
        <v>6429</v>
      </c>
      <c r="E4406" s="3563" t="s">
        <v>6369</v>
      </c>
      <c r="F4406" s="3563" t="s">
        <v>4797</v>
      </c>
      <c r="G4406" s="3564">
        <v>101.39</v>
      </c>
      <c r="H4406" s="3564">
        <v>81.739999999999995</v>
      </c>
      <c r="I4406" s="3564">
        <v>19.649999999999999</v>
      </c>
      <c r="J4406" s="3565">
        <v>1077744</v>
      </c>
      <c r="K4406" s="3565">
        <v>10629.69</v>
      </c>
      <c r="L4406" s="3565">
        <v>13185.03</v>
      </c>
      <c r="M4406" s="3565">
        <v>0</v>
      </c>
      <c r="N4406" s="3565">
        <v>0</v>
      </c>
      <c r="O4406" s="3563" t="s">
        <v>3453</v>
      </c>
    </row>
    <row r="4407" spans="1:15">
      <c r="A4407" s="3563" t="s">
        <v>8629</v>
      </c>
      <c r="B4407" s="3563" t="s">
        <v>4196</v>
      </c>
      <c r="C4407" s="3563" t="s">
        <v>4197</v>
      </c>
      <c r="D4407" s="3563" t="s">
        <v>6429</v>
      </c>
      <c r="E4407" s="3563" t="s">
        <v>6369</v>
      </c>
      <c r="F4407" s="3563" t="s">
        <v>4797</v>
      </c>
      <c r="G4407" s="3564">
        <v>90.28</v>
      </c>
      <c r="H4407" s="3564">
        <v>72.78</v>
      </c>
      <c r="I4407" s="3564">
        <v>17.5</v>
      </c>
      <c r="J4407" s="3565">
        <v>878012</v>
      </c>
      <c r="K4407" s="3565">
        <v>9725.43</v>
      </c>
      <c r="L4407" s="3565">
        <v>12063.92</v>
      </c>
      <c r="M4407" s="3565">
        <v>0</v>
      </c>
      <c r="N4407" s="3565">
        <v>0</v>
      </c>
      <c r="O4407" s="3563" t="s">
        <v>3453</v>
      </c>
    </row>
    <row r="4408" spans="1:15">
      <c r="A4408" s="3563" t="s">
        <v>8630</v>
      </c>
      <c r="B4408" s="3563" t="s">
        <v>4196</v>
      </c>
      <c r="C4408" s="3563" t="s">
        <v>4197</v>
      </c>
      <c r="D4408" s="3563" t="s">
        <v>6429</v>
      </c>
      <c r="E4408" s="3563" t="s">
        <v>6369</v>
      </c>
      <c r="F4408" s="3563" t="s">
        <v>4797</v>
      </c>
      <c r="G4408" s="3564">
        <v>78.180000000000007</v>
      </c>
      <c r="H4408" s="3564">
        <v>63.03</v>
      </c>
      <c r="I4408" s="3564">
        <v>15.15</v>
      </c>
      <c r="J4408" s="3565">
        <v>768651</v>
      </c>
      <c r="K4408" s="3565">
        <v>9831.81</v>
      </c>
      <c r="L4408" s="3565">
        <v>12195</v>
      </c>
      <c r="M4408" s="3565">
        <v>0</v>
      </c>
      <c r="N4408" s="3565">
        <v>0</v>
      </c>
      <c r="O4408" s="3563" t="s">
        <v>3453</v>
      </c>
    </row>
    <row r="4409" spans="1:15">
      <c r="A4409" s="3563" t="s">
        <v>8631</v>
      </c>
      <c r="B4409" s="3563" t="s">
        <v>4196</v>
      </c>
      <c r="C4409" s="3563" t="s">
        <v>4197</v>
      </c>
      <c r="D4409" s="3563" t="s">
        <v>6429</v>
      </c>
      <c r="E4409" s="3563" t="s">
        <v>6369</v>
      </c>
      <c r="F4409" s="3563" t="s">
        <v>4797</v>
      </c>
      <c r="G4409" s="3564">
        <v>78.180000000000007</v>
      </c>
      <c r="H4409" s="3564">
        <v>63.03</v>
      </c>
      <c r="I4409" s="3564">
        <v>15.15</v>
      </c>
      <c r="J4409" s="3565">
        <v>768651</v>
      </c>
      <c r="K4409" s="3565">
        <v>9831.81</v>
      </c>
      <c r="L4409" s="3565">
        <v>12195</v>
      </c>
      <c r="M4409" s="3565">
        <v>0</v>
      </c>
      <c r="N4409" s="3565">
        <v>0</v>
      </c>
      <c r="O4409" s="3563" t="s">
        <v>3453</v>
      </c>
    </row>
    <row r="4410" spans="1:15">
      <c r="A4410" s="3563" t="s">
        <v>8632</v>
      </c>
      <c r="B4410" s="3563" t="s">
        <v>4196</v>
      </c>
      <c r="C4410" s="3563" t="s">
        <v>4197</v>
      </c>
      <c r="D4410" s="3563" t="s">
        <v>6429</v>
      </c>
      <c r="E4410" s="3563" t="s">
        <v>6369</v>
      </c>
      <c r="F4410" s="3563" t="s">
        <v>4797</v>
      </c>
      <c r="G4410" s="3564">
        <v>109.7</v>
      </c>
      <c r="H4410" s="3564">
        <v>88.44</v>
      </c>
      <c r="I4410" s="3564">
        <v>21.26</v>
      </c>
      <c r="J4410" s="3565">
        <v>1154406</v>
      </c>
      <c r="K4410" s="3565">
        <v>10523.3</v>
      </c>
      <c r="L4410" s="3565">
        <v>13052.99</v>
      </c>
      <c r="M4410" s="3565">
        <v>0</v>
      </c>
      <c r="N4410" s="3565">
        <v>0</v>
      </c>
      <c r="O4410" s="3563" t="s">
        <v>3453</v>
      </c>
    </row>
    <row r="4411" spans="1:15">
      <c r="A4411" s="3563" t="s">
        <v>8633</v>
      </c>
      <c r="B4411" s="3563" t="s">
        <v>4196</v>
      </c>
      <c r="C4411" s="3563" t="s">
        <v>4197</v>
      </c>
      <c r="D4411" s="3563" t="s">
        <v>6429</v>
      </c>
      <c r="E4411" s="3563" t="s">
        <v>6369</v>
      </c>
      <c r="F4411" s="3563" t="s">
        <v>4797</v>
      </c>
      <c r="G4411" s="3564">
        <v>101.39</v>
      </c>
      <c r="H4411" s="3564">
        <v>81.739999999999995</v>
      </c>
      <c r="I4411" s="3564">
        <v>19.649999999999999</v>
      </c>
      <c r="J4411" s="3565">
        <v>1078822</v>
      </c>
      <c r="K4411" s="3565">
        <v>10640.32</v>
      </c>
      <c r="L4411" s="3565">
        <v>13198.21</v>
      </c>
      <c r="M4411" s="3565">
        <v>0</v>
      </c>
      <c r="N4411" s="3565">
        <v>0</v>
      </c>
      <c r="O4411" s="3563" t="s">
        <v>3453</v>
      </c>
    </row>
    <row r="4412" spans="1:15">
      <c r="A4412" s="3563" t="s">
        <v>8634</v>
      </c>
      <c r="B4412" s="3563" t="s">
        <v>4196</v>
      </c>
      <c r="C4412" s="3563" t="s">
        <v>4197</v>
      </c>
      <c r="D4412" s="3563" t="s">
        <v>6429</v>
      </c>
      <c r="E4412" s="3563" t="s">
        <v>6369</v>
      </c>
      <c r="F4412" s="3563" t="s">
        <v>4797</v>
      </c>
      <c r="G4412" s="3564">
        <v>101.39</v>
      </c>
      <c r="H4412" s="3564">
        <v>81.739999999999995</v>
      </c>
      <c r="I4412" s="3564">
        <v>19.649999999999999</v>
      </c>
      <c r="J4412" s="3565">
        <v>1078822</v>
      </c>
      <c r="K4412" s="3565">
        <v>10640.32</v>
      </c>
      <c r="L4412" s="3565">
        <v>13198.21</v>
      </c>
      <c r="M4412" s="3565">
        <v>0</v>
      </c>
      <c r="N4412" s="3565">
        <v>0</v>
      </c>
      <c r="O4412" s="3563" t="s">
        <v>3453</v>
      </c>
    </row>
    <row r="4413" spans="1:15">
      <c r="A4413" s="3563" t="s">
        <v>8635</v>
      </c>
      <c r="B4413" s="3563" t="s">
        <v>4196</v>
      </c>
      <c r="C4413" s="3563" t="s">
        <v>4197</v>
      </c>
      <c r="D4413" s="3563" t="s">
        <v>6429</v>
      </c>
      <c r="E4413" s="3563" t="s">
        <v>6369</v>
      </c>
      <c r="F4413" s="3563" t="s">
        <v>4797</v>
      </c>
      <c r="G4413" s="3564">
        <v>90.28</v>
      </c>
      <c r="H4413" s="3564">
        <v>72.78</v>
      </c>
      <c r="I4413" s="3564">
        <v>17.5</v>
      </c>
      <c r="J4413" s="3565">
        <v>878972</v>
      </c>
      <c r="K4413" s="3565">
        <v>9736.07</v>
      </c>
      <c r="L4413" s="3565">
        <v>12077.11</v>
      </c>
      <c r="M4413" s="3565">
        <v>0</v>
      </c>
      <c r="N4413" s="3565">
        <v>0</v>
      </c>
      <c r="O4413" s="3563" t="s">
        <v>3453</v>
      </c>
    </row>
    <row r="4414" spans="1:15">
      <c r="A4414" s="3563" t="s">
        <v>8636</v>
      </c>
      <c r="B4414" s="3563" t="s">
        <v>4196</v>
      </c>
      <c r="C4414" s="3563" t="s">
        <v>4197</v>
      </c>
      <c r="D4414" s="3563" t="s">
        <v>6429</v>
      </c>
      <c r="E4414" s="3563" t="s">
        <v>6369</v>
      </c>
      <c r="F4414" s="3563" t="s">
        <v>4797</v>
      </c>
      <c r="G4414" s="3564">
        <v>78.180000000000007</v>
      </c>
      <c r="H4414" s="3564">
        <v>63.03</v>
      </c>
      <c r="I4414" s="3564">
        <v>15.15</v>
      </c>
      <c r="J4414" s="3565">
        <v>769483</v>
      </c>
      <c r="K4414" s="3565">
        <v>9842.4500000000007</v>
      </c>
      <c r="L4414" s="3565">
        <v>12208.2</v>
      </c>
      <c r="M4414" s="3565">
        <v>0</v>
      </c>
      <c r="N4414" s="3565">
        <v>0</v>
      </c>
      <c r="O4414" s="3563" t="s">
        <v>3453</v>
      </c>
    </row>
    <row r="4415" spans="1:15">
      <c r="A4415" s="3563" t="s">
        <v>8637</v>
      </c>
      <c r="B4415" s="3563" t="s">
        <v>4196</v>
      </c>
      <c r="C4415" s="3563" t="s">
        <v>4197</v>
      </c>
      <c r="D4415" s="3563" t="s">
        <v>6429</v>
      </c>
      <c r="E4415" s="3563" t="s">
        <v>6369</v>
      </c>
      <c r="F4415" s="3563" t="s">
        <v>4797</v>
      </c>
      <c r="G4415" s="3564">
        <v>78.180000000000007</v>
      </c>
      <c r="H4415" s="3564">
        <v>63.03</v>
      </c>
      <c r="I4415" s="3564">
        <v>15.15</v>
      </c>
      <c r="J4415" s="3565">
        <v>769483</v>
      </c>
      <c r="K4415" s="3565">
        <v>9842.4500000000007</v>
      </c>
      <c r="L4415" s="3565">
        <v>12208.2</v>
      </c>
      <c r="M4415" s="3565">
        <v>0</v>
      </c>
      <c r="N4415" s="3565">
        <v>0</v>
      </c>
      <c r="O4415" s="3563" t="s">
        <v>3453</v>
      </c>
    </row>
    <row r="4416" spans="1:15">
      <c r="A4416" s="3563" t="s">
        <v>8638</v>
      </c>
      <c r="B4416" s="3563" t="s">
        <v>4196</v>
      </c>
      <c r="C4416" s="3563" t="s">
        <v>4197</v>
      </c>
      <c r="D4416" s="3563" t="s">
        <v>6429</v>
      </c>
      <c r="E4416" s="3563" t="s">
        <v>6369</v>
      </c>
      <c r="F4416" s="3563" t="s">
        <v>4797</v>
      </c>
      <c r="G4416" s="3564">
        <v>109.7</v>
      </c>
      <c r="H4416" s="3564">
        <v>88.44</v>
      </c>
      <c r="I4416" s="3564">
        <v>21.26</v>
      </c>
      <c r="J4416" s="3565">
        <v>1155573</v>
      </c>
      <c r="K4416" s="3565">
        <v>10533.94</v>
      </c>
      <c r="L4416" s="3565">
        <v>13066.18</v>
      </c>
      <c r="M4416" s="3565">
        <v>0</v>
      </c>
      <c r="N4416" s="3565">
        <v>0</v>
      </c>
      <c r="O4416" s="3563" t="s">
        <v>3453</v>
      </c>
    </row>
    <row r="4417" spans="1:15">
      <c r="A4417" s="3563" t="s">
        <v>8639</v>
      </c>
      <c r="B4417" s="3563" t="s">
        <v>4196</v>
      </c>
      <c r="C4417" s="3563" t="s">
        <v>4197</v>
      </c>
      <c r="D4417" s="3563" t="s">
        <v>6429</v>
      </c>
      <c r="E4417" s="3563" t="s">
        <v>6386</v>
      </c>
      <c r="F4417" s="3563" t="s">
        <v>4797</v>
      </c>
      <c r="G4417" s="3564">
        <v>99.91</v>
      </c>
      <c r="H4417" s="3564">
        <v>81.739999999999995</v>
      </c>
      <c r="I4417" s="3564">
        <v>18.170000000000002</v>
      </c>
      <c r="J4417" s="3565">
        <v>1018434</v>
      </c>
      <c r="K4417" s="3565">
        <v>10193.51</v>
      </c>
      <c r="L4417" s="3565">
        <v>12459.43</v>
      </c>
      <c r="M4417" s="3565">
        <v>0</v>
      </c>
      <c r="N4417" s="3565">
        <v>0</v>
      </c>
      <c r="O4417" s="3563" t="s">
        <v>3453</v>
      </c>
    </row>
    <row r="4418" spans="1:15">
      <c r="A4418" s="3563" t="s">
        <v>8640</v>
      </c>
      <c r="B4418" s="3563" t="s">
        <v>4196</v>
      </c>
      <c r="C4418" s="3563" t="s">
        <v>4197</v>
      </c>
      <c r="D4418" s="3563" t="s">
        <v>6429</v>
      </c>
      <c r="E4418" s="3563" t="s">
        <v>6386</v>
      </c>
      <c r="F4418" s="3563" t="s">
        <v>4797</v>
      </c>
      <c r="G4418" s="3564">
        <v>99.91</v>
      </c>
      <c r="H4418" s="3564">
        <v>81.739999999999995</v>
      </c>
      <c r="I4418" s="3564">
        <v>18.170000000000002</v>
      </c>
      <c r="J4418" s="3565">
        <v>1018434</v>
      </c>
      <c r="K4418" s="3565">
        <v>10193.51</v>
      </c>
      <c r="L4418" s="3565">
        <v>12459.43</v>
      </c>
      <c r="M4418" s="3565">
        <v>0</v>
      </c>
      <c r="N4418" s="3565">
        <v>0</v>
      </c>
      <c r="O4418" s="3563" t="s">
        <v>3453</v>
      </c>
    </row>
    <row r="4419" spans="1:15">
      <c r="A4419" s="3563" t="s">
        <v>8641</v>
      </c>
      <c r="B4419" s="3563" t="s">
        <v>4811</v>
      </c>
      <c r="C4419" s="3563" t="s">
        <v>4197</v>
      </c>
      <c r="D4419" s="3563" t="s">
        <v>6429</v>
      </c>
      <c r="E4419" s="3563" t="s">
        <v>6386</v>
      </c>
      <c r="F4419" s="3563" t="s">
        <v>4797</v>
      </c>
      <c r="G4419" s="3564">
        <v>73.39</v>
      </c>
      <c r="H4419" s="3564">
        <v>63.03</v>
      </c>
      <c r="I4419" s="3564">
        <v>10.36</v>
      </c>
      <c r="J4419" s="3565">
        <v>715311</v>
      </c>
      <c r="K4419" s="3565">
        <v>9746.7099999999991</v>
      </c>
      <c r="L4419" s="3565">
        <v>11348.74</v>
      </c>
      <c r="M4419" s="3565">
        <v>686698</v>
      </c>
      <c r="N4419" s="3565">
        <v>9356.83</v>
      </c>
      <c r="O4419" s="3566">
        <v>44185</v>
      </c>
    </row>
    <row r="4420" spans="1:15">
      <c r="A4420" s="3563" t="s">
        <v>8642</v>
      </c>
      <c r="B4420" s="3563" t="s">
        <v>4811</v>
      </c>
      <c r="C4420" s="3563" t="s">
        <v>4197</v>
      </c>
      <c r="D4420" s="3563" t="s">
        <v>6429</v>
      </c>
      <c r="E4420" s="3563" t="s">
        <v>6386</v>
      </c>
      <c r="F4420" s="3563" t="s">
        <v>4797</v>
      </c>
      <c r="G4420" s="3564">
        <v>73.39</v>
      </c>
      <c r="H4420" s="3564">
        <v>63.03</v>
      </c>
      <c r="I4420" s="3564">
        <v>10.36</v>
      </c>
      <c r="J4420" s="3565">
        <v>715311</v>
      </c>
      <c r="K4420" s="3565">
        <v>9746.7099999999991</v>
      </c>
      <c r="L4420" s="3565">
        <v>11348.74</v>
      </c>
      <c r="M4420" s="3565">
        <v>679546</v>
      </c>
      <c r="N4420" s="3565">
        <v>9259.3799999999992</v>
      </c>
      <c r="O4420" s="3566">
        <v>44185</v>
      </c>
    </row>
    <row r="4421" spans="1:15">
      <c r="A4421" s="3563" t="s">
        <v>8643</v>
      </c>
      <c r="B4421" s="3563" t="s">
        <v>6422</v>
      </c>
      <c r="C4421" s="3563" t="s">
        <v>4197</v>
      </c>
      <c r="D4421" s="3563" t="s">
        <v>6429</v>
      </c>
      <c r="E4421" s="3563" t="s">
        <v>6386</v>
      </c>
      <c r="F4421" s="3563" t="s">
        <v>4797</v>
      </c>
      <c r="G4421" s="3564">
        <v>101.63</v>
      </c>
      <c r="H4421" s="3564">
        <v>81.739999999999995</v>
      </c>
      <c r="I4421" s="3564">
        <v>19.89</v>
      </c>
      <c r="J4421" s="3565">
        <v>1093269</v>
      </c>
      <c r="K4421" s="3565">
        <v>10757.35</v>
      </c>
      <c r="L4421" s="3565">
        <v>13374.96</v>
      </c>
      <c r="M4421" s="3565">
        <v>1049539</v>
      </c>
      <c r="N4421" s="3565">
        <v>10327.06</v>
      </c>
      <c r="O4421" s="3566">
        <v>44178</v>
      </c>
    </row>
    <row r="4422" spans="1:15">
      <c r="A4422" s="3563" t="s">
        <v>8644</v>
      </c>
      <c r="B4422" s="3563" t="s">
        <v>4811</v>
      </c>
      <c r="C4422" s="3563" t="s">
        <v>4197</v>
      </c>
      <c r="D4422" s="3563" t="s">
        <v>6429</v>
      </c>
      <c r="E4422" s="3563" t="s">
        <v>6386</v>
      </c>
      <c r="F4422" s="3563" t="s">
        <v>4797</v>
      </c>
      <c r="G4422" s="3564">
        <v>101.63</v>
      </c>
      <c r="H4422" s="3564">
        <v>81.739999999999995</v>
      </c>
      <c r="I4422" s="3564">
        <v>19.89</v>
      </c>
      <c r="J4422" s="3565">
        <v>1093269</v>
      </c>
      <c r="K4422" s="3565">
        <v>10757.35</v>
      </c>
      <c r="L4422" s="3565">
        <v>13374.96</v>
      </c>
      <c r="M4422" s="3565">
        <v>1093269</v>
      </c>
      <c r="N4422" s="3565">
        <v>10757.35</v>
      </c>
      <c r="O4422" s="3566">
        <v>44177</v>
      </c>
    </row>
    <row r="4423" spans="1:15">
      <c r="A4423" s="3563" t="s">
        <v>8645</v>
      </c>
      <c r="B4423" s="3563" t="s">
        <v>4811</v>
      </c>
      <c r="C4423" s="3563" t="s">
        <v>4197</v>
      </c>
      <c r="D4423" s="3563" t="s">
        <v>6429</v>
      </c>
      <c r="E4423" s="3563" t="s">
        <v>6386</v>
      </c>
      <c r="F4423" s="3563" t="s">
        <v>4797</v>
      </c>
      <c r="G4423" s="3564">
        <v>90.49</v>
      </c>
      <c r="H4423" s="3564">
        <v>72.78</v>
      </c>
      <c r="I4423" s="3564">
        <v>17.71</v>
      </c>
      <c r="J4423" s="3565">
        <v>881980</v>
      </c>
      <c r="K4423" s="3565">
        <v>9746.7099999999991</v>
      </c>
      <c r="L4423" s="3565">
        <v>12118.44</v>
      </c>
      <c r="M4423" s="3565">
        <v>881980</v>
      </c>
      <c r="N4423" s="3565">
        <v>9746.7099999999991</v>
      </c>
      <c r="O4423" s="3566">
        <v>44176</v>
      </c>
    </row>
    <row r="4424" spans="1:15">
      <c r="A4424" s="3563" t="s">
        <v>8646</v>
      </c>
      <c r="B4424" s="3563" t="s">
        <v>5277</v>
      </c>
      <c r="C4424" s="3563" t="s">
        <v>4197</v>
      </c>
      <c r="D4424" s="3563" t="s">
        <v>6429</v>
      </c>
      <c r="E4424" s="3563" t="s">
        <v>6386</v>
      </c>
      <c r="F4424" s="3563" t="s">
        <v>4797</v>
      </c>
      <c r="G4424" s="3564">
        <v>78.37</v>
      </c>
      <c r="H4424" s="3564">
        <v>63.03</v>
      </c>
      <c r="I4424" s="3564">
        <v>15.34</v>
      </c>
      <c r="J4424" s="3565">
        <v>772187</v>
      </c>
      <c r="K4424" s="3565">
        <v>9853.09</v>
      </c>
      <c r="L4424" s="3565">
        <v>12251.1</v>
      </c>
      <c r="M4424" s="3565">
        <v>733578</v>
      </c>
      <c r="N4424" s="3565">
        <v>9360.44</v>
      </c>
      <c r="O4424" s="3566">
        <v>44176</v>
      </c>
    </row>
    <row r="4425" spans="1:15">
      <c r="A4425" s="3563" t="s">
        <v>8647</v>
      </c>
      <c r="B4425" s="3563" t="s">
        <v>6422</v>
      </c>
      <c r="C4425" s="3563" t="s">
        <v>4197</v>
      </c>
      <c r="D4425" s="3563" t="s">
        <v>6429</v>
      </c>
      <c r="E4425" s="3563" t="s">
        <v>6386</v>
      </c>
      <c r="F4425" s="3563" t="s">
        <v>4797</v>
      </c>
      <c r="G4425" s="3564">
        <v>78.37</v>
      </c>
      <c r="H4425" s="3564">
        <v>63.03</v>
      </c>
      <c r="I4425" s="3564">
        <v>15.34</v>
      </c>
      <c r="J4425" s="3565">
        <v>772187</v>
      </c>
      <c r="K4425" s="3565">
        <v>9853.09</v>
      </c>
      <c r="L4425" s="3565">
        <v>12251.1</v>
      </c>
      <c r="M4425" s="3565">
        <v>733578</v>
      </c>
      <c r="N4425" s="3565">
        <v>9360.44</v>
      </c>
      <c r="O4425" s="3566">
        <v>44179</v>
      </c>
    </row>
    <row r="4426" spans="1:15">
      <c r="A4426" s="3563" t="s">
        <v>8648</v>
      </c>
      <c r="B4426" s="3563" t="s">
        <v>5277</v>
      </c>
      <c r="C4426" s="3563" t="s">
        <v>4197</v>
      </c>
      <c r="D4426" s="3563" t="s">
        <v>6429</v>
      </c>
      <c r="E4426" s="3563" t="s">
        <v>6386</v>
      </c>
      <c r="F4426" s="3563" t="s">
        <v>4797</v>
      </c>
      <c r="G4426" s="3564">
        <v>109.96</v>
      </c>
      <c r="H4426" s="3564">
        <v>88.44</v>
      </c>
      <c r="I4426" s="3564">
        <v>21.52</v>
      </c>
      <c r="J4426" s="3565">
        <v>1159482</v>
      </c>
      <c r="K4426" s="3565">
        <v>10544.58</v>
      </c>
      <c r="L4426" s="3565">
        <v>13110.38</v>
      </c>
      <c r="M4426" s="3565">
        <v>1112103</v>
      </c>
      <c r="N4426" s="3565">
        <v>10113.700000000001</v>
      </c>
      <c r="O4426" s="3566">
        <v>44176</v>
      </c>
    </row>
    <row r="4427" spans="1:15">
      <c r="A4427" s="3563" t="s">
        <v>8649</v>
      </c>
      <c r="B4427" s="3563" t="s">
        <v>5277</v>
      </c>
      <c r="C4427" s="3563" t="s">
        <v>4197</v>
      </c>
      <c r="D4427" s="3563" t="s">
        <v>6429</v>
      </c>
      <c r="E4427" s="3563" t="s">
        <v>6386</v>
      </c>
      <c r="F4427" s="3563" t="s">
        <v>4797</v>
      </c>
      <c r="G4427" s="3564">
        <v>101.63</v>
      </c>
      <c r="H4427" s="3564">
        <v>81.739999999999995</v>
      </c>
      <c r="I4427" s="3564">
        <v>19.89</v>
      </c>
      <c r="J4427" s="3565">
        <v>1094350</v>
      </c>
      <c r="K4427" s="3565">
        <v>10767.98</v>
      </c>
      <c r="L4427" s="3565">
        <v>13388.18</v>
      </c>
      <c r="M4427" s="3565">
        <v>994859</v>
      </c>
      <c r="N4427" s="3565">
        <v>9789.0300000000007</v>
      </c>
      <c r="O4427" s="3566">
        <v>44176</v>
      </c>
    </row>
    <row r="4428" spans="1:15">
      <c r="A4428" s="3563" t="s">
        <v>8650</v>
      </c>
      <c r="B4428" s="3563" t="s">
        <v>5277</v>
      </c>
      <c r="C4428" s="3563" t="s">
        <v>4197</v>
      </c>
      <c r="D4428" s="3563" t="s">
        <v>6429</v>
      </c>
      <c r="E4428" s="3563" t="s">
        <v>6386</v>
      </c>
      <c r="F4428" s="3563" t="s">
        <v>4797</v>
      </c>
      <c r="G4428" s="3564">
        <v>101.63</v>
      </c>
      <c r="H4428" s="3564">
        <v>81.739999999999995</v>
      </c>
      <c r="I4428" s="3564">
        <v>19.89</v>
      </c>
      <c r="J4428" s="3565">
        <v>1094350</v>
      </c>
      <c r="K4428" s="3565">
        <v>10767.98</v>
      </c>
      <c r="L4428" s="3565">
        <v>13388.18</v>
      </c>
      <c r="M4428" s="3565">
        <v>994859</v>
      </c>
      <c r="N4428" s="3565">
        <v>9789.0300000000007</v>
      </c>
      <c r="O4428" s="3566">
        <v>44176</v>
      </c>
    </row>
    <row r="4429" spans="1:15">
      <c r="A4429" s="3563" t="s">
        <v>8651</v>
      </c>
      <c r="B4429" s="3563" t="s">
        <v>5277</v>
      </c>
      <c r="C4429" s="3563" t="s">
        <v>4197</v>
      </c>
      <c r="D4429" s="3563" t="s">
        <v>6429</v>
      </c>
      <c r="E4429" s="3563" t="s">
        <v>6386</v>
      </c>
      <c r="F4429" s="3563" t="s">
        <v>4797</v>
      </c>
      <c r="G4429" s="3564">
        <v>90.49</v>
      </c>
      <c r="H4429" s="3564">
        <v>72.78</v>
      </c>
      <c r="I4429" s="3564">
        <v>17.71</v>
      </c>
      <c r="J4429" s="3565">
        <v>902195</v>
      </c>
      <c r="K4429" s="3565">
        <v>9970.11</v>
      </c>
      <c r="L4429" s="3565">
        <v>12396.19</v>
      </c>
      <c r="M4429" s="3565">
        <v>866108</v>
      </c>
      <c r="N4429" s="3565">
        <v>9571.31</v>
      </c>
      <c r="O4429" s="3566">
        <v>44182</v>
      </c>
    </row>
    <row r="4430" spans="1:15">
      <c r="A4430" s="3563" t="s">
        <v>8652</v>
      </c>
      <c r="B4430" s="3563" t="s">
        <v>5277</v>
      </c>
      <c r="C4430" s="3563" t="s">
        <v>4197</v>
      </c>
      <c r="D4430" s="3563" t="s">
        <v>6429</v>
      </c>
      <c r="E4430" s="3563" t="s">
        <v>6386</v>
      </c>
      <c r="F4430" s="3563" t="s">
        <v>4797</v>
      </c>
      <c r="G4430" s="3564">
        <v>78.37</v>
      </c>
      <c r="H4430" s="3564">
        <v>63.03</v>
      </c>
      <c r="I4430" s="3564">
        <v>15.34</v>
      </c>
      <c r="J4430" s="3565">
        <v>773021</v>
      </c>
      <c r="K4430" s="3565">
        <v>9863.74</v>
      </c>
      <c r="L4430" s="3565">
        <v>12264.33</v>
      </c>
      <c r="M4430" s="3565">
        <v>734370</v>
      </c>
      <c r="N4430" s="3565">
        <v>9370.5499999999993</v>
      </c>
      <c r="O4430" s="3566">
        <v>44177</v>
      </c>
    </row>
    <row r="4431" spans="1:15">
      <c r="A4431" s="3563" t="s">
        <v>8653</v>
      </c>
      <c r="B4431" s="3563" t="s">
        <v>5277</v>
      </c>
      <c r="C4431" s="3563" t="s">
        <v>4197</v>
      </c>
      <c r="D4431" s="3563" t="s">
        <v>6429</v>
      </c>
      <c r="E4431" s="3563" t="s">
        <v>6386</v>
      </c>
      <c r="F4431" s="3563" t="s">
        <v>4797</v>
      </c>
      <c r="G4431" s="3564">
        <v>78.37</v>
      </c>
      <c r="H4431" s="3564">
        <v>63.03</v>
      </c>
      <c r="I4431" s="3564">
        <v>15.34</v>
      </c>
      <c r="J4431" s="3565">
        <v>773021</v>
      </c>
      <c r="K4431" s="3565">
        <v>9863.74</v>
      </c>
      <c r="L4431" s="3565">
        <v>12264.33</v>
      </c>
      <c r="M4431" s="3565">
        <v>734370</v>
      </c>
      <c r="N4431" s="3565">
        <v>9370.5499999999993</v>
      </c>
      <c r="O4431" s="3566">
        <v>44178</v>
      </c>
    </row>
    <row r="4432" spans="1:15">
      <c r="A4432" s="3563" t="s">
        <v>8654</v>
      </c>
      <c r="B4432" s="3563" t="s">
        <v>5277</v>
      </c>
      <c r="C4432" s="3563" t="s">
        <v>4197</v>
      </c>
      <c r="D4432" s="3563" t="s">
        <v>6429</v>
      </c>
      <c r="E4432" s="3563" t="s">
        <v>6386</v>
      </c>
      <c r="F4432" s="3563" t="s">
        <v>4797</v>
      </c>
      <c r="G4432" s="3564">
        <v>109.96</v>
      </c>
      <c r="H4432" s="3564">
        <v>88.44</v>
      </c>
      <c r="I4432" s="3564">
        <v>21.52</v>
      </c>
      <c r="J4432" s="3565">
        <v>1160652</v>
      </c>
      <c r="K4432" s="3565">
        <v>10555.22</v>
      </c>
      <c r="L4432" s="3565">
        <v>13123.61</v>
      </c>
      <c r="M4432" s="3565">
        <v>1114226</v>
      </c>
      <c r="N4432" s="3565">
        <v>10133.01</v>
      </c>
      <c r="O4432" s="3566">
        <v>44176</v>
      </c>
    </row>
    <row r="4433" spans="1:15">
      <c r="A4433" s="3563" t="s">
        <v>8655</v>
      </c>
      <c r="B4433" s="3563" t="s">
        <v>6422</v>
      </c>
      <c r="C4433" s="3563" t="s">
        <v>4197</v>
      </c>
      <c r="D4433" s="3563" t="s">
        <v>6429</v>
      </c>
      <c r="E4433" s="3563" t="s">
        <v>6386</v>
      </c>
      <c r="F4433" s="3563" t="s">
        <v>4797</v>
      </c>
      <c r="G4433" s="3564">
        <v>101.63</v>
      </c>
      <c r="H4433" s="3564">
        <v>81.739999999999995</v>
      </c>
      <c r="I4433" s="3564">
        <v>19.89</v>
      </c>
      <c r="J4433" s="3565">
        <v>1095431</v>
      </c>
      <c r="K4433" s="3565">
        <v>10778.62</v>
      </c>
      <c r="L4433" s="3565">
        <v>13401.41</v>
      </c>
      <c r="M4433" s="3565">
        <v>996843</v>
      </c>
      <c r="N4433" s="3565">
        <v>9808.5499999999993</v>
      </c>
      <c r="O4433" s="3566">
        <v>44177</v>
      </c>
    </row>
    <row r="4434" spans="1:15">
      <c r="A4434" s="3563" t="s">
        <v>8656</v>
      </c>
      <c r="B4434" s="3563" t="s">
        <v>6422</v>
      </c>
      <c r="C4434" s="3563" t="s">
        <v>4197</v>
      </c>
      <c r="D4434" s="3563" t="s">
        <v>6429</v>
      </c>
      <c r="E4434" s="3563" t="s">
        <v>6386</v>
      </c>
      <c r="F4434" s="3563" t="s">
        <v>4797</v>
      </c>
      <c r="G4434" s="3564">
        <v>101.63</v>
      </c>
      <c r="H4434" s="3564">
        <v>81.739999999999995</v>
      </c>
      <c r="I4434" s="3564">
        <v>19.89</v>
      </c>
      <c r="J4434" s="3565">
        <v>1095431</v>
      </c>
      <c r="K4434" s="3565">
        <v>10778.62</v>
      </c>
      <c r="L4434" s="3565">
        <v>13401.41</v>
      </c>
      <c r="M4434" s="3565">
        <v>995843</v>
      </c>
      <c r="N4434" s="3565">
        <v>9798.7099999999991</v>
      </c>
      <c r="O4434" s="3566">
        <v>44177</v>
      </c>
    </row>
    <row r="4435" spans="1:15">
      <c r="A4435" s="3563" t="s">
        <v>8657</v>
      </c>
      <c r="B4435" s="3563" t="s">
        <v>5277</v>
      </c>
      <c r="C4435" s="3563" t="s">
        <v>4197</v>
      </c>
      <c r="D4435" s="3563" t="s">
        <v>6429</v>
      </c>
      <c r="E4435" s="3563" t="s">
        <v>6386</v>
      </c>
      <c r="F4435" s="3563" t="s">
        <v>4797</v>
      </c>
      <c r="G4435" s="3564">
        <v>90.49</v>
      </c>
      <c r="H4435" s="3564">
        <v>72.78</v>
      </c>
      <c r="I4435" s="3564">
        <v>17.71</v>
      </c>
      <c r="J4435" s="3565">
        <v>903158</v>
      </c>
      <c r="K4435" s="3565">
        <v>9980.75</v>
      </c>
      <c r="L4435" s="3565">
        <v>12409.43</v>
      </c>
      <c r="M4435" s="3565">
        <v>903158</v>
      </c>
      <c r="N4435" s="3565">
        <v>9980.75</v>
      </c>
      <c r="O4435" s="3566">
        <v>44176</v>
      </c>
    </row>
    <row r="4436" spans="1:15">
      <c r="A4436" s="3563" t="s">
        <v>8658</v>
      </c>
      <c r="B4436" s="3563" t="s">
        <v>5277</v>
      </c>
      <c r="C4436" s="3563" t="s">
        <v>4197</v>
      </c>
      <c r="D4436" s="3563" t="s">
        <v>6429</v>
      </c>
      <c r="E4436" s="3563" t="s">
        <v>6386</v>
      </c>
      <c r="F4436" s="3563" t="s">
        <v>4797</v>
      </c>
      <c r="G4436" s="3564">
        <v>78.37</v>
      </c>
      <c r="H4436" s="3564">
        <v>63.03</v>
      </c>
      <c r="I4436" s="3564">
        <v>15.34</v>
      </c>
      <c r="J4436" s="3565">
        <v>773854</v>
      </c>
      <c r="K4436" s="3565">
        <v>9874.3700000000008</v>
      </c>
      <c r="L4436" s="3565">
        <v>12277.55</v>
      </c>
      <c r="M4436" s="3565">
        <v>742900</v>
      </c>
      <c r="N4436" s="3565">
        <v>9479.39</v>
      </c>
      <c r="O4436" s="3566">
        <v>44176</v>
      </c>
    </row>
    <row r="4437" spans="1:15">
      <c r="A4437" s="3563" t="s">
        <v>8659</v>
      </c>
      <c r="B4437" s="3563" t="s">
        <v>6422</v>
      </c>
      <c r="C4437" s="3563" t="s">
        <v>4197</v>
      </c>
      <c r="D4437" s="3563" t="s">
        <v>6429</v>
      </c>
      <c r="E4437" s="3563" t="s">
        <v>6386</v>
      </c>
      <c r="F4437" s="3563" t="s">
        <v>4797</v>
      </c>
      <c r="G4437" s="3564">
        <v>78.37</v>
      </c>
      <c r="H4437" s="3564">
        <v>63.03</v>
      </c>
      <c r="I4437" s="3564">
        <v>15.34</v>
      </c>
      <c r="J4437" s="3565">
        <v>773854</v>
      </c>
      <c r="K4437" s="3565">
        <v>9874.3700000000008</v>
      </c>
      <c r="L4437" s="3565">
        <v>12277.55</v>
      </c>
      <c r="M4437" s="3565">
        <v>735162</v>
      </c>
      <c r="N4437" s="3565">
        <v>9380.66</v>
      </c>
      <c r="O4437" s="3566">
        <v>44176</v>
      </c>
    </row>
    <row r="4438" spans="1:15">
      <c r="A4438" s="3563" t="s">
        <v>8660</v>
      </c>
      <c r="B4438" s="3563" t="s">
        <v>6422</v>
      </c>
      <c r="C4438" s="3563" t="s">
        <v>4197</v>
      </c>
      <c r="D4438" s="3563" t="s">
        <v>6429</v>
      </c>
      <c r="E4438" s="3563" t="s">
        <v>6386</v>
      </c>
      <c r="F4438" s="3563" t="s">
        <v>4797</v>
      </c>
      <c r="G4438" s="3564">
        <v>109.96</v>
      </c>
      <c r="H4438" s="3564">
        <v>88.44</v>
      </c>
      <c r="I4438" s="3564">
        <v>21.52</v>
      </c>
      <c r="J4438" s="3565">
        <v>1161821</v>
      </c>
      <c r="K4438" s="3565">
        <v>10565.85</v>
      </c>
      <c r="L4438" s="3565">
        <v>13136.83</v>
      </c>
      <c r="M4438" s="3565">
        <v>1056258</v>
      </c>
      <c r="N4438" s="3565">
        <v>9605.84</v>
      </c>
      <c r="O4438" s="3566">
        <v>44176</v>
      </c>
    </row>
    <row r="4439" spans="1:15">
      <c r="A4439" s="3563" t="s">
        <v>8661</v>
      </c>
      <c r="B4439" s="3563" t="s">
        <v>4196</v>
      </c>
      <c r="C4439" s="3563" t="s">
        <v>4197</v>
      </c>
      <c r="D4439" s="3563" t="s">
        <v>6429</v>
      </c>
      <c r="E4439" s="3563" t="s">
        <v>6386</v>
      </c>
      <c r="F4439" s="3563" t="s">
        <v>4797</v>
      </c>
      <c r="G4439" s="3564">
        <v>101.63</v>
      </c>
      <c r="H4439" s="3564">
        <v>81.739999999999995</v>
      </c>
      <c r="I4439" s="3564">
        <v>19.89</v>
      </c>
      <c r="J4439" s="3565">
        <v>1096513</v>
      </c>
      <c r="K4439" s="3565">
        <v>10789.26</v>
      </c>
      <c r="L4439" s="3565">
        <v>13414.64</v>
      </c>
      <c r="M4439" s="3565">
        <v>0</v>
      </c>
      <c r="N4439" s="3565">
        <v>0</v>
      </c>
      <c r="O4439" s="3563" t="s">
        <v>3453</v>
      </c>
    </row>
    <row r="4440" spans="1:15">
      <c r="A4440" s="3563" t="s">
        <v>8662</v>
      </c>
      <c r="B4440" s="3563" t="s">
        <v>6422</v>
      </c>
      <c r="C4440" s="3563" t="s">
        <v>4197</v>
      </c>
      <c r="D4440" s="3563" t="s">
        <v>6429</v>
      </c>
      <c r="E4440" s="3563" t="s">
        <v>6386</v>
      </c>
      <c r="F4440" s="3563" t="s">
        <v>4797</v>
      </c>
      <c r="G4440" s="3564">
        <v>101.63</v>
      </c>
      <c r="H4440" s="3564">
        <v>81.739999999999995</v>
      </c>
      <c r="I4440" s="3564">
        <v>19.89</v>
      </c>
      <c r="J4440" s="3565">
        <v>1096513</v>
      </c>
      <c r="K4440" s="3565">
        <v>10789.26</v>
      </c>
      <c r="L4440" s="3565">
        <v>13414.64</v>
      </c>
      <c r="M4440" s="3565">
        <v>1040688</v>
      </c>
      <c r="N4440" s="3565">
        <v>10239.969999999999</v>
      </c>
      <c r="O4440" s="3566">
        <v>44176</v>
      </c>
    </row>
    <row r="4441" spans="1:15">
      <c r="A4441" s="3563" t="s">
        <v>8663</v>
      </c>
      <c r="B4441" s="3563" t="s">
        <v>4196</v>
      </c>
      <c r="C4441" s="3563" t="s">
        <v>4197</v>
      </c>
      <c r="D4441" s="3563" t="s">
        <v>6429</v>
      </c>
      <c r="E4441" s="3563" t="s">
        <v>6386</v>
      </c>
      <c r="F4441" s="3563" t="s">
        <v>4797</v>
      </c>
      <c r="G4441" s="3564">
        <v>90.49</v>
      </c>
      <c r="H4441" s="3564">
        <v>72.78</v>
      </c>
      <c r="I4441" s="3564">
        <v>17.71</v>
      </c>
      <c r="J4441" s="3565">
        <v>904121</v>
      </c>
      <c r="K4441" s="3565">
        <v>9991.39</v>
      </c>
      <c r="L4441" s="3565">
        <v>12422.66</v>
      </c>
      <c r="M4441" s="3565">
        <v>0</v>
      </c>
      <c r="N4441" s="3565">
        <v>0</v>
      </c>
      <c r="O4441" s="3563" t="s">
        <v>3453</v>
      </c>
    </row>
    <row r="4442" spans="1:15">
      <c r="A4442" s="3563" t="s">
        <v>8664</v>
      </c>
      <c r="B4442" s="3563" t="s">
        <v>6422</v>
      </c>
      <c r="C4442" s="3563" t="s">
        <v>4197</v>
      </c>
      <c r="D4442" s="3563" t="s">
        <v>6429</v>
      </c>
      <c r="E4442" s="3563" t="s">
        <v>6386</v>
      </c>
      <c r="F4442" s="3563" t="s">
        <v>4797</v>
      </c>
      <c r="G4442" s="3564">
        <v>78.37</v>
      </c>
      <c r="H4442" s="3564">
        <v>63.03</v>
      </c>
      <c r="I4442" s="3564">
        <v>15.34</v>
      </c>
      <c r="J4442" s="3565">
        <v>774688</v>
      </c>
      <c r="K4442" s="3565">
        <v>9885.01</v>
      </c>
      <c r="L4442" s="3565">
        <v>12290.78</v>
      </c>
      <c r="M4442" s="3565">
        <v>735954</v>
      </c>
      <c r="N4442" s="3565">
        <v>9390.76</v>
      </c>
      <c r="O4442" s="3566">
        <v>44176</v>
      </c>
    </row>
    <row r="4443" spans="1:15">
      <c r="A4443" s="3563" t="s">
        <v>8665</v>
      </c>
      <c r="B4443" s="3563" t="s">
        <v>4811</v>
      </c>
      <c r="C4443" s="3563" t="s">
        <v>4197</v>
      </c>
      <c r="D4443" s="3563" t="s">
        <v>6429</v>
      </c>
      <c r="E4443" s="3563" t="s">
        <v>6386</v>
      </c>
      <c r="F4443" s="3563" t="s">
        <v>4797</v>
      </c>
      <c r="G4443" s="3564">
        <v>78.37</v>
      </c>
      <c r="H4443" s="3564">
        <v>63.03</v>
      </c>
      <c r="I4443" s="3564">
        <v>15.34</v>
      </c>
      <c r="J4443" s="3565">
        <v>774688</v>
      </c>
      <c r="K4443" s="3565">
        <v>9885.01</v>
      </c>
      <c r="L4443" s="3565">
        <v>12290.78</v>
      </c>
      <c r="M4443" s="3565">
        <v>743701</v>
      </c>
      <c r="N4443" s="3565">
        <v>9489.61</v>
      </c>
      <c r="O4443" s="3566">
        <v>44176</v>
      </c>
    </row>
    <row r="4444" spans="1:15">
      <c r="A4444" s="3563" t="s">
        <v>8666</v>
      </c>
      <c r="B4444" s="3563" t="s">
        <v>4811</v>
      </c>
      <c r="C4444" s="3563" t="s">
        <v>4197</v>
      </c>
      <c r="D4444" s="3563" t="s">
        <v>6429</v>
      </c>
      <c r="E4444" s="3563" t="s">
        <v>6386</v>
      </c>
      <c r="F4444" s="3563" t="s">
        <v>4797</v>
      </c>
      <c r="G4444" s="3564">
        <v>109.96</v>
      </c>
      <c r="H4444" s="3564">
        <v>88.44</v>
      </c>
      <c r="I4444" s="3564">
        <v>21.52</v>
      </c>
      <c r="J4444" s="3565">
        <v>1162991</v>
      </c>
      <c r="K4444" s="3565">
        <v>10576.49</v>
      </c>
      <c r="L4444" s="3565">
        <v>13150.06</v>
      </c>
      <c r="M4444" s="3565">
        <v>1116472</v>
      </c>
      <c r="N4444" s="3565">
        <v>10153.44</v>
      </c>
      <c r="O4444" s="3566">
        <v>44176</v>
      </c>
    </row>
    <row r="4445" spans="1:15">
      <c r="A4445" s="3563" t="s">
        <v>8667</v>
      </c>
      <c r="B4445" s="3563" t="s">
        <v>6422</v>
      </c>
      <c r="C4445" s="3563" t="s">
        <v>4197</v>
      </c>
      <c r="D4445" s="3563" t="s">
        <v>6429</v>
      </c>
      <c r="E4445" s="3563" t="s">
        <v>6386</v>
      </c>
      <c r="F4445" s="3563" t="s">
        <v>4797</v>
      </c>
      <c r="G4445" s="3564">
        <v>101.63</v>
      </c>
      <c r="H4445" s="3564">
        <v>81.739999999999995</v>
      </c>
      <c r="I4445" s="3564">
        <v>19.89</v>
      </c>
      <c r="J4445" s="3565">
        <v>1086782</v>
      </c>
      <c r="K4445" s="3565">
        <v>10693.52</v>
      </c>
      <c r="L4445" s="3565">
        <v>13295.6</v>
      </c>
      <c r="M4445" s="3565">
        <v>1043311</v>
      </c>
      <c r="N4445" s="3565">
        <v>10265.780000000001</v>
      </c>
      <c r="O4445" s="3566">
        <v>44186</v>
      </c>
    </row>
    <row r="4446" spans="1:15">
      <c r="A4446" s="3563" t="s">
        <v>8668</v>
      </c>
      <c r="B4446" s="3563" t="s">
        <v>6422</v>
      </c>
      <c r="C4446" s="3563" t="s">
        <v>4197</v>
      </c>
      <c r="D4446" s="3563" t="s">
        <v>6429</v>
      </c>
      <c r="E4446" s="3563" t="s">
        <v>6386</v>
      </c>
      <c r="F4446" s="3563" t="s">
        <v>4797</v>
      </c>
      <c r="G4446" s="3564">
        <v>101.63</v>
      </c>
      <c r="H4446" s="3564">
        <v>81.739999999999995</v>
      </c>
      <c r="I4446" s="3564">
        <v>19.89</v>
      </c>
      <c r="J4446" s="3565">
        <v>1086782</v>
      </c>
      <c r="K4446" s="3565">
        <v>10693.52</v>
      </c>
      <c r="L4446" s="3565">
        <v>13295.6</v>
      </c>
      <c r="M4446" s="3565">
        <v>1021576</v>
      </c>
      <c r="N4446" s="3565">
        <v>10051.91</v>
      </c>
      <c r="O4446" s="3566">
        <v>44184</v>
      </c>
    </row>
    <row r="4447" spans="1:15">
      <c r="A4447" s="3563" t="s">
        <v>8669</v>
      </c>
      <c r="B4447" s="3563" t="s">
        <v>4196</v>
      </c>
      <c r="C4447" s="3563" t="s">
        <v>4197</v>
      </c>
      <c r="D4447" s="3563" t="s">
        <v>6429</v>
      </c>
      <c r="E4447" s="3563" t="s">
        <v>6386</v>
      </c>
      <c r="F4447" s="3563" t="s">
        <v>4797</v>
      </c>
      <c r="G4447" s="3564">
        <v>90.49</v>
      </c>
      <c r="H4447" s="3564">
        <v>72.78</v>
      </c>
      <c r="I4447" s="3564">
        <v>17.71</v>
      </c>
      <c r="J4447" s="3565">
        <v>895457</v>
      </c>
      <c r="K4447" s="3565">
        <v>9895.65</v>
      </c>
      <c r="L4447" s="3565">
        <v>12303.61</v>
      </c>
      <c r="M4447" s="3565">
        <v>0</v>
      </c>
      <c r="N4447" s="3565">
        <v>0</v>
      </c>
      <c r="O4447" s="3563" t="s">
        <v>3453</v>
      </c>
    </row>
    <row r="4448" spans="1:15">
      <c r="A4448" s="3563" t="s">
        <v>8670</v>
      </c>
      <c r="B4448" s="3563" t="s">
        <v>6422</v>
      </c>
      <c r="C4448" s="3563" t="s">
        <v>4197</v>
      </c>
      <c r="D4448" s="3563" t="s">
        <v>6429</v>
      </c>
      <c r="E4448" s="3563" t="s">
        <v>6386</v>
      </c>
      <c r="F4448" s="3563" t="s">
        <v>4797</v>
      </c>
      <c r="G4448" s="3564">
        <v>78.37</v>
      </c>
      <c r="H4448" s="3564">
        <v>63.03</v>
      </c>
      <c r="I4448" s="3564">
        <v>15.34</v>
      </c>
      <c r="J4448" s="3565">
        <v>767184</v>
      </c>
      <c r="K4448" s="3565">
        <v>9789.26</v>
      </c>
      <c r="L4448" s="3565">
        <v>12171.73</v>
      </c>
      <c r="M4448" s="3565">
        <v>736497</v>
      </c>
      <c r="N4448" s="3565">
        <v>9397.69</v>
      </c>
      <c r="O4448" s="3566">
        <v>44179</v>
      </c>
    </row>
    <row r="4449" spans="1:15">
      <c r="A4449" s="3563" t="s">
        <v>8671</v>
      </c>
      <c r="B4449" s="3563" t="s">
        <v>4811</v>
      </c>
      <c r="C4449" s="3563" t="s">
        <v>4197</v>
      </c>
      <c r="D4449" s="3563" t="s">
        <v>6429</v>
      </c>
      <c r="E4449" s="3563" t="s">
        <v>6386</v>
      </c>
      <c r="F4449" s="3563" t="s">
        <v>4797</v>
      </c>
      <c r="G4449" s="3564">
        <v>78.37</v>
      </c>
      <c r="H4449" s="3564">
        <v>63.03</v>
      </c>
      <c r="I4449" s="3564">
        <v>15.34</v>
      </c>
      <c r="J4449" s="3565">
        <v>767184</v>
      </c>
      <c r="K4449" s="3565">
        <v>9789.26</v>
      </c>
      <c r="L4449" s="3565">
        <v>12171.73</v>
      </c>
      <c r="M4449" s="3565">
        <v>767184</v>
      </c>
      <c r="N4449" s="3565">
        <v>9789.26</v>
      </c>
      <c r="O4449" s="3566">
        <v>44178</v>
      </c>
    </row>
    <row r="4450" spans="1:15">
      <c r="A4450" s="3563" t="s">
        <v>8672</v>
      </c>
      <c r="B4450" s="3563" t="s">
        <v>4196</v>
      </c>
      <c r="C4450" s="3563" t="s">
        <v>4197</v>
      </c>
      <c r="D4450" s="3563" t="s">
        <v>6429</v>
      </c>
      <c r="E4450" s="3563" t="s">
        <v>6386</v>
      </c>
      <c r="F4450" s="3563" t="s">
        <v>4797</v>
      </c>
      <c r="G4450" s="3564">
        <v>109.96</v>
      </c>
      <c r="H4450" s="3564">
        <v>88.44</v>
      </c>
      <c r="I4450" s="3564">
        <v>21.52</v>
      </c>
      <c r="J4450" s="3565">
        <v>1152463</v>
      </c>
      <c r="K4450" s="3565">
        <v>10480.75</v>
      </c>
      <c r="L4450" s="3565">
        <v>13031.02</v>
      </c>
      <c r="M4450" s="3565">
        <v>0</v>
      </c>
      <c r="N4450" s="3565">
        <v>0</v>
      </c>
      <c r="O4450" s="3563" t="s">
        <v>3453</v>
      </c>
    </row>
    <row r="4451" spans="1:15">
      <c r="A4451" s="3563" t="s">
        <v>8673</v>
      </c>
      <c r="B4451" s="3563" t="s">
        <v>5277</v>
      </c>
      <c r="C4451" s="3563" t="s">
        <v>4197</v>
      </c>
      <c r="D4451" s="3563" t="s">
        <v>6429</v>
      </c>
      <c r="E4451" s="3563" t="s">
        <v>6386</v>
      </c>
      <c r="F4451" s="3563" t="s">
        <v>4797</v>
      </c>
      <c r="G4451" s="3564">
        <v>101.63</v>
      </c>
      <c r="H4451" s="3564">
        <v>81.739999999999995</v>
      </c>
      <c r="I4451" s="3564">
        <v>19.89</v>
      </c>
      <c r="J4451" s="3565">
        <v>1098675</v>
      </c>
      <c r="K4451" s="3565">
        <v>10810.54</v>
      </c>
      <c r="L4451" s="3565">
        <v>13441.09</v>
      </c>
      <c r="M4451" s="3565">
        <v>1053728</v>
      </c>
      <c r="N4451" s="3565">
        <v>10368.280000000001</v>
      </c>
      <c r="O4451" s="3566">
        <v>44176</v>
      </c>
    </row>
    <row r="4452" spans="1:15">
      <c r="A4452" s="3563" t="s">
        <v>8674</v>
      </c>
      <c r="B4452" s="3563" t="s">
        <v>6422</v>
      </c>
      <c r="C4452" s="3563" t="s">
        <v>4197</v>
      </c>
      <c r="D4452" s="3563" t="s">
        <v>6429</v>
      </c>
      <c r="E4452" s="3563" t="s">
        <v>6386</v>
      </c>
      <c r="F4452" s="3563" t="s">
        <v>4797</v>
      </c>
      <c r="G4452" s="3564">
        <v>101.63</v>
      </c>
      <c r="H4452" s="3564">
        <v>81.739999999999995</v>
      </c>
      <c r="I4452" s="3564">
        <v>19.89</v>
      </c>
      <c r="J4452" s="3565">
        <v>1098675</v>
      </c>
      <c r="K4452" s="3565">
        <v>10810.54</v>
      </c>
      <c r="L4452" s="3565">
        <v>13441.09</v>
      </c>
      <c r="M4452" s="3565">
        <v>999795</v>
      </c>
      <c r="N4452" s="3565">
        <v>9837.6</v>
      </c>
      <c r="O4452" s="3566">
        <v>44176</v>
      </c>
    </row>
    <row r="4453" spans="1:15">
      <c r="A4453" s="3563" t="s">
        <v>8675</v>
      </c>
      <c r="B4453" s="3563" t="s">
        <v>5277</v>
      </c>
      <c r="C4453" s="3563" t="s">
        <v>4197</v>
      </c>
      <c r="D4453" s="3563" t="s">
        <v>6429</v>
      </c>
      <c r="E4453" s="3563" t="s">
        <v>6386</v>
      </c>
      <c r="F4453" s="3563" t="s">
        <v>4797</v>
      </c>
      <c r="G4453" s="3564">
        <v>90.49</v>
      </c>
      <c r="H4453" s="3564">
        <v>72.78</v>
      </c>
      <c r="I4453" s="3564">
        <v>17.71</v>
      </c>
      <c r="J4453" s="3565">
        <v>906046</v>
      </c>
      <c r="K4453" s="3565">
        <v>10012.66</v>
      </c>
      <c r="L4453" s="3565">
        <v>12449.11</v>
      </c>
      <c r="M4453" s="3565">
        <v>868805</v>
      </c>
      <c r="N4453" s="3565">
        <v>9601.1200000000008</v>
      </c>
      <c r="O4453" s="3566">
        <v>44176</v>
      </c>
    </row>
    <row r="4454" spans="1:15">
      <c r="A4454" s="3563" t="s">
        <v>8676</v>
      </c>
      <c r="B4454" s="3563" t="s">
        <v>6422</v>
      </c>
      <c r="C4454" s="3563" t="s">
        <v>4197</v>
      </c>
      <c r="D4454" s="3563" t="s">
        <v>6429</v>
      </c>
      <c r="E4454" s="3563" t="s">
        <v>6386</v>
      </c>
      <c r="F4454" s="3563" t="s">
        <v>4797</v>
      </c>
      <c r="G4454" s="3564">
        <v>78.37</v>
      </c>
      <c r="H4454" s="3564">
        <v>63.03</v>
      </c>
      <c r="I4454" s="3564">
        <v>15.34</v>
      </c>
      <c r="J4454" s="3565">
        <v>776355</v>
      </c>
      <c r="K4454" s="3565">
        <v>9906.2800000000007</v>
      </c>
      <c r="L4454" s="3565">
        <v>12317.23</v>
      </c>
      <c r="M4454" s="3565">
        <v>745301</v>
      </c>
      <c r="N4454" s="3565">
        <v>9510.0300000000007</v>
      </c>
      <c r="O4454" s="3566">
        <v>44176</v>
      </c>
    </row>
    <row r="4455" spans="1:15">
      <c r="A4455" s="3563" t="s">
        <v>8677</v>
      </c>
      <c r="B4455" s="3563" t="s">
        <v>5277</v>
      </c>
      <c r="C4455" s="3563" t="s">
        <v>4197</v>
      </c>
      <c r="D4455" s="3563" t="s">
        <v>6429</v>
      </c>
      <c r="E4455" s="3563" t="s">
        <v>6386</v>
      </c>
      <c r="F4455" s="3563" t="s">
        <v>4797</v>
      </c>
      <c r="G4455" s="3564">
        <v>78.37</v>
      </c>
      <c r="H4455" s="3564">
        <v>63.03</v>
      </c>
      <c r="I4455" s="3564">
        <v>15.34</v>
      </c>
      <c r="J4455" s="3565">
        <v>776355</v>
      </c>
      <c r="K4455" s="3565">
        <v>9906.2800000000007</v>
      </c>
      <c r="L4455" s="3565">
        <v>12317.23</v>
      </c>
      <c r="M4455" s="3565">
        <v>722476</v>
      </c>
      <c r="N4455" s="3565">
        <v>9218.7800000000007</v>
      </c>
      <c r="O4455" s="3566">
        <v>44177</v>
      </c>
    </row>
    <row r="4456" spans="1:15">
      <c r="A4456" s="3563" t="s">
        <v>8678</v>
      </c>
      <c r="B4456" s="3563" t="s">
        <v>4811</v>
      </c>
      <c r="C4456" s="3563" t="s">
        <v>4197</v>
      </c>
      <c r="D4456" s="3563" t="s">
        <v>6429</v>
      </c>
      <c r="E4456" s="3563" t="s">
        <v>6386</v>
      </c>
      <c r="F4456" s="3563" t="s">
        <v>4797</v>
      </c>
      <c r="G4456" s="3564">
        <v>109.96</v>
      </c>
      <c r="H4456" s="3564">
        <v>88.44</v>
      </c>
      <c r="I4456" s="3564">
        <v>21.52</v>
      </c>
      <c r="J4456" s="3565">
        <v>1165331</v>
      </c>
      <c r="K4456" s="3565">
        <v>10597.77</v>
      </c>
      <c r="L4456" s="3565">
        <v>13176.52</v>
      </c>
      <c r="M4456" s="3565">
        <v>1165331</v>
      </c>
      <c r="N4456" s="3565">
        <v>10597.77</v>
      </c>
      <c r="O4456" s="3566">
        <v>44176</v>
      </c>
    </row>
    <row r="4457" spans="1:15">
      <c r="A4457" s="3563" t="s">
        <v>8679</v>
      </c>
      <c r="B4457" s="3563" t="s">
        <v>5277</v>
      </c>
      <c r="C4457" s="3563" t="s">
        <v>4197</v>
      </c>
      <c r="D4457" s="3563" t="s">
        <v>6429</v>
      </c>
      <c r="E4457" s="3563" t="s">
        <v>6386</v>
      </c>
      <c r="F4457" s="3563" t="s">
        <v>4797</v>
      </c>
      <c r="G4457" s="3564">
        <v>101.63</v>
      </c>
      <c r="H4457" s="3564">
        <v>81.739999999999995</v>
      </c>
      <c r="I4457" s="3564">
        <v>19.89</v>
      </c>
      <c r="J4457" s="3565">
        <v>1097594</v>
      </c>
      <c r="K4457" s="3565">
        <v>10799.9</v>
      </c>
      <c r="L4457" s="3565">
        <v>13427.87</v>
      </c>
      <c r="M4457" s="3565">
        <v>1021421</v>
      </c>
      <c r="N4457" s="3565">
        <v>10050.39</v>
      </c>
      <c r="O4457" s="3566">
        <v>44176</v>
      </c>
    </row>
    <row r="4458" spans="1:15">
      <c r="A4458" s="3563" t="s">
        <v>8680</v>
      </c>
      <c r="B4458" s="3563" t="s">
        <v>4811</v>
      </c>
      <c r="C4458" s="3563" t="s">
        <v>4197</v>
      </c>
      <c r="D4458" s="3563" t="s">
        <v>6429</v>
      </c>
      <c r="E4458" s="3563" t="s">
        <v>6386</v>
      </c>
      <c r="F4458" s="3563" t="s">
        <v>4797</v>
      </c>
      <c r="G4458" s="3564">
        <v>101.63</v>
      </c>
      <c r="H4458" s="3564">
        <v>81.739999999999995</v>
      </c>
      <c r="I4458" s="3564">
        <v>19.89</v>
      </c>
      <c r="J4458" s="3565">
        <v>1097594</v>
      </c>
      <c r="K4458" s="3565">
        <v>10799.9</v>
      </c>
      <c r="L4458" s="3565">
        <v>13427.87</v>
      </c>
      <c r="M4458" s="3565">
        <v>1097594</v>
      </c>
      <c r="N4458" s="3565">
        <v>10799.9</v>
      </c>
      <c r="O4458" s="3566">
        <v>44177</v>
      </c>
    </row>
    <row r="4459" spans="1:15">
      <c r="A4459" s="3563" t="s">
        <v>8681</v>
      </c>
      <c r="B4459" s="3563" t="s">
        <v>5277</v>
      </c>
      <c r="C4459" s="3563" t="s">
        <v>4197</v>
      </c>
      <c r="D4459" s="3563" t="s">
        <v>6429</v>
      </c>
      <c r="E4459" s="3563" t="s">
        <v>6386</v>
      </c>
      <c r="F4459" s="3563" t="s">
        <v>4797</v>
      </c>
      <c r="G4459" s="3564">
        <v>90.49</v>
      </c>
      <c r="H4459" s="3564">
        <v>72.78</v>
      </c>
      <c r="I4459" s="3564">
        <v>17.71</v>
      </c>
      <c r="J4459" s="3565">
        <v>905083</v>
      </c>
      <c r="K4459" s="3565">
        <v>10002.02</v>
      </c>
      <c r="L4459" s="3565">
        <v>12435.88</v>
      </c>
      <c r="M4459" s="3565">
        <v>822626</v>
      </c>
      <c r="N4459" s="3565">
        <v>9090.7900000000009</v>
      </c>
      <c r="O4459" s="3566">
        <v>44176</v>
      </c>
    </row>
    <row r="4460" spans="1:15">
      <c r="A4460" s="3563" t="s">
        <v>8682</v>
      </c>
      <c r="B4460" s="3563" t="s">
        <v>6422</v>
      </c>
      <c r="C4460" s="3563" t="s">
        <v>4197</v>
      </c>
      <c r="D4460" s="3563" t="s">
        <v>6429</v>
      </c>
      <c r="E4460" s="3563" t="s">
        <v>6386</v>
      </c>
      <c r="F4460" s="3563" t="s">
        <v>4797</v>
      </c>
      <c r="G4460" s="3564">
        <v>78.37</v>
      </c>
      <c r="H4460" s="3564">
        <v>63.03</v>
      </c>
      <c r="I4460" s="3564">
        <v>15.34</v>
      </c>
      <c r="J4460" s="3565">
        <v>775522</v>
      </c>
      <c r="K4460" s="3565">
        <v>9895.65</v>
      </c>
      <c r="L4460" s="3565">
        <v>12304.01</v>
      </c>
      <c r="M4460" s="3565">
        <v>704726</v>
      </c>
      <c r="N4460" s="3565">
        <v>8992.2900000000009</v>
      </c>
      <c r="O4460" s="3566">
        <v>44176</v>
      </c>
    </row>
    <row r="4461" spans="1:15">
      <c r="A4461" s="3563" t="s">
        <v>8683</v>
      </c>
      <c r="B4461" s="3563" t="s">
        <v>5277</v>
      </c>
      <c r="C4461" s="3563" t="s">
        <v>4197</v>
      </c>
      <c r="D4461" s="3563" t="s">
        <v>6429</v>
      </c>
      <c r="E4461" s="3563" t="s">
        <v>6386</v>
      </c>
      <c r="F4461" s="3563" t="s">
        <v>4797</v>
      </c>
      <c r="G4461" s="3564">
        <v>78.37</v>
      </c>
      <c r="H4461" s="3564">
        <v>63.03</v>
      </c>
      <c r="I4461" s="3564">
        <v>15.34</v>
      </c>
      <c r="J4461" s="3565">
        <v>775522</v>
      </c>
      <c r="K4461" s="3565">
        <v>9895.65</v>
      </c>
      <c r="L4461" s="3565">
        <v>12304.01</v>
      </c>
      <c r="M4461" s="3565">
        <v>704726</v>
      </c>
      <c r="N4461" s="3565">
        <v>8992.2900000000009</v>
      </c>
      <c r="O4461" s="3566">
        <v>44176</v>
      </c>
    </row>
    <row r="4462" spans="1:15">
      <c r="A4462" s="3563" t="s">
        <v>8684</v>
      </c>
      <c r="B4462" s="3563" t="s">
        <v>5277</v>
      </c>
      <c r="C4462" s="3563" t="s">
        <v>4197</v>
      </c>
      <c r="D4462" s="3563" t="s">
        <v>6429</v>
      </c>
      <c r="E4462" s="3563" t="s">
        <v>6386</v>
      </c>
      <c r="F4462" s="3563" t="s">
        <v>4797</v>
      </c>
      <c r="G4462" s="3564">
        <v>109.96</v>
      </c>
      <c r="H4462" s="3564">
        <v>88.44</v>
      </c>
      <c r="I4462" s="3564">
        <v>21.52</v>
      </c>
      <c r="J4462" s="3565">
        <v>1164161</v>
      </c>
      <c r="K4462" s="3565">
        <v>10587.13</v>
      </c>
      <c r="L4462" s="3565">
        <v>13163.29</v>
      </c>
      <c r="M4462" s="3565">
        <v>1058387</v>
      </c>
      <c r="N4462" s="3565">
        <v>9625.2000000000007</v>
      </c>
      <c r="O4462" s="3566">
        <v>44176</v>
      </c>
    </row>
    <row r="4463" spans="1:15">
      <c r="A4463" s="3563" t="s">
        <v>8685</v>
      </c>
      <c r="B4463" s="3563" t="s">
        <v>5277</v>
      </c>
      <c r="C4463" s="3563" t="s">
        <v>4197</v>
      </c>
      <c r="D4463" s="3563" t="s">
        <v>6429</v>
      </c>
      <c r="E4463" s="3563" t="s">
        <v>6386</v>
      </c>
      <c r="F4463" s="3563" t="s">
        <v>4797</v>
      </c>
      <c r="G4463" s="3564">
        <v>101.63</v>
      </c>
      <c r="H4463" s="3564">
        <v>81.739999999999995</v>
      </c>
      <c r="I4463" s="3564">
        <v>19.89</v>
      </c>
      <c r="J4463" s="3565">
        <v>1096513</v>
      </c>
      <c r="K4463" s="3565">
        <v>10789.26</v>
      </c>
      <c r="L4463" s="3565">
        <v>13414.64</v>
      </c>
      <c r="M4463" s="3565">
        <v>1096513</v>
      </c>
      <c r="N4463" s="3565">
        <v>10789.26</v>
      </c>
      <c r="O4463" s="3566">
        <v>44176</v>
      </c>
    </row>
    <row r="4464" spans="1:15">
      <c r="A4464" s="3563" t="s">
        <v>8686</v>
      </c>
      <c r="B4464" s="3563" t="s">
        <v>5277</v>
      </c>
      <c r="C4464" s="3563" t="s">
        <v>4197</v>
      </c>
      <c r="D4464" s="3563" t="s">
        <v>6429</v>
      </c>
      <c r="E4464" s="3563" t="s">
        <v>6386</v>
      </c>
      <c r="F4464" s="3563" t="s">
        <v>4797</v>
      </c>
      <c r="G4464" s="3564">
        <v>101.63</v>
      </c>
      <c r="H4464" s="3564">
        <v>81.739999999999995</v>
      </c>
      <c r="I4464" s="3564">
        <v>19.89</v>
      </c>
      <c r="J4464" s="3565">
        <v>1096513</v>
      </c>
      <c r="K4464" s="3565">
        <v>10789.26</v>
      </c>
      <c r="L4464" s="3565">
        <v>13414.64</v>
      </c>
      <c r="M4464" s="3565">
        <v>1096513</v>
      </c>
      <c r="N4464" s="3565">
        <v>10789.26</v>
      </c>
      <c r="O4464" s="3566">
        <v>44176</v>
      </c>
    </row>
    <row r="4465" spans="1:15">
      <c r="A4465" s="3563" t="s">
        <v>8687</v>
      </c>
      <c r="B4465" s="3563" t="s">
        <v>5277</v>
      </c>
      <c r="C4465" s="3563" t="s">
        <v>4197</v>
      </c>
      <c r="D4465" s="3563" t="s">
        <v>6429</v>
      </c>
      <c r="E4465" s="3563" t="s">
        <v>6386</v>
      </c>
      <c r="F4465" s="3563" t="s">
        <v>4797</v>
      </c>
      <c r="G4465" s="3564">
        <v>90.49</v>
      </c>
      <c r="H4465" s="3564">
        <v>72.78</v>
      </c>
      <c r="I4465" s="3564">
        <v>17.71</v>
      </c>
      <c r="J4465" s="3565">
        <v>904121</v>
      </c>
      <c r="K4465" s="3565">
        <v>9991.39</v>
      </c>
      <c r="L4465" s="3565">
        <v>12422.66</v>
      </c>
      <c r="M4465" s="3565">
        <v>904121</v>
      </c>
      <c r="N4465" s="3565">
        <v>9991.39</v>
      </c>
      <c r="O4465" s="3566">
        <v>44176</v>
      </c>
    </row>
    <row r="4466" spans="1:15">
      <c r="A4466" s="3563" t="s">
        <v>8688</v>
      </c>
      <c r="B4466" s="3563" t="s">
        <v>5277</v>
      </c>
      <c r="C4466" s="3563" t="s">
        <v>4197</v>
      </c>
      <c r="D4466" s="3563" t="s">
        <v>6429</v>
      </c>
      <c r="E4466" s="3563" t="s">
        <v>6386</v>
      </c>
      <c r="F4466" s="3563" t="s">
        <v>4797</v>
      </c>
      <c r="G4466" s="3564">
        <v>78.37</v>
      </c>
      <c r="H4466" s="3564">
        <v>63.03</v>
      </c>
      <c r="I4466" s="3564">
        <v>15.34</v>
      </c>
      <c r="J4466" s="3565">
        <v>774688</v>
      </c>
      <c r="K4466" s="3565">
        <v>9885.01</v>
      </c>
      <c r="L4466" s="3565">
        <v>12290.78</v>
      </c>
      <c r="M4466" s="3565">
        <v>774688</v>
      </c>
      <c r="N4466" s="3565">
        <v>9885.01</v>
      </c>
      <c r="O4466" s="3566">
        <v>44177</v>
      </c>
    </row>
    <row r="4467" spans="1:15">
      <c r="A4467" s="3563" t="s">
        <v>8689</v>
      </c>
      <c r="B4467" s="3563" t="s">
        <v>5277</v>
      </c>
      <c r="C4467" s="3563" t="s">
        <v>4197</v>
      </c>
      <c r="D4467" s="3563" t="s">
        <v>6429</v>
      </c>
      <c r="E4467" s="3563" t="s">
        <v>6386</v>
      </c>
      <c r="F4467" s="3563" t="s">
        <v>4797</v>
      </c>
      <c r="G4467" s="3564">
        <v>78.37</v>
      </c>
      <c r="H4467" s="3564">
        <v>63.03</v>
      </c>
      <c r="I4467" s="3564">
        <v>15.34</v>
      </c>
      <c r="J4467" s="3565">
        <v>774688</v>
      </c>
      <c r="K4467" s="3565">
        <v>9885.01</v>
      </c>
      <c r="L4467" s="3565">
        <v>12290.78</v>
      </c>
      <c r="M4467" s="3565">
        <v>704967</v>
      </c>
      <c r="N4467" s="3565">
        <v>8995.3700000000008</v>
      </c>
      <c r="O4467" s="3566">
        <v>44176</v>
      </c>
    </row>
    <row r="4468" spans="1:15">
      <c r="A4468" s="3563" t="s">
        <v>8690</v>
      </c>
      <c r="B4468" s="3563" t="s">
        <v>5277</v>
      </c>
      <c r="C4468" s="3563" t="s">
        <v>4197</v>
      </c>
      <c r="D4468" s="3563" t="s">
        <v>6429</v>
      </c>
      <c r="E4468" s="3563" t="s">
        <v>6386</v>
      </c>
      <c r="F4468" s="3563" t="s">
        <v>4797</v>
      </c>
      <c r="G4468" s="3564">
        <v>109.96</v>
      </c>
      <c r="H4468" s="3564">
        <v>88.44</v>
      </c>
      <c r="I4468" s="3564">
        <v>21.52</v>
      </c>
      <c r="J4468" s="3565">
        <v>1162991</v>
      </c>
      <c r="K4468" s="3565">
        <v>10576.49</v>
      </c>
      <c r="L4468" s="3565">
        <v>13150.06</v>
      </c>
      <c r="M4468" s="3565">
        <v>1057322</v>
      </c>
      <c r="N4468" s="3565">
        <v>9615.51</v>
      </c>
      <c r="O4468" s="3566">
        <v>44176</v>
      </c>
    </row>
    <row r="4469" spans="1:15">
      <c r="A4469" s="3563" t="s">
        <v>8691</v>
      </c>
      <c r="B4469" s="3563" t="s">
        <v>5277</v>
      </c>
      <c r="C4469" s="3563" t="s">
        <v>4197</v>
      </c>
      <c r="D4469" s="3563" t="s">
        <v>6429</v>
      </c>
      <c r="E4469" s="3563" t="s">
        <v>6386</v>
      </c>
      <c r="F4469" s="3563" t="s">
        <v>4797</v>
      </c>
      <c r="G4469" s="3564">
        <v>101.63</v>
      </c>
      <c r="H4469" s="3564">
        <v>81.739999999999995</v>
      </c>
      <c r="I4469" s="3564">
        <v>19.89</v>
      </c>
      <c r="J4469" s="3565">
        <v>1084620</v>
      </c>
      <c r="K4469" s="3565">
        <v>10672.24</v>
      </c>
      <c r="L4469" s="3565">
        <v>13269.15</v>
      </c>
      <c r="M4469" s="3565">
        <v>1030389</v>
      </c>
      <c r="N4469" s="3565">
        <v>10138.629999999999</v>
      </c>
      <c r="O4469" s="3566">
        <v>44176</v>
      </c>
    </row>
    <row r="4470" spans="1:15">
      <c r="A4470" s="3563" t="s">
        <v>8692</v>
      </c>
      <c r="B4470" s="3563" t="s">
        <v>5277</v>
      </c>
      <c r="C4470" s="3563" t="s">
        <v>4197</v>
      </c>
      <c r="D4470" s="3563" t="s">
        <v>6429</v>
      </c>
      <c r="E4470" s="3563" t="s">
        <v>6386</v>
      </c>
      <c r="F4470" s="3563" t="s">
        <v>4797</v>
      </c>
      <c r="G4470" s="3564">
        <v>101.63</v>
      </c>
      <c r="H4470" s="3564">
        <v>81.739999999999995</v>
      </c>
      <c r="I4470" s="3564">
        <v>19.89</v>
      </c>
      <c r="J4470" s="3565">
        <v>1084620</v>
      </c>
      <c r="K4470" s="3565">
        <v>10672.24</v>
      </c>
      <c r="L4470" s="3565">
        <v>13269.15</v>
      </c>
      <c r="M4470" s="3565">
        <v>1041236</v>
      </c>
      <c r="N4470" s="3565">
        <v>10245.36</v>
      </c>
      <c r="O4470" s="3566">
        <v>44179</v>
      </c>
    </row>
    <row r="4471" spans="1:15">
      <c r="A4471" s="3563" t="s">
        <v>8693</v>
      </c>
      <c r="B4471" s="3563" t="s">
        <v>5277</v>
      </c>
      <c r="C4471" s="3563" t="s">
        <v>4197</v>
      </c>
      <c r="D4471" s="3563" t="s">
        <v>6429</v>
      </c>
      <c r="E4471" s="3563" t="s">
        <v>6386</v>
      </c>
      <c r="F4471" s="3563" t="s">
        <v>4797</v>
      </c>
      <c r="G4471" s="3564">
        <v>90.49</v>
      </c>
      <c r="H4471" s="3564">
        <v>72.78</v>
      </c>
      <c r="I4471" s="3564">
        <v>17.71</v>
      </c>
      <c r="J4471" s="3565">
        <v>893531</v>
      </c>
      <c r="K4471" s="3565">
        <v>9874.36</v>
      </c>
      <c r="L4471" s="3565">
        <v>12277.15</v>
      </c>
      <c r="M4471" s="3565">
        <v>848855</v>
      </c>
      <c r="N4471" s="3565">
        <v>9380.65</v>
      </c>
      <c r="O4471" s="3566">
        <v>44176</v>
      </c>
    </row>
    <row r="4472" spans="1:15">
      <c r="A4472" s="3563" t="s">
        <v>8694</v>
      </c>
      <c r="B4472" s="3563" t="s">
        <v>5277</v>
      </c>
      <c r="C4472" s="3563" t="s">
        <v>4197</v>
      </c>
      <c r="D4472" s="3563" t="s">
        <v>6429</v>
      </c>
      <c r="E4472" s="3563" t="s">
        <v>6386</v>
      </c>
      <c r="F4472" s="3563" t="s">
        <v>4797</v>
      </c>
      <c r="G4472" s="3564">
        <v>78.37</v>
      </c>
      <c r="H4472" s="3564">
        <v>63.03</v>
      </c>
      <c r="I4472" s="3564">
        <v>15.34</v>
      </c>
      <c r="J4472" s="3565">
        <v>765517</v>
      </c>
      <c r="K4472" s="3565">
        <v>9767.99</v>
      </c>
      <c r="L4472" s="3565">
        <v>12145.28</v>
      </c>
      <c r="M4472" s="3565">
        <v>727242</v>
      </c>
      <c r="N4472" s="3565">
        <v>9279.6</v>
      </c>
      <c r="O4472" s="3566">
        <v>44178</v>
      </c>
    </row>
    <row r="4473" spans="1:15">
      <c r="A4473" s="3563" t="s">
        <v>8695</v>
      </c>
      <c r="B4473" s="3563" t="s">
        <v>6422</v>
      </c>
      <c r="C4473" s="3563" t="s">
        <v>4197</v>
      </c>
      <c r="D4473" s="3563" t="s">
        <v>6429</v>
      </c>
      <c r="E4473" s="3563" t="s">
        <v>6386</v>
      </c>
      <c r="F4473" s="3563" t="s">
        <v>4797</v>
      </c>
      <c r="G4473" s="3564">
        <v>78.37</v>
      </c>
      <c r="H4473" s="3564">
        <v>63.03</v>
      </c>
      <c r="I4473" s="3564">
        <v>15.34</v>
      </c>
      <c r="J4473" s="3565">
        <v>765517</v>
      </c>
      <c r="K4473" s="3565">
        <v>9767.99</v>
      </c>
      <c r="L4473" s="3565">
        <v>12145.28</v>
      </c>
      <c r="M4473" s="3565">
        <v>734897</v>
      </c>
      <c r="N4473" s="3565">
        <v>9377.27</v>
      </c>
      <c r="O4473" s="3566">
        <v>44177</v>
      </c>
    </row>
    <row r="4474" spans="1:15">
      <c r="A4474" s="3563" t="s">
        <v>8696</v>
      </c>
      <c r="B4474" s="3563" t="s">
        <v>5277</v>
      </c>
      <c r="C4474" s="3563" t="s">
        <v>4197</v>
      </c>
      <c r="D4474" s="3563" t="s">
        <v>6429</v>
      </c>
      <c r="E4474" s="3563" t="s">
        <v>6386</v>
      </c>
      <c r="F4474" s="3563" t="s">
        <v>4797</v>
      </c>
      <c r="G4474" s="3564">
        <v>109.96</v>
      </c>
      <c r="H4474" s="3564">
        <v>88.44</v>
      </c>
      <c r="I4474" s="3564">
        <v>21.52</v>
      </c>
      <c r="J4474" s="3565">
        <v>1150124</v>
      </c>
      <c r="K4474" s="3565">
        <v>10459.48</v>
      </c>
      <c r="L4474" s="3565">
        <v>13004.57</v>
      </c>
      <c r="M4474" s="3565">
        <v>1103120</v>
      </c>
      <c r="N4474" s="3565">
        <v>10032.01</v>
      </c>
      <c r="O4474" s="3566">
        <v>44176</v>
      </c>
    </row>
    <row r="4475" spans="1:15">
      <c r="A4475" s="3563" t="s">
        <v>8697</v>
      </c>
      <c r="B4475" s="3563" t="s">
        <v>6422</v>
      </c>
      <c r="C4475" s="3563" t="s">
        <v>4197</v>
      </c>
      <c r="D4475" s="3563" t="s">
        <v>6429</v>
      </c>
      <c r="E4475" s="3563" t="s">
        <v>6386</v>
      </c>
      <c r="F4475" s="3563" t="s">
        <v>4797</v>
      </c>
      <c r="G4475" s="3564">
        <v>101.63</v>
      </c>
      <c r="H4475" s="3564">
        <v>81.739999999999995</v>
      </c>
      <c r="I4475" s="3564">
        <v>19.89</v>
      </c>
      <c r="J4475" s="3565">
        <v>1094350</v>
      </c>
      <c r="K4475" s="3565">
        <v>10767.98</v>
      </c>
      <c r="L4475" s="3565">
        <v>13388.18</v>
      </c>
      <c r="M4475" s="3565">
        <v>1049576</v>
      </c>
      <c r="N4475" s="3565">
        <v>10327.42</v>
      </c>
      <c r="O4475" s="3566">
        <v>44176</v>
      </c>
    </row>
    <row r="4476" spans="1:15">
      <c r="A4476" s="3563" t="s">
        <v>8698</v>
      </c>
      <c r="B4476" s="3563" t="s">
        <v>4811</v>
      </c>
      <c r="C4476" s="3563" t="s">
        <v>4197</v>
      </c>
      <c r="D4476" s="3563" t="s">
        <v>6429</v>
      </c>
      <c r="E4476" s="3563" t="s">
        <v>6386</v>
      </c>
      <c r="F4476" s="3563" t="s">
        <v>4797</v>
      </c>
      <c r="G4476" s="3564">
        <v>101.63</v>
      </c>
      <c r="H4476" s="3564">
        <v>81.739999999999995</v>
      </c>
      <c r="I4476" s="3564">
        <v>19.89</v>
      </c>
      <c r="J4476" s="3565">
        <v>1094350</v>
      </c>
      <c r="K4476" s="3565">
        <v>10767.98</v>
      </c>
      <c r="L4476" s="3565">
        <v>13388.18</v>
      </c>
      <c r="M4476" s="3565">
        <v>1094350</v>
      </c>
      <c r="N4476" s="3565">
        <v>10767.98</v>
      </c>
      <c r="O4476" s="3566">
        <v>44176</v>
      </c>
    </row>
    <row r="4477" spans="1:15">
      <c r="A4477" s="3563" t="s">
        <v>8699</v>
      </c>
      <c r="B4477" s="3563" t="s">
        <v>6422</v>
      </c>
      <c r="C4477" s="3563" t="s">
        <v>4197</v>
      </c>
      <c r="D4477" s="3563" t="s">
        <v>6429</v>
      </c>
      <c r="E4477" s="3563" t="s">
        <v>6386</v>
      </c>
      <c r="F4477" s="3563" t="s">
        <v>4797</v>
      </c>
      <c r="G4477" s="3564">
        <v>90.49</v>
      </c>
      <c r="H4477" s="3564">
        <v>72.78</v>
      </c>
      <c r="I4477" s="3564">
        <v>17.71</v>
      </c>
      <c r="J4477" s="3565">
        <v>902195</v>
      </c>
      <c r="K4477" s="3565">
        <v>9970.11</v>
      </c>
      <c r="L4477" s="3565">
        <v>12396.19</v>
      </c>
      <c r="M4477" s="3565">
        <v>865108</v>
      </c>
      <c r="N4477" s="3565">
        <v>9560.26</v>
      </c>
      <c r="O4477" s="3566">
        <v>44176</v>
      </c>
    </row>
    <row r="4478" spans="1:15">
      <c r="A4478" s="3563" t="s">
        <v>8700</v>
      </c>
      <c r="B4478" s="3563" t="s">
        <v>5277</v>
      </c>
      <c r="C4478" s="3563" t="s">
        <v>4197</v>
      </c>
      <c r="D4478" s="3563" t="s">
        <v>6429</v>
      </c>
      <c r="E4478" s="3563" t="s">
        <v>6386</v>
      </c>
      <c r="F4478" s="3563" t="s">
        <v>4797</v>
      </c>
      <c r="G4478" s="3564">
        <v>78.37</v>
      </c>
      <c r="H4478" s="3564">
        <v>63.03</v>
      </c>
      <c r="I4478" s="3564">
        <v>15.34</v>
      </c>
      <c r="J4478" s="3565">
        <v>773021</v>
      </c>
      <c r="K4478" s="3565">
        <v>9863.74</v>
      </c>
      <c r="L4478" s="3565">
        <v>12264.33</v>
      </c>
      <c r="M4478" s="3565">
        <v>773021</v>
      </c>
      <c r="N4478" s="3565">
        <v>9863.74</v>
      </c>
      <c r="O4478" s="3566">
        <v>44176</v>
      </c>
    </row>
    <row r="4479" spans="1:15">
      <c r="A4479" s="3563" t="s">
        <v>8701</v>
      </c>
      <c r="B4479" s="3563" t="s">
        <v>6422</v>
      </c>
      <c r="C4479" s="3563" t="s">
        <v>4197</v>
      </c>
      <c r="D4479" s="3563" t="s">
        <v>6429</v>
      </c>
      <c r="E4479" s="3563" t="s">
        <v>6386</v>
      </c>
      <c r="F4479" s="3563" t="s">
        <v>4797</v>
      </c>
      <c r="G4479" s="3564">
        <v>78.37</v>
      </c>
      <c r="H4479" s="3564">
        <v>63.03</v>
      </c>
      <c r="I4479" s="3564">
        <v>15.34</v>
      </c>
      <c r="J4479" s="3565">
        <v>773021</v>
      </c>
      <c r="K4479" s="3565">
        <v>9863.74</v>
      </c>
      <c r="L4479" s="3565">
        <v>12264.33</v>
      </c>
      <c r="M4479" s="3565">
        <v>703450</v>
      </c>
      <c r="N4479" s="3565">
        <v>8976.01</v>
      </c>
      <c r="O4479" s="3566">
        <v>44176</v>
      </c>
    </row>
    <row r="4480" spans="1:15">
      <c r="A4480" s="3563" t="s">
        <v>8702</v>
      </c>
      <c r="B4480" s="3563" t="s">
        <v>5277</v>
      </c>
      <c r="C4480" s="3563" t="s">
        <v>4197</v>
      </c>
      <c r="D4480" s="3563" t="s">
        <v>6429</v>
      </c>
      <c r="E4480" s="3563" t="s">
        <v>6386</v>
      </c>
      <c r="F4480" s="3563" t="s">
        <v>4797</v>
      </c>
      <c r="G4480" s="3564">
        <v>109.96</v>
      </c>
      <c r="H4480" s="3564">
        <v>88.44</v>
      </c>
      <c r="I4480" s="3564">
        <v>21.52</v>
      </c>
      <c r="J4480" s="3565">
        <v>1160652</v>
      </c>
      <c r="K4480" s="3565">
        <v>10555.22</v>
      </c>
      <c r="L4480" s="3565">
        <v>13123.61</v>
      </c>
      <c r="M4480" s="3565">
        <v>1055194</v>
      </c>
      <c r="N4480" s="3565">
        <v>9596.16</v>
      </c>
      <c r="O4480" s="3566">
        <v>44176</v>
      </c>
    </row>
    <row r="4481" spans="1:15">
      <c r="A4481" s="3563" t="s">
        <v>8703</v>
      </c>
      <c r="B4481" s="3563" t="s">
        <v>4196</v>
      </c>
      <c r="C4481" s="3563" t="s">
        <v>4197</v>
      </c>
      <c r="D4481" s="3563" t="s">
        <v>6429</v>
      </c>
      <c r="E4481" s="3563" t="s">
        <v>6386</v>
      </c>
      <c r="F4481" s="3563" t="s">
        <v>4797</v>
      </c>
      <c r="G4481" s="3564">
        <v>103.21</v>
      </c>
      <c r="H4481" s="3564">
        <v>81.739999999999995</v>
      </c>
      <c r="I4481" s="3564">
        <v>21.47</v>
      </c>
      <c r="J4481" s="3565">
        <v>1065248</v>
      </c>
      <c r="K4481" s="3565">
        <v>10321.17</v>
      </c>
      <c r="L4481" s="3565">
        <v>13032.15</v>
      </c>
      <c r="M4481" s="3565">
        <v>0</v>
      </c>
      <c r="N4481" s="3565">
        <v>0</v>
      </c>
      <c r="O4481" s="3563" t="s">
        <v>3453</v>
      </c>
    </row>
    <row r="4482" spans="1:15">
      <c r="A4482" s="3563" t="s">
        <v>8704</v>
      </c>
      <c r="B4482" s="3563" t="s">
        <v>4811</v>
      </c>
      <c r="C4482" s="3563" t="s">
        <v>4197</v>
      </c>
      <c r="D4482" s="3563" t="s">
        <v>6429</v>
      </c>
      <c r="E4482" s="3563" t="s">
        <v>6386</v>
      </c>
      <c r="F4482" s="3563" t="s">
        <v>4797</v>
      </c>
      <c r="G4482" s="3564">
        <v>103.21</v>
      </c>
      <c r="H4482" s="3564">
        <v>81.739999999999995</v>
      </c>
      <c r="I4482" s="3564">
        <v>21.47</v>
      </c>
      <c r="J4482" s="3565">
        <v>1065248</v>
      </c>
      <c r="K4482" s="3565">
        <v>10321.17</v>
      </c>
      <c r="L4482" s="3565">
        <v>13032.15</v>
      </c>
      <c r="M4482" s="3565">
        <v>1022639</v>
      </c>
      <c r="N4482" s="3565">
        <v>9908.33</v>
      </c>
      <c r="O4482" s="3566">
        <v>44189</v>
      </c>
    </row>
    <row r="4483" spans="1:15">
      <c r="A4483" s="3563" t="s">
        <v>8705</v>
      </c>
      <c r="B4483" s="3563" t="s">
        <v>4196</v>
      </c>
      <c r="C4483" s="3563" t="s">
        <v>4197</v>
      </c>
      <c r="D4483" s="3563" t="s">
        <v>6429</v>
      </c>
      <c r="E4483" s="3563" t="s">
        <v>6386</v>
      </c>
      <c r="F4483" s="3563" t="s">
        <v>4797</v>
      </c>
      <c r="G4483" s="3564">
        <v>91.9</v>
      </c>
      <c r="H4483" s="3564">
        <v>72.78</v>
      </c>
      <c r="I4483" s="3564">
        <v>19.12</v>
      </c>
      <c r="J4483" s="3565">
        <v>895722</v>
      </c>
      <c r="K4483" s="3565">
        <v>9746.7000000000007</v>
      </c>
      <c r="L4483" s="3565">
        <v>12307.25</v>
      </c>
      <c r="M4483" s="3565">
        <v>0</v>
      </c>
      <c r="N4483" s="3565">
        <v>0</v>
      </c>
      <c r="O4483" s="3563" t="s">
        <v>3453</v>
      </c>
    </row>
    <row r="4484" spans="1:15">
      <c r="A4484" s="3563" t="s">
        <v>8706</v>
      </c>
      <c r="B4484" s="3563" t="s">
        <v>5277</v>
      </c>
      <c r="C4484" s="3563" t="s">
        <v>4197</v>
      </c>
      <c r="D4484" s="3563" t="s">
        <v>6429</v>
      </c>
      <c r="E4484" s="3563" t="s">
        <v>6386</v>
      </c>
      <c r="F4484" s="3563" t="s">
        <v>4797</v>
      </c>
      <c r="G4484" s="3564">
        <v>79.58</v>
      </c>
      <c r="H4484" s="3564">
        <v>63.03</v>
      </c>
      <c r="I4484" s="3564">
        <v>16.55</v>
      </c>
      <c r="J4484" s="3565">
        <v>775643</v>
      </c>
      <c r="K4484" s="3565">
        <v>9746.7099999999991</v>
      </c>
      <c r="L4484" s="3565">
        <v>12305.93</v>
      </c>
      <c r="M4484" s="3565">
        <v>744618</v>
      </c>
      <c r="N4484" s="3565">
        <v>9356.85</v>
      </c>
      <c r="O4484" s="3566">
        <v>44185</v>
      </c>
    </row>
    <row r="4485" spans="1:15">
      <c r="A4485" s="3563" t="s">
        <v>8707</v>
      </c>
      <c r="B4485" s="3563" t="s">
        <v>5277</v>
      </c>
      <c r="C4485" s="3563" t="s">
        <v>4197</v>
      </c>
      <c r="D4485" s="3563" t="s">
        <v>6429</v>
      </c>
      <c r="E4485" s="3563" t="s">
        <v>6386</v>
      </c>
      <c r="F4485" s="3563" t="s">
        <v>4797</v>
      </c>
      <c r="G4485" s="3564">
        <v>79.58</v>
      </c>
      <c r="H4485" s="3564">
        <v>63.03</v>
      </c>
      <c r="I4485" s="3564">
        <v>16.55</v>
      </c>
      <c r="J4485" s="3565">
        <v>775643</v>
      </c>
      <c r="K4485" s="3565">
        <v>9746.7099999999991</v>
      </c>
      <c r="L4485" s="3565">
        <v>12305.93</v>
      </c>
      <c r="M4485" s="3565">
        <v>736861</v>
      </c>
      <c r="N4485" s="3565">
        <v>9259.3700000000008</v>
      </c>
      <c r="O4485" s="3566">
        <v>44183</v>
      </c>
    </row>
    <row r="4486" spans="1:15">
      <c r="A4486" s="3563" t="s">
        <v>8708</v>
      </c>
      <c r="B4486" s="3563" t="s">
        <v>5277</v>
      </c>
      <c r="C4486" s="3563" t="s">
        <v>4197</v>
      </c>
      <c r="D4486" s="3563" t="s">
        <v>6429</v>
      </c>
      <c r="E4486" s="3563" t="s">
        <v>6386</v>
      </c>
      <c r="F4486" s="3563" t="s">
        <v>4797</v>
      </c>
      <c r="G4486" s="3564">
        <v>101.63</v>
      </c>
      <c r="H4486" s="3564">
        <v>81.739999999999995</v>
      </c>
      <c r="I4486" s="3564">
        <v>19.89</v>
      </c>
      <c r="J4486" s="3565">
        <v>1093269</v>
      </c>
      <c r="K4486" s="3565">
        <v>10757.35</v>
      </c>
      <c r="L4486" s="3565">
        <v>13374.96</v>
      </c>
      <c r="M4486" s="3565">
        <v>994875</v>
      </c>
      <c r="N4486" s="3565">
        <v>9789.19</v>
      </c>
      <c r="O4486" s="3566">
        <v>44178</v>
      </c>
    </row>
    <row r="4487" spans="1:15">
      <c r="A4487" s="3563" t="s">
        <v>8709</v>
      </c>
      <c r="B4487" s="3563" t="s">
        <v>4196</v>
      </c>
      <c r="C4487" s="3563" t="s">
        <v>4197</v>
      </c>
      <c r="D4487" s="3563" t="s">
        <v>6429</v>
      </c>
      <c r="E4487" s="3563" t="s">
        <v>6386</v>
      </c>
      <c r="F4487" s="3563" t="s">
        <v>4797</v>
      </c>
      <c r="G4487" s="3564">
        <v>101.63</v>
      </c>
      <c r="H4487" s="3564">
        <v>81.739999999999995</v>
      </c>
      <c r="I4487" s="3564">
        <v>19.89</v>
      </c>
      <c r="J4487" s="3565">
        <v>1093269</v>
      </c>
      <c r="K4487" s="3565">
        <v>10757.35</v>
      </c>
      <c r="L4487" s="3565">
        <v>13374.96</v>
      </c>
      <c r="M4487" s="3565">
        <v>0</v>
      </c>
      <c r="N4487" s="3565">
        <v>0</v>
      </c>
      <c r="O4487" s="3563" t="s">
        <v>3453</v>
      </c>
    </row>
    <row r="4488" spans="1:15">
      <c r="A4488" s="3563" t="s">
        <v>8710</v>
      </c>
      <c r="B4488" s="3563" t="s">
        <v>5277</v>
      </c>
      <c r="C4488" s="3563" t="s">
        <v>4197</v>
      </c>
      <c r="D4488" s="3563" t="s">
        <v>6429</v>
      </c>
      <c r="E4488" s="3563" t="s">
        <v>6386</v>
      </c>
      <c r="F4488" s="3563" t="s">
        <v>4797</v>
      </c>
      <c r="G4488" s="3564">
        <v>90.49</v>
      </c>
      <c r="H4488" s="3564">
        <v>72.78</v>
      </c>
      <c r="I4488" s="3564">
        <v>17.71</v>
      </c>
      <c r="J4488" s="3565">
        <v>901233</v>
      </c>
      <c r="K4488" s="3565">
        <v>9959.48</v>
      </c>
      <c r="L4488" s="3565">
        <v>12382.98</v>
      </c>
      <c r="M4488" s="3565">
        <v>901233</v>
      </c>
      <c r="N4488" s="3565">
        <v>9959.48</v>
      </c>
      <c r="O4488" s="3566">
        <v>44176</v>
      </c>
    </row>
    <row r="4489" spans="1:15">
      <c r="A4489" s="3563" t="s">
        <v>8711</v>
      </c>
      <c r="B4489" s="3563" t="s">
        <v>6422</v>
      </c>
      <c r="C4489" s="3563" t="s">
        <v>4197</v>
      </c>
      <c r="D4489" s="3563" t="s">
        <v>6429</v>
      </c>
      <c r="E4489" s="3563" t="s">
        <v>6386</v>
      </c>
      <c r="F4489" s="3563" t="s">
        <v>4797</v>
      </c>
      <c r="G4489" s="3564">
        <v>78.37</v>
      </c>
      <c r="H4489" s="3564">
        <v>63.03</v>
      </c>
      <c r="I4489" s="3564">
        <v>15.34</v>
      </c>
      <c r="J4489" s="3565">
        <v>772187</v>
      </c>
      <c r="K4489" s="3565">
        <v>9853.09</v>
      </c>
      <c r="L4489" s="3565">
        <v>12251.1</v>
      </c>
      <c r="M4489" s="3565">
        <v>741300</v>
      </c>
      <c r="N4489" s="3565">
        <v>9458.98</v>
      </c>
      <c r="O4489" s="3566">
        <v>44177</v>
      </c>
    </row>
    <row r="4490" spans="1:15">
      <c r="A4490" s="3563" t="s">
        <v>8712</v>
      </c>
      <c r="B4490" s="3563" t="s">
        <v>6422</v>
      </c>
      <c r="C4490" s="3563" t="s">
        <v>4197</v>
      </c>
      <c r="D4490" s="3563" t="s">
        <v>6429</v>
      </c>
      <c r="E4490" s="3563" t="s">
        <v>6386</v>
      </c>
      <c r="F4490" s="3563" t="s">
        <v>4797</v>
      </c>
      <c r="G4490" s="3564">
        <v>78.37</v>
      </c>
      <c r="H4490" s="3564">
        <v>63.03</v>
      </c>
      <c r="I4490" s="3564">
        <v>15.34</v>
      </c>
      <c r="J4490" s="3565">
        <v>772187</v>
      </c>
      <c r="K4490" s="3565">
        <v>9853.09</v>
      </c>
      <c r="L4490" s="3565">
        <v>12251.1</v>
      </c>
      <c r="M4490" s="3565">
        <v>741300</v>
      </c>
      <c r="N4490" s="3565">
        <v>9458.98</v>
      </c>
      <c r="O4490" s="3566">
        <v>44177</v>
      </c>
    </row>
    <row r="4491" spans="1:15">
      <c r="A4491" s="3563" t="s">
        <v>8713</v>
      </c>
      <c r="B4491" s="3563" t="s">
        <v>5277</v>
      </c>
      <c r="C4491" s="3563" t="s">
        <v>4197</v>
      </c>
      <c r="D4491" s="3563" t="s">
        <v>6429</v>
      </c>
      <c r="E4491" s="3563" t="s">
        <v>6386</v>
      </c>
      <c r="F4491" s="3563" t="s">
        <v>4797</v>
      </c>
      <c r="G4491" s="3564">
        <v>109.96</v>
      </c>
      <c r="H4491" s="3564">
        <v>88.44</v>
      </c>
      <c r="I4491" s="3564">
        <v>21.52</v>
      </c>
      <c r="J4491" s="3565">
        <v>1159482</v>
      </c>
      <c r="K4491" s="3565">
        <v>10544.58</v>
      </c>
      <c r="L4491" s="3565">
        <v>13110.38</v>
      </c>
      <c r="M4491" s="3565">
        <v>1054129</v>
      </c>
      <c r="N4491" s="3565">
        <v>9586.48</v>
      </c>
      <c r="O4491" s="3566">
        <v>44176</v>
      </c>
    </row>
    <row r="4492" spans="1:15">
      <c r="A4492" s="3563" t="s">
        <v>8714</v>
      </c>
      <c r="B4492" s="3563" t="s">
        <v>4811</v>
      </c>
      <c r="C4492" s="3563" t="s">
        <v>4197</v>
      </c>
      <c r="D4492" s="3563" t="s">
        <v>6429</v>
      </c>
      <c r="E4492" s="3563" t="s">
        <v>6386</v>
      </c>
      <c r="F4492" s="3563" t="s">
        <v>4797</v>
      </c>
      <c r="G4492" s="3564">
        <v>101.63</v>
      </c>
      <c r="H4492" s="3564">
        <v>81.739999999999995</v>
      </c>
      <c r="I4492" s="3564">
        <v>19.89</v>
      </c>
      <c r="J4492" s="3565">
        <v>1092188</v>
      </c>
      <c r="K4492" s="3565">
        <v>10746.71</v>
      </c>
      <c r="L4492" s="3565">
        <v>13361.73</v>
      </c>
      <c r="M4492" s="3565">
        <v>1092188</v>
      </c>
      <c r="N4492" s="3565">
        <v>10746.71</v>
      </c>
      <c r="O4492" s="3566">
        <v>44176</v>
      </c>
    </row>
    <row r="4493" spans="1:15">
      <c r="A4493" s="3563" t="s">
        <v>8715</v>
      </c>
      <c r="B4493" s="3563" t="s">
        <v>5277</v>
      </c>
      <c r="C4493" s="3563" t="s">
        <v>4197</v>
      </c>
      <c r="D4493" s="3563" t="s">
        <v>6429</v>
      </c>
      <c r="E4493" s="3563" t="s">
        <v>6386</v>
      </c>
      <c r="F4493" s="3563" t="s">
        <v>4797</v>
      </c>
      <c r="G4493" s="3564">
        <v>101.63</v>
      </c>
      <c r="H4493" s="3564">
        <v>81.739999999999995</v>
      </c>
      <c r="I4493" s="3564">
        <v>19.89</v>
      </c>
      <c r="J4493" s="3565">
        <v>1092188</v>
      </c>
      <c r="K4493" s="3565">
        <v>10746.71</v>
      </c>
      <c r="L4493" s="3565">
        <v>13361.73</v>
      </c>
      <c r="M4493" s="3565">
        <v>1048501</v>
      </c>
      <c r="N4493" s="3565">
        <v>10316.85</v>
      </c>
      <c r="O4493" s="3566">
        <v>44179</v>
      </c>
    </row>
    <row r="4494" spans="1:15">
      <c r="A4494" s="3563" t="s">
        <v>8716</v>
      </c>
      <c r="B4494" s="3563" t="s">
        <v>5277</v>
      </c>
      <c r="C4494" s="3563" t="s">
        <v>4197</v>
      </c>
      <c r="D4494" s="3563" t="s">
        <v>6429</v>
      </c>
      <c r="E4494" s="3563" t="s">
        <v>6386</v>
      </c>
      <c r="F4494" s="3563" t="s">
        <v>4797</v>
      </c>
      <c r="G4494" s="3564">
        <v>90.49</v>
      </c>
      <c r="H4494" s="3564">
        <v>72.78</v>
      </c>
      <c r="I4494" s="3564">
        <v>17.71</v>
      </c>
      <c r="J4494" s="3565">
        <v>900270</v>
      </c>
      <c r="K4494" s="3565">
        <v>9948.83</v>
      </c>
      <c r="L4494" s="3565">
        <v>12369.74</v>
      </c>
      <c r="M4494" s="3565">
        <v>864260</v>
      </c>
      <c r="N4494" s="3565">
        <v>9550.89</v>
      </c>
      <c r="O4494" s="3566">
        <v>44187</v>
      </c>
    </row>
    <row r="4495" spans="1:15">
      <c r="A4495" s="3563" t="s">
        <v>8717</v>
      </c>
      <c r="B4495" s="3563" t="s">
        <v>5277</v>
      </c>
      <c r="C4495" s="3563" t="s">
        <v>4197</v>
      </c>
      <c r="D4495" s="3563" t="s">
        <v>6429</v>
      </c>
      <c r="E4495" s="3563" t="s">
        <v>6386</v>
      </c>
      <c r="F4495" s="3563" t="s">
        <v>4797</v>
      </c>
      <c r="G4495" s="3564">
        <v>78.37</v>
      </c>
      <c r="H4495" s="3564">
        <v>63.03</v>
      </c>
      <c r="I4495" s="3564">
        <v>15.34</v>
      </c>
      <c r="J4495" s="3565">
        <v>771353</v>
      </c>
      <c r="K4495" s="3565">
        <v>9842.4500000000007</v>
      </c>
      <c r="L4495" s="3565">
        <v>12237.87</v>
      </c>
      <c r="M4495" s="3565">
        <v>732786</v>
      </c>
      <c r="N4495" s="3565">
        <v>9350.34</v>
      </c>
      <c r="O4495" s="3566">
        <v>44177</v>
      </c>
    </row>
    <row r="4496" spans="1:15">
      <c r="A4496" s="3563" t="s">
        <v>8718</v>
      </c>
      <c r="B4496" s="3563" t="s">
        <v>6422</v>
      </c>
      <c r="C4496" s="3563" t="s">
        <v>4197</v>
      </c>
      <c r="D4496" s="3563" t="s">
        <v>6429</v>
      </c>
      <c r="E4496" s="3563" t="s">
        <v>6386</v>
      </c>
      <c r="F4496" s="3563" t="s">
        <v>4797</v>
      </c>
      <c r="G4496" s="3564">
        <v>78.37</v>
      </c>
      <c r="H4496" s="3564">
        <v>63.03</v>
      </c>
      <c r="I4496" s="3564">
        <v>15.34</v>
      </c>
      <c r="J4496" s="3565">
        <v>771353</v>
      </c>
      <c r="K4496" s="3565">
        <v>9842.4500000000007</v>
      </c>
      <c r="L4496" s="3565">
        <v>12237.87</v>
      </c>
      <c r="M4496" s="3565">
        <v>740499</v>
      </c>
      <c r="N4496" s="3565">
        <v>9448.76</v>
      </c>
      <c r="O4496" s="3566">
        <v>44177</v>
      </c>
    </row>
    <row r="4497" spans="1:15">
      <c r="A4497" s="3563" t="s">
        <v>8719</v>
      </c>
      <c r="B4497" s="3563" t="s">
        <v>5277</v>
      </c>
      <c r="C4497" s="3563" t="s">
        <v>4197</v>
      </c>
      <c r="D4497" s="3563" t="s">
        <v>6429</v>
      </c>
      <c r="E4497" s="3563" t="s">
        <v>6386</v>
      </c>
      <c r="F4497" s="3563" t="s">
        <v>4797</v>
      </c>
      <c r="G4497" s="3564">
        <v>109.96</v>
      </c>
      <c r="H4497" s="3564">
        <v>88.44</v>
      </c>
      <c r="I4497" s="3564">
        <v>21.52</v>
      </c>
      <c r="J4497" s="3565">
        <v>1158312</v>
      </c>
      <c r="K4497" s="3565">
        <v>10533.94</v>
      </c>
      <c r="L4497" s="3565">
        <v>13097.15</v>
      </c>
      <c r="M4497" s="3565">
        <v>1099397</v>
      </c>
      <c r="N4497" s="3565">
        <v>9998.15</v>
      </c>
      <c r="O4497" s="3566">
        <v>44186</v>
      </c>
    </row>
    <row r="4498" spans="1:15">
      <c r="A4498" s="3563" t="s">
        <v>8720</v>
      </c>
      <c r="B4498" s="3563" t="s">
        <v>5277</v>
      </c>
      <c r="C4498" s="3563" t="s">
        <v>4197</v>
      </c>
      <c r="D4498" s="3563" t="s">
        <v>6429</v>
      </c>
      <c r="E4498" s="3563" t="s">
        <v>6386</v>
      </c>
      <c r="F4498" s="3563" t="s">
        <v>4797</v>
      </c>
      <c r="G4498" s="3564">
        <v>101.63</v>
      </c>
      <c r="H4498" s="3564">
        <v>81.739999999999995</v>
      </c>
      <c r="I4498" s="3564">
        <v>19.89</v>
      </c>
      <c r="J4498" s="3565">
        <v>1058672</v>
      </c>
      <c r="K4498" s="3565">
        <v>10416.92</v>
      </c>
      <c r="L4498" s="3565">
        <v>12951.7</v>
      </c>
      <c r="M4498" s="3565">
        <v>1005739</v>
      </c>
      <c r="N4498" s="3565">
        <v>9896.08</v>
      </c>
      <c r="O4498" s="3566">
        <v>44185</v>
      </c>
    </row>
    <row r="4499" spans="1:15">
      <c r="A4499" s="3563" t="s">
        <v>8721</v>
      </c>
      <c r="B4499" s="3563" t="s">
        <v>6422</v>
      </c>
      <c r="C4499" s="3563" t="s">
        <v>4197</v>
      </c>
      <c r="D4499" s="3563" t="s">
        <v>6429</v>
      </c>
      <c r="E4499" s="3563" t="s">
        <v>6386</v>
      </c>
      <c r="F4499" s="3563" t="s">
        <v>4797</v>
      </c>
      <c r="G4499" s="3564">
        <v>101.63</v>
      </c>
      <c r="H4499" s="3564">
        <v>81.739999999999995</v>
      </c>
      <c r="I4499" s="3564">
        <v>19.89</v>
      </c>
      <c r="J4499" s="3565">
        <v>1058672</v>
      </c>
      <c r="K4499" s="3565">
        <v>10416.92</v>
      </c>
      <c r="L4499" s="3565">
        <v>12951.7</v>
      </c>
      <c r="M4499" s="3565">
        <v>1016326</v>
      </c>
      <c r="N4499" s="3565">
        <v>10000.26</v>
      </c>
      <c r="O4499" s="3566">
        <v>44177</v>
      </c>
    </row>
    <row r="4500" spans="1:15">
      <c r="A4500" s="3563" t="s">
        <v>8722</v>
      </c>
      <c r="B4500" s="3563" t="s">
        <v>4811</v>
      </c>
      <c r="C4500" s="3563" t="s">
        <v>4197</v>
      </c>
      <c r="D4500" s="3563" t="s">
        <v>6429</v>
      </c>
      <c r="E4500" s="3563" t="s">
        <v>6386</v>
      </c>
      <c r="F4500" s="3563" t="s">
        <v>4797</v>
      </c>
      <c r="G4500" s="3564">
        <v>90.49</v>
      </c>
      <c r="H4500" s="3564">
        <v>72.78</v>
      </c>
      <c r="I4500" s="3564">
        <v>17.71</v>
      </c>
      <c r="J4500" s="3565">
        <v>881980</v>
      </c>
      <c r="K4500" s="3565">
        <v>9746.7099999999991</v>
      </c>
      <c r="L4500" s="3565">
        <v>12118.44</v>
      </c>
      <c r="M4500" s="3565">
        <v>855521</v>
      </c>
      <c r="N4500" s="3565">
        <v>9454.32</v>
      </c>
      <c r="O4500" s="3566">
        <v>44186</v>
      </c>
    </row>
    <row r="4501" spans="1:15">
      <c r="A4501" s="3563" t="s">
        <v>8723</v>
      </c>
      <c r="B4501" s="3563" t="s">
        <v>6422</v>
      </c>
      <c r="C4501" s="3563" t="s">
        <v>4197</v>
      </c>
      <c r="D4501" s="3563" t="s">
        <v>6429</v>
      </c>
      <c r="E4501" s="3563" t="s">
        <v>6386</v>
      </c>
      <c r="F4501" s="3563" t="s">
        <v>4797</v>
      </c>
      <c r="G4501" s="3564">
        <v>78.37</v>
      </c>
      <c r="H4501" s="3564">
        <v>63.03</v>
      </c>
      <c r="I4501" s="3564">
        <v>15.34</v>
      </c>
      <c r="J4501" s="3565">
        <v>763850</v>
      </c>
      <c r="K4501" s="3565">
        <v>9746.7099999999991</v>
      </c>
      <c r="L4501" s="3565">
        <v>12118.83</v>
      </c>
      <c r="M4501" s="3565">
        <v>733297</v>
      </c>
      <c r="N4501" s="3565">
        <v>9356.86</v>
      </c>
      <c r="O4501" s="3566">
        <v>44181</v>
      </c>
    </row>
    <row r="4502" spans="1:15">
      <c r="A4502" s="3563" t="s">
        <v>8724</v>
      </c>
      <c r="B4502" s="3563" t="s">
        <v>5277</v>
      </c>
      <c r="C4502" s="3563" t="s">
        <v>4197</v>
      </c>
      <c r="D4502" s="3563" t="s">
        <v>6429</v>
      </c>
      <c r="E4502" s="3563" t="s">
        <v>6386</v>
      </c>
      <c r="F4502" s="3563" t="s">
        <v>4797</v>
      </c>
      <c r="G4502" s="3564">
        <v>78.37</v>
      </c>
      <c r="H4502" s="3564">
        <v>63.03</v>
      </c>
      <c r="I4502" s="3564">
        <v>15.34</v>
      </c>
      <c r="J4502" s="3565">
        <v>763850</v>
      </c>
      <c r="K4502" s="3565">
        <v>9746.7099999999991</v>
      </c>
      <c r="L4502" s="3565">
        <v>12118.83</v>
      </c>
      <c r="M4502" s="3565">
        <v>733296</v>
      </c>
      <c r="N4502" s="3565">
        <v>9356.85</v>
      </c>
      <c r="O4502" s="3566">
        <v>44179</v>
      </c>
    </row>
    <row r="4503" spans="1:15">
      <c r="A4503" s="3563" t="s">
        <v>8725</v>
      </c>
      <c r="B4503" s="3563" t="s">
        <v>6422</v>
      </c>
      <c r="C4503" s="3563" t="s">
        <v>4197</v>
      </c>
      <c r="D4503" s="3563" t="s">
        <v>6429</v>
      </c>
      <c r="E4503" s="3563" t="s">
        <v>6386</v>
      </c>
      <c r="F4503" s="3563" t="s">
        <v>4797</v>
      </c>
      <c r="G4503" s="3564">
        <v>109.96</v>
      </c>
      <c r="H4503" s="3564">
        <v>88.44</v>
      </c>
      <c r="I4503" s="3564">
        <v>21.52</v>
      </c>
      <c r="J4503" s="3565">
        <v>1122049</v>
      </c>
      <c r="K4503" s="3565">
        <v>10204.16</v>
      </c>
      <c r="L4503" s="3565">
        <v>12687.12</v>
      </c>
      <c r="M4503" s="3565">
        <v>1077168</v>
      </c>
      <c r="N4503" s="3565">
        <v>9796</v>
      </c>
      <c r="O4503" s="3566">
        <v>44178</v>
      </c>
    </row>
    <row r="4504" spans="1:15">
      <c r="A4504" s="3563" t="s">
        <v>8726</v>
      </c>
      <c r="B4504" s="3563" t="s">
        <v>4811</v>
      </c>
      <c r="C4504" s="3563" t="s">
        <v>4197</v>
      </c>
      <c r="D4504" s="3563" t="s">
        <v>6429</v>
      </c>
      <c r="E4504" s="3563" t="s">
        <v>6386</v>
      </c>
      <c r="F4504" s="3563" t="s">
        <v>4797</v>
      </c>
      <c r="G4504" s="3564">
        <v>101.63</v>
      </c>
      <c r="H4504" s="3564">
        <v>81.739999999999995</v>
      </c>
      <c r="I4504" s="3564">
        <v>19.89</v>
      </c>
      <c r="J4504" s="3565">
        <v>1061915</v>
      </c>
      <c r="K4504" s="3565">
        <v>10448.83</v>
      </c>
      <c r="L4504" s="3565">
        <v>12991.38</v>
      </c>
      <c r="M4504" s="3565">
        <v>1019439</v>
      </c>
      <c r="N4504" s="3565">
        <v>10030.89</v>
      </c>
      <c r="O4504" s="3566">
        <v>44185</v>
      </c>
    </row>
    <row r="4505" spans="1:15">
      <c r="A4505" s="3563" t="s">
        <v>8727</v>
      </c>
      <c r="B4505" s="3563" t="s">
        <v>5277</v>
      </c>
      <c r="C4505" s="3563" t="s">
        <v>4197</v>
      </c>
      <c r="D4505" s="3563" t="s">
        <v>6429</v>
      </c>
      <c r="E4505" s="3563" t="s">
        <v>6386</v>
      </c>
      <c r="F4505" s="3563" t="s">
        <v>4797</v>
      </c>
      <c r="G4505" s="3564">
        <v>101.63</v>
      </c>
      <c r="H4505" s="3564">
        <v>81.739999999999995</v>
      </c>
      <c r="I4505" s="3564">
        <v>19.89</v>
      </c>
      <c r="J4505" s="3565">
        <v>1061915</v>
      </c>
      <c r="K4505" s="3565">
        <v>10448.83</v>
      </c>
      <c r="L4505" s="3565">
        <v>12991.38</v>
      </c>
      <c r="M4505" s="3565">
        <v>978237</v>
      </c>
      <c r="N4505" s="3565">
        <v>9625.4699999999993</v>
      </c>
      <c r="O4505" s="3566">
        <v>44185</v>
      </c>
    </row>
    <row r="4506" spans="1:15">
      <c r="A4506" s="3563" t="s">
        <v>8728</v>
      </c>
      <c r="B4506" s="3563" t="s">
        <v>4811</v>
      </c>
      <c r="C4506" s="3563" t="s">
        <v>4197</v>
      </c>
      <c r="D4506" s="3563" t="s">
        <v>6429</v>
      </c>
      <c r="E4506" s="3563" t="s">
        <v>6386</v>
      </c>
      <c r="F4506" s="3563" t="s">
        <v>4797</v>
      </c>
      <c r="G4506" s="3564">
        <v>90.49</v>
      </c>
      <c r="H4506" s="3564">
        <v>72.78</v>
      </c>
      <c r="I4506" s="3564">
        <v>17.71</v>
      </c>
      <c r="J4506" s="3565">
        <v>881980</v>
      </c>
      <c r="K4506" s="3565">
        <v>9746.7099999999991</v>
      </c>
      <c r="L4506" s="3565">
        <v>12118.44</v>
      </c>
      <c r="M4506" s="3565">
        <v>855521</v>
      </c>
      <c r="N4506" s="3565">
        <v>9454.32</v>
      </c>
      <c r="O4506" s="3566">
        <v>44192</v>
      </c>
    </row>
    <row r="4507" spans="1:15">
      <c r="A4507" s="3563" t="s">
        <v>8729</v>
      </c>
      <c r="B4507" s="3563" t="s">
        <v>5277</v>
      </c>
      <c r="C4507" s="3563" t="s">
        <v>4197</v>
      </c>
      <c r="D4507" s="3563" t="s">
        <v>6429</v>
      </c>
      <c r="E4507" s="3563" t="s">
        <v>6386</v>
      </c>
      <c r="F4507" s="3563" t="s">
        <v>4797</v>
      </c>
      <c r="G4507" s="3564">
        <v>78.37</v>
      </c>
      <c r="H4507" s="3564">
        <v>63.03</v>
      </c>
      <c r="I4507" s="3564">
        <v>15.34</v>
      </c>
      <c r="J4507" s="3565">
        <v>763850</v>
      </c>
      <c r="K4507" s="3565">
        <v>9746.7099999999991</v>
      </c>
      <c r="L4507" s="3565">
        <v>12118.83</v>
      </c>
      <c r="M4507" s="3565">
        <v>725658</v>
      </c>
      <c r="N4507" s="3565">
        <v>9259.3799999999992</v>
      </c>
      <c r="O4507" s="3566">
        <v>44183</v>
      </c>
    </row>
    <row r="4508" spans="1:15">
      <c r="A4508" s="3563" t="s">
        <v>8730</v>
      </c>
      <c r="B4508" s="3563" t="s">
        <v>5277</v>
      </c>
      <c r="C4508" s="3563" t="s">
        <v>4197</v>
      </c>
      <c r="D4508" s="3563" t="s">
        <v>6429</v>
      </c>
      <c r="E4508" s="3563" t="s">
        <v>6386</v>
      </c>
      <c r="F4508" s="3563" t="s">
        <v>4797</v>
      </c>
      <c r="G4508" s="3564">
        <v>78.37</v>
      </c>
      <c r="H4508" s="3564">
        <v>63.03</v>
      </c>
      <c r="I4508" s="3564">
        <v>15.34</v>
      </c>
      <c r="J4508" s="3565">
        <v>763850</v>
      </c>
      <c r="K4508" s="3565">
        <v>9746.7099999999991</v>
      </c>
      <c r="L4508" s="3565">
        <v>12118.83</v>
      </c>
      <c r="M4508" s="3565">
        <v>733296</v>
      </c>
      <c r="N4508" s="3565">
        <v>9356.85</v>
      </c>
      <c r="O4508" s="3566">
        <v>44179</v>
      </c>
    </row>
    <row r="4509" spans="1:15">
      <c r="A4509" s="3563" t="s">
        <v>8731</v>
      </c>
      <c r="B4509" s="3563" t="s">
        <v>4196</v>
      </c>
      <c r="C4509" s="3563" t="s">
        <v>4197</v>
      </c>
      <c r="D4509" s="3563" t="s">
        <v>6429</v>
      </c>
      <c r="E4509" s="3563" t="s">
        <v>6386</v>
      </c>
      <c r="F4509" s="3563" t="s">
        <v>4797</v>
      </c>
      <c r="G4509" s="3564">
        <v>109.96</v>
      </c>
      <c r="H4509" s="3564">
        <v>88.44</v>
      </c>
      <c r="I4509" s="3564">
        <v>21.52</v>
      </c>
      <c r="J4509" s="3565">
        <v>1125558</v>
      </c>
      <c r="K4509" s="3565">
        <v>10236.07</v>
      </c>
      <c r="L4509" s="3565">
        <v>12726.8</v>
      </c>
      <c r="M4509" s="3565">
        <v>0</v>
      </c>
      <c r="N4509" s="3565">
        <v>0</v>
      </c>
      <c r="O4509" s="3563" t="s">
        <v>3453</v>
      </c>
    </row>
    <row r="4510" spans="1:15">
      <c r="A4510" s="3563" t="s">
        <v>8732</v>
      </c>
      <c r="B4510" s="3563" t="s">
        <v>5277</v>
      </c>
      <c r="C4510" s="3563" t="s">
        <v>4197</v>
      </c>
      <c r="D4510" s="3563" t="s">
        <v>6429</v>
      </c>
      <c r="E4510" s="3563" t="s">
        <v>6386</v>
      </c>
      <c r="F4510" s="3563" t="s">
        <v>4797</v>
      </c>
      <c r="G4510" s="3564">
        <v>101.63</v>
      </c>
      <c r="H4510" s="3564">
        <v>81.739999999999995</v>
      </c>
      <c r="I4510" s="3564">
        <v>19.89</v>
      </c>
      <c r="J4510" s="3565">
        <v>1074889</v>
      </c>
      <c r="K4510" s="3565">
        <v>10576.49</v>
      </c>
      <c r="L4510" s="3565">
        <v>13150.1</v>
      </c>
      <c r="M4510" s="3565">
        <v>978149</v>
      </c>
      <c r="N4510" s="3565">
        <v>9624.61</v>
      </c>
      <c r="O4510" s="3566">
        <v>44187</v>
      </c>
    </row>
    <row r="4511" spans="1:15">
      <c r="A4511" s="3563" t="s">
        <v>8733</v>
      </c>
      <c r="B4511" s="3563" t="s">
        <v>5277</v>
      </c>
      <c r="C4511" s="3563" t="s">
        <v>4197</v>
      </c>
      <c r="D4511" s="3563" t="s">
        <v>6429</v>
      </c>
      <c r="E4511" s="3563" t="s">
        <v>6386</v>
      </c>
      <c r="F4511" s="3563" t="s">
        <v>4797</v>
      </c>
      <c r="G4511" s="3564">
        <v>101.63</v>
      </c>
      <c r="H4511" s="3564">
        <v>81.739999999999995</v>
      </c>
      <c r="I4511" s="3564">
        <v>19.89</v>
      </c>
      <c r="J4511" s="3565">
        <v>1074889</v>
      </c>
      <c r="K4511" s="3565">
        <v>10576.49</v>
      </c>
      <c r="L4511" s="3565">
        <v>13150.1</v>
      </c>
      <c r="M4511" s="3565">
        <v>978149</v>
      </c>
      <c r="N4511" s="3565">
        <v>9624.61</v>
      </c>
      <c r="O4511" s="3566">
        <v>44187</v>
      </c>
    </row>
    <row r="4512" spans="1:15">
      <c r="A4512" s="3563" t="s">
        <v>8734</v>
      </c>
      <c r="B4512" s="3563" t="s">
        <v>4196</v>
      </c>
      <c r="C4512" s="3563" t="s">
        <v>4197</v>
      </c>
      <c r="D4512" s="3563" t="s">
        <v>6429</v>
      </c>
      <c r="E4512" s="3563" t="s">
        <v>6386</v>
      </c>
      <c r="F4512" s="3563" t="s">
        <v>4797</v>
      </c>
      <c r="G4512" s="3564">
        <v>90.49</v>
      </c>
      <c r="H4512" s="3564">
        <v>72.78</v>
      </c>
      <c r="I4512" s="3564">
        <v>17.71</v>
      </c>
      <c r="J4512" s="3565">
        <v>881980</v>
      </c>
      <c r="K4512" s="3565">
        <v>9746.7099999999991</v>
      </c>
      <c r="L4512" s="3565">
        <v>12118.44</v>
      </c>
      <c r="M4512" s="3565">
        <v>0</v>
      </c>
      <c r="N4512" s="3565">
        <v>0</v>
      </c>
      <c r="O4512" s="3563" t="s">
        <v>3453</v>
      </c>
    </row>
    <row r="4513" spans="1:15">
      <c r="A4513" s="3563" t="s">
        <v>8735</v>
      </c>
      <c r="B4513" s="3563" t="s">
        <v>4196</v>
      </c>
      <c r="C4513" s="3563" t="s">
        <v>4197</v>
      </c>
      <c r="D4513" s="3563" t="s">
        <v>6429</v>
      </c>
      <c r="E4513" s="3563" t="s">
        <v>6386</v>
      </c>
      <c r="F4513" s="3563" t="s">
        <v>4797</v>
      </c>
      <c r="G4513" s="3564">
        <v>78.37</v>
      </c>
      <c r="H4513" s="3564">
        <v>63.03</v>
      </c>
      <c r="I4513" s="3564">
        <v>15.34</v>
      </c>
      <c r="J4513" s="3565">
        <v>763850</v>
      </c>
      <c r="K4513" s="3565">
        <v>9746.7099999999991</v>
      </c>
      <c r="L4513" s="3565">
        <v>12118.83</v>
      </c>
      <c r="M4513" s="3565">
        <v>0</v>
      </c>
      <c r="N4513" s="3565">
        <v>0</v>
      </c>
      <c r="O4513" s="3563" t="s">
        <v>3453</v>
      </c>
    </row>
    <row r="4514" spans="1:15">
      <c r="A4514" s="3563" t="s">
        <v>8736</v>
      </c>
      <c r="B4514" s="3563" t="s">
        <v>4811</v>
      </c>
      <c r="C4514" s="3563" t="s">
        <v>4197</v>
      </c>
      <c r="D4514" s="3563" t="s">
        <v>6429</v>
      </c>
      <c r="E4514" s="3563" t="s">
        <v>6386</v>
      </c>
      <c r="F4514" s="3563" t="s">
        <v>4797</v>
      </c>
      <c r="G4514" s="3564">
        <v>78.37</v>
      </c>
      <c r="H4514" s="3564">
        <v>63.03</v>
      </c>
      <c r="I4514" s="3564">
        <v>15.34</v>
      </c>
      <c r="J4514" s="3565">
        <v>763850</v>
      </c>
      <c r="K4514" s="3565">
        <v>9746.7099999999991</v>
      </c>
      <c r="L4514" s="3565">
        <v>12118.83</v>
      </c>
      <c r="M4514" s="3565">
        <v>740935</v>
      </c>
      <c r="N4514" s="3565">
        <v>9454.32</v>
      </c>
      <c r="O4514" s="3566">
        <v>44183</v>
      </c>
    </row>
    <row r="4515" spans="1:15">
      <c r="A4515" s="3563" t="s">
        <v>8737</v>
      </c>
      <c r="B4515" s="3563" t="s">
        <v>5277</v>
      </c>
      <c r="C4515" s="3563" t="s">
        <v>4197</v>
      </c>
      <c r="D4515" s="3563" t="s">
        <v>6429</v>
      </c>
      <c r="E4515" s="3563" t="s">
        <v>6386</v>
      </c>
      <c r="F4515" s="3563" t="s">
        <v>4797</v>
      </c>
      <c r="G4515" s="3564">
        <v>109.96</v>
      </c>
      <c r="H4515" s="3564">
        <v>88.44</v>
      </c>
      <c r="I4515" s="3564">
        <v>21.52</v>
      </c>
      <c r="J4515" s="3565">
        <v>1139596</v>
      </c>
      <c r="K4515" s="3565">
        <v>10363.73</v>
      </c>
      <c r="L4515" s="3565">
        <v>12885.53</v>
      </c>
      <c r="M4515" s="3565">
        <v>1094013</v>
      </c>
      <c r="N4515" s="3565">
        <v>9949.19</v>
      </c>
      <c r="O4515" s="3566">
        <v>44178</v>
      </c>
    </row>
    <row r="4516" spans="1:15">
      <c r="A4516" s="3563" t="s">
        <v>8738</v>
      </c>
      <c r="B4516" s="3563" t="s">
        <v>4196</v>
      </c>
      <c r="C4516" s="3563" t="s">
        <v>4197</v>
      </c>
      <c r="D4516" s="3563" t="s">
        <v>6429</v>
      </c>
      <c r="E4516" s="3563" t="s">
        <v>6386</v>
      </c>
      <c r="F4516" s="3563" t="s">
        <v>4797</v>
      </c>
      <c r="G4516" s="3564">
        <v>101.63</v>
      </c>
      <c r="H4516" s="3564">
        <v>81.739999999999995</v>
      </c>
      <c r="I4516" s="3564">
        <v>19.89</v>
      </c>
      <c r="J4516" s="3565">
        <v>1087863</v>
      </c>
      <c r="K4516" s="3565">
        <v>10704.15</v>
      </c>
      <c r="L4516" s="3565">
        <v>13308.82</v>
      </c>
      <c r="M4516" s="3565">
        <v>0</v>
      </c>
      <c r="N4516" s="3565">
        <v>0</v>
      </c>
      <c r="O4516" s="3563" t="s">
        <v>3453</v>
      </c>
    </row>
    <row r="4517" spans="1:15">
      <c r="A4517" s="3563" t="s">
        <v>8739</v>
      </c>
      <c r="B4517" s="3563" t="s">
        <v>4196</v>
      </c>
      <c r="C4517" s="3563" t="s">
        <v>4197</v>
      </c>
      <c r="D4517" s="3563" t="s">
        <v>6429</v>
      </c>
      <c r="E4517" s="3563" t="s">
        <v>6386</v>
      </c>
      <c r="F4517" s="3563" t="s">
        <v>4797</v>
      </c>
      <c r="G4517" s="3564">
        <v>101.63</v>
      </c>
      <c r="H4517" s="3564">
        <v>81.739999999999995</v>
      </c>
      <c r="I4517" s="3564">
        <v>19.89</v>
      </c>
      <c r="J4517" s="3565">
        <v>1087863</v>
      </c>
      <c r="K4517" s="3565">
        <v>10704.15</v>
      </c>
      <c r="L4517" s="3565">
        <v>13308.82</v>
      </c>
      <c r="M4517" s="3565">
        <v>0</v>
      </c>
      <c r="N4517" s="3565">
        <v>0</v>
      </c>
      <c r="O4517" s="3563" t="s">
        <v>3453</v>
      </c>
    </row>
    <row r="4518" spans="1:15">
      <c r="A4518" s="3563" t="s">
        <v>8740</v>
      </c>
      <c r="B4518" s="3563" t="s">
        <v>4811</v>
      </c>
      <c r="C4518" s="3563" t="s">
        <v>4197</v>
      </c>
      <c r="D4518" s="3563" t="s">
        <v>6429</v>
      </c>
      <c r="E4518" s="3563" t="s">
        <v>6386</v>
      </c>
      <c r="F4518" s="3563" t="s">
        <v>4797</v>
      </c>
      <c r="G4518" s="3564">
        <v>90.49</v>
      </c>
      <c r="H4518" s="3564">
        <v>72.78</v>
      </c>
      <c r="I4518" s="3564">
        <v>17.71</v>
      </c>
      <c r="J4518" s="3565">
        <v>881980</v>
      </c>
      <c r="K4518" s="3565">
        <v>9746.7099999999991</v>
      </c>
      <c r="L4518" s="3565">
        <v>12118.44</v>
      </c>
      <c r="M4518" s="3565">
        <v>846701</v>
      </c>
      <c r="N4518" s="3565">
        <v>9356.85</v>
      </c>
      <c r="O4518" s="3566">
        <v>44182</v>
      </c>
    </row>
    <row r="4519" spans="1:15">
      <c r="A4519" s="3563" t="s">
        <v>8741</v>
      </c>
      <c r="B4519" s="3563" t="s">
        <v>5277</v>
      </c>
      <c r="C4519" s="3563" t="s">
        <v>4197</v>
      </c>
      <c r="D4519" s="3563" t="s">
        <v>6429</v>
      </c>
      <c r="E4519" s="3563" t="s">
        <v>6386</v>
      </c>
      <c r="F4519" s="3563" t="s">
        <v>4797</v>
      </c>
      <c r="G4519" s="3564">
        <v>78.37</v>
      </c>
      <c r="H4519" s="3564">
        <v>63.03</v>
      </c>
      <c r="I4519" s="3564">
        <v>15.34</v>
      </c>
      <c r="J4519" s="3565">
        <v>763850</v>
      </c>
      <c r="K4519" s="3565">
        <v>9746.7099999999991</v>
      </c>
      <c r="L4519" s="3565">
        <v>12118.83</v>
      </c>
      <c r="M4519" s="3565">
        <v>733296</v>
      </c>
      <c r="N4519" s="3565">
        <v>9356.85</v>
      </c>
      <c r="O4519" s="3566">
        <v>44187</v>
      </c>
    </row>
    <row r="4520" spans="1:15">
      <c r="A4520" s="3563" t="s">
        <v>8742</v>
      </c>
      <c r="B4520" s="3563" t="s">
        <v>5277</v>
      </c>
      <c r="C4520" s="3563" t="s">
        <v>4197</v>
      </c>
      <c r="D4520" s="3563" t="s">
        <v>6429</v>
      </c>
      <c r="E4520" s="3563" t="s">
        <v>6386</v>
      </c>
      <c r="F4520" s="3563" t="s">
        <v>4797</v>
      </c>
      <c r="G4520" s="3564">
        <v>78.37</v>
      </c>
      <c r="H4520" s="3564">
        <v>63.03</v>
      </c>
      <c r="I4520" s="3564">
        <v>15.34</v>
      </c>
      <c r="J4520" s="3565">
        <v>763850</v>
      </c>
      <c r="K4520" s="3565">
        <v>9746.7099999999991</v>
      </c>
      <c r="L4520" s="3565">
        <v>12118.83</v>
      </c>
      <c r="M4520" s="3565">
        <v>725658</v>
      </c>
      <c r="N4520" s="3565">
        <v>9259.3799999999992</v>
      </c>
      <c r="O4520" s="3566">
        <v>44176</v>
      </c>
    </row>
    <row r="4521" spans="1:15">
      <c r="A4521" s="3563" t="s">
        <v>8743</v>
      </c>
      <c r="B4521" s="3563" t="s">
        <v>5277</v>
      </c>
      <c r="C4521" s="3563" t="s">
        <v>4197</v>
      </c>
      <c r="D4521" s="3563" t="s">
        <v>6429</v>
      </c>
      <c r="E4521" s="3563" t="s">
        <v>6386</v>
      </c>
      <c r="F4521" s="3563" t="s">
        <v>4797</v>
      </c>
      <c r="G4521" s="3564">
        <v>109.96</v>
      </c>
      <c r="H4521" s="3564">
        <v>88.44</v>
      </c>
      <c r="I4521" s="3564">
        <v>21.52</v>
      </c>
      <c r="J4521" s="3565">
        <v>1153633</v>
      </c>
      <c r="K4521" s="3565">
        <v>10491.39</v>
      </c>
      <c r="L4521" s="3565">
        <v>13044.24</v>
      </c>
      <c r="M4521" s="3565">
        <v>1049807</v>
      </c>
      <c r="N4521" s="3565">
        <v>9547.17</v>
      </c>
      <c r="O4521" s="3566">
        <v>44177</v>
      </c>
    </row>
    <row r="4522" spans="1:15">
      <c r="A4522" s="3563" t="s">
        <v>8744</v>
      </c>
      <c r="B4522" s="3563" t="s">
        <v>6422</v>
      </c>
      <c r="C4522" s="3563" t="s">
        <v>4197</v>
      </c>
      <c r="D4522" s="3563" t="s">
        <v>6429</v>
      </c>
      <c r="E4522" s="3563" t="s">
        <v>6386</v>
      </c>
      <c r="F4522" s="3563" t="s">
        <v>4797</v>
      </c>
      <c r="G4522" s="3564">
        <v>101.63</v>
      </c>
      <c r="H4522" s="3564">
        <v>81.739999999999995</v>
      </c>
      <c r="I4522" s="3564">
        <v>19.89</v>
      </c>
      <c r="J4522" s="3565">
        <v>1088944</v>
      </c>
      <c r="K4522" s="3565">
        <v>10714.79</v>
      </c>
      <c r="L4522" s="3565">
        <v>13322.05</v>
      </c>
      <c r="M4522" s="3565">
        <v>990940</v>
      </c>
      <c r="N4522" s="3565">
        <v>9750.4699999999993</v>
      </c>
      <c r="O4522" s="3566">
        <v>44182</v>
      </c>
    </row>
    <row r="4523" spans="1:15">
      <c r="A4523" s="3563" t="s">
        <v>8745</v>
      </c>
      <c r="B4523" s="3563" t="s">
        <v>5277</v>
      </c>
      <c r="C4523" s="3563" t="s">
        <v>4197</v>
      </c>
      <c r="D4523" s="3563" t="s">
        <v>6429</v>
      </c>
      <c r="E4523" s="3563" t="s">
        <v>6386</v>
      </c>
      <c r="F4523" s="3563" t="s">
        <v>4797</v>
      </c>
      <c r="G4523" s="3564">
        <v>101.63</v>
      </c>
      <c r="H4523" s="3564">
        <v>81.739999999999995</v>
      </c>
      <c r="I4523" s="3564">
        <v>19.89</v>
      </c>
      <c r="J4523" s="3565">
        <v>1088944</v>
      </c>
      <c r="K4523" s="3565">
        <v>10714.79</v>
      </c>
      <c r="L4523" s="3565">
        <v>13322.05</v>
      </c>
      <c r="M4523" s="3565">
        <v>990940</v>
      </c>
      <c r="N4523" s="3565">
        <v>9750.4699999999993</v>
      </c>
      <c r="O4523" s="3566">
        <v>44182</v>
      </c>
    </row>
    <row r="4524" spans="1:15">
      <c r="A4524" s="3563" t="s">
        <v>8746</v>
      </c>
      <c r="B4524" s="3563" t="s">
        <v>5277</v>
      </c>
      <c r="C4524" s="3563" t="s">
        <v>4197</v>
      </c>
      <c r="D4524" s="3563" t="s">
        <v>6429</v>
      </c>
      <c r="E4524" s="3563" t="s">
        <v>6386</v>
      </c>
      <c r="F4524" s="3563" t="s">
        <v>4797</v>
      </c>
      <c r="G4524" s="3564">
        <v>90.49</v>
      </c>
      <c r="H4524" s="3564">
        <v>72.78</v>
      </c>
      <c r="I4524" s="3564">
        <v>17.71</v>
      </c>
      <c r="J4524" s="3565">
        <v>881980</v>
      </c>
      <c r="K4524" s="3565">
        <v>9746.7099999999991</v>
      </c>
      <c r="L4524" s="3565">
        <v>12118.44</v>
      </c>
      <c r="M4524" s="3565">
        <v>837881</v>
      </c>
      <c r="N4524" s="3565">
        <v>9259.3799999999992</v>
      </c>
      <c r="O4524" s="3566">
        <v>44177</v>
      </c>
    </row>
    <row r="4525" spans="1:15">
      <c r="A4525" s="3563" t="s">
        <v>8747</v>
      </c>
      <c r="B4525" s="3563" t="s">
        <v>6422</v>
      </c>
      <c r="C4525" s="3563" t="s">
        <v>4197</v>
      </c>
      <c r="D4525" s="3563" t="s">
        <v>6429</v>
      </c>
      <c r="E4525" s="3563" t="s">
        <v>6386</v>
      </c>
      <c r="F4525" s="3563" t="s">
        <v>4797</v>
      </c>
      <c r="G4525" s="3564">
        <v>78.37</v>
      </c>
      <c r="H4525" s="3564">
        <v>63.03</v>
      </c>
      <c r="I4525" s="3564">
        <v>15.34</v>
      </c>
      <c r="J4525" s="3565">
        <v>763850</v>
      </c>
      <c r="K4525" s="3565">
        <v>9746.7099999999991</v>
      </c>
      <c r="L4525" s="3565">
        <v>12118.83</v>
      </c>
      <c r="M4525" s="3565">
        <v>733296</v>
      </c>
      <c r="N4525" s="3565">
        <v>9356.85</v>
      </c>
      <c r="O4525" s="3566">
        <v>44180</v>
      </c>
    </row>
    <row r="4526" spans="1:15">
      <c r="A4526" s="3563" t="s">
        <v>8748</v>
      </c>
      <c r="B4526" s="3563" t="s">
        <v>5277</v>
      </c>
      <c r="C4526" s="3563" t="s">
        <v>4197</v>
      </c>
      <c r="D4526" s="3563" t="s">
        <v>6429</v>
      </c>
      <c r="E4526" s="3563" t="s">
        <v>6386</v>
      </c>
      <c r="F4526" s="3563" t="s">
        <v>4797</v>
      </c>
      <c r="G4526" s="3564">
        <v>78.37</v>
      </c>
      <c r="H4526" s="3564">
        <v>63.03</v>
      </c>
      <c r="I4526" s="3564">
        <v>15.34</v>
      </c>
      <c r="J4526" s="3565">
        <v>763850</v>
      </c>
      <c r="K4526" s="3565">
        <v>9746.7099999999991</v>
      </c>
      <c r="L4526" s="3565">
        <v>12118.83</v>
      </c>
      <c r="M4526" s="3565">
        <v>725658</v>
      </c>
      <c r="N4526" s="3565">
        <v>9259.3799999999992</v>
      </c>
      <c r="O4526" s="3566">
        <v>44176</v>
      </c>
    </row>
    <row r="4527" spans="1:15">
      <c r="A4527" s="3563" t="s">
        <v>8749</v>
      </c>
      <c r="B4527" s="3563" t="s">
        <v>5277</v>
      </c>
      <c r="C4527" s="3563" t="s">
        <v>4197</v>
      </c>
      <c r="D4527" s="3563" t="s">
        <v>6429</v>
      </c>
      <c r="E4527" s="3563" t="s">
        <v>6386</v>
      </c>
      <c r="F4527" s="3563" t="s">
        <v>4797</v>
      </c>
      <c r="G4527" s="3564">
        <v>109.96</v>
      </c>
      <c r="H4527" s="3564">
        <v>88.44</v>
      </c>
      <c r="I4527" s="3564">
        <v>21.52</v>
      </c>
      <c r="J4527" s="3565">
        <v>1154803</v>
      </c>
      <c r="K4527" s="3565">
        <v>10502.03</v>
      </c>
      <c r="L4527" s="3565">
        <v>13057.47</v>
      </c>
      <c r="M4527" s="3565">
        <v>1097063</v>
      </c>
      <c r="N4527" s="3565">
        <v>9976.93</v>
      </c>
      <c r="O4527" s="3566">
        <v>44176</v>
      </c>
    </row>
    <row r="4528" spans="1:15">
      <c r="A4528" s="3563" t="s">
        <v>8750</v>
      </c>
      <c r="B4528" s="3563" t="s">
        <v>6422</v>
      </c>
      <c r="C4528" s="3563" t="s">
        <v>4197</v>
      </c>
      <c r="D4528" s="3563" t="s">
        <v>6429</v>
      </c>
      <c r="E4528" s="3563" t="s">
        <v>6386</v>
      </c>
      <c r="F4528" s="3563" t="s">
        <v>4797</v>
      </c>
      <c r="G4528" s="3564">
        <v>101.63</v>
      </c>
      <c r="H4528" s="3564">
        <v>81.739999999999995</v>
      </c>
      <c r="I4528" s="3564">
        <v>19.89</v>
      </c>
      <c r="J4528" s="3565">
        <v>1090025</v>
      </c>
      <c r="K4528" s="3565">
        <v>10725.43</v>
      </c>
      <c r="L4528" s="3565">
        <v>13335.27</v>
      </c>
      <c r="M4528" s="3565">
        <v>1046424</v>
      </c>
      <c r="N4528" s="3565">
        <v>10296.41</v>
      </c>
      <c r="O4528" s="3566">
        <v>44178</v>
      </c>
    </row>
    <row r="4529" spans="1:15">
      <c r="A4529" s="3563" t="s">
        <v>8751</v>
      </c>
      <c r="B4529" s="3563" t="s">
        <v>6422</v>
      </c>
      <c r="C4529" s="3563" t="s">
        <v>4197</v>
      </c>
      <c r="D4529" s="3563" t="s">
        <v>6429</v>
      </c>
      <c r="E4529" s="3563" t="s">
        <v>6386</v>
      </c>
      <c r="F4529" s="3563" t="s">
        <v>4797</v>
      </c>
      <c r="G4529" s="3564">
        <v>101.63</v>
      </c>
      <c r="H4529" s="3564">
        <v>81.739999999999995</v>
      </c>
      <c r="I4529" s="3564">
        <v>19.89</v>
      </c>
      <c r="J4529" s="3565">
        <v>1090025</v>
      </c>
      <c r="K4529" s="3565">
        <v>10725.43</v>
      </c>
      <c r="L4529" s="3565">
        <v>13335.27</v>
      </c>
      <c r="M4529" s="3565">
        <v>1035524</v>
      </c>
      <c r="N4529" s="3565">
        <v>10189.16</v>
      </c>
      <c r="O4529" s="3566">
        <v>44180</v>
      </c>
    </row>
    <row r="4530" spans="1:15">
      <c r="A4530" s="3563" t="s">
        <v>8752</v>
      </c>
      <c r="B4530" s="3563" t="s">
        <v>5277</v>
      </c>
      <c r="C4530" s="3563" t="s">
        <v>4197</v>
      </c>
      <c r="D4530" s="3563" t="s">
        <v>6429</v>
      </c>
      <c r="E4530" s="3563" t="s">
        <v>6386</v>
      </c>
      <c r="F4530" s="3563" t="s">
        <v>4797</v>
      </c>
      <c r="G4530" s="3564">
        <v>90.49</v>
      </c>
      <c r="H4530" s="3564">
        <v>72.78</v>
      </c>
      <c r="I4530" s="3564">
        <v>17.71</v>
      </c>
      <c r="J4530" s="3565">
        <v>881980</v>
      </c>
      <c r="K4530" s="3565">
        <v>9746.7099999999991</v>
      </c>
      <c r="L4530" s="3565">
        <v>12118.44</v>
      </c>
      <c r="M4530" s="3565">
        <v>829062</v>
      </c>
      <c r="N4530" s="3565">
        <v>9161.92</v>
      </c>
      <c r="O4530" s="3566">
        <v>44180</v>
      </c>
    </row>
    <row r="4531" spans="1:15">
      <c r="A4531" s="3563" t="s">
        <v>8753</v>
      </c>
      <c r="B4531" s="3563" t="s">
        <v>6422</v>
      </c>
      <c r="C4531" s="3563" t="s">
        <v>4197</v>
      </c>
      <c r="D4531" s="3563" t="s">
        <v>6429</v>
      </c>
      <c r="E4531" s="3563" t="s">
        <v>6386</v>
      </c>
      <c r="F4531" s="3563" t="s">
        <v>4797</v>
      </c>
      <c r="G4531" s="3564">
        <v>78.37</v>
      </c>
      <c r="H4531" s="3564">
        <v>63.03</v>
      </c>
      <c r="I4531" s="3564">
        <v>15.34</v>
      </c>
      <c r="J4531" s="3565">
        <v>769686</v>
      </c>
      <c r="K4531" s="3565">
        <v>9821.18</v>
      </c>
      <c r="L4531" s="3565">
        <v>12211.42</v>
      </c>
      <c r="M4531" s="3565">
        <v>738899</v>
      </c>
      <c r="N4531" s="3565">
        <v>9428.34</v>
      </c>
      <c r="O4531" s="3566">
        <v>44177</v>
      </c>
    </row>
    <row r="4532" spans="1:15">
      <c r="A4532" s="3563" t="s">
        <v>8754</v>
      </c>
      <c r="B4532" s="3563" t="s">
        <v>4811</v>
      </c>
      <c r="C4532" s="3563" t="s">
        <v>4197</v>
      </c>
      <c r="D4532" s="3563" t="s">
        <v>6429</v>
      </c>
      <c r="E4532" s="3563" t="s">
        <v>6386</v>
      </c>
      <c r="F4532" s="3563" t="s">
        <v>4797</v>
      </c>
      <c r="G4532" s="3564">
        <v>78.37</v>
      </c>
      <c r="H4532" s="3564">
        <v>63.03</v>
      </c>
      <c r="I4532" s="3564">
        <v>15.34</v>
      </c>
      <c r="J4532" s="3565">
        <v>769686</v>
      </c>
      <c r="K4532" s="3565">
        <v>9821.18</v>
      </c>
      <c r="L4532" s="3565">
        <v>12211.42</v>
      </c>
      <c r="M4532" s="3565">
        <v>769686</v>
      </c>
      <c r="N4532" s="3565">
        <v>9821.18</v>
      </c>
      <c r="O4532" s="3566">
        <v>44178</v>
      </c>
    </row>
    <row r="4533" spans="1:15">
      <c r="A4533" s="3563" t="s">
        <v>8755</v>
      </c>
      <c r="B4533" s="3563" t="s">
        <v>6422</v>
      </c>
      <c r="C4533" s="3563" t="s">
        <v>4197</v>
      </c>
      <c r="D4533" s="3563" t="s">
        <v>6429</v>
      </c>
      <c r="E4533" s="3563" t="s">
        <v>6386</v>
      </c>
      <c r="F4533" s="3563" t="s">
        <v>4797</v>
      </c>
      <c r="G4533" s="3564">
        <v>109.96</v>
      </c>
      <c r="H4533" s="3564">
        <v>88.44</v>
      </c>
      <c r="I4533" s="3564">
        <v>21.52</v>
      </c>
      <c r="J4533" s="3565">
        <v>1155973</v>
      </c>
      <c r="K4533" s="3565">
        <v>10512.67</v>
      </c>
      <c r="L4533" s="3565">
        <v>13070.7</v>
      </c>
      <c r="M4533" s="3565">
        <v>1050936</v>
      </c>
      <c r="N4533" s="3565">
        <v>9557.44</v>
      </c>
      <c r="O4533" s="3566">
        <v>44176</v>
      </c>
    </row>
    <row r="4534" spans="1:15">
      <c r="A4534" s="3563" t="s">
        <v>8756</v>
      </c>
      <c r="B4534" s="3563" t="s">
        <v>4196</v>
      </c>
      <c r="C4534" s="3563" t="s">
        <v>4197</v>
      </c>
      <c r="D4534" s="3563" t="s">
        <v>6429</v>
      </c>
      <c r="E4534" s="3563" t="s">
        <v>6386</v>
      </c>
      <c r="F4534" s="3563" t="s">
        <v>4797</v>
      </c>
      <c r="G4534" s="3564">
        <v>101.63</v>
      </c>
      <c r="H4534" s="3564">
        <v>81.739999999999995</v>
      </c>
      <c r="I4534" s="3564">
        <v>19.89</v>
      </c>
      <c r="J4534" s="3565">
        <v>1091107</v>
      </c>
      <c r="K4534" s="3565">
        <v>10736.07</v>
      </c>
      <c r="L4534" s="3565">
        <v>13348.51</v>
      </c>
      <c r="M4534" s="3565">
        <v>0</v>
      </c>
      <c r="N4534" s="3565">
        <v>0</v>
      </c>
      <c r="O4534" s="3563" t="s">
        <v>3453</v>
      </c>
    </row>
    <row r="4535" spans="1:15">
      <c r="A4535" s="3563" t="s">
        <v>8757</v>
      </c>
      <c r="B4535" s="3563" t="s">
        <v>4196</v>
      </c>
      <c r="C4535" s="3563" t="s">
        <v>4197</v>
      </c>
      <c r="D4535" s="3563" t="s">
        <v>6429</v>
      </c>
      <c r="E4535" s="3563" t="s">
        <v>6386</v>
      </c>
      <c r="F4535" s="3563" t="s">
        <v>4797</v>
      </c>
      <c r="G4535" s="3564">
        <v>101.63</v>
      </c>
      <c r="H4535" s="3564">
        <v>81.739999999999995</v>
      </c>
      <c r="I4535" s="3564">
        <v>19.89</v>
      </c>
      <c r="J4535" s="3565">
        <v>1091107</v>
      </c>
      <c r="K4535" s="3565">
        <v>10736.07</v>
      </c>
      <c r="L4535" s="3565">
        <v>13348.51</v>
      </c>
      <c r="M4535" s="3565">
        <v>0</v>
      </c>
      <c r="N4535" s="3565">
        <v>0</v>
      </c>
      <c r="O4535" s="3563" t="s">
        <v>3453</v>
      </c>
    </row>
    <row r="4536" spans="1:15">
      <c r="A4536" s="3563" t="s">
        <v>8758</v>
      </c>
      <c r="B4536" s="3563" t="s">
        <v>6422</v>
      </c>
      <c r="C4536" s="3563" t="s">
        <v>4197</v>
      </c>
      <c r="D4536" s="3563" t="s">
        <v>6429</v>
      </c>
      <c r="E4536" s="3563" t="s">
        <v>6386</v>
      </c>
      <c r="F4536" s="3563" t="s">
        <v>4797</v>
      </c>
      <c r="G4536" s="3564">
        <v>90.49</v>
      </c>
      <c r="H4536" s="3564">
        <v>72.78</v>
      </c>
      <c r="I4536" s="3564">
        <v>17.71</v>
      </c>
      <c r="J4536" s="3565">
        <v>881980</v>
      </c>
      <c r="K4536" s="3565">
        <v>9746.7099999999991</v>
      </c>
      <c r="L4536" s="3565">
        <v>12118.44</v>
      </c>
      <c r="M4536" s="3565">
        <v>802602</v>
      </c>
      <c r="N4536" s="3565">
        <v>8869.51</v>
      </c>
      <c r="O4536" s="3566">
        <v>44179</v>
      </c>
    </row>
    <row r="4537" spans="1:15">
      <c r="A4537" s="3563" t="s">
        <v>8759</v>
      </c>
      <c r="B4537" s="3563" t="s">
        <v>5277</v>
      </c>
      <c r="C4537" s="3563" t="s">
        <v>4197</v>
      </c>
      <c r="D4537" s="3563" t="s">
        <v>6429</v>
      </c>
      <c r="E4537" s="3563" t="s">
        <v>6386</v>
      </c>
      <c r="F4537" s="3563" t="s">
        <v>4797</v>
      </c>
      <c r="G4537" s="3564">
        <v>78.37</v>
      </c>
      <c r="H4537" s="3564">
        <v>63.03</v>
      </c>
      <c r="I4537" s="3564">
        <v>15.34</v>
      </c>
      <c r="J4537" s="3565">
        <v>770519</v>
      </c>
      <c r="K4537" s="3565">
        <v>9831.81</v>
      </c>
      <c r="L4537" s="3565">
        <v>12224.64</v>
      </c>
      <c r="M4537" s="3565">
        <v>739699</v>
      </c>
      <c r="N4537" s="3565">
        <v>9438.5499999999993</v>
      </c>
      <c r="O4537" s="3566">
        <v>44177</v>
      </c>
    </row>
    <row r="4538" spans="1:15">
      <c r="A4538" s="3563" t="s">
        <v>8760</v>
      </c>
      <c r="B4538" s="3563" t="s">
        <v>5277</v>
      </c>
      <c r="C4538" s="3563" t="s">
        <v>4197</v>
      </c>
      <c r="D4538" s="3563" t="s">
        <v>6429</v>
      </c>
      <c r="E4538" s="3563" t="s">
        <v>6386</v>
      </c>
      <c r="F4538" s="3563" t="s">
        <v>4797</v>
      </c>
      <c r="G4538" s="3564">
        <v>78.37</v>
      </c>
      <c r="H4538" s="3564">
        <v>63.03</v>
      </c>
      <c r="I4538" s="3564">
        <v>15.34</v>
      </c>
      <c r="J4538" s="3565">
        <v>770519</v>
      </c>
      <c r="K4538" s="3565">
        <v>9831.81</v>
      </c>
      <c r="L4538" s="3565">
        <v>12224.64</v>
      </c>
      <c r="M4538" s="3565">
        <v>739699</v>
      </c>
      <c r="N4538" s="3565">
        <v>9438.5499999999993</v>
      </c>
      <c r="O4538" s="3566">
        <v>44177</v>
      </c>
    </row>
    <row r="4539" spans="1:15">
      <c r="A4539" s="3563" t="s">
        <v>8761</v>
      </c>
      <c r="B4539" s="3563" t="s">
        <v>5277</v>
      </c>
      <c r="C4539" s="3563" t="s">
        <v>4197</v>
      </c>
      <c r="D4539" s="3563" t="s">
        <v>6429</v>
      </c>
      <c r="E4539" s="3563" t="s">
        <v>6386</v>
      </c>
      <c r="F4539" s="3563" t="s">
        <v>4797</v>
      </c>
      <c r="G4539" s="3564">
        <v>109.96</v>
      </c>
      <c r="H4539" s="3564">
        <v>88.44</v>
      </c>
      <c r="I4539" s="3564">
        <v>21.52</v>
      </c>
      <c r="J4539" s="3565">
        <v>1157142</v>
      </c>
      <c r="K4539" s="3565">
        <v>10523.3</v>
      </c>
      <c r="L4539" s="3565">
        <v>13083.92</v>
      </c>
      <c r="M4539" s="3565">
        <v>1052000</v>
      </c>
      <c r="N4539" s="3565">
        <v>9567.1200000000008</v>
      </c>
      <c r="O4539" s="3566">
        <v>44176</v>
      </c>
    </row>
    <row r="4540" spans="1:15">
      <c r="A4540" s="3563" t="s">
        <v>8762</v>
      </c>
      <c r="B4540" s="3563" t="s">
        <v>4196</v>
      </c>
      <c r="C4540" s="3563" t="s">
        <v>4197</v>
      </c>
      <c r="D4540" s="3563" t="s">
        <v>6429</v>
      </c>
      <c r="E4540" s="3563" t="s">
        <v>6386</v>
      </c>
      <c r="F4540" s="3563" t="s">
        <v>4797</v>
      </c>
      <c r="G4540" s="3564">
        <v>101.63</v>
      </c>
      <c r="H4540" s="3564">
        <v>81.739999999999995</v>
      </c>
      <c r="I4540" s="3564">
        <v>19.89</v>
      </c>
      <c r="J4540" s="3565">
        <v>1092188</v>
      </c>
      <c r="K4540" s="3565">
        <v>10746.71</v>
      </c>
      <c r="L4540" s="3565">
        <v>13361.73</v>
      </c>
      <c r="M4540" s="3565">
        <v>0</v>
      </c>
      <c r="N4540" s="3565">
        <v>0</v>
      </c>
      <c r="O4540" s="3563" t="s">
        <v>3453</v>
      </c>
    </row>
    <row r="4541" spans="1:15">
      <c r="A4541" s="3563" t="s">
        <v>8763</v>
      </c>
      <c r="B4541" s="3563" t="s">
        <v>6422</v>
      </c>
      <c r="C4541" s="3563" t="s">
        <v>4197</v>
      </c>
      <c r="D4541" s="3563" t="s">
        <v>6429</v>
      </c>
      <c r="E4541" s="3563" t="s">
        <v>6386</v>
      </c>
      <c r="F4541" s="3563" t="s">
        <v>4797</v>
      </c>
      <c r="G4541" s="3564">
        <v>101.63</v>
      </c>
      <c r="H4541" s="3564">
        <v>81.739999999999995</v>
      </c>
      <c r="I4541" s="3564">
        <v>19.89</v>
      </c>
      <c r="J4541" s="3565">
        <v>1092188</v>
      </c>
      <c r="K4541" s="3565">
        <v>10746.71</v>
      </c>
      <c r="L4541" s="3565">
        <v>13361.73</v>
      </c>
      <c r="M4541" s="3565">
        <v>1048501</v>
      </c>
      <c r="N4541" s="3565">
        <v>10316.85</v>
      </c>
      <c r="O4541" s="3566">
        <v>44176</v>
      </c>
    </row>
    <row r="4542" spans="1:15">
      <c r="A4542" s="3563" t="s">
        <v>8764</v>
      </c>
      <c r="B4542" s="3563" t="s">
        <v>6422</v>
      </c>
      <c r="C4542" s="3563" t="s">
        <v>4197</v>
      </c>
      <c r="D4542" s="3563" t="s">
        <v>6429</v>
      </c>
      <c r="E4542" s="3563" t="s">
        <v>6386</v>
      </c>
      <c r="F4542" s="3563" t="s">
        <v>4797</v>
      </c>
      <c r="G4542" s="3564">
        <v>90.49</v>
      </c>
      <c r="H4542" s="3564">
        <v>72.78</v>
      </c>
      <c r="I4542" s="3564">
        <v>17.71</v>
      </c>
      <c r="J4542" s="3565">
        <v>881980</v>
      </c>
      <c r="K4542" s="3565">
        <v>9746.7099999999991</v>
      </c>
      <c r="L4542" s="3565">
        <v>12118.44</v>
      </c>
      <c r="M4542" s="3565">
        <v>837881</v>
      </c>
      <c r="N4542" s="3565">
        <v>9259.3799999999992</v>
      </c>
      <c r="O4542" s="3566">
        <v>44178</v>
      </c>
    </row>
    <row r="4543" spans="1:15">
      <c r="A4543" s="3563" t="s">
        <v>8765</v>
      </c>
      <c r="B4543" s="3563" t="s">
        <v>5277</v>
      </c>
      <c r="C4543" s="3563" t="s">
        <v>4197</v>
      </c>
      <c r="D4543" s="3563" t="s">
        <v>6429</v>
      </c>
      <c r="E4543" s="3563" t="s">
        <v>6386</v>
      </c>
      <c r="F4543" s="3563" t="s">
        <v>4797</v>
      </c>
      <c r="G4543" s="3564">
        <v>78.37</v>
      </c>
      <c r="H4543" s="3564">
        <v>63.03</v>
      </c>
      <c r="I4543" s="3564">
        <v>15.34</v>
      </c>
      <c r="J4543" s="3565">
        <v>771353</v>
      </c>
      <c r="K4543" s="3565">
        <v>9842.4500000000007</v>
      </c>
      <c r="L4543" s="3565">
        <v>12237.87</v>
      </c>
      <c r="M4543" s="3565">
        <v>740499</v>
      </c>
      <c r="N4543" s="3565">
        <v>9448.76</v>
      </c>
      <c r="O4543" s="3566">
        <v>44176</v>
      </c>
    </row>
    <row r="4544" spans="1:15">
      <c r="A4544" s="3563" t="s">
        <v>8766</v>
      </c>
      <c r="B4544" s="3563" t="s">
        <v>5277</v>
      </c>
      <c r="C4544" s="3563" t="s">
        <v>4197</v>
      </c>
      <c r="D4544" s="3563" t="s">
        <v>6429</v>
      </c>
      <c r="E4544" s="3563" t="s">
        <v>6386</v>
      </c>
      <c r="F4544" s="3563" t="s">
        <v>4797</v>
      </c>
      <c r="G4544" s="3564">
        <v>78.37</v>
      </c>
      <c r="H4544" s="3564">
        <v>63.03</v>
      </c>
      <c r="I4544" s="3564">
        <v>15.34</v>
      </c>
      <c r="J4544" s="3565">
        <v>771353</v>
      </c>
      <c r="K4544" s="3565">
        <v>9842.4500000000007</v>
      </c>
      <c r="L4544" s="3565">
        <v>12237.87</v>
      </c>
      <c r="M4544" s="3565">
        <v>740499</v>
      </c>
      <c r="N4544" s="3565">
        <v>9448.76</v>
      </c>
      <c r="O4544" s="3566">
        <v>44176</v>
      </c>
    </row>
    <row r="4545" spans="1:15">
      <c r="A4545" s="3563" t="s">
        <v>8767</v>
      </c>
      <c r="B4545" s="3563" t="s">
        <v>6422</v>
      </c>
      <c r="C4545" s="3563" t="s">
        <v>4197</v>
      </c>
      <c r="D4545" s="3563" t="s">
        <v>6429</v>
      </c>
      <c r="E4545" s="3563" t="s">
        <v>6386</v>
      </c>
      <c r="F4545" s="3563" t="s">
        <v>4797</v>
      </c>
      <c r="G4545" s="3564">
        <v>109.96</v>
      </c>
      <c r="H4545" s="3564">
        <v>88.44</v>
      </c>
      <c r="I4545" s="3564">
        <v>21.52</v>
      </c>
      <c r="J4545" s="3565">
        <v>1158312</v>
      </c>
      <c r="K4545" s="3565">
        <v>10533.94</v>
      </c>
      <c r="L4545" s="3565">
        <v>13097.15</v>
      </c>
      <c r="M4545" s="3565">
        <v>1111980</v>
      </c>
      <c r="N4545" s="3565">
        <v>10112.59</v>
      </c>
      <c r="O4545" s="3566">
        <v>44180</v>
      </c>
    </row>
    <row r="4546" spans="1:15">
      <c r="A4546" s="3563" t="s">
        <v>8768</v>
      </c>
      <c r="B4546" s="3563" t="s">
        <v>4811</v>
      </c>
      <c r="C4546" s="3563" t="s">
        <v>4197</v>
      </c>
      <c r="D4546" s="3563" t="s">
        <v>6429</v>
      </c>
      <c r="E4546" s="3563" t="s">
        <v>6403</v>
      </c>
      <c r="F4546" s="3563" t="s">
        <v>4797</v>
      </c>
      <c r="G4546" s="3564">
        <v>98.51</v>
      </c>
      <c r="H4546" s="3564">
        <v>81.739999999999995</v>
      </c>
      <c r="I4546" s="3564">
        <v>16.77</v>
      </c>
      <c r="J4546" s="3565">
        <v>983204</v>
      </c>
      <c r="K4546" s="3565">
        <v>9980.75</v>
      </c>
      <c r="L4546" s="3565">
        <v>12028.43</v>
      </c>
      <c r="M4546" s="3565">
        <v>943876</v>
      </c>
      <c r="N4546" s="3565">
        <v>9581.52</v>
      </c>
      <c r="O4546" s="3566">
        <v>44190</v>
      </c>
    </row>
    <row r="4547" spans="1:15">
      <c r="A4547" s="3563" t="s">
        <v>8769</v>
      </c>
      <c r="B4547" s="3563" t="s">
        <v>4196</v>
      </c>
      <c r="C4547" s="3563" t="s">
        <v>4197</v>
      </c>
      <c r="D4547" s="3563" t="s">
        <v>6429</v>
      </c>
      <c r="E4547" s="3563" t="s">
        <v>6403</v>
      </c>
      <c r="F4547" s="3563" t="s">
        <v>4797</v>
      </c>
      <c r="G4547" s="3564">
        <v>98.51</v>
      </c>
      <c r="H4547" s="3564">
        <v>81.739999999999995</v>
      </c>
      <c r="I4547" s="3564">
        <v>16.77</v>
      </c>
      <c r="J4547" s="3565">
        <v>983204</v>
      </c>
      <c r="K4547" s="3565">
        <v>9980.75</v>
      </c>
      <c r="L4547" s="3565">
        <v>12028.43</v>
      </c>
      <c r="M4547" s="3565">
        <v>0</v>
      </c>
      <c r="N4547" s="3565">
        <v>0</v>
      </c>
      <c r="O4547" s="3563" t="s">
        <v>3453</v>
      </c>
    </row>
    <row r="4548" spans="1:15">
      <c r="A4548" s="3563" t="s">
        <v>8770</v>
      </c>
      <c r="B4548" s="3563" t="s">
        <v>4196</v>
      </c>
      <c r="C4548" s="3563" t="s">
        <v>4197</v>
      </c>
      <c r="D4548" s="3563" t="s">
        <v>6429</v>
      </c>
      <c r="E4548" s="3563" t="s">
        <v>6403</v>
      </c>
      <c r="F4548" s="3563" t="s">
        <v>4797</v>
      </c>
      <c r="G4548" s="3564">
        <v>87.71</v>
      </c>
      <c r="H4548" s="3564">
        <v>72.78</v>
      </c>
      <c r="I4548" s="3564">
        <v>14.93</v>
      </c>
      <c r="J4548" s="3565">
        <v>836222</v>
      </c>
      <c r="K4548" s="3565">
        <v>9533.94</v>
      </c>
      <c r="L4548" s="3565">
        <v>11489.72</v>
      </c>
      <c r="M4548" s="3565">
        <v>0</v>
      </c>
      <c r="N4548" s="3565">
        <v>0</v>
      </c>
      <c r="O4548" s="3563" t="s">
        <v>3453</v>
      </c>
    </row>
    <row r="4549" spans="1:15">
      <c r="A4549" s="3563" t="s">
        <v>8771</v>
      </c>
      <c r="B4549" s="3563" t="s">
        <v>6422</v>
      </c>
      <c r="C4549" s="3563" t="s">
        <v>4197</v>
      </c>
      <c r="D4549" s="3563" t="s">
        <v>6429</v>
      </c>
      <c r="E4549" s="3563" t="s">
        <v>6403</v>
      </c>
      <c r="F4549" s="3563" t="s">
        <v>4797</v>
      </c>
      <c r="G4549" s="3564">
        <v>101.69</v>
      </c>
      <c r="H4549" s="3564">
        <v>81.739999999999995</v>
      </c>
      <c r="I4549" s="3564">
        <v>19.95</v>
      </c>
      <c r="J4549" s="3565">
        <v>1072278</v>
      </c>
      <c r="K4549" s="3565">
        <v>10544.58</v>
      </c>
      <c r="L4549" s="3565">
        <v>13118.16</v>
      </c>
      <c r="M4549" s="3565">
        <v>1029387</v>
      </c>
      <c r="N4549" s="3565">
        <v>10122.790000000001</v>
      </c>
      <c r="O4549" s="3566">
        <v>44185</v>
      </c>
    </row>
    <row r="4550" spans="1:15">
      <c r="A4550" s="3563" t="s">
        <v>8772</v>
      </c>
      <c r="B4550" s="3563" t="s">
        <v>4196</v>
      </c>
      <c r="C4550" s="3563" t="s">
        <v>4197</v>
      </c>
      <c r="D4550" s="3563" t="s">
        <v>6429</v>
      </c>
      <c r="E4550" s="3563" t="s">
        <v>6403</v>
      </c>
      <c r="F4550" s="3563" t="s">
        <v>4797</v>
      </c>
      <c r="G4550" s="3564">
        <v>101.69</v>
      </c>
      <c r="H4550" s="3564">
        <v>81.739999999999995</v>
      </c>
      <c r="I4550" s="3564">
        <v>19.95</v>
      </c>
      <c r="J4550" s="3565">
        <v>1072278</v>
      </c>
      <c r="K4550" s="3565">
        <v>10544.58</v>
      </c>
      <c r="L4550" s="3565">
        <v>13118.16</v>
      </c>
      <c r="M4550" s="3565">
        <v>0</v>
      </c>
      <c r="N4550" s="3565">
        <v>0</v>
      </c>
      <c r="O4550" s="3563" t="s">
        <v>3453</v>
      </c>
    </row>
    <row r="4551" spans="1:15">
      <c r="A4551" s="3563" t="s">
        <v>8773</v>
      </c>
      <c r="B4551" s="3563" t="s">
        <v>5277</v>
      </c>
      <c r="C4551" s="3563" t="s">
        <v>4197</v>
      </c>
      <c r="D4551" s="3563" t="s">
        <v>6429</v>
      </c>
      <c r="E4551" s="3563" t="s">
        <v>6403</v>
      </c>
      <c r="F4551" s="3563" t="s">
        <v>4797</v>
      </c>
      <c r="G4551" s="3564">
        <v>90.55</v>
      </c>
      <c r="H4551" s="3564">
        <v>72.78</v>
      </c>
      <c r="I4551" s="3564">
        <v>17.77</v>
      </c>
      <c r="J4551" s="3565">
        <v>892197</v>
      </c>
      <c r="K4551" s="3565">
        <v>9853.09</v>
      </c>
      <c r="L4551" s="3565">
        <v>12258.82</v>
      </c>
      <c r="M4551" s="3565">
        <v>847588</v>
      </c>
      <c r="N4551" s="3565">
        <v>9360.44</v>
      </c>
      <c r="O4551" s="3566">
        <v>44183</v>
      </c>
    </row>
    <row r="4552" spans="1:15">
      <c r="A4552" s="3563" t="s">
        <v>8774</v>
      </c>
      <c r="B4552" s="3563" t="s">
        <v>6422</v>
      </c>
      <c r="C4552" s="3563" t="s">
        <v>4197</v>
      </c>
      <c r="D4552" s="3563" t="s">
        <v>6429</v>
      </c>
      <c r="E4552" s="3563" t="s">
        <v>6403</v>
      </c>
      <c r="F4552" s="3563" t="s">
        <v>4797</v>
      </c>
      <c r="G4552" s="3564">
        <v>78.42</v>
      </c>
      <c r="H4552" s="3564">
        <v>63.03</v>
      </c>
      <c r="I4552" s="3564">
        <v>15.39</v>
      </c>
      <c r="J4552" s="3565">
        <v>781022</v>
      </c>
      <c r="K4552" s="3565">
        <v>9959.4699999999993</v>
      </c>
      <c r="L4552" s="3565">
        <v>12391.27</v>
      </c>
      <c r="M4552" s="3565">
        <v>710731</v>
      </c>
      <c r="N4552" s="3565">
        <v>9063.1299999999992</v>
      </c>
      <c r="O4552" s="3566">
        <v>44177</v>
      </c>
    </row>
    <row r="4553" spans="1:15">
      <c r="A4553" s="3563" t="s">
        <v>8775</v>
      </c>
      <c r="B4553" s="3563" t="s">
        <v>5277</v>
      </c>
      <c r="C4553" s="3563" t="s">
        <v>4197</v>
      </c>
      <c r="D4553" s="3563" t="s">
        <v>6429</v>
      </c>
      <c r="E4553" s="3563" t="s">
        <v>6403</v>
      </c>
      <c r="F4553" s="3563" t="s">
        <v>4797</v>
      </c>
      <c r="G4553" s="3564">
        <v>78.42</v>
      </c>
      <c r="H4553" s="3564">
        <v>63.03</v>
      </c>
      <c r="I4553" s="3564">
        <v>15.39</v>
      </c>
      <c r="J4553" s="3565">
        <v>797707</v>
      </c>
      <c r="K4553" s="3565">
        <v>10172.24</v>
      </c>
      <c r="L4553" s="3565">
        <v>12655.99</v>
      </c>
      <c r="M4553" s="3565">
        <v>764799</v>
      </c>
      <c r="N4553" s="3565">
        <v>9752.6</v>
      </c>
      <c r="O4553" s="3566">
        <v>44176</v>
      </c>
    </row>
    <row r="4554" spans="1:15">
      <c r="A4554" s="3563" t="s">
        <v>8776</v>
      </c>
      <c r="B4554" s="3563" t="s">
        <v>5277</v>
      </c>
      <c r="C4554" s="3563" t="s">
        <v>4197</v>
      </c>
      <c r="D4554" s="3563" t="s">
        <v>6429</v>
      </c>
      <c r="E4554" s="3563" t="s">
        <v>6403</v>
      </c>
      <c r="F4554" s="3563" t="s">
        <v>4797</v>
      </c>
      <c r="G4554" s="3564">
        <v>110.03</v>
      </c>
      <c r="H4554" s="3564">
        <v>88.44</v>
      </c>
      <c r="I4554" s="3564">
        <v>21.59</v>
      </c>
      <c r="J4554" s="3565">
        <v>1113399</v>
      </c>
      <c r="K4554" s="3565">
        <v>10119.049999999999</v>
      </c>
      <c r="L4554" s="3565">
        <v>12589.31</v>
      </c>
      <c r="M4554" s="3565">
        <v>1057730</v>
      </c>
      <c r="N4554" s="3565">
        <v>9613.11</v>
      </c>
      <c r="O4554" s="3566">
        <v>44176</v>
      </c>
    </row>
    <row r="4555" spans="1:15">
      <c r="A4555" s="3563" t="s">
        <v>8777</v>
      </c>
      <c r="B4555" s="3563" t="s">
        <v>5277</v>
      </c>
      <c r="C4555" s="3563" t="s">
        <v>4197</v>
      </c>
      <c r="D4555" s="3563" t="s">
        <v>6429</v>
      </c>
      <c r="E4555" s="3563" t="s">
        <v>6403</v>
      </c>
      <c r="F4555" s="3563" t="s">
        <v>4797</v>
      </c>
      <c r="G4555" s="3564">
        <v>101.69</v>
      </c>
      <c r="H4555" s="3564">
        <v>81.739999999999995</v>
      </c>
      <c r="I4555" s="3564">
        <v>19.95</v>
      </c>
      <c r="J4555" s="3565">
        <v>1073360</v>
      </c>
      <c r="K4555" s="3565">
        <v>10555.22</v>
      </c>
      <c r="L4555" s="3565">
        <v>13131.39</v>
      </c>
      <c r="M4555" s="3565">
        <v>998869</v>
      </c>
      <c r="N4555" s="3565">
        <v>9822.69</v>
      </c>
      <c r="O4555" s="3566">
        <v>44179</v>
      </c>
    </row>
    <row r="4556" spans="1:15">
      <c r="A4556" s="3563" t="s">
        <v>8778</v>
      </c>
      <c r="B4556" s="3563" t="s">
        <v>6422</v>
      </c>
      <c r="C4556" s="3563" t="s">
        <v>4197</v>
      </c>
      <c r="D4556" s="3563" t="s">
        <v>6429</v>
      </c>
      <c r="E4556" s="3563" t="s">
        <v>6403</v>
      </c>
      <c r="F4556" s="3563" t="s">
        <v>4797</v>
      </c>
      <c r="G4556" s="3564">
        <v>101.69</v>
      </c>
      <c r="H4556" s="3564">
        <v>81.739999999999995</v>
      </c>
      <c r="I4556" s="3564">
        <v>19.95</v>
      </c>
      <c r="J4556" s="3565">
        <v>1073360</v>
      </c>
      <c r="K4556" s="3565">
        <v>10555.22</v>
      </c>
      <c r="L4556" s="3565">
        <v>13131.39</v>
      </c>
      <c r="M4556" s="3565">
        <v>1029426</v>
      </c>
      <c r="N4556" s="3565">
        <v>10123.18</v>
      </c>
      <c r="O4556" s="3566">
        <v>44182</v>
      </c>
    </row>
    <row r="4557" spans="1:15">
      <c r="A4557" s="3563" t="s">
        <v>8779</v>
      </c>
      <c r="B4557" s="3563" t="s">
        <v>6422</v>
      </c>
      <c r="C4557" s="3563" t="s">
        <v>4197</v>
      </c>
      <c r="D4557" s="3563" t="s">
        <v>6429</v>
      </c>
      <c r="E4557" s="3563" t="s">
        <v>6403</v>
      </c>
      <c r="F4557" s="3563" t="s">
        <v>4797</v>
      </c>
      <c r="G4557" s="3564">
        <v>90.55</v>
      </c>
      <c r="H4557" s="3564">
        <v>72.78</v>
      </c>
      <c r="I4557" s="3564">
        <v>17.77</v>
      </c>
      <c r="J4557" s="3565">
        <v>893161</v>
      </c>
      <c r="K4557" s="3565">
        <v>9863.73</v>
      </c>
      <c r="L4557" s="3565">
        <v>12272.07</v>
      </c>
      <c r="M4557" s="3565">
        <v>847503</v>
      </c>
      <c r="N4557" s="3565">
        <v>9359.5</v>
      </c>
      <c r="O4557" s="3566">
        <v>44176</v>
      </c>
    </row>
    <row r="4558" spans="1:15">
      <c r="A4558" s="3563" t="s">
        <v>8780</v>
      </c>
      <c r="B4558" s="3563" t="s">
        <v>4811</v>
      </c>
      <c r="C4558" s="3563" t="s">
        <v>4197</v>
      </c>
      <c r="D4558" s="3563" t="s">
        <v>6429</v>
      </c>
      <c r="E4558" s="3563" t="s">
        <v>6403</v>
      </c>
      <c r="F4558" s="3563" t="s">
        <v>4797</v>
      </c>
      <c r="G4558" s="3564">
        <v>78.42</v>
      </c>
      <c r="H4558" s="3564">
        <v>63.03</v>
      </c>
      <c r="I4558" s="3564">
        <v>15.39</v>
      </c>
      <c r="J4558" s="3565">
        <v>781856</v>
      </c>
      <c r="K4558" s="3565">
        <v>9970.11</v>
      </c>
      <c r="L4558" s="3565">
        <v>12404.51</v>
      </c>
      <c r="M4558" s="3565">
        <v>742764</v>
      </c>
      <c r="N4558" s="3565">
        <v>9471.61</v>
      </c>
      <c r="O4558" s="3566">
        <v>44180</v>
      </c>
    </row>
    <row r="4559" spans="1:15">
      <c r="A4559" s="3563" t="s">
        <v>8781</v>
      </c>
      <c r="B4559" s="3563" t="s">
        <v>5277</v>
      </c>
      <c r="C4559" s="3563" t="s">
        <v>4197</v>
      </c>
      <c r="D4559" s="3563" t="s">
        <v>6429</v>
      </c>
      <c r="E4559" s="3563" t="s">
        <v>6403</v>
      </c>
      <c r="F4559" s="3563" t="s">
        <v>4797</v>
      </c>
      <c r="G4559" s="3564">
        <v>78.42</v>
      </c>
      <c r="H4559" s="3564">
        <v>63.03</v>
      </c>
      <c r="I4559" s="3564">
        <v>15.39</v>
      </c>
      <c r="J4559" s="3565">
        <v>798541</v>
      </c>
      <c r="K4559" s="3565">
        <v>10182.870000000001</v>
      </c>
      <c r="L4559" s="3565">
        <v>12669.22</v>
      </c>
      <c r="M4559" s="3565">
        <v>766600</v>
      </c>
      <c r="N4559" s="3565">
        <v>9775.57</v>
      </c>
      <c r="O4559" s="3566">
        <v>44176</v>
      </c>
    </row>
    <row r="4560" spans="1:15">
      <c r="A4560" s="3563" t="s">
        <v>8782</v>
      </c>
      <c r="B4560" s="3563" t="s">
        <v>6422</v>
      </c>
      <c r="C4560" s="3563" t="s">
        <v>4197</v>
      </c>
      <c r="D4560" s="3563" t="s">
        <v>6429</v>
      </c>
      <c r="E4560" s="3563" t="s">
        <v>6403</v>
      </c>
      <c r="F4560" s="3563" t="s">
        <v>4797</v>
      </c>
      <c r="G4560" s="3564">
        <v>110.03</v>
      </c>
      <c r="H4560" s="3564">
        <v>88.44</v>
      </c>
      <c r="I4560" s="3564">
        <v>21.59</v>
      </c>
      <c r="J4560" s="3565">
        <v>1114569</v>
      </c>
      <c r="K4560" s="3565">
        <v>10129.68</v>
      </c>
      <c r="L4560" s="3565">
        <v>12602.54</v>
      </c>
      <c r="M4560" s="3565">
        <v>1069987</v>
      </c>
      <c r="N4560" s="3565">
        <v>9724.5</v>
      </c>
      <c r="O4560" s="3566">
        <v>44176</v>
      </c>
    </row>
    <row r="4561" spans="1:15">
      <c r="A4561" s="3563" t="s">
        <v>8783</v>
      </c>
      <c r="B4561" s="3563" t="s">
        <v>5277</v>
      </c>
      <c r="C4561" s="3563" t="s">
        <v>4197</v>
      </c>
      <c r="D4561" s="3563" t="s">
        <v>6429</v>
      </c>
      <c r="E4561" s="3563" t="s">
        <v>6403</v>
      </c>
      <c r="F4561" s="3563" t="s">
        <v>4797</v>
      </c>
      <c r="G4561" s="3564">
        <v>101.69</v>
      </c>
      <c r="H4561" s="3564">
        <v>81.739999999999995</v>
      </c>
      <c r="I4561" s="3564">
        <v>19.95</v>
      </c>
      <c r="J4561" s="3565">
        <v>1074442</v>
      </c>
      <c r="K4561" s="3565">
        <v>10565.86</v>
      </c>
      <c r="L4561" s="3565">
        <v>13144.63</v>
      </c>
      <c r="M4561" s="3565">
        <v>1019720</v>
      </c>
      <c r="N4561" s="3565">
        <v>10027.73</v>
      </c>
      <c r="O4561" s="3566">
        <v>44176</v>
      </c>
    </row>
    <row r="4562" spans="1:15">
      <c r="A4562" s="3563" t="s">
        <v>8784</v>
      </c>
      <c r="B4562" s="3563" t="s">
        <v>4811</v>
      </c>
      <c r="C4562" s="3563" t="s">
        <v>4197</v>
      </c>
      <c r="D4562" s="3563" t="s">
        <v>6429</v>
      </c>
      <c r="E4562" s="3563" t="s">
        <v>6403</v>
      </c>
      <c r="F4562" s="3563" t="s">
        <v>4797</v>
      </c>
      <c r="G4562" s="3564">
        <v>101.69</v>
      </c>
      <c r="H4562" s="3564">
        <v>81.739999999999995</v>
      </c>
      <c r="I4562" s="3564">
        <v>19.95</v>
      </c>
      <c r="J4562" s="3565">
        <v>1074442</v>
      </c>
      <c r="K4562" s="3565">
        <v>10565.86</v>
      </c>
      <c r="L4562" s="3565">
        <v>13144.63</v>
      </c>
      <c r="M4562" s="3565">
        <v>1031465</v>
      </c>
      <c r="N4562" s="3565">
        <v>10143.23</v>
      </c>
      <c r="O4562" s="3566">
        <v>44189</v>
      </c>
    </row>
    <row r="4563" spans="1:15">
      <c r="A4563" s="3563" t="s">
        <v>8785</v>
      </c>
      <c r="B4563" s="3563" t="s">
        <v>5277</v>
      </c>
      <c r="C4563" s="3563" t="s">
        <v>4197</v>
      </c>
      <c r="D4563" s="3563" t="s">
        <v>6429</v>
      </c>
      <c r="E4563" s="3563" t="s">
        <v>6403</v>
      </c>
      <c r="F4563" s="3563" t="s">
        <v>4797</v>
      </c>
      <c r="G4563" s="3564">
        <v>90.55</v>
      </c>
      <c r="H4563" s="3564">
        <v>72.78</v>
      </c>
      <c r="I4563" s="3564">
        <v>17.77</v>
      </c>
      <c r="J4563" s="3565">
        <v>894124</v>
      </c>
      <c r="K4563" s="3565">
        <v>9874.3700000000008</v>
      </c>
      <c r="L4563" s="3565">
        <v>12285.3</v>
      </c>
      <c r="M4563" s="3565">
        <v>858360</v>
      </c>
      <c r="N4563" s="3565">
        <v>9479.4</v>
      </c>
      <c r="O4563" s="3566">
        <v>44176</v>
      </c>
    </row>
    <row r="4564" spans="1:15">
      <c r="A4564" s="3563" t="s">
        <v>8786</v>
      </c>
      <c r="B4564" s="3563" t="s">
        <v>5277</v>
      </c>
      <c r="C4564" s="3563" t="s">
        <v>4197</v>
      </c>
      <c r="D4564" s="3563" t="s">
        <v>6429</v>
      </c>
      <c r="E4564" s="3563" t="s">
        <v>6403</v>
      </c>
      <c r="F4564" s="3563" t="s">
        <v>4797</v>
      </c>
      <c r="G4564" s="3564">
        <v>78.42</v>
      </c>
      <c r="H4564" s="3564">
        <v>63.03</v>
      </c>
      <c r="I4564" s="3564">
        <v>15.39</v>
      </c>
      <c r="J4564" s="3565">
        <v>782690</v>
      </c>
      <c r="K4564" s="3565">
        <v>9980.74</v>
      </c>
      <c r="L4564" s="3565">
        <v>12417.74</v>
      </c>
      <c r="M4564" s="3565">
        <v>712248</v>
      </c>
      <c r="N4564" s="3565">
        <v>9082.48</v>
      </c>
      <c r="O4564" s="3566">
        <v>44176</v>
      </c>
    </row>
    <row r="4565" spans="1:15">
      <c r="A4565" s="3563" t="s">
        <v>8787</v>
      </c>
      <c r="B4565" s="3563" t="s">
        <v>6422</v>
      </c>
      <c r="C4565" s="3563" t="s">
        <v>4197</v>
      </c>
      <c r="D4565" s="3563" t="s">
        <v>6429</v>
      </c>
      <c r="E4565" s="3563" t="s">
        <v>6403</v>
      </c>
      <c r="F4565" s="3563" t="s">
        <v>4797</v>
      </c>
      <c r="G4565" s="3564">
        <v>78.42</v>
      </c>
      <c r="H4565" s="3564">
        <v>63.03</v>
      </c>
      <c r="I4565" s="3564">
        <v>15.39</v>
      </c>
      <c r="J4565" s="3565">
        <v>799376</v>
      </c>
      <c r="K4565" s="3565">
        <v>10193.52</v>
      </c>
      <c r="L4565" s="3565">
        <v>12682.47</v>
      </c>
      <c r="M4565" s="3565">
        <v>766401</v>
      </c>
      <c r="N4565" s="3565">
        <v>9773.0300000000007</v>
      </c>
      <c r="O4565" s="3566">
        <v>44176</v>
      </c>
    </row>
    <row r="4566" spans="1:15">
      <c r="A4566" s="3563" t="s">
        <v>8788</v>
      </c>
      <c r="B4566" s="3563" t="s">
        <v>4811</v>
      </c>
      <c r="C4566" s="3563" t="s">
        <v>4197</v>
      </c>
      <c r="D4566" s="3563" t="s">
        <v>6429</v>
      </c>
      <c r="E4566" s="3563" t="s">
        <v>6403</v>
      </c>
      <c r="F4566" s="3563" t="s">
        <v>4797</v>
      </c>
      <c r="G4566" s="3564">
        <v>110.03</v>
      </c>
      <c r="H4566" s="3564">
        <v>88.44</v>
      </c>
      <c r="I4566" s="3564">
        <v>21.59</v>
      </c>
      <c r="J4566" s="3565">
        <v>1115740</v>
      </c>
      <c r="K4566" s="3565">
        <v>10140.33</v>
      </c>
      <c r="L4566" s="3565">
        <v>12615.78</v>
      </c>
      <c r="M4566" s="3565">
        <v>1115740</v>
      </c>
      <c r="N4566" s="3565">
        <v>10140.33</v>
      </c>
      <c r="O4566" s="3566">
        <v>44176</v>
      </c>
    </row>
    <row r="4567" spans="1:15">
      <c r="A4567" s="3563" t="s">
        <v>8789</v>
      </c>
      <c r="B4567" s="3563" t="s">
        <v>4811</v>
      </c>
      <c r="C4567" s="3563" t="s">
        <v>4197</v>
      </c>
      <c r="D4567" s="3563" t="s">
        <v>6429</v>
      </c>
      <c r="E4567" s="3563" t="s">
        <v>6403</v>
      </c>
      <c r="F4567" s="3563" t="s">
        <v>4797</v>
      </c>
      <c r="G4567" s="3564">
        <v>101.69</v>
      </c>
      <c r="H4567" s="3564">
        <v>81.739999999999995</v>
      </c>
      <c r="I4567" s="3564">
        <v>19.95</v>
      </c>
      <c r="J4567" s="3565">
        <v>1075524</v>
      </c>
      <c r="K4567" s="3565">
        <v>10576.5</v>
      </c>
      <c r="L4567" s="3565">
        <v>13157.87</v>
      </c>
      <c r="M4567" s="3565">
        <v>1043259</v>
      </c>
      <c r="N4567" s="3565">
        <v>10259.209999999999</v>
      </c>
      <c r="O4567" s="3566">
        <v>44187</v>
      </c>
    </row>
    <row r="4568" spans="1:15">
      <c r="A4568" s="3563" t="s">
        <v>8790</v>
      </c>
      <c r="B4568" s="3563" t="s">
        <v>4811</v>
      </c>
      <c r="C4568" s="3563" t="s">
        <v>4197</v>
      </c>
      <c r="D4568" s="3563" t="s">
        <v>6429</v>
      </c>
      <c r="E4568" s="3563" t="s">
        <v>6403</v>
      </c>
      <c r="F4568" s="3563" t="s">
        <v>4797</v>
      </c>
      <c r="G4568" s="3564">
        <v>101.69</v>
      </c>
      <c r="H4568" s="3564">
        <v>81.739999999999995</v>
      </c>
      <c r="I4568" s="3564">
        <v>19.95</v>
      </c>
      <c r="J4568" s="3565">
        <v>1075524</v>
      </c>
      <c r="K4568" s="3565">
        <v>10576.5</v>
      </c>
      <c r="L4568" s="3565">
        <v>13157.87</v>
      </c>
      <c r="M4568" s="3565">
        <v>1032504</v>
      </c>
      <c r="N4568" s="3565">
        <v>10153.450000000001</v>
      </c>
      <c r="O4568" s="3566">
        <v>44191</v>
      </c>
    </row>
    <row r="4569" spans="1:15">
      <c r="A4569" s="3563" t="s">
        <v>8791</v>
      </c>
      <c r="B4569" s="3563" t="s">
        <v>6422</v>
      </c>
      <c r="C4569" s="3563" t="s">
        <v>4197</v>
      </c>
      <c r="D4569" s="3563" t="s">
        <v>6429</v>
      </c>
      <c r="E4569" s="3563" t="s">
        <v>6403</v>
      </c>
      <c r="F4569" s="3563" t="s">
        <v>4797</v>
      </c>
      <c r="G4569" s="3564">
        <v>90.55</v>
      </c>
      <c r="H4569" s="3564">
        <v>72.78</v>
      </c>
      <c r="I4569" s="3564">
        <v>17.77</v>
      </c>
      <c r="J4569" s="3565">
        <v>895087</v>
      </c>
      <c r="K4569" s="3565">
        <v>9885</v>
      </c>
      <c r="L4569" s="3565">
        <v>12298.53</v>
      </c>
      <c r="M4569" s="3565">
        <v>849333</v>
      </c>
      <c r="N4569" s="3565">
        <v>9379.7099999999991</v>
      </c>
      <c r="O4569" s="3566">
        <v>44176</v>
      </c>
    </row>
    <row r="4570" spans="1:15">
      <c r="A4570" s="3563" t="s">
        <v>8792</v>
      </c>
      <c r="B4570" s="3563" t="s">
        <v>6422</v>
      </c>
      <c r="C4570" s="3563" t="s">
        <v>4197</v>
      </c>
      <c r="D4570" s="3563" t="s">
        <v>6429</v>
      </c>
      <c r="E4570" s="3563" t="s">
        <v>6403</v>
      </c>
      <c r="F4570" s="3563" t="s">
        <v>4797</v>
      </c>
      <c r="G4570" s="3564">
        <v>78.42</v>
      </c>
      <c r="H4570" s="3564">
        <v>63.03</v>
      </c>
      <c r="I4570" s="3564">
        <v>15.39</v>
      </c>
      <c r="J4570" s="3565">
        <v>783525</v>
      </c>
      <c r="K4570" s="3565">
        <v>9991.39</v>
      </c>
      <c r="L4570" s="3565">
        <v>12430.99</v>
      </c>
      <c r="M4570" s="3565">
        <v>720843</v>
      </c>
      <c r="N4570" s="3565">
        <v>9192.08</v>
      </c>
      <c r="O4570" s="3566">
        <v>44177</v>
      </c>
    </row>
    <row r="4571" spans="1:15">
      <c r="A4571" s="3563" t="s">
        <v>8793</v>
      </c>
      <c r="B4571" s="3563" t="s">
        <v>5277</v>
      </c>
      <c r="C4571" s="3563" t="s">
        <v>4197</v>
      </c>
      <c r="D4571" s="3563" t="s">
        <v>6429</v>
      </c>
      <c r="E4571" s="3563" t="s">
        <v>6403</v>
      </c>
      <c r="F4571" s="3563" t="s">
        <v>4797</v>
      </c>
      <c r="G4571" s="3564">
        <v>78.42</v>
      </c>
      <c r="H4571" s="3564">
        <v>63.03</v>
      </c>
      <c r="I4571" s="3564">
        <v>15.39</v>
      </c>
      <c r="J4571" s="3565">
        <v>800210</v>
      </c>
      <c r="K4571" s="3565">
        <v>10204.16</v>
      </c>
      <c r="L4571" s="3565">
        <v>12695.7</v>
      </c>
      <c r="M4571" s="3565">
        <v>727192</v>
      </c>
      <c r="N4571" s="3565">
        <v>9273.0400000000009</v>
      </c>
      <c r="O4571" s="3566">
        <v>44176</v>
      </c>
    </row>
    <row r="4572" spans="1:15">
      <c r="A4572" s="3563" t="s">
        <v>8794</v>
      </c>
      <c r="B4572" s="3563" t="s">
        <v>5277</v>
      </c>
      <c r="C4572" s="3563" t="s">
        <v>4197</v>
      </c>
      <c r="D4572" s="3563" t="s">
        <v>6429</v>
      </c>
      <c r="E4572" s="3563" t="s">
        <v>6403</v>
      </c>
      <c r="F4572" s="3563" t="s">
        <v>4797</v>
      </c>
      <c r="G4572" s="3564">
        <v>110.03</v>
      </c>
      <c r="H4572" s="3564">
        <v>88.44</v>
      </c>
      <c r="I4572" s="3564">
        <v>21.59</v>
      </c>
      <c r="J4572" s="3565">
        <v>1116910</v>
      </c>
      <c r="K4572" s="3565">
        <v>10150.959999999999</v>
      </c>
      <c r="L4572" s="3565">
        <v>12629.01</v>
      </c>
      <c r="M4572" s="3565">
        <v>1061065</v>
      </c>
      <c r="N4572" s="3565">
        <v>9643.42</v>
      </c>
      <c r="O4572" s="3566">
        <v>44176</v>
      </c>
    </row>
    <row r="4573" spans="1:15">
      <c r="A4573" s="3563" t="s">
        <v>8795</v>
      </c>
      <c r="B4573" s="3563" t="s">
        <v>4811</v>
      </c>
      <c r="C4573" s="3563" t="s">
        <v>4197</v>
      </c>
      <c r="D4573" s="3563" t="s">
        <v>6429</v>
      </c>
      <c r="E4573" s="3563" t="s">
        <v>6403</v>
      </c>
      <c r="F4573" s="3563" t="s">
        <v>4797</v>
      </c>
      <c r="G4573" s="3564">
        <v>101.69</v>
      </c>
      <c r="H4573" s="3564">
        <v>81.739999999999995</v>
      </c>
      <c r="I4573" s="3564">
        <v>19.95</v>
      </c>
      <c r="J4573" s="3565">
        <v>1065787</v>
      </c>
      <c r="K4573" s="3565">
        <v>10480.75</v>
      </c>
      <c r="L4573" s="3565">
        <v>13038.74</v>
      </c>
      <c r="M4573" s="3565">
        <v>1023156</v>
      </c>
      <c r="N4573" s="3565">
        <v>10061.52</v>
      </c>
      <c r="O4573" s="3566">
        <v>44185</v>
      </c>
    </row>
    <row r="4574" spans="1:15">
      <c r="A4574" s="3563" t="s">
        <v>8796</v>
      </c>
      <c r="B4574" s="3563" t="s">
        <v>4811</v>
      </c>
      <c r="C4574" s="3563" t="s">
        <v>4197</v>
      </c>
      <c r="D4574" s="3563" t="s">
        <v>6429</v>
      </c>
      <c r="E4574" s="3563" t="s">
        <v>6403</v>
      </c>
      <c r="F4574" s="3563" t="s">
        <v>4797</v>
      </c>
      <c r="G4574" s="3564">
        <v>101.69</v>
      </c>
      <c r="H4574" s="3564">
        <v>81.739999999999995</v>
      </c>
      <c r="I4574" s="3564">
        <v>19.95</v>
      </c>
      <c r="J4574" s="3565">
        <v>1065787</v>
      </c>
      <c r="K4574" s="3565">
        <v>10480.75</v>
      </c>
      <c r="L4574" s="3565">
        <v>13038.74</v>
      </c>
      <c r="M4574" s="3565">
        <v>1012498</v>
      </c>
      <c r="N4574" s="3565">
        <v>9956.7099999999991</v>
      </c>
      <c r="O4574" s="3566">
        <v>44185</v>
      </c>
    </row>
    <row r="4575" spans="1:15">
      <c r="A4575" s="3563" t="s">
        <v>8797</v>
      </c>
      <c r="B4575" s="3563" t="s">
        <v>5277</v>
      </c>
      <c r="C4575" s="3563" t="s">
        <v>4197</v>
      </c>
      <c r="D4575" s="3563" t="s">
        <v>6429</v>
      </c>
      <c r="E4575" s="3563" t="s">
        <v>6403</v>
      </c>
      <c r="F4575" s="3563" t="s">
        <v>4797</v>
      </c>
      <c r="G4575" s="3564">
        <v>90.55</v>
      </c>
      <c r="H4575" s="3564">
        <v>72.78</v>
      </c>
      <c r="I4575" s="3564">
        <v>17.77</v>
      </c>
      <c r="J4575" s="3565">
        <v>886418</v>
      </c>
      <c r="K4575" s="3565">
        <v>9789.27</v>
      </c>
      <c r="L4575" s="3565">
        <v>12179.42</v>
      </c>
      <c r="M4575" s="3565">
        <v>850962</v>
      </c>
      <c r="N4575" s="3565">
        <v>9397.7000000000007</v>
      </c>
      <c r="O4575" s="3566">
        <v>44190</v>
      </c>
    </row>
    <row r="4576" spans="1:15">
      <c r="A4576" s="3563" t="s">
        <v>8798</v>
      </c>
      <c r="B4576" s="3563" t="s">
        <v>6422</v>
      </c>
      <c r="C4576" s="3563" t="s">
        <v>4197</v>
      </c>
      <c r="D4576" s="3563" t="s">
        <v>6429</v>
      </c>
      <c r="E4576" s="3563" t="s">
        <v>6403</v>
      </c>
      <c r="F4576" s="3563" t="s">
        <v>4797</v>
      </c>
      <c r="G4576" s="3564">
        <v>78.42</v>
      </c>
      <c r="H4576" s="3564">
        <v>63.03</v>
      </c>
      <c r="I4576" s="3564">
        <v>15.39</v>
      </c>
      <c r="J4576" s="3565">
        <v>776016</v>
      </c>
      <c r="K4576" s="3565">
        <v>9895.64</v>
      </c>
      <c r="L4576" s="3565">
        <v>12311.85</v>
      </c>
      <c r="M4576" s="3565">
        <v>776016</v>
      </c>
      <c r="N4576" s="3565">
        <v>9895.64</v>
      </c>
      <c r="O4576" s="3566">
        <v>44180</v>
      </c>
    </row>
    <row r="4577" spans="1:15">
      <c r="A4577" s="3563" t="s">
        <v>8799</v>
      </c>
      <c r="B4577" s="3563" t="s">
        <v>5277</v>
      </c>
      <c r="C4577" s="3563" t="s">
        <v>4197</v>
      </c>
      <c r="D4577" s="3563" t="s">
        <v>6429</v>
      </c>
      <c r="E4577" s="3563" t="s">
        <v>6403</v>
      </c>
      <c r="F4577" s="3563" t="s">
        <v>4797</v>
      </c>
      <c r="G4577" s="3564">
        <v>78.42</v>
      </c>
      <c r="H4577" s="3564">
        <v>63.03</v>
      </c>
      <c r="I4577" s="3564">
        <v>15.39</v>
      </c>
      <c r="J4577" s="3565">
        <v>792702</v>
      </c>
      <c r="K4577" s="3565">
        <v>10108.42</v>
      </c>
      <c r="L4577" s="3565">
        <v>12576.58</v>
      </c>
      <c r="M4577" s="3565">
        <v>721359</v>
      </c>
      <c r="N4577" s="3565">
        <v>9198.66</v>
      </c>
      <c r="O4577" s="3566">
        <v>44176</v>
      </c>
    </row>
    <row r="4578" spans="1:15">
      <c r="A4578" s="3563" t="s">
        <v>8800</v>
      </c>
      <c r="B4578" s="3563" t="s">
        <v>6422</v>
      </c>
      <c r="C4578" s="3563" t="s">
        <v>4197</v>
      </c>
      <c r="D4578" s="3563" t="s">
        <v>6429</v>
      </c>
      <c r="E4578" s="3563" t="s">
        <v>6403</v>
      </c>
      <c r="F4578" s="3563" t="s">
        <v>4797</v>
      </c>
      <c r="G4578" s="3564">
        <v>110.03</v>
      </c>
      <c r="H4578" s="3564">
        <v>88.44</v>
      </c>
      <c r="I4578" s="3564">
        <v>21.59</v>
      </c>
      <c r="J4578" s="3565">
        <v>1106376</v>
      </c>
      <c r="K4578" s="3565">
        <v>10055.219999999999</v>
      </c>
      <c r="L4578" s="3565">
        <v>12509.91</v>
      </c>
      <c r="M4578" s="3565">
        <v>1062121</v>
      </c>
      <c r="N4578" s="3565">
        <v>9653.01</v>
      </c>
      <c r="O4578" s="3566">
        <v>44176</v>
      </c>
    </row>
    <row r="4579" spans="1:15">
      <c r="A4579" s="3563" t="s">
        <v>8801</v>
      </c>
      <c r="B4579" s="3563" t="s">
        <v>4811</v>
      </c>
      <c r="C4579" s="3563" t="s">
        <v>4197</v>
      </c>
      <c r="D4579" s="3563" t="s">
        <v>6429</v>
      </c>
      <c r="E4579" s="3563" t="s">
        <v>6403</v>
      </c>
      <c r="F4579" s="3563" t="s">
        <v>4797</v>
      </c>
      <c r="G4579" s="3564">
        <v>101.69</v>
      </c>
      <c r="H4579" s="3564">
        <v>81.739999999999995</v>
      </c>
      <c r="I4579" s="3564">
        <v>19.95</v>
      </c>
      <c r="J4579" s="3565">
        <v>1077687</v>
      </c>
      <c r="K4579" s="3565">
        <v>10597.77</v>
      </c>
      <c r="L4579" s="3565">
        <v>13184.33</v>
      </c>
      <c r="M4579" s="3565">
        <v>1077687</v>
      </c>
      <c r="N4579" s="3565">
        <v>10597.77</v>
      </c>
      <c r="O4579" s="3566">
        <v>44181</v>
      </c>
    </row>
    <row r="4580" spans="1:15">
      <c r="A4580" s="3563" t="s">
        <v>8802</v>
      </c>
      <c r="B4580" s="3563" t="s">
        <v>5277</v>
      </c>
      <c r="C4580" s="3563" t="s">
        <v>4197</v>
      </c>
      <c r="D4580" s="3563" t="s">
        <v>6429</v>
      </c>
      <c r="E4580" s="3563" t="s">
        <v>6403</v>
      </c>
      <c r="F4580" s="3563" t="s">
        <v>4797</v>
      </c>
      <c r="G4580" s="3564">
        <v>101.69</v>
      </c>
      <c r="H4580" s="3564">
        <v>81.739999999999995</v>
      </c>
      <c r="I4580" s="3564">
        <v>19.95</v>
      </c>
      <c r="J4580" s="3565">
        <v>1077687</v>
      </c>
      <c r="K4580" s="3565">
        <v>10597.77</v>
      </c>
      <c r="L4580" s="3565">
        <v>13184.33</v>
      </c>
      <c r="M4580" s="3565">
        <v>1034580</v>
      </c>
      <c r="N4580" s="3565">
        <v>10173.86</v>
      </c>
      <c r="O4580" s="3566">
        <v>44176</v>
      </c>
    </row>
    <row r="4581" spans="1:15">
      <c r="A4581" s="3563" t="s">
        <v>8803</v>
      </c>
      <c r="B4581" s="3563" t="s">
        <v>6422</v>
      </c>
      <c r="C4581" s="3563" t="s">
        <v>4197</v>
      </c>
      <c r="D4581" s="3563" t="s">
        <v>6429</v>
      </c>
      <c r="E4581" s="3563" t="s">
        <v>6403</v>
      </c>
      <c r="F4581" s="3563" t="s">
        <v>4797</v>
      </c>
      <c r="G4581" s="3564">
        <v>90.55</v>
      </c>
      <c r="H4581" s="3564">
        <v>72.78</v>
      </c>
      <c r="I4581" s="3564">
        <v>17.77</v>
      </c>
      <c r="J4581" s="3565">
        <v>897014</v>
      </c>
      <c r="K4581" s="3565">
        <v>9906.2800000000007</v>
      </c>
      <c r="L4581" s="3565">
        <v>12325.01</v>
      </c>
      <c r="M4581" s="3565">
        <v>816283</v>
      </c>
      <c r="N4581" s="3565">
        <v>9014.7199999999993</v>
      </c>
      <c r="O4581" s="3566">
        <v>44176</v>
      </c>
    </row>
    <row r="4582" spans="1:15">
      <c r="A4582" s="3563" t="s">
        <v>8804</v>
      </c>
      <c r="B4582" s="3563" t="s">
        <v>5277</v>
      </c>
      <c r="C4582" s="3563" t="s">
        <v>4197</v>
      </c>
      <c r="D4582" s="3563" t="s">
        <v>6429</v>
      </c>
      <c r="E4582" s="3563" t="s">
        <v>6403</v>
      </c>
      <c r="F4582" s="3563" t="s">
        <v>4797</v>
      </c>
      <c r="G4582" s="3564">
        <v>78.42</v>
      </c>
      <c r="H4582" s="3564">
        <v>63.03</v>
      </c>
      <c r="I4582" s="3564">
        <v>15.39</v>
      </c>
      <c r="J4582" s="3565">
        <v>785193</v>
      </c>
      <c r="K4582" s="3565">
        <v>10012.66</v>
      </c>
      <c r="L4582" s="3565">
        <v>12457.45</v>
      </c>
      <c r="M4582" s="3565">
        <v>753786</v>
      </c>
      <c r="N4582" s="3565">
        <v>9612.17</v>
      </c>
      <c r="O4582" s="3566">
        <v>44176</v>
      </c>
    </row>
    <row r="4583" spans="1:15">
      <c r="A4583" s="3563" t="s">
        <v>8805</v>
      </c>
      <c r="B4583" s="3563" t="s">
        <v>5277</v>
      </c>
      <c r="C4583" s="3563" t="s">
        <v>4197</v>
      </c>
      <c r="D4583" s="3563" t="s">
        <v>6429</v>
      </c>
      <c r="E4583" s="3563" t="s">
        <v>6403</v>
      </c>
      <c r="F4583" s="3563" t="s">
        <v>4797</v>
      </c>
      <c r="G4583" s="3564">
        <v>78.42</v>
      </c>
      <c r="H4583" s="3564">
        <v>63.03</v>
      </c>
      <c r="I4583" s="3564">
        <v>15.39</v>
      </c>
      <c r="J4583" s="3565">
        <v>801878</v>
      </c>
      <c r="K4583" s="3565">
        <v>10225.43</v>
      </c>
      <c r="L4583" s="3565">
        <v>12722.16</v>
      </c>
      <c r="M4583" s="3565">
        <v>728709</v>
      </c>
      <c r="N4583" s="3565">
        <v>9292.39</v>
      </c>
      <c r="O4583" s="3566">
        <v>44176</v>
      </c>
    </row>
    <row r="4584" spans="1:15">
      <c r="A4584" s="3563" t="s">
        <v>8806</v>
      </c>
      <c r="B4584" s="3563" t="s">
        <v>6422</v>
      </c>
      <c r="C4584" s="3563" t="s">
        <v>4197</v>
      </c>
      <c r="D4584" s="3563" t="s">
        <v>6429</v>
      </c>
      <c r="E4584" s="3563" t="s">
        <v>6403</v>
      </c>
      <c r="F4584" s="3563" t="s">
        <v>4797</v>
      </c>
      <c r="G4584" s="3564">
        <v>110.03</v>
      </c>
      <c r="H4584" s="3564">
        <v>88.44</v>
      </c>
      <c r="I4584" s="3564">
        <v>21.59</v>
      </c>
      <c r="J4584" s="3565">
        <v>1119251</v>
      </c>
      <c r="K4584" s="3565">
        <v>10172.23</v>
      </c>
      <c r="L4584" s="3565">
        <v>12655.48</v>
      </c>
      <c r="M4584" s="3565">
        <v>1018519</v>
      </c>
      <c r="N4584" s="3565">
        <v>9256.74</v>
      </c>
      <c r="O4584" s="3566">
        <v>44176</v>
      </c>
    </row>
    <row r="4585" spans="1:15">
      <c r="A4585" s="3563" t="s">
        <v>8807</v>
      </c>
      <c r="B4585" s="3563" t="s">
        <v>6422</v>
      </c>
      <c r="C4585" s="3563" t="s">
        <v>4197</v>
      </c>
      <c r="D4585" s="3563" t="s">
        <v>6429</v>
      </c>
      <c r="E4585" s="3563" t="s">
        <v>6403</v>
      </c>
      <c r="F4585" s="3563" t="s">
        <v>4797</v>
      </c>
      <c r="G4585" s="3564">
        <v>101.69</v>
      </c>
      <c r="H4585" s="3564">
        <v>81.739999999999995</v>
      </c>
      <c r="I4585" s="3564">
        <v>19.95</v>
      </c>
      <c r="J4585" s="3565">
        <v>1076606</v>
      </c>
      <c r="K4585" s="3565">
        <v>10587.14</v>
      </c>
      <c r="L4585" s="3565">
        <v>13171.1</v>
      </c>
      <c r="M4585" s="3565">
        <v>1033542</v>
      </c>
      <c r="N4585" s="3565">
        <v>10163.65</v>
      </c>
      <c r="O4585" s="3566">
        <v>44176</v>
      </c>
    </row>
    <row r="4586" spans="1:15">
      <c r="A4586" s="3563" t="s">
        <v>8808</v>
      </c>
      <c r="B4586" s="3563" t="s">
        <v>6422</v>
      </c>
      <c r="C4586" s="3563" t="s">
        <v>4197</v>
      </c>
      <c r="D4586" s="3563" t="s">
        <v>6429</v>
      </c>
      <c r="E4586" s="3563" t="s">
        <v>6403</v>
      </c>
      <c r="F4586" s="3563" t="s">
        <v>4797</v>
      </c>
      <c r="G4586" s="3564">
        <v>101.69</v>
      </c>
      <c r="H4586" s="3564">
        <v>81.739999999999995</v>
      </c>
      <c r="I4586" s="3564">
        <v>19.95</v>
      </c>
      <c r="J4586" s="3565">
        <v>1076606</v>
      </c>
      <c r="K4586" s="3565">
        <v>10587.14</v>
      </c>
      <c r="L4586" s="3565">
        <v>13171.1</v>
      </c>
      <c r="M4586" s="3565">
        <v>1033542</v>
      </c>
      <c r="N4586" s="3565">
        <v>10163.65</v>
      </c>
      <c r="O4586" s="3566">
        <v>44176</v>
      </c>
    </row>
    <row r="4587" spans="1:15">
      <c r="A4587" s="3563" t="s">
        <v>8809</v>
      </c>
      <c r="B4587" s="3563" t="s">
        <v>6422</v>
      </c>
      <c r="C4587" s="3563" t="s">
        <v>4197</v>
      </c>
      <c r="D4587" s="3563" t="s">
        <v>6429</v>
      </c>
      <c r="E4587" s="3563" t="s">
        <v>6403</v>
      </c>
      <c r="F4587" s="3563" t="s">
        <v>4797</v>
      </c>
      <c r="G4587" s="3564">
        <v>90.55</v>
      </c>
      <c r="H4587" s="3564">
        <v>72.78</v>
      </c>
      <c r="I4587" s="3564">
        <v>17.77</v>
      </c>
      <c r="J4587" s="3565">
        <v>896051</v>
      </c>
      <c r="K4587" s="3565">
        <v>9895.65</v>
      </c>
      <c r="L4587" s="3565">
        <v>12311.78</v>
      </c>
      <c r="M4587" s="3565">
        <v>859209</v>
      </c>
      <c r="N4587" s="3565">
        <v>9488.7800000000007</v>
      </c>
      <c r="O4587" s="3566">
        <v>44176</v>
      </c>
    </row>
    <row r="4588" spans="1:15">
      <c r="A4588" s="3563" t="s">
        <v>8810</v>
      </c>
      <c r="B4588" s="3563" t="s">
        <v>5277</v>
      </c>
      <c r="C4588" s="3563" t="s">
        <v>4197</v>
      </c>
      <c r="D4588" s="3563" t="s">
        <v>6429</v>
      </c>
      <c r="E4588" s="3563" t="s">
        <v>6403</v>
      </c>
      <c r="F4588" s="3563" t="s">
        <v>4797</v>
      </c>
      <c r="G4588" s="3564">
        <v>78.42</v>
      </c>
      <c r="H4588" s="3564">
        <v>63.03</v>
      </c>
      <c r="I4588" s="3564">
        <v>15.39</v>
      </c>
      <c r="J4588" s="3565">
        <v>784359</v>
      </c>
      <c r="K4588" s="3565">
        <v>10002.030000000001</v>
      </c>
      <c r="L4588" s="3565">
        <v>12444.22</v>
      </c>
      <c r="M4588" s="3565">
        <v>784359</v>
      </c>
      <c r="N4588" s="3565">
        <v>10002.030000000001</v>
      </c>
      <c r="O4588" s="3566">
        <v>44176</v>
      </c>
    </row>
    <row r="4589" spans="1:15">
      <c r="A4589" s="3563" t="s">
        <v>8811</v>
      </c>
      <c r="B4589" s="3563" t="s">
        <v>5277</v>
      </c>
      <c r="C4589" s="3563" t="s">
        <v>4197</v>
      </c>
      <c r="D4589" s="3563" t="s">
        <v>6429</v>
      </c>
      <c r="E4589" s="3563" t="s">
        <v>6403</v>
      </c>
      <c r="F4589" s="3563" t="s">
        <v>4797</v>
      </c>
      <c r="G4589" s="3564">
        <v>78.42</v>
      </c>
      <c r="H4589" s="3564">
        <v>63.03</v>
      </c>
      <c r="I4589" s="3564">
        <v>15.39</v>
      </c>
      <c r="J4589" s="3565">
        <v>801044</v>
      </c>
      <c r="K4589" s="3565">
        <v>10214.790000000001</v>
      </c>
      <c r="L4589" s="3565">
        <v>12708.93</v>
      </c>
      <c r="M4589" s="3565">
        <v>727951</v>
      </c>
      <c r="N4589" s="3565">
        <v>9282.7199999999993</v>
      </c>
      <c r="O4589" s="3566">
        <v>44176</v>
      </c>
    </row>
    <row r="4590" spans="1:15">
      <c r="A4590" s="3563" t="s">
        <v>8812</v>
      </c>
      <c r="B4590" s="3563" t="s">
        <v>6422</v>
      </c>
      <c r="C4590" s="3563" t="s">
        <v>4197</v>
      </c>
      <c r="D4590" s="3563" t="s">
        <v>6429</v>
      </c>
      <c r="E4590" s="3563" t="s">
        <v>6403</v>
      </c>
      <c r="F4590" s="3563" t="s">
        <v>4797</v>
      </c>
      <c r="G4590" s="3564">
        <v>110.03</v>
      </c>
      <c r="H4590" s="3564">
        <v>88.44</v>
      </c>
      <c r="I4590" s="3564">
        <v>21.59</v>
      </c>
      <c r="J4590" s="3565">
        <v>1118081</v>
      </c>
      <c r="K4590" s="3565">
        <v>10161.6</v>
      </c>
      <c r="L4590" s="3565">
        <v>12642.25</v>
      </c>
      <c r="M4590" s="3565">
        <v>1072358</v>
      </c>
      <c r="N4590" s="3565">
        <v>9746.0499999999993</v>
      </c>
      <c r="O4590" s="3566">
        <v>44176</v>
      </c>
    </row>
    <row r="4591" spans="1:15">
      <c r="A4591" s="3563" t="s">
        <v>8813</v>
      </c>
      <c r="B4591" s="3563" t="s">
        <v>5277</v>
      </c>
      <c r="C4591" s="3563" t="s">
        <v>4197</v>
      </c>
      <c r="D4591" s="3563" t="s">
        <v>6429</v>
      </c>
      <c r="E4591" s="3563" t="s">
        <v>6403</v>
      </c>
      <c r="F4591" s="3563" t="s">
        <v>4797</v>
      </c>
      <c r="G4591" s="3564">
        <v>101.69</v>
      </c>
      <c r="H4591" s="3564">
        <v>81.739999999999995</v>
      </c>
      <c r="I4591" s="3564">
        <v>19.95</v>
      </c>
      <c r="J4591" s="3565">
        <v>1075524</v>
      </c>
      <c r="K4591" s="3565">
        <v>10576.5</v>
      </c>
      <c r="L4591" s="3565">
        <v>13157.87</v>
      </c>
      <c r="M4591" s="3565">
        <v>1075524</v>
      </c>
      <c r="N4591" s="3565">
        <v>10576.5</v>
      </c>
      <c r="O4591" s="3566">
        <v>44176</v>
      </c>
    </row>
    <row r="4592" spans="1:15">
      <c r="A4592" s="3563" t="s">
        <v>8814</v>
      </c>
      <c r="B4592" s="3563" t="s">
        <v>5277</v>
      </c>
      <c r="C4592" s="3563" t="s">
        <v>4197</v>
      </c>
      <c r="D4592" s="3563" t="s">
        <v>6429</v>
      </c>
      <c r="E4592" s="3563" t="s">
        <v>6403</v>
      </c>
      <c r="F4592" s="3563" t="s">
        <v>4797</v>
      </c>
      <c r="G4592" s="3564">
        <v>101.69</v>
      </c>
      <c r="H4592" s="3564">
        <v>81.739999999999995</v>
      </c>
      <c r="I4592" s="3564">
        <v>19.95</v>
      </c>
      <c r="J4592" s="3565">
        <v>1075524</v>
      </c>
      <c r="K4592" s="3565">
        <v>10576.5</v>
      </c>
      <c r="L4592" s="3565">
        <v>13157.87</v>
      </c>
      <c r="M4592" s="3565">
        <v>1032504</v>
      </c>
      <c r="N4592" s="3565">
        <v>10153.450000000001</v>
      </c>
      <c r="O4592" s="3566">
        <v>44176</v>
      </c>
    </row>
    <row r="4593" spans="1:15">
      <c r="A4593" s="3563" t="s">
        <v>8815</v>
      </c>
      <c r="B4593" s="3563" t="s">
        <v>5277</v>
      </c>
      <c r="C4593" s="3563" t="s">
        <v>4197</v>
      </c>
      <c r="D4593" s="3563" t="s">
        <v>6429</v>
      </c>
      <c r="E4593" s="3563" t="s">
        <v>6403</v>
      </c>
      <c r="F4593" s="3563" t="s">
        <v>4797</v>
      </c>
      <c r="G4593" s="3564">
        <v>90.55</v>
      </c>
      <c r="H4593" s="3564">
        <v>72.78</v>
      </c>
      <c r="I4593" s="3564">
        <v>17.77</v>
      </c>
      <c r="J4593" s="3565">
        <v>895087</v>
      </c>
      <c r="K4593" s="3565">
        <v>9885</v>
      </c>
      <c r="L4593" s="3565">
        <v>12298.53</v>
      </c>
      <c r="M4593" s="3565">
        <v>814530</v>
      </c>
      <c r="N4593" s="3565">
        <v>8995.36</v>
      </c>
      <c r="O4593" s="3566">
        <v>44176</v>
      </c>
    </row>
    <row r="4594" spans="1:15">
      <c r="A4594" s="3563" t="s">
        <v>8816</v>
      </c>
      <c r="B4594" s="3563" t="s">
        <v>4811</v>
      </c>
      <c r="C4594" s="3563" t="s">
        <v>4197</v>
      </c>
      <c r="D4594" s="3563" t="s">
        <v>6429</v>
      </c>
      <c r="E4594" s="3563" t="s">
        <v>6403</v>
      </c>
      <c r="F4594" s="3563" t="s">
        <v>4797</v>
      </c>
      <c r="G4594" s="3564">
        <v>78.42</v>
      </c>
      <c r="H4594" s="3564">
        <v>63.03</v>
      </c>
      <c r="I4594" s="3564">
        <v>15.39</v>
      </c>
      <c r="J4594" s="3565">
        <v>783525</v>
      </c>
      <c r="K4594" s="3565">
        <v>9991.39</v>
      </c>
      <c r="L4594" s="3565">
        <v>12430.99</v>
      </c>
      <c r="M4594" s="3565">
        <v>783525</v>
      </c>
      <c r="N4594" s="3565">
        <v>9991.39</v>
      </c>
      <c r="O4594" s="3566">
        <v>44176</v>
      </c>
    </row>
    <row r="4595" spans="1:15">
      <c r="A4595" s="3563" t="s">
        <v>8817</v>
      </c>
      <c r="B4595" s="3563" t="s">
        <v>5277</v>
      </c>
      <c r="C4595" s="3563" t="s">
        <v>4197</v>
      </c>
      <c r="D4595" s="3563" t="s">
        <v>6429</v>
      </c>
      <c r="E4595" s="3563" t="s">
        <v>6403</v>
      </c>
      <c r="F4595" s="3563" t="s">
        <v>4797</v>
      </c>
      <c r="G4595" s="3564">
        <v>78.42</v>
      </c>
      <c r="H4595" s="3564">
        <v>63.03</v>
      </c>
      <c r="I4595" s="3564">
        <v>15.39</v>
      </c>
      <c r="J4595" s="3565">
        <v>800210</v>
      </c>
      <c r="K4595" s="3565">
        <v>10204.16</v>
      </c>
      <c r="L4595" s="3565">
        <v>12695.7</v>
      </c>
      <c r="M4595" s="3565">
        <v>727192</v>
      </c>
      <c r="N4595" s="3565">
        <v>9273.0400000000009</v>
      </c>
      <c r="O4595" s="3566">
        <v>44176</v>
      </c>
    </row>
    <row r="4596" spans="1:15">
      <c r="A4596" s="3563" t="s">
        <v>8818</v>
      </c>
      <c r="B4596" s="3563" t="s">
        <v>5277</v>
      </c>
      <c r="C4596" s="3563" t="s">
        <v>4197</v>
      </c>
      <c r="D4596" s="3563" t="s">
        <v>6429</v>
      </c>
      <c r="E4596" s="3563" t="s">
        <v>6403</v>
      </c>
      <c r="F4596" s="3563" t="s">
        <v>4797</v>
      </c>
      <c r="G4596" s="3564">
        <v>110.03</v>
      </c>
      <c r="H4596" s="3564">
        <v>88.44</v>
      </c>
      <c r="I4596" s="3564">
        <v>21.59</v>
      </c>
      <c r="J4596" s="3565">
        <v>1116910</v>
      </c>
      <c r="K4596" s="3565">
        <v>10150.959999999999</v>
      </c>
      <c r="L4596" s="3565">
        <v>12629.01</v>
      </c>
      <c r="M4596" s="3565">
        <v>1071234</v>
      </c>
      <c r="N4596" s="3565">
        <v>9735.84</v>
      </c>
      <c r="O4596" s="3566">
        <v>44176</v>
      </c>
    </row>
    <row r="4597" spans="1:15">
      <c r="A4597" s="3563" t="s">
        <v>8819</v>
      </c>
      <c r="B4597" s="3563" t="s">
        <v>5277</v>
      </c>
      <c r="C4597" s="3563" t="s">
        <v>4197</v>
      </c>
      <c r="D4597" s="3563" t="s">
        <v>6429</v>
      </c>
      <c r="E4597" s="3563" t="s">
        <v>6403</v>
      </c>
      <c r="F4597" s="3563" t="s">
        <v>4797</v>
      </c>
      <c r="G4597" s="3564">
        <v>101.69</v>
      </c>
      <c r="H4597" s="3564">
        <v>81.739999999999995</v>
      </c>
      <c r="I4597" s="3564">
        <v>19.95</v>
      </c>
      <c r="J4597" s="3565">
        <v>1063624</v>
      </c>
      <c r="K4597" s="3565">
        <v>10459.469999999999</v>
      </c>
      <c r="L4597" s="3565">
        <v>13012.28</v>
      </c>
      <c r="M4597" s="3565">
        <v>1021080</v>
      </c>
      <c r="N4597" s="3565">
        <v>10041.11</v>
      </c>
      <c r="O4597" s="3566">
        <v>44176</v>
      </c>
    </row>
    <row r="4598" spans="1:15">
      <c r="A4598" s="3563" t="s">
        <v>8820</v>
      </c>
      <c r="B4598" s="3563" t="s">
        <v>4196</v>
      </c>
      <c r="C4598" s="3563" t="s">
        <v>4197</v>
      </c>
      <c r="D4598" s="3563" t="s">
        <v>6429</v>
      </c>
      <c r="E4598" s="3563" t="s">
        <v>6403</v>
      </c>
      <c r="F4598" s="3563" t="s">
        <v>4797</v>
      </c>
      <c r="G4598" s="3564">
        <v>101.69</v>
      </c>
      <c r="H4598" s="3564">
        <v>81.739999999999995</v>
      </c>
      <c r="I4598" s="3564">
        <v>19.95</v>
      </c>
      <c r="J4598" s="3565">
        <v>1063624</v>
      </c>
      <c r="K4598" s="3565">
        <v>10459.469999999999</v>
      </c>
      <c r="L4598" s="3565">
        <v>13012.28</v>
      </c>
      <c r="M4598" s="3565">
        <v>0</v>
      </c>
      <c r="N4598" s="3565">
        <v>0</v>
      </c>
      <c r="O4598" s="3563" t="s">
        <v>3453</v>
      </c>
    </row>
    <row r="4599" spans="1:15">
      <c r="A4599" s="3563" t="s">
        <v>8821</v>
      </c>
      <c r="B4599" s="3563" t="s">
        <v>4196</v>
      </c>
      <c r="C4599" s="3563" t="s">
        <v>4197</v>
      </c>
      <c r="D4599" s="3563" t="s">
        <v>6429</v>
      </c>
      <c r="E4599" s="3563" t="s">
        <v>6403</v>
      </c>
      <c r="F4599" s="3563" t="s">
        <v>4797</v>
      </c>
      <c r="G4599" s="3564">
        <v>90.55</v>
      </c>
      <c r="H4599" s="3564">
        <v>72.78</v>
      </c>
      <c r="I4599" s="3564">
        <v>17.77</v>
      </c>
      <c r="J4599" s="3565">
        <v>884491</v>
      </c>
      <c r="K4599" s="3565">
        <v>9767.98</v>
      </c>
      <c r="L4599" s="3565">
        <v>12152.94</v>
      </c>
      <c r="M4599" s="3565">
        <v>0</v>
      </c>
      <c r="N4599" s="3565">
        <v>0</v>
      </c>
      <c r="O4599" s="3563" t="s">
        <v>3453</v>
      </c>
    </row>
    <row r="4600" spans="1:15">
      <c r="A4600" s="3563" t="s">
        <v>8822</v>
      </c>
      <c r="B4600" s="3563" t="s">
        <v>6422</v>
      </c>
      <c r="C4600" s="3563" t="s">
        <v>4197</v>
      </c>
      <c r="D4600" s="3563" t="s">
        <v>6429</v>
      </c>
      <c r="E4600" s="3563" t="s">
        <v>6403</v>
      </c>
      <c r="F4600" s="3563" t="s">
        <v>4797</v>
      </c>
      <c r="G4600" s="3564">
        <v>78.42</v>
      </c>
      <c r="H4600" s="3564">
        <v>63.03</v>
      </c>
      <c r="I4600" s="3564">
        <v>15.39</v>
      </c>
      <c r="J4600" s="3565">
        <v>774348</v>
      </c>
      <c r="K4600" s="3565">
        <v>9874.3700000000008</v>
      </c>
      <c r="L4600" s="3565">
        <v>12285.39</v>
      </c>
      <c r="M4600" s="3565">
        <v>704657</v>
      </c>
      <c r="N4600" s="3565">
        <v>8985.68</v>
      </c>
      <c r="O4600" s="3566">
        <v>44178</v>
      </c>
    </row>
    <row r="4601" spans="1:15">
      <c r="A4601" s="3563" t="s">
        <v>8823</v>
      </c>
      <c r="B4601" s="3563" t="s">
        <v>6422</v>
      </c>
      <c r="C4601" s="3563" t="s">
        <v>4197</v>
      </c>
      <c r="D4601" s="3563" t="s">
        <v>6429</v>
      </c>
      <c r="E4601" s="3563" t="s">
        <v>6403</v>
      </c>
      <c r="F4601" s="3563" t="s">
        <v>4797</v>
      </c>
      <c r="G4601" s="3564">
        <v>78.42</v>
      </c>
      <c r="H4601" s="3564">
        <v>63.03</v>
      </c>
      <c r="I4601" s="3564">
        <v>15.39</v>
      </c>
      <c r="J4601" s="3565">
        <v>791033</v>
      </c>
      <c r="K4601" s="3565">
        <v>10087.129999999999</v>
      </c>
      <c r="L4601" s="3565">
        <v>12550.1</v>
      </c>
      <c r="M4601" s="3565">
        <v>758392</v>
      </c>
      <c r="N4601" s="3565">
        <v>9670.9</v>
      </c>
      <c r="O4601" s="3566">
        <v>44176</v>
      </c>
    </row>
    <row r="4602" spans="1:15">
      <c r="A4602" s="3563" t="s">
        <v>8824</v>
      </c>
      <c r="B4602" s="3563" t="s">
        <v>5277</v>
      </c>
      <c r="C4602" s="3563" t="s">
        <v>4197</v>
      </c>
      <c r="D4602" s="3563" t="s">
        <v>6429</v>
      </c>
      <c r="E4602" s="3563" t="s">
        <v>6403</v>
      </c>
      <c r="F4602" s="3563" t="s">
        <v>4797</v>
      </c>
      <c r="G4602" s="3564">
        <v>110.03</v>
      </c>
      <c r="H4602" s="3564">
        <v>88.44</v>
      </c>
      <c r="I4602" s="3564">
        <v>21.59</v>
      </c>
      <c r="J4602" s="3565">
        <v>1104034</v>
      </c>
      <c r="K4602" s="3565">
        <v>10033.94</v>
      </c>
      <c r="L4602" s="3565">
        <v>12483.42</v>
      </c>
      <c r="M4602" s="3565">
        <v>1058873</v>
      </c>
      <c r="N4602" s="3565">
        <v>9623.49</v>
      </c>
      <c r="O4602" s="3566">
        <v>44176</v>
      </c>
    </row>
    <row r="4603" spans="1:15">
      <c r="A4603" s="3563" t="s">
        <v>8825</v>
      </c>
      <c r="B4603" s="3563" t="s">
        <v>6422</v>
      </c>
      <c r="C4603" s="3563" t="s">
        <v>4197</v>
      </c>
      <c r="D4603" s="3563" t="s">
        <v>6429</v>
      </c>
      <c r="E4603" s="3563" t="s">
        <v>6403</v>
      </c>
      <c r="F4603" s="3563" t="s">
        <v>4797</v>
      </c>
      <c r="G4603" s="3564">
        <v>101.69</v>
      </c>
      <c r="H4603" s="3564">
        <v>81.739999999999995</v>
      </c>
      <c r="I4603" s="3564">
        <v>19.95</v>
      </c>
      <c r="J4603" s="3565">
        <v>1073360</v>
      </c>
      <c r="K4603" s="3565">
        <v>10555.22</v>
      </c>
      <c r="L4603" s="3565">
        <v>13131.39</v>
      </c>
      <c r="M4603" s="3565">
        <v>1030426</v>
      </c>
      <c r="N4603" s="3565">
        <v>10133.01</v>
      </c>
      <c r="O4603" s="3566">
        <v>44176</v>
      </c>
    </row>
    <row r="4604" spans="1:15">
      <c r="A4604" s="3563" t="s">
        <v>8826</v>
      </c>
      <c r="B4604" s="3563" t="s">
        <v>6422</v>
      </c>
      <c r="C4604" s="3563" t="s">
        <v>4197</v>
      </c>
      <c r="D4604" s="3563" t="s">
        <v>6429</v>
      </c>
      <c r="E4604" s="3563" t="s">
        <v>6403</v>
      </c>
      <c r="F4604" s="3563" t="s">
        <v>4797</v>
      </c>
      <c r="G4604" s="3564">
        <v>101.69</v>
      </c>
      <c r="H4604" s="3564">
        <v>81.739999999999995</v>
      </c>
      <c r="I4604" s="3564">
        <v>19.95</v>
      </c>
      <c r="J4604" s="3565">
        <v>1073360</v>
      </c>
      <c r="K4604" s="3565">
        <v>10555.22</v>
      </c>
      <c r="L4604" s="3565">
        <v>13131.39</v>
      </c>
      <c r="M4604" s="3565">
        <v>1030426</v>
      </c>
      <c r="N4604" s="3565">
        <v>10133.01</v>
      </c>
      <c r="O4604" s="3566">
        <v>44176</v>
      </c>
    </row>
    <row r="4605" spans="1:15">
      <c r="A4605" s="3563" t="s">
        <v>8827</v>
      </c>
      <c r="B4605" s="3563" t="s">
        <v>6422</v>
      </c>
      <c r="C4605" s="3563" t="s">
        <v>4197</v>
      </c>
      <c r="D4605" s="3563" t="s">
        <v>6429</v>
      </c>
      <c r="E4605" s="3563" t="s">
        <v>6403</v>
      </c>
      <c r="F4605" s="3563" t="s">
        <v>4797</v>
      </c>
      <c r="G4605" s="3564">
        <v>90.55</v>
      </c>
      <c r="H4605" s="3564">
        <v>72.78</v>
      </c>
      <c r="I4605" s="3564">
        <v>17.77</v>
      </c>
      <c r="J4605" s="3565">
        <v>893161</v>
      </c>
      <c r="K4605" s="3565">
        <v>9863.73</v>
      </c>
      <c r="L4605" s="3565">
        <v>12272.07</v>
      </c>
      <c r="M4605" s="3565">
        <v>856435</v>
      </c>
      <c r="N4605" s="3565">
        <v>9458.14</v>
      </c>
      <c r="O4605" s="3566">
        <v>44176</v>
      </c>
    </row>
    <row r="4606" spans="1:15">
      <c r="A4606" s="3563" t="s">
        <v>8828</v>
      </c>
      <c r="B4606" s="3563" t="s">
        <v>5277</v>
      </c>
      <c r="C4606" s="3563" t="s">
        <v>4197</v>
      </c>
      <c r="D4606" s="3563" t="s">
        <v>6429</v>
      </c>
      <c r="E4606" s="3563" t="s">
        <v>6403</v>
      </c>
      <c r="F4606" s="3563" t="s">
        <v>4797</v>
      </c>
      <c r="G4606" s="3564">
        <v>78.42</v>
      </c>
      <c r="H4606" s="3564">
        <v>63.03</v>
      </c>
      <c r="I4606" s="3564">
        <v>15.39</v>
      </c>
      <c r="J4606" s="3565">
        <v>781856</v>
      </c>
      <c r="K4606" s="3565">
        <v>9970.11</v>
      </c>
      <c r="L4606" s="3565">
        <v>12404.51</v>
      </c>
      <c r="M4606" s="3565">
        <v>742764</v>
      </c>
      <c r="N4606" s="3565">
        <v>9471.61</v>
      </c>
      <c r="O4606" s="3566">
        <v>44176</v>
      </c>
    </row>
    <row r="4607" spans="1:15">
      <c r="A4607" s="3563" t="s">
        <v>8829</v>
      </c>
      <c r="B4607" s="3563" t="s">
        <v>5277</v>
      </c>
      <c r="C4607" s="3563" t="s">
        <v>4197</v>
      </c>
      <c r="D4607" s="3563" t="s">
        <v>6429</v>
      </c>
      <c r="E4607" s="3563" t="s">
        <v>6403</v>
      </c>
      <c r="F4607" s="3563" t="s">
        <v>4797</v>
      </c>
      <c r="G4607" s="3564">
        <v>78.42</v>
      </c>
      <c r="H4607" s="3564">
        <v>63.03</v>
      </c>
      <c r="I4607" s="3564">
        <v>15.39</v>
      </c>
      <c r="J4607" s="3565">
        <v>798541</v>
      </c>
      <c r="K4607" s="3565">
        <v>10182.870000000001</v>
      </c>
      <c r="L4607" s="3565">
        <v>12669.22</v>
      </c>
      <c r="M4607" s="3565">
        <v>725673</v>
      </c>
      <c r="N4607" s="3565">
        <v>9253.67</v>
      </c>
      <c r="O4607" s="3566">
        <v>44176</v>
      </c>
    </row>
    <row r="4608" spans="1:15">
      <c r="A4608" s="3563" t="s">
        <v>8830</v>
      </c>
      <c r="B4608" s="3563" t="s">
        <v>6422</v>
      </c>
      <c r="C4608" s="3563" t="s">
        <v>4197</v>
      </c>
      <c r="D4608" s="3563" t="s">
        <v>6429</v>
      </c>
      <c r="E4608" s="3563" t="s">
        <v>6403</v>
      </c>
      <c r="F4608" s="3563" t="s">
        <v>4797</v>
      </c>
      <c r="G4608" s="3564">
        <v>110.03</v>
      </c>
      <c r="H4608" s="3564">
        <v>88.44</v>
      </c>
      <c r="I4608" s="3564">
        <v>21.59</v>
      </c>
      <c r="J4608" s="3565">
        <v>1114569</v>
      </c>
      <c r="K4608" s="3565">
        <v>10129.68</v>
      </c>
      <c r="L4608" s="3565">
        <v>12602.54</v>
      </c>
      <c r="M4608" s="3565">
        <v>1068987</v>
      </c>
      <c r="N4608" s="3565">
        <v>9715.41</v>
      </c>
      <c r="O4608" s="3566">
        <v>44176</v>
      </c>
    </row>
    <row r="4609" spans="1:15">
      <c r="A4609" s="3563" t="s">
        <v>8831</v>
      </c>
      <c r="B4609" s="3563" t="s">
        <v>4196</v>
      </c>
      <c r="C4609" s="3563" t="s">
        <v>4197</v>
      </c>
      <c r="D4609" s="3563" t="s">
        <v>6429</v>
      </c>
      <c r="E4609" s="3563" t="s">
        <v>6403</v>
      </c>
      <c r="F4609" s="3563" t="s">
        <v>4797</v>
      </c>
      <c r="G4609" s="3564">
        <v>103.27</v>
      </c>
      <c r="H4609" s="3564">
        <v>81.739999999999995</v>
      </c>
      <c r="I4609" s="3564">
        <v>21.53</v>
      </c>
      <c r="J4609" s="3565">
        <v>1043895</v>
      </c>
      <c r="K4609" s="3565">
        <v>10108.41</v>
      </c>
      <c r="L4609" s="3565">
        <v>12770.92</v>
      </c>
      <c r="M4609" s="3565">
        <v>0</v>
      </c>
      <c r="N4609" s="3565">
        <v>0</v>
      </c>
      <c r="O4609" s="3563" t="s">
        <v>3453</v>
      </c>
    </row>
    <row r="4610" spans="1:15">
      <c r="A4610" s="3563" t="s">
        <v>8832</v>
      </c>
      <c r="B4610" s="3563" t="s">
        <v>4196</v>
      </c>
      <c r="C4610" s="3563" t="s">
        <v>4197</v>
      </c>
      <c r="D4610" s="3563" t="s">
        <v>6429</v>
      </c>
      <c r="E4610" s="3563" t="s">
        <v>6403</v>
      </c>
      <c r="F4610" s="3563" t="s">
        <v>4797</v>
      </c>
      <c r="G4610" s="3564">
        <v>103.27</v>
      </c>
      <c r="H4610" s="3564">
        <v>81.739999999999995</v>
      </c>
      <c r="I4610" s="3564">
        <v>21.53</v>
      </c>
      <c r="J4610" s="3565">
        <v>1043895</v>
      </c>
      <c r="K4610" s="3565">
        <v>10108.41</v>
      </c>
      <c r="L4610" s="3565">
        <v>12770.92</v>
      </c>
      <c r="M4610" s="3565">
        <v>0</v>
      </c>
      <c r="N4610" s="3565">
        <v>0</v>
      </c>
      <c r="O4610" s="3563" t="s">
        <v>3453</v>
      </c>
    </row>
    <row r="4611" spans="1:15">
      <c r="A4611" s="3563" t="s">
        <v>8833</v>
      </c>
      <c r="B4611" s="3563" t="s">
        <v>4196</v>
      </c>
      <c r="C4611" s="3563" t="s">
        <v>4197</v>
      </c>
      <c r="D4611" s="3563" t="s">
        <v>6429</v>
      </c>
      <c r="E4611" s="3563" t="s">
        <v>6403</v>
      </c>
      <c r="F4611" s="3563" t="s">
        <v>4797</v>
      </c>
      <c r="G4611" s="3564">
        <v>91.95</v>
      </c>
      <c r="H4611" s="3564">
        <v>72.78</v>
      </c>
      <c r="I4611" s="3564">
        <v>19.170000000000002</v>
      </c>
      <c r="J4611" s="3565">
        <v>876646</v>
      </c>
      <c r="K4611" s="3565">
        <v>9533.94</v>
      </c>
      <c r="L4611" s="3565">
        <v>12045.15</v>
      </c>
      <c r="M4611" s="3565">
        <v>0</v>
      </c>
      <c r="N4611" s="3565">
        <v>0</v>
      </c>
      <c r="O4611" s="3563" t="s">
        <v>3453</v>
      </c>
    </row>
    <row r="4612" spans="1:15">
      <c r="A4612" s="3563" t="s">
        <v>8834</v>
      </c>
      <c r="B4612" s="3563" t="s">
        <v>6422</v>
      </c>
      <c r="C4612" s="3563" t="s">
        <v>4197</v>
      </c>
      <c r="D4612" s="3563" t="s">
        <v>6429</v>
      </c>
      <c r="E4612" s="3563" t="s">
        <v>6403</v>
      </c>
      <c r="F4612" s="3563" t="s">
        <v>4797</v>
      </c>
      <c r="G4612" s="3564">
        <v>79.63</v>
      </c>
      <c r="H4612" s="3564">
        <v>63.03</v>
      </c>
      <c r="I4612" s="3564">
        <v>16.600000000000001</v>
      </c>
      <c r="J4612" s="3565">
        <v>759188</v>
      </c>
      <c r="K4612" s="3565">
        <v>9533.94</v>
      </c>
      <c r="L4612" s="3565">
        <v>12044.87</v>
      </c>
      <c r="M4612" s="3565">
        <v>721227</v>
      </c>
      <c r="N4612" s="3565">
        <v>9057.23</v>
      </c>
      <c r="O4612" s="3566">
        <v>44185</v>
      </c>
    </row>
    <row r="4613" spans="1:15">
      <c r="A4613" s="3563" t="s">
        <v>8835</v>
      </c>
      <c r="B4613" s="3563" t="s">
        <v>4811</v>
      </c>
      <c r="C4613" s="3563" t="s">
        <v>4197</v>
      </c>
      <c r="D4613" s="3563" t="s">
        <v>6429</v>
      </c>
      <c r="E4613" s="3563" t="s">
        <v>6403</v>
      </c>
      <c r="F4613" s="3563" t="s">
        <v>4797</v>
      </c>
      <c r="G4613" s="3564">
        <v>79.63</v>
      </c>
      <c r="H4613" s="3564">
        <v>63.03</v>
      </c>
      <c r="I4613" s="3564">
        <v>16.600000000000001</v>
      </c>
      <c r="J4613" s="3565">
        <v>766812</v>
      </c>
      <c r="K4613" s="3565">
        <v>9629.69</v>
      </c>
      <c r="L4613" s="3565">
        <v>12165.83</v>
      </c>
      <c r="M4613" s="3565">
        <v>728472</v>
      </c>
      <c r="N4613" s="3565">
        <v>9148.2099999999991</v>
      </c>
      <c r="O4613" s="3566">
        <v>44185</v>
      </c>
    </row>
    <row r="4614" spans="1:15">
      <c r="A4614" s="3563" t="s">
        <v>8836</v>
      </c>
      <c r="B4614" s="3563" t="s">
        <v>5277</v>
      </c>
      <c r="C4614" s="3563" t="s">
        <v>4197</v>
      </c>
      <c r="D4614" s="3563" t="s">
        <v>6429</v>
      </c>
      <c r="E4614" s="3563" t="s">
        <v>6403</v>
      </c>
      <c r="F4614" s="3563" t="s">
        <v>4797</v>
      </c>
      <c r="G4614" s="3564">
        <v>101.69</v>
      </c>
      <c r="H4614" s="3564">
        <v>81.739999999999995</v>
      </c>
      <c r="I4614" s="3564">
        <v>19.95</v>
      </c>
      <c r="J4614" s="3565">
        <v>1072278</v>
      </c>
      <c r="K4614" s="3565">
        <v>10544.58</v>
      </c>
      <c r="L4614" s="3565">
        <v>13118.16</v>
      </c>
      <c r="M4614" s="3565">
        <v>1029387</v>
      </c>
      <c r="N4614" s="3565">
        <v>10122.790000000001</v>
      </c>
      <c r="O4614" s="3566">
        <v>44181</v>
      </c>
    </row>
    <row r="4615" spans="1:15">
      <c r="A4615" s="3563" t="s">
        <v>8837</v>
      </c>
      <c r="B4615" s="3563" t="s">
        <v>5277</v>
      </c>
      <c r="C4615" s="3563" t="s">
        <v>4197</v>
      </c>
      <c r="D4615" s="3563" t="s">
        <v>6429</v>
      </c>
      <c r="E4615" s="3563" t="s">
        <v>6403</v>
      </c>
      <c r="F4615" s="3563" t="s">
        <v>4797</v>
      </c>
      <c r="G4615" s="3564">
        <v>101.69</v>
      </c>
      <c r="H4615" s="3564">
        <v>81.739999999999995</v>
      </c>
      <c r="I4615" s="3564">
        <v>19.95</v>
      </c>
      <c r="J4615" s="3565">
        <v>1072278</v>
      </c>
      <c r="K4615" s="3565">
        <v>10544.58</v>
      </c>
      <c r="L4615" s="3565">
        <v>13118.16</v>
      </c>
      <c r="M4615" s="3565">
        <v>1072278</v>
      </c>
      <c r="N4615" s="3565">
        <v>10544.58</v>
      </c>
      <c r="O4615" s="3566">
        <v>44176</v>
      </c>
    </row>
    <row r="4616" spans="1:15">
      <c r="A4616" s="3563" t="s">
        <v>8838</v>
      </c>
      <c r="B4616" s="3563" t="s">
        <v>5277</v>
      </c>
      <c r="C4616" s="3563" t="s">
        <v>4197</v>
      </c>
      <c r="D4616" s="3563" t="s">
        <v>6429</v>
      </c>
      <c r="E4616" s="3563" t="s">
        <v>6403</v>
      </c>
      <c r="F4616" s="3563" t="s">
        <v>4797</v>
      </c>
      <c r="G4616" s="3564">
        <v>90.55</v>
      </c>
      <c r="H4616" s="3564">
        <v>72.78</v>
      </c>
      <c r="I4616" s="3564">
        <v>17.77</v>
      </c>
      <c r="J4616" s="3565">
        <v>892197</v>
      </c>
      <c r="K4616" s="3565">
        <v>9853.09</v>
      </c>
      <c r="L4616" s="3565">
        <v>12258.82</v>
      </c>
      <c r="M4616" s="3565">
        <v>855510</v>
      </c>
      <c r="N4616" s="3565">
        <v>9447.93</v>
      </c>
      <c r="O4616" s="3566">
        <v>44176</v>
      </c>
    </row>
    <row r="4617" spans="1:15">
      <c r="A4617" s="3563" t="s">
        <v>8839</v>
      </c>
      <c r="B4617" s="3563" t="s">
        <v>5277</v>
      </c>
      <c r="C4617" s="3563" t="s">
        <v>4197</v>
      </c>
      <c r="D4617" s="3563" t="s">
        <v>6429</v>
      </c>
      <c r="E4617" s="3563" t="s">
        <v>6403</v>
      </c>
      <c r="F4617" s="3563" t="s">
        <v>4797</v>
      </c>
      <c r="G4617" s="3564">
        <v>78.42</v>
      </c>
      <c r="H4617" s="3564">
        <v>63.03</v>
      </c>
      <c r="I4617" s="3564">
        <v>15.39</v>
      </c>
      <c r="J4617" s="3565">
        <v>781022</v>
      </c>
      <c r="K4617" s="3565">
        <v>9959.4699999999993</v>
      </c>
      <c r="L4617" s="3565">
        <v>12391.27</v>
      </c>
      <c r="M4617" s="3565">
        <v>741971</v>
      </c>
      <c r="N4617" s="3565">
        <v>9461.5</v>
      </c>
      <c r="O4617" s="3566">
        <v>44176</v>
      </c>
    </row>
    <row r="4618" spans="1:15">
      <c r="A4618" s="3563" t="s">
        <v>8840</v>
      </c>
      <c r="B4618" s="3563" t="s">
        <v>5277</v>
      </c>
      <c r="C4618" s="3563" t="s">
        <v>4197</v>
      </c>
      <c r="D4618" s="3563" t="s">
        <v>6429</v>
      </c>
      <c r="E4618" s="3563" t="s">
        <v>6403</v>
      </c>
      <c r="F4618" s="3563" t="s">
        <v>4797</v>
      </c>
      <c r="G4618" s="3564">
        <v>78.42</v>
      </c>
      <c r="H4618" s="3564">
        <v>63.03</v>
      </c>
      <c r="I4618" s="3564">
        <v>15.39</v>
      </c>
      <c r="J4618" s="3565">
        <v>797707</v>
      </c>
      <c r="K4618" s="3565">
        <v>10172.24</v>
      </c>
      <c r="L4618" s="3565">
        <v>12655.99</v>
      </c>
      <c r="M4618" s="3565">
        <v>725913</v>
      </c>
      <c r="N4618" s="3565">
        <v>9256.73</v>
      </c>
      <c r="O4618" s="3566">
        <v>44176</v>
      </c>
    </row>
    <row r="4619" spans="1:15">
      <c r="A4619" s="3563" t="s">
        <v>8841</v>
      </c>
      <c r="B4619" s="3563" t="s">
        <v>6422</v>
      </c>
      <c r="C4619" s="3563" t="s">
        <v>4197</v>
      </c>
      <c r="D4619" s="3563" t="s">
        <v>6429</v>
      </c>
      <c r="E4619" s="3563" t="s">
        <v>6403</v>
      </c>
      <c r="F4619" s="3563" t="s">
        <v>4797</v>
      </c>
      <c r="G4619" s="3564">
        <v>110.03</v>
      </c>
      <c r="H4619" s="3564">
        <v>88.44</v>
      </c>
      <c r="I4619" s="3564">
        <v>21.59</v>
      </c>
      <c r="J4619" s="3565">
        <v>1113399</v>
      </c>
      <c r="K4619" s="3565">
        <v>10119.049999999999</v>
      </c>
      <c r="L4619" s="3565">
        <v>12589.31</v>
      </c>
      <c r="M4619" s="3565">
        <v>1067864</v>
      </c>
      <c r="N4619" s="3565">
        <v>9705.2099999999991</v>
      </c>
      <c r="O4619" s="3566">
        <v>44176</v>
      </c>
    </row>
    <row r="4620" spans="1:15">
      <c r="A4620" s="3563" t="s">
        <v>8842</v>
      </c>
      <c r="B4620" s="3563" t="s">
        <v>4811</v>
      </c>
      <c r="C4620" s="3563" t="s">
        <v>4197</v>
      </c>
      <c r="D4620" s="3563" t="s">
        <v>6429</v>
      </c>
      <c r="E4620" s="3563" t="s">
        <v>6403</v>
      </c>
      <c r="F4620" s="3563" t="s">
        <v>4797</v>
      </c>
      <c r="G4620" s="3564">
        <v>101.69</v>
      </c>
      <c r="H4620" s="3564">
        <v>81.739999999999995</v>
      </c>
      <c r="I4620" s="3564">
        <v>19.95</v>
      </c>
      <c r="J4620" s="3565">
        <v>1071196</v>
      </c>
      <c r="K4620" s="3565">
        <v>10533.94</v>
      </c>
      <c r="L4620" s="3565">
        <v>13104.92</v>
      </c>
      <c r="M4620" s="3565">
        <v>1031905</v>
      </c>
      <c r="N4620" s="3565">
        <v>10147.56</v>
      </c>
      <c r="O4620" s="3566">
        <v>44176</v>
      </c>
    </row>
    <row r="4621" spans="1:15">
      <c r="A4621" s="3563" t="s">
        <v>8843</v>
      </c>
      <c r="B4621" s="3563" t="s">
        <v>4196</v>
      </c>
      <c r="C4621" s="3563" t="s">
        <v>4197</v>
      </c>
      <c r="D4621" s="3563" t="s">
        <v>6429</v>
      </c>
      <c r="E4621" s="3563" t="s">
        <v>6403</v>
      </c>
      <c r="F4621" s="3563" t="s">
        <v>4797</v>
      </c>
      <c r="G4621" s="3564">
        <v>101.69</v>
      </c>
      <c r="H4621" s="3564">
        <v>81.739999999999995</v>
      </c>
      <c r="I4621" s="3564">
        <v>19.95</v>
      </c>
      <c r="J4621" s="3565">
        <v>1071196</v>
      </c>
      <c r="K4621" s="3565">
        <v>10533.94</v>
      </c>
      <c r="L4621" s="3565">
        <v>13104.92</v>
      </c>
      <c r="M4621" s="3565">
        <v>0</v>
      </c>
      <c r="N4621" s="3565">
        <v>0</v>
      </c>
      <c r="O4621" s="3563" t="s">
        <v>3453</v>
      </c>
    </row>
    <row r="4622" spans="1:15">
      <c r="A4622" s="3563" t="s">
        <v>8844</v>
      </c>
      <c r="B4622" s="3563" t="s">
        <v>6422</v>
      </c>
      <c r="C4622" s="3563" t="s">
        <v>4197</v>
      </c>
      <c r="D4622" s="3563" t="s">
        <v>6429</v>
      </c>
      <c r="E4622" s="3563" t="s">
        <v>6403</v>
      </c>
      <c r="F4622" s="3563" t="s">
        <v>4797</v>
      </c>
      <c r="G4622" s="3564">
        <v>90.55</v>
      </c>
      <c r="H4622" s="3564">
        <v>72.78</v>
      </c>
      <c r="I4622" s="3564">
        <v>17.77</v>
      </c>
      <c r="J4622" s="3565">
        <v>910500</v>
      </c>
      <c r="K4622" s="3565">
        <v>10055.219999999999</v>
      </c>
      <c r="L4622" s="3565">
        <v>12510.31</v>
      </c>
      <c r="M4622" s="3565">
        <v>827555</v>
      </c>
      <c r="N4622" s="3565">
        <v>9139.2000000000007</v>
      </c>
      <c r="O4622" s="3566">
        <v>44176</v>
      </c>
    </row>
    <row r="4623" spans="1:15">
      <c r="A4623" s="3563" t="s">
        <v>8845</v>
      </c>
      <c r="B4623" s="3563" t="s">
        <v>5277</v>
      </c>
      <c r="C4623" s="3563" t="s">
        <v>4197</v>
      </c>
      <c r="D4623" s="3563" t="s">
        <v>6429</v>
      </c>
      <c r="E4623" s="3563" t="s">
        <v>6403</v>
      </c>
      <c r="F4623" s="3563" t="s">
        <v>4797</v>
      </c>
      <c r="G4623" s="3564">
        <v>78.42</v>
      </c>
      <c r="H4623" s="3564">
        <v>63.03</v>
      </c>
      <c r="I4623" s="3564">
        <v>15.39</v>
      </c>
      <c r="J4623" s="3565">
        <v>780188</v>
      </c>
      <c r="K4623" s="3565">
        <v>9948.84</v>
      </c>
      <c r="L4623" s="3565">
        <v>12378.04</v>
      </c>
      <c r="M4623" s="3565">
        <v>741179</v>
      </c>
      <c r="N4623" s="3565">
        <v>9451.4</v>
      </c>
      <c r="O4623" s="3566">
        <v>44177</v>
      </c>
    </row>
    <row r="4624" spans="1:15">
      <c r="A4624" s="3563" t="s">
        <v>8846</v>
      </c>
      <c r="B4624" s="3563" t="s">
        <v>5277</v>
      </c>
      <c r="C4624" s="3563" t="s">
        <v>4197</v>
      </c>
      <c r="D4624" s="3563" t="s">
        <v>6429</v>
      </c>
      <c r="E4624" s="3563" t="s">
        <v>6403</v>
      </c>
      <c r="F4624" s="3563" t="s">
        <v>4797</v>
      </c>
      <c r="G4624" s="3564">
        <v>78.42</v>
      </c>
      <c r="H4624" s="3564">
        <v>63.03</v>
      </c>
      <c r="I4624" s="3564">
        <v>15.39</v>
      </c>
      <c r="J4624" s="3565">
        <v>796873</v>
      </c>
      <c r="K4624" s="3565">
        <v>10161.6</v>
      </c>
      <c r="L4624" s="3565">
        <v>12642.76</v>
      </c>
      <c r="M4624" s="3565">
        <v>756030</v>
      </c>
      <c r="N4624" s="3565">
        <v>9640.7800000000007</v>
      </c>
      <c r="O4624" s="3566">
        <v>44176</v>
      </c>
    </row>
    <row r="4625" spans="1:15">
      <c r="A4625" s="3563" t="s">
        <v>8847</v>
      </c>
      <c r="B4625" s="3563" t="s">
        <v>5277</v>
      </c>
      <c r="C4625" s="3563" t="s">
        <v>4197</v>
      </c>
      <c r="D4625" s="3563" t="s">
        <v>6429</v>
      </c>
      <c r="E4625" s="3563" t="s">
        <v>6403</v>
      </c>
      <c r="F4625" s="3563" t="s">
        <v>4797</v>
      </c>
      <c r="G4625" s="3564">
        <v>110.03</v>
      </c>
      <c r="H4625" s="3564">
        <v>88.44</v>
      </c>
      <c r="I4625" s="3564">
        <v>21.59</v>
      </c>
      <c r="J4625" s="3565">
        <v>1112228</v>
      </c>
      <c r="K4625" s="3565">
        <v>10108.41</v>
      </c>
      <c r="L4625" s="3565">
        <v>12576.07</v>
      </c>
      <c r="M4625" s="3565">
        <v>1067739</v>
      </c>
      <c r="N4625" s="3565">
        <v>9704.07</v>
      </c>
      <c r="O4625" s="3566">
        <v>44177</v>
      </c>
    </row>
    <row r="4626" spans="1:15">
      <c r="A4626" s="3563" t="s">
        <v>8848</v>
      </c>
      <c r="B4626" s="3563" t="s">
        <v>4811</v>
      </c>
      <c r="C4626" s="3563" t="s">
        <v>4197</v>
      </c>
      <c r="D4626" s="3563" t="s">
        <v>6429</v>
      </c>
      <c r="E4626" s="3563" t="s">
        <v>6403</v>
      </c>
      <c r="F4626" s="3563" t="s">
        <v>4797</v>
      </c>
      <c r="G4626" s="3564">
        <v>101.69</v>
      </c>
      <c r="H4626" s="3564">
        <v>81.739999999999995</v>
      </c>
      <c r="I4626" s="3564">
        <v>19.95</v>
      </c>
      <c r="J4626" s="3565">
        <v>1037660</v>
      </c>
      <c r="K4626" s="3565">
        <v>10204.15</v>
      </c>
      <c r="L4626" s="3565">
        <v>12694.64</v>
      </c>
      <c r="M4626" s="3565">
        <v>996154</v>
      </c>
      <c r="N4626" s="3565">
        <v>9795.99</v>
      </c>
      <c r="O4626" s="3566">
        <v>44185</v>
      </c>
    </row>
    <row r="4627" spans="1:15">
      <c r="A4627" s="3563" t="s">
        <v>8849</v>
      </c>
      <c r="B4627" s="3563" t="s">
        <v>5277</v>
      </c>
      <c r="C4627" s="3563" t="s">
        <v>4197</v>
      </c>
      <c r="D4627" s="3563" t="s">
        <v>6429</v>
      </c>
      <c r="E4627" s="3563" t="s">
        <v>6403</v>
      </c>
      <c r="F4627" s="3563" t="s">
        <v>4797</v>
      </c>
      <c r="G4627" s="3564">
        <v>101.69</v>
      </c>
      <c r="H4627" s="3564">
        <v>81.739999999999995</v>
      </c>
      <c r="I4627" s="3564">
        <v>19.95</v>
      </c>
      <c r="J4627" s="3565">
        <v>1037660</v>
      </c>
      <c r="K4627" s="3565">
        <v>10204.15</v>
      </c>
      <c r="L4627" s="3565">
        <v>12694.64</v>
      </c>
      <c r="M4627" s="3565">
        <v>955893</v>
      </c>
      <c r="N4627" s="3565">
        <v>9400.07</v>
      </c>
      <c r="O4627" s="3566">
        <v>44185</v>
      </c>
    </row>
    <row r="4628" spans="1:15">
      <c r="A4628" s="3563" t="s">
        <v>8850</v>
      </c>
      <c r="B4628" s="3563" t="s">
        <v>5277</v>
      </c>
      <c r="C4628" s="3563" t="s">
        <v>4197</v>
      </c>
      <c r="D4628" s="3563" t="s">
        <v>6429</v>
      </c>
      <c r="E4628" s="3563" t="s">
        <v>6403</v>
      </c>
      <c r="F4628" s="3563" t="s">
        <v>4797</v>
      </c>
      <c r="G4628" s="3564">
        <v>90.55</v>
      </c>
      <c r="H4628" s="3564">
        <v>72.78</v>
      </c>
      <c r="I4628" s="3564">
        <v>17.77</v>
      </c>
      <c r="J4628" s="3565">
        <v>880638</v>
      </c>
      <c r="K4628" s="3565">
        <v>9725.43</v>
      </c>
      <c r="L4628" s="3565">
        <v>12100</v>
      </c>
      <c r="M4628" s="3565">
        <v>844413</v>
      </c>
      <c r="N4628" s="3565">
        <v>9325.3799999999992</v>
      </c>
      <c r="O4628" s="3566">
        <v>44176</v>
      </c>
    </row>
    <row r="4629" spans="1:15">
      <c r="A4629" s="3563" t="s">
        <v>8851</v>
      </c>
      <c r="B4629" s="3563" t="s">
        <v>6422</v>
      </c>
      <c r="C4629" s="3563" t="s">
        <v>4197</v>
      </c>
      <c r="D4629" s="3563" t="s">
        <v>6429</v>
      </c>
      <c r="E4629" s="3563" t="s">
        <v>6403</v>
      </c>
      <c r="F4629" s="3563" t="s">
        <v>4797</v>
      </c>
      <c r="G4629" s="3564">
        <v>78.42</v>
      </c>
      <c r="H4629" s="3564">
        <v>63.03</v>
      </c>
      <c r="I4629" s="3564">
        <v>15.39</v>
      </c>
      <c r="J4629" s="3565">
        <v>771011</v>
      </c>
      <c r="K4629" s="3565">
        <v>9831.82</v>
      </c>
      <c r="L4629" s="3565">
        <v>12232.44</v>
      </c>
      <c r="M4629" s="3565">
        <v>740171</v>
      </c>
      <c r="N4629" s="3565">
        <v>9438.5499999999993</v>
      </c>
      <c r="O4629" s="3566">
        <v>44181</v>
      </c>
    </row>
    <row r="4630" spans="1:15">
      <c r="A4630" s="3563" t="s">
        <v>8852</v>
      </c>
      <c r="B4630" s="3563" t="s">
        <v>6422</v>
      </c>
      <c r="C4630" s="3563" t="s">
        <v>4197</v>
      </c>
      <c r="D4630" s="3563" t="s">
        <v>6429</v>
      </c>
      <c r="E4630" s="3563" t="s">
        <v>6403</v>
      </c>
      <c r="F4630" s="3563" t="s">
        <v>4797</v>
      </c>
      <c r="G4630" s="3564">
        <v>78.42</v>
      </c>
      <c r="H4630" s="3564">
        <v>63.03</v>
      </c>
      <c r="I4630" s="3564">
        <v>15.39</v>
      </c>
      <c r="J4630" s="3565">
        <v>771011</v>
      </c>
      <c r="K4630" s="3565">
        <v>9831.82</v>
      </c>
      <c r="L4630" s="3565">
        <v>12232.44</v>
      </c>
      <c r="M4630" s="3565">
        <v>724751</v>
      </c>
      <c r="N4630" s="3565">
        <v>9241.92</v>
      </c>
      <c r="O4630" s="3566">
        <v>44177</v>
      </c>
    </row>
    <row r="4631" spans="1:15">
      <c r="A4631" s="3563" t="s">
        <v>8853</v>
      </c>
      <c r="B4631" s="3563" t="s">
        <v>4196</v>
      </c>
      <c r="C4631" s="3563" t="s">
        <v>4197</v>
      </c>
      <c r="D4631" s="3563" t="s">
        <v>6429</v>
      </c>
      <c r="E4631" s="3563" t="s">
        <v>6403</v>
      </c>
      <c r="F4631" s="3563" t="s">
        <v>4797</v>
      </c>
      <c r="G4631" s="3564">
        <v>110.03</v>
      </c>
      <c r="H4631" s="3564">
        <v>88.44</v>
      </c>
      <c r="I4631" s="3564">
        <v>21.59</v>
      </c>
      <c r="J4631" s="3565">
        <v>1075942</v>
      </c>
      <c r="K4631" s="3565">
        <v>9778.6200000000008</v>
      </c>
      <c r="L4631" s="3565">
        <v>12165.78</v>
      </c>
      <c r="M4631" s="3565">
        <v>0</v>
      </c>
      <c r="N4631" s="3565">
        <v>0</v>
      </c>
      <c r="O4631" s="3563" t="s">
        <v>3453</v>
      </c>
    </row>
    <row r="4632" spans="1:15">
      <c r="A4632" s="3563" t="s">
        <v>8854</v>
      </c>
      <c r="B4632" s="3563" t="s">
        <v>5277</v>
      </c>
      <c r="C4632" s="3563" t="s">
        <v>4197</v>
      </c>
      <c r="D4632" s="3563" t="s">
        <v>6429</v>
      </c>
      <c r="E4632" s="3563" t="s">
        <v>6403</v>
      </c>
      <c r="F4632" s="3563" t="s">
        <v>4797</v>
      </c>
      <c r="G4632" s="3564">
        <v>101.69</v>
      </c>
      <c r="H4632" s="3564">
        <v>81.739999999999995</v>
      </c>
      <c r="I4632" s="3564">
        <v>19.95</v>
      </c>
      <c r="J4632" s="3565">
        <v>1040906</v>
      </c>
      <c r="K4632" s="3565">
        <v>10236.07</v>
      </c>
      <c r="L4632" s="3565">
        <v>12734.35</v>
      </c>
      <c r="M4632" s="3565">
        <v>947225</v>
      </c>
      <c r="N4632" s="3565">
        <v>9314.83</v>
      </c>
      <c r="O4632" s="3566">
        <v>44184</v>
      </c>
    </row>
    <row r="4633" spans="1:15">
      <c r="A4633" s="3563" t="s">
        <v>8855</v>
      </c>
      <c r="B4633" s="3563" t="s">
        <v>4811</v>
      </c>
      <c r="C4633" s="3563" t="s">
        <v>4197</v>
      </c>
      <c r="D4633" s="3563" t="s">
        <v>6429</v>
      </c>
      <c r="E4633" s="3563" t="s">
        <v>6403</v>
      </c>
      <c r="F4633" s="3563" t="s">
        <v>4797</v>
      </c>
      <c r="G4633" s="3564">
        <v>101.69</v>
      </c>
      <c r="H4633" s="3564">
        <v>81.739999999999995</v>
      </c>
      <c r="I4633" s="3564">
        <v>19.95</v>
      </c>
      <c r="J4633" s="3565">
        <v>1040906</v>
      </c>
      <c r="K4633" s="3565">
        <v>10236.07</v>
      </c>
      <c r="L4633" s="3565">
        <v>12734.35</v>
      </c>
      <c r="M4633" s="3565">
        <v>1009679</v>
      </c>
      <c r="N4633" s="3565">
        <v>9928.99</v>
      </c>
      <c r="O4633" s="3566">
        <v>44191</v>
      </c>
    </row>
    <row r="4634" spans="1:15">
      <c r="A4634" s="3563" t="s">
        <v>8856</v>
      </c>
      <c r="B4634" s="3563" t="s">
        <v>6422</v>
      </c>
      <c r="C4634" s="3563" t="s">
        <v>4197</v>
      </c>
      <c r="D4634" s="3563" t="s">
        <v>6429</v>
      </c>
      <c r="E4634" s="3563" t="s">
        <v>6403</v>
      </c>
      <c r="F4634" s="3563" t="s">
        <v>4797</v>
      </c>
      <c r="G4634" s="3564">
        <v>90.55</v>
      </c>
      <c r="H4634" s="3564">
        <v>72.78</v>
      </c>
      <c r="I4634" s="3564">
        <v>17.77</v>
      </c>
      <c r="J4634" s="3565">
        <v>863298</v>
      </c>
      <c r="K4634" s="3565">
        <v>9533.94</v>
      </c>
      <c r="L4634" s="3565">
        <v>11861.75</v>
      </c>
      <c r="M4634" s="3565">
        <v>827767</v>
      </c>
      <c r="N4634" s="3565">
        <v>9141.5499999999993</v>
      </c>
      <c r="O4634" s="3566">
        <v>44180</v>
      </c>
    </row>
    <row r="4635" spans="1:15">
      <c r="A4635" s="3563" t="s">
        <v>8857</v>
      </c>
      <c r="B4635" s="3563" t="s">
        <v>4811</v>
      </c>
      <c r="C4635" s="3563" t="s">
        <v>4197</v>
      </c>
      <c r="D4635" s="3563" t="s">
        <v>6429</v>
      </c>
      <c r="E4635" s="3563" t="s">
        <v>6403</v>
      </c>
      <c r="F4635" s="3563" t="s">
        <v>4797</v>
      </c>
      <c r="G4635" s="3564">
        <v>78.42</v>
      </c>
      <c r="H4635" s="3564">
        <v>63.03</v>
      </c>
      <c r="I4635" s="3564">
        <v>15.39</v>
      </c>
      <c r="J4635" s="3565">
        <v>748486</v>
      </c>
      <c r="K4635" s="3565">
        <v>9544.58</v>
      </c>
      <c r="L4635" s="3565">
        <v>11875.08</v>
      </c>
      <c r="M4635" s="3565">
        <v>680123</v>
      </c>
      <c r="N4635" s="3565">
        <v>8672.83</v>
      </c>
      <c r="O4635" s="3566">
        <v>44178</v>
      </c>
    </row>
    <row r="4636" spans="1:15">
      <c r="A4636" s="3563" t="s">
        <v>8858</v>
      </c>
      <c r="B4636" s="3563" t="s">
        <v>5277</v>
      </c>
      <c r="C4636" s="3563" t="s">
        <v>4197</v>
      </c>
      <c r="D4636" s="3563" t="s">
        <v>6429</v>
      </c>
      <c r="E4636" s="3563" t="s">
        <v>6403</v>
      </c>
      <c r="F4636" s="3563" t="s">
        <v>4797</v>
      </c>
      <c r="G4636" s="3564">
        <v>78.42</v>
      </c>
      <c r="H4636" s="3564">
        <v>63.03</v>
      </c>
      <c r="I4636" s="3564">
        <v>15.39</v>
      </c>
      <c r="J4636" s="3565">
        <v>765171</v>
      </c>
      <c r="K4636" s="3565">
        <v>9757.35</v>
      </c>
      <c r="L4636" s="3565">
        <v>12139.79</v>
      </c>
      <c r="M4636" s="3565">
        <v>734565</v>
      </c>
      <c r="N4636" s="3565">
        <v>9367.06</v>
      </c>
      <c r="O4636" s="3566">
        <v>44178</v>
      </c>
    </row>
    <row r="4637" spans="1:15">
      <c r="A4637" s="3563" t="s">
        <v>8859</v>
      </c>
      <c r="B4637" s="3563" t="s">
        <v>4811</v>
      </c>
      <c r="C4637" s="3563" t="s">
        <v>4197</v>
      </c>
      <c r="D4637" s="3563" t="s">
        <v>6429</v>
      </c>
      <c r="E4637" s="3563" t="s">
        <v>6403</v>
      </c>
      <c r="F4637" s="3563" t="s">
        <v>4797</v>
      </c>
      <c r="G4637" s="3564">
        <v>110.03</v>
      </c>
      <c r="H4637" s="3564">
        <v>88.44</v>
      </c>
      <c r="I4637" s="3564">
        <v>21.59</v>
      </c>
      <c r="J4637" s="3565">
        <v>1079453</v>
      </c>
      <c r="K4637" s="3565">
        <v>9810.5300000000007</v>
      </c>
      <c r="L4637" s="3565">
        <v>12205.48</v>
      </c>
      <c r="M4637" s="3565">
        <v>1079453</v>
      </c>
      <c r="N4637" s="3565">
        <v>9810.5300000000007</v>
      </c>
      <c r="O4637" s="3566">
        <v>44185</v>
      </c>
    </row>
    <row r="4638" spans="1:15">
      <c r="A4638" s="3563" t="s">
        <v>8860</v>
      </c>
      <c r="B4638" s="3563" t="s">
        <v>5277</v>
      </c>
      <c r="C4638" s="3563" t="s">
        <v>4197</v>
      </c>
      <c r="D4638" s="3563" t="s">
        <v>6429</v>
      </c>
      <c r="E4638" s="3563" t="s">
        <v>6403</v>
      </c>
      <c r="F4638" s="3563" t="s">
        <v>4797</v>
      </c>
      <c r="G4638" s="3564">
        <v>101.69</v>
      </c>
      <c r="H4638" s="3564">
        <v>81.739999999999995</v>
      </c>
      <c r="I4638" s="3564">
        <v>19.95</v>
      </c>
      <c r="J4638" s="3565">
        <v>1053888</v>
      </c>
      <c r="K4638" s="3565">
        <v>10363.73</v>
      </c>
      <c r="L4638" s="3565">
        <v>12893.17</v>
      </c>
      <c r="M4638" s="3565">
        <v>1011733</v>
      </c>
      <c r="N4638" s="3565">
        <v>9949.19</v>
      </c>
      <c r="O4638" s="3566">
        <v>44186</v>
      </c>
    </row>
    <row r="4639" spans="1:15">
      <c r="A4639" s="3563" t="s">
        <v>8861</v>
      </c>
      <c r="B4639" s="3563" t="s">
        <v>5277</v>
      </c>
      <c r="C4639" s="3563" t="s">
        <v>4197</v>
      </c>
      <c r="D4639" s="3563" t="s">
        <v>6429</v>
      </c>
      <c r="E4639" s="3563" t="s">
        <v>6403</v>
      </c>
      <c r="F4639" s="3563" t="s">
        <v>4797</v>
      </c>
      <c r="G4639" s="3564">
        <v>101.69</v>
      </c>
      <c r="H4639" s="3564">
        <v>81.739999999999995</v>
      </c>
      <c r="I4639" s="3564">
        <v>19.95</v>
      </c>
      <c r="J4639" s="3565">
        <v>1053888</v>
      </c>
      <c r="K4639" s="3565">
        <v>10363.73</v>
      </c>
      <c r="L4639" s="3565">
        <v>12893.17</v>
      </c>
      <c r="M4639" s="3565">
        <v>1022272</v>
      </c>
      <c r="N4639" s="3565">
        <v>10052.83</v>
      </c>
      <c r="O4639" s="3566">
        <v>44188</v>
      </c>
    </row>
    <row r="4640" spans="1:15">
      <c r="A4640" s="3563" t="s">
        <v>8862</v>
      </c>
      <c r="B4640" s="3563" t="s">
        <v>4811</v>
      </c>
      <c r="C4640" s="3563" t="s">
        <v>4197</v>
      </c>
      <c r="D4640" s="3563" t="s">
        <v>6429</v>
      </c>
      <c r="E4640" s="3563" t="s">
        <v>6403</v>
      </c>
      <c r="F4640" s="3563" t="s">
        <v>4797</v>
      </c>
      <c r="G4640" s="3564">
        <v>90.55</v>
      </c>
      <c r="H4640" s="3564">
        <v>72.78</v>
      </c>
      <c r="I4640" s="3564">
        <v>17.77</v>
      </c>
      <c r="J4640" s="3565">
        <v>866188</v>
      </c>
      <c r="K4640" s="3565">
        <v>9565.85</v>
      </c>
      <c r="L4640" s="3565">
        <v>11901.46</v>
      </c>
      <c r="M4640" s="3565">
        <v>866188</v>
      </c>
      <c r="N4640" s="3565">
        <v>9565.85</v>
      </c>
      <c r="O4640" s="3566">
        <v>44191</v>
      </c>
    </row>
    <row r="4641" spans="1:15">
      <c r="A4641" s="3563" t="s">
        <v>8863</v>
      </c>
      <c r="B4641" s="3563" t="s">
        <v>5277</v>
      </c>
      <c r="C4641" s="3563" t="s">
        <v>4197</v>
      </c>
      <c r="D4641" s="3563" t="s">
        <v>6429</v>
      </c>
      <c r="E4641" s="3563" t="s">
        <v>6403</v>
      </c>
      <c r="F4641" s="3563" t="s">
        <v>4797</v>
      </c>
      <c r="G4641" s="3564">
        <v>78.42</v>
      </c>
      <c r="H4641" s="3564">
        <v>63.03</v>
      </c>
      <c r="I4641" s="3564">
        <v>15.39</v>
      </c>
      <c r="J4641" s="3565">
        <v>758497</v>
      </c>
      <c r="K4641" s="3565">
        <v>9672.24</v>
      </c>
      <c r="L4641" s="3565">
        <v>12033.9</v>
      </c>
      <c r="M4641" s="3565">
        <v>720573</v>
      </c>
      <c r="N4641" s="3565">
        <v>9188.64</v>
      </c>
      <c r="O4641" s="3566">
        <v>44181</v>
      </c>
    </row>
    <row r="4642" spans="1:15">
      <c r="A4642" s="3563" t="s">
        <v>8864</v>
      </c>
      <c r="B4642" s="3563" t="s">
        <v>5277</v>
      </c>
      <c r="C4642" s="3563" t="s">
        <v>4197</v>
      </c>
      <c r="D4642" s="3563" t="s">
        <v>6429</v>
      </c>
      <c r="E4642" s="3563" t="s">
        <v>6403</v>
      </c>
      <c r="F4642" s="3563" t="s">
        <v>4797</v>
      </c>
      <c r="G4642" s="3564">
        <v>78.42</v>
      </c>
      <c r="H4642" s="3564">
        <v>63.03</v>
      </c>
      <c r="I4642" s="3564">
        <v>15.39</v>
      </c>
      <c r="J4642" s="3565">
        <v>775182</v>
      </c>
      <c r="K4642" s="3565">
        <v>9885</v>
      </c>
      <c r="L4642" s="3565">
        <v>12298.62</v>
      </c>
      <c r="M4642" s="3565">
        <v>736423</v>
      </c>
      <c r="N4642" s="3565">
        <v>9390.75</v>
      </c>
      <c r="O4642" s="3566">
        <v>44178</v>
      </c>
    </row>
    <row r="4643" spans="1:15">
      <c r="A4643" s="3563" t="s">
        <v>8865</v>
      </c>
      <c r="B4643" s="3563" t="s">
        <v>4811</v>
      </c>
      <c r="C4643" s="3563" t="s">
        <v>4197</v>
      </c>
      <c r="D4643" s="3563" t="s">
        <v>6429</v>
      </c>
      <c r="E4643" s="3563" t="s">
        <v>6403</v>
      </c>
      <c r="F4643" s="3563" t="s">
        <v>4797</v>
      </c>
      <c r="G4643" s="3564">
        <v>110.03</v>
      </c>
      <c r="H4643" s="3564">
        <v>88.44</v>
      </c>
      <c r="I4643" s="3564">
        <v>21.59</v>
      </c>
      <c r="J4643" s="3565">
        <v>1093500</v>
      </c>
      <c r="K4643" s="3565">
        <v>9938.2000000000007</v>
      </c>
      <c r="L4643" s="3565">
        <v>12364.31</v>
      </c>
      <c r="M4643" s="3565">
        <v>1093500</v>
      </c>
      <c r="N4643" s="3565">
        <v>9938.2000000000007</v>
      </c>
      <c r="O4643" s="3566">
        <v>44185</v>
      </c>
    </row>
    <row r="4644" spans="1:15">
      <c r="A4644" s="3563" t="s">
        <v>8866</v>
      </c>
      <c r="B4644" s="3563" t="s">
        <v>4811</v>
      </c>
      <c r="C4644" s="3563" t="s">
        <v>4197</v>
      </c>
      <c r="D4644" s="3563" t="s">
        <v>6429</v>
      </c>
      <c r="E4644" s="3563" t="s">
        <v>6403</v>
      </c>
      <c r="F4644" s="3563" t="s">
        <v>4797</v>
      </c>
      <c r="G4644" s="3564">
        <v>101.69</v>
      </c>
      <c r="H4644" s="3564">
        <v>81.739999999999995</v>
      </c>
      <c r="I4644" s="3564">
        <v>19.95</v>
      </c>
      <c r="J4644" s="3565">
        <v>1066869</v>
      </c>
      <c r="K4644" s="3565">
        <v>10491.39</v>
      </c>
      <c r="L4644" s="3565">
        <v>13051.98</v>
      </c>
      <c r="M4644" s="3565">
        <v>1013526</v>
      </c>
      <c r="N4644" s="3565">
        <v>9966.82</v>
      </c>
      <c r="O4644" s="3566">
        <v>44191</v>
      </c>
    </row>
    <row r="4645" spans="1:15">
      <c r="A4645" s="3563" t="s">
        <v>8867</v>
      </c>
      <c r="B4645" s="3563" t="s">
        <v>5277</v>
      </c>
      <c r="C4645" s="3563" t="s">
        <v>4197</v>
      </c>
      <c r="D4645" s="3563" t="s">
        <v>6429</v>
      </c>
      <c r="E4645" s="3563" t="s">
        <v>6403</v>
      </c>
      <c r="F4645" s="3563" t="s">
        <v>4797</v>
      </c>
      <c r="G4645" s="3564">
        <v>101.69</v>
      </c>
      <c r="H4645" s="3564">
        <v>81.739999999999995</v>
      </c>
      <c r="I4645" s="3564">
        <v>19.95</v>
      </c>
      <c r="J4645" s="3565">
        <v>1066869</v>
      </c>
      <c r="K4645" s="3565">
        <v>10491.39</v>
      </c>
      <c r="L4645" s="3565">
        <v>13051.98</v>
      </c>
      <c r="M4645" s="3565">
        <v>1013526</v>
      </c>
      <c r="N4645" s="3565">
        <v>9966.82</v>
      </c>
      <c r="O4645" s="3566">
        <v>44185</v>
      </c>
    </row>
    <row r="4646" spans="1:15">
      <c r="A4646" s="3563" t="s">
        <v>8868</v>
      </c>
      <c r="B4646" s="3563" t="s">
        <v>5277</v>
      </c>
      <c r="C4646" s="3563" t="s">
        <v>4197</v>
      </c>
      <c r="D4646" s="3563" t="s">
        <v>6429</v>
      </c>
      <c r="E4646" s="3563" t="s">
        <v>6403</v>
      </c>
      <c r="F4646" s="3563" t="s">
        <v>4797</v>
      </c>
      <c r="G4646" s="3564">
        <v>90.55</v>
      </c>
      <c r="H4646" s="3564">
        <v>72.78</v>
      </c>
      <c r="I4646" s="3564">
        <v>17.77</v>
      </c>
      <c r="J4646" s="3565">
        <v>877748</v>
      </c>
      <c r="K4646" s="3565">
        <v>9693.52</v>
      </c>
      <c r="L4646" s="3565">
        <v>12060.29</v>
      </c>
      <c r="M4646" s="3565">
        <v>842639</v>
      </c>
      <c r="N4646" s="3565">
        <v>9305.7900000000009</v>
      </c>
      <c r="O4646" s="3566">
        <v>44176</v>
      </c>
    </row>
    <row r="4647" spans="1:15">
      <c r="A4647" s="3563" t="s">
        <v>8869</v>
      </c>
      <c r="B4647" s="3563" t="s">
        <v>6422</v>
      </c>
      <c r="C4647" s="3563" t="s">
        <v>4197</v>
      </c>
      <c r="D4647" s="3563" t="s">
        <v>6429</v>
      </c>
      <c r="E4647" s="3563" t="s">
        <v>6403</v>
      </c>
      <c r="F4647" s="3563" t="s">
        <v>4797</v>
      </c>
      <c r="G4647" s="3564">
        <v>78.42</v>
      </c>
      <c r="H4647" s="3564">
        <v>63.03</v>
      </c>
      <c r="I4647" s="3564">
        <v>15.39</v>
      </c>
      <c r="J4647" s="3565">
        <v>768508</v>
      </c>
      <c r="K4647" s="3565">
        <v>9799.9</v>
      </c>
      <c r="L4647" s="3565">
        <v>12192.73</v>
      </c>
      <c r="M4647" s="3565">
        <v>737768</v>
      </c>
      <c r="N4647" s="3565">
        <v>9407.91</v>
      </c>
      <c r="O4647" s="3566">
        <v>44179</v>
      </c>
    </row>
    <row r="4648" spans="1:15">
      <c r="A4648" s="3563" t="s">
        <v>8870</v>
      </c>
      <c r="B4648" s="3563" t="s">
        <v>4811</v>
      </c>
      <c r="C4648" s="3563" t="s">
        <v>4197</v>
      </c>
      <c r="D4648" s="3563" t="s">
        <v>6429</v>
      </c>
      <c r="E4648" s="3563" t="s">
        <v>6403</v>
      </c>
      <c r="F4648" s="3563" t="s">
        <v>4797</v>
      </c>
      <c r="G4648" s="3564">
        <v>78.42</v>
      </c>
      <c r="H4648" s="3564">
        <v>63.03</v>
      </c>
      <c r="I4648" s="3564">
        <v>15.39</v>
      </c>
      <c r="J4648" s="3565">
        <v>785193</v>
      </c>
      <c r="K4648" s="3565">
        <v>10012.66</v>
      </c>
      <c r="L4648" s="3565">
        <v>12457.45</v>
      </c>
      <c r="M4648" s="3565">
        <v>785193</v>
      </c>
      <c r="N4648" s="3565">
        <v>10012.66</v>
      </c>
      <c r="O4648" s="3566">
        <v>44176</v>
      </c>
    </row>
    <row r="4649" spans="1:15">
      <c r="A4649" s="3563" t="s">
        <v>8871</v>
      </c>
      <c r="B4649" s="3563" t="s">
        <v>6422</v>
      </c>
      <c r="C4649" s="3563" t="s">
        <v>4197</v>
      </c>
      <c r="D4649" s="3563" t="s">
        <v>6429</v>
      </c>
      <c r="E4649" s="3563" t="s">
        <v>6403</v>
      </c>
      <c r="F4649" s="3563" t="s">
        <v>4797</v>
      </c>
      <c r="G4649" s="3564">
        <v>110.03</v>
      </c>
      <c r="H4649" s="3564">
        <v>88.44</v>
      </c>
      <c r="I4649" s="3564">
        <v>21.59</v>
      </c>
      <c r="J4649" s="3565">
        <v>1107546</v>
      </c>
      <c r="K4649" s="3565">
        <v>10065.85</v>
      </c>
      <c r="L4649" s="3565">
        <v>12523.13</v>
      </c>
      <c r="M4649" s="3565">
        <v>1007867</v>
      </c>
      <c r="N4649" s="3565">
        <v>9159.93</v>
      </c>
      <c r="O4649" s="3566">
        <v>44176</v>
      </c>
    </row>
    <row r="4650" spans="1:15">
      <c r="A4650" s="3563" t="s">
        <v>8872</v>
      </c>
      <c r="B4650" s="3563" t="s">
        <v>5277</v>
      </c>
      <c r="C4650" s="3563" t="s">
        <v>4197</v>
      </c>
      <c r="D4650" s="3563" t="s">
        <v>6429</v>
      </c>
      <c r="E4650" s="3563" t="s">
        <v>6403</v>
      </c>
      <c r="F4650" s="3563" t="s">
        <v>4797</v>
      </c>
      <c r="G4650" s="3564">
        <v>101.69</v>
      </c>
      <c r="H4650" s="3564">
        <v>81.739999999999995</v>
      </c>
      <c r="I4650" s="3564">
        <v>19.95</v>
      </c>
      <c r="J4650" s="3565">
        <v>1067951</v>
      </c>
      <c r="K4650" s="3565">
        <v>10502.03</v>
      </c>
      <c r="L4650" s="3565">
        <v>13065.22</v>
      </c>
      <c r="M4650" s="3565">
        <v>993836</v>
      </c>
      <c r="N4650" s="3565">
        <v>9773.19</v>
      </c>
      <c r="O4650" s="3566">
        <v>44176</v>
      </c>
    </row>
    <row r="4651" spans="1:15">
      <c r="A4651" s="3563" t="s">
        <v>8873</v>
      </c>
      <c r="B4651" s="3563" t="s">
        <v>4811</v>
      </c>
      <c r="C4651" s="3563" t="s">
        <v>4197</v>
      </c>
      <c r="D4651" s="3563" t="s">
        <v>6429</v>
      </c>
      <c r="E4651" s="3563" t="s">
        <v>6403</v>
      </c>
      <c r="F4651" s="3563" t="s">
        <v>4797</v>
      </c>
      <c r="G4651" s="3564">
        <v>101.69</v>
      </c>
      <c r="H4651" s="3564">
        <v>81.739999999999995</v>
      </c>
      <c r="I4651" s="3564">
        <v>19.95</v>
      </c>
      <c r="J4651" s="3565">
        <v>1067951</v>
      </c>
      <c r="K4651" s="3565">
        <v>10502.03</v>
      </c>
      <c r="L4651" s="3565">
        <v>13065.22</v>
      </c>
      <c r="M4651" s="3565">
        <v>1035913</v>
      </c>
      <c r="N4651" s="3565">
        <v>10186.969999999999</v>
      </c>
      <c r="O4651" s="3566">
        <v>44184</v>
      </c>
    </row>
    <row r="4652" spans="1:15">
      <c r="A4652" s="3563" t="s">
        <v>8874</v>
      </c>
      <c r="B4652" s="3563" t="s">
        <v>5277</v>
      </c>
      <c r="C4652" s="3563" t="s">
        <v>4197</v>
      </c>
      <c r="D4652" s="3563" t="s">
        <v>6429</v>
      </c>
      <c r="E4652" s="3563" t="s">
        <v>6403</v>
      </c>
      <c r="F4652" s="3563" t="s">
        <v>4797</v>
      </c>
      <c r="G4652" s="3564">
        <v>90.55</v>
      </c>
      <c r="H4652" s="3564">
        <v>72.78</v>
      </c>
      <c r="I4652" s="3564">
        <v>17.77</v>
      </c>
      <c r="J4652" s="3565">
        <v>878711</v>
      </c>
      <c r="K4652" s="3565">
        <v>9704.15</v>
      </c>
      <c r="L4652" s="3565">
        <v>12073.52</v>
      </c>
      <c r="M4652" s="3565">
        <v>842563</v>
      </c>
      <c r="N4652" s="3565">
        <v>9304.9500000000007</v>
      </c>
      <c r="O4652" s="3566">
        <v>44176</v>
      </c>
    </row>
    <row r="4653" spans="1:15">
      <c r="A4653" s="3563" t="s">
        <v>8875</v>
      </c>
      <c r="B4653" s="3563" t="s">
        <v>6422</v>
      </c>
      <c r="C4653" s="3563" t="s">
        <v>4197</v>
      </c>
      <c r="D4653" s="3563" t="s">
        <v>6429</v>
      </c>
      <c r="E4653" s="3563" t="s">
        <v>6403</v>
      </c>
      <c r="F4653" s="3563" t="s">
        <v>4797</v>
      </c>
      <c r="G4653" s="3564">
        <v>78.42</v>
      </c>
      <c r="H4653" s="3564">
        <v>63.03</v>
      </c>
      <c r="I4653" s="3564">
        <v>15.39</v>
      </c>
      <c r="J4653" s="3565">
        <v>769342</v>
      </c>
      <c r="K4653" s="3565">
        <v>9810.5300000000007</v>
      </c>
      <c r="L4653" s="3565">
        <v>12205.97</v>
      </c>
      <c r="M4653" s="3565">
        <v>737569</v>
      </c>
      <c r="N4653" s="3565">
        <v>9405.3700000000008</v>
      </c>
      <c r="O4653" s="3566">
        <v>44176</v>
      </c>
    </row>
    <row r="4654" spans="1:15">
      <c r="A4654" s="3563" t="s">
        <v>8876</v>
      </c>
      <c r="B4654" s="3563" t="s">
        <v>5277</v>
      </c>
      <c r="C4654" s="3563" t="s">
        <v>4197</v>
      </c>
      <c r="D4654" s="3563" t="s">
        <v>6429</v>
      </c>
      <c r="E4654" s="3563" t="s">
        <v>6403</v>
      </c>
      <c r="F4654" s="3563" t="s">
        <v>4797</v>
      </c>
      <c r="G4654" s="3564">
        <v>78.42</v>
      </c>
      <c r="H4654" s="3564">
        <v>63.03</v>
      </c>
      <c r="I4654" s="3564">
        <v>15.39</v>
      </c>
      <c r="J4654" s="3565">
        <v>786028</v>
      </c>
      <c r="K4654" s="3565">
        <v>10023.31</v>
      </c>
      <c r="L4654" s="3565">
        <v>12470.7</v>
      </c>
      <c r="M4654" s="3565">
        <v>786028</v>
      </c>
      <c r="N4654" s="3565">
        <v>10023.31</v>
      </c>
      <c r="O4654" s="3566">
        <v>44176</v>
      </c>
    </row>
    <row r="4655" spans="1:15">
      <c r="A4655" s="3563" t="s">
        <v>8877</v>
      </c>
      <c r="B4655" s="3563" t="s">
        <v>6422</v>
      </c>
      <c r="C4655" s="3563" t="s">
        <v>4197</v>
      </c>
      <c r="D4655" s="3563" t="s">
        <v>6429</v>
      </c>
      <c r="E4655" s="3563" t="s">
        <v>6403</v>
      </c>
      <c r="F4655" s="3563" t="s">
        <v>4797</v>
      </c>
      <c r="G4655" s="3564">
        <v>110.03</v>
      </c>
      <c r="H4655" s="3564">
        <v>88.44</v>
      </c>
      <c r="I4655" s="3564">
        <v>21.59</v>
      </c>
      <c r="J4655" s="3565">
        <v>1108717</v>
      </c>
      <c r="K4655" s="3565">
        <v>10076.5</v>
      </c>
      <c r="L4655" s="3565">
        <v>12536.37</v>
      </c>
      <c r="M4655" s="3565">
        <v>1008933</v>
      </c>
      <c r="N4655" s="3565">
        <v>9169.6200000000008</v>
      </c>
      <c r="O4655" s="3566">
        <v>44176</v>
      </c>
    </row>
    <row r="4656" spans="1:15">
      <c r="A4656" s="3563" t="s">
        <v>8878</v>
      </c>
      <c r="B4656" s="3563" t="s">
        <v>6422</v>
      </c>
      <c r="C4656" s="3563" t="s">
        <v>4197</v>
      </c>
      <c r="D4656" s="3563" t="s">
        <v>6429</v>
      </c>
      <c r="E4656" s="3563" t="s">
        <v>6403</v>
      </c>
      <c r="F4656" s="3563" t="s">
        <v>4797</v>
      </c>
      <c r="G4656" s="3564">
        <v>101.69</v>
      </c>
      <c r="H4656" s="3564">
        <v>81.739999999999995</v>
      </c>
      <c r="I4656" s="3564">
        <v>19.95</v>
      </c>
      <c r="J4656" s="3565">
        <v>1069033</v>
      </c>
      <c r="K4656" s="3565">
        <v>10512.67</v>
      </c>
      <c r="L4656" s="3565">
        <v>13078.46</v>
      </c>
      <c r="M4656" s="3565">
        <v>1025272</v>
      </c>
      <c r="N4656" s="3565">
        <v>10082.33</v>
      </c>
      <c r="O4656" s="3566">
        <v>44176</v>
      </c>
    </row>
    <row r="4657" spans="1:15">
      <c r="A4657" s="3563" t="s">
        <v>8879</v>
      </c>
      <c r="B4657" s="3563" t="s">
        <v>6422</v>
      </c>
      <c r="C4657" s="3563" t="s">
        <v>4197</v>
      </c>
      <c r="D4657" s="3563" t="s">
        <v>6429</v>
      </c>
      <c r="E4657" s="3563" t="s">
        <v>6403</v>
      </c>
      <c r="F4657" s="3563" t="s">
        <v>4797</v>
      </c>
      <c r="G4657" s="3564">
        <v>101.69</v>
      </c>
      <c r="H4657" s="3564">
        <v>81.739999999999995</v>
      </c>
      <c r="I4657" s="3564">
        <v>19.95</v>
      </c>
      <c r="J4657" s="3565">
        <v>1069033</v>
      </c>
      <c r="K4657" s="3565">
        <v>10512.67</v>
      </c>
      <c r="L4657" s="3565">
        <v>13078.46</v>
      </c>
      <c r="M4657" s="3565">
        <v>1014582</v>
      </c>
      <c r="N4657" s="3565">
        <v>9977.2099999999991</v>
      </c>
      <c r="O4657" s="3566">
        <v>44176</v>
      </c>
    </row>
    <row r="4658" spans="1:15">
      <c r="A4658" s="3563" t="s">
        <v>8880</v>
      </c>
      <c r="B4658" s="3563" t="s">
        <v>5277</v>
      </c>
      <c r="C4658" s="3563" t="s">
        <v>4197</v>
      </c>
      <c r="D4658" s="3563" t="s">
        <v>6429</v>
      </c>
      <c r="E4658" s="3563" t="s">
        <v>6403</v>
      </c>
      <c r="F4658" s="3563" t="s">
        <v>4797</v>
      </c>
      <c r="G4658" s="3564">
        <v>90.55</v>
      </c>
      <c r="H4658" s="3564">
        <v>72.78</v>
      </c>
      <c r="I4658" s="3564">
        <v>17.77</v>
      </c>
      <c r="J4658" s="3565">
        <v>889307</v>
      </c>
      <c r="K4658" s="3565">
        <v>9821.17</v>
      </c>
      <c r="L4658" s="3565">
        <v>12219.11</v>
      </c>
      <c r="M4658" s="3565">
        <v>889307</v>
      </c>
      <c r="N4658" s="3565">
        <v>9821.17</v>
      </c>
      <c r="O4658" s="3566">
        <v>44176</v>
      </c>
    </row>
    <row r="4659" spans="1:15">
      <c r="A4659" s="3563" t="s">
        <v>8881</v>
      </c>
      <c r="B4659" s="3563" t="s">
        <v>6422</v>
      </c>
      <c r="C4659" s="3563" t="s">
        <v>4197</v>
      </c>
      <c r="D4659" s="3563" t="s">
        <v>6429</v>
      </c>
      <c r="E4659" s="3563" t="s">
        <v>6403</v>
      </c>
      <c r="F4659" s="3563" t="s">
        <v>4797</v>
      </c>
      <c r="G4659" s="3564">
        <v>78.42</v>
      </c>
      <c r="H4659" s="3564">
        <v>63.03</v>
      </c>
      <c r="I4659" s="3564">
        <v>15.39</v>
      </c>
      <c r="J4659" s="3565">
        <v>778519</v>
      </c>
      <c r="K4659" s="3565">
        <v>9927.56</v>
      </c>
      <c r="L4659" s="3565">
        <v>12351.56</v>
      </c>
      <c r="M4659" s="3565">
        <v>738594</v>
      </c>
      <c r="N4659" s="3565">
        <v>9418.44</v>
      </c>
      <c r="O4659" s="3566">
        <v>44176</v>
      </c>
    </row>
    <row r="4660" spans="1:15">
      <c r="A4660" s="3563" t="s">
        <v>8882</v>
      </c>
      <c r="B4660" s="3563" t="s">
        <v>5277</v>
      </c>
      <c r="C4660" s="3563" t="s">
        <v>4197</v>
      </c>
      <c r="D4660" s="3563" t="s">
        <v>6429</v>
      </c>
      <c r="E4660" s="3563" t="s">
        <v>6403</v>
      </c>
      <c r="F4660" s="3563" t="s">
        <v>4797</v>
      </c>
      <c r="G4660" s="3564">
        <v>78.42</v>
      </c>
      <c r="H4660" s="3564">
        <v>63.03</v>
      </c>
      <c r="I4660" s="3564">
        <v>15.39</v>
      </c>
      <c r="J4660" s="3565">
        <v>795204</v>
      </c>
      <c r="K4660" s="3565">
        <v>10140.32</v>
      </c>
      <c r="L4660" s="3565">
        <v>12616.28</v>
      </c>
      <c r="M4660" s="3565">
        <v>755444</v>
      </c>
      <c r="N4660" s="3565">
        <v>9633.31</v>
      </c>
      <c r="O4660" s="3566">
        <v>44176</v>
      </c>
    </row>
    <row r="4661" spans="1:15">
      <c r="A4661" s="3563" t="s">
        <v>8883</v>
      </c>
      <c r="B4661" s="3563" t="s">
        <v>5277</v>
      </c>
      <c r="C4661" s="3563" t="s">
        <v>4197</v>
      </c>
      <c r="D4661" s="3563" t="s">
        <v>6429</v>
      </c>
      <c r="E4661" s="3563" t="s">
        <v>6403</v>
      </c>
      <c r="F4661" s="3563" t="s">
        <v>4797</v>
      </c>
      <c r="G4661" s="3564">
        <v>110.03</v>
      </c>
      <c r="H4661" s="3564">
        <v>88.44</v>
      </c>
      <c r="I4661" s="3564">
        <v>21.59</v>
      </c>
      <c r="J4661" s="3565">
        <v>1109887</v>
      </c>
      <c r="K4661" s="3565">
        <v>10087.129999999999</v>
      </c>
      <c r="L4661" s="3565">
        <v>12549.6</v>
      </c>
      <c r="M4661" s="3565">
        <v>1064492</v>
      </c>
      <c r="N4661" s="3565">
        <v>9674.56</v>
      </c>
      <c r="O4661" s="3566">
        <v>44176</v>
      </c>
    </row>
    <row r="4662" spans="1:15">
      <c r="A4662" s="3563" t="s">
        <v>8884</v>
      </c>
      <c r="B4662" s="3563" t="s">
        <v>6422</v>
      </c>
      <c r="C4662" s="3563" t="s">
        <v>4197</v>
      </c>
      <c r="D4662" s="3563" t="s">
        <v>6429</v>
      </c>
      <c r="E4662" s="3563" t="s">
        <v>6403</v>
      </c>
      <c r="F4662" s="3563" t="s">
        <v>4797</v>
      </c>
      <c r="G4662" s="3564">
        <v>101.69</v>
      </c>
      <c r="H4662" s="3564">
        <v>81.739999999999995</v>
      </c>
      <c r="I4662" s="3564">
        <v>19.95</v>
      </c>
      <c r="J4662" s="3565">
        <v>1070115</v>
      </c>
      <c r="K4662" s="3565">
        <v>10523.31</v>
      </c>
      <c r="L4662" s="3565">
        <v>13091.69</v>
      </c>
      <c r="M4662" s="3565">
        <v>1016610</v>
      </c>
      <c r="N4662" s="3565">
        <v>9997.15</v>
      </c>
      <c r="O4662" s="3566">
        <v>44189</v>
      </c>
    </row>
    <row r="4663" spans="1:15">
      <c r="A4663" s="3563" t="s">
        <v>8885</v>
      </c>
      <c r="B4663" s="3563" t="s">
        <v>5277</v>
      </c>
      <c r="C4663" s="3563" t="s">
        <v>4197</v>
      </c>
      <c r="D4663" s="3563" t="s">
        <v>6429</v>
      </c>
      <c r="E4663" s="3563" t="s">
        <v>6403</v>
      </c>
      <c r="F4663" s="3563" t="s">
        <v>4797</v>
      </c>
      <c r="G4663" s="3564">
        <v>101.69</v>
      </c>
      <c r="H4663" s="3564">
        <v>81.739999999999995</v>
      </c>
      <c r="I4663" s="3564">
        <v>19.95</v>
      </c>
      <c r="J4663" s="3565">
        <v>1070115</v>
      </c>
      <c r="K4663" s="3565">
        <v>10523.31</v>
      </c>
      <c r="L4663" s="3565">
        <v>13091.69</v>
      </c>
      <c r="M4663" s="3565">
        <v>1026311</v>
      </c>
      <c r="N4663" s="3565">
        <v>10092.549999999999</v>
      </c>
      <c r="O4663" s="3566">
        <v>44176</v>
      </c>
    </row>
    <row r="4664" spans="1:15">
      <c r="A4664" s="3563" t="s">
        <v>8886</v>
      </c>
      <c r="B4664" s="3563" t="s">
        <v>6422</v>
      </c>
      <c r="C4664" s="3563" t="s">
        <v>4197</v>
      </c>
      <c r="D4664" s="3563" t="s">
        <v>6429</v>
      </c>
      <c r="E4664" s="3563" t="s">
        <v>6403</v>
      </c>
      <c r="F4664" s="3563" t="s">
        <v>4797</v>
      </c>
      <c r="G4664" s="3564">
        <v>90.55</v>
      </c>
      <c r="H4664" s="3564">
        <v>72.78</v>
      </c>
      <c r="I4664" s="3564">
        <v>17.77</v>
      </c>
      <c r="J4664" s="3565">
        <v>890271</v>
      </c>
      <c r="K4664" s="3565">
        <v>9831.82</v>
      </c>
      <c r="L4664" s="3565">
        <v>12232.36</v>
      </c>
      <c r="M4664" s="3565">
        <v>810147</v>
      </c>
      <c r="N4664" s="3565">
        <v>8946.9599999999991</v>
      </c>
      <c r="O4664" s="3566">
        <v>44176</v>
      </c>
    </row>
    <row r="4665" spans="1:15">
      <c r="A4665" s="3563" t="s">
        <v>8887</v>
      </c>
      <c r="B4665" s="3563" t="s">
        <v>4196</v>
      </c>
      <c r="C4665" s="3563" t="s">
        <v>4197</v>
      </c>
      <c r="D4665" s="3563" t="s">
        <v>6429</v>
      </c>
      <c r="E4665" s="3563" t="s">
        <v>6403</v>
      </c>
      <c r="F4665" s="3563" t="s">
        <v>4797</v>
      </c>
      <c r="G4665" s="3564">
        <v>78.42</v>
      </c>
      <c r="H4665" s="3564">
        <v>63.03</v>
      </c>
      <c r="I4665" s="3564">
        <v>15.39</v>
      </c>
      <c r="J4665" s="3565">
        <v>779353</v>
      </c>
      <c r="K4665" s="3565">
        <v>9938.19</v>
      </c>
      <c r="L4665" s="3565">
        <v>12364.79</v>
      </c>
      <c r="M4665" s="3565">
        <v>0</v>
      </c>
      <c r="N4665" s="3565">
        <v>0</v>
      </c>
      <c r="O4665" s="3563" t="s">
        <v>3453</v>
      </c>
    </row>
    <row r="4666" spans="1:15">
      <c r="A4666" s="3563" t="s">
        <v>8888</v>
      </c>
      <c r="B4666" s="3563" t="s">
        <v>6422</v>
      </c>
      <c r="C4666" s="3563" t="s">
        <v>4197</v>
      </c>
      <c r="D4666" s="3563" t="s">
        <v>6429</v>
      </c>
      <c r="E4666" s="3563" t="s">
        <v>6403</v>
      </c>
      <c r="F4666" s="3563" t="s">
        <v>4797</v>
      </c>
      <c r="G4666" s="3564">
        <v>78.42</v>
      </c>
      <c r="H4666" s="3564">
        <v>63.03</v>
      </c>
      <c r="I4666" s="3564">
        <v>15.39</v>
      </c>
      <c r="J4666" s="3565">
        <v>796039</v>
      </c>
      <c r="K4666" s="3565">
        <v>10150.969999999999</v>
      </c>
      <c r="L4666" s="3565">
        <v>12629.53</v>
      </c>
      <c r="M4666" s="3565">
        <v>763198</v>
      </c>
      <c r="N4666" s="3565">
        <v>9732.19</v>
      </c>
      <c r="O4666" s="3566">
        <v>44176</v>
      </c>
    </row>
    <row r="4667" spans="1:15">
      <c r="A4667" s="3563" t="s">
        <v>8889</v>
      </c>
      <c r="B4667" s="3563" t="s">
        <v>5277</v>
      </c>
      <c r="C4667" s="3563" t="s">
        <v>4197</v>
      </c>
      <c r="D4667" s="3563" t="s">
        <v>6429</v>
      </c>
      <c r="E4667" s="3563" t="s">
        <v>6403</v>
      </c>
      <c r="F4667" s="3563" t="s">
        <v>4797</v>
      </c>
      <c r="G4667" s="3564">
        <v>110.03</v>
      </c>
      <c r="H4667" s="3564">
        <v>88.44</v>
      </c>
      <c r="I4667" s="3564">
        <v>21.59</v>
      </c>
      <c r="J4667" s="3565">
        <v>1111058</v>
      </c>
      <c r="K4667" s="3565">
        <v>10097.77</v>
      </c>
      <c r="L4667" s="3565">
        <v>12562.84</v>
      </c>
      <c r="M4667" s="3565">
        <v>1055506</v>
      </c>
      <c r="N4667" s="3565">
        <v>9592.89</v>
      </c>
      <c r="O4667" s="3566">
        <v>44177</v>
      </c>
    </row>
    <row r="4668" spans="1:15">
      <c r="A4668" s="3563" t="s">
        <v>8890</v>
      </c>
      <c r="B4668" s="3563" t="s">
        <v>5277</v>
      </c>
      <c r="C4668" s="3563" t="s">
        <v>4197</v>
      </c>
      <c r="D4668" s="3563" t="s">
        <v>6429</v>
      </c>
      <c r="E4668" s="3563" t="s">
        <v>6403</v>
      </c>
      <c r="F4668" s="3563" t="s">
        <v>4797</v>
      </c>
      <c r="G4668" s="3564">
        <v>101.69</v>
      </c>
      <c r="H4668" s="3564">
        <v>81.739999999999995</v>
      </c>
      <c r="I4668" s="3564">
        <v>19.95</v>
      </c>
      <c r="J4668" s="3565">
        <v>1071196</v>
      </c>
      <c r="K4668" s="3565">
        <v>10533.94</v>
      </c>
      <c r="L4668" s="3565">
        <v>13104.92</v>
      </c>
      <c r="M4668" s="3565">
        <v>1039061</v>
      </c>
      <c r="N4668" s="3565">
        <v>10217.93</v>
      </c>
      <c r="O4668" s="3566">
        <v>44189</v>
      </c>
    </row>
    <row r="4669" spans="1:15">
      <c r="A4669" s="3563" t="s">
        <v>8891</v>
      </c>
      <c r="B4669" s="3563" t="s">
        <v>5277</v>
      </c>
      <c r="C4669" s="3563" t="s">
        <v>4197</v>
      </c>
      <c r="D4669" s="3563" t="s">
        <v>6429</v>
      </c>
      <c r="E4669" s="3563" t="s">
        <v>6403</v>
      </c>
      <c r="F4669" s="3563" t="s">
        <v>4797</v>
      </c>
      <c r="G4669" s="3564">
        <v>101.69</v>
      </c>
      <c r="H4669" s="3564">
        <v>81.739999999999995</v>
      </c>
      <c r="I4669" s="3564">
        <v>19.95</v>
      </c>
      <c r="J4669" s="3565">
        <v>1071196</v>
      </c>
      <c r="K4669" s="3565">
        <v>10533.94</v>
      </c>
      <c r="L4669" s="3565">
        <v>13104.92</v>
      </c>
      <c r="M4669" s="3565">
        <v>1027349</v>
      </c>
      <c r="N4669" s="3565">
        <v>10102.75</v>
      </c>
      <c r="O4669" s="3566">
        <v>44176</v>
      </c>
    </row>
    <row r="4670" spans="1:15">
      <c r="A4670" s="3563" t="s">
        <v>8892</v>
      </c>
      <c r="B4670" s="3563" t="s">
        <v>5277</v>
      </c>
      <c r="C4670" s="3563" t="s">
        <v>4197</v>
      </c>
      <c r="D4670" s="3563" t="s">
        <v>6429</v>
      </c>
      <c r="E4670" s="3563" t="s">
        <v>6403</v>
      </c>
      <c r="F4670" s="3563" t="s">
        <v>4797</v>
      </c>
      <c r="G4670" s="3564">
        <v>90.55</v>
      </c>
      <c r="H4670" s="3564">
        <v>72.78</v>
      </c>
      <c r="I4670" s="3564">
        <v>17.77</v>
      </c>
      <c r="J4670" s="3565">
        <v>891234</v>
      </c>
      <c r="K4670" s="3565">
        <v>9842.4500000000007</v>
      </c>
      <c r="L4670" s="3565">
        <v>12245.59</v>
      </c>
      <c r="M4670" s="3565">
        <v>811023</v>
      </c>
      <c r="N4670" s="3565">
        <v>8956.6299999999992</v>
      </c>
      <c r="O4670" s="3566">
        <v>44176</v>
      </c>
    </row>
    <row r="4671" spans="1:15">
      <c r="A4671" s="3563" t="s">
        <v>8893</v>
      </c>
      <c r="B4671" s="3563" t="s">
        <v>6422</v>
      </c>
      <c r="C4671" s="3563" t="s">
        <v>4197</v>
      </c>
      <c r="D4671" s="3563" t="s">
        <v>6429</v>
      </c>
      <c r="E4671" s="3563" t="s">
        <v>6403</v>
      </c>
      <c r="F4671" s="3563" t="s">
        <v>4797</v>
      </c>
      <c r="G4671" s="3564">
        <v>78.42</v>
      </c>
      <c r="H4671" s="3564">
        <v>63.03</v>
      </c>
      <c r="I4671" s="3564">
        <v>15.39</v>
      </c>
      <c r="J4671" s="3565">
        <v>780188</v>
      </c>
      <c r="K4671" s="3565">
        <v>9948.84</v>
      </c>
      <c r="L4671" s="3565">
        <v>12378.04</v>
      </c>
      <c r="M4671" s="3565">
        <v>726043</v>
      </c>
      <c r="N4671" s="3565">
        <v>9258.39</v>
      </c>
      <c r="O4671" s="3566">
        <v>44179</v>
      </c>
    </row>
    <row r="4672" spans="1:15">
      <c r="A4672" s="3563" t="s">
        <v>8894</v>
      </c>
      <c r="B4672" s="3563" t="s">
        <v>5277</v>
      </c>
      <c r="C4672" s="3563" t="s">
        <v>4197</v>
      </c>
      <c r="D4672" s="3563" t="s">
        <v>6429</v>
      </c>
      <c r="E4672" s="3563" t="s">
        <v>6403</v>
      </c>
      <c r="F4672" s="3563" t="s">
        <v>4797</v>
      </c>
      <c r="G4672" s="3564">
        <v>78.42</v>
      </c>
      <c r="H4672" s="3564">
        <v>63.03</v>
      </c>
      <c r="I4672" s="3564">
        <v>15.39</v>
      </c>
      <c r="J4672" s="3565">
        <v>796873</v>
      </c>
      <c r="K4672" s="3565">
        <v>10161.6</v>
      </c>
      <c r="L4672" s="3565">
        <v>12642.76</v>
      </c>
      <c r="M4672" s="3565">
        <v>724155</v>
      </c>
      <c r="N4672" s="3565">
        <v>9234.32</v>
      </c>
      <c r="O4672" s="3566">
        <v>44176</v>
      </c>
    </row>
    <row r="4673" spans="1:15">
      <c r="A4673" s="3563" t="s">
        <v>8895</v>
      </c>
      <c r="B4673" s="3563" t="s">
        <v>5277</v>
      </c>
      <c r="C4673" s="3563" t="s">
        <v>4197</v>
      </c>
      <c r="D4673" s="3563" t="s">
        <v>6429</v>
      </c>
      <c r="E4673" s="3563" t="s">
        <v>6403</v>
      </c>
      <c r="F4673" s="3563" t="s">
        <v>4797</v>
      </c>
      <c r="G4673" s="3564">
        <v>110.03</v>
      </c>
      <c r="H4673" s="3564">
        <v>88.44</v>
      </c>
      <c r="I4673" s="3564">
        <v>21.59</v>
      </c>
      <c r="J4673" s="3565">
        <v>1112228</v>
      </c>
      <c r="K4673" s="3565">
        <v>10108.41</v>
      </c>
      <c r="L4673" s="3565">
        <v>12576.07</v>
      </c>
      <c r="M4673" s="3565">
        <v>1112228</v>
      </c>
      <c r="N4673" s="3565">
        <v>10108.41</v>
      </c>
      <c r="O4673" s="3566">
        <v>44176</v>
      </c>
    </row>
    <row r="4674" spans="1:15">
      <c r="A4674" s="3563" t="s">
        <v>8896</v>
      </c>
      <c r="B4674" s="3563" t="s">
        <v>5277</v>
      </c>
      <c r="C4674" s="3563" t="s">
        <v>4197</v>
      </c>
      <c r="D4674" s="3563" t="s">
        <v>6429</v>
      </c>
      <c r="E4674" s="3563" t="s">
        <v>8897</v>
      </c>
      <c r="F4674" s="3563" t="s">
        <v>4797</v>
      </c>
      <c r="G4674" s="3564">
        <v>92.34</v>
      </c>
      <c r="H4674" s="3564">
        <v>71</v>
      </c>
      <c r="I4674" s="3564">
        <v>21.34</v>
      </c>
      <c r="J4674" s="3565">
        <v>911799</v>
      </c>
      <c r="K4674" s="3565">
        <v>9874.3700000000008</v>
      </c>
      <c r="L4674" s="3565">
        <v>12842.24</v>
      </c>
      <c r="M4674" s="3565">
        <v>866210</v>
      </c>
      <c r="N4674" s="3565">
        <v>9380.66</v>
      </c>
      <c r="O4674" s="3566">
        <v>44186</v>
      </c>
    </row>
    <row r="4675" spans="1:15">
      <c r="A4675" s="3563" t="s">
        <v>8898</v>
      </c>
      <c r="B4675" s="3563" t="s">
        <v>4811</v>
      </c>
      <c r="C4675" s="3563" t="s">
        <v>4197</v>
      </c>
      <c r="D4675" s="3563" t="s">
        <v>6429</v>
      </c>
      <c r="E4675" s="3563" t="s">
        <v>8897</v>
      </c>
      <c r="F4675" s="3563" t="s">
        <v>4797</v>
      </c>
      <c r="G4675" s="3564">
        <v>82.84</v>
      </c>
      <c r="H4675" s="3564">
        <v>71</v>
      </c>
      <c r="I4675" s="3564">
        <v>11.84</v>
      </c>
      <c r="J4675" s="3565">
        <v>798605</v>
      </c>
      <c r="K4675" s="3565">
        <v>9640.33</v>
      </c>
      <c r="L4675" s="3565">
        <v>11247.96</v>
      </c>
      <c r="M4675" s="3565">
        <v>758675</v>
      </c>
      <c r="N4675" s="3565">
        <v>9158.32</v>
      </c>
      <c r="O4675" s="3566">
        <v>44192</v>
      </c>
    </row>
    <row r="4676" spans="1:15">
      <c r="A4676" s="3563" t="s">
        <v>8899</v>
      </c>
      <c r="B4676" s="3563" t="s">
        <v>4196</v>
      </c>
      <c r="C4676" s="3563" t="s">
        <v>4197</v>
      </c>
      <c r="D4676" s="3563" t="s">
        <v>6429</v>
      </c>
      <c r="E4676" s="3563" t="s">
        <v>8897</v>
      </c>
      <c r="F4676" s="3563" t="s">
        <v>4797</v>
      </c>
      <c r="G4676" s="3564">
        <v>82.84</v>
      </c>
      <c r="H4676" s="3564">
        <v>71</v>
      </c>
      <c r="I4676" s="3564">
        <v>11.84</v>
      </c>
      <c r="J4676" s="3565">
        <v>798605</v>
      </c>
      <c r="K4676" s="3565">
        <v>9640.33</v>
      </c>
      <c r="L4676" s="3565">
        <v>11247.96</v>
      </c>
      <c r="M4676" s="3565">
        <v>0</v>
      </c>
      <c r="N4676" s="3565">
        <v>0</v>
      </c>
      <c r="O4676" s="3563" t="s">
        <v>3453</v>
      </c>
    </row>
    <row r="4677" spans="1:15">
      <c r="A4677" s="3563" t="s">
        <v>8900</v>
      </c>
      <c r="B4677" s="3563" t="s">
        <v>4811</v>
      </c>
      <c r="C4677" s="3563" t="s">
        <v>4197</v>
      </c>
      <c r="D4677" s="3563" t="s">
        <v>6429</v>
      </c>
      <c r="E4677" s="3563" t="s">
        <v>8897</v>
      </c>
      <c r="F4677" s="3563" t="s">
        <v>4797</v>
      </c>
      <c r="G4677" s="3564">
        <v>88.62</v>
      </c>
      <c r="H4677" s="3564">
        <v>71</v>
      </c>
      <c r="I4677" s="3564">
        <v>17.62</v>
      </c>
      <c r="J4677" s="3565">
        <v>943888</v>
      </c>
      <c r="K4677" s="3565">
        <v>10650.96</v>
      </c>
      <c r="L4677" s="3565">
        <v>13294.2</v>
      </c>
      <c r="M4677" s="3565">
        <v>906133</v>
      </c>
      <c r="N4677" s="3565">
        <v>10224.93</v>
      </c>
      <c r="O4677" s="3566">
        <v>44191</v>
      </c>
    </row>
    <row r="4678" spans="1:15">
      <c r="A4678" s="3563" t="s">
        <v>8901</v>
      </c>
      <c r="B4678" s="3563" t="s">
        <v>4196</v>
      </c>
      <c r="C4678" s="3563" t="s">
        <v>4197</v>
      </c>
      <c r="D4678" s="3563" t="s">
        <v>6429</v>
      </c>
      <c r="E4678" s="3563" t="s">
        <v>8897</v>
      </c>
      <c r="F4678" s="3563" t="s">
        <v>4797</v>
      </c>
      <c r="G4678" s="3564">
        <v>88.62</v>
      </c>
      <c r="H4678" s="3564">
        <v>71</v>
      </c>
      <c r="I4678" s="3564">
        <v>17.62</v>
      </c>
      <c r="J4678" s="3565">
        <v>925033</v>
      </c>
      <c r="K4678" s="3565">
        <v>10438.200000000001</v>
      </c>
      <c r="L4678" s="3565">
        <v>13028.63</v>
      </c>
      <c r="M4678" s="3565">
        <v>0</v>
      </c>
      <c r="N4678" s="3565">
        <v>0</v>
      </c>
      <c r="O4678" s="3563" t="s">
        <v>3453</v>
      </c>
    </row>
    <row r="4679" spans="1:15">
      <c r="A4679" s="3563" t="s">
        <v>8902</v>
      </c>
      <c r="B4679" s="3563" t="s">
        <v>4196</v>
      </c>
      <c r="C4679" s="3563" t="s">
        <v>4197</v>
      </c>
      <c r="D4679" s="3563" t="s">
        <v>6429</v>
      </c>
      <c r="E4679" s="3563" t="s">
        <v>8897</v>
      </c>
      <c r="F4679" s="3563" t="s">
        <v>4797</v>
      </c>
      <c r="G4679" s="3564">
        <v>90.84</v>
      </c>
      <c r="H4679" s="3564">
        <v>72.78</v>
      </c>
      <c r="I4679" s="3564">
        <v>18.059999999999999</v>
      </c>
      <c r="J4679" s="3565">
        <v>904719</v>
      </c>
      <c r="K4679" s="3565">
        <v>9959.48</v>
      </c>
      <c r="L4679" s="3565">
        <v>12430.87</v>
      </c>
      <c r="M4679" s="3565">
        <v>0</v>
      </c>
      <c r="N4679" s="3565">
        <v>0</v>
      </c>
      <c r="O4679" s="3563" t="s">
        <v>3453</v>
      </c>
    </row>
    <row r="4680" spans="1:15">
      <c r="A4680" s="3563" t="s">
        <v>8903</v>
      </c>
      <c r="B4680" s="3563" t="s">
        <v>4811</v>
      </c>
      <c r="C4680" s="3563" t="s">
        <v>4197</v>
      </c>
      <c r="D4680" s="3563" t="s">
        <v>6429</v>
      </c>
      <c r="E4680" s="3563" t="s">
        <v>8897</v>
      </c>
      <c r="F4680" s="3563" t="s">
        <v>4797</v>
      </c>
      <c r="G4680" s="3564">
        <v>88.62</v>
      </c>
      <c r="H4680" s="3564">
        <v>71</v>
      </c>
      <c r="I4680" s="3564">
        <v>17.62</v>
      </c>
      <c r="J4680" s="3565">
        <v>901464</v>
      </c>
      <c r="K4680" s="3565">
        <v>10172.24</v>
      </c>
      <c r="L4680" s="3565">
        <v>12696.68</v>
      </c>
      <c r="M4680" s="3565">
        <v>856391</v>
      </c>
      <c r="N4680" s="3565">
        <v>9663.6299999999992</v>
      </c>
      <c r="O4680" s="3566">
        <v>44179</v>
      </c>
    </row>
    <row r="4681" spans="1:15">
      <c r="A4681" s="3563" t="s">
        <v>8904</v>
      </c>
      <c r="B4681" s="3563" t="s">
        <v>4196</v>
      </c>
      <c r="C4681" s="3563" t="s">
        <v>4197</v>
      </c>
      <c r="D4681" s="3563" t="s">
        <v>6429</v>
      </c>
      <c r="E4681" s="3563" t="s">
        <v>8897</v>
      </c>
      <c r="F4681" s="3563" t="s">
        <v>4797</v>
      </c>
      <c r="G4681" s="3564">
        <v>88.62</v>
      </c>
      <c r="H4681" s="3564">
        <v>71</v>
      </c>
      <c r="I4681" s="3564">
        <v>17.62</v>
      </c>
      <c r="J4681" s="3565">
        <v>901464</v>
      </c>
      <c r="K4681" s="3565">
        <v>10172.24</v>
      </c>
      <c r="L4681" s="3565">
        <v>12696.68</v>
      </c>
      <c r="M4681" s="3565">
        <v>0</v>
      </c>
      <c r="N4681" s="3565">
        <v>0</v>
      </c>
      <c r="O4681" s="3563" t="s">
        <v>3453</v>
      </c>
    </row>
    <row r="4682" spans="1:15">
      <c r="A4682" s="3563" t="s">
        <v>8905</v>
      </c>
      <c r="B4682" s="3563" t="s">
        <v>4196</v>
      </c>
      <c r="C4682" s="3563" t="s">
        <v>4197</v>
      </c>
      <c r="D4682" s="3563" t="s">
        <v>6429</v>
      </c>
      <c r="E4682" s="3563" t="s">
        <v>8897</v>
      </c>
      <c r="F4682" s="3563" t="s">
        <v>4797</v>
      </c>
      <c r="G4682" s="3564">
        <v>102.36</v>
      </c>
      <c r="H4682" s="3564">
        <v>82.01</v>
      </c>
      <c r="I4682" s="3564">
        <v>20.350000000000001</v>
      </c>
      <c r="J4682" s="3565">
        <v>1046675</v>
      </c>
      <c r="K4682" s="3565">
        <v>10225.43</v>
      </c>
      <c r="L4682" s="3565">
        <v>12762.77</v>
      </c>
      <c r="M4682" s="3565">
        <v>0</v>
      </c>
      <c r="N4682" s="3565">
        <v>0</v>
      </c>
      <c r="O4682" s="3563" t="s">
        <v>3453</v>
      </c>
    </row>
    <row r="4683" spans="1:15">
      <c r="A4683" s="3563" t="s">
        <v>8906</v>
      </c>
      <c r="B4683" s="3563" t="s">
        <v>6422</v>
      </c>
      <c r="C4683" s="3563" t="s">
        <v>4197</v>
      </c>
      <c r="D4683" s="3563" t="s">
        <v>6429</v>
      </c>
      <c r="E4683" s="3563" t="s">
        <v>8897</v>
      </c>
      <c r="F4683" s="3563" t="s">
        <v>4797</v>
      </c>
      <c r="G4683" s="3564">
        <v>88.62</v>
      </c>
      <c r="H4683" s="3564">
        <v>71</v>
      </c>
      <c r="I4683" s="3564">
        <v>17.62</v>
      </c>
      <c r="J4683" s="3565">
        <v>944831</v>
      </c>
      <c r="K4683" s="3565">
        <v>10661.6</v>
      </c>
      <c r="L4683" s="3565">
        <v>13307.48</v>
      </c>
      <c r="M4683" s="3565">
        <v>859797</v>
      </c>
      <c r="N4683" s="3565">
        <v>9702.06</v>
      </c>
      <c r="O4683" s="3566">
        <v>44186</v>
      </c>
    </row>
    <row r="4684" spans="1:15">
      <c r="A4684" s="3563" t="s">
        <v>8907</v>
      </c>
      <c r="B4684" s="3563" t="s">
        <v>4196</v>
      </c>
      <c r="C4684" s="3563" t="s">
        <v>4197</v>
      </c>
      <c r="D4684" s="3563" t="s">
        <v>6429</v>
      </c>
      <c r="E4684" s="3563" t="s">
        <v>8897</v>
      </c>
      <c r="F4684" s="3563" t="s">
        <v>4797</v>
      </c>
      <c r="G4684" s="3564">
        <v>88.62</v>
      </c>
      <c r="H4684" s="3564">
        <v>71</v>
      </c>
      <c r="I4684" s="3564">
        <v>17.62</v>
      </c>
      <c r="J4684" s="3565">
        <v>925976</v>
      </c>
      <c r="K4684" s="3565">
        <v>10448.84</v>
      </c>
      <c r="L4684" s="3565">
        <v>13041.92</v>
      </c>
      <c r="M4684" s="3565">
        <v>0</v>
      </c>
      <c r="N4684" s="3565">
        <v>0</v>
      </c>
      <c r="O4684" s="3563" t="s">
        <v>3453</v>
      </c>
    </row>
    <row r="4685" spans="1:15">
      <c r="A4685" s="3563" t="s">
        <v>8908</v>
      </c>
      <c r="B4685" s="3563" t="s">
        <v>4196</v>
      </c>
      <c r="C4685" s="3563" t="s">
        <v>4197</v>
      </c>
      <c r="D4685" s="3563" t="s">
        <v>6429</v>
      </c>
      <c r="E4685" s="3563" t="s">
        <v>8897</v>
      </c>
      <c r="F4685" s="3563" t="s">
        <v>4797</v>
      </c>
      <c r="G4685" s="3564">
        <v>90.84</v>
      </c>
      <c r="H4685" s="3564">
        <v>72.78</v>
      </c>
      <c r="I4685" s="3564">
        <v>18.059999999999999</v>
      </c>
      <c r="J4685" s="3565">
        <v>905685</v>
      </c>
      <c r="K4685" s="3565">
        <v>9970.11</v>
      </c>
      <c r="L4685" s="3565">
        <v>12444.15</v>
      </c>
      <c r="M4685" s="3565">
        <v>0</v>
      </c>
      <c r="N4685" s="3565">
        <v>0</v>
      </c>
      <c r="O4685" s="3563" t="s">
        <v>3453</v>
      </c>
    </row>
    <row r="4686" spans="1:15">
      <c r="A4686" s="3563" t="s">
        <v>8909</v>
      </c>
      <c r="B4686" s="3563" t="s">
        <v>4196</v>
      </c>
      <c r="C4686" s="3563" t="s">
        <v>4197</v>
      </c>
      <c r="D4686" s="3563" t="s">
        <v>6429</v>
      </c>
      <c r="E4686" s="3563" t="s">
        <v>8897</v>
      </c>
      <c r="F4686" s="3563" t="s">
        <v>4797</v>
      </c>
      <c r="G4686" s="3564">
        <v>88.62</v>
      </c>
      <c r="H4686" s="3564">
        <v>71</v>
      </c>
      <c r="I4686" s="3564">
        <v>17.62</v>
      </c>
      <c r="J4686" s="3565">
        <v>902407</v>
      </c>
      <c r="K4686" s="3565">
        <v>10182.879999999999</v>
      </c>
      <c r="L4686" s="3565">
        <v>12709.96</v>
      </c>
      <c r="M4686" s="3565">
        <v>0</v>
      </c>
      <c r="N4686" s="3565">
        <v>0</v>
      </c>
      <c r="O4686" s="3563" t="s">
        <v>3453</v>
      </c>
    </row>
    <row r="4687" spans="1:15">
      <c r="A4687" s="3563" t="s">
        <v>8910</v>
      </c>
      <c r="B4687" s="3563" t="s">
        <v>4196</v>
      </c>
      <c r="C4687" s="3563" t="s">
        <v>4197</v>
      </c>
      <c r="D4687" s="3563" t="s">
        <v>6429</v>
      </c>
      <c r="E4687" s="3563" t="s">
        <v>8897</v>
      </c>
      <c r="F4687" s="3563" t="s">
        <v>4797</v>
      </c>
      <c r="G4687" s="3564">
        <v>88.62</v>
      </c>
      <c r="H4687" s="3564">
        <v>71</v>
      </c>
      <c r="I4687" s="3564">
        <v>17.62</v>
      </c>
      <c r="J4687" s="3565">
        <v>902407</v>
      </c>
      <c r="K4687" s="3565">
        <v>10182.879999999999</v>
      </c>
      <c r="L4687" s="3565">
        <v>12709.96</v>
      </c>
      <c r="M4687" s="3565">
        <v>0</v>
      </c>
      <c r="N4687" s="3565">
        <v>0</v>
      </c>
      <c r="O4687" s="3563" t="s">
        <v>3453</v>
      </c>
    </row>
    <row r="4688" spans="1:15">
      <c r="A4688" s="3563" t="s">
        <v>8911</v>
      </c>
      <c r="B4688" s="3563" t="s">
        <v>4196</v>
      </c>
      <c r="C4688" s="3563" t="s">
        <v>4197</v>
      </c>
      <c r="D4688" s="3563" t="s">
        <v>6429</v>
      </c>
      <c r="E4688" s="3563" t="s">
        <v>8897</v>
      </c>
      <c r="F4688" s="3563" t="s">
        <v>4797</v>
      </c>
      <c r="G4688" s="3564">
        <v>102.36</v>
      </c>
      <c r="H4688" s="3564">
        <v>82.01</v>
      </c>
      <c r="I4688" s="3564">
        <v>20.350000000000001</v>
      </c>
      <c r="J4688" s="3565">
        <v>1047764</v>
      </c>
      <c r="K4688" s="3565">
        <v>10236.07</v>
      </c>
      <c r="L4688" s="3565">
        <v>12776.05</v>
      </c>
      <c r="M4688" s="3565">
        <v>0</v>
      </c>
      <c r="N4688" s="3565">
        <v>0</v>
      </c>
      <c r="O4688" s="3563" t="s">
        <v>3453</v>
      </c>
    </row>
    <row r="4689" spans="1:15">
      <c r="A4689" s="3563" t="s">
        <v>8912</v>
      </c>
      <c r="B4689" s="3563" t="s">
        <v>4196</v>
      </c>
      <c r="C4689" s="3563" t="s">
        <v>4197</v>
      </c>
      <c r="D4689" s="3563" t="s">
        <v>6429</v>
      </c>
      <c r="E4689" s="3563" t="s">
        <v>8897</v>
      </c>
      <c r="F4689" s="3563" t="s">
        <v>4797</v>
      </c>
      <c r="G4689" s="3564">
        <v>88.62</v>
      </c>
      <c r="H4689" s="3564">
        <v>71</v>
      </c>
      <c r="I4689" s="3564">
        <v>17.62</v>
      </c>
      <c r="J4689" s="3565">
        <v>945774</v>
      </c>
      <c r="K4689" s="3565">
        <v>10672.24</v>
      </c>
      <c r="L4689" s="3565">
        <v>13320.76</v>
      </c>
      <c r="M4689" s="3565">
        <v>0</v>
      </c>
      <c r="N4689" s="3565">
        <v>0</v>
      </c>
      <c r="O4689" s="3563" t="s">
        <v>3453</v>
      </c>
    </row>
    <row r="4690" spans="1:15">
      <c r="A4690" s="3563" t="s">
        <v>8913</v>
      </c>
      <c r="B4690" s="3563" t="s">
        <v>4811</v>
      </c>
      <c r="C4690" s="3563" t="s">
        <v>4197</v>
      </c>
      <c r="D4690" s="3563" t="s">
        <v>6429</v>
      </c>
      <c r="E4690" s="3563" t="s">
        <v>8897</v>
      </c>
      <c r="F4690" s="3563" t="s">
        <v>4797</v>
      </c>
      <c r="G4690" s="3564">
        <v>88.62</v>
      </c>
      <c r="H4690" s="3564">
        <v>71</v>
      </c>
      <c r="I4690" s="3564">
        <v>17.62</v>
      </c>
      <c r="J4690" s="3565">
        <v>926919</v>
      </c>
      <c r="K4690" s="3565">
        <v>10459.48</v>
      </c>
      <c r="L4690" s="3565">
        <v>13055.2</v>
      </c>
      <c r="M4690" s="3565">
        <v>880574</v>
      </c>
      <c r="N4690" s="3565">
        <v>9936.52</v>
      </c>
      <c r="O4690" s="3566">
        <v>44192</v>
      </c>
    </row>
    <row r="4691" spans="1:15">
      <c r="A4691" s="3563" t="s">
        <v>8914</v>
      </c>
      <c r="B4691" s="3563" t="s">
        <v>4196</v>
      </c>
      <c r="C4691" s="3563" t="s">
        <v>4197</v>
      </c>
      <c r="D4691" s="3563" t="s">
        <v>6429</v>
      </c>
      <c r="E4691" s="3563" t="s">
        <v>8897</v>
      </c>
      <c r="F4691" s="3563" t="s">
        <v>4797</v>
      </c>
      <c r="G4691" s="3564">
        <v>90.84</v>
      </c>
      <c r="H4691" s="3564">
        <v>72.78</v>
      </c>
      <c r="I4691" s="3564">
        <v>18.059999999999999</v>
      </c>
      <c r="J4691" s="3565">
        <v>906651</v>
      </c>
      <c r="K4691" s="3565">
        <v>9980.75</v>
      </c>
      <c r="L4691" s="3565">
        <v>12457.42</v>
      </c>
      <c r="M4691" s="3565">
        <v>0</v>
      </c>
      <c r="N4691" s="3565">
        <v>0</v>
      </c>
      <c r="O4691" s="3563" t="s">
        <v>3453</v>
      </c>
    </row>
    <row r="4692" spans="1:15">
      <c r="A4692" s="3563" t="s">
        <v>8915</v>
      </c>
      <c r="B4692" s="3563" t="s">
        <v>4196</v>
      </c>
      <c r="C4692" s="3563" t="s">
        <v>4197</v>
      </c>
      <c r="D4692" s="3563" t="s">
        <v>6429</v>
      </c>
      <c r="E4692" s="3563" t="s">
        <v>8897</v>
      </c>
      <c r="F4692" s="3563" t="s">
        <v>4797</v>
      </c>
      <c r="G4692" s="3564">
        <v>88.62</v>
      </c>
      <c r="H4692" s="3564">
        <v>71</v>
      </c>
      <c r="I4692" s="3564">
        <v>17.62</v>
      </c>
      <c r="J4692" s="3565">
        <v>903349</v>
      </c>
      <c r="K4692" s="3565">
        <v>10193.51</v>
      </c>
      <c r="L4692" s="3565">
        <v>12723.23</v>
      </c>
      <c r="M4692" s="3565">
        <v>0</v>
      </c>
      <c r="N4692" s="3565">
        <v>0</v>
      </c>
      <c r="O4692" s="3563" t="s">
        <v>3453</v>
      </c>
    </row>
    <row r="4693" spans="1:15">
      <c r="A4693" s="3563" t="s">
        <v>8916</v>
      </c>
      <c r="B4693" s="3563" t="s">
        <v>5277</v>
      </c>
      <c r="C4693" s="3563" t="s">
        <v>4197</v>
      </c>
      <c r="D4693" s="3563" t="s">
        <v>6429</v>
      </c>
      <c r="E4693" s="3563" t="s">
        <v>8897</v>
      </c>
      <c r="F4693" s="3563" t="s">
        <v>4797</v>
      </c>
      <c r="G4693" s="3564">
        <v>88.62</v>
      </c>
      <c r="H4693" s="3564">
        <v>71</v>
      </c>
      <c r="I4693" s="3564">
        <v>17.62</v>
      </c>
      <c r="J4693" s="3565">
        <v>903349</v>
      </c>
      <c r="K4693" s="3565">
        <v>10193.51</v>
      </c>
      <c r="L4693" s="3565">
        <v>12723.23</v>
      </c>
      <c r="M4693" s="3565">
        <v>858182</v>
      </c>
      <c r="N4693" s="3565">
        <v>9683.84</v>
      </c>
      <c r="O4693" s="3566">
        <v>44178</v>
      </c>
    </row>
    <row r="4694" spans="1:15">
      <c r="A4694" s="3563" t="s">
        <v>8917</v>
      </c>
      <c r="B4694" s="3563" t="s">
        <v>4811</v>
      </c>
      <c r="C4694" s="3563" t="s">
        <v>4197</v>
      </c>
      <c r="D4694" s="3563" t="s">
        <v>6429</v>
      </c>
      <c r="E4694" s="3563" t="s">
        <v>8897</v>
      </c>
      <c r="F4694" s="3563" t="s">
        <v>4797</v>
      </c>
      <c r="G4694" s="3564">
        <v>102.36</v>
      </c>
      <c r="H4694" s="3564">
        <v>82.01</v>
      </c>
      <c r="I4694" s="3564">
        <v>20.350000000000001</v>
      </c>
      <c r="J4694" s="3565">
        <v>1048853</v>
      </c>
      <c r="K4694" s="3565">
        <v>10246.709999999999</v>
      </c>
      <c r="L4694" s="3565">
        <v>12789.33</v>
      </c>
      <c r="M4694" s="3565">
        <v>1048853</v>
      </c>
      <c r="N4694" s="3565">
        <v>10246.709999999999</v>
      </c>
      <c r="O4694" s="3566">
        <v>44179</v>
      </c>
    </row>
    <row r="4695" spans="1:15">
      <c r="A4695" s="3563" t="s">
        <v>8918</v>
      </c>
      <c r="B4695" s="3563" t="s">
        <v>5277</v>
      </c>
      <c r="C4695" s="3563" t="s">
        <v>4197</v>
      </c>
      <c r="D4695" s="3563" t="s">
        <v>6429</v>
      </c>
      <c r="E4695" s="3563" t="s">
        <v>8897</v>
      </c>
      <c r="F4695" s="3563" t="s">
        <v>4797</v>
      </c>
      <c r="G4695" s="3564">
        <v>88.62</v>
      </c>
      <c r="H4695" s="3564">
        <v>71</v>
      </c>
      <c r="I4695" s="3564">
        <v>17.62</v>
      </c>
      <c r="J4695" s="3565">
        <v>946717</v>
      </c>
      <c r="K4695" s="3565">
        <v>10682.88</v>
      </c>
      <c r="L4695" s="3565">
        <v>13334.04</v>
      </c>
      <c r="M4695" s="3565">
        <v>872116</v>
      </c>
      <c r="N4695" s="3565">
        <v>9841.07</v>
      </c>
      <c r="O4695" s="3566">
        <v>44185</v>
      </c>
    </row>
    <row r="4696" spans="1:15">
      <c r="A4696" s="3563" t="s">
        <v>8919</v>
      </c>
      <c r="B4696" s="3563" t="s">
        <v>5277</v>
      </c>
      <c r="C4696" s="3563" t="s">
        <v>4197</v>
      </c>
      <c r="D4696" s="3563" t="s">
        <v>6429</v>
      </c>
      <c r="E4696" s="3563" t="s">
        <v>8897</v>
      </c>
      <c r="F4696" s="3563" t="s">
        <v>4797</v>
      </c>
      <c r="G4696" s="3564">
        <v>88.62</v>
      </c>
      <c r="H4696" s="3564">
        <v>71</v>
      </c>
      <c r="I4696" s="3564">
        <v>17.62</v>
      </c>
      <c r="J4696" s="3565">
        <v>927861</v>
      </c>
      <c r="K4696" s="3565">
        <v>10470.11</v>
      </c>
      <c r="L4696" s="3565">
        <v>13068.46</v>
      </c>
      <c r="M4696" s="3565">
        <v>890747</v>
      </c>
      <c r="N4696" s="3565">
        <v>10051.31</v>
      </c>
      <c r="O4696" s="3566">
        <v>44185</v>
      </c>
    </row>
    <row r="4697" spans="1:15">
      <c r="A4697" s="3563" t="s">
        <v>8920</v>
      </c>
      <c r="B4697" s="3563" t="s">
        <v>4811</v>
      </c>
      <c r="C4697" s="3563" t="s">
        <v>4197</v>
      </c>
      <c r="D4697" s="3563" t="s">
        <v>6429</v>
      </c>
      <c r="E4697" s="3563" t="s">
        <v>8897</v>
      </c>
      <c r="F4697" s="3563" t="s">
        <v>4797</v>
      </c>
      <c r="G4697" s="3564">
        <v>90.84</v>
      </c>
      <c r="H4697" s="3564">
        <v>72.78</v>
      </c>
      <c r="I4697" s="3564">
        <v>18.059999999999999</v>
      </c>
      <c r="J4697" s="3565">
        <v>907618</v>
      </c>
      <c r="K4697" s="3565">
        <v>9991.39</v>
      </c>
      <c r="L4697" s="3565">
        <v>12470.71</v>
      </c>
      <c r="M4697" s="3565">
        <v>871314</v>
      </c>
      <c r="N4697" s="3565">
        <v>9591.74</v>
      </c>
      <c r="O4697" s="3566">
        <v>44183</v>
      </c>
    </row>
    <row r="4698" spans="1:15">
      <c r="A4698" s="3563" t="s">
        <v>8921</v>
      </c>
      <c r="B4698" s="3563" t="s">
        <v>4196</v>
      </c>
      <c r="C4698" s="3563" t="s">
        <v>4197</v>
      </c>
      <c r="D4698" s="3563" t="s">
        <v>6429</v>
      </c>
      <c r="E4698" s="3563" t="s">
        <v>8897</v>
      </c>
      <c r="F4698" s="3563" t="s">
        <v>4797</v>
      </c>
      <c r="G4698" s="3564">
        <v>88.62</v>
      </c>
      <c r="H4698" s="3564">
        <v>71</v>
      </c>
      <c r="I4698" s="3564">
        <v>17.62</v>
      </c>
      <c r="J4698" s="3565">
        <v>904292</v>
      </c>
      <c r="K4698" s="3565">
        <v>10204.15</v>
      </c>
      <c r="L4698" s="3565">
        <v>12736.51</v>
      </c>
      <c r="M4698" s="3565">
        <v>0</v>
      </c>
      <c r="N4698" s="3565">
        <v>0</v>
      </c>
      <c r="O4698" s="3563" t="s">
        <v>3453</v>
      </c>
    </row>
    <row r="4699" spans="1:15">
      <c r="A4699" s="3563" t="s">
        <v>8922</v>
      </c>
      <c r="B4699" s="3563" t="s">
        <v>4196</v>
      </c>
      <c r="C4699" s="3563" t="s">
        <v>4197</v>
      </c>
      <c r="D4699" s="3563" t="s">
        <v>6429</v>
      </c>
      <c r="E4699" s="3563" t="s">
        <v>8897</v>
      </c>
      <c r="F4699" s="3563" t="s">
        <v>4797</v>
      </c>
      <c r="G4699" s="3564">
        <v>88.62</v>
      </c>
      <c r="H4699" s="3564">
        <v>71</v>
      </c>
      <c r="I4699" s="3564">
        <v>17.62</v>
      </c>
      <c r="J4699" s="3565">
        <v>904292</v>
      </c>
      <c r="K4699" s="3565">
        <v>10204.15</v>
      </c>
      <c r="L4699" s="3565">
        <v>12736.51</v>
      </c>
      <c r="M4699" s="3565">
        <v>0</v>
      </c>
      <c r="N4699" s="3565">
        <v>0</v>
      </c>
      <c r="O4699" s="3563" t="s">
        <v>3453</v>
      </c>
    </row>
    <row r="4700" spans="1:15">
      <c r="A4700" s="3563" t="s">
        <v>8923</v>
      </c>
      <c r="B4700" s="3563" t="s">
        <v>6422</v>
      </c>
      <c r="C4700" s="3563" t="s">
        <v>4197</v>
      </c>
      <c r="D4700" s="3563" t="s">
        <v>6429</v>
      </c>
      <c r="E4700" s="3563" t="s">
        <v>8897</v>
      </c>
      <c r="F4700" s="3563" t="s">
        <v>4797</v>
      </c>
      <c r="G4700" s="3564">
        <v>102.36</v>
      </c>
      <c r="H4700" s="3564">
        <v>82.01</v>
      </c>
      <c r="I4700" s="3564">
        <v>20.350000000000001</v>
      </c>
      <c r="J4700" s="3565">
        <v>1049942</v>
      </c>
      <c r="K4700" s="3565">
        <v>10257.35</v>
      </c>
      <c r="L4700" s="3565">
        <v>12802.61</v>
      </c>
      <c r="M4700" s="3565">
        <v>1007945</v>
      </c>
      <c r="N4700" s="3565">
        <v>9847.06</v>
      </c>
      <c r="O4700" s="3566">
        <v>44178</v>
      </c>
    </row>
    <row r="4701" spans="1:15">
      <c r="A4701" s="3563" t="s">
        <v>8924</v>
      </c>
      <c r="B4701" s="3563" t="s">
        <v>5277</v>
      </c>
      <c r="C4701" s="3563" t="s">
        <v>4197</v>
      </c>
      <c r="D4701" s="3563" t="s">
        <v>6429</v>
      </c>
      <c r="E4701" s="3563" t="s">
        <v>8897</v>
      </c>
      <c r="F4701" s="3563" t="s">
        <v>4797</v>
      </c>
      <c r="G4701" s="3564">
        <v>88.62</v>
      </c>
      <c r="H4701" s="3564">
        <v>71</v>
      </c>
      <c r="I4701" s="3564">
        <v>17.62</v>
      </c>
      <c r="J4701" s="3565">
        <v>938232</v>
      </c>
      <c r="K4701" s="3565">
        <v>10587.14</v>
      </c>
      <c r="L4701" s="3565">
        <v>13214.54</v>
      </c>
      <c r="M4701" s="3565">
        <v>864300</v>
      </c>
      <c r="N4701" s="3565">
        <v>9752.8799999999992</v>
      </c>
      <c r="O4701" s="3566">
        <v>44184</v>
      </c>
    </row>
    <row r="4702" spans="1:15">
      <c r="A4702" s="3563" t="s">
        <v>8925</v>
      </c>
      <c r="B4702" s="3563" t="s">
        <v>5277</v>
      </c>
      <c r="C4702" s="3563" t="s">
        <v>4197</v>
      </c>
      <c r="D4702" s="3563" t="s">
        <v>6429</v>
      </c>
      <c r="E4702" s="3563" t="s">
        <v>8897</v>
      </c>
      <c r="F4702" s="3563" t="s">
        <v>4797</v>
      </c>
      <c r="G4702" s="3564">
        <v>88.62</v>
      </c>
      <c r="H4702" s="3564">
        <v>71</v>
      </c>
      <c r="I4702" s="3564">
        <v>17.62</v>
      </c>
      <c r="J4702" s="3565">
        <v>919376</v>
      </c>
      <c r="K4702" s="3565">
        <v>10374.36</v>
      </c>
      <c r="L4702" s="3565">
        <v>12948.96</v>
      </c>
      <c r="M4702" s="3565">
        <v>836633</v>
      </c>
      <c r="N4702" s="3565">
        <v>9440.68</v>
      </c>
      <c r="O4702" s="3566">
        <v>44187</v>
      </c>
    </row>
    <row r="4703" spans="1:15">
      <c r="A4703" s="3563" t="s">
        <v>8926</v>
      </c>
      <c r="B4703" s="3563" t="s">
        <v>5277</v>
      </c>
      <c r="C4703" s="3563" t="s">
        <v>4197</v>
      </c>
      <c r="D4703" s="3563" t="s">
        <v>6429</v>
      </c>
      <c r="E4703" s="3563" t="s">
        <v>8897</v>
      </c>
      <c r="F4703" s="3563" t="s">
        <v>4797</v>
      </c>
      <c r="G4703" s="3564">
        <v>90.84</v>
      </c>
      <c r="H4703" s="3564">
        <v>72.78</v>
      </c>
      <c r="I4703" s="3564">
        <v>18.059999999999999</v>
      </c>
      <c r="J4703" s="3565">
        <v>898920</v>
      </c>
      <c r="K4703" s="3565">
        <v>9895.64</v>
      </c>
      <c r="L4703" s="3565">
        <v>12351.2</v>
      </c>
      <c r="M4703" s="3565">
        <v>862964</v>
      </c>
      <c r="N4703" s="3565">
        <v>9499.82</v>
      </c>
      <c r="O4703" s="3566">
        <v>44177</v>
      </c>
    </row>
    <row r="4704" spans="1:15">
      <c r="A4704" s="3563" t="s">
        <v>8927</v>
      </c>
      <c r="B4704" s="3563" t="s">
        <v>4196</v>
      </c>
      <c r="C4704" s="3563" t="s">
        <v>4197</v>
      </c>
      <c r="D4704" s="3563" t="s">
        <v>6429</v>
      </c>
      <c r="E4704" s="3563" t="s">
        <v>8897</v>
      </c>
      <c r="F4704" s="3563" t="s">
        <v>4797</v>
      </c>
      <c r="G4704" s="3564">
        <v>88.62</v>
      </c>
      <c r="H4704" s="3564">
        <v>71</v>
      </c>
      <c r="I4704" s="3564">
        <v>17.62</v>
      </c>
      <c r="J4704" s="3565">
        <v>895807</v>
      </c>
      <c r="K4704" s="3565">
        <v>10108.41</v>
      </c>
      <c r="L4704" s="3565">
        <v>12617</v>
      </c>
      <c r="M4704" s="3565">
        <v>0</v>
      </c>
      <c r="N4704" s="3565">
        <v>0</v>
      </c>
      <c r="O4704" s="3563" t="s">
        <v>3453</v>
      </c>
    </row>
    <row r="4705" spans="1:15">
      <c r="A4705" s="3563" t="s">
        <v>8928</v>
      </c>
      <c r="B4705" s="3563" t="s">
        <v>4811</v>
      </c>
      <c r="C4705" s="3563" t="s">
        <v>4197</v>
      </c>
      <c r="D4705" s="3563" t="s">
        <v>6429</v>
      </c>
      <c r="E4705" s="3563" t="s">
        <v>8897</v>
      </c>
      <c r="F4705" s="3563" t="s">
        <v>4797</v>
      </c>
      <c r="G4705" s="3564">
        <v>88.62</v>
      </c>
      <c r="H4705" s="3564">
        <v>71</v>
      </c>
      <c r="I4705" s="3564">
        <v>17.62</v>
      </c>
      <c r="J4705" s="3565">
        <v>895807</v>
      </c>
      <c r="K4705" s="3565">
        <v>10108.41</v>
      </c>
      <c r="L4705" s="3565">
        <v>12617</v>
      </c>
      <c r="M4705" s="3565">
        <v>859975</v>
      </c>
      <c r="N4705" s="3565">
        <v>9704.07</v>
      </c>
      <c r="O4705" s="3566">
        <v>44188</v>
      </c>
    </row>
    <row r="4706" spans="1:15">
      <c r="A4706" s="3563" t="s">
        <v>8929</v>
      </c>
      <c r="B4706" s="3563" t="s">
        <v>5277</v>
      </c>
      <c r="C4706" s="3563" t="s">
        <v>4197</v>
      </c>
      <c r="D4706" s="3563" t="s">
        <v>6429</v>
      </c>
      <c r="E4706" s="3563" t="s">
        <v>8897</v>
      </c>
      <c r="F4706" s="3563" t="s">
        <v>4797</v>
      </c>
      <c r="G4706" s="3564">
        <v>102.36</v>
      </c>
      <c r="H4706" s="3564">
        <v>82.01</v>
      </c>
      <c r="I4706" s="3564">
        <v>20.350000000000001</v>
      </c>
      <c r="J4706" s="3565">
        <v>1040141</v>
      </c>
      <c r="K4706" s="3565">
        <v>10161.6</v>
      </c>
      <c r="L4706" s="3565">
        <v>12683.1</v>
      </c>
      <c r="M4706" s="3565">
        <v>998536</v>
      </c>
      <c r="N4706" s="3565">
        <v>9755.14</v>
      </c>
      <c r="O4706" s="3566">
        <v>44179</v>
      </c>
    </row>
    <row r="4707" spans="1:15">
      <c r="A4707" s="3563" t="s">
        <v>8930</v>
      </c>
      <c r="B4707" s="3563" t="s">
        <v>4196</v>
      </c>
      <c r="C4707" s="3563" t="s">
        <v>4197</v>
      </c>
      <c r="D4707" s="3563" t="s">
        <v>6429</v>
      </c>
      <c r="E4707" s="3563" t="s">
        <v>8897</v>
      </c>
      <c r="F4707" s="3563" t="s">
        <v>4797</v>
      </c>
      <c r="G4707" s="3564">
        <v>88.62</v>
      </c>
      <c r="H4707" s="3564">
        <v>71</v>
      </c>
      <c r="I4707" s="3564">
        <v>17.62</v>
      </c>
      <c r="J4707" s="3565">
        <v>948602</v>
      </c>
      <c r="K4707" s="3565">
        <v>10704.15</v>
      </c>
      <c r="L4707" s="3565">
        <v>13360.59</v>
      </c>
      <c r="M4707" s="3565">
        <v>0</v>
      </c>
      <c r="N4707" s="3565">
        <v>0</v>
      </c>
      <c r="O4707" s="3563" t="s">
        <v>3453</v>
      </c>
    </row>
    <row r="4708" spans="1:15">
      <c r="A4708" s="3563" t="s">
        <v>8931</v>
      </c>
      <c r="B4708" s="3563" t="s">
        <v>6422</v>
      </c>
      <c r="C4708" s="3563" t="s">
        <v>4197</v>
      </c>
      <c r="D4708" s="3563" t="s">
        <v>6429</v>
      </c>
      <c r="E4708" s="3563" t="s">
        <v>8897</v>
      </c>
      <c r="F4708" s="3563" t="s">
        <v>4797</v>
      </c>
      <c r="G4708" s="3564">
        <v>88.62</v>
      </c>
      <c r="H4708" s="3564">
        <v>71</v>
      </c>
      <c r="I4708" s="3564">
        <v>17.62</v>
      </c>
      <c r="J4708" s="3565">
        <v>929747</v>
      </c>
      <c r="K4708" s="3565">
        <v>10491.39</v>
      </c>
      <c r="L4708" s="3565">
        <v>13095.03</v>
      </c>
      <c r="M4708" s="3565">
        <v>892559</v>
      </c>
      <c r="N4708" s="3565">
        <v>10071.76</v>
      </c>
      <c r="O4708" s="3566">
        <v>44177</v>
      </c>
    </row>
    <row r="4709" spans="1:15">
      <c r="A4709" s="3563" t="s">
        <v>8932</v>
      </c>
      <c r="B4709" s="3563" t="s">
        <v>5277</v>
      </c>
      <c r="C4709" s="3563" t="s">
        <v>4197</v>
      </c>
      <c r="D4709" s="3563" t="s">
        <v>6429</v>
      </c>
      <c r="E4709" s="3563" t="s">
        <v>8897</v>
      </c>
      <c r="F4709" s="3563" t="s">
        <v>4797</v>
      </c>
      <c r="G4709" s="3564">
        <v>90.84</v>
      </c>
      <c r="H4709" s="3564">
        <v>72.78</v>
      </c>
      <c r="I4709" s="3564">
        <v>18.059999999999999</v>
      </c>
      <c r="J4709" s="3565">
        <v>909550</v>
      </c>
      <c r="K4709" s="3565">
        <v>10012.66</v>
      </c>
      <c r="L4709" s="3565">
        <v>12497.25</v>
      </c>
      <c r="M4709" s="3565">
        <v>872168</v>
      </c>
      <c r="N4709" s="3565">
        <v>9601.14</v>
      </c>
      <c r="O4709" s="3566">
        <v>44183</v>
      </c>
    </row>
    <row r="4710" spans="1:15">
      <c r="A4710" s="3563" t="s">
        <v>8933</v>
      </c>
      <c r="B4710" s="3563" t="s">
        <v>4196</v>
      </c>
      <c r="C4710" s="3563" t="s">
        <v>4197</v>
      </c>
      <c r="D4710" s="3563" t="s">
        <v>6429</v>
      </c>
      <c r="E4710" s="3563" t="s">
        <v>8897</v>
      </c>
      <c r="F4710" s="3563" t="s">
        <v>4797</v>
      </c>
      <c r="G4710" s="3564">
        <v>88.62</v>
      </c>
      <c r="H4710" s="3564">
        <v>71</v>
      </c>
      <c r="I4710" s="3564">
        <v>17.62</v>
      </c>
      <c r="J4710" s="3565">
        <v>906178</v>
      </c>
      <c r="K4710" s="3565">
        <v>10225.43</v>
      </c>
      <c r="L4710" s="3565">
        <v>12763.07</v>
      </c>
      <c r="M4710" s="3565">
        <v>0</v>
      </c>
      <c r="N4710" s="3565">
        <v>0</v>
      </c>
      <c r="O4710" s="3563" t="s">
        <v>3453</v>
      </c>
    </row>
    <row r="4711" spans="1:15">
      <c r="A4711" s="3563" t="s">
        <v>8934</v>
      </c>
      <c r="B4711" s="3563" t="s">
        <v>5277</v>
      </c>
      <c r="C4711" s="3563" t="s">
        <v>4197</v>
      </c>
      <c r="D4711" s="3563" t="s">
        <v>6429</v>
      </c>
      <c r="E4711" s="3563" t="s">
        <v>8897</v>
      </c>
      <c r="F4711" s="3563" t="s">
        <v>4797</v>
      </c>
      <c r="G4711" s="3564">
        <v>88.62</v>
      </c>
      <c r="H4711" s="3564">
        <v>71</v>
      </c>
      <c r="I4711" s="3564">
        <v>17.62</v>
      </c>
      <c r="J4711" s="3565">
        <v>906178</v>
      </c>
      <c r="K4711" s="3565">
        <v>10225.43</v>
      </c>
      <c r="L4711" s="3565">
        <v>12763.07</v>
      </c>
      <c r="M4711" s="3565">
        <v>869931</v>
      </c>
      <c r="N4711" s="3565">
        <v>9816.42</v>
      </c>
      <c r="O4711" s="3566">
        <v>44180</v>
      </c>
    </row>
    <row r="4712" spans="1:15">
      <c r="A4712" s="3563" t="s">
        <v>8935</v>
      </c>
      <c r="B4712" s="3563" t="s">
        <v>6422</v>
      </c>
      <c r="C4712" s="3563" t="s">
        <v>4197</v>
      </c>
      <c r="D4712" s="3563" t="s">
        <v>6429</v>
      </c>
      <c r="E4712" s="3563" t="s">
        <v>8897</v>
      </c>
      <c r="F4712" s="3563" t="s">
        <v>4797</v>
      </c>
      <c r="G4712" s="3564">
        <v>102.36</v>
      </c>
      <c r="H4712" s="3564">
        <v>82.01</v>
      </c>
      <c r="I4712" s="3564">
        <v>20.350000000000001</v>
      </c>
      <c r="J4712" s="3565">
        <v>1052120</v>
      </c>
      <c r="K4712" s="3565">
        <v>10278.620000000001</v>
      </c>
      <c r="L4712" s="3565">
        <v>12829.17</v>
      </c>
      <c r="M4712" s="3565">
        <v>999514</v>
      </c>
      <c r="N4712" s="3565">
        <v>9764.69</v>
      </c>
      <c r="O4712" s="3566">
        <v>44178</v>
      </c>
    </row>
    <row r="4713" spans="1:15">
      <c r="A4713" s="3563" t="s">
        <v>8936</v>
      </c>
      <c r="B4713" s="3563" t="s">
        <v>4196</v>
      </c>
      <c r="C4713" s="3563" t="s">
        <v>4197</v>
      </c>
      <c r="D4713" s="3563" t="s">
        <v>6429</v>
      </c>
      <c r="E4713" s="3563" t="s">
        <v>8897</v>
      </c>
      <c r="F4713" s="3563" t="s">
        <v>4797</v>
      </c>
      <c r="G4713" s="3564">
        <v>88.62</v>
      </c>
      <c r="H4713" s="3564">
        <v>71</v>
      </c>
      <c r="I4713" s="3564">
        <v>17.62</v>
      </c>
      <c r="J4713" s="3565">
        <v>947659</v>
      </c>
      <c r="K4713" s="3565">
        <v>10693.51</v>
      </c>
      <c r="L4713" s="3565">
        <v>13347.31</v>
      </c>
      <c r="M4713" s="3565">
        <v>0</v>
      </c>
      <c r="N4713" s="3565">
        <v>0</v>
      </c>
      <c r="O4713" s="3563" t="s">
        <v>3453</v>
      </c>
    </row>
    <row r="4714" spans="1:15">
      <c r="A4714" s="3563" t="s">
        <v>8937</v>
      </c>
      <c r="B4714" s="3563" t="s">
        <v>5277</v>
      </c>
      <c r="C4714" s="3563" t="s">
        <v>4197</v>
      </c>
      <c r="D4714" s="3563" t="s">
        <v>6429</v>
      </c>
      <c r="E4714" s="3563" t="s">
        <v>8897</v>
      </c>
      <c r="F4714" s="3563" t="s">
        <v>4797</v>
      </c>
      <c r="G4714" s="3564">
        <v>88.62</v>
      </c>
      <c r="H4714" s="3564">
        <v>71</v>
      </c>
      <c r="I4714" s="3564">
        <v>17.62</v>
      </c>
      <c r="J4714" s="3565">
        <v>928804</v>
      </c>
      <c r="K4714" s="3565">
        <v>10480.75</v>
      </c>
      <c r="L4714" s="3565">
        <v>13081.75</v>
      </c>
      <c r="M4714" s="3565">
        <v>900940</v>
      </c>
      <c r="N4714" s="3565">
        <v>10166.33</v>
      </c>
      <c r="O4714" s="3566">
        <v>44189</v>
      </c>
    </row>
    <row r="4715" spans="1:15">
      <c r="A4715" s="3563" t="s">
        <v>8938</v>
      </c>
      <c r="B4715" s="3563" t="s">
        <v>5277</v>
      </c>
      <c r="C4715" s="3563" t="s">
        <v>4197</v>
      </c>
      <c r="D4715" s="3563" t="s">
        <v>6429</v>
      </c>
      <c r="E4715" s="3563" t="s">
        <v>8897</v>
      </c>
      <c r="F4715" s="3563" t="s">
        <v>4797</v>
      </c>
      <c r="G4715" s="3564">
        <v>90.84</v>
      </c>
      <c r="H4715" s="3564">
        <v>72.78</v>
      </c>
      <c r="I4715" s="3564">
        <v>18.059999999999999</v>
      </c>
      <c r="J4715" s="3565">
        <v>908584</v>
      </c>
      <c r="K4715" s="3565">
        <v>10002.030000000001</v>
      </c>
      <c r="L4715" s="3565">
        <v>12483.98</v>
      </c>
      <c r="M4715" s="3565">
        <v>872241</v>
      </c>
      <c r="N4715" s="3565">
        <v>9601.9500000000007</v>
      </c>
      <c r="O4715" s="3566">
        <v>44183</v>
      </c>
    </row>
    <row r="4716" spans="1:15">
      <c r="A4716" s="3563" t="s">
        <v>8939</v>
      </c>
      <c r="B4716" s="3563" t="s">
        <v>4196</v>
      </c>
      <c r="C4716" s="3563" t="s">
        <v>4197</v>
      </c>
      <c r="D4716" s="3563" t="s">
        <v>6429</v>
      </c>
      <c r="E4716" s="3563" t="s">
        <v>8897</v>
      </c>
      <c r="F4716" s="3563" t="s">
        <v>4797</v>
      </c>
      <c r="G4716" s="3564">
        <v>88.62</v>
      </c>
      <c r="H4716" s="3564">
        <v>71</v>
      </c>
      <c r="I4716" s="3564">
        <v>17.62</v>
      </c>
      <c r="J4716" s="3565">
        <v>905235</v>
      </c>
      <c r="K4716" s="3565">
        <v>10214.790000000001</v>
      </c>
      <c r="L4716" s="3565">
        <v>12749.79</v>
      </c>
      <c r="M4716" s="3565">
        <v>0</v>
      </c>
      <c r="N4716" s="3565">
        <v>0</v>
      </c>
      <c r="O4716" s="3563" t="s">
        <v>3453</v>
      </c>
    </row>
    <row r="4717" spans="1:15">
      <c r="A4717" s="3563" t="s">
        <v>8940</v>
      </c>
      <c r="B4717" s="3563" t="s">
        <v>5277</v>
      </c>
      <c r="C4717" s="3563" t="s">
        <v>4197</v>
      </c>
      <c r="D4717" s="3563" t="s">
        <v>6429</v>
      </c>
      <c r="E4717" s="3563" t="s">
        <v>8897</v>
      </c>
      <c r="F4717" s="3563" t="s">
        <v>4797</v>
      </c>
      <c r="G4717" s="3564">
        <v>88.62</v>
      </c>
      <c r="H4717" s="3564">
        <v>71</v>
      </c>
      <c r="I4717" s="3564">
        <v>17.62</v>
      </c>
      <c r="J4717" s="3565">
        <v>905235</v>
      </c>
      <c r="K4717" s="3565">
        <v>10214.790000000001</v>
      </c>
      <c r="L4717" s="3565">
        <v>12749.79</v>
      </c>
      <c r="M4717" s="3565">
        <v>869026</v>
      </c>
      <c r="N4717" s="3565">
        <v>9806.2099999999991</v>
      </c>
      <c r="O4717" s="3566">
        <v>44179</v>
      </c>
    </row>
    <row r="4718" spans="1:15">
      <c r="A4718" s="3563" t="s">
        <v>8941</v>
      </c>
      <c r="B4718" s="3563" t="s">
        <v>6422</v>
      </c>
      <c r="C4718" s="3563" t="s">
        <v>4197</v>
      </c>
      <c r="D4718" s="3563" t="s">
        <v>6429</v>
      </c>
      <c r="E4718" s="3563" t="s">
        <v>8897</v>
      </c>
      <c r="F4718" s="3563" t="s">
        <v>4797</v>
      </c>
      <c r="G4718" s="3564">
        <v>102.36</v>
      </c>
      <c r="H4718" s="3564">
        <v>82.01</v>
      </c>
      <c r="I4718" s="3564">
        <v>20.350000000000001</v>
      </c>
      <c r="J4718" s="3565">
        <v>1051031</v>
      </c>
      <c r="K4718" s="3565">
        <v>10267.99</v>
      </c>
      <c r="L4718" s="3565">
        <v>12815.89</v>
      </c>
      <c r="M4718" s="3565">
        <v>998480</v>
      </c>
      <c r="N4718" s="3565">
        <v>9754.59</v>
      </c>
      <c r="O4718" s="3566">
        <v>44180</v>
      </c>
    </row>
    <row r="4719" spans="1:15">
      <c r="A4719" s="3563" t="s">
        <v>8942</v>
      </c>
      <c r="B4719" s="3563" t="s">
        <v>4196</v>
      </c>
      <c r="C4719" s="3563" t="s">
        <v>4197</v>
      </c>
      <c r="D4719" s="3563" t="s">
        <v>6429</v>
      </c>
      <c r="E4719" s="3563" t="s">
        <v>8897</v>
      </c>
      <c r="F4719" s="3563" t="s">
        <v>4797</v>
      </c>
      <c r="G4719" s="3564">
        <v>88.62</v>
      </c>
      <c r="H4719" s="3564">
        <v>71</v>
      </c>
      <c r="I4719" s="3564">
        <v>17.62</v>
      </c>
      <c r="J4719" s="3565">
        <v>946717</v>
      </c>
      <c r="K4719" s="3565">
        <v>10682.88</v>
      </c>
      <c r="L4719" s="3565">
        <v>13334.04</v>
      </c>
      <c r="M4719" s="3565">
        <v>0</v>
      </c>
      <c r="N4719" s="3565">
        <v>0</v>
      </c>
      <c r="O4719" s="3563" t="s">
        <v>3453</v>
      </c>
    </row>
    <row r="4720" spans="1:15">
      <c r="A4720" s="3563" t="s">
        <v>8943</v>
      </c>
      <c r="B4720" s="3563" t="s">
        <v>4196</v>
      </c>
      <c r="C4720" s="3563" t="s">
        <v>4197</v>
      </c>
      <c r="D4720" s="3563" t="s">
        <v>6429</v>
      </c>
      <c r="E4720" s="3563" t="s">
        <v>8897</v>
      </c>
      <c r="F4720" s="3563" t="s">
        <v>4797</v>
      </c>
      <c r="G4720" s="3564">
        <v>88.62</v>
      </c>
      <c r="H4720" s="3564">
        <v>71</v>
      </c>
      <c r="I4720" s="3564">
        <v>17.62</v>
      </c>
      <c r="J4720" s="3565">
        <v>927861</v>
      </c>
      <c r="K4720" s="3565">
        <v>10470.11</v>
      </c>
      <c r="L4720" s="3565">
        <v>13068.46</v>
      </c>
      <c r="M4720" s="3565">
        <v>0</v>
      </c>
      <c r="N4720" s="3565">
        <v>0</v>
      </c>
      <c r="O4720" s="3563" t="s">
        <v>3453</v>
      </c>
    </row>
    <row r="4721" spans="1:15">
      <c r="A4721" s="3563" t="s">
        <v>8944</v>
      </c>
      <c r="B4721" s="3563" t="s">
        <v>6422</v>
      </c>
      <c r="C4721" s="3563" t="s">
        <v>4197</v>
      </c>
      <c r="D4721" s="3563" t="s">
        <v>6429</v>
      </c>
      <c r="E4721" s="3563" t="s">
        <v>8897</v>
      </c>
      <c r="F4721" s="3563" t="s">
        <v>4797</v>
      </c>
      <c r="G4721" s="3564">
        <v>90.84</v>
      </c>
      <c r="H4721" s="3564">
        <v>72.78</v>
      </c>
      <c r="I4721" s="3564">
        <v>18.059999999999999</v>
      </c>
      <c r="J4721" s="3565">
        <v>907618</v>
      </c>
      <c r="K4721" s="3565">
        <v>9991.39</v>
      </c>
      <c r="L4721" s="3565">
        <v>12470.71</v>
      </c>
      <c r="M4721" s="3565">
        <v>871314</v>
      </c>
      <c r="N4721" s="3565">
        <v>9591.74</v>
      </c>
      <c r="O4721" s="3566">
        <v>44179</v>
      </c>
    </row>
    <row r="4722" spans="1:15">
      <c r="A4722" s="3563" t="s">
        <v>8945</v>
      </c>
      <c r="B4722" s="3563" t="s">
        <v>4196</v>
      </c>
      <c r="C4722" s="3563" t="s">
        <v>4197</v>
      </c>
      <c r="D4722" s="3563" t="s">
        <v>6429</v>
      </c>
      <c r="E4722" s="3563" t="s">
        <v>8897</v>
      </c>
      <c r="F4722" s="3563" t="s">
        <v>4797</v>
      </c>
      <c r="G4722" s="3564">
        <v>88.62</v>
      </c>
      <c r="H4722" s="3564">
        <v>71</v>
      </c>
      <c r="I4722" s="3564">
        <v>17.62</v>
      </c>
      <c r="J4722" s="3565">
        <v>904292</v>
      </c>
      <c r="K4722" s="3565">
        <v>10204.15</v>
      </c>
      <c r="L4722" s="3565">
        <v>12736.51</v>
      </c>
      <c r="M4722" s="3565">
        <v>0</v>
      </c>
      <c r="N4722" s="3565">
        <v>0</v>
      </c>
      <c r="O4722" s="3563" t="s">
        <v>3453</v>
      </c>
    </row>
    <row r="4723" spans="1:15">
      <c r="A4723" s="3563" t="s">
        <v>8946</v>
      </c>
      <c r="B4723" s="3563" t="s">
        <v>6422</v>
      </c>
      <c r="C4723" s="3563" t="s">
        <v>4197</v>
      </c>
      <c r="D4723" s="3563" t="s">
        <v>6429</v>
      </c>
      <c r="E4723" s="3563" t="s">
        <v>8897</v>
      </c>
      <c r="F4723" s="3563" t="s">
        <v>4797</v>
      </c>
      <c r="G4723" s="3564">
        <v>88.62</v>
      </c>
      <c r="H4723" s="3564">
        <v>71</v>
      </c>
      <c r="I4723" s="3564">
        <v>17.62</v>
      </c>
      <c r="J4723" s="3565">
        <v>904292</v>
      </c>
      <c r="K4723" s="3565">
        <v>10204.15</v>
      </c>
      <c r="L4723" s="3565">
        <v>12736.51</v>
      </c>
      <c r="M4723" s="3565">
        <v>859078</v>
      </c>
      <c r="N4723" s="3565">
        <v>9693.9500000000007</v>
      </c>
      <c r="O4723" s="3566">
        <v>44181</v>
      </c>
    </row>
    <row r="4724" spans="1:15">
      <c r="A4724" s="3563" t="s">
        <v>8947</v>
      </c>
      <c r="B4724" s="3563" t="s">
        <v>5277</v>
      </c>
      <c r="C4724" s="3563" t="s">
        <v>4197</v>
      </c>
      <c r="D4724" s="3563" t="s">
        <v>6429</v>
      </c>
      <c r="E4724" s="3563" t="s">
        <v>8897</v>
      </c>
      <c r="F4724" s="3563" t="s">
        <v>4797</v>
      </c>
      <c r="G4724" s="3564">
        <v>102.36</v>
      </c>
      <c r="H4724" s="3564">
        <v>82.01</v>
      </c>
      <c r="I4724" s="3564">
        <v>20.350000000000001</v>
      </c>
      <c r="J4724" s="3565">
        <v>1049942</v>
      </c>
      <c r="K4724" s="3565">
        <v>10257.35</v>
      </c>
      <c r="L4724" s="3565">
        <v>12802.61</v>
      </c>
      <c r="M4724" s="3565">
        <v>1007945</v>
      </c>
      <c r="N4724" s="3565">
        <v>9847.06</v>
      </c>
      <c r="O4724" s="3566">
        <v>44178</v>
      </c>
    </row>
    <row r="4725" spans="1:15">
      <c r="A4725" s="3563" t="s">
        <v>8948</v>
      </c>
      <c r="B4725" s="3563" t="s">
        <v>4811</v>
      </c>
      <c r="C4725" s="3563" t="s">
        <v>4197</v>
      </c>
      <c r="D4725" s="3563" t="s">
        <v>6429</v>
      </c>
      <c r="E4725" s="3563" t="s">
        <v>8897</v>
      </c>
      <c r="F4725" s="3563" t="s">
        <v>4797</v>
      </c>
      <c r="G4725" s="3564">
        <v>88.62</v>
      </c>
      <c r="H4725" s="3564">
        <v>71</v>
      </c>
      <c r="I4725" s="3564">
        <v>17.62</v>
      </c>
      <c r="J4725" s="3565">
        <v>936346</v>
      </c>
      <c r="K4725" s="3565">
        <v>10565.85</v>
      </c>
      <c r="L4725" s="3565">
        <v>13187.97</v>
      </c>
      <c r="M4725" s="3565">
        <v>898893</v>
      </c>
      <c r="N4725" s="3565">
        <v>10143.23</v>
      </c>
      <c r="O4725" s="3566">
        <v>44192</v>
      </c>
    </row>
    <row r="4726" spans="1:15">
      <c r="A4726" s="3563" t="s">
        <v>8949</v>
      </c>
      <c r="B4726" s="3563" t="s">
        <v>4811</v>
      </c>
      <c r="C4726" s="3563" t="s">
        <v>4197</v>
      </c>
      <c r="D4726" s="3563" t="s">
        <v>6429</v>
      </c>
      <c r="E4726" s="3563" t="s">
        <v>8897</v>
      </c>
      <c r="F4726" s="3563" t="s">
        <v>4797</v>
      </c>
      <c r="G4726" s="3564">
        <v>88.62</v>
      </c>
      <c r="H4726" s="3564">
        <v>71</v>
      </c>
      <c r="I4726" s="3564">
        <v>17.62</v>
      </c>
      <c r="J4726" s="3565">
        <v>917491</v>
      </c>
      <c r="K4726" s="3565">
        <v>10353.09</v>
      </c>
      <c r="L4726" s="3565">
        <v>12922.41</v>
      </c>
      <c r="M4726" s="3565">
        <v>880792</v>
      </c>
      <c r="N4726" s="3565">
        <v>9938.98</v>
      </c>
      <c r="O4726" s="3566">
        <v>44191</v>
      </c>
    </row>
    <row r="4727" spans="1:15">
      <c r="A4727" s="3563" t="s">
        <v>8950</v>
      </c>
      <c r="B4727" s="3563" t="s">
        <v>4196</v>
      </c>
      <c r="C4727" s="3563" t="s">
        <v>4197</v>
      </c>
      <c r="D4727" s="3563" t="s">
        <v>6429</v>
      </c>
      <c r="E4727" s="3563" t="s">
        <v>8897</v>
      </c>
      <c r="F4727" s="3563" t="s">
        <v>4797</v>
      </c>
      <c r="G4727" s="3564">
        <v>90.84</v>
      </c>
      <c r="H4727" s="3564">
        <v>72.78</v>
      </c>
      <c r="I4727" s="3564">
        <v>18.059999999999999</v>
      </c>
      <c r="J4727" s="3565">
        <v>896988</v>
      </c>
      <c r="K4727" s="3565">
        <v>9874.3700000000008</v>
      </c>
      <c r="L4727" s="3565">
        <v>12324.65</v>
      </c>
      <c r="M4727" s="3565">
        <v>0</v>
      </c>
      <c r="N4727" s="3565">
        <v>0</v>
      </c>
      <c r="O4727" s="3563" t="s">
        <v>3453</v>
      </c>
    </row>
    <row r="4728" spans="1:15">
      <c r="A4728" s="3563" t="s">
        <v>8951</v>
      </c>
      <c r="B4728" s="3563" t="s">
        <v>4811</v>
      </c>
      <c r="C4728" s="3563" t="s">
        <v>4197</v>
      </c>
      <c r="D4728" s="3563" t="s">
        <v>6429</v>
      </c>
      <c r="E4728" s="3563" t="s">
        <v>8897</v>
      </c>
      <c r="F4728" s="3563" t="s">
        <v>4797</v>
      </c>
      <c r="G4728" s="3564">
        <v>88.62</v>
      </c>
      <c r="H4728" s="3564">
        <v>71</v>
      </c>
      <c r="I4728" s="3564">
        <v>17.62</v>
      </c>
      <c r="J4728" s="3565">
        <v>893922</v>
      </c>
      <c r="K4728" s="3565">
        <v>10087.14</v>
      </c>
      <c r="L4728" s="3565">
        <v>12590.45</v>
      </c>
      <c r="M4728" s="3565">
        <v>867105</v>
      </c>
      <c r="N4728" s="3565">
        <v>9784.5300000000007</v>
      </c>
      <c r="O4728" s="3566">
        <v>44188</v>
      </c>
    </row>
    <row r="4729" spans="1:15">
      <c r="A4729" s="3563" t="s">
        <v>8952</v>
      </c>
      <c r="B4729" s="3563" t="s">
        <v>4196</v>
      </c>
      <c r="C4729" s="3563" t="s">
        <v>4197</v>
      </c>
      <c r="D4729" s="3563" t="s">
        <v>6429</v>
      </c>
      <c r="E4729" s="3563" t="s">
        <v>8897</v>
      </c>
      <c r="F4729" s="3563" t="s">
        <v>4797</v>
      </c>
      <c r="G4729" s="3564">
        <v>88.62</v>
      </c>
      <c r="H4729" s="3564">
        <v>71</v>
      </c>
      <c r="I4729" s="3564">
        <v>17.62</v>
      </c>
      <c r="J4729" s="3565">
        <v>893922</v>
      </c>
      <c r="K4729" s="3565">
        <v>10087.14</v>
      </c>
      <c r="L4729" s="3565">
        <v>12590.45</v>
      </c>
      <c r="M4729" s="3565">
        <v>0</v>
      </c>
      <c r="N4729" s="3565">
        <v>0</v>
      </c>
      <c r="O4729" s="3563" t="s">
        <v>3453</v>
      </c>
    </row>
    <row r="4730" spans="1:15">
      <c r="A4730" s="3563" t="s">
        <v>8953</v>
      </c>
      <c r="B4730" s="3563" t="s">
        <v>4196</v>
      </c>
      <c r="C4730" s="3563" t="s">
        <v>4197</v>
      </c>
      <c r="D4730" s="3563" t="s">
        <v>6429</v>
      </c>
      <c r="E4730" s="3563" t="s">
        <v>8897</v>
      </c>
      <c r="F4730" s="3563" t="s">
        <v>4797</v>
      </c>
      <c r="G4730" s="3564">
        <v>102.36</v>
      </c>
      <c r="H4730" s="3564">
        <v>82.01</v>
      </c>
      <c r="I4730" s="3564">
        <v>20.350000000000001</v>
      </c>
      <c r="J4730" s="3565">
        <v>1037964</v>
      </c>
      <c r="K4730" s="3565">
        <v>10140.33</v>
      </c>
      <c r="L4730" s="3565">
        <v>12656.55</v>
      </c>
      <c r="M4730" s="3565">
        <v>0</v>
      </c>
      <c r="N4730" s="3565">
        <v>0</v>
      </c>
      <c r="O4730" s="3563" t="s">
        <v>3453</v>
      </c>
    </row>
    <row r="4731" spans="1:15">
      <c r="A4731" s="3563" t="s">
        <v>8954</v>
      </c>
      <c r="B4731" s="3563" t="s">
        <v>5277</v>
      </c>
      <c r="C4731" s="3563" t="s">
        <v>4197</v>
      </c>
      <c r="D4731" s="3563" t="s">
        <v>6429</v>
      </c>
      <c r="E4731" s="3563" t="s">
        <v>8897</v>
      </c>
      <c r="F4731" s="3563" t="s">
        <v>4797</v>
      </c>
      <c r="G4731" s="3564">
        <v>88.62</v>
      </c>
      <c r="H4731" s="3564">
        <v>71</v>
      </c>
      <c r="I4731" s="3564">
        <v>17.62</v>
      </c>
      <c r="J4731" s="3565">
        <v>944831</v>
      </c>
      <c r="K4731" s="3565">
        <v>10661.6</v>
      </c>
      <c r="L4731" s="3565">
        <v>13307.48</v>
      </c>
      <c r="M4731" s="3565">
        <v>907038</v>
      </c>
      <c r="N4731" s="3565">
        <v>10235.14</v>
      </c>
      <c r="O4731" s="3566">
        <v>44182</v>
      </c>
    </row>
    <row r="4732" spans="1:15">
      <c r="A4732" s="3563" t="s">
        <v>8955</v>
      </c>
      <c r="B4732" s="3563" t="s">
        <v>4811</v>
      </c>
      <c r="C4732" s="3563" t="s">
        <v>4197</v>
      </c>
      <c r="D4732" s="3563" t="s">
        <v>6429</v>
      </c>
      <c r="E4732" s="3563" t="s">
        <v>8897</v>
      </c>
      <c r="F4732" s="3563" t="s">
        <v>4797</v>
      </c>
      <c r="G4732" s="3564">
        <v>88.62</v>
      </c>
      <c r="H4732" s="3564">
        <v>71</v>
      </c>
      <c r="I4732" s="3564">
        <v>17.62</v>
      </c>
      <c r="J4732" s="3565">
        <v>944831</v>
      </c>
      <c r="K4732" s="3565">
        <v>10661.6</v>
      </c>
      <c r="L4732" s="3565">
        <v>13307.48</v>
      </c>
      <c r="M4732" s="3565">
        <v>907038</v>
      </c>
      <c r="N4732" s="3565">
        <v>10235.14</v>
      </c>
      <c r="O4732" s="3566">
        <v>44183</v>
      </c>
    </row>
    <row r="4733" spans="1:15">
      <c r="A4733" s="3563" t="s">
        <v>8956</v>
      </c>
      <c r="B4733" s="3563" t="s">
        <v>5277</v>
      </c>
      <c r="C4733" s="3563" t="s">
        <v>4197</v>
      </c>
      <c r="D4733" s="3563" t="s">
        <v>6429</v>
      </c>
      <c r="E4733" s="3563" t="s">
        <v>8897</v>
      </c>
      <c r="F4733" s="3563" t="s">
        <v>4797</v>
      </c>
      <c r="G4733" s="3564">
        <v>90.84</v>
      </c>
      <c r="H4733" s="3564">
        <v>72.78</v>
      </c>
      <c r="I4733" s="3564">
        <v>18.059999999999999</v>
      </c>
      <c r="J4733" s="3565">
        <v>905685</v>
      </c>
      <c r="K4733" s="3565">
        <v>9970.11</v>
      </c>
      <c r="L4733" s="3565">
        <v>12444.15</v>
      </c>
      <c r="M4733" s="3565">
        <v>869458</v>
      </c>
      <c r="N4733" s="3565">
        <v>9571.31</v>
      </c>
      <c r="O4733" s="3566">
        <v>44177</v>
      </c>
    </row>
    <row r="4734" spans="1:15">
      <c r="A4734" s="3563" t="s">
        <v>8957</v>
      </c>
      <c r="B4734" s="3563" t="s">
        <v>5277</v>
      </c>
      <c r="C4734" s="3563" t="s">
        <v>4197</v>
      </c>
      <c r="D4734" s="3563" t="s">
        <v>6429</v>
      </c>
      <c r="E4734" s="3563" t="s">
        <v>8897</v>
      </c>
      <c r="F4734" s="3563" t="s">
        <v>4797</v>
      </c>
      <c r="G4734" s="3564">
        <v>88.62</v>
      </c>
      <c r="H4734" s="3564">
        <v>71</v>
      </c>
      <c r="I4734" s="3564">
        <v>17.62</v>
      </c>
      <c r="J4734" s="3565">
        <v>902407</v>
      </c>
      <c r="K4734" s="3565">
        <v>10182.879999999999</v>
      </c>
      <c r="L4734" s="3565">
        <v>12709.96</v>
      </c>
      <c r="M4734" s="3565">
        <v>821191</v>
      </c>
      <c r="N4734" s="3565">
        <v>9266.43</v>
      </c>
      <c r="O4734" s="3566">
        <v>44190</v>
      </c>
    </row>
    <row r="4735" spans="1:15">
      <c r="A4735" s="3563" t="s">
        <v>8958</v>
      </c>
      <c r="B4735" s="3563" t="s">
        <v>5277</v>
      </c>
      <c r="C4735" s="3563" t="s">
        <v>4197</v>
      </c>
      <c r="D4735" s="3563" t="s">
        <v>6429</v>
      </c>
      <c r="E4735" s="3563" t="s">
        <v>8897</v>
      </c>
      <c r="F4735" s="3563" t="s">
        <v>4797</v>
      </c>
      <c r="G4735" s="3564">
        <v>88.62</v>
      </c>
      <c r="H4735" s="3564">
        <v>71</v>
      </c>
      <c r="I4735" s="3564">
        <v>17.62</v>
      </c>
      <c r="J4735" s="3565">
        <v>902407</v>
      </c>
      <c r="K4735" s="3565">
        <v>10182.879999999999</v>
      </c>
      <c r="L4735" s="3565">
        <v>12709.96</v>
      </c>
      <c r="M4735" s="3565">
        <v>866311</v>
      </c>
      <c r="N4735" s="3565">
        <v>9775.57</v>
      </c>
      <c r="O4735" s="3566">
        <v>44179</v>
      </c>
    </row>
    <row r="4736" spans="1:15">
      <c r="A4736" s="3563" t="s">
        <v>8959</v>
      </c>
      <c r="B4736" s="3563" t="s">
        <v>6422</v>
      </c>
      <c r="C4736" s="3563" t="s">
        <v>4197</v>
      </c>
      <c r="D4736" s="3563" t="s">
        <v>6429</v>
      </c>
      <c r="E4736" s="3563" t="s">
        <v>8897</v>
      </c>
      <c r="F4736" s="3563" t="s">
        <v>4797</v>
      </c>
      <c r="G4736" s="3564">
        <v>102.36</v>
      </c>
      <c r="H4736" s="3564">
        <v>82.01</v>
      </c>
      <c r="I4736" s="3564">
        <v>20.350000000000001</v>
      </c>
      <c r="J4736" s="3565">
        <v>1047764</v>
      </c>
      <c r="K4736" s="3565">
        <v>10236.07</v>
      </c>
      <c r="L4736" s="3565">
        <v>12776.05</v>
      </c>
      <c r="M4736" s="3565">
        <v>1004854</v>
      </c>
      <c r="N4736" s="3565">
        <v>9816.86</v>
      </c>
      <c r="O4736" s="3566">
        <v>44178</v>
      </c>
    </row>
    <row r="4737" spans="1:15">
      <c r="A4737" s="3563" t="s">
        <v>8960</v>
      </c>
      <c r="B4737" s="3563" t="s">
        <v>4811</v>
      </c>
      <c r="C4737" s="3563" t="s">
        <v>4197</v>
      </c>
      <c r="D4737" s="3563" t="s">
        <v>6429</v>
      </c>
      <c r="E4737" s="3563" t="s">
        <v>8897</v>
      </c>
      <c r="F4737" s="3563" t="s">
        <v>4797</v>
      </c>
      <c r="G4737" s="3564">
        <v>89.94</v>
      </c>
      <c r="H4737" s="3564">
        <v>71</v>
      </c>
      <c r="I4737" s="3564">
        <v>18.940000000000001</v>
      </c>
      <c r="J4737" s="3565">
        <v>899582</v>
      </c>
      <c r="K4737" s="3565">
        <v>10002.02</v>
      </c>
      <c r="L4737" s="3565">
        <v>12670.17</v>
      </c>
      <c r="M4737" s="3565">
        <v>872595</v>
      </c>
      <c r="N4737" s="3565">
        <v>9701.9699999999993</v>
      </c>
      <c r="O4737" s="3566">
        <v>44190</v>
      </c>
    </row>
    <row r="4738" spans="1:15">
      <c r="A4738" s="3563" t="s">
        <v>8961</v>
      </c>
      <c r="B4738" s="3563" t="s">
        <v>4811</v>
      </c>
      <c r="C4738" s="3563" t="s">
        <v>4197</v>
      </c>
      <c r="D4738" s="3563" t="s">
        <v>6429</v>
      </c>
      <c r="E4738" s="3563" t="s">
        <v>8897</v>
      </c>
      <c r="F4738" s="3563" t="s">
        <v>4797</v>
      </c>
      <c r="G4738" s="3564">
        <v>89.94</v>
      </c>
      <c r="H4738" s="3564">
        <v>71</v>
      </c>
      <c r="I4738" s="3564">
        <v>18.940000000000001</v>
      </c>
      <c r="J4738" s="3565">
        <v>899582</v>
      </c>
      <c r="K4738" s="3565">
        <v>10002.02</v>
      </c>
      <c r="L4738" s="3565">
        <v>12670.17</v>
      </c>
      <c r="M4738" s="3565">
        <v>872595</v>
      </c>
      <c r="N4738" s="3565">
        <v>9701.9699999999993</v>
      </c>
      <c r="O4738" s="3566">
        <v>44189</v>
      </c>
    </row>
    <row r="4739" spans="1:15">
      <c r="A4739" s="3563" t="s">
        <v>8962</v>
      </c>
      <c r="B4739" s="3563" t="s">
        <v>4811</v>
      </c>
      <c r="C4739" s="3563" t="s">
        <v>4197</v>
      </c>
      <c r="D4739" s="3563" t="s">
        <v>6429</v>
      </c>
      <c r="E4739" s="3563" t="s">
        <v>8897</v>
      </c>
      <c r="F4739" s="3563" t="s">
        <v>4797</v>
      </c>
      <c r="G4739" s="3564">
        <v>92.2</v>
      </c>
      <c r="H4739" s="3564">
        <v>72.78</v>
      </c>
      <c r="I4739" s="3564">
        <v>19.420000000000002</v>
      </c>
      <c r="J4739" s="3565">
        <v>888838</v>
      </c>
      <c r="K4739" s="3565">
        <v>9640.33</v>
      </c>
      <c r="L4739" s="3565">
        <v>12212.67</v>
      </c>
      <c r="M4739" s="3565">
        <v>862173</v>
      </c>
      <c r="N4739" s="3565">
        <v>9351.1200000000008</v>
      </c>
      <c r="O4739" s="3566">
        <v>44189</v>
      </c>
    </row>
    <row r="4740" spans="1:15">
      <c r="A4740" s="3563" t="s">
        <v>8963</v>
      </c>
      <c r="B4740" s="3563" t="s">
        <v>4811</v>
      </c>
      <c r="C4740" s="3563" t="s">
        <v>4197</v>
      </c>
      <c r="D4740" s="3563" t="s">
        <v>6429</v>
      </c>
      <c r="E4740" s="3563" t="s">
        <v>8897</v>
      </c>
      <c r="F4740" s="3563" t="s">
        <v>4797</v>
      </c>
      <c r="G4740" s="3564">
        <v>89.94</v>
      </c>
      <c r="H4740" s="3564">
        <v>71</v>
      </c>
      <c r="I4740" s="3564">
        <v>18.940000000000001</v>
      </c>
      <c r="J4740" s="3565">
        <v>867051</v>
      </c>
      <c r="K4740" s="3565">
        <v>9640.33</v>
      </c>
      <c r="L4740" s="3565">
        <v>12211.99</v>
      </c>
      <c r="M4740" s="3565">
        <v>823699</v>
      </c>
      <c r="N4740" s="3565">
        <v>9158.32</v>
      </c>
      <c r="O4740" s="3566">
        <v>44192</v>
      </c>
    </row>
    <row r="4741" spans="1:15">
      <c r="A4741" s="3563" t="s">
        <v>8964</v>
      </c>
      <c r="B4741" s="3563" t="s">
        <v>4196</v>
      </c>
      <c r="C4741" s="3563" t="s">
        <v>4197</v>
      </c>
      <c r="D4741" s="3563" t="s">
        <v>6429</v>
      </c>
      <c r="E4741" s="3563" t="s">
        <v>8897</v>
      </c>
      <c r="F4741" s="3563" t="s">
        <v>4797</v>
      </c>
      <c r="G4741" s="3564">
        <v>89.94</v>
      </c>
      <c r="H4741" s="3564">
        <v>71</v>
      </c>
      <c r="I4741" s="3564">
        <v>18.940000000000001</v>
      </c>
      <c r="J4741" s="3565">
        <v>867051</v>
      </c>
      <c r="K4741" s="3565">
        <v>9640.33</v>
      </c>
      <c r="L4741" s="3565">
        <v>12211.99</v>
      </c>
      <c r="M4741" s="3565">
        <v>0</v>
      </c>
      <c r="N4741" s="3565">
        <v>0</v>
      </c>
      <c r="O4741" s="3563" t="s">
        <v>3453</v>
      </c>
    </row>
    <row r="4742" spans="1:15">
      <c r="A4742" s="3563" t="s">
        <v>8965</v>
      </c>
      <c r="B4742" s="3563" t="s">
        <v>4196</v>
      </c>
      <c r="C4742" s="3563" t="s">
        <v>4197</v>
      </c>
      <c r="D4742" s="3563" t="s">
        <v>6429</v>
      </c>
      <c r="E4742" s="3563" t="s">
        <v>8897</v>
      </c>
      <c r="F4742" s="3563" t="s">
        <v>4797</v>
      </c>
      <c r="G4742" s="3564">
        <v>88.62</v>
      </c>
      <c r="H4742" s="3564">
        <v>71</v>
      </c>
      <c r="I4742" s="3564">
        <v>17.62</v>
      </c>
      <c r="J4742" s="3565">
        <v>943888</v>
      </c>
      <c r="K4742" s="3565">
        <v>10650.96</v>
      </c>
      <c r="L4742" s="3565">
        <v>13294.2</v>
      </c>
      <c r="M4742" s="3565">
        <v>0</v>
      </c>
      <c r="N4742" s="3565">
        <v>0</v>
      </c>
      <c r="O4742" s="3563" t="s">
        <v>3453</v>
      </c>
    </row>
    <row r="4743" spans="1:15">
      <c r="A4743" s="3563" t="s">
        <v>8966</v>
      </c>
      <c r="B4743" s="3563" t="s">
        <v>4196</v>
      </c>
      <c r="C4743" s="3563" t="s">
        <v>4197</v>
      </c>
      <c r="D4743" s="3563" t="s">
        <v>6429</v>
      </c>
      <c r="E4743" s="3563" t="s">
        <v>8897</v>
      </c>
      <c r="F4743" s="3563" t="s">
        <v>4797</v>
      </c>
      <c r="G4743" s="3564">
        <v>88.62</v>
      </c>
      <c r="H4743" s="3564">
        <v>71</v>
      </c>
      <c r="I4743" s="3564">
        <v>17.62</v>
      </c>
      <c r="J4743" s="3565">
        <v>943888</v>
      </c>
      <c r="K4743" s="3565">
        <v>10650.96</v>
      </c>
      <c r="L4743" s="3565">
        <v>13294.2</v>
      </c>
      <c r="M4743" s="3565">
        <v>0</v>
      </c>
      <c r="N4743" s="3565">
        <v>0</v>
      </c>
      <c r="O4743" s="3563" t="s">
        <v>3453</v>
      </c>
    </row>
    <row r="4744" spans="1:15">
      <c r="A4744" s="3563" t="s">
        <v>8967</v>
      </c>
      <c r="B4744" s="3563" t="s">
        <v>5277</v>
      </c>
      <c r="C4744" s="3563" t="s">
        <v>4197</v>
      </c>
      <c r="D4744" s="3563" t="s">
        <v>6429</v>
      </c>
      <c r="E4744" s="3563" t="s">
        <v>8897</v>
      </c>
      <c r="F4744" s="3563" t="s">
        <v>4797</v>
      </c>
      <c r="G4744" s="3564">
        <v>90.84</v>
      </c>
      <c r="H4744" s="3564">
        <v>72.78</v>
      </c>
      <c r="I4744" s="3564">
        <v>18.059999999999999</v>
      </c>
      <c r="J4744" s="3565">
        <v>904719</v>
      </c>
      <c r="K4744" s="3565">
        <v>9959.48</v>
      </c>
      <c r="L4744" s="3565">
        <v>12430.87</v>
      </c>
      <c r="M4744" s="3565">
        <v>868531</v>
      </c>
      <c r="N4744" s="3565">
        <v>9561.11</v>
      </c>
      <c r="O4744" s="3566">
        <v>44178</v>
      </c>
    </row>
    <row r="4745" spans="1:15">
      <c r="A4745" s="3563" t="s">
        <v>8968</v>
      </c>
      <c r="B4745" s="3563" t="s">
        <v>4811</v>
      </c>
      <c r="C4745" s="3563" t="s">
        <v>4197</v>
      </c>
      <c r="D4745" s="3563" t="s">
        <v>6429</v>
      </c>
      <c r="E4745" s="3563" t="s">
        <v>8897</v>
      </c>
      <c r="F4745" s="3563" t="s">
        <v>4797</v>
      </c>
      <c r="G4745" s="3564">
        <v>88.62</v>
      </c>
      <c r="H4745" s="3564">
        <v>71</v>
      </c>
      <c r="I4745" s="3564">
        <v>17.62</v>
      </c>
      <c r="J4745" s="3565">
        <v>901464</v>
      </c>
      <c r="K4745" s="3565">
        <v>10172.24</v>
      </c>
      <c r="L4745" s="3565">
        <v>12696.68</v>
      </c>
      <c r="M4745" s="3565">
        <v>865406</v>
      </c>
      <c r="N4745" s="3565">
        <v>9765.36</v>
      </c>
      <c r="O4745" s="3566">
        <v>44191</v>
      </c>
    </row>
    <row r="4746" spans="1:15">
      <c r="A4746" s="3563" t="s">
        <v>8969</v>
      </c>
      <c r="B4746" s="3563" t="s">
        <v>4811</v>
      </c>
      <c r="C4746" s="3563" t="s">
        <v>4197</v>
      </c>
      <c r="D4746" s="3563" t="s">
        <v>6429</v>
      </c>
      <c r="E4746" s="3563" t="s">
        <v>8897</v>
      </c>
      <c r="F4746" s="3563" t="s">
        <v>4797</v>
      </c>
      <c r="G4746" s="3564">
        <v>88.62</v>
      </c>
      <c r="H4746" s="3564">
        <v>71</v>
      </c>
      <c r="I4746" s="3564">
        <v>17.62</v>
      </c>
      <c r="J4746" s="3565">
        <v>901464</v>
      </c>
      <c r="K4746" s="3565">
        <v>10172.24</v>
      </c>
      <c r="L4746" s="3565">
        <v>12696.68</v>
      </c>
      <c r="M4746" s="3565">
        <v>901464</v>
      </c>
      <c r="N4746" s="3565">
        <v>10172.24</v>
      </c>
      <c r="O4746" s="3566">
        <v>44177</v>
      </c>
    </row>
    <row r="4747" spans="1:15">
      <c r="A4747" s="3563" t="s">
        <v>8970</v>
      </c>
      <c r="B4747" s="3563" t="s">
        <v>4811</v>
      </c>
      <c r="C4747" s="3563" t="s">
        <v>4197</v>
      </c>
      <c r="D4747" s="3563" t="s">
        <v>6429</v>
      </c>
      <c r="E4747" s="3563" t="s">
        <v>8897</v>
      </c>
      <c r="F4747" s="3563" t="s">
        <v>4797</v>
      </c>
      <c r="G4747" s="3564">
        <v>102.36</v>
      </c>
      <c r="H4747" s="3564">
        <v>82.01</v>
      </c>
      <c r="I4747" s="3564">
        <v>20.350000000000001</v>
      </c>
      <c r="J4747" s="3565">
        <v>1046675</v>
      </c>
      <c r="K4747" s="3565">
        <v>10225.43</v>
      </c>
      <c r="L4747" s="3565">
        <v>12762.77</v>
      </c>
      <c r="M4747" s="3565">
        <v>994342</v>
      </c>
      <c r="N4747" s="3565">
        <v>9714.17</v>
      </c>
      <c r="O4747" s="3566">
        <v>44177</v>
      </c>
    </row>
    <row r="4748" spans="1:15">
      <c r="A4748" s="3563" t="s">
        <v>8971</v>
      </c>
      <c r="B4748" s="3563" t="s">
        <v>4811</v>
      </c>
      <c r="C4748" s="3563" t="s">
        <v>4197</v>
      </c>
      <c r="D4748" s="3563" t="s">
        <v>6429</v>
      </c>
      <c r="E4748" s="3563" t="s">
        <v>8897</v>
      </c>
      <c r="F4748" s="3563" t="s">
        <v>4797</v>
      </c>
      <c r="G4748" s="3564">
        <v>88.62</v>
      </c>
      <c r="H4748" s="3564">
        <v>71</v>
      </c>
      <c r="I4748" s="3564">
        <v>17.62</v>
      </c>
      <c r="J4748" s="3565">
        <v>942946</v>
      </c>
      <c r="K4748" s="3565">
        <v>10640.33</v>
      </c>
      <c r="L4748" s="3565">
        <v>13280.93</v>
      </c>
      <c r="M4748" s="3565">
        <v>895799</v>
      </c>
      <c r="N4748" s="3565">
        <v>10108.32</v>
      </c>
      <c r="O4748" s="3566">
        <v>44184</v>
      </c>
    </row>
    <row r="4749" spans="1:15">
      <c r="A4749" s="3563" t="s">
        <v>8972</v>
      </c>
      <c r="B4749" s="3563" t="s">
        <v>4196</v>
      </c>
      <c r="C4749" s="3563" t="s">
        <v>4197</v>
      </c>
      <c r="D4749" s="3563" t="s">
        <v>6429</v>
      </c>
      <c r="E4749" s="3563" t="s">
        <v>8897</v>
      </c>
      <c r="F4749" s="3563" t="s">
        <v>4797</v>
      </c>
      <c r="G4749" s="3564">
        <v>88.62</v>
      </c>
      <c r="H4749" s="3564">
        <v>71</v>
      </c>
      <c r="I4749" s="3564">
        <v>17.62</v>
      </c>
      <c r="J4749" s="3565">
        <v>942946</v>
      </c>
      <c r="K4749" s="3565">
        <v>10640.33</v>
      </c>
      <c r="L4749" s="3565">
        <v>13280.93</v>
      </c>
      <c r="M4749" s="3565">
        <v>0</v>
      </c>
      <c r="N4749" s="3565">
        <v>0</v>
      </c>
      <c r="O4749" s="3563" t="s">
        <v>3453</v>
      </c>
    </row>
    <row r="4750" spans="1:15">
      <c r="A4750" s="3563" t="s">
        <v>8973</v>
      </c>
      <c r="B4750" s="3563" t="s">
        <v>6422</v>
      </c>
      <c r="C4750" s="3563" t="s">
        <v>4197</v>
      </c>
      <c r="D4750" s="3563" t="s">
        <v>6429</v>
      </c>
      <c r="E4750" s="3563" t="s">
        <v>8897</v>
      </c>
      <c r="F4750" s="3563" t="s">
        <v>4797</v>
      </c>
      <c r="G4750" s="3564">
        <v>90.84</v>
      </c>
      <c r="H4750" s="3564">
        <v>72.78</v>
      </c>
      <c r="I4750" s="3564">
        <v>18.059999999999999</v>
      </c>
      <c r="J4750" s="3565">
        <v>903752</v>
      </c>
      <c r="K4750" s="3565">
        <v>9948.83</v>
      </c>
      <c r="L4750" s="3565">
        <v>12417.59</v>
      </c>
      <c r="M4750" s="3565">
        <v>858565</v>
      </c>
      <c r="N4750" s="3565">
        <v>9451.4</v>
      </c>
      <c r="O4750" s="3566">
        <v>44178</v>
      </c>
    </row>
    <row r="4751" spans="1:15">
      <c r="A4751" s="3563" t="s">
        <v>8974</v>
      </c>
      <c r="B4751" s="3563" t="s">
        <v>4811</v>
      </c>
      <c r="C4751" s="3563" t="s">
        <v>4197</v>
      </c>
      <c r="D4751" s="3563" t="s">
        <v>6429</v>
      </c>
      <c r="E4751" s="3563" t="s">
        <v>8897</v>
      </c>
      <c r="F4751" s="3563" t="s">
        <v>4797</v>
      </c>
      <c r="G4751" s="3564">
        <v>88.62</v>
      </c>
      <c r="H4751" s="3564">
        <v>71</v>
      </c>
      <c r="I4751" s="3564">
        <v>17.62</v>
      </c>
      <c r="J4751" s="3565">
        <v>900521</v>
      </c>
      <c r="K4751" s="3565">
        <v>10161.6</v>
      </c>
      <c r="L4751" s="3565">
        <v>12683.39</v>
      </c>
      <c r="M4751" s="3565">
        <v>855495</v>
      </c>
      <c r="N4751" s="3565">
        <v>9653.52</v>
      </c>
      <c r="O4751" s="3566">
        <v>44192</v>
      </c>
    </row>
    <row r="4752" spans="1:15">
      <c r="A4752" s="3563" t="s">
        <v>8975</v>
      </c>
      <c r="B4752" s="3563" t="s">
        <v>5277</v>
      </c>
      <c r="C4752" s="3563" t="s">
        <v>4197</v>
      </c>
      <c r="D4752" s="3563" t="s">
        <v>6429</v>
      </c>
      <c r="E4752" s="3563" t="s">
        <v>8897</v>
      </c>
      <c r="F4752" s="3563" t="s">
        <v>4797</v>
      </c>
      <c r="G4752" s="3564">
        <v>88.62</v>
      </c>
      <c r="H4752" s="3564">
        <v>71</v>
      </c>
      <c r="I4752" s="3564">
        <v>17.62</v>
      </c>
      <c r="J4752" s="3565">
        <v>900521</v>
      </c>
      <c r="K4752" s="3565">
        <v>10161.6</v>
      </c>
      <c r="L4752" s="3565">
        <v>12683.39</v>
      </c>
      <c r="M4752" s="3565">
        <v>846490</v>
      </c>
      <c r="N4752" s="3565">
        <v>9551.91</v>
      </c>
      <c r="O4752" s="3566">
        <v>44179</v>
      </c>
    </row>
    <row r="4753" spans="1:15">
      <c r="A4753" s="3563" t="s">
        <v>8976</v>
      </c>
      <c r="B4753" s="3563" t="s">
        <v>4811</v>
      </c>
      <c r="C4753" s="3563" t="s">
        <v>4197</v>
      </c>
      <c r="D4753" s="3563" t="s">
        <v>6429</v>
      </c>
      <c r="E4753" s="3563" t="s">
        <v>8897</v>
      </c>
      <c r="F4753" s="3563" t="s">
        <v>4797</v>
      </c>
      <c r="G4753" s="3564">
        <v>102.36</v>
      </c>
      <c r="H4753" s="3564">
        <v>82.01</v>
      </c>
      <c r="I4753" s="3564">
        <v>20.350000000000001</v>
      </c>
      <c r="J4753" s="3565">
        <v>1045586</v>
      </c>
      <c r="K4753" s="3565">
        <v>10214.790000000001</v>
      </c>
      <c r="L4753" s="3565">
        <v>12749.49</v>
      </c>
      <c r="M4753" s="3565">
        <v>1003763</v>
      </c>
      <c r="N4753" s="3565">
        <v>9806.2000000000007</v>
      </c>
      <c r="O4753" s="3566">
        <v>44177</v>
      </c>
    </row>
    <row r="4754" spans="1:15">
      <c r="A4754" s="3563" t="s">
        <v>8977</v>
      </c>
      <c r="B4754" s="3563" t="s">
        <v>4811</v>
      </c>
      <c r="C4754" s="3563" t="s">
        <v>4197</v>
      </c>
      <c r="D4754" s="3563" t="s">
        <v>6429</v>
      </c>
      <c r="E4754" s="3563" t="s">
        <v>8897</v>
      </c>
      <c r="F4754" s="3563" t="s">
        <v>4797</v>
      </c>
      <c r="G4754" s="3564">
        <v>88.62</v>
      </c>
      <c r="H4754" s="3564">
        <v>71</v>
      </c>
      <c r="I4754" s="3564">
        <v>17.62</v>
      </c>
      <c r="J4754" s="3565">
        <v>942003</v>
      </c>
      <c r="K4754" s="3565">
        <v>10629.69</v>
      </c>
      <c r="L4754" s="3565">
        <v>13267.65</v>
      </c>
      <c r="M4754" s="3565">
        <v>904323</v>
      </c>
      <c r="N4754" s="3565">
        <v>10204.5</v>
      </c>
      <c r="O4754" s="3566">
        <v>44191</v>
      </c>
    </row>
    <row r="4755" spans="1:15">
      <c r="A4755" s="3563" t="s">
        <v>8978</v>
      </c>
      <c r="B4755" s="3563" t="s">
        <v>4196</v>
      </c>
      <c r="C4755" s="3563" t="s">
        <v>4197</v>
      </c>
      <c r="D4755" s="3563" t="s">
        <v>6429</v>
      </c>
      <c r="E4755" s="3563" t="s">
        <v>8897</v>
      </c>
      <c r="F4755" s="3563" t="s">
        <v>4797</v>
      </c>
      <c r="G4755" s="3564">
        <v>88.62</v>
      </c>
      <c r="H4755" s="3564">
        <v>71</v>
      </c>
      <c r="I4755" s="3564">
        <v>17.62</v>
      </c>
      <c r="J4755" s="3565">
        <v>942003</v>
      </c>
      <c r="K4755" s="3565">
        <v>10629.69</v>
      </c>
      <c r="L4755" s="3565">
        <v>13267.65</v>
      </c>
      <c r="M4755" s="3565">
        <v>0</v>
      </c>
      <c r="N4755" s="3565">
        <v>0</v>
      </c>
      <c r="O4755" s="3563" t="s">
        <v>3453</v>
      </c>
    </row>
    <row r="4756" spans="1:15">
      <c r="A4756" s="3563" t="s">
        <v>8979</v>
      </c>
      <c r="B4756" s="3563" t="s">
        <v>4196</v>
      </c>
      <c r="C4756" s="3563" t="s">
        <v>4197</v>
      </c>
      <c r="D4756" s="3563" t="s">
        <v>6429</v>
      </c>
      <c r="E4756" s="3563" t="s">
        <v>8897</v>
      </c>
      <c r="F4756" s="3563" t="s">
        <v>4797</v>
      </c>
      <c r="G4756" s="3564">
        <v>90.84</v>
      </c>
      <c r="H4756" s="3564">
        <v>72.78</v>
      </c>
      <c r="I4756" s="3564">
        <v>18.059999999999999</v>
      </c>
      <c r="J4756" s="3565">
        <v>902786</v>
      </c>
      <c r="K4756" s="3565">
        <v>9938.2000000000007</v>
      </c>
      <c r="L4756" s="3565">
        <v>12404.31</v>
      </c>
      <c r="M4756" s="3565">
        <v>0</v>
      </c>
      <c r="N4756" s="3565">
        <v>0</v>
      </c>
      <c r="O4756" s="3563" t="s">
        <v>3453</v>
      </c>
    </row>
    <row r="4757" spans="1:15">
      <c r="A4757" s="3563" t="s">
        <v>8980</v>
      </c>
      <c r="B4757" s="3563" t="s">
        <v>4196</v>
      </c>
      <c r="C4757" s="3563" t="s">
        <v>4197</v>
      </c>
      <c r="D4757" s="3563" t="s">
        <v>6429</v>
      </c>
      <c r="E4757" s="3563" t="s">
        <v>8897</v>
      </c>
      <c r="F4757" s="3563" t="s">
        <v>4797</v>
      </c>
      <c r="G4757" s="3564">
        <v>88.62</v>
      </c>
      <c r="H4757" s="3564">
        <v>71</v>
      </c>
      <c r="I4757" s="3564">
        <v>17.62</v>
      </c>
      <c r="J4757" s="3565">
        <v>899578</v>
      </c>
      <c r="K4757" s="3565">
        <v>10150.959999999999</v>
      </c>
      <c r="L4757" s="3565">
        <v>12670.11</v>
      </c>
      <c r="M4757" s="3565">
        <v>0</v>
      </c>
      <c r="N4757" s="3565">
        <v>0</v>
      </c>
      <c r="O4757" s="3563" t="s">
        <v>3453</v>
      </c>
    </row>
    <row r="4758" spans="1:15">
      <c r="A4758" s="3563" t="s">
        <v>8981</v>
      </c>
      <c r="B4758" s="3563" t="s">
        <v>5277</v>
      </c>
      <c r="C4758" s="3563" t="s">
        <v>4197</v>
      </c>
      <c r="D4758" s="3563" t="s">
        <v>6429</v>
      </c>
      <c r="E4758" s="3563" t="s">
        <v>8897</v>
      </c>
      <c r="F4758" s="3563" t="s">
        <v>4797</v>
      </c>
      <c r="G4758" s="3564">
        <v>88.62</v>
      </c>
      <c r="H4758" s="3564">
        <v>71</v>
      </c>
      <c r="I4758" s="3564">
        <v>17.62</v>
      </c>
      <c r="J4758" s="3565">
        <v>899578</v>
      </c>
      <c r="K4758" s="3565">
        <v>10150.959999999999</v>
      </c>
      <c r="L4758" s="3565">
        <v>12670.11</v>
      </c>
      <c r="M4758" s="3565">
        <v>845604</v>
      </c>
      <c r="N4758" s="3565">
        <v>9541.91</v>
      </c>
      <c r="O4758" s="3566">
        <v>44179</v>
      </c>
    </row>
    <row r="4759" spans="1:15">
      <c r="A4759" s="3563" t="s">
        <v>8982</v>
      </c>
      <c r="B4759" s="3563" t="s">
        <v>6422</v>
      </c>
      <c r="C4759" s="3563" t="s">
        <v>4197</v>
      </c>
      <c r="D4759" s="3563" t="s">
        <v>6429</v>
      </c>
      <c r="E4759" s="3563" t="s">
        <v>8897</v>
      </c>
      <c r="F4759" s="3563" t="s">
        <v>4797</v>
      </c>
      <c r="G4759" s="3564">
        <v>102.36</v>
      </c>
      <c r="H4759" s="3564">
        <v>82.01</v>
      </c>
      <c r="I4759" s="3564">
        <v>20.350000000000001</v>
      </c>
      <c r="J4759" s="3565">
        <v>1044497</v>
      </c>
      <c r="K4759" s="3565">
        <v>10204.15</v>
      </c>
      <c r="L4759" s="3565">
        <v>12736.22</v>
      </c>
      <c r="M4759" s="3565">
        <v>992273</v>
      </c>
      <c r="N4759" s="3565">
        <v>9693.9500000000007</v>
      </c>
      <c r="O4759" s="3566">
        <v>44177</v>
      </c>
    </row>
    <row r="4760" spans="1:15">
      <c r="A4760" s="3563" t="s">
        <v>8983</v>
      </c>
      <c r="B4760" s="3563" t="s">
        <v>4196</v>
      </c>
      <c r="C4760" s="3563" t="s">
        <v>4197</v>
      </c>
      <c r="D4760" s="3563" t="s">
        <v>6429</v>
      </c>
      <c r="E4760" s="3563" t="s">
        <v>8897</v>
      </c>
      <c r="F4760" s="3563" t="s">
        <v>4797</v>
      </c>
      <c r="G4760" s="3564">
        <v>88.62</v>
      </c>
      <c r="H4760" s="3564">
        <v>71</v>
      </c>
      <c r="I4760" s="3564">
        <v>17.62</v>
      </c>
      <c r="J4760" s="3565">
        <v>941060</v>
      </c>
      <c r="K4760" s="3565">
        <v>10619.05</v>
      </c>
      <c r="L4760" s="3565">
        <v>13254.37</v>
      </c>
      <c r="M4760" s="3565">
        <v>0</v>
      </c>
      <c r="N4760" s="3565">
        <v>0</v>
      </c>
      <c r="O4760" s="3563" t="s">
        <v>3453</v>
      </c>
    </row>
    <row r="4761" spans="1:15">
      <c r="A4761" s="3563" t="s">
        <v>8984</v>
      </c>
      <c r="B4761" s="3563" t="s">
        <v>5277</v>
      </c>
      <c r="C4761" s="3563" t="s">
        <v>4197</v>
      </c>
      <c r="D4761" s="3563" t="s">
        <v>6429</v>
      </c>
      <c r="E4761" s="3563" t="s">
        <v>8897</v>
      </c>
      <c r="F4761" s="3563" t="s">
        <v>4797</v>
      </c>
      <c r="G4761" s="3564">
        <v>88.62</v>
      </c>
      <c r="H4761" s="3564">
        <v>71</v>
      </c>
      <c r="I4761" s="3564">
        <v>17.62</v>
      </c>
      <c r="J4761" s="3565">
        <v>941060</v>
      </c>
      <c r="K4761" s="3565">
        <v>10619.05</v>
      </c>
      <c r="L4761" s="3565">
        <v>13254.37</v>
      </c>
      <c r="M4761" s="3565">
        <v>856365</v>
      </c>
      <c r="N4761" s="3565">
        <v>9663.34</v>
      </c>
      <c r="O4761" s="3566">
        <v>44188</v>
      </c>
    </row>
    <row r="4762" spans="1:15">
      <c r="A4762" s="3563" t="s">
        <v>8985</v>
      </c>
      <c r="B4762" s="3563" t="s">
        <v>5277</v>
      </c>
      <c r="C4762" s="3563" t="s">
        <v>4197</v>
      </c>
      <c r="D4762" s="3563" t="s">
        <v>6429</v>
      </c>
      <c r="E4762" s="3563" t="s">
        <v>8897</v>
      </c>
      <c r="F4762" s="3563" t="s">
        <v>4797</v>
      </c>
      <c r="G4762" s="3564">
        <v>90.84</v>
      </c>
      <c r="H4762" s="3564">
        <v>72.78</v>
      </c>
      <c r="I4762" s="3564">
        <v>18.059999999999999</v>
      </c>
      <c r="J4762" s="3565">
        <v>901819</v>
      </c>
      <c r="K4762" s="3565">
        <v>9927.5499999999993</v>
      </c>
      <c r="L4762" s="3565">
        <v>12391.03</v>
      </c>
      <c r="M4762" s="3565">
        <v>865747</v>
      </c>
      <c r="N4762" s="3565">
        <v>9530.4599999999991</v>
      </c>
      <c r="O4762" s="3566">
        <v>44179</v>
      </c>
    </row>
    <row r="4763" spans="1:15">
      <c r="A4763" s="3563" t="s">
        <v>8986</v>
      </c>
      <c r="B4763" s="3563" t="s">
        <v>4196</v>
      </c>
      <c r="C4763" s="3563" t="s">
        <v>4197</v>
      </c>
      <c r="D4763" s="3563" t="s">
        <v>6429</v>
      </c>
      <c r="E4763" s="3563" t="s">
        <v>8897</v>
      </c>
      <c r="F4763" s="3563" t="s">
        <v>4797</v>
      </c>
      <c r="G4763" s="3564">
        <v>88.62</v>
      </c>
      <c r="H4763" s="3564">
        <v>71</v>
      </c>
      <c r="I4763" s="3564">
        <v>17.62</v>
      </c>
      <c r="J4763" s="3565">
        <v>898636</v>
      </c>
      <c r="K4763" s="3565">
        <v>10140.33</v>
      </c>
      <c r="L4763" s="3565">
        <v>12656.85</v>
      </c>
      <c r="M4763" s="3565">
        <v>0</v>
      </c>
      <c r="N4763" s="3565">
        <v>0</v>
      </c>
      <c r="O4763" s="3563" t="s">
        <v>3453</v>
      </c>
    </row>
    <row r="4764" spans="1:15">
      <c r="A4764" s="3563" t="s">
        <v>8987</v>
      </c>
      <c r="B4764" s="3563" t="s">
        <v>5277</v>
      </c>
      <c r="C4764" s="3563" t="s">
        <v>4197</v>
      </c>
      <c r="D4764" s="3563" t="s">
        <v>6429</v>
      </c>
      <c r="E4764" s="3563" t="s">
        <v>8897</v>
      </c>
      <c r="F4764" s="3563" t="s">
        <v>4797</v>
      </c>
      <c r="G4764" s="3564">
        <v>88.62</v>
      </c>
      <c r="H4764" s="3564">
        <v>71</v>
      </c>
      <c r="I4764" s="3564">
        <v>17.62</v>
      </c>
      <c r="J4764" s="3565">
        <v>898636</v>
      </c>
      <c r="K4764" s="3565">
        <v>10140.33</v>
      </c>
      <c r="L4764" s="3565">
        <v>12656.85</v>
      </c>
      <c r="M4764" s="3565">
        <v>844718</v>
      </c>
      <c r="N4764" s="3565">
        <v>9531.91</v>
      </c>
      <c r="O4764" s="3566">
        <v>44179</v>
      </c>
    </row>
    <row r="4765" spans="1:15">
      <c r="A4765" s="3563" t="s">
        <v>8988</v>
      </c>
      <c r="B4765" s="3563" t="s">
        <v>6422</v>
      </c>
      <c r="C4765" s="3563" t="s">
        <v>4197</v>
      </c>
      <c r="D4765" s="3563" t="s">
        <v>6429</v>
      </c>
      <c r="E4765" s="3563" t="s">
        <v>8897</v>
      </c>
      <c r="F4765" s="3563" t="s">
        <v>4797</v>
      </c>
      <c r="G4765" s="3564">
        <v>102.36</v>
      </c>
      <c r="H4765" s="3564">
        <v>82.01</v>
      </c>
      <c r="I4765" s="3564">
        <v>20.350000000000001</v>
      </c>
      <c r="J4765" s="3565">
        <v>1043408</v>
      </c>
      <c r="K4765" s="3565">
        <v>10193.51</v>
      </c>
      <c r="L4765" s="3565">
        <v>12722.94</v>
      </c>
      <c r="M4765" s="3565">
        <v>1001672</v>
      </c>
      <c r="N4765" s="3565">
        <v>9785.7800000000007</v>
      </c>
      <c r="O4765" s="3566">
        <v>44178</v>
      </c>
    </row>
    <row r="4766" spans="1:15">
      <c r="A4766" s="3563" t="s">
        <v>8989</v>
      </c>
      <c r="B4766" s="3563" t="s">
        <v>5277</v>
      </c>
      <c r="C4766" s="3563" t="s">
        <v>4197</v>
      </c>
      <c r="D4766" s="3563" t="s">
        <v>6429</v>
      </c>
      <c r="E4766" s="3563" t="s">
        <v>8897</v>
      </c>
      <c r="F4766" s="3563" t="s">
        <v>4797</v>
      </c>
      <c r="G4766" s="3564">
        <v>88.62</v>
      </c>
      <c r="H4766" s="3564">
        <v>71</v>
      </c>
      <c r="I4766" s="3564">
        <v>17.62</v>
      </c>
      <c r="J4766" s="3565">
        <v>940117</v>
      </c>
      <c r="K4766" s="3565">
        <v>10608.41</v>
      </c>
      <c r="L4766" s="3565">
        <v>13241.08</v>
      </c>
      <c r="M4766" s="3565">
        <v>883710</v>
      </c>
      <c r="N4766" s="3565">
        <v>9971.9</v>
      </c>
      <c r="O4766" s="3566">
        <v>44189</v>
      </c>
    </row>
    <row r="4767" spans="1:15">
      <c r="A4767" s="3563" t="s">
        <v>8990</v>
      </c>
      <c r="B4767" s="3563" t="s">
        <v>4196</v>
      </c>
      <c r="C4767" s="3563" t="s">
        <v>4197</v>
      </c>
      <c r="D4767" s="3563" t="s">
        <v>6429</v>
      </c>
      <c r="E4767" s="3563" t="s">
        <v>8897</v>
      </c>
      <c r="F4767" s="3563" t="s">
        <v>4797</v>
      </c>
      <c r="G4767" s="3564">
        <v>88.62</v>
      </c>
      <c r="H4767" s="3564">
        <v>71</v>
      </c>
      <c r="I4767" s="3564">
        <v>17.62</v>
      </c>
      <c r="J4767" s="3565">
        <v>940117</v>
      </c>
      <c r="K4767" s="3565">
        <v>10608.41</v>
      </c>
      <c r="L4767" s="3565">
        <v>13241.08</v>
      </c>
      <c r="M4767" s="3565">
        <v>0</v>
      </c>
      <c r="N4767" s="3565">
        <v>0</v>
      </c>
      <c r="O4767" s="3563" t="s">
        <v>3453</v>
      </c>
    </row>
    <row r="4768" spans="1:15">
      <c r="A4768" s="3563" t="s">
        <v>8991</v>
      </c>
      <c r="B4768" s="3563" t="s">
        <v>4811</v>
      </c>
      <c r="C4768" s="3563" t="s">
        <v>4197</v>
      </c>
      <c r="D4768" s="3563" t="s">
        <v>6429</v>
      </c>
      <c r="E4768" s="3563" t="s">
        <v>8897</v>
      </c>
      <c r="F4768" s="3563" t="s">
        <v>4797</v>
      </c>
      <c r="G4768" s="3564">
        <v>90.84</v>
      </c>
      <c r="H4768" s="3564">
        <v>72.78</v>
      </c>
      <c r="I4768" s="3564">
        <v>18.059999999999999</v>
      </c>
      <c r="J4768" s="3565">
        <v>900853</v>
      </c>
      <c r="K4768" s="3565">
        <v>9916.92</v>
      </c>
      <c r="L4768" s="3565">
        <v>12377.75</v>
      </c>
      <c r="M4768" s="3565">
        <v>891845</v>
      </c>
      <c r="N4768" s="3565">
        <v>9817.76</v>
      </c>
      <c r="O4768" s="3566">
        <v>44188</v>
      </c>
    </row>
    <row r="4769" spans="1:15">
      <c r="A4769" s="3563" t="s">
        <v>8992</v>
      </c>
      <c r="B4769" s="3563" t="s">
        <v>4811</v>
      </c>
      <c r="C4769" s="3563" t="s">
        <v>4197</v>
      </c>
      <c r="D4769" s="3563" t="s">
        <v>6429</v>
      </c>
      <c r="E4769" s="3563" t="s">
        <v>8897</v>
      </c>
      <c r="F4769" s="3563" t="s">
        <v>4797</v>
      </c>
      <c r="G4769" s="3564">
        <v>88.62</v>
      </c>
      <c r="H4769" s="3564">
        <v>71</v>
      </c>
      <c r="I4769" s="3564">
        <v>17.62</v>
      </c>
      <c r="J4769" s="3565">
        <v>897693</v>
      </c>
      <c r="K4769" s="3565">
        <v>10129.69</v>
      </c>
      <c r="L4769" s="3565">
        <v>12643.56</v>
      </c>
      <c r="M4769" s="3565">
        <v>852809</v>
      </c>
      <c r="N4769" s="3565">
        <v>9623.2099999999991</v>
      </c>
      <c r="O4769" s="3566">
        <v>44189</v>
      </c>
    </row>
    <row r="4770" spans="1:15">
      <c r="A4770" s="3563" t="s">
        <v>8993</v>
      </c>
      <c r="B4770" s="3563" t="s">
        <v>4811</v>
      </c>
      <c r="C4770" s="3563" t="s">
        <v>4197</v>
      </c>
      <c r="D4770" s="3563" t="s">
        <v>6429</v>
      </c>
      <c r="E4770" s="3563" t="s">
        <v>8897</v>
      </c>
      <c r="F4770" s="3563" t="s">
        <v>4797</v>
      </c>
      <c r="G4770" s="3564">
        <v>88.62</v>
      </c>
      <c r="H4770" s="3564">
        <v>71</v>
      </c>
      <c r="I4770" s="3564">
        <v>17.62</v>
      </c>
      <c r="J4770" s="3565">
        <v>897693</v>
      </c>
      <c r="K4770" s="3565">
        <v>10129.69</v>
      </c>
      <c r="L4770" s="3565">
        <v>12643.56</v>
      </c>
      <c r="M4770" s="3565">
        <v>861786</v>
      </c>
      <c r="N4770" s="3565">
        <v>9724.51</v>
      </c>
      <c r="O4770" s="3566">
        <v>44188</v>
      </c>
    </row>
    <row r="4771" spans="1:15">
      <c r="A4771" s="3563" t="s">
        <v>8994</v>
      </c>
      <c r="B4771" s="3563" t="s">
        <v>4811</v>
      </c>
      <c r="C4771" s="3563" t="s">
        <v>4197</v>
      </c>
      <c r="D4771" s="3563" t="s">
        <v>6429</v>
      </c>
      <c r="E4771" s="3563" t="s">
        <v>8897</v>
      </c>
      <c r="F4771" s="3563" t="s">
        <v>4797</v>
      </c>
      <c r="G4771" s="3564">
        <v>102.36</v>
      </c>
      <c r="H4771" s="3564">
        <v>82.01</v>
      </c>
      <c r="I4771" s="3564">
        <v>20.350000000000001</v>
      </c>
      <c r="J4771" s="3565">
        <v>1042319</v>
      </c>
      <c r="K4771" s="3565">
        <v>10182.870000000001</v>
      </c>
      <c r="L4771" s="3565">
        <v>12709.66</v>
      </c>
      <c r="M4771" s="3565">
        <v>1042319</v>
      </c>
      <c r="N4771" s="3565">
        <v>10182.870000000001</v>
      </c>
      <c r="O4771" s="3566">
        <v>44180</v>
      </c>
    </row>
    <row r="4772" spans="1:15">
      <c r="A4772" s="3563" t="s">
        <v>8995</v>
      </c>
      <c r="B4772" s="3563" t="s">
        <v>4196</v>
      </c>
      <c r="C4772" s="3563" t="s">
        <v>4197</v>
      </c>
      <c r="D4772" s="3563" t="s">
        <v>6429</v>
      </c>
      <c r="E4772" s="3563" t="s">
        <v>8897</v>
      </c>
      <c r="F4772" s="3563" t="s">
        <v>4797</v>
      </c>
      <c r="G4772" s="3564">
        <v>88.62</v>
      </c>
      <c r="H4772" s="3564">
        <v>71</v>
      </c>
      <c r="I4772" s="3564">
        <v>17.62</v>
      </c>
      <c r="J4772" s="3565">
        <v>939175</v>
      </c>
      <c r="K4772" s="3565">
        <v>10597.78</v>
      </c>
      <c r="L4772" s="3565">
        <v>13227.82</v>
      </c>
      <c r="M4772" s="3565">
        <v>0</v>
      </c>
      <c r="N4772" s="3565">
        <v>0</v>
      </c>
      <c r="O4772" s="3563" t="s">
        <v>3453</v>
      </c>
    </row>
    <row r="4773" spans="1:15">
      <c r="A4773" s="3563" t="s">
        <v>8996</v>
      </c>
      <c r="B4773" s="3563" t="s">
        <v>4196</v>
      </c>
      <c r="C4773" s="3563" t="s">
        <v>4197</v>
      </c>
      <c r="D4773" s="3563" t="s">
        <v>6429</v>
      </c>
      <c r="E4773" s="3563" t="s">
        <v>8897</v>
      </c>
      <c r="F4773" s="3563" t="s">
        <v>4797</v>
      </c>
      <c r="G4773" s="3564">
        <v>88.62</v>
      </c>
      <c r="H4773" s="3564">
        <v>71</v>
      </c>
      <c r="I4773" s="3564">
        <v>17.62</v>
      </c>
      <c r="J4773" s="3565">
        <v>939175</v>
      </c>
      <c r="K4773" s="3565">
        <v>10597.78</v>
      </c>
      <c r="L4773" s="3565">
        <v>13227.82</v>
      </c>
      <c r="M4773" s="3565">
        <v>0</v>
      </c>
      <c r="N4773" s="3565">
        <v>0</v>
      </c>
      <c r="O4773" s="3563" t="s">
        <v>3453</v>
      </c>
    </row>
    <row r="4774" spans="1:15">
      <c r="A4774" s="3563" t="s">
        <v>8997</v>
      </c>
      <c r="B4774" s="3563" t="s">
        <v>4196</v>
      </c>
      <c r="C4774" s="3563" t="s">
        <v>4197</v>
      </c>
      <c r="D4774" s="3563" t="s">
        <v>6429</v>
      </c>
      <c r="E4774" s="3563" t="s">
        <v>8897</v>
      </c>
      <c r="F4774" s="3563" t="s">
        <v>4797</v>
      </c>
      <c r="G4774" s="3564">
        <v>90.84</v>
      </c>
      <c r="H4774" s="3564">
        <v>72.78</v>
      </c>
      <c r="I4774" s="3564">
        <v>18.059999999999999</v>
      </c>
      <c r="J4774" s="3565">
        <v>919214</v>
      </c>
      <c r="K4774" s="3565">
        <v>10119.040000000001</v>
      </c>
      <c r="L4774" s="3565">
        <v>12630.04</v>
      </c>
      <c r="M4774" s="3565">
        <v>0</v>
      </c>
      <c r="N4774" s="3565">
        <v>0</v>
      </c>
      <c r="O4774" s="3563" t="s">
        <v>3453</v>
      </c>
    </row>
    <row r="4775" spans="1:15">
      <c r="A4775" s="3563" t="s">
        <v>8998</v>
      </c>
      <c r="B4775" s="3563" t="s">
        <v>4811</v>
      </c>
      <c r="C4775" s="3563" t="s">
        <v>4197</v>
      </c>
      <c r="D4775" s="3563" t="s">
        <v>6429</v>
      </c>
      <c r="E4775" s="3563" t="s">
        <v>8897</v>
      </c>
      <c r="F4775" s="3563" t="s">
        <v>4797</v>
      </c>
      <c r="G4775" s="3564">
        <v>88.62</v>
      </c>
      <c r="H4775" s="3564">
        <v>71</v>
      </c>
      <c r="I4775" s="3564">
        <v>17.62</v>
      </c>
      <c r="J4775" s="3565">
        <v>896750</v>
      </c>
      <c r="K4775" s="3565">
        <v>10119.049999999999</v>
      </c>
      <c r="L4775" s="3565">
        <v>12630.28</v>
      </c>
      <c r="M4775" s="3565">
        <v>869848</v>
      </c>
      <c r="N4775" s="3565">
        <v>9815.48</v>
      </c>
      <c r="O4775" s="3566">
        <v>44189</v>
      </c>
    </row>
    <row r="4776" spans="1:15">
      <c r="A4776" s="3563" t="s">
        <v>8999</v>
      </c>
      <c r="B4776" s="3563" t="s">
        <v>5277</v>
      </c>
      <c r="C4776" s="3563" t="s">
        <v>4197</v>
      </c>
      <c r="D4776" s="3563" t="s">
        <v>6429</v>
      </c>
      <c r="E4776" s="3563" t="s">
        <v>8897</v>
      </c>
      <c r="F4776" s="3563" t="s">
        <v>4797</v>
      </c>
      <c r="G4776" s="3564">
        <v>88.62</v>
      </c>
      <c r="H4776" s="3564">
        <v>71</v>
      </c>
      <c r="I4776" s="3564">
        <v>17.62</v>
      </c>
      <c r="J4776" s="3565">
        <v>896750</v>
      </c>
      <c r="K4776" s="3565">
        <v>10119.049999999999</v>
      </c>
      <c r="L4776" s="3565">
        <v>12630.28</v>
      </c>
      <c r="M4776" s="3565">
        <v>860880</v>
      </c>
      <c r="N4776" s="3565">
        <v>9714.2900000000009</v>
      </c>
      <c r="O4776" s="3566">
        <v>44181</v>
      </c>
    </row>
    <row r="4777" spans="1:15">
      <c r="A4777" s="3563" t="s">
        <v>9000</v>
      </c>
      <c r="B4777" s="3563" t="s">
        <v>6422</v>
      </c>
      <c r="C4777" s="3563" t="s">
        <v>4197</v>
      </c>
      <c r="D4777" s="3563" t="s">
        <v>6429</v>
      </c>
      <c r="E4777" s="3563" t="s">
        <v>8897</v>
      </c>
      <c r="F4777" s="3563" t="s">
        <v>4797</v>
      </c>
      <c r="G4777" s="3564">
        <v>102.36</v>
      </c>
      <c r="H4777" s="3564">
        <v>82.01</v>
      </c>
      <c r="I4777" s="3564">
        <v>20.350000000000001</v>
      </c>
      <c r="J4777" s="3565">
        <v>1041230</v>
      </c>
      <c r="K4777" s="3565">
        <v>10172.24</v>
      </c>
      <c r="L4777" s="3565">
        <v>12696.38</v>
      </c>
      <c r="M4777" s="3565">
        <v>989169</v>
      </c>
      <c r="N4777" s="3565">
        <v>9663.6299999999992</v>
      </c>
      <c r="O4777" s="3566">
        <v>44177</v>
      </c>
    </row>
    <row r="4778" spans="1:15">
      <c r="A4778" s="3563" t="s">
        <v>9001</v>
      </c>
      <c r="B4778" s="3563" t="s">
        <v>5277</v>
      </c>
      <c r="C4778" s="3563" t="s">
        <v>4197</v>
      </c>
      <c r="D4778" s="3563" t="s">
        <v>6429</v>
      </c>
      <c r="E4778" s="3563" t="s">
        <v>8897</v>
      </c>
      <c r="F4778" s="3563" t="s">
        <v>4797</v>
      </c>
      <c r="G4778" s="3564">
        <v>88.62</v>
      </c>
      <c r="H4778" s="3564">
        <v>71</v>
      </c>
      <c r="I4778" s="3564">
        <v>17.62</v>
      </c>
      <c r="J4778" s="3565">
        <v>909949</v>
      </c>
      <c r="K4778" s="3565">
        <v>10267.99</v>
      </c>
      <c r="L4778" s="3565">
        <v>12816.18</v>
      </c>
      <c r="M4778" s="3565">
        <v>864452</v>
      </c>
      <c r="N4778" s="3565">
        <v>9754.59</v>
      </c>
      <c r="O4778" s="3566">
        <v>44188</v>
      </c>
    </row>
    <row r="4779" spans="1:15">
      <c r="A4779" s="3563" t="s">
        <v>9002</v>
      </c>
      <c r="B4779" s="3563" t="s">
        <v>5277</v>
      </c>
      <c r="C4779" s="3563" t="s">
        <v>4197</v>
      </c>
      <c r="D4779" s="3563" t="s">
        <v>6429</v>
      </c>
      <c r="E4779" s="3563" t="s">
        <v>8897</v>
      </c>
      <c r="F4779" s="3563" t="s">
        <v>4797</v>
      </c>
      <c r="G4779" s="3564">
        <v>88.62</v>
      </c>
      <c r="H4779" s="3564">
        <v>71</v>
      </c>
      <c r="I4779" s="3564">
        <v>17.62</v>
      </c>
      <c r="J4779" s="3565">
        <v>909949</v>
      </c>
      <c r="K4779" s="3565">
        <v>10267.99</v>
      </c>
      <c r="L4779" s="3565">
        <v>12816.18</v>
      </c>
      <c r="M4779" s="3565">
        <v>864452</v>
      </c>
      <c r="N4779" s="3565">
        <v>9754.59</v>
      </c>
      <c r="O4779" s="3566">
        <v>44188</v>
      </c>
    </row>
    <row r="4780" spans="1:15">
      <c r="A4780" s="3563" t="s">
        <v>9003</v>
      </c>
      <c r="B4780" s="3563" t="s">
        <v>5277</v>
      </c>
      <c r="C4780" s="3563" t="s">
        <v>4197</v>
      </c>
      <c r="D4780" s="3563" t="s">
        <v>6429</v>
      </c>
      <c r="E4780" s="3563" t="s">
        <v>8897</v>
      </c>
      <c r="F4780" s="3563" t="s">
        <v>4797</v>
      </c>
      <c r="G4780" s="3564">
        <v>90.84</v>
      </c>
      <c r="H4780" s="3564">
        <v>72.78</v>
      </c>
      <c r="I4780" s="3564">
        <v>18.059999999999999</v>
      </c>
      <c r="J4780" s="3565">
        <v>889256</v>
      </c>
      <c r="K4780" s="3565">
        <v>9789.26</v>
      </c>
      <c r="L4780" s="3565">
        <v>12218.41</v>
      </c>
      <c r="M4780" s="3565">
        <v>853686</v>
      </c>
      <c r="N4780" s="3565">
        <v>9397.69</v>
      </c>
      <c r="O4780" s="3566">
        <v>44185</v>
      </c>
    </row>
    <row r="4781" spans="1:15">
      <c r="A4781" s="3563" t="s">
        <v>9004</v>
      </c>
      <c r="B4781" s="3563" t="s">
        <v>4811</v>
      </c>
      <c r="C4781" s="3563" t="s">
        <v>4197</v>
      </c>
      <c r="D4781" s="3563" t="s">
        <v>6429</v>
      </c>
      <c r="E4781" s="3563" t="s">
        <v>8897</v>
      </c>
      <c r="F4781" s="3563" t="s">
        <v>4797</v>
      </c>
      <c r="G4781" s="3564">
        <v>88.62</v>
      </c>
      <c r="H4781" s="3564">
        <v>71</v>
      </c>
      <c r="I4781" s="3564">
        <v>17.62</v>
      </c>
      <c r="J4781" s="3565">
        <v>867524</v>
      </c>
      <c r="K4781" s="3565">
        <v>9789.26</v>
      </c>
      <c r="L4781" s="3565">
        <v>12218.65</v>
      </c>
      <c r="M4781" s="3565">
        <v>832824</v>
      </c>
      <c r="N4781" s="3565">
        <v>9397.7000000000007</v>
      </c>
      <c r="O4781" s="3566">
        <v>44188</v>
      </c>
    </row>
    <row r="4782" spans="1:15">
      <c r="A4782" s="3563" t="s">
        <v>9005</v>
      </c>
      <c r="B4782" s="3563" t="s">
        <v>4811</v>
      </c>
      <c r="C4782" s="3563" t="s">
        <v>4197</v>
      </c>
      <c r="D4782" s="3563" t="s">
        <v>6429</v>
      </c>
      <c r="E4782" s="3563" t="s">
        <v>8897</v>
      </c>
      <c r="F4782" s="3563" t="s">
        <v>4797</v>
      </c>
      <c r="G4782" s="3564">
        <v>88.62</v>
      </c>
      <c r="H4782" s="3564">
        <v>71</v>
      </c>
      <c r="I4782" s="3564">
        <v>17.62</v>
      </c>
      <c r="J4782" s="3565">
        <v>867524</v>
      </c>
      <c r="K4782" s="3565">
        <v>9789.26</v>
      </c>
      <c r="L4782" s="3565">
        <v>12218.65</v>
      </c>
      <c r="M4782" s="3565">
        <v>832824</v>
      </c>
      <c r="N4782" s="3565">
        <v>9397.7000000000007</v>
      </c>
      <c r="O4782" s="3566">
        <v>44183</v>
      </c>
    </row>
    <row r="4783" spans="1:15">
      <c r="A4783" s="3563" t="s">
        <v>9006</v>
      </c>
      <c r="B4783" s="3563" t="s">
        <v>5277</v>
      </c>
      <c r="C4783" s="3563" t="s">
        <v>4197</v>
      </c>
      <c r="D4783" s="3563" t="s">
        <v>6429</v>
      </c>
      <c r="E4783" s="3563" t="s">
        <v>8897</v>
      </c>
      <c r="F4783" s="3563" t="s">
        <v>4797</v>
      </c>
      <c r="G4783" s="3564">
        <v>102.36</v>
      </c>
      <c r="H4783" s="3564">
        <v>82.01</v>
      </c>
      <c r="I4783" s="3564">
        <v>20.350000000000001</v>
      </c>
      <c r="J4783" s="3565">
        <v>1007473</v>
      </c>
      <c r="K4783" s="3565">
        <v>9842.4500000000007</v>
      </c>
      <c r="L4783" s="3565">
        <v>12284.76</v>
      </c>
      <c r="M4783" s="3565">
        <v>967175</v>
      </c>
      <c r="N4783" s="3565">
        <v>9448.76</v>
      </c>
      <c r="O4783" s="3566">
        <v>44177</v>
      </c>
    </row>
    <row r="4784" spans="1:15">
      <c r="A4784" s="3563" t="s">
        <v>9007</v>
      </c>
      <c r="B4784" s="3563" t="s">
        <v>4811</v>
      </c>
      <c r="C4784" s="3563" t="s">
        <v>4197</v>
      </c>
      <c r="D4784" s="3563" t="s">
        <v>6429</v>
      </c>
      <c r="E4784" s="3563" t="s">
        <v>8897</v>
      </c>
      <c r="F4784" s="3563" t="s">
        <v>4797</v>
      </c>
      <c r="G4784" s="3564">
        <v>88.62</v>
      </c>
      <c r="H4784" s="3564">
        <v>71</v>
      </c>
      <c r="I4784" s="3564">
        <v>17.62</v>
      </c>
      <c r="J4784" s="3565">
        <v>897693</v>
      </c>
      <c r="K4784" s="3565">
        <v>10129.69</v>
      </c>
      <c r="L4784" s="3565">
        <v>12643.56</v>
      </c>
      <c r="M4784" s="3565">
        <v>870763</v>
      </c>
      <c r="N4784" s="3565">
        <v>9825.81</v>
      </c>
      <c r="O4784" s="3566">
        <v>44189</v>
      </c>
    </row>
    <row r="4785" spans="1:15">
      <c r="A4785" s="3563" t="s">
        <v>9008</v>
      </c>
      <c r="B4785" s="3563" t="s">
        <v>4811</v>
      </c>
      <c r="C4785" s="3563" t="s">
        <v>4197</v>
      </c>
      <c r="D4785" s="3563" t="s">
        <v>6429</v>
      </c>
      <c r="E4785" s="3563" t="s">
        <v>8897</v>
      </c>
      <c r="F4785" s="3563" t="s">
        <v>4797</v>
      </c>
      <c r="G4785" s="3564">
        <v>88.62</v>
      </c>
      <c r="H4785" s="3564">
        <v>71</v>
      </c>
      <c r="I4785" s="3564">
        <v>17.62</v>
      </c>
      <c r="J4785" s="3565">
        <v>897693</v>
      </c>
      <c r="K4785" s="3565">
        <v>10129.69</v>
      </c>
      <c r="L4785" s="3565">
        <v>12643.56</v>
      </c>
      <c r="M4785" s="3565">
        <v>870763</v>
      </c>
      <c r="N4785" s="3565">
        <v>9825.81</v>
      </c>
      <c r="O4785" s="3566">
        <v>44189</v>
      </c>
    </row>
    <row r="4786" spans="1:15">
      <c r="A4786" s="3563" t="s">
        <v>9009</v>
      </c>
      <c r="B4786" s="3563" t="s">
        <v>4811</v>
      </c>
      <c r="C4786" s="3563" t="s">
        <v>4197</v>
      </c>
      <c r="D4786" s="3563" t="s">
        <v>6429</v>
      </c>
      <c r="E4786" s="3563" t="s">
        <v>8897</v>
      </c>
      <c r="F4786" s="3563" t="s">
        <v>4797</v>
      </c>
      <c r="G4786" s="3564">
        <v>90.84</v>
      </c>
      <c r="H4786" s="3564">
        <v>72.78</v>
      </c>
      <c r="I4786" s="3564">
        <v>18.059999999999999</v>
      </c>
      <c r="J4786" s="3565">
        <v>875727</v>
      </c>
      <c r="K4786" s="3565">
        <v>9640.32</v>
      </c>
      <c r="L4786" s="3565">
        <v>12032.52</v>
      </c>
      <c r="M4786" s="3565">
        <v>849456</v>
      </c>
      <c r="N4786" s="3565">
        <v>9351.1200000000008</v>
      </c>
      <c r="O4786" s="3566">
        <v>44189</v>
      </c>
    </row>
    <row r="4787" spans="1:15">
      <c r="A4787" s="3563" t="s">
        <v>9010</v>
      </c>
      <c r="B4787" s="3563" t="s">
        <v>5277</v>
      </c>
      <c r="C4787" s="3563" t="s">
        <v>4197</v>
      </c>
      <c r="D4787" s="3563" t="s">
        <v>6429</v>
      </c>
      <c r="E4787" s="3563" t="s">
        <v>8897</v>
      </c>
      <c r="F4787" s="3563" t="s">
        <v>4797</v>
      </c>
      <c r="G4787" s="3564">
        <v>88.62</v>
      </c>
      <c r="H4787" s="3564">
        <v>71</v>
      </c>
      <c r="I4787" s="3564">
        <v>17.62</v>
      </c>
      <c r="J4787" s="3565">
        <v>855268</v>
      </c>
      <c r="K4787" s="3565">
        <v>9650.9599999999991</v>
      </c>
      <c r="L4787" s="3565">
        <v>12046.03</v>
      </c>
      <c r="M4787" s="3565">
        <v>829610</v>
      </c>
      <c r="N4787" s="3565">
        <v>9361.43</v>
      </c>
      <c r="O4787" s="3566">
        <v>44189</v>
      </c>
    </row>
    <row r="4788" spans="1:15">
      <c r="A4788" s="3563" t="s">
        <v>9011</v>
      </c>
      <c r="B4788" s="3563" t="s">
        <v>4811</v>
      </c>
      <c r="C4788" s="3563" t="s">
        <v>4197</v>
      </c>
      <c r="D4788" s="3563" t="s">
        <v>6429</v>
      </c>
      <c r="E4788" s="3563" t="s">
        <v>8897</v>
      </c>
      <c r="F4788" s="3563" t="s">
        <v>4797</v>
      </c>
      <c r="G4788" s="3564">
        <v>88.62</v>
      </c>
      <c r="H4788" s="3564">
        <v>71</v>
      </c>
      <c r="I4788" s="3564">
        <v>17.62</v>
      </c>
      <c r="J4788" s="3565">
        <v>855268</v>
      </c>
      <c r="K4788" s="3565">
        <v>9650.9599999999991</v>
      </c>
      <c r="L4788" s="3565">
        <v>12046.03</v>
      </c>
      <c r="M4788" s="3565">
        <v>821058</v>
      </c>
      <c r="N4788" s="3565">
        <v>9264.93</v>
      </c>
      <c r="O4788" s="3566">
        <v>44185</v>
      </c>
    </row>
    <row r="4789" spans="1:15">
      <c r="A4789" s="3563" t="s">
        <v>9012</v>
      </c>
      <c r="B4789" s="3563" t="s">
        <v>4811</v>
      </c>
      <c r="C4789" s="3563" t="s">
        <v>4197</v>
      </c>
      <c r="D4789" s="3563" t="s">
        <v>6429</v>
      </c>
      <c r="E4789" s="3563" t="s">
        <v>8897</v>
      </c>
      <c r="F4789" s="3563" t="s">
        <v>4797</v>
      </c>
      <c r="G4789" s="3564">
        <v>102.36</v>
      </c>
      <c r="H4789" s="3564">
        <v>82.01</v>
      </c>
      <c r="I4789" s="3564">
        <v>20.350000000000001</v>
      </c>
      <c r="J4789" s="3565">
        <v>1004207</v>
      </c>
      <c r="K4789" s="3565">
        <v>9810.5400000000009</v>
      </c>
      <c r="L4789" s="3565">
        <v>12244.93</v>
      </c>
      <c r="M4789" s="3565">
        <v>964039</v>
      </c>
      <c r="N4789" s="3565">
        <v>9418.1200000000008</v>
      </c>
      <c r="O4789" s="3566">
        <v>44185</v>
      </c>
    </row>
    <row r="4790" spans="1:15">
      <c r="A4790" s="3563" t="s">
        <v>9013</v>
      </c>
      <c r="B4790" s="3563" t="s">
        <v>4196</v>
      </c>
      <c r="C4790" s="3563" t="s">
        <v>4197</v>
      </c>
      <c r="D4790" s="3563" t="s">
        <v>6429</v>
      </c>
      <c r="E4790" s="3563" t="s">
        <v>8897</v>
      </c>
      <c r="F4790" s="3563" t="s">
        <v>4797</v>
      </c>
      <c r="G4790" s="3564">
        <v>88.62</v>
      </c>
      <c r="H4790" s="3564">
        <v>71</v>
      </c>
      <c r="I4790" s="3564">
        <v>17.62</v>
      </c>
      <c r="J4790" s="3565">
        <v>909006</v>
      </c>
      <c r="K4790" s="3565">
        <v>10257.35</v>
      </c>
      <c r="L4790" s="3565">
        <v>12802.9</v>
      </c>
      <c r="M4790" s="3565">
        <v>0</v>
      </c>
      <c r="N4790" s="3565">
        <v>0</v>
      </c>
      <c r="O4790" s="3563" t="s">
        <v>3453</v>
      </c>
    </row>
    <row r="4791" spans="1:15">
      <c r="A4791" s="3563" t="s">
        <v>9014</v>
      </c>
      <c r="B4791" s="3563" t="s">
        <v>4811</v>
      </c>
      <c r="C4791" s="3563" t="s">
        <v>4197</v>
      </c>
      <c r="D4791" s="3563" t="s">
        <v>6429</v>
      </c>
      <c r="E4791" s="3563" t="s">
        <v>8897</v>
      </c>
      <c r="F4791" s="3563" t="s">
        <v>4797</v>
      </c>
      <c r="G4791" s="3564">
        <v>88.62</v>
      </c>
      <c r="H4791" s="3564">
        <v>71</v>
      </c>
      <c r="I4791" s="3564">
        <v>17.62</v>
      </c>
      <c r="J4791" s="3565">
        <v>909006</v>
      </c>
      <c r="K4791" s="3565">
        <v>10257.35</v>
      </c>
      <c r="L4791" s="3565">
        <v>12802.9</v>
      </c>
      <c r="M4791" s="3565">
        <v>872646</v>
      </c>
      <c r="N4791" s="3565">
        <v>9847.0499999999993</v>
      </c>
      <c r="O4791" s="3566">
        <v>44189</v>
      </c>
    </row>
    <row r="4792" spans="1:15">
      <c r="A4792" s="3563" t="s">
        <v>9015</v>
      </c>
      <c r="B4792" s="3563" t="s">
        <v>4196</v>
      </c>
      <c r="C4792" s="3563" t="s">
        <v>4197</v>
      </c>
      <c r="D4792" s="3563" t="s">
        <v>6429</v>
      </c>
      <c r="E4792" s="3563" t="s">
        <v>8897</v>
      </c>
      <c r="F4792" s="3563" t="s">
        <v>4797</v>
      </c>
      <c r="G4792" s="3564">
        <v>90.84</v>
      </c>
      <c r="H4792" s="3564">
        <v>72.78</v>
      </c>
      <c r="I4792" s="3564">
        <v>18.059999999999999</v>
      </c>
      <c r="J4792" s="3565">
        <v>878626</v>
      </c>
      <c r="K4792" s="3565">
        <v>9672.24</v>
      </c>
      <c r="L4792" s="3565">
        <v>12072.36</v>
      </c>
      <c r="M4792" s="3565">
        <v>0</v>
      </c>
      <c r="N4792" s="3565">
        <v>0</v>
      </c>
      <c r="O4792" s="3563" t="s">
        <v>3453</v>
      </c>
    </row>
    <row r="4793" spans="1:15">
      <c r="A4793" s="3563" t="s">
        <v>9016</v>
      </c>
      <c r="B4793" s="3563" t="s">
        <v>4811</v>
      </c>
      <c r="C4793" s="3563" t="s">
        <v>4197</v>
      </c>
      <c r="D4793" s="3563" t="s">
        <v>6429</v>
      </c>
      <c r="E4793" s="3563" t="s">
        <v>8897</v>
      </c>
      <c r="F4793" s="3563" t="s">
        <v>4797</v>
      </c>
      <c r="G4793" s="3564">
        <v>88.62</v>
      </c>
      <c r="H4793" s="3564">
        <v>71</v>
      </c>
      <c r="I4793" s="3564">
        <v>17.62</v>
      </c>
      <c r="J4793" s="3565">
        <v>866582</v>
      </c>
      <c r="K4793" s="3565">
        <v>9778.6299999999992</v>
      </c>
      <c r="L4793" s="3565">
        <v>12205.38</v>
      </c>
      <c r="M4793" s="3565">
        <v>831919</v>
      </c>
      <c r="N4793" s="3565">
        <v>9387.49</v>
      </c>
      <c r="O4793" s="3566">
        <v>44190</v>
      </c>
    </row>
    <row r="4794" spans="1:15">
      <c r="A4794" s="3563" t="s">
        <v>9017</v>
      </c>
      <c r="B4794" s="3563" t="s">
        <v>4811</v>
      </c>
      <c r="C4794" s="3563" t="s">
        <v>4197</v>
      </c>
      <c r="D4794" s="3563" t="s">
        <v>6429</v>
      </c>
      <c r="E4794" s="3563" t="s">
        <v>8897</v>
      </c>
      <c r="F4794" s="3563" t="s">
        <v>4797</v>
      </c>
      <c r="G4794" s="3564">
        <v>88.62</v>
      </c>
      <c r="H4794" s="3564">
        <v>71</v>
      </c>
      <c r="I4794" s="3564">
        <v>17.62</v>
      </c>
      <c r="J4794" s="3565">
        <v>866582</v>
      </c>
      <c r="K4794" s="3565">
        <v>9778.6299999999992</v>
      </c>
      <c r="L4794" s="3565">
        <v>12205.38</v>
      </c>
      <c r="M4794" s="3565">
        <v>823253</v>
      </c>
      <c r="N4794" s="3565">
        <v>9289.7000000000007</v>
      </c>
      <c r="O4794" s="3566">
        <v>44192</v>
      </c>
    </row>
    <row r="4795" spans="1:15">
      <c r="A4795" s="3563" t="s">
        <v>9018</v>
      </c>
      <c r="B4795" s="3563" t="s">
        <v>5277</v>
      </c>
      <c r="C4795" s="3563" t="s">
        <v>4197</v>
      </c>
      <c r="D4795" s="3563" t="s">
        <v>6429</v>
      </c>
      <c r="E4795" s="3563" t="s">
        <v>8897</v>
      </c>
      <c r="F4795" s="3563" t="s">
        <v>4797</v>
      </c>
      <c r="G4795" s="3564">
        <v>102.36</v>
      </c>
      <c r="H4795" s="3564">
        <v>82.01</v>
      </c>
      <c r="I4795" s="3564">
        <v>20.350000000000001</v>
      </c>
      <c r="J4795" s="3565">
        <v>1017274</v>
      </c>
      <c r="K4795" s="3565">
        <v>9938.2000000000007</v>
      </c>
      <c r="L4795" s="3565">
        <v>12404.27</v>
      </c>
      <c r="M4795" s="3565">
        <v>966411</v>
      </c>
      <c r="N4795" s="3565">
        <v>9441.2999999999993</v>
      </c>
      <c r="O4795" s="3566">
        <v>44192</v>
      </c>
    </row>
    <row r="4796" spans="1:15">
      <c r="A4796" s="3563" t="s">
        <v>9019</v>
      </c>
      <c r="B4796" s="3563" t="s">
        <v>4196</v>
      </c>
      <c r="C4796" s="3563" t="s">
        <v>4197</v>
      </c>
      <c r="D4796" s="3563" t="s">
        <v>6429</v>
      </c>
      <c r="E4796" s="3563" t="s">
        <v>8897</v>
      </c>
      <c r="F4796" s="3563" t="s">
        <v>4797</v>
      </c>
      <c r="G4796" s="3564">
        <v>88.62</v>
      </c>
      <c r="H4796" s="3564">
        <v>71</v>
      </c>
      <c r="I4796" s="3564">
        <v>17.62</v>
      </c>
      <c r="J4796" s="3565">
        <v>920319</v>
      </c>
      <c r="K4796" s="3565">
        <v>10385</v>
      </c>
      <c r="L4796" s="3565">
        <v>12962.24</v>
      </c>
      <c r="M4796" s="3565">
        <v>0</v>
      </c>
      <c r="N4796" s="3565">
        <v>0</v>
      </c>
      <c r="O4796" s="3563" t="s">
        <v>3453</v>
      </c>
    </row>
    <row r="4797" spans="1:15">
      <c r="A4797" s="3563" t="s">
        <v>9020</v>
      </c>
      <c r="B4797" s="3563" t="s">
        <v>4196</v>
      </c>
      <c r="C4797" s="3563" t="s">
        <v>4197</v>
      </c>
      <c r="D4797" s="3563" t="s">
        <v>6429</v>
      </c>
      <c r="E4797" s="3563" t="s">
        <v>8897</v>
      </c>
      <c r="F4797" s="3563" t="s">
        <v>4797</v>
      </c>
      <c r="G4797" s="3564">
        <v>88.62</v>
      </c>
      <c r="H4797" s="3564">
        <v>71</v>
      </c>
      <c r="I4797" s="3564">
        <v>17.62</v>
      </c>
      <c r="J4797" s="3565">
        <v>920319</v>
      </c>
      <c r="K4797" s="3565">
        <v>10385</v>
      </c>
      <c r="L4797" s="3565">
        <v>12962.24</v>
      </c>
      <c r="M4797" s="3565">
        <v>0</v>
      </c>
      <c r="N4797" s="3565">
        <v>0</v>
      </c>
      <c r="O4797" s="3563" t="s">
        <v>3453</v>
      </c>
    </row>
    <row r="4798" spans="1:15">
      <c r="A4798" s="3563" t="s">
        <v>9021</v>
      </c>
      <c r="B4798" s="3563" t="s">
        <v>4196</v>
      </c>
      <c r="C4798" s="3563" t="s">
        <v>4197</v>
      </c>
      <c r="D4798" s="3563" t="s">
        <v>6429</v>
      </c>
      <c r="E4798" s="3563" t="s">
        <v>8897</v>
      </c>
      <c r="F4798" s="3563" t="s">
        <v>4797</v>
      </c>
      <c r="G4798" s="3564">
        <v>90.84</v>
      </c>
      <c r="H4798" s="3564">
        <v>72.78</v>
      </c>
      <c r="I4798" s="3564">
        <v>18.059999999999999</v>
      </c>
      <c r="J4798" s="3565">
        <v>890223</v>
      </c>
      <c r="K4798" s="3565">
        <v>9799.9</v>
      </c>
      <c r="L4798" s="3565">
        <v>12231.7</v>
      </c>
      <c r="M4798" s="3565">
        <v>0</v>
      </c>
      <c r="N4798" s="3565">
        <v>0</v>
      </c>
      <c r="O4798" s="3563" t="s">
        <v>3453</v>
      </c>
    </row>
    <row r="4799" spans="1:15">
      <c r="A4799" s="3563" t="s">
        <v>9022</v>
      </c>
      <c r="B4799" s="3563" t="s">
        <v>4811</v>
      </c>
      <c r="C4799" s="3563" t="s">
        <v>4197</v>
      </c>
      <c r="D4799" s="3563" t="s">
        <v>6429</v>
      </c>
      <c r="E4799" s="3563" t="s">
        <v>8897</v>
      </c>
      <c r="F4799" s="3563" t="s">
        <v>4797</v>
      </c>
      <c r="G4799" s="3564">
        <v>88.62</v>
      </c>
      <c r="H4799" s="3564">
        <v>71</v>
      </c>
      <c r="I4799" s="3564">
        <v>17.62</v>
      </c>
      <c r="J4799" s="3565">
        <v>877895</v>
      </c>
      <c r="K4799" s="3565">
        <v>9906.2900000000009</v>
      </c>
      <c r="L4799" s="3565">
        <v>12364.72</v>
      </c>
      <c r="M4799" s="3565">
        <v>851558</v>
      </c>
      <c r="N4799" s="3565">
        <v>9609.1</v>
      </c>
      <c r="O4799" s="3566">
        <v>44189</v>
      </c>
    </row>
    <row r="4800" spans="1:15">
      <c r="A4800" s="3563" t="s">
        <v>9023</v>
      </c>
      <c r="B4800" s="3563" t="s">
        <v>4196</v>
      </c>
      <c r="C4800" s="3563" t="s">
        <v>4197</v>
      </c>
      <c r="D4800" s="3563" t="s">
        <v>6429</v>
      </c>
      <c r="E4800" s="3563" t="s">
        <v>8897</v>
      </c>
      <c r="F4800" s="3563" t="s">
        <v>4797</v>
      </c>
      <c r="G4800" s="3564">
        <v>88.62</v>
      </c>
      <c r="H4800" s="3564">
        <v>71</v>
      </c>
      <c r="I4800" s="3564">
        <v>17.62</v>
      </c>
      <c r="J4800" s="3565">
        <v>877895</v>
      </c>
      <c r="K4800" s="3565">
        <v>9906.2900000000009</v>
      </c>
      <c r="L4800" s="3565">
        <v>12364.72</v>
      </c>
      <c r="M4800" s="3565">
        <v>0</v>
      </c>
      <c r="N4800" s="3565">
        <v>0</v>
      </c>
      <c r="O4800" s="3563" t="s">
        <v>3453</v>
      </c>
    </row>
    <row r="4801" spans="1:15">
      <c r="A4801" s="3563" t="s">
        <v>9024</v>
      </c>
      <c r="B4801" s="3563" t="s">
        <v>6422</v>
      </c>
      <c r="C4801" s="3563" t="s">
        <v>4197</v>
      </c>
      <c r="D4801" s="3563" t="s">
        <v>6429</v>
      </c>
      <c r="E4801" s="3563" t="s">
        <v>8897</v>
      </c>
      <c r="F4801" s="3563" t="s">
        <v>4797</v>
      </c>
      <c r="G4801" s="3564">
        <v>102.36</v>
      </c>
      <c r="H4801" s="3564">
        <v>82.01</v>
      </c>
      <c r="I4801" s="3564">
        <v>20.350000000000001</v>
      </c>
      <c r="J4801" s="3565">
        <v>1030341</v>
      </c>
      <c r="K4801" s="3565">
        <v>10065.86</v>
      </c>
      <c r="L4801" s="3565">
        <v>12563.6</v>
      </c>
      <c r="M4801" s="3565">
        <v>937611</v>
      </c>
      <c r="N4801" s="3565">
        <v>9159.94</v>
      </c>
      <c r="O4801" s="3566">
        <v>44178</v>
      </c>
    </row>
    <row r="4802" spans="1:15">
      <c r="A4802" s="3563" t="s">
        <v>9025</v>
      </c>
      <c r="B4802" s="3563" t="s">
        <v>4196</v>
      </c>
      <c r="C4802" s="3563" t="s">
        <v>4197</v>
      </c>
      <c r="D4802" s="3563" t="s">
        <v>6429</v>
      </c>
      <c r="E4802" s="3563" t="s">
        <v>8897</v>
      </c>
      <c r="F4802" s="3563" t="s">
        <v>4797</v>
      </c>
      <c r="G4802" s="3564">
        <v>88.62</v>
      </c>
      <c r="H4802" s="3564">
        <v>71</v>
      </c>
      <c r="I4802" s="3564">
        <v>17.62</v>
      </c>
      <c r="J4802" s="3565">
        <v>921262</v>
      </c>
      <c r="K4802" s="3565">
        <v>10395.64</v>
      </c>
      <c r="L4802" s="3565">
        <v>12975.52</v>
      </c>
      <c r="M4802" s="3565">
        <v>0</v>
      </c>
      <c r="N4802" s="3565">
        <v>0</v>
      </c>
      <c r="O4802" s="3563" t="s">
        <v>3453</v>
      </c>
    </row>
    <row r="4803" spans="1:15">
      <c r="A4803" s="3563" t="s">
        <v>9026</v>
      </c>
      <c r="B4803" s="3563" t="s">
        <v>4196</v>
      </c>
      <c r="C4803" s="3563" t="s">
        <v>4197</v>
      </c>
      <c r="D4803" s="3563" t="s">
        <v>6429</v>
      </c>
      <c r="E4803" s="3563" t="s">
        <v>8897</v>
      </c>
      <c r="F4803" s="3563" t="s">
        <v>4797</v>
      </c>
      <c r="G4803" s="3564">
        <v>88.62</v>
      </c>
      <c r="H4803" s="3564">
        <v>71</v>
      </c>
      <c r="I4803" s="3564">
        <v>17.62</v>
      </c>
      <c r="J4803" s="3565">
        <v>921262</v>
      </c>
      <c r="K4803" s="3565">
        <v>10395.64</v>
      </c>
      <c r="L4803" s="3565">
        <v>12975.52</v>
      </c>
      <c r="M4803" s="3565">
        <v>0</v>
      </c>
      <c r="N4803" s="3565">
        <v>0</v>
      </c>
      <c r="O4803" s="3563" t="s">
        <v>3453</v>
      </c>
    </row>
    <row r="4804" spans="1:15">
      <c r="A4804" s="3563" t="s">
        <v>9027</v>
      </c>
      <c r="B4804" s="3563" t="s">
        <v>4196</v>
      </c>
      <c r="C4804" s="3563" t="s">
        <v>4197</v>
      </c>
      <c r="D4804" s="3563" t="s">
        <v>6429</v>
      </c>
      <c r="E4804" s="3563" t="s">
        <v>8897</v>
      </c>
      <c r="F4804" s="3563" t="s">
        <v>4797</v>
      </c>
      <c r="G4804" s="3564">
        <v>90.84</v>
      </c>
      <c r="H4804" s="3564">
        <v>72.78</v>
      </c>
      <c r="I4804" s="3564">
        <v>18.059999999999999</v>
      </c>
      <c r="J4804" s="3565">
        <v>891189</v>
      </c>
      <c r="K4804" s="3565">
        <v>9810.5400000000009</v>
      </c>
      <c r="L4804" s="3565">
        <v>12244.97</v>
      </c>
      <c r="M4804" s="3565">
        <v>0</v>
      </c>
      <c r="N4804" s="3565">
        <v>0</v>
      </c>
      <c r="O4804" s="3563" t="s">
        <v>3453</v>
      </c>
    </row>
    <row r="4805" spans="1:15">
      <c r="A4805" s="3563" t="s">
        <v>9028</v>
      </c>
      <c r="B4805" s="3563" t="s">
        <v>4196</v>
      </c>
      <c r="C4805" s="3563" t="s">
        <v>4197</v>
      </c>
      <c r="D4805" s="3563" t="s">
        <v>6429</v>
      </c>
      <c r="E4805" s="3563" t="s">
        <v>8897</v>
      </c>
      <c r="F4805" s="3563" t="s">
        <v>4797</v>
      </c>
      <c r="G4805" s="3564">
        <v>88.62</v>
      </c>
      <c r="H4805" s="3564">
        <v>71</v>
      </c>
      <c r="I4805" s="3564">
        <v>17.62</v>
      </c>
      <c r="J4805" s="3565">
        <v>878837</v>
      </c>
      <c r="K4805" s="3565">
        <v>9916.91</v>
      </c>
      <c r="L4805" s="3565">
        <v>12377.99</v>
      </c>
      <c r="M4805" s="3565">
        <v>0</v>
      </c>
      <c r="N4805" s="3565">
        <v>0</v>
      </c>
      <c r="O4805" s="3563" t="s">
        <v>3453</v>
      </c>
    </row>
    <row r="4806" spans="1:15">
      <c r="A4806" s="3563" t="s">
        <v>9029</v>
      </c>
      <c r="B4806" s="3563" t="s">
        <v>4196</v>
      </c>
      <c r="C4806" s="3563" t="s">
        <v>4197</v>
      </c>
      <c r="D4806" s="3563" t="s">
        <v>6429</v>
      </c>
      <c r="E4806" s="3563" t="s">
        <v>8897</v>
      </c>
      <c r="F4806" s="3563" t="s">
        <v>4797</v>
      </c>
      <c r="G4806" s="3564">
        <v>88.62</v>
      </c>
      <c r="H4806" s="3564">
        <v>71</v>
      </c>
      <c r="I4806" s="3564">
        <v>17.62</v>
      </c>
      <c r="J4806" s="3565">
        <v>878837</v>
      </c>
      <c r="K4806" s="3565">
        <v>9916.91</v>
      </c>
      <c r="L4806" s="3565">
        <v>12377.99</v>
      </c>
      <c r="M4806" s="3565">
        <v>0</v>
      </c>
      <c r="N4806" s="3565">
        <v>0</v>
      </c>
      <c r="O4806" s="3563" t="s">
        <v>3453</v>
      </c>
    </row>
    <row r="4807" spans="1:15">
      <c r="A4807" s="3563" t="s">
        <v>9030</v>
      </c>
      <c r="B4807" s="3563" t="s">
        <v>5277</v>
      </c>
      <c r="C4807" s="3563" t="s">
        <v>4197</v>
      </c>
      <c r="D4807" s="3563" t="s">
        <v>6429</v>
      </c>
      <c r="E4807" s="3563" t="s">
        <v>8897</v>
      </c>
      <c r="F4807" s="3563" t="s">
        <v>4797</v>
      </c>
      <c r="G4807" s="3564">
        <v>102.36</v>
      </c>
      <c r="H4807" s="3564">
        <v>82.01</v>
      </c>
      <c r="I4807" s="3564">
        <v>20.350000000000001</v>
      </c>
      <c r="J4807" s="3565">
        <v>1031430</v>
      </c>
      <c r="K4807" s="3565">
        <v>10076.49</v>
      </c>
      <c r="L4807" s="3565">
        <v>12576.88</v>
      </c>
      <c r="M4807" s="3565">
        <v>969545</v>
      </c>
      <c r="N4807" s="3565">
        <v>9471.91</v>
      </c>
      <c r="O4807" s="3566">
        <v>44177</v>
      </c>
    </row>
    <row r="4808" spans="1:15">
      <c r="A4808" s="3563" t="s">
        <v>9031</v>
      </c>
      <c r="B4808" s="3563" t="s">
        <v>4811</v>
      </c>
      <c r="C4808" s="3563" t="s">
        <v>4197</v>
      </c>
      <c r="D4808" s="3563" t="s">
        <v>6429</v>
      </c>
      <c r="E4808" s="3563" t="s">
        <v>8897</v>
      </c>
      <c r="F4808" s="3563" t="s">
        <v>4797</v>
      </c>
      <c r="G4808" s="3564">
        <v>88.62</v>
      </c>
      <c r="H4808" s="3564">
        <v>71</v>
      </c>
      <c r="I4808" s="3564">
        <v>17.62</v>
      </c>
      <c r="J4808" s="3565">
        <v>922205</v>
      </c>
      <c r="K4808" s="3565">
        <v>10406.290000000001</v>
      </c>
      <c r="L4808" s="3565">
        <v>12988.8</v>
      </c>
      <c r="M4808" s="3565">
        <v>885317</v>
      </c>
      <c r="N4808" s="3565">
        <v>9990.0400000000009</v>
      </c>
      <c r="O4808" s="3566">
        <v>44191</v>
      </c>
    </row>
    <row r="4809" spans="1:15">
      <c r="A4809" s="3563" t="s">
        <v>9032</v>
      </c>
      <c r="B4809" s="3563" t="s">
        <v>6422</v>
      </c>
      <c r="C4809" s="3563" t="s">
        <v>4197</v>
      </c>
      <c r="D4809" s="3563" t="s">
        <v>6429</v>
      </c>
      <c r="E4809" s="3563" t="s">
        <v>8897</v>
      </c>
      <c r="F4809" s="3563" t="s">
        <v>4797</v>
      </c>
      <c r="G4809" s="3564">
        <v>88.62</v>
      </c>
      <c r="H4809" s="3564">
        <v>71</v>
      </c>
      <c r="I4809" s="3564">
        <v>17.62</v>
      </c>
      <c r="J4809" s="3565">
        <v>922205</v>
      </c>
      <c r="K4809" s="3565">
        <v>10406.290000000001</v>
      </c>
      <c r="L4809" s="3565">
        <v>12988.8</v>
      </c>
      <c r="M4809" s="3565">
        <v>839207</v>
      </c>
      <c r="N4809" s="3565">
        <v>9469.7199999999993</v>
      </c>
      <c r="O4809" s="3566">
        <v>44180</v>
      </c>
    </row>
    <row r="4810" spans="1:15">
      <c r="A4810" s="3563" t="s">
        <v>9033</v>
      </c>
      <c r="B4810" s="3563" t="s">
        <v>4196</v>
      </c>
      <c r="C4810" s="3563" t="s">
        <v>4197</v>
      </c>
      <c r="D4810" s="3563" t="s">
        <v>6429</v>
      </c>
      <c r="E4810" s="3563" t="s">
        <v>8897</v>
      </c>
      <c r="F4810" s="3563" t="s">
        <v>4797</v>
      </c>
      <c r="G4810" s="3564">
        <v>90.84</v>
      </c>
      <c r="H4810" s="3564">
        <v>72.78</v>
      </c>
      <c r="I4810" s="3564">
        <v>18.059999999999999</v>
      </c>
      <c r="J4810" s="3565">
        <v>901819</v>
      </c>
      <c r="K4810" s="3565">
        <v>9927.5499999999993</v>
      </c>
      <c r="L4810" s="3565">
        <v>12391.03</v>
      </c>
      <c r="M4810" s="3565">
        <v>0</v>
      </c>
      <c r="N4810" s="3565">
        <v>0</v>
      </c>
      <c r="O4810" s="3563" t="s">
        <v>3453</v>
      </c>
    </row>
    <row r="4811" spans="1:15">
      <c r="A4811" s="3563" t="s">
        <v>9034</v>
      </c>
      <c r="B4811" s="3563" t="s">
        <v>4811</v>
      </c>
      <c r="C4811" s="3563" t="s">
        <v>4197</v>
      </c>
      <c r="D4811" s="3563" t="s">
        <v>6429</v>
      </c>
      <c r="E4811" s="3563" t="s">
        <v>8897</v>
      </c>
      <c r="F4811" s="3563" t="s">
        <v>4797</v>
      </c>
      <c r="G4811" s="3564">
        <v>88.62</v>
      </c>
      <c r="H4811" s="3564">
        <v>71</v>
      </c>
      <c r="I4811" s="3564">
        <v>17.62</v>
      </c>
      <c r="J4811" s="3565">
        <v>898636</v>
      </c>
      <c r="K4811" s="3565">
        <v>10140.33</v>
      </c>
      <c r="L4811" s="3565">
        <v>12656.85</v>
      </c>
      <c r="M4811" s="3565">
        <v>862691</v>
      </c>
      <c r="N4811" s="3565">
        <v>9734.7199999999993</v>
      </c>
      <c r="O4811" s="3566">
        <v>44188</v>
      </c>
    </row>
    <row r="4812" spans="1:15">
      <c r="A4812" s="3563" t="s">
        <v>9035</v>
      </c>
      <c r="B4812" s="3563" t="s">
        <v>4196</v>
      </c>
      <c r="C4812" s="3563" t="s">
        <v>4197</v>
      </c>
      <c r="D4812" s="3563" t="s">
        <v>6429</v>
      </c>
      <c r="E4812" s="3563" t="s">
        <v>8897</v>
      </c>
      <c r="F4812" s="3563" t="s">
        <v>4797</v>
      </c>
      <c r="G4812" s="3564">
        <v>88.62</v>
      </c>
      <c r="H4812" s="3564">
        <v>71</v>
      </c>
      <c r="I4812" s="3564">
        <v>17.62</v>
      </c>
      <c r="J4812" s="3565">
        <v>898636</v>
      </c>
      <c r="K4812" s="3565">
        <v>10140.33</v>
      </c>
      <c r="L4812" s="3565">
        <v>12656.85</v>
      </c>
      <c r="M4812" s="3565">
        <v>0</v>
      </c>
      <c r="N4812" s="3565">
        <v>0</v>
      </c>
      <c r="O4812" s="3563" t="s">
        <v>3453</v>
      </c>
    </row>
    <row r="4813" spans="1:15">
      <c r="A4813" s="3563" t="s">
        <v>9036</v>
      </c>
      <c r="B4813" s="3563" t="s">
        <v>5277</v>
      </c>
      <c r="C4813" s="3563" t="s">
        <v>4197</v>
      </c>
      <c r="D4813" s="3563" t="s">
        <v>6429</v>
      </c>
      <c r="E4813" s="3563" t="s">
        <v>8897</v>
      </c>
      <c r="F4813" s="3563" t="s">
        <v>4797</v>
      </c>
      <c r="G4813" s="3564">
        <v>102.36</v>
      </c>
      <c r="H4813" s="3564">
        <v>82.01</v>
      </c>
      <c r="I4813" s="3564">
        <v>20.350000000000001</v>
      </c>
      <c r="J4813" s="3565">
        <v>1043408</v>
      </c>
      <c r="K4813" s="3565">
        <v>10193.51</v>
      </c>
      <c r="L4813" s="3565">
        <v>12722.94</v>
      </c>
      <c r="M4813" s="3565">
        <v>980804</v>
      </c>
      <c r="N4813" s="3565">
        <v>9581.91</v>
      </c>
      <c r="O4813" s="3566">
        <v>44177</v>
      </c>
    </row>
    <row r="4814" spans="1:15">
      <c r="A4814" s="3563" t="s">
        <v>9037</v>
      </c>
      <c r="B4814" s="3563" t="s">
        <v>4196</v>
      </c>
      <c r="C4814" s="3563" t="s">
        <v>4197</v>
      </c>
      <c r="D4814" s="3563" t="s">
        <v>6429</v>
      </c>
      <c r="E4814" s="3563" t="s">
        <v>8897</v>
      </c>
      <c r="F4814" s="3563" t="s">
        <v>4797</v>
      </c>
      <c r="G4814" s="3564">
        <v>88.62</v>
      </c>
      <c r="H4814" s="3564">
        <v>71</v>
      </c>
      <c r="I4814" s="3564">
        <v>17.62</v>
      </c>
      <c r="J4814" s="3565">
        <v>923147</v>
      </c>
      <c r="K4814" s="3565">
        <v>10416.91</v>
      </c>
      <c r="L4814" s="3565">
        <v>13002.07</v>
      </c>
      <c r="M4814" s="3565">
        <v>0</v>
      </c>
      <c r="N4814" s="3565">
        <v>0</v>
      </c>
      <c r="O4814" s="3563" t="s">
        <v>3453</v>
      </c>
    </row>
    <row r="4815" spans="1:15">
      <c r="A4815" s="3563" t="s">
        <v>9038</v>
      </c>
      <c r="B4815" s="3563" t="s">
        <v>4196</v>
      </c>
      <c r="C4815" s="3563" t="s">
        <v>4197</v>
      </c>
      <c r="D4815" s="3563" t="s">
        <v>6429</v>
      </c>
      <c r="E4815" s="3563" t="s">
        <v>8897</v>
      </c>
      <c r="F4815" s="3563" t="s">
        <v>4797</v>
      </c>
      <c r="G4815" s="3564">
        <v>88.62</v>
      </c>
      <c r="H4815" s="3564">
        <v>71</v>
      </c>
      <c r="I4815" s="3564">
        <v>17.62</v>
      </c>
      <c r="J4815" s="3565">
        <v>923147</v>
      </c>
      <c r="K4815" s="3565">
        <v>10416.91</v>
      </c>
      <c r="L4815" s="3565">
        <v>13002.07</v>
      </c>
      <c r="M4815" s="3565">
        <v>0</v>
      </c>
      <c r="N4815" s="3565">
        <v>0</v>
      </c>
      <c r="O4815" s="3563" t="s">
        <v>3453</v>
      </c>
    </row>
    <row r="4816" spans="1:15">
      <c r="A4816" s="3563" t="s">
        <v>9039</v>
      </c>
      <c r="B4816" s="3563" t="s">
        <v>6422</v>
      </c>
      <c r="C4816" s="3563" t="s">
        <v>4197</v>
      </c>
      <c r="D4816" s="3563" t="s">
        <v>6429</v>
      </c>
      <c r="E4816" s="3563" t="s">
        <v>8897</v>
      </c>
      <c r="F4816" s="3563" t="s">
        <v>4797</v>
      </c>
      <c r="G4816" s="3564">
        <v>90.84</v>
      </c>
      <c r="H4816" s="3564">
        <v>72.78</v>
      </c>
      <c r="I4816" s="3564">
        <v>18.059999999999999</v>
      </c>
      <c r="J4816" s="3565">
        <v>902786</v>
      </c>
      <c r="K4816" s="3565">
        <v>9938.2000000000007</v>
      </c>
      <c r="L4816" s="3565">
        <v>12404.31</v>
      </c>
      <c r="M4816" s="3565">
        <v>875703</v>
      </c>
      <c r="N4816" s="3565">
        <v>9640.06</v>
      </c>
      <c r="O4816" s="3566">
        <v>44189</v>
      </c>
    </row>
    <row r="4817" spans="1:15">
      <c r="A4817" s="3563" t="s">
        <v>9040</v>
      </c>
      <c r="B4817" s="3563" t="s">
        <v>4196</v>
      </c>
      <c r="C4817" s="3563" t="s">
        <v>4197</v>
      </c>
      <c r="D4817" s="3563" t="s">
        <v>6429</v>
      </c>
      <c r="E4817" s="3563" t="s">
        <v>8897</v>
      </c>
      <c r="F4817" s="3563" t="s">
        <v>4797</v>
      </c>
      <c r="G4817" s="3564">
        <v>88.62</v>
      </c>
      <c r="H4817" s="3564">
        <v>71</v>
      </c>
      <c r="I4817" s="3564">
        <v>17.62</v>
      </c>
      <c r="J4817" s="3565">
        <v>899578</v>
      </c>
      <c r="K4817" s="3565">
        <v>10150.959999999999</v>
      </c>
      <c r="L4817" s="3565">
        <v>12670.11</v>
      </c>
      <c r="M4817" s="3565">
        <v>0</v>
      </c>
      <c r="N4817" s="3565">
        <v>0</v>
      </c>
      <c r="O4817" s="3563" t="s">
        <v>3453</v>
      </c>
    </row>
    <row r="4818" spans="1:15">
      <c r="A4818" s="3563" t="s">
        <v>9041</v>
      </c>
      <c r="B4818" s="3563" t="s">
        <v>4196</v>
      </c>
      <c r="C4818" s="3563" t="s">
        <v>4197</v>
      </c>
      <c r="D4818" s="3563" t="s">
        <v>6429</v>
      </c>
      <c r="E4818" s="3563" t="s">
        <v>8897</v>
      </c>
      <c r="F4818" s="3563" t="s">
        <v>4797</v>
      </c>
      <c r="G4818" s="3564">
        <v>88.62</v>
      </c>
      <c r="H4818" s="3564">
        <v>71</v>
      </c>
      <c r="I4818" s="3564">
        <v>17.62</v>
      </c>
      <c r="J4818" s="3565">
        <v>899578</v>
      </c>
      <c r="K4818" s="3565">
        <v>10150.959999999999</v>
      </c>
      <c r="L4818" s="3565">
        <v>12670.11</v>
      </c>
      <c r="M4818" s="3565">
        <v>0</v>
      </c>
      <c r="N4818" s="3565">
        <v>0</v>
      </c>
      <c r="O4818" s="3563" t="s">
        <v>3453</v>
      </c>
    </row>
    <row r="4819" spans="1:15">
      <c r="A4819" s="3563" t="s">
        <v>9042</v>
      </c>
      <c r="B4819" s="3563" t="s">
        <v>6422</v>
      </c>
      <c r="C4819" s="3563" t="s">
        <v>4197</v>
      </c>
      <c r="D4819" s="3563" t="s">
        <v>6429</v>
      </c>
      <c r="E4819" s="3563" t="s">
        <v>8897</v>
      </c>
      <c r="F4819" s="3563" t="s">
        <v>4797</v>
      </c>
      <c r="G4819" s="3564">
        <v>102.36</v>
      </c>
      <c r="H4819" s="3564">
        <v>82.01</v>
      </c>
      <c r="I4819" s="3564">
        <v>20.350000000000001</v>
      </c>
      <c r="J4819" s="3565">
        <v>1044497</v>
      </c>
      <c r="K4819" s="3565">
        <v>10204.15</v>
      </c>
      <c r="L4819" s="3565">
        <v>12736.22</v>
      </c>
      <c r="M4819" s="3565">
        <v>950493</v>
      </c>
      <c r="N4819" s="3565">
        <v>9285.7900000000009</v>
      </c>
      <c r="O4819" s="3566">
        <v>44181</v>
      </c>
    </row>
    <row r="4820" spans="1:15">
      <c r="A4820" s="3563" t="s">
        <v>9043</v>
      </c>
      <c r="B4820" s="3563" t="s">
        <v>4196</v>
      </c>
      <c r="C4820" s="3563" t="s">
        <v>4197</v>
      </c>
      <c r="D4820" s="3563" t="s">
        <v>6429</v>
      </c>
      <c r="E4820" s="3563" t="s">
        <v>8897</v>
      </c>
      <c r="F4820" s="3563" t="s">
        <v>4797</v>
      </c>
      <c r="G4820" s="3564">
        <v>88.62</v>
      </c>
      <c r="H4820" s="3564">
        <v>71</v>
      </c>
      <c r="I4820" s="3564">
        <v>17.62</v>
      </c>
      <c r="J4820" s="3565">
        <v>924090</v>
      </c>
      <c r="K4820" s="3565">
        <v>10427.56</v>
      </c>
      <c r="L4820" s="3565">
        <v>13015.35</v>
      </c>
      <c r="M4820" s="3565">
        <v>0</v>
      </c>
      <c r="N4820" s="3565">
        <v>0</v>
      </c>
      <c r="O4820" s="3563" t="s">
        <v>3453</v>
      </c>
    </row>
    <row r="4821" spans="1:15">
      <c r="A4821" s="3563" t="s">
        <v>9044</v>
      </c>
      <c r="B4821" s="3563" t="s">
        <v>5277</v>
      </c>
      <c r="C4821" s="3563" t="s">
        <v>4197</v>
      </c>
      <c r="D4821" s="3563" t="s">
        <v>6429</v>
      </c>
      <c r="E4821" s="3563" t="s">
        <v>8897</v>
      </c>
      <c r="F4821" s="3563" t="s">
        <v>4797</v>
      </c>
      <c r="G4821" s="3564">
        <v>88.62</v>
      </c>
      <c r="H4821" s="3564">
        <v>71</v>
      </c>
      <c r="I4821" s="3564">
        <v>17.62</v>
      </c>
      <c r="J4821" s="3565">
        <v>924090</v>
      </c>
      <c r="K4821" s="3565">
        <v>10427.56</v>
      </c>
      <c r="L4821" s="3565">
        <v>13015.35</v>
      </c>
      <c r="M4821" s="3565">
        <v>840922</v>
      </c>
      <c r="N4821" s="3565">
        <v>9489.08</v>
      </c>
      <c r="O4821" s="3566">
        <v>44177</v>
      </c>
    </row>
    <row r="4822" spans="1:15">
      <c r="A4822" s="3563" t="s">
        <v>9045</v>
      </c>
      <c r="B4822" s="3563" t="s">
        <v>6422</v>
      </c>
      <c r="C4822" s="3563" t="s">
        <v>4197</v>
      </c>
      <c r="D4822" s="3563" t="s">
        <v>6429</v>
      </c>
      <c r="E4822" s="3563" t="s">
        <v>8897</v>
      </c>
      <c r="F4822" s="3563" t="s">
        <v>4797</v>
      </c>
      <c r="G4822" s="3564">
        <v>90.84</v>
      </c>
      <c r="H4822" s="3564">
        <v>72.78</v>
      </c>
      <c r="I4822" s="3564">
        <v>18.059999999999999</v>
      </c>
      <c r="J4822" s="3565">
        <v>903752</v>
      </c>
      <c r="K4822" s="3565">
        <v>9948.83</v>
      </c>
      <c r="L4822" s="3565">
        <v>12417.59</v>
      </c>
      <c r="M4822" s="3565">
        <v>866602</v>
      </c>
      <c r="N4822" s="3565">
        <v>9539.8700000000008</v>
      </c>
      <c r="O4822" s="3566">
        <v>44177</v>
      </c>
    </row>
    <row r="4823" spans="1:15">
      <c r="A4823" s="3563" t="s">
        <v>9046</v>
      </c>
      <c r="B4823" s="3563" t="s">
        <v>4196</v>
      </c>
      <c r="C4823" s="3563" t="s">
        <v>4197</v>
      </c>
      <c r="D4823" s="3563" t="s">
        <v>6429</v>
      </c>
      <c r="E4823" s="3563" t="s">
        <v>8897</v>
      </c>
      <c r="F4823" s="3563" t="s">
        <v>4797</v>
      </c>
      <c r="G4823" s="3564">
        <v>88.62</v>
      </c>
      <c r="H4823" s="3564">
        <v>71</v>
      </c>
      <c r="I4823" s="3564">
        <v>17.62</v>
      </c>
      <c r="J4823" s="3565">
        <v>900521</v>
      </c>
      <c r="K4823" s="3565">
        <v>10161.6</v>
      </c>
      <c r="L4823" s="3565">
        <v>12683.39</v>
      </c>
      <c r="M4823" s="3565">
        <v>0</v>
      </c>
      <c r="N4823" s="3565">
        <v>0</v>
      </c>
      <c r="O4823" s="3563" t="s">
        <v>3453</v>
      </c>
    </row>
    <row r="4824" spans="1:15">
      <c r="A4824" s="3563" t="s">
        <v>9047</v>
      </c>
      <c r="B4824" s="3563" t="s">
        <v>4196</v>
      </c>
      <c r="C4824" s="3563" t="s">
        <v>4197</v>
      </c>
      <c r="D4824" s="3563" t="s">
        <v>6429</v>
      </c>
      <c r="E4824" s="3563" t="s">
        <v>8897</v>
      </c>
      <c r="F4824" s="3563" t="s">
        <v>4797</v>
      </c>
      <c r="G4824" s="3564">
        <v>88.62</v>
      </c>
      <c r="H4824" s="3564">
        <v>71</v>
      </c>
      <c r="I4824" s="3564">
        <v>17.62</v>
      </c>
      <c r="J4824" s="3565">
        <v>900521</v>
      </c>
      <c r="K4824" s="3565">
        <v>10161.6</v>
      </c>
      <c r="L4824" s="3565">
        <v>12683.39</v>
      </c>
      <c r="M4824" s="3565">
        <v>0</v>
      </c>
      <c r="N4824" s="3565">
        <v>0</v>
      </c>
      <c r="O4824" s="3563" t="s">
        <v>3453</v>
      </c>
    </row>
    <row r="4825" spans="1:15">
      <c r="A4825" s="3563" t="s">
        <v>9048</v>
      </c>
      <c r="B4825" s="3563" t="s">
        <v>4811</v>
      </c>
      <c r="C4825" s="3563" t="s">
        <v>4197</v>
      </c>
      <c r="D4825" s="3563" t="s">
        <v>6429</v>
      </c>
      <c r="E4825" s="3563" t="s">
        <v>8897</v>
      </c>
      <c r="F4825" s="3563" t="s">
        <v>4797</v>
      </c>
      <c r="G4825" s="3564">
        <v>102.36</v>
      </c>
      <c r="H4825" s="3564">
        <v>82.01</v>
      </c>
      <c r="I4825" s="3564">
        <v>20.350000000000001</v>
      </c>
      <c r="J4825" s="3565">
        <v>1045586</v>
      </c>
      <c r="K4825" s="3565">
        <v>10214.790000000001</v>
      </c>
      <c r="L4825" s="3565">
        <v>12749.49</v>
      </c>
      <c r="M4825" s="3565">
        <v>982851</v>
      </c>
      <c r="N4825" s="3565">
        <v>9601.91</v>
      </c>
      <c r="O4825" s="3566">
        <v>44177</v>
      </c>
    </row>
    <row r="4826" spans="1:15">
      <c r="A4826" s="3563" t="s">
        <v>9049</v>
      </c>
      <c r="B4826" s="3563" t="s">
        <v>4196</v>
      </c>
      <c r="C4826" s="3563" t="s">
        <v>4197</v>
      </c>
      <c r="D4826" s="3563" t="s">
        <v>6429</v>
      </c>
      <c r="E4826" s="3563" t="s">
        <v>9050</v>
      </c>
      <c r="F4826" s="3563" t="s">
        <v>4797</v>
      </c>
      <c r="G4826" s="3564">
        <v>104.37</v>
      </c>
      <c r="H4826" s="3564">
        <v>81.62</v>
      </c>
      <c r="I4826" s="3564">
        <v>22.75</v>
      </c>
      <c r="J4826" s="3565">
        <v>1052083</v>
      </c>
      <c r="K4826" s="3565">
        <v>10080.32</v>
      </c>
      <c r="L4826" s="3565">
        <v>12890.01</v>
      </c>
      <c r="M4826" s="3565">
        <v>0</v>
      </c>
      <c r="N4826" s="3565">
        <v>0</v>
      </c>
      <c r="O4826" s="3563" t="s">
        <v>3453</v>
      </c>
    </row>
    <row r="4827" spans="1:15">
      <c r="A4827" s="3563" t="s">
        <v>9051</v>
      </c>
      <c r="B4827" s="3563" t="s">
        <v>4196</v>
      </c>
      <c r="C4827" s="3563" t="s">
        <v>4197</v>
      </c>
      <c r="D4827" s="3563" t="s">
        <v>6429</v>
      </c>
      <c r="E4827" s="3563" t="s">
        <v>9050</v>
      </c>
      <c r="F4827" s="3563" t="s">
        <v>4797</v>
      </c>
      <c r="G4827" s="3564">
        <v>93.44</v>
      </c>
      <c r="H4827" s="3564">
        <v>81.62</v>
      </c>
      <c r="I4827" s="3564">
        <v>11.82</v>
      </c>
      <c r="J4827" s="3565">
        <v>917055</v>
      </c>
      <c r="K4827" s="3565">
        <v>9814.3700000000008</v>
      </c>
      <c r="L4827" s="3565">
        <v>11235.67</v>
      </c>
      <c r="M4827" s="3565">
        <v>0</v>
      </c>
      <c r="N4827" s="3565">
        <v>0</v>
      </c>
      <c r="O4827" s="3563" t="s">
        <v>3453</v>
      </c>
    </row>
    <row r="4828" spans="1:15">
      <c r="A4828" s="3563" t="s">
        <v>9052</v>
      </c>
      <c r="B4828" s="3563" t="s">
        <v>4196</v>
      </c>
      <c r="C4828" s="3563" t="s">
        <v>4197</v>
      </c>
      <c r="D4828" s="3563" t="s">
        <v>6429</v>
      </c>
      <c r="E4828" s="3563" t="s">
        <v>9050</v>
      </c>
      <c r="F4828" s="3563" t="s">
        <v>4797</v>
      </c>
      <c r="G4828" s="3564">
        <v>93.44</v>
      </c>
      <c r="H4828" s="3564">
        <v>81.62</v>
      </c>
      <c r="I4828" s="3564">
        <v>11.82</v>
      </c>
      <c r="J4828" s="3565">
        <v>946876</v>
      </c>
      <c r="K4828" s="3565">
        <v>10133.52</v>
      </c>
      <c r="L4828" s="3565">
        <v>11601.03</v>
      </c>
      <c r="M4828" s="3565">
        <v>0</v>
      </c>
      <c r="N4828" s="3565">
        <v>0</v>
      </c>
      <c r="O4828" s="3563" t="s">
        <v>3453</v>
      </c>
    </row>
    <row r="4829" spans="1:15">
      <c r="A4829" s="3563" t="s">
        <v>9053</v>
      </c>
      <c r="B4829" s="3563" t="s">
        <v>4196</v>
      </c>
      <c r="C4829" s="3563" t="s">
        <v>4197</v>
      </c>
      <c r="D4829" s="3563" t="s">
        <v>6429</v>
      </c>
      <c r="E4829" s="3563" t="s">
        <v>9050</v>
      </c>
      <c r="F4829" s="3563" t="s">
        <v>4797</v>
      </c>
      <c r="G4829" s="3564">
        <v>114.52</v>
      </c>
      <c r="H4829" s="3564">
        <v>100.03</v>
      </c>
      <c r="I4829" s="3564">
        <v>14.49</v>
      </c>
      <c r="J4829" s="3565">
        <v>1121505</v>
      </c>
      <c r="K4829" s="3565">
        <v>9793.09</v>
      </c>
      <c r="L4829" s="3565">
        <v>11211.69</v>
      </c>
      <c r="M4829" s="3565">
        <v>0</v>
      </c>
      <c r="N4829" s="3565">
        <v>0</v>
      </c>
      <c r="O4829" s="3563" t="s">
        <v>3453</v>
      </c>
    </row>
    <row r="4830" spans="1:15">
      <c r="A4830" s="3563" t="s">
        <v>9054</v>
      </c>
      <c r="B4830" s="3563" t="s">
        <v>4196</v>
      </c>
      <c r="C4830" s="3563" t="s">
        <v>4197</v>
      </c>
      <c r="D4830" s="3563" t="s">
        <v>6429</v>
      </c>
      <c r="E4830" s="3563" t="s">
        <v>9050</v>
      </c>
      <c r="F4830" s="3563" t="s">
        <v>4797</v>
      </c>
      <c r="G4830" s="3564">
        <v>100.94</v>
      </c>
      <c r="H4830" s="3564">
        <v>81.62</v>
      </c>
      <c r="I4830" s="3564">
        <v>19.32</v>
      </c>
      <c r="J4830" s="3565">
        <v>1074421</v>
      </c>
      <c r="K4830" s="3565">
        <v>10644.15</v>
      </c>
      <c r="L4830" s="3565">
        <v>13163.7</v>
      </c>
      <c r="M4830" s="3565">
        <v>0</v>
      </c>
      <c r="N4830" s="3565">
        <v>0</v>
      </c>
      <c r="O4830" s="3563" t="s">
        <v>3453</v>
      </c>
    </row>
    <row r="4831" spans="1:15">
      <c r="A4831" s="3563" t="s">
        <v>9055</v>
      </c>
      <c r="B4831" s="3563" t="s">
        <v>4196</v>
      </c>
      <c r="C4831" s="3563" t="s">
        <v>4197</v>
      </c>
      <c r="D4831" s="3563" t="s">
        <v>6429</v>
      </c>
      <c r="E4831" s="3563" t="s">
        <v>9050</v>
      </c>
      <c r="F4831" s="3563" t="s">
        <v>4797</v>
      </c>
      <c r="G4831" s="3564">
        <v>100.94</v>
      </c>
      <c r="H4831" s="3564">
        <v>81.62</v>
      </c>
      <c r="I4831" s="3564">
        <v>19.32</v>
      </c>
      <c r="J4831" s="3565">
        <v>1074421</v>
      </c>
      <c r="K4831" s="3565">
        <v>10644.15</v>
      </c>
      <c r="L4831" s="3565">
        <v>13163.7</v>
      </c>
      <c r="M4831" s="3565">
        <v>0</v>
      </c>
      <c r="N4831" s="3565">
        <v>0</v>
      </c>
      <c r="O4831" s="3563" t="s">
        <v>3453</v>
      </c>
    </row>
    <row r="4832" spans="1:15">
      <c r="A4832" s="3563" t="s">
        <v>9056</v>
      </c>
      <c r="B4832" s="3563" t="s">
        <v>4196</v>
      </c>
      <c r="C4832" s="3563" t="s">
        <v>4197</v>
      </c>
      <c r="D4832" s="3563" t="s">
        <v>6429</v>
      </c>
      <c r="E4832" s="3563" t="s">
        <v>9050</v>
      </c>
      <c r="F4832" s="3563" t="s">
        <v>4797</v>
      </c>
      <c r="G4832" s="3564">
        <v>109.37</v>
      </c>
      <c r="H4832" s="3564">
        <v>88.44</v>
      </c>
      <c r="I4832" s="3564">
        <v>20.93</v>
      </c>
      <c r="J4832" s="3565">
        <v>1123428</v>
      </c>
      <c r="K4832" s="3565">
        <v>10271.81</v>
      </c>
      <c r="L4832" s="3565">
        <v>12702.71</v>
      </c>
      <c r="M4832" s="3565">
        <v>0</v>
      </c>
      <c r="N4832" s="3565">
        <v>0</v>
      </c>
      <c r="O4832" s="3563" t="s">
        <v>3453</v>
      </c>
    </row>
    <row r="4833" spans="1:15">
      <c r="A4833" s="3563" t="s">
        <v>9057</v>
      </c>
      <c r="B4833" s="3563" t="s">
        <v>4196</v>
      </c>
      <c r="C4833" s="3563" t="s">
        <v>4197</v>
      </c>
      <c r="D4833" s="3563" t="s">
        <v>6429</v>
      </c>
      <c r="E4833" s="3563" t="s">
        <v>9050</v>
      </c>
      <c r="F4833" s="3563" t="s">
        <v>4797</v>
      </c>
      <c r="G4833" s="3564">
        <v>100.94</v>
      </c>
      <c r="H4833" s="3564">
        <v>81.62</v>
      </c>
      <c r="I4833" s="3564">
        <v>19.32</v>
      </c>
      <c r="J4833" s="3565">
        <v>1047575</v>
      </c>
      <c r="K4833" s="3565">
        <v>10378.19</v>
      </c>
      <c r="L4833" s="3565">
        <v>12834.78</v>
      </c>
      <c r="M4833" s="3565">
        <v>0</v>
      </c>
      <c r="N4833" s="3565">
        <v>0</v>
      </c>
      <c r="O4833" s="3563" t="s">
        <v>3453</v>
      </c>
    </row>
    <row r="4834" spans="1:15">
      <c r="A4834" s="3563" t="s">
        <v>9058</v>
      </c>
      <c r="B4834" s="3563" t="s">
        <v>4196</v>
      </c>
      <c r="C4834" s="3563" t="s">
        <v>4197</v>
      </c>
      <c r="D4834" s="3563" t="s">
        <v>6429</v>
      </c>
      <c r="E4834" s="3563" t="s">
        <v>9050</v>
      </c>
      <c r="F4834" s="3563" t="s">
        <v>4797</v>
      </c>
      <c r="G4834" s="3564">
        <v>100.94</v>
      </c>
      <c r="H4834" s="3564">
        <v>81.62</v>
      </c>
      <c r="I4834" s="3564">
        <v>19.32</v>
      </c>
      <c r="J4834" s="3565">
        <v>1079790</v>
      </c>
      <c r="K4834" s="3565">
        <v>10697.34</v>
      </c>
      <c r="L4834" s="3565">
        <v>13229.48</v>
      </c>
      <c r="M4834" s="3565">
        <v>0</v>
      </c>
      <c r="N4834" s="3565">
        <v>0</v>
      </c>
      <c r="O4834" s="3563" t="s">
        <v>3453</v>
      </c>
    </row>
    <row r="4835" spans="1:15">
      <c r="A4835" s="3563" t="s">
        <v>9059</v>
      </c>
      <c r="B4835" s="3563" t="s">
        <v>4196</v>
      </c>
      <c r="C4835" s="3563" t="s">
        <v>4197</v>
      </c>
      <c r="D4835" s="3563" t="s">
        <v>6429</v>
      </c>
      <c r="E4835" s="3563" t="s">
        <v>9050</v>
      </c>
      <c r="F4835" s="3563" t="s">
        <v>4797</v>
      </c>
      <c r="G4835" s="3564">
        <v>123.71</v>
      </c>
      <c r="H4835" s="3564">
        <v>100.03</v>
      </c>
      <c r="I4835" s="3564">
        <v>23.68</v>
      </c>
      <c r="J4835" s="3565">
        <v>1277306</v>
      </c>
      <c r="K4835" s="3565">
        <v>10325</v>
      </c>
      <c r="L4835" s="3565">
        <v>12769.23</v>
      </c>
      <c r="M4835" s="3565">
        <v>0</v>
      </c>
      <c r="N4835" s="3565">
        <v>0</v>
      </c>
      <c r="O4835" s="3563" t="s">
        <v>3453</v>
      </c>
    </row>
    <row r="4836" spans="1:15">
      <c r="A4836" s="3563" t="s">
        <v>9060</v>
      </c>
      <c r="B4836" s="3563" t="s">
        <v>4196</v>
      </c>
      <c r="C4836" s="3563" t="s">
        <v>4197</v>
      </c>
      <c r="D4836" s="3563" t="s">
        <v>6429</v>
      </c>
      <c r="E4836" s="3563" t="s">
        <v>9050</v>
      </c>
      <c r="F4836" s="3563" t="s">
        <v>4797</v>
      </c>
      <c r="G4836" s="3564">
        <v>100.94</v>
      </c>
      <c r="H4836" s="3564">
        <v>81.62</v>
      </c>
      <c r="I4836" s="3564">
        <v>19.32</v>
      </c>
      <c r="J4836" s="3565">
        <v>1075495</v>
      </c>
      <c r="K4836" s="3565">
        <v>10654.79</v>
      </c>
      <c r="L4836" s="3565">
        <v>13176.86</v>
      </c>
      <c r="M4836" s="3565">
        <v>0</v>
      </c>
      <c r="N4836" s="3565">
        <v>0</v>
      </c>
      <c r="O4836" s="3563" t="s">
        <v>3453</v>
      </c>
    </row>
    <row r="4837" spans="1:15">
      <c r="A4837" s="3563" t="s">
        <v>9061</v>
      </c>
      <c r="B4837" s="3563" t="s">
        <v>4196</v>
      </c>
      <c r="C4837" s="3563" t="s">
        <v>4197</v>
      </c>
      <c r="D4837" s="3563" t="s">
        <v>6429</v>
      </c>
      <c r="E4837" s="3563" t="s">
        <v>9050</v>
      </c>
      <c r="F4837" s="3563" t="s">
        <v>4797</v>
      </c>
      <c r="G4837" s="3564">
        <v>100.94</v>
      </c>
      <c r="H4837" s="3564">
        <v>81.62</v>
      </c>
      <c r="I4837" s="3564">
        <v>19.32</v>
      </c>
      <c r="J4837" s="3565">
        <v>1075495</v>
      </c>
      <c r="K4837" s="3565">
        <v>10654.79</v>
      </c>
      <c r="L4837" s="3565">
        <v>13176.86</v>
      </c>
      <c r="M4837" s="3565">
        <v>0</v>
      </c>
      <c r="N4837" s="3565">
        <v>0</v>
      </c>
      <c r="O4837" s="3563" t="s">
        <v>3453</v>
      </c>
    </row>
    <row r="4838" spans="1:15">
      <c r="A4838" s="3563" t="s">
        <v>9062</v>
      </c>
      <c r="B4838" s="3563" t="s">
        <v>4196</v>
      </c>
      <c r="C4838" s="3563" t="s">
        <v>4197</v>
      </c>
      <c r="D4838" s="3563" t="s">
        <v>6429</v>
      </c>
      <c r="E4838" s="3563" t="s">
        <v>9050</v>
      </c>
      <c r="F4838" s="3563" t="s">
        <v>4797</v>
      </c>
      <c r="G4838" s="3564">
        <v>109.37</v>
      </c>
      <c r="H4838" s="3564">
        <v>88.44</v>
      </c>
      <c r="I4838" s="3564">
        <v>20.93</v>
      </c>
      <c r="J4838" s="3565">
        <v>1124592</v>
      </c>
      <c r="K4838" s="3565">
        <v>10282.450000000001</v>
      </c>
      <c r="L4838" s="3565">
        <v>12715.88</v>
      </c>
      <c r="M4838" s="3565">
        <v>0</v>
      </c>
      <c r="N4838" s="3565">
        <v>0</v>
      </c>
      <c r="O4838" s="3563" t="s">
        <v>3453</v>
      </c>
    </row>
    <row r="4839" spans="1:15">
      <c r="A4839" s="3563" t="s">
        <v>9063</v>
      </c>
      <c r="B4839" s="3563" t="s">
        <v>4196</v>
      </c>
      <c r="C4839" s="3563" t="s">
        <v>4197</v>
      </c>
      <c r="D4839" s="3563" t="s">
        <v>6429</v>
      </c>
      <c r="E4839" s="3563" t="s">
        <v>9050</v>
      </c>
      <c r="F4839" s="3563" t="s">
        <v>4797</v>
      </c>
      <c r="G4839" s="3564">
        <v>100.94</v>
      </c>
      <c r="H4839" s="3564">
        <v>81.62</v>
      </c>
      <c r="I4839" s="3564">
        <v>19.32</v>
      </c>
      <c r="J4839" s="3565">
        <v>1048649</v>
      </c>
      <c r="K4839" s="3565">
        <v>10388.83</v>
      </c>
      <c r="L4839" s="3565">
        <v>12847.94</v>
      </c>
      <c r="M4839" s="3565">
        <v>0</v>
      </c>
      <c r="N4839" s="3565">
        <v>0</v>
      </c>
      <c r="O4839" s="3563" t="s">
        <v>3453</v>
      </c>
    </row>
    <row r="4840" spans="1:15">
      <c r="A4840" s="3563" t="s">
        <v>9064</v>
      </c>
      <c r="B4840" s="3563" t="s">
        <v>4196</v>
      </c>
      <c r="C4840" s="3563" t="s">
        <v>4197</v>
      </c>
      <c r="D4840" s="3563" t="s">
        <v>6429</v>
      </c>
      <c r="E4840" s="3563" t="s">
        <v>9050</v>
      </c>
      <c r="F4840" s="3563" t="s">
        <v>4797</v>
      </c>
      <c r="G4840" s="3564">
        <v>100.94</v>
      </c>
      <c r="H4840" s="3564">
        <v>81.62</v>
      </c>
      <c r="I4840" s="3564">
        <v>19.32</v>
      </c>
      <c r="J4840" s="3565">
        <v>1080864</v>
      </c>
      <c r="K4840" s="3565">
        <v>10707.98</v>
      </c>
      <c r="L4840" s="3565">
        <v>13242.64</v>
      </c>
      <c r="M4840" s="3565">
        <v>0</v>
      </c>
      <c r="N4840" s="3565">
        <v>0</v>
      </c>
      <c r="O4840" s="3563" t="s">
        <v>3453</v>
      </c>
    </row>
    <row r="4841" spans="1:15">
      <c r="A4841" s="3563" t="s">
        <v>9065</v>
      </c>
      <c r="B4841" s="3563" t="s">
        <v>4196</v>
      </c>
      <c r="C4841" s="3563" t="s">
        <v>4197</v>
      </c>
      <c r="D4841" s="3563" t="s">
        <v>6429</v>
      </c>
      <c r="E4841" s="3563" t="s">
        <v>9050</v>
      </c>
      <c r="F4841" s="3563" t="s">
        <v>4797</v>
      </c>
      <c r="G4841" s="3564">
        <v>123.71</v>
      </c>
      <c r="H4841" s="3564">
        <v>100.03</v>
      </c>
      <c r="I4841" s="3564">
        <v>23.68</v>
      </c>
      <c r="J4841" s="3565">
        <v>1278623</v>
      </c>
      <c r="K4841" s="3565">
        <v>10335.65</v>
      </c>
      <c r="L4841" s="3565">
        <v>12782.4</v>
      </c>
      <c r="M4841" s="3565">
        <v>0</v>
      </c>
      <c r="N4841" s="3565">
        <v>0</v>
      </c>
      <c r="O4841" s="3563" t="s">
        <v>3453</v>
      </c>
    </row>
    <row r="4842" spans="1:15">
      <c r="A4842" s="3563" t="s">
        <v>9066</v>
      </c>
      <c r="B4842" s="3563" t="s">
        <v>4196</v>
      </c>
      <c r="C4842" s="3563" t="s">
        <v>4197</v>
      </c>
      <c r="D4842" s="3563" t="s">
        <v>6429</v>
      </c>
      <c r="E4842" s="3563" t="s">
        <v>9050</v>
      </c>
      <c r="F4842" s="3563" t="s">
        <v>4797</v>
      </c>
      <c r="G4842" s="3564">
        <v>100.94</v>
      </c>
      <c r="H4842" s="3564">
        <v>81.62</v>
      </c>
      <c r="I4842" s="3564">
        <v>19.32</v>
      </c>
      <c r="J4842" s="3565">
        <v>1076569</v>
      </c>
      <c r="K4842" s="3565">
        <v>10665.43</v>
      </c>
      <c r="L4842" s="3565">
        <v>13190.01</v>
      </c>
      <c r="M4842" s="3565">
        <v>0</v>
      </c>
      <c r="N4842" s="3565">
        <v>0</v>
      </c>
      <c r="O4842" s="3563" t="s">
        <v>3453</v>
      </c>
    </row>
    <row r="4843" spans="1:15">
      <c r="A4843" s="3563" t="s">
        <v>9067</v>
      </c>
      <c r="B4843" s="3563" t="s">
        <v>4196</v>
      </c>
      <c r="C4843" s="3563" t="s">
        <v>4197</v>
      </c>
      <c r="D4843" s="3563" t="s">
        <v>6429</v>
      </c>
      <c r="E4843" s="3563" t="s">
        <v>9050</v>
      </c>
      <c r="F4843" s="3563" t="s">
        <v>4797</v>
      </c>
      <c r="G4843" s="3564">
        <v>100.94</v>
      </c>
      <c r="H4843" s="3564">
        <v>81.62</v>
      </c>
      <c r="I4843" s="3564">
        <v>19.32</v>
      </c>
      <c r="J4843" s="3565">
        <v>1076569</v>
      </c>
      <c r="K4843" s="3565">
        <v>10665.43</v>
      </c>
      <c r="L4843" s="3565">
        <v>13190.01</v>
      </c>
      <c r="M4843" s="3565">
        <v>0</v>
      </c>
      <c r="N4843" s="3565">
        <v>0</v>
      </c>
      <c r="O4843" s="3563" t="s">
        <v>3453</v>
      </c>
    </row>
    <row r="4844" spans="1:15">
      <c r="A4844" s="3563" t="s">
        <v>9068</v>
      </c>
      <c r="B4844" s="3563" t="s">
        <v>4196</v>
      </c>
      <c r="C4844" s="3563" t="s">
        <v>4197</v>
      </c>
      <c r="D4844" s="3563" t="s">
        <v>6429</v>
      </c>
      <c r="E4844" s="3563" t="s">
        <v>9050</v>
      </c>
      <c r="F4844" s="3563" t="s">
        <v>4797</v>
      </c>
      <c r="G4844" s="3564">
        <v>109.37</v>
      </c>
      <c r="H4844" s="3564">
        <v>88.44</v>
      </c>
      <c r="I4844" s="3564">
        <v>20.93</v>
      </c>
      <c r="J4844" s="3565">
        <v>1125755</v>
      </c>
      <c r="K4844" s="3565">
        <v>10293.09</v>
      </c>
      <c r="L4844" s="3565">
        <v>12729.03</v>
      </c>
      <c r="M4844" s="3565">
        <v>0</v>
      </c>
      <c r="N4844" s="3565">
        <v>0</v>
      </c>
      <c r="O4844" s="3563" t="s">
        <v>3453</v>
      </c>
    </row>
    <row r="4845" spans="1:15">
      <c r="A4845" s="3563" t="s">
        <v>9069</v>
      </c>
      <c r="B4845" s="3563" t="s">
        <v>4196</v>
      </c>
      <c r="C4845" s="3563" t="s">
        <v>4197</v>
      </c>
      <c r="D4845" s="3563" t="s">
        <v>6429</v>
      </c>
      <c r="E4845" s="3563" t="s">
        <v>9050</v>
      </c>
      <c r="F4845" s="3563" t="s">
        <v>4797</v>
      </c>
      <c r="G4845" s="3564">
        <v>100.94</v>
      </c>
      <c r="H4845" s="3564">
        <v>81.62</v>
      </c>
      <c r="I4845" s="3564">
        <v>19.32</v>
      </c>
      <c r="J4845" s="3565">
        <v>1049723</v>
      </c>
      <c r="K4845" s="3565">
        <v>10399.469999999999</v>
      </c>
      <c r="L4845" s="3565">
        <v>12861.1</v>
      </c>
      <c r="M4845" s="3565">
        <v>0</v>
      </c>
      <c r="N4845" s="3565">
        <v>0</v>
      </c>
      <c r="O4845" s="3563" t="s">
        <v>3453</v>
      </c>
    </row>
    <row r="4846" spans="1:15">
      <c r="A4846" s="3563" t="s">
        <v>9070</v>
      </c>
      <c r="B4846" s="3563" t="s">
        <v>4196</v>
      </c>
      <c r="C4846" s="3563" t="s">
        <v>4197</v>
      </c>
      <c r="D4846" s="3563" t="s">
        <v>6429</v>
      </c>
      <c r="E4846" s="3563" t="s">
        <v>9050</v>
      </c>
      <c r="F4846" s="3563" t="s">
        <v>4797</v>
      </c>
      <c r="G4846" s="3564">
        <v>100.94</v>
      </c>
      <c r="H4846" s="3564">
        <v>81.62</v>
      </c>
      <c r="I4846" s="3564">
        <v>19.32</v>
      </c>
      <c r="J4846" s="3565">
        <v>1081938</v>
      </c>
      <c r="K4846" s="3565">
        <v>10718.62</v>
      </c>
      <c r="L4846" s="3565">
        <v>13255.8</v>
      </c>
      <c r="M4846" s="3565">
        <v>0</v>
      </c>
      <c r="N4846" s="3565">
        <v>0</v>
      </c>
      <c r="O4846" s="3563" t="s">
        <v>3453</v>
      </c>
    </row>
    <row r="4847" spans="1:15">
      <c r="A4847" s="3563" t="s">
        <v>9071</v>
      </c>
      <c r="B4847" s="3563" t="s">
        <v>4196</v>
      </c>
      <c r="C4847" s="3563" t="s">
        <v>4197</v>
      </c>
      <c r="D4847" s="3563" t="s">
        <v>6429</v>
      </c>
      <c r="E4847" s="3563" t="s">
        <v>9050</v>
      </c>
      <c r="F4847" s="3563" t="s">
        <v>4797</v>
      </c>
      <c r="G4847" s="3564">
        <v>123.71</v>
      </c>
      <c r="H4847" s="3564">
        <v>100.03</v>
      </c>
      <c r="I4847" s="3564">
        <v>23.68</v>
      </c>
      <c r="J4847" s="3565">
        <v>1279939</v>
      </c>
      <c r="K4847" s="3565">
        <v>10346.290000000001</v>
      </c>
      <c r="L4847" s="3565">
        <v>12795.55</v>
      </c>
      <c r="M4847" s="3565">
        <v>0</v>
      </c>
      <c r="N4847" s="3565">
        <v>0</v>
      </c>
      <c r="O4847" s="3563" t="s">
        <v>3453</v>
      </c>
    </row>
    <row r="4848" spans="1:15">
      <c r="A4848" s="3563" t="s">
        <v>9072</v>
      </c>
      <c r="B4848" s="3563" t="s">
        <v>4196</v>
      </c>
      <c r="C4848" s="3563" t="s">
        <v>4197</v>
      </c>
      <c r="D4848" s="3563" t="s">
        <v>6429</v>
      </c>
      <c r="E4848" s="3563" t="s">
        <v>9050</v>
      </c>
      <c r="F4848" s="3563" t="s">
        <v>4797</v>
      </c>
      <c r="G4848" s="3564">
        <v>100.94</v>
      </c>
      <c r="H4848" s="3564">
        <v>81.62</v>
      </c>
      <c r="I4848" s="3564">
        <v>19.32</v>
      </c>
      <c r="J4848" s="3565">
        <v>1077642</v>
      </c>
      <c r="K4848" s="3565">
        <v>10676.06</v>
      </c>
      <c r="L4848" s="3565">
        <v>13203.16</v>
      </c>
      <c r="M4848" s="3565">
        <v>0</v>
      </c>
      <c r="N4848" s="3565">
        <v>0</v>
      </c>
      <c r="O4848" s="3563" t="s">
        <v>3453</v>
      </c>
    </row>
    <row r="4849" spans="1:15">
      <c r="A4849" s="3563" t="s">
        <v>9073</v>
      </c>
      <c r="B4849" s="3563" t="s">
        <v>4196</v>
      </c>
      <c r="C4849" s="3563" t="s">
        <v>4197</v>
      </c>
      <c r="D4849" s="3563" t="s">
        <v>6429</v>
      </c>
      <c r="E4849" s="3563" t="s">
        <v>9050</v>
      </c>
      <c r="F4849" s="3563" t="s">
        <v>4797</v>
      </c>
      <c r="G4849" s="3564">
        <v>100.94</v>
      </c>
      <c r="H4849" s="3564">
        <v>81.62</v>
      </c>
      <c r="I4849" s="3564">
        <v>19.32</v>
      </c>
      <c r="J4849" s="3565">
        <v>1077642</v>
      </c>
      <c r="K4849" s="3565">
        <v>10676.06</v>
      </c>
      <c r="L4849" s="3565">
        <v>13203.16</v>
      </c>
      <c r="M4849" s="3565">
        <v>0</v>
      </c>
      <c r="N4849" s="3565">
        <v>0</v>
      </c>
      <c r="O4849" s="3563" t="s">
        <v>3453</v>
      </c>
    </row>
    <row r="4850" spans="1:15">
      <c r="A4850" s="3563" t="s">
        <v>9074</v>
      </c>
      <c r="B4850" s="3563" t="s">
        <v>4196</v>
      </c>
      <c r="C4850" s="3563" t="s">
        <v>4197</v>
      </c>
      <c r="D4850" s="3563" t="s">
        <v>6429</v>
      </c>
      <c r="E4850" s="3563" t="s">
        <v>9050</v>
      </c>
      <c r="F4850" s="3563" t="s">
        <v>4797</v>
      </c>
      <c r="G4850" s="3564">
        <v>109.37</v>
      </c>
      <c r="H4850" s="3564">
        <v>88.44</v>
      </c>
      <c r="I4850" s="3564">
        <v>20.93</v>
      </c>
      <c r="J4850" s="3565">
        <v>1126919</v>
      </c>
      <c r="K4850" s="3565">
        <v>10303.73</v>
      </c>
      <c r="L4850" s="3565">
        <v>12742.19</v>
      </c>
      <c r="M4850" s="3565">
        <v>0</v>
      </c>
      <c r="N4850" s="3565">
        <v>0</v>
      </c>
      <c r="O4850" s="3563" t="s">
        <v>3453</v>
      </c>
    </row>
    <row r="4851" spans="1:15">
      <c r="A4851" s="3563" t="s">
        <v>9075</v>
      </c>
      <c r="B4851" s="3563" t="s">
        <v>4196</v>
      </c>
      <c r="C4851" s="3563" t="s">
        <v>4197</v>
      </c>
      <c r="D4851" s="3563" t="s">
        <v>6429</v>
      </c>
      <c r="E4851" s="3563" t="s">
        <v>9050</v>
      </c>
      <c r="F4851" s="3563" t="s">
        <v>4797</v>
      </c>
      <c r="G4851" s="3564">
        <v>100.94</v>
      </c>
      <c r="H4851" s="3564">
        <v>81.62</v>
      </c>
      <c r="I4851" s="3564">
        <v>19.32</v>
      </c>
      <c r="J4851" s="3565">
        <v>1050796</v>
      </c>
      <c r="K4851" s="3565">
        <v>10410.11</v>
      </c>
      <c r="L4851" s="3565">
        <v>12874.25</v>
      </c>
      <c r="M4851" s="3565">
        <v>0</v>
      </c>
      <c r="N4851" s="3565">
        <v>0</v>
      </c>
      <c r="O4851" s="3563" t="s">
        <v>3453</v>
      </c>
    </row>
    <row r="4852" spans="1:15">
      <c r="A4852" s="3563" t="s">
        <v>9076</v>
      </c>
      <c r="B4852" s="3563" t="s">
        <v>4196</v>
      </c>
      <c r="C4852" s="3563" t="s">
        <v>4197</v>
      </c>
      <c r="D4852" s="3563" t="s">
        <v>6429</v>
      </c>
      <c r="E4852" s="3563" t="s">
        <v>9050</v>
      </c>
      <c r="F4852" s="3563" t="s">
        <v>4797</v>
      </c>
      <c r="G4852" s="3564">
        <v>100.94</v>
      </c>
      <c r="H4852" s="3564">
        <v>81.62</v>
      </c>
      <c r="I4852" s="3564">
        <v>19.32</v>
      </c>
      <c r="J4852" s="3565">
        <v>1083011</v>
      </c>
      <c r="K4852" s="3565">
        <v>10729.26</v>
      </c>
      <c r="L4852" s="3565">
        <v>13268.94</v>
      </c>
      <c r="M4852" s="3565">
        <v>0</v>
      </c>
      <c r="N4852" s="3565">
        <v>0</v>
      </c>
      <c r="O4852" s="3563" t="s">
        <v>3453</v>
      </c>
    </row>
    <row r="4853" spans="1:15">
      <c r="A4853" s="3563" t="s">
        <v>9077</v>
      </c>
      <c r="B4853" s="3563" t="s">
        <v>4196</v>
      </c>
      <c r="C4853" s="3563" t="s">
        <v>4197</v>
      </c>
      <c r="D4853" s="3563" t="s">
        <v>6429</v>
      </c>
      <c r="E4853" s="3563" t="s">
        <v>9050</v>
      </c>
      <c r="F4853" s="3563" t="s">
        <v>4797</v>
      </c>
      <c r="G4853" s="3564">
        <v>123.71</v>
      </c>
      <c r="H4853" s="3564">
        <v>100.03</v>
      </c>
      <c r="I4853" s="3564">
        <v>23.68</v>
      </c>
      <c r="J4853" s="3565">
        <v>1281255</v>
      </c>
      <c r="K4853" s="3565">
        <v>10356.92</v>
      </c>
      <c r="L4853" s="3565">
        <v>12808.71</v>
      </c>
      <c r="M4853" s="3565">
        <v>0</v>
      </c>
      <c r="N4853" s="3565">
        <v>0</v>
      </c>
      <c r="O4853" s="3563" t="s">
        <v>3453</v>
      </c>
    </row>
    <row r="4854" spans="1:15">
      <c r="A4854" s="3563" t="s">
        <v>9078</v>
      </c>
      <c r="B4854" s="3563" t="s">
        <v>4196</v>
      </c>
      <c r="C4854" s="3563" t="s">
        <v>4197</v>
      </c>
      <c r="D4854" s="3563" t="s">
        <v>6429</v>
      </c>
      <c r="E4854" s="3563" t="s">
        <v>9050</v>
      </c>
      <c r="F4854" s="3563" t="s">
        <v>4797</v>
      </c>
      <c r="G4854" s="3564">
        <v>100.94</v>
      </c>
      <c r="H4854" s="3564">
        <v>81.62</v>
      </c>
      <c r="I4854" s="3564">
        <v>19.32</v>
      </c>
      <c r="J4854" s="3565">
        <v>1067978</v>
      </c>
      <c r="K4854" s="3565">
        <v>10580.32</v>
      </c>
      <c r="L4854" s="3565">
        <v>13084.76</v>
      </c>
      <c r="M4854" s="3565">
        <v>0</v>
      </c>
      <c r="N4854" s="3565">
        <v>0</v>
      </c>
      <c r="O4854" s="3563" t="s">
        <v>3453</v>
      </c>
    </row>
    <row r="4855" spans="1:15">
      <c r="A4855" s="3563" t="s">
        <v>9079</v>
      </c>
      <c r="B4855" s="3563" t="s">
        <v>4196</v>
      </c>
      <c r="C4855" s="3563" t="s">
        <v>4197</v>
      </c>
      <c r="D4855" s="3563" t="s">
        <v>6429</v>
      </c>
      <c r="E4855" s="3563" t="s">
        <v>9050</v>
      </c>
      <c r="F4855" s="3563" t="s">
        <v>4797</v>
      </c>
      <c r="G4855" s="3564">
        <v>100.94</v>
      </c>
      <c r="H4855" s="3564">
        <v>81.62</v>
      </c>
      <c r="I4855" s="3564">
        <v>19.32</v>
      </c>
      <c r="J4855" s="3565">
        <v>1067978</v>
      </c>
      <c r="K4855" s="3565">
        <v>10580.32</v>
      </c>
      <c r="L4855" s="3565">
        <v>13084.76</v>
      </c>
      <c r="M4855" s="3565">
        <v>0</v>
      </c>
      <c r="N4855" s="3565">
        <v>0</v>
      </c>
      <c r="O4855" s="3563" t="s">
        <v>3453</v>
      </c>
    </row>
    <row r="4856" spans="1:15">
      <c r="A4856" s="3563" t="s">
        <v>9080</v>
      </c>
      <c r="B4856" s="3563" t="s">
        <v>4196</v>
      </c>
      <c r="C4856" s="3563" t="s">
        <v>4197</v>
      </c>
      <c r="D4856" s="3563" t="s">
        <v>6429</v>
      </c>
      <c r="E4856" s="3563" t="s">
        <v>9050</v>
      </c>
      <c r="F4856" s="3563" t="s">
        <v>4797</v>
      </c>
      <c r="G4856" s="3564">
        <v>109.37</v>
      </c>
      <c r="H4856" s="3564">
        <v>88.44</v>
      </c>
      <c r="I4856" s="3564">
        <v>20.93</v>
      </c>
      <c r="J4856" s="3565">
        <v>1116447</v>
      </c>
      <c r="K4856" s="3565">
        <v>10207.98</v>
      </c>
      <c r="L4856" s="3565">
        <v>12623.78</v>
      </c>
      <c r="M4856" s="3565">
        <v>0</v>
      </c>
      <c r="N4856" s="3565">
        <v>0</v>
      </c>
      <c r="O4856" s="3563" t="s">
        <v>3453</v>
      </c>
    </row>
    <row r="4857" spans="1:15">
      <c r="A4857" s="3563" t="s">
        <v>9081</v>
      </c>
      <c r="B4857" s="3563" t="s">
        <v>4196</v>
      </c>
      <c r="C4857" s="3563" t="s">
        <v>4197</v>
      </c>
      <c r="D4857" s="3563" t="s">
        <v>6429</v>
      </c>
      <c r="E4857" s="3563" t="s">
        <v>9050</v>
      </c>
      <c r="F4857" s="3563" t="s">
        <v>4797</v>
      </c>
      <c r="G4857" s="3564">
        <v>100.94</v>
      </c>
      <c r="H4857" s="3564">
        <v>81.62</v>
      </c>
      <c r="I4857" s="3564">
        <v>19.32</v>
      </c>
      <c r="J4857" s="3565">
        <v>1041132</v>
      </c>
      <c r="K4857" s="3565">
        <v>10314.36</v>
      </c>
      <c r="L4857" s="3565">
        <v>12755.84</v>
      </c>
      <c r="M4857" s="3565">
        <v>0</v>
      </c>
      <c r="N4857" s="3565">
        <v>0</v>
      </c>
      <c r="O4857" s="3563" t="s">
        <v>3453</v>
      </c>
    </row>
    <row r="4858" spans="1:15">
      <c r="A4858" s="3563" t="s">
        <v>9082</v>
      </c>
      <c r="B4858" s="3563" t="s">
        <v>4196</v>
      </c>
      <c r="C4858" s="3563" t="s">
        <v>4197</v>
      </c>
      <c r="D4858" s="3563" t="s">
        <v>6429</v>
      </c>
      <c r="E4858" s="3563" t="s">
        <v>9050</v>
      </c>
      <c r="F4858" s="3563" t="s">
        <v>4797</v>
      </c>
      <c r="G4858" s="3564">
        <v>100.94</v>
      </c>
      <c r="H4858" s="3564">
        <v>81.62</v>
      </c>
      <c r="I4858" s="3564">
        <v>19.32</v>
      </c>
      <c r="J4858" s="3565">
        <v>1073347</v>
      </c>
      <c r="K4858" s="3565">
        <v>10633.51</v>
      </c>
      <c r="L4858" s="3565">
        <v>13150.54</v>
      </c>
      <c r="M4858" s="3565">
        <v>0</v>
      </c>
      <c r="N4858" s="3565">
        <v>0</v>
      </c>
      <c r="O4858" s="3563" t="s">
        <v>3453</v>
      </c>
    </row>
    <row r="4859" spans="1:15">
      <c r="A4859" s="3563" t="s">
        <v>9083</v>
      </c>
      <c r="B4859" s="3563" t="s">
        <v>4196</v>
      </c>
      <c r="C4859" s="3563" t="s">
        <v>4197</v>
      </c>
      <c r="D4859" s="3563" t="s">
        <v>6429</v>
      </c>
      <c r="E4859" s="3563" t="s">
        <v>9050</v>
      </c>
      <c r="F4859" s="3563" t="s">
        <v>4797</v>
      </c>
      <c r="G4859" s="3564">
        <v>123.71</v>
      </c>
      <c r="H4859" s="3564">
        <v>100.03</v>
      </c>
      <c r="I4859" s="3564">
        <v>23.68</v>
      </c>
      <c r="J4859" s="3565">
        <v>1269410</v>
      </c>
      <c r="K4859" s="3565">
        <v>10261.18</v>
      </c>
      <c r="L4859" s="3565">
        <v>12690.29</v>
      </c>
      <c r="M4859" s="3565">
        <v>0</v>
      </c>
      <c r="N4859" s="3565">
        <v>0</v>
      </c>
      <c r="O4859" s="3563" t="s">
        <v>3453</v>
      </c>
    </row>
    <row r="4860" spans="1:15">
      <c r="A4860" s="3563" t="s">
        <v>9084</v>
      </c>
      <c r="B4860" s="3563" t="s">
        <v>4196</v>
      </c>
      <c r="C4860" s="3563" t="s">
        <v>4197</v>
      </c>
      <c r="D4860" s="3563" t="s">
        <v>6429</v>
      </c>
      <c r="E4860" s="3563" t="s">
        <v>9050</v>
      </c>
      <c r="F4860" s="3563" t="s">
        <v>4797</v>
      </c>
      <c r="G4860" s="3564">
        <v>100.94</v>
      </c>
      <c r="H4860" s="3564">
        <v>81.62</v>
      </c>
      <c r="I4860" s="3564">
        <v>19.32</v>
      </c>
      <c r="J4860" s="3565">
        <v>1079790</v>
      </c>
      <c r="K4860" s="3565">
        <v>10697.34</v>
      </c>
      <c r="L4860" s="3565">
        <v>13229.48</v>
      </c>
      <c r="M4860" s="3565">
        <v>0</v>
      </c>
      <c r="N4860" s="3565">
        <v>0</v>
      </c>
      <c r="O4860" s="3563" t="s">
        <v>3453</v>
      </c>
    </row>
    <row r="4861" spans="1:15">
      <c r="A4861" s="3563" t="s">
        <v>9085</v>
      </c>
      <c r="B4861" s="3563" t="s">
        <v>4196</v>
      </c>
      <c r="C4861" s="3563" t="s">
        <v>4197</v>
      </c>
      <c r="D4861" s="3563" t="s">
        <v>6429</v>
      </c>
      <c r="E4861" s="3563" t="s">
        <v>9050</v>
      </c>
      <c r="F4861" s="3563" t="s">
        <v>4797</v>
      </c>
      <c r="G4861" s="3564">
        <v>100.94</v>
      </c>
      <c r="H4861" s="3564">
        <v>81.62</v>
      </c>
      <c r="I4861" s="3564">
        <v>19.32</v>
      </c>
      <c r="J4861" s="3565">
        <v>1079790</v>
      </c>
      <c r="K4861" s="3565">
        <v>10697.34</v>
      </c>
      <c r="L4861" s="3565">
        <v>13229.48</v>
      </c>
      <c r="M4861" s="3565">
        <v>0</v>
      </c>
      <c r="N4861" s="3565">
        <v>0</v>
      </c>
      <c r="O4861" s="3563" t="s">
        <v>3453</v>
      </c>
    </row>
    <row r="4862" spans="1:15">
      <c r="A4862" s="3563" t="s">
        <v>9086</v>
      </c>
      <c r="B4862" s="3563" t="s">
        <v>4196</v>
      </c>
      <c r="C4862" s="3563" t="s">
        <v>4197</v>
      </c>
      <c r="D4862" s="3563" t="s">
        <v>6429</v>
      </c>
      <c r="E4862" s="3563" t="s">
        <v>9050</v>
      </c>
      <c r="F4862" s="3563" t="s">
        <v>4797</v>
      </c>
      <c r="G4862" s="3564">
        <v>109.37</v>
      </c>
      <c r="H4862" s="3564">
        <v>88.44</v>
      </c>
      <c r="I4862" s="3564">
        <v>20.93</v>
      </c>
      <c r="J4862" s="3565">
        <v>1129246</v>
      </c>
      <c r="K4862" s="3565">
        <v>10325.01</v>
      </c>
      <c r="L4862" s="3565">
        <v>12768.5</v>
      </c>
      <c r="M4862" s="3565">
        <v>0</v>
      </c>
      <c r="N4862" s="3565">
        <v>0</v>
      </c>
      <c r="O4862" s="3563" t="s">
        <v>3453</v>
      </c>
    </row>
    <row r="4863" spans="1:15">
      <c r="A4863" s="3563" t="s">
        <v>9087</v>
      </c>
      <c r="B4863" s="3563" t="s">
        <v>4196</v>
      </c>
      <c r="C4863" s="3563" t="s">
        <v>4197</v>
      </c>
      <c r="D4863" s="3563" t="s">
        <v>6429</v>
      </c>
      <c r="E4863" s="3563" t="s">
        <v>9050</v>
      </c>
      <c r="F4863" s="3563" t="s">
        <v>4797</v>
      </c>
      <c r="G4863" s="3564">
        <v>100.94</v>
      </c>
      <c r="H4863" s="3564">
        <v>81.62</v>
      </c>
      <c r="I4863" s="3564">
        <v>19.32</v>
      </c>
      <c r="J4863" s="3565">
        <v>1052944</v>
      </c>
      <c r="K4863" s="3565">
        <v>10431.379999999999</v>
      </c>
      <c r="L4863" s="3565">
        <v>12900.56</v>
      </c>
      <c r="M4863" s="3565">
        <v>0</v>
      </c>
      <c r="N4863" s="3565">
        <v>0</v>
      </c>
      <c r="O4863" s="3563" t="s">
        <v>3453</v>
      </c>
    </row>
    <row r="4864" spans="1:15">
      <c r="A4864" s="3563" t="s">
        <v>9088</v>
      </c>
      <c r="B4864" s="3563" t="s">
        <v>4196</v>
      </c>
      <c r="C4864" s="3563" t="s">
        <v>4197</v>
      </c>
      <c r="D4864" s="3563" t="s">
        <v>6429</v>
      </c>
      <c r="E4864" s="3563" t="s">
        <v>9050</v>
      </c>
      <c r="F4864" s="3563" t="s">
        <v>4797</v>
      </c>
      <c r="G4864" s="3564">
        <v>100.94</v>
      </c>
      <c r="H4864" s="3564">
        <v>81.62</v>
      </c>
      <c r="I4864" s="3564">
        <v>19.32</v>
      </c>
      <c r="J4864" s="3565">
        <v>1085159</v>
      </c>
      <c r="K4864" s="3565">
        <v>10750.53</v>
      </c>
      <c r="L4864" s="3565">
        <v>13295.26</v>
      </c>
      <c r="M4864" s="3565">
        <v>0</v>
      </c>
      <c r="N4864" s="3565">
        <v>0</v>
      </c>
      <c r="O4864" s="3563" t="s">
        <v>3453</v>
      </c>
    </row>
    <row r="4865" spans="1:15">
      <c r="A4865" s="3563" t="s">
        <v>9089</v>
      </c>
      <c r="B4865" s="3563" t="s">
        <v>4196</v>
      </c>
      <c r="C4865" s="3563" t="s">
        <v>4197</v>
      </c>
      <c r="D4865" s="3563" t="s">
        <v>6429</v>
      </c>
      <c r="E4865" s="3563" t="s">
        <v>9050</v>
      </c>
      <c r="F4865" s="3563" t="s">
        <v>4797</v>
      </c>
      <c r="G4865" s="3564">
        <v>123.71</v>
      </c>
      <c r="H4865" s="3564">
        <v>100.03</v>
      </c>
      <c r="I4865" s="3564">
        <v>23.68</v>
      </c>
      <c r="J4865" s="3565">
        <v>1283887</v>
      </c>
      <c r="K4865" s="3565">
        <v>10378.200000000001</v>
      </c>
      <c r="L4865" s="3565">
        <v>12835.02</v>
      </c>
      <c r="M4865" s="3565">
        <v>0</v>
      </c>
      <c r="N4865" s="3565">
        <v>0</v>
      </c>
      <c r="O4865" s="3563" t="s">
        <v>3453</v>
      </c>
    </row>
    <row r="4866" spans="1:15">
      <c r="A4866" s="3563" t="s">
        <v>9090</v>
      </c>
      <c r="B4866" s="3563" t="s">
        <v>4196</v>
      </c>
      <c r="C4866" s="3563" t="s">
        <v>4197</v>
      </c>
      <c r="D4866" s="3563" t="s">
        <v>6429</v>
      </c>
      <c r="E4866" s="3563" t="s">
        <v>9050</v>
      </c>
      <c r="F4866" s="3563" t="s">
        <v>4797</v>
      </c>
      <c r="G4866" s="3564">
        <v>100.94</v>
      </c>
      <c r="H4866" s="3564">
        <v>81.62</v>
      </c>
      <c r="I4866" s="3564">
        <v>19.32</v>
      </c>
      <c r="J4866" s="3565">
        <v>1078716</v>
      </c>
      <c r="K4866" s="3565">
        <v>10686.7</v>
      </c>
      <c r="L4866" s="3565">
        <v>13216.32</v>
      </c>
      <c r="M4866" s="3565">
        <v>0</v>
      </c>
      <c r="N4866" s="3565">
        <v>0</v>
      </c>
      <c r="O4866" s="3563" t="s">
        <v>3453</v>
      </c>
    </row>
    <row r="4867" spans="1:15">
      <c r="A4867" s="3563" t="s">
        <v>9091</v>
      </c>
      <c r="B4867" s="3563" t="s">
        <v>4196</v>
      </c>
      <c r="C4867" s="3563" t="s">
        <v>4197</v>
      </c>
      <c r="D4867" s="3563" t="s">
        <v>6429</v>
      </c>
      <c r="E4867" s="3563" t="s">
        <v>9050</v>
      </c>
      <c r="F4867" s="3563" t="s">
        <v>4797</v>
      </c>
      <c r="G4867" s="3564">
        <v>100.94</v>
      </c>
      <c r="H4867" s="3564">
        <v>81.62</v>
      </c>
      <c r="I4867" s="3564">
        <v>19.32</v>
      </c>
      <c r="J4867" s="3565">
        <v>1078716</v>
      </c>
      <c r="K4867" s="3565">
        <v>10686.7</v>
      </c>
      <c r="L4867" s="3565">
        <v>13216.32</v>
      </c>
      <c r="M4867" s="3565">
        <v>0</v>
      </c>
      <c r="N4867" s="3565">
        <v>0</v>
      </c>
      <c r="O4867" s="3563" t="s">
        <v>3453</v>
      </c>
    </row>
    <row r="4868" spans="1:15">
      <c r="A4868" s="3563" t="s">
        <v>9092</v>
      </c>
      <c r="B4868" s="3563" t="s">
        <v>4196</v>
      </c>
      <c r="C4868" s="3563" t="s">
        <v>4197</v>
      </c>
      <c r="D4868" s="3563" t="s">
        <v>6429</v>
      </c>
      <c r="E4868" s="3563" t="s">
        <v>9050</v>
      </c>
      <c r="F4868" s="3563" t="s">
        <v>4797</v>
      </c>
      <c r="G4868" s="3564">
        <v>109.37</v>
      </c>
      <c r="H4868" s="3564">
        <v>88.44</v>
      </c>
      <c r="I4868" s="3564">
        <v>20.93</v>
      </c>
      <c r="J4868" s="3565">
        <v>1128082</v>
      </c>
      <c r="K4868" s="3565">
        <v>10314.36</v>
      </c>
      <c r="L4868" s="3565">
        <v>12755.34</v>
      </c>
      <c r="M4868" s="3565">
        <v>0</v>
      </c>
      <c r="N4868" s="3565">
        <v>0</v>
      </c>
      <c r="O4868" s="3563" t="s">
        <v>3453</v>
      </c>
    </row>
    <row r="4869" spans="1:15">
      <c r="A4869" s="3563" t="s">
        <v>9093</v>
      </c>
      <c r="B4869" s="3563" t="s">
        <v>4196</v>
      </c>
      <c r="C4869" s="3563" t="s">
        <v>4197</v>
      </c>
      <c r="D4869" s="3563" t="s">
        <v>6429</v>
      </c>
      <c r="E4869" s="3563" t="s">
        <v>9050</v>
      </c>
      <c r="F4869" s="3563" t="s">
        <v>4797</v>
      </c>
      <c r="G4869" s="3564">
        <v>100.94</v>
      </c>
      <c r="H4869" s="3564">
        <v>81.62</v>
      </c>
      <c r="I4869" s="3564">
        <v>19.32</v>
      </c>
      <c r="J4869" s="3565">
        <v>1051871</v>
      </c>
      <c r="K4869" s="3565">
        <v>10420.75</v>
      </c>
      <c r="L4869" s="3565">
        <v>12887.42</v>
      </c>
      <c r="M4869" s="3565">
        <v>0</v>
      </c>
      <c r="N4869" s="3565">
        <v>0</v>
      </c>
      <c r="O4869" s="3563" t="s">
        <v>3453</v>
      </c>
    </row>
    <row r="4870" spans="1:15">
      <c r="A4870" s="3563" t="s">
        <v>9094</v>
      </c>
      <c r="B4870" s="3563" t="s">
        <v>4196</v>
      </c>
      <c r="C4870" s="3563" t="s">
        <v>4197</v>
      </c>
      <c r="D4870" s="3563" t="s">
        <v>6429</v>
      </c>
      <c r="E4870" s="3563" t="s">
        <v>9050</v>
      </c>
      <c r="F4870" s="3563" t="s">
        <v>4797</v>
      </c>
      <c r="G4870" s="3564">
        <v>100.94</v>
      </c>
      <c r="H4870" s="3564">
        <v>81.62</v>
      </c>
      <c r="I4870" s="3564">
        <v>19.32</v>
      </c>
      <c r="J4870" s="3565">
        <v>1084086</v>
      </c>
      <c r="K4870" s="3565">
        <v>10739.9</v>
      </c>
      <c r="L4870" s="3565">
        <v>13282.11</v>
      </c>
      <c r="M4870" s="3565">
        <v>0</v>
      </c>
      <c r="N4870" s="3565">
        <v>0</v>
      </c>
      <c r="O4870" s="3563" t="s">
        <v>3453</v>
      </c>
    </row>
    <row r="4871" spans="1:15">
      <c r="A4871" s="3563" t="s">
        <v>9095</v>
      </c>
      <c r="B4871" s="3563" t="s">
        <v>4196</v>
      </c>
      <c r="C4871" s="3563" t="s">
        <v>4197</v>
      </c>
      <c r="D4871" s="3563" t="s">
        <v>6429</v>
      </c>
      <c r="E4871" s="3563" t="s">
        <v>9050</v>
      </c>
      <c r="F4871" s="3563" t="s">
        <v>4797</v>
      </c>
      <c r="G4871" s="3564">
        <v>123.71</v>
      </c>
      <c r="H4871" s="3564">
        <v>100.03</v>
      </c>
      <c r="I4871" s="3564">
        <v>23.68</v>
      </c>
      <c r="J4871" s="3565">
        <v>1282571</v>
      </c>
      <c r="K4871" s="3565">
        <v>10367.56</v>
      </c>
      <c r="L4871" s="3565">
        <v>12821.86</v>
      </c>
      <c r="M4871" s="3565">
        <v>0</v>
      </c>
      <c r="N4871" s="3565">
        <v>0</v>
      </c>
      <c r="O4871" s="3563" t="s">
        <v>3453</v>
      </c>
    </row>
    <row r="4872" spans="1:15">
      <c r="A4872" s="3563" t="s">
        <v>9096</v>
      </c>
      <c r="B4872" s="3563" t="s">
        <v>4196</v>
      </c>
      <c r="C4872" s="3563" t="s">
        <v>4197</v>
      </c>
      <c r="D4872" s="3563" t="s">
        <v>6429</v>
      </c>
      <c r="E4872" s="3563" t="s">
        <v>9050</v>
      </c>
      <c r="F4872" s="3563" t="s">
        <v>4797</v>
      </c>
      <c r="G4872" s="3564">
        <v>100.94</v>
      </c>
      <c r="H4872" s="3564">
        <v>81.62</v>
      </c>
      <c r="I4872" s="3564">
        <v>19.32</v>
      </c>
      <c r="J4872" s="3565">
        <v>1077642</v>
      </c>
      <c r="K4872" s="3565">
        <v>10676.06</v>
      </c>
      <c r="L4872" s="3565">
        <v>13203.16</v>
      </c>
      <c r="M4872" s="3565">
        <v>0</v>
      </c>
      <c r="N4872" s="3565">
        <v>0</v>
      </c>
      <c r="O4872" s="3563" t="s">
        <v>3453</v>
      </c>
    </row>
    <row r="4873" spans="1:15">
      <c r="A4873" s="3563" t="s">
        <v>9097</v>
      </c>
      <c r="B4873" s="3563" t="s">
        <v>4196</v>
      </c>
      <c r="C4873" s="3563" t="s">
        <v>4197</v>
      </c>
      <c r="D4873" s="3563" t="s">
        <v>6429</v>
      </c>
      <c r="E4873" s="3563" t="s">
        <v>9050</v>
      </c>
      <c r="F4873" s="3563" t="s">
        <v>4797</v>
      </c>
      <c r="G4873" s="3564">
        <v>100.94</v>
      </c>
      <c r="H4873" s="3564">
        <v>81.62</v>
      </c>
      <c r="I4873" s="3564">
        <v>19.32</v>
      </c>
      <c r="J4873" s="3565">
        <v>1077642</v>
      </c>
      <c r="K4873" s="3565">
        <v>10676.06</v>
      </c>
      <c r="L4873" s="3565">
        <v>13203.16</v>
      </c>
      <c r="M4873" s="3565">
        <v>0</v>
      </c>
      <c r="N4873" s="3565">
        <v>0</v>
      </c>
      <c r="O4873" s="3563" t="s">
        <v>3453</v>
      </c>
    </row>
    <row r="4874" spans="1:15">
      <c r="A4874" s="3563" t="s">
        <v>9098</v>
      </c>
      <c r="B4874" s="3563" t="s">
        <v>4196</v>
      </c>
      <c r="C4874" s="3563" t="s">
        <v>4197</v>
      </c>
      <c r="D4874" s="3563" t="s">
        <v>6429</v>
      </c>
      <c r="E4874" s="3563" t="s">
        <v>9050</v>
      </c>
      <c r="F4874" s="3563" t="s">
        <v>4797</v>
      </c>
      <c r="G4874" s="3564">
        <v>109.37</v>
      </c>
      <c r="H4874" s="3564">
        <v>88.44</v>
      </c>
      <c r="I4874" s="3564">
        <v>20.93</v>
      </c>
      <c r="J4874" s="3565">
        <v>1126919</v>
      </c>
      <c r="K4874" s="3565">
        <v>10303.73</v>
      </c>
      <c r="L4874" s="3565">
        <v>12742.19</v>
      </c>
      <c r="M4874" s="3565">
        <v>0</v>
      </c>
      <c r="N4874" s="3565">
        <v>0</v>
      </c>
      <c r="O4874" s="3563" t="s">
        <v>3453</v>
      </c>
    </row>
    <row r="4875" spans="1:15">
      <c r="A4875" s="3563" t="s">
        <v>9099</v>
      </c>
      <c r="B4875" s="3563" t="s">
        <v>4196</v>
      </c>
      <c r="C4875" s="3563" t="s">
        <v>4197</v>
      </c>
      <c r="D4875" s="3563" t="s">
        <v>6429</v>
      </c>
      <c r="E4875" s="3563" t="s">
        <v>9050</v>
      </c>
      <c r="F4875" s="3563" t="s">
        <v>4797</v>
      </c>
      <c r="G4875" s="3564">
        <v>100.94</v>
      </c>
      <c r="H4875" s="3564">
        <v>81.62</v>
      </c>
      <c r="I4875" s="3564">
        <v>19.32</v>
      </c>
      <c r="J4875" s="3565">
        <v>1050796</v>
      </c>
      <c r="K4875" s="3565">
        <v>10410.11</v>
      </c>
      <c r="L4875" s="3565">
        <v>12874.25</v>
      </c>
      <c r="M4875" s="3565">
        <v>0</v>
      </c>
      <c r="N4875" s="3565">
        <v>0</v>
      </c>
      <c r="O4875" s="3563" t="s">
        <v>3453</v>
      </c>
    </row>
    <row r="4876" spans="1:15">
      <c r="A4876" s="3563" t="s">
        <v>9100</v>
      </c>
      <c r="B4876" s="3563" t="s">
        <v>4196</v>
      </c>
      <c r="C4876" s="3563" t="s">
        <v>4197</v>
      </c>
      <c r="D4876" s="3563" t="s">
        <v>6429</v>
      </c>
      <c r="E4876" s="3563" t="s">
        <v>9050</v>
      </c>
      <c r="F4876" s="3563" t="s">
        <v>4797</v>
      </c>
      <c r="G4876" s="3564">
        <v>100.94</v>
      </c>
      <c r="H4876" s="3564">
        <v>81.62</v>
      </c>
      <c r="I4876" s="3564">
        <v>19.32</v>
      </c>
      <c r="J4876" s="3565">
        <v>1083011</v>
      </c>
      <c r="K4876" s="3565">
        <v>10729.26</v>
      </c>
      <c r="L4876" s="3565">
        <v>13268.94</v>
      </c>
      <c r="M4876" s="3565">
        <v>0</v>
      </c>
      <c r="N4876" s="3565">
        <v>0</v>
      </c>
      <c r="O4876" s="3563" t="s">
        <v>3453</v>
      </c>
    </row>
    <row r="4877" spans="1:15">
      <c r="A4877" s="3563" t="s">
        <v>9101</v>
      </c>
      <c r="B4877" s="3563" t="s">
        <v>4196</v>
      </c>
      <c r="C4877" s="3563" t="s">
        <v>4197</v>
      </c>
      <c r="D4877" s="3563" t="s">
        <v>6429</v>
      </c>
      <c r="E4877" s="3563" t="s">
        <v>9050</v>
      </c>
      <c r="F4877" s="3563" t="s">
        <v>4797</v>
      </c>
      <c r="G4877" s="3564">
        <v>123.71</v>
      </c>
      <c r="H4877" s="3564">
        <v>100.03</v>
      </c>
      <c r="I4877" s="3564">
        <v>23.68</v>
      </c>
      <c r="J4877" s="3565">
        <v>1281255</v>
      </c>
      <c r="K4877" s="3565">
        <v>10356.92</v>
      </c>
      <c r="L4877" s="3565">
        <v>12808.71</v>
      </c>
      <c r="M4877" s="3565">
        <v>0</v>
      </c>
      <c r="N4877" s="3565">
        <v>0</v>
      </c>
      <c r="O4877" s="3563" t="s">
        <v>3453</v>
      </c>
    </row>
    <row r="4878" spans="1:15">
      <c r="A4878" s="3563" t="s">
        <v>9102</v>
      </c>
      <c r="B4878" s="3563" t="s">
        <v>4196</v>
      </c>
      <c r="C4878" s="3563" t="s">
        <v>4197</v>
      </c>
      <c r="D4878" s="3563" t="s">
        <v>6429</v>
      </c>
      <c r="E4878" s="3563" t="s">
        <v>9050</v>
      </c>
      <c r="F4878" s="3563" t="s">
        <v>4797</v>
      </c>
      <c r="G4878" s="3564">
        <v>100.94</v>
      </c>
      <c r="H4878" s="3564">
        <v>81.62</v>
      </c>
      <c r="I4878" s="3564">
        <v>19.32</v>
      </c>
      <c r="J4878" s="3565">
        <v>1065830</v>
      </c>
      <c r="K4878" s="3565">
        <v>10559.04</v>
      </c>
      <c r="L4878" s="3565">
        <v>13058.44</v>
      </c>
      <c r="M4878" s="3565">
        <v>0</v>
      </c>
      <c r="N4878" s="3565">
        <v>0</v>
      </c>
      <c r="O4878" s="3563" t="s">
        <v>3453</v>
      </c>
    </row>
    <row r="4879" spans="1:15">
      <c r="A4879" s="3563" t="s">
        <v>9103</v>
      </c>
      <c r="B4879" s="3563" t="s">
        <v>4196</v>
      </c>
      <c r="C4879" s="3563" t="s">
        <v>4197</v>
      </c>
      <c r="D4879" s="3563" t="s">
        <v>6429</v>
      </c>
      <c r="E4879" s="3563" t="s">
        <v>9050</v>
      </c>
      <c r="F4879" s="3563" t="s">
        <v>4797</v>
      </c>
      <c r="G4879" s="3564">
        <v>100.94</v>
      </c>
      <c r="H4879" s="3564">
        <v>81.62</v>
      </c>
      <c r="I4879" s="3564">
        <v>19.32</v>
      </c>
      <c r="J4879" s="3565">
        <v>1065830</v>
      </c>
      <c r="K4879" s="3565">
        <v>10559.04</v>
      </c>
      <c r="L4879" s="3565">
        <v>13058.44</v>
      </c>
      <c r="M4879" s="3565">
        <v>0</v>
      </c>
      <c r="N4879" s="3565">
        <v>0</v>
      </c>
      <c r="O4879" s="3563" t="s">
        <v>3453</v>
      </c>
    </row>
    <row r="4880" spans="1:15">
      <c r="A4880" s="3563" t="s">
        <v>9104</v>
      </c>
      <c r="B4880" s="3563" t="s">
        <v>4196</v>
      </c>
      <c r="C4880" s="3563" t="s">
        <v>4197</v>
      </c>
      <c r="D4880" s="3563" t="s">
        <v>6429</v>
      </c>
      <c r="E4880" s="3563" t="s">
        <v>9050</v>
      </c>
      <c r="F4880" s="3563" t="s">
        <v>4797</v>
      </c>
      <c r="G4880" s="3564">
        <v>109.37</v>
      </c>
      <c r="H4880" s="3564">
        <v>88.44</v>
      </c>
      <c r="I4880" s="3564">
        <v>20.93</v>
      </c>
      <c r="J4880" s="3565">
        <v>1114120</v>
      </c>
      <c r="K4880" s="3565">
        <v>10186.709999999999</v>
      </c>
      <c r="L4880" s="3565">
        <v>12597.47</v>
      </c>
      <c r="M4880" s="3565">
        <v>0</v>
      </c>
      <c r="N4880" s="3565">
        <v>0</v>
      </c>
      <c r="O4880" s="3563" t="s">
        <v>3453</v>
      </c>
    </row>
    <row r="4881" spans="1:15">
      <c r="A4881" s="3563" t="s">
        <v>9105</v>
      </c>
      <c r="B4881" s="3563" t="s">
        <v>4196</v>
      </c>
      <c r="C4881" s="3563" t="s">
        <v>4197</v>
      </c>
      <c r="D4881" s="3563" t="s">
        <v>6429</v>
      </c>
      <c r="E4881" s="3563" t="s">
        <v>9050</v>
      </c>
      <c r="F4881" s="3563" t="s">
        <v>4797</v>
      </c>
      <c r="G4881" s="3564">
        <v>100.94</v>
      </c>
      <c r="H4881" s="3564">
        <v>81.62</v>
      </c>
      <c r="I4881" s="3564">
        <v>19.32</v>
      </c>
      <c r="J4881" s="3565">
        <v>1038985</v>
      </c>
      <c r="K4881" s="3565">
        <v>10293.09</v>
      </c>
      <c r="L4881" s="3565">
        <v>12729.54</v>
      </c>
      <c r="M4881" s="3565">
        <v>0</v>
      </c>
      <c r="N4881" s="3565">
        <v>0</v>
      </c>
      <c r="O4881" s="3563" t="s">
        <v>3453</v>
      </c>
    </row>
    <row r="4882" spans="1:15">
      <c r="A4882" s="3563" t="s">
        <v>9106</v>
      </c>
      <c r="B4882" s="3563" t="s">
        <v>4196</v>
      </c>
      <c r="C4882" s="3563" t="s">
        <v>4197</v>
      </c>
      <c r="D4882" s="3563" t="s">
        <v>6429</v>
      </c>
      <c r="E4882" s="3563" t="s">
        <v>9050</v>
      </c>
      <c r="F4882" s="3563" t="s">
        <v>4797</v>
      </c>
      <c r="G4882" s="3564">
        <v>100.94</v>
      </c>
      <c r="H4882" s="3564">
        <v>81.62</v>
      </c>
      <c r="I4882" s="3564">
        <v>19.32</v>
      </c>
      <c r="J4882" s="3565">
        <v>1071199</v>
      </c>
      <c r="K4882" s="3565">
        <v>10612.23</v>
      </c>
      <c r="L4882" s="3565">
        <v>13124.22</v>
      </c>
      <c r="M4882" s="3565">
        <v>0</v>
      </c>
      <c r="N4882" s="3565">
        <v>0</v>
      </c>
      <c r="O4882" s="3563" t="s">
        <v>3453</v>
      </c>
    </row>
    <row r="4883" spans="1:15">
      <c r="A4883" s="3563" t="s">
        <v>9107</v>
      </c>
      <c r="B4883" s="3563" t="s">
        <v>4196</v>
      </c>
      <c r="C4883" s="3563" t="s">
        <v>4197</v>
      </c>
      <c r="D4883" s="3563" t="s">
        <v>6429</v>
      </c>
      <c r="E4883" s="3563" t="s">
        <v>9050</v>
      </c>
      <c r="F4883" s="3563" t="s">
        <v>4797</v>
      </c>
      <c r="G4883" s="3564">
        <v>123.71</v>
      </c>
      <c r="H4883" s="3564">
        <v>100.03</v>
      </c>
      <c r="I4883" s="3564">
        <v>23.68</v>
      </c>
      <c r="J4883" s="3565">
        <v>1266778</v>
      </c>
      <c r="K4883" s="3565">
        <v>10239.9</v>
      </c>
      <c r="L4883" s="3565">
        <v>12663.98</v>
      </c>
      <c r="M4883" s="3565">
        <v>0</v>
      </c>
      <c r="N4883" s="3565">
        <v>0</v>
      </c>
      <c r="O4883" s="3563" t="s">
        <v>3453</v>
      </c>
    </row>
    <row r="4884" spans="1:15">
      <c r="A4884" s="3563" t="s">
        <v>9108</v>
      </c>
      <c r="B4884" s="3563" t="s">
        <v>4196</v>
      </c>
      <c r="C4884" s="3563" t="s">
        <v>4197</v>
      </c>
      <c r="D4884" s="3563" t="s">
        <v>6429</v>
      </c>
      <c r="E4884" s="3563" t="s">
        <v>9050</v>
      </c>
      <c r="F4884" s="3563" t="s">
        <v>4797</v>
      </c>
      <c r="G4884" s="3564">
        <v>100.94</v>
      </c>
      <c r="H4884" s="3564">
        <v>81.62</v>
      </c>
      <c r="I4884" s="3564">
        <v>19.32</v>
      </c>
      <c r="J4884" s="3565">
        <v>1075495</v>
      </c>
      <c r="K4884" s="3565">
        <v>10654.79</v>
      </c>
      <c r="L4884" s="3565">
        <v>13176.86</v>
      </c>
      <c r="M4884" s="3565">
        <v>0</v>
      </c>
      <c r="N4884" s="3565">
        <v>0</v>
      </c>
      <c r="O4884" s="3563" t="s">
        <v>3453</v>
      </c>
    </row>
    <row r="4885" spans="1:15">
      <c r="A4885" s="3563" t="s">
        <v>9109</v>
      </c>
      <c r="B4885" s="3563" t="s">
        <v>4196</v>
      </c>
      <c r="C4885" s="3563" t="s">
        <v>4197</v>
      </c>
      <c r="D4885" s="3563" t="s">
        <v>6429</v>
      </c>
      <c r="E4885" s="3563" t="s">
        <v>9050</v>
      </c>
      <c r="F4885" s="3563" t="s">
        <v>4797</v>
      </c>
      <c r="G4885" s="3564">
        <v>100.94</v>
      </c>
      <c r="H4885" s="3564">
        <v>81.62</v>
      </c>
      <c r="I4885" s="3564">
        <v>19.32</v>
      </c>
      <c r="J4885" s="3565">
        <v>1075495</v>
      </c>
      <c r="K4885" s="3565">
        <v>10654.79</v>
      </c>
      <c r="L4885" s="3565">
        <v>13176.86</v>
      </c>
      <c r="M4885" s="3565">
        <v>0</v>
      </c>
      <c r="N4885" s="3565">
        <v>0</v>
      </c>
      <c r="O4885" s="3563" t="s">
        <v>3453</v>
      </c>
    </row>
    <row r="4886" spans="1:15">
      <c r="A4886" s="3563" t="s">
        <v>9110</v>
      </c>
      <c r="B4886" s="3563" t="s">
        <v>4196</v>
      </c>
      <c r="C4886" s="3563" t="s">
        <v>4197</v>
      </c>
      <c r="D4886" s="3563" t="s">
        <v>6429</v>
      </c>
      <c r="E4886" s="3563" t="s">
        <v>9050</v>
      </c>
      <c r="F4886" s="3563" t="s">
        <v>4797</v>
      </c>
      <c r="G4886" s="3564">
        <v>109.37</v>
      </c>
      <c r="H4886" s="3564">
        <v>88.44</v>
      </c>
      <c r="I4886" s="3564">
        <v>20.93</v>
      </c>
      <c r="J4886" s="3565">
        <v>1124592</v>
      </c>
      <c r="K4886" s="3565">
        <v>10282.450000000001</v>
      </c>
      <c r="L4886" s="3565">
        <v>12715.88</v>
      </c>
      <c r="M4886" s="3565">
        <v>0</v>
      </c>
      <c r="N4886" s="3565">
        <v>0</v>
      </c>
      <c r="O4886" s="3563" t="s">
        <v>3453</v>
      </c>
    </row>
    <row r="4887" spans="1:15">
      <c r="A4887" s="3563" t="s">
        <v>9111</v>
      </c>
      <c r="B4887" s="3563" t="s">
        <v>4196</v>
      </c>
      <c r="C4887" s="3563" t="s">
        <v>4197</v>
      </c>
      <c r="D4887" s="3563" t="s">
        <v>6429</v>
      </c>
      <c r="E4887" s="3563" t="s">
        <v>9050</v>
      </c>
      <c r="F4887" s="3563" t="s">
        <v>4797</v>
      </c>
      <c r="G4887" s="3564">
        <v>100.94</v>
      </c>
      <c r="H4887" s="3564">
        <v>81.62</v>
      </c>
      <c r="I4887" s="3564">
        <v>19.32</v>
      </c>
      <c r="J4887" s="3565">
        <v>1048649</v>
      </c>
      <c r="K4887" s="3565">
        <v>10388.83</v>
      </c>
      <c r="L4887" s="3565">
        <v>12847.94</v>
      </c>
      <c r="M4887" s="3565">
        <v>0</v>
      </c>
      <c r="N4887" s="3565">
        <v>0</v>
      </c>
      <c r="O4887" s="3563" t="s">
        <v>3453</v>
      </c>
    </row>
    <row r="4888" spans="1:15">
      <c r="A4888" s="3563" t="s">
        <v>9112</v>
      </c>
      <c r="B4888" s="3563" t="s">
        <v>4196</v>
      </c>
      <c r="C4888" s="3563" t="s">
        <v>4197</v>
      </c>
      <c r="D4888" s="3563" t="s">
        <v>6429</v>
      </c>
      <c r="E4888" s="3563" t="s">
        <v>9050</v>
      </c>
      <c r="F4888" s="3563" t="s">
        <v>4797</v>
      </c>
      <c r="G4888" s="3564">
        <v>100.94</v>
      </c>
      <c r="H4888" s="3564">
        <v>81.62</v>
      </c>
      <c r="I4888" s="3564">
        <v>19.32</v>
      </c>
      <c r="J4888" s="3565">
        <v>1080864</v>
      </c>
      <c r="K4888" s="3565">
        <v>10707.98</v>
      </c>
      <c r="L4888" s="3565">
        <v>13242.64</v>
      </c>
      <c r="M4888" s="3565">
        <v>0</v>
      </c>
      <c r="N4888" s="3565">
        <v>0</v>
      </c>
      <c r="O4888" s="3563" t="s">
        <v>3453</v>
      </c>
    </row>
    <row r="4889" spans="1:15">
      <c r="A4889" s="3563" t="s">
        <v>9113</v>
      </c>
      <c r="B4889" s="3563" t="s">
        <v>4196</v>
      </c>
      <c r="C4889" s="3563" t="s">
        <v>4197</v>
      </c>
      <c r="D4889" s="3563" t="s">
        <v>6429</v>
      </c>
      <c r="E4889" s="3563" t="s">
        <v>9050</v>
      </c>
      <c r="F4889" s="3563" t="s">
        <v>4797</v>
      </c>
      <c r="G4889" s="3564">
        <v>123.71</v>
      </c>
      <c r="H4889" s="3564">
        <v>100.03</v>
      </c>
      <c r="I4889" s="3564">
        <v>23.68</v>
      </c>
      <c r="J4889" s="3565">
        <v>1278623</v>
      </c>
      <c r="K4889" s="3565">
        <v>10335.65</v>
      </c>
      <c r="L4889" s="3565">
        <v>12782.4</v>
      </c>
      <c r="M4889" s="3565">
        <v>0</v>
      </c>
      <c r="N4889" s="3565">
        <v>0</v>
      </c>
      <c r="O4889" s="3563" t="s">
        <v>3453</v>
      </c>
    </row>
    <row r="4890" spans="1:15">
      <c r="A4890" s="3563" t="s">
        <v>9114</v>
      </c>
      <c r="B4890" s="3563" t="s">
        <v>4196</v>
      </c>
      <c r="C4890" s="3563" t="s">
        <v>4197</v>
      </c>
      <c r="D4890" s="3563" t="s">
        <v>6429</v>
      </c>
      <c r="E4890" s="3563" t="s">
        <v>9050</v>
      </c>
      <c r="F4890" s="3563" t="s">
        <v>4797</v>
      </c>
      <c r="G4890" s="3564">
        <v>102.49</v>
      </c>
      <c r="H4890" s="3564">
        <v>81.62</v>
      </c>
      <c r="I4890" s="3564">
        <v>20.87</v>
      </c>
      <c r="J4890" s="3565">
        <v>1046216</v>
      </c>
      <c r="K4890" s="3565">
        <v>10207.98</v>
      </c>
      <c r="L4890" s="3565">
        <v>12818.13</v>
      </c>
      <c r="M4890" s="3565">
        <v>0</v>
      </c>
      <c r="N4890" s="3565">
        <v>0</v>
      </c>
      <c r="O4890" s="3563" t="s">
        <v>3453</v>
      </c>
    </row>
    <row r="4891" spans="1:15">
      <c r="A4891" s="3563" t="s">
        <v>9115</v>
      </c>
      <c r="B4891" s="3563" t="s">
        <v>4196</v>
      </c>
      <c r="C4891" s="3563" t="s">
        <v>4197</v>
      </c>
      <c r="D4891" s="3563" t="s">
        <v>6429</v>
      </c>
      <c r="E4891" s="3563" t="s">
        <v>9050</v>
      </c>
      <c r="F4891" s="3563" t="s">
        <v>4797</v>
      </c>
      <c r="G4891" s="3564">
        <v>102.49</v>
      </c>
      <c r="H4891" s="3564">
        <v>81.62</v>
      </c>
      <c r="I4891" s="3564">
        <v>20.87</v>
      </c>
      <c r="J4891" s="3565">
        <v>1046216</v>
      </c>
      <c r="K4891" s="3565">
        <v>10207.98</v>
      </c>
      <c r="L4891" s="3565">
        <v>12818.13</v>
      </c>
      <c r="M4891" s="3565">
        <v>0</v>
      </c>
      <c r="N4891" s="3565">
        <v>0</v>
      </c>
      <c r="O4891" s="3563" t="s">
        <v>3453</v>
      </c>
    </row>
    <row r="4892" spans="1:15">
      <c r="A4892" s="3563" t="s">
        <v>9116</v>
      </c>
      <c r="B4892" s="3563" t="s">
        <v>4196</v>
      </c>
      <c r="C4892" s="3563" t="s">
        <v>4197</v>
      </c>
      <c r="D4892" s="3563" t="s">
        <v>6429</v>
      </c>
      <c r="E4892" s="3563" t="s">
        <v>9050</v>
      </c>
      <c r="F4892" s="3563" t="s">
        <v>4797</v>
      </c>
      <c r="G4892" s="3564">
        <v>102.49</v>
      </c>
      <c r="H4892" s="3564">
        <v>81.62</v>
      </c>
      <c r="I4892" s="3564">
        <v>20.87</v>
      </c>
      <c r="J4892" s="3565">
        <v>1018958</v>
      </c>
      <c r="K4892" s="3565">
        <v>9942.02</v>
      </c>
      <c r="L4892" s="3565">
        <v>12484.17</v>
      </c>
      <c r="M4892" s="3565">
        <v>0</v>
      </c>
      <c r="N4892" s="3565">
        <v>0</v>
      </c>
      <c r="O4892" s="3563" t="s">
        <v>3453</v>
      </c>
    </row>
    <row r="4893" spans="1:15">
      <c r="A4893" s="3563" t="s">
        <v>9117</v>
      </c>
      <c r="B4893" s="3563" t="s">
        <v>4196</v>
      </c>
      <c r="C4893" s="3563" t="s">
        <v>4197</v>
      </c>
      <c r="D4893" s="3563" t="s">
        <v>6429</v>
      </c>
      <c r="E4893" s="3563" t="s">
        <v>9050</v>
      </c>
      <c r="F4893" s="3563" t="s">
        <v>4797</v>
      </c>
      <c r="G4893" s="3564">
        <v>102.49</v>
      </c>
      <c r="H4893" s="3564">
        <v>81.62</v>
      </c>
      <c r="I4893" s="3564">
        <v>20.87</v>
      </c>
      <c r="J4893" s="3565">
        <v>1051668</v>
      </c>
      <c r="K4893" s="3565">
        <v>10261.18</v>
      </c>
      <c r="L4893" s="3565">
        <v>12884.93</v>
      </c>
      <c r="M4893" s="3565">
        <v>0</v>
      </c>
      <c r="N4893" s="3565">
        <v>0</v>
      </c>
      <c r="O4893" s="3563" t="s">
        <v>3453</v>
      </c>
    </row>
    <row r="4894" spans="1:15">
      <c r="A4894" s="3563" t="s">
        <v>9118</v>
      </c>
      <c r="B4894" s="3563" t="s">
        <v>4196</v>
      </c>
      <c r="C4894" s="3563" t="s">
        <v>4197</v>
      </c>
      <c r="D4894" s="3563" t="s">
        <v>6429</v>
      </c>
      <c r="E4894" s="3563" t="s">
        <v>9050</v>
      </c>
      <c r="F4894" s="3563" t="s">
        <v>4797</v>
      </c>
      <c r="G4894" s="3564">
        <v>125.61</v>
      </c>
      <c r="H4894" s="3564">
        <v>100.03</v>
      </c>
      <c r="I4894" s="3564">
        <v>25.58</v>
      </c>
      <c r="J4894" s="3565">
        <v>1242137</v>
      </c>
      <c r="K4894" s="3565">
        <v>9888.84</v>
      </c>
      <c r="L4894" s="3565">
        <v>12417.64</v>
      </c>
      <c r="M4894" s="3565">
        <v>0</v>
      </c>
      <c r="N4894" s="3565">
        <v>0</v>
      </c>
      <c r="O4894" s="3563" t="s">
        <v>3453</v>
      </c>
    </row>
    <row r="4895" spans="1:15">
      <c r="A4895" s="3563" t="s">
        <v>9119</v>
      </c>
      <c r="B4895" s="3563" t="s">
        <v>4196</v>
      </c>
      <c r="C4895" s="3563" t="s">
        <v>4197</v>
      </c>
      <c r="D4895" s="3563" t="s">
        <v>6429</v>
      </c>
      <c r="E4895" s="3563" t="s">
        <v>9050</v>
      </c>
      <c r="F4895" s="3563" t="s">
        <v>4797</v>
      </c>
      <c r="G4895" s="3564">
        <v>100.94</v>
      </c>
      <c r="H4895" s="3564">
        <v>81.62</v>
      </c>
      <c r="I4895" s="3564">
        <v>19.32</v>
      </c>
      <c r="J4895" s="3565">
        <v>1074421</v>
      </c>
      <c r="K4895" s="3565">
        <v>10644.15</v>
      </c>
      <c r="L4895" s="3565">
        <v>13163.7</v>
      </c>
      <c r="M4895" s="3565">
        <v>0</v>
      </c>
      <c r="N4895" s="3565">
        <v>0</v>
      </c>
      <c r="O4895" s="3563" t="s">
        <v>3453</v>
      </c>
    </row>
    <row r="4896" spans="1:15">
      <c r="A4896" s="3563" t="s">
        <v>9120</v>
      </c>
      <c r="B4896" s="3563" t="s">
        <v>4196</v>
      </c>
      <c r="C4896" s="3563" t="s">
        <v>4197</v>
      </c>
      <c r="D4896" s="3563" t="s">
        <v>6429</v>
      </c>
      <c r="E4896" s="3563" t="s">
        <v>9050</v>
      </c>
      <c r="F4896" s="3563" t="s">
        <v>4797</v>
      </c>
      <c r="G4896" s="3564">
        <v>100.94</v>
      </c>
      <c r="H4896" s="3564">
        <v>81.62</v>
      </c>
      <c r="I4896" s="3564">
        <v>19.32</v>
      </c>
      <c r="J4896" s="3565">
        <v>1074421</v>
      </c>
      <c r="K4896" s="3565">
        <v>10644.15</v>
      </c>
      <c r="L4896" s="3565">
        <v>13163.7</v>
      </c>
      <c r="M4896" s="3565">
        <v>0</v>
      </c>
      <c r="N4896" s="3565">
        <v>0</v>
      </c>
      <c r="O4896" s="3563" t="s">
        <v>3453</v>
      </c>
    </row>
    <row r="4897" spans="1:15">
      <c r="A4897" s="3563" t="s">
        <v>9121</v>
      </c>
      <c r="B4897" s="3563" t="s">
        <v>4196</v>
      </c>
      <c r="C4897" s="3563" t="s">
        <v>4197</v>
      </c>
      <c r="D4897" s="3563" t="s">
        <v>6429</v>
      </c>
      <c r="E4897" s="3563" t="s">
        <v>9050</v>
      </c>
      <c r="F4897" s="3563" t="s">
        <v>4797</v>
      </c>
      <c r="G4897" s="3564">
        <v>109.37</v>
      </c>
      <c r="H4897" s="3564">
        <v>88.44</v>
      </c>
      <c r="I4897" s="3564">
        <v>20.93</v>
      </c>
      <c r="J4897" s="3565">
        <v>1123428</v>
      </c>
      <c r="K4897" s="3565">
        <v>10271.81</v>
      </c>
      <c r="L4897" s="3565">
        <v>12702.71</v>
      </c>
      <c r="M4897" s="3565">
        <v>0</v>
      </c>
      <c r="N4897" s="3565">
        <v>0</v>
      </c>
      <c r="O4897" s="3563" t="s">
        <v>3453</v>
      </c>
    </row>
    <row r="4898" spans="1:15">
      <c r="A4898" s="3563" t="s">
        <v>9122</v>
      </c>
      <c r="B4898" s="3563" t="s">
        <v>4196</v>
      </c>
      <c r="C4898" s="3563" t="s">
        <v>4197</v>
      </c>
      <c r="D4898" s="3563" t="s">
        <v>6429</v>
      </c>
      <c r="E4898" s="3563" t="s">
        <v>9050</v>
      </c>
      <c r="F4898" s="3563" t="s">
        <v>4797</v>
      </c>
      <c r="G4898" s="3564">
        <v>100.94</v>
      </c>
      <c r="H4898" s="3564">
        <v>81.62</v>
      </c>
      <c r="I4898" s="3564">
        <v>19.32</v>
      </c>
      <c r="J4898" s="3565">
        <v>1047575</v>
      </c>
      <c r="K4898" s="3565">
        <v>10378.19</v>
      </c>
      <c r="L4898" s="3565">
        <v>12834.78</v>
      </c>
      <c r="M4898" s="3565">
        <v>0</v>
      </c>
      <c r="N4898" s="3565">
        <v>0</v>
      </c>
      <c r="O4898" s="3563" t="s">
        <v>3453</v>
      </c>
    </row>
    <row r="4899" spans="1:15">
      <c r="A4899" s="3563" t="s">
        <v>9123</v>
      </c>
      <c r="B4899" s="3563" t="s">
        <v>4196</v>
      </c>
      <c r="C4899" s="3563" t="s">
        <v>4197</v>
      </c>
      <c r="D4899" s="3563" t="s">
        <v>6429</v>
      </c>
      <c r="E4899" s="3563" t="s">
        <v>9050</v>
      </c>
      <c r="F4899" s="3563" t="s">
        <v>4797</v>
      </c>
      <c r="G4899" s="3564">
        <v>100.94</v>
      </c>
      <c r="H4899" s="3564">
        <v>81.62</v>
      </c>
      <c r="I4899" s="3564">
        <v>19.32</v>
      </c>
      <c r="J4899" s="3565">
        <v>1079790</v>
      </c>
      <c r="K4899" s="3565">
        <v>10697.34</v>
      </c>
      <c r="L4899" s="3565">
        <v>13229.48</v>
      </c>
      <c r="M4899" s="3565">
        <v>0</v>
      </c>
      <c r="N4899" s="3565">
        <v>0</v>
      </c>
      <c r="O4899" s="3563" t="s">
        <v>3453</v>
      </c>
    </row>
    <row r="4900" spans="1:15">
      <c r="A4900" s="3563" t="s">
        <v>9124</v>
      </c>
      <c r="B4900" s="3563" t="s">
        <v>4196</v>
      </c>
      <c r="C4900" s="3563" t="s">
        <v>4197</v>
      </c>
      <c r="D4900" s="3563" t="s">
        <v>6429</v>
      </c>
      <c r="E4900" s="3563" t="s">
        <v>9050</v>
      </c>
      <c r="F4900" s="3563" t="s">
        <v>4797</v>
      </c>
      <c r="G4900" s="3564">
        <v>123.71</v>
      </c>
      <c r="H4900" s="3564">
        <v>100.03</v>
      </c>
      <c r="I4900" s="3564">
        <v>23.68</v>
      </c>
      <c r="J4900" s="3565">
        <v>1277306</v>
      </c>
      <c r="K4900" s="3565">
        <v>10325</v>
      </c>
      <c r="L4900" s="3565">
        <v>12769.23</v>
      </c>
      <c r="M4900" s="3565">
        <v>0</v>
      </c>
      <c r="N4900" s="3565">
        <v>0</v>
      </c>
      <c r="O4900" s="3563" t="s">
        <v>3453</v>
      </c>
    </row>
    <row r="4901" spans="1:15">
      <c r="A4901" s="3563" t="s">
        <v>9125</v>
      </c>
      <c r="B4901" s="3563" t="s">
        <v>4196</v>
      </c>
      <c r="C4901" s="3563" t="s">
        <v>4197</v>
      </c>
      <c r="D4901" s="3563" t="s">
        <v>6429</v>
      </c>
      <c r="E4901" s="3563" t="s">
        <v>9050</v>
      </c>
      <c r="F4901" s="3563" t="s">
        <v>4797</v>
      </c>
      <c r="G4901" s="3564">
        <v>100.94</v>
      </c>
      <c r="H4901" s="3564">
        <v>81.62</v>
      </c>
      <c r="I4901" s="3564">
        <v>19.32</v>
      </c>
      <c r="J4901" s="3565">
        <v>1073347</v>
      </c>
      <c r="K4901" s="3565">
        <v>10633.51</v>
      </c>
      <c r="L4901" s="3565">
        <v>13150.54</v>
      </c>
      <c r="M4901" s="3565">
        <v>0</v>
      </c>
      <c r="N4901" s="3565">
        <v>0</v>
      </c>
      <c r="O4901" s="3563" t="s">
        <v>3453</v>
      </c>
    </row>
    <row r="4902" spans="1:15">
      <c r="A4902" s="3563" t="s">
        <v>9126</v>
      </c>
      <c r="B4902" s="3563" t="s">
        <v>4196</v>
      </c>
      <c r="C4902" s="3563" t="s">
        <v>4197</v>
      </c>
      <c r="D4902" s="3563" t="s">
        <v>6429</v>
      </c>
      <c r="E4902" s="3563" t="s">
        <v>9050</v>
      </c>
      <c r="F4902" s="3563" t="s">
        <v>4797</v>
      </c>
      <c r="G4902" s="3564">
        <v>100.94</v>
      </c>
      <c r="H4902" s="3564">
        <v>81.62</v>
      </c>
      <c r="I4902" s="3564">
        <v>19.32</v>
      </c>
      <c r="J4902" s="3565">
        <v>1073347</v>
      </c>
      <c r="K4902" s="3565">
        <v>10633.51</v>
      </c>
      <c r="L4902" s="3565">
        <v>13150.54</v>
      </c>
      <c r="M4902" s="3565">
        <v>0</v>
      </c>
      <c r="N4902" s="3565">
        <v>0</v>
      </c>
      <c r="O4902" s="3563" t="s">
        <v>3453</v>
      </c>
    </row>
    <row r="4903" spans="1:15">
      <c r="A4903" s="3563" t="s">
        <v>9127</v>
      </c>
      <c r="B4903" s="3563" t="s">
        <v>4196</v>
      </c>
      <c r="C4903" s="3563" t="s">
        <v>4197</v>
      </c>
      <c r="D4903" s="3563" t="s">
        <v>6429</v>
      </c>
      <c r="E4903" s="3563" t="s">
        <v>9050</v>
      </c>
      <c r="F4903" s="3563" t="s">
        <v>4797</v>
      </c>
      <c r="G4903" s="3564">
        <v>109.37</v>
      </c>
      <c r="H4903" s="3564">
        <v>88.44</v>
      </c>
      <c r="I4903" s="3564">
        <v>20.93</v>
      </c>
      <c r="J4903" s="3565">
        <v>1145535</v>
      </c>
      <c r="K4903" s="3565">
        <v>10473.94</v>
      </c>
      <c r="L4903" s="3565">
        <v>12952.68</v>
      </c>
      <c r="M4903" s="3565">
        <v>0</v>
      </c>
      <c r="N4903" s="3565">
        <v>0</v>
      </c>
      <c r="O4903" s="3563" t="s">
        <v>3453</v>
      </c>
    </row>
    <row r="4904" spans="1:15">
      <c r="A4904" s="3563" t="s">
        <v>9128</v>
      </c>
      <c r="B4904" s="3563" t="s">
        <v>4196</v>
      </c>
      <c r="C4904" s="3563" t="s">
        <v>4197</v>
      </c>
      <c r="D4904" s="3563" t="s">
        <v>6429</v>
      </c>
      <c r="E4904" s="3563" t="s">
        <v>9050</v>
      </c>
      <c r="F4904" s="3563" t="s">
        <v>4797</v>
      </c>
      <c r="G4904" s="3564">
        <v>100.94</v>
      </c>
      <c r="H4904" s="3564">
        <v>81.62</v>
      </c>
      <c r="I4904" s="3564">
        <v>19.32</v>
      </c>
      <c r="J4904" s="3565">
        <v>1067978</v>
      </c>
      <c r="K4904" s="3565">
        <v>10580.32</v>
      </c>
      <c r="L4904" s="3565">
        <v>13084.76</v>
      </c>
      <c r="M4904" s="3565">
        <v>0</v>
      </c>
      <c r="N4904" s="3565">
        <v>0</v>
      </c>
      <c r="O4904" s="3563" t="s">
        <v>3453</v>
      </c>
    </row>
    <row r="4905" spans="1:15">
      <c r="A4905" s="3563" t="s">
        <v>9129</v>
      </c>
      <c r="B4905" s="3563" t="s">
        <v>4196</v>
      </c>
      <c r="C4905" s="3563" t="s">
        <v>4197</v>
      </c>
      <c r="D4905" s="3563" t="s">
        <v>6429</v>
      </c>
      <c r="E4905" s="3563" t="s">
        <v>9050</v>
      </c>
      <c r="F4905" s="3563" t="s">
        <v>4797</v>
      </c>
      <c r="G4905" s="3564">
        <v>100.94</v>
      </c>
      <c r="H4905" s="3564">
        <v>81.62</v>
      </c>
      <c r="I4905" s="3564">
        <v>19.32</v>
      </c>
      <c r="J4905" s="3565">
        <v>1078716</v>
      </c>
      <c r="K4905" s="3565">
        <v>10686.7</v>
      </c>
      <c r="L4905" s="3565">
        <v>13216.32</v>
      </c>
      <c r="M4905" s="3565">
        <v>0</v>
      </c>
      <c r="N4905" s="3565">
        <v>0</v>
      </c>
      <c r="O4905" s="3563" t="s">
        <v>3453</v>
      </c>
    </row>
    <row r="4906" spans="1:15">
      <c r="A4906" s="3563" t="s">
        <v>9130</v>
      </c>
      <c r="B4906" s="3563" t="s">
        <v>4196</v>
      </c>
      <c r="C4906" s="3563" t="s">
        <v>4197</v>
      </c>
      <c r="D4906" s="3563" t="s">
        <v>6429</v>
      </c>
      <c r="E4906" s="3563" t="s">
        <v>9050</v>
      </c>
      <c r="F4906" s="3563" t="s">
        <v>4797</v>
      </c>
      <c r="G4906" s="3564">
        <v>123.71</v>
      </c>
      <c r="H4906" s="3564">
        <v>100.03</v>
      </c>
      <c r="I4906" s="3564">
        <v>23.68</v>
      </c>
      <c r="J4906" s="3565">
        <v>1275990</v>
      </c>
      <c r="K4906" s="3565">
        <v>10314.36</v>
      </c>
      <c r="L4906" s="3565">
        <v>12756.07</v>
      </c>
      <c r="M4906" s="3565">
        <v>0</v>
      </c>
      <c r="N4906" s="3565">
        <v>0</v>
      </c>
      <c r="O4906" s="3563" t="s">
        <v>3453</v>
      </c>
    </row>
    <row r="4907" spans="1:15">
      <c r="A4907" s="3563" t="s">
        <v>9131</v>
      </c>
      <c r="B4907" s="3563" t="s">
        <v>4196</v>
      </c>
      <c r="C4907" s="3563" t="s">
        <v>4197</v>
      </c>
      <c r="D4907" s="3563" t="s">
        <v>6429</v>
      </c>
      <c r="E4907" s="3563" t="s">
        <v>9050</v>
      </c>
      <c r="F4907" s="3563" t="s">
        <v>4797</v>
      </c>
      <c r="G4907" s="3564">
        <v>100.94</v>
      </c>
      <c r="H4907" s="3564">
        <v>81.62</v>
      </c>
      <c r="I4907" s="3564">
        <v>19.32</v>
      </c>
      <c r="J4907" s="3565">
        <v>1072273</v>
      </c>
      <c r="K4907" s="3565">
        <v>10622.87</v>
      </c>
      <c r="L4907" s="3565">
        <v>13137.38</v>
      </c>
      <c r="M4907" s="3565">
        <v>0</v>
      </c>
      <c r="N4907" s="3565">
        <v>0</v>
      </c>
      <c r="O4907" s="3563" t="s">
        <v>3453</v>
      </c>
    </row>
    <row r="4908" spans="1:15">
      <c r="A4908" s="3563" t="s">
        <v>9132</v>
      </c>
      <c r="B4908" s="3563" t="s">
        <v>4196</v>
      </c>
      <c r="C4908" s="3563" t="s">
        <v>4197</v>
      </c>
      <c r="D4908" s="3563" t="s">
        <v>6429</v>
      </c>
      <c r="E4908" s="3563" t="s">
        <v>9050</v>
      </c>
      <c r="F4908" s="3563" t="s">
        <v>4797</v>
      </c>
      <c r="G4908" s="3564">
        <v>100.94</v>
      </c>
      <c r="H4908" s="3564">
        <v>81.62</v>
      </c>
      <c r="I4908" s="3564">
        <v>19.32</v>
      </c>
      <c r="J4908" s="3565">
        <v>1072273</v>
      </c>
      <c r="K4908" s="3565">
        <v>10622.87</v>
      </c>
      <c r="L4908" s="3565">
        <v>13137.38</v>
      </c>
      <c r="M4908" s="3565">
        <v>0</v>
      </c>
      <c r="N4908" s="3565">
        <v>0</v>
      </c>
      <c r="O4908" s="3563" t="s">
        <v>3453</v>
      </c>
    </row>
    <row r="4909" spans="1:15">
      <c r="A4909" s="3563" t="s">
        <v>9133</v>
      </c>
      <c r="B4909" s="3563" t="s">
        <v>4196</v>
      </c>
      <c r="C4909" s="3563" t="s">
        <v>4197</v>
      </c>
      <c r="D4909" s="3563" t="s">
        <v>6429</v>
      </c>
      <c r="E4909" s="3563" t="s">
        <v>9050</v>
      </c>
      <c r="F4909" s="3563" t="s">
        <v>4797</v>
      </c>
      <c r="G4909" s="3564">
        <v>109.37</v>
      </c>
      <c r="H4909" s="3564">
        <v>88.44</v>
      </c>
      <c r="I4909" s="3564">
        <v>20.93</v>
      </c>
      <c r="J4909" s="3565">
        <v>1144372</v>
      </c>
      <c r="K4909" s="3565">
        <v>10463.31</v>
      </c>
      <c r="L4909" s="3565">
        <v>12939.53</v>
      </c>
      <c r="M4909" s="3565">
        <v>0</v>
      </c>
      <c r="N4909" s="3565">
        <v>0</v>
      </c>
      <c r="O4909" s="3563" t="s">
        <v>3453</v>
      </c>
    </row>
    <row r="4910" spans="1:15">
      <c r="A4910" s="3563" t="s">
        <v>9134</v>
      </c>
      <c r="B4910" s="3563" t="s">
        <v>4196</v>
      </c>
      <c r="C4910" s="3563" t="s">
        <v>4197</v>
      </c>
      <c r="D4910" s="3563" t="s">
        <v>6429</v>
      </c>
      <c r="E4910" s="3563" t="s">
        <v>9050</v>
      </c>
      <c r="F4910" s="3563" t="s">
        <v>4797</v>
      </c>
      <c r="G4910" s="3564">
        <v>100.94</v>
      </c>
      <c r="H4910" s="3564">
        <v>81.62</v>
      </c>
      <c r="I4910" s="3564">
        <v>19.32</v>
      </c>
      <c r="J4910" s="3565">
        <v>1066904</v>
      </c>
      <c r="K4910" s="3565">
        <v>10569.68</v>
      </c>
      <c r="L4910" s="3565">
        <v>13071.6</v>
      </c>
      <c r="M4910" s="3565">
        <v>0</v>
      </c>
      <c r="N4910" s="3565">
        <v>0</v>
      </c>
      <c r="O4910" s="3563" t="s">
        <v>3453</v>
      </c>
    </row>
    <row r="4911" spans="1:15">
      <c r="A4911" s="3563" t="s">
        <v>9135</v>
      </c>
      <c r="B4911" s="3563" t="s">
        <v>4196</v>
      </c>
      <c r="C4911" s="3563" t="s">
        <v>4197</v>
      </c>
      <c r="D4911" s="3563" t="s">
        <v>6429</v>
      </c>
      <c r="E4911" s="3563" t="s">
        <v>9050</v>
      </c>
      <c r="F4911" s="3563" t="s">
        <v>4797</v>
      </c>
      <c r="G4911" s="3564">
        <v>100.94</v>
      </c>
      <c r="H4911" s="3564">
        <v>81.62</v>
      </c>
      <c r="I4911" s="3564">
        <v>19.32</v>
      </c>
      <c r="J4911" s="3565">
        <v>1077642</v>
      </c>
      <c r="K4911" s="3565">
        <v>10676.06</v>
      </c>
      <c r="L4911" s="3565">
        <v>13203.16</v>
      </c>
      <c r="M4911" s="3565">
        <v>0</v>
      </c>
      <c r="N4911" s="3565">
        <v>0</v>
      </c>
      <c r="O4911" s="3563" t="s">
        <v>3453</v>
      </c>
    </row>
    <row r="4912" spans="1:15">
      <c r="A4912" s="3563" t="s">
        <v>9136</v>
      </c>
      <c r="B4912" s="3563" t="s">
        <v>4196</v>
      </c>
      <c r="C4912" s="3563" t="s">
        <v>4197</v>
      </c>
      <c r="D4912" s="3563" t="s">
        <v>6429</v>
      </c>
      <c r="E4912" s="3563" t="s">
        <v>9050</v>
      </c>
      <c r="F4912" s="3563" t="s">
        <v>4797</v>
      </c>
      <c r="G4912" s="3564">
        <v>123.71</v>
      </c>
      <c r="H4912" s="3564">
        <v>100.03</v>
      </c>
      <c r="I4912" s="3564">
        <v>23.68</v>
      </c>
      <c r="J4912" s="3565">
        <v>1274674</v>
      </c>
      <c r="K4912" s="3565">
        <v>10303.73</v>
      </c>
      <c r="L4912" s="3565">
        <v>12742.92</v>
      </c>
      <c r="M4912" s="3565">
        <v>0</v>
      </c>
      <c r="N4912" s="3565">
        <v>0</v>
      </c>
      <c r="O4912" s="3563" t="s">
        <v>3453</v>
      </c>
    </row>
    <row r="4913" spans="1:15">
      <c r="A4913" s="3563" t="s">
        <v>9137</v>
      </c>
      <c r="B4913" s="3563" t="s">
        <v>4196</v>
      </c>
      <c r="C4913" s="3563" t="s">
        <v>4197</v>
      </c>
      <c r="D4913" s="3563" t="s">
        <v>6429</v>
      </c>
      <c r="E4913" s="3563" t="s">
        <v>9050</v>
      </c>
      <c r="F4913" s="3563" t="s">
        <v>4797</v>
      </c>
      <c r="G4913" s="3564">
        <v>100.94</v>
      </c>
      <c r="H4913" s="3564">
        <v>81.62</v>
      </c>
      <c r="I4913" s="3564">
        <v>19.32</v>
      </c>
      <c r="J4913" s="3565">
        <v>1071199</v>
      </c>
      <c r="K4913" s="3565">
        <v>10612.23</v>
      </c>
      <c r="L4913" s="3565">
        <v>13124.22</v>
      </c>
      <c r="M4913" s="3565">
        <v>0</v>
      </c>
      <c r="N4913" s="3565">
        <v>0</v>
      </c>
      <c r="O4913" s="3563" t="s">
        <v>3453</v>
      </c>
    </row>
    <row r="4914" spans="1:15">
      <c r="A4914" s="3563" t="s">
        <v>9138</v>
      </c>
      <c r="B4914" s="3563" t="s">
        <v>4196</v>
      </c>
      <c r="C4914" s="3563" t="s">
        <v>4197</v>
      </c>
      <c r="D4914" s="3563" t="s">
        <v>6429</v>
      </c>
      <c r="E4914" s="3563" t="s">
        <v>9050</v>
      </c>
      <c r="F4914" s="3563" t="s">
        <v>4797</v>
      </c>
      <c r="G4914" s="3564">
        <v>100.94</v>
      </c>
      <c r="H4914" s="3564">
        <v>81.62</v>
      </c>
      <c r="I4914" s="3564">
        <v>19.32</v>
      </c>
      <c r="J4914" s="3565">
        <v>1071199</v>
      </c>
      <c r="K4914" s="3565">
        <v>10612.23</v>
      </c>
      <c r="L4914" s="3565">
        <v>13124.22</v>
      </c>
      <c r="M4914" s="3565">
        <v>0</v>
      </c>
      <c r="N4914" s="3565">
        <v>0</v>
      </c>
      <c r="O4914" s="3563" t="s">
        <v>3453</v>
      </c>
    </row>
    <row r="4915" spans="1:15">
      <c r="A4915" s="3563" t="s">
        <v>9139</v>
      </c>
      <c r="B4915" s="3563" t="s">
        <v>4196</v>
      </c>
      <c r="C4915" s="3563" t="s">
        <v>4197</v>
      </c>
      <c r="D4915" s="3563" t="s">
        <v>6429</v>
      </c>
      <c r="E4915" s="3563" t="s">
        <v>9050</v>
      </c>
      <c r="F4915" s="3563" t="s">
        <v>4797</v>
      </c>
      <c r="G4915" s="3564">
        <v>109.37</v>
      </c>
      <c r="H4915" s="3564">
        <v>88.44</v>
      </c>
      <c r="I4915" s="3564">
        <v>20.93</v>
      </c>
      <c r="J4915" s="3565">
        <v>1143208</v>
      </c>
      <c r="K4915" s="3565">
        <v>10452.67</v>
      </c>
      <c r="L4915" s="3565">
        <v>12926.37</v>
      </c>
      <c r="M4915" s="3565">
        <v>0</v>
      </c>
      <c r="N4915" s="3565">
        <v>0</v>
      </c>
      <c r="O4915" s="3563" t="s">
        <v>3453</v>
      </c>
    </row>
    <row r="4916" spans="1:15">
      <c r="A4916" s="3563" t="s">
        <v>9140</v>
      </c>
      <c r="B4916" s="3563" t="s">
        <v>4196</v>
      </c>
      <c r="C4916" s="3563" t="s">
        <v>4197</v>
      </c>
      <c r="D4916" s="3563" t="s">
        <v>6429</v>
      </c>
      <c r="E4916" s="3563" t="s">
        <v>9050</v>
      </c>
      <c r="F4916" s="3563" t="s">
        <v>4797</v>
      </c>
      <c r="G4916" s="3564">
        <v>100.94</v>
      </c>
      <c r="H4916" s="3564">
        <v>81.62</v>
      </c>
      <c r="I4916" s="3564">
        <v>19.32</v>
      </c>
      <c r="J4916" s="3565">
        <v>1065830</v>
      </c>
      <c r="K4916" s="3565">
        <v>10559.04</v>
      </c>
      <c r="L4916" s="3565">
        <v>13058.44</v>
      </c>
      <c r="M4916" s="3565">
        <v>0</v>
      </c>
      <c r="N4916" s="3565">
        <v>0</v>
      </c>
      <c r="O4916" s="3563" t="s">
        <v>3453</v>
      </c>
    </row>
    <row r="4917" spans="1:15">
      <c r="A4917" s="3563" t="s">
        <v>9141</v>
      </c>
      <c r="B4917" s="3563" t="s">
        <v>4196</v>
      </c>
      <c r="C4917" s="3563" t="s">
        <v>4197</v>
      </c>
      <c r="D4917" s="3563" t="s">
        <v>6429</v>
      </c>
      <c r="E4917" s="3563" t="s">
        <v>9050</v>
      </c>
      <c r="F4917" s="3563" t="s">
        <v>4797</v>
      </c>
      <c r="G4917" s="3564">
        <v>100.94</v>
      </c>
      <c r="H4917" s="3564">
        <v>81.62</v>
      </c>
      <c r="I4917" s="3564">
        <v>19.32</v>
      </c>
      <c r="J4917" s="3565">
        <v>1076569</v>
      </c>
      <c r="K4917" s="3565">
        <v>10665.43</v>
      </c>
      <c r="L4917" s="3565">
        <v>13190.01</v>
      </c>
      <c r="M4917" s="3565">
        <v>0</v>
      </c>
      <c r="N4917" s="3565">
        <v>0</v>
      </c>
      <c r="O4917" s="3563" t="s">
        <v>3453</v>
      </c>
    </row>
    <row r="4918" spans="1:15">
      <c r="A4918" s="3563" t="s">
        <v>9142</v>
      </c>
      <c r="B4918" s="3563" t="s">
        <v>4196</v>
      </c>
      <c r="C4918" s="3563" t="s">
        <v>4197</v>
      </c>
      <c r="D4918" s="3563" t="s">
        <v>6429</v>
      </c>
      <c r="E4918" s="3563" t="s">
        <v>9050</v>
      </c>
      <c r="F4918" s="3563" t="s">
        <v>4797</v>
      </c>
      <c r="G4918" s="3564">
        <v>123.71</v>
      </c>
      <c r="H4918" s="3564">
        <v>100.03</v>
      </c>
      <c r="I4918" s="3564">
        <v>23.68</v>
      </c>
      <c r="J4918" s="3565">
        <v>1273358</v>
      </c>
      <c r="K4918" s="3565">
        <v>10293.09</v>
      </c>
      <c r="L4918" s="3565">
        <v>12729.76</v>
      </c>
      <c r="M4918" s="3565">
        <v>0</v>
      </c>
      <c r="N4918" s="3565">
        <v>0</v>
      </c>
      <c r="O4918" s="3563" t="s">
        <v>3453</v>
      </c>
    </row>
    <row r="4919" spans="1:15">
      <c r="A4919" s="3563" t="s">
        <v>9143</v>
      </c>
      <c r="B4919" s="3563" t="s">
        <v>4196</v>
      </c>
      <c r="C4919" s="3563" t="s">
        <v>4197</v>
      </c>
      <c r="D4919" s="3563" t="s">
        <v>6429</v>
      </c>
      <c r="E4919" s="3563" t="s">
        <v>9050</v>
      </c>
      <c r="F4919" s="3563" t="s">
        <v>4797</v>
      </c>
      <c r="G4919" s="3564">
        <v>100.94</v>
      </c>
      <c r="H4919" s="3564">
        <v>81.62</v>
      </c>
      <c r="I4919" s="3564">
        <v>19.32</v>
      </c>
      <c r="J4919" s="3565">
        <v>1070126</v>
      </c>
      <c r="K4919" s="3565">
        <v>10601.6</v>
      </c>
      <c r="L4919" s="3565">
        <v>13111.08</v>
      </c>
      <c r="M4919" s="3565">
        <v>0</v>
      </c>
      <c r="N4919" s="3565">
        <v>0</v>
      </c>
      <c r="O4919" s="3563" t="s">
        <v>3453</v>
      </c>
    </row>
    <row r="4920" spans="1:15">
      <c r="A4920" s="3563" t="s">
        <v>9144</v>
      </c>
      <c r="B4920" s="3563" t="s">
        <v>4196</v>
      </c>
      <c r="C4920" s="3563" t="s">
        <v>4197</v>
      </c>
      <c r="D4920" s="3563" t="s">
        <v>6429</v>
      </c>
      <c r="E4920" s="3563" t="s">
        <v>9050</v>
      </c>
      <c r="F4920" s="3563" t="s">
        <v>4797</v>
      </c>
      <c r="G4920" s="3564">
        <v>100.94</v>
      </c>
      <c r="H4920" s="3564">
        <v>81.62</v>
      </c>
      <c r="I4920" s="3564">
        <v>19.32</v>
      </c>
      <c r="J4920" s="3565">
        <v>1070126</v>
      </c>
      <c r="K4920" s="3565">
        <v>10601.6</v>
      </c>
      <c r="L4920" s="3565">
        <v>13111.08</v>
      </c>
      <c r="M4920" s="3565">
        <v>0</v>
      </c>
      <c r="N4920" s="3565">
        <v>0</v>
      </c>
      <c r="O4920" s="3563" t="s">
        <v>3453</v>
      </c>
    </row>
    <row r="4921" spans="1:15">
      <c r="A4921" s="3563" t="s">
        <v>9145</v>
      </c>
      <c r="B4921" s="3563" t="s">
        <v>4196</v>
      </c>
      <c r="C4921" s="3563" t="s">
        <v>4197</v>
      </c>
      <c r="D4921" s="3563" t="s">
        <v>6429</v>
      </c>
      <c r="E4921" s="3563" t="s">
        <v>9050</v>
      </c>
      <c r="F4921" s="3563" t="s">
        <v>4797</v>
      </c>
      <c r="G4921" s="3564">
        <v>109.37</v>
      </c>
      <c r="H4921" s="3564">
        <v>88.44</v>
      </c>
      <c r="I4921" s="3564">
        <v>20.93</v>
      </c>
      <c r="J4921" s="3565">
        <v>1142044</v>
      </c>
      <c r="K4921" s="3565">
        <v>10442.02</v>
      </c>
      <c r="L4921" s="3565">
        <v>12913.21</v>
      </c>
      <c r="M4921" s="3565">
        <v>0</v>
      </c>
      <c r="N4921" s="3565">
        <v>0</v>
      </c>
      <c r="O4921" s="3563" t="s">
        <v>3453</v>
      </c>
    </row>
    <row r="4922" spans="1:15">
      <c r="A4922" s="3563" t="s">
        <v>9146</v>
      </c>
      <c r="B4922" s="3563" t="s">
        <v>4196</v>
      </c>
      <c r="C4922" s="3563" t="s">
        <v>4197</v>
      </c>
      <c r="D4922" s="3563" t="s">
        <v>6429</v>
      </c>
      <c r="E4922" s="3563" t="s">
        <v>9050</v>
      </c>
      <c r="F4922" s="3563" t="s">
        <v>4797</v>
      </c>
      <c r="G4922" s="3564">
        <v>100.94</v>
      </c>
      <c r="H4922" s="3564">
        <v>81.62</v>
      </c>
      <c r="I4922" s="3564">
        <v>19.32</v>
      </c>
      <c r="J4922" s="3565">
        <v>1064757</v>
      </c>
      <c r="K4922" s="3565">
        <v>10548.41</v>
      </c>
      <c r="L4922" s="3565">
        <v>13045.3</v>
      </c>
      <c r="M4922" s="3565">
        <v>0</v>
      </c>
      <c r="N4922" s="3565">
        <v>0</v>
      </c>
      <c r="O4922" s="3563" t="s">
        <v>3453</v>
      </c>
    </row>
    <row r="4923" spans="1:15">
      <c r="A4923" s="3563" t="s">
        <v>9147</v>
      </c>
      <c r="B4923" s="3563" t="s">
        <v>4196</v>
      </c>
      <c r="C4923" s="3563" t="s">
        <v>4197</v>
      </c>
      <c r="D4923" s="3563" t="s">
        <v>6429</v>
      </c>
      <c r="E4923" s="3563" t="s">
        <v>9050</v>
      </c>
      <c r="F4923" s="3563" t="s">
        <v>4797</v>
      </c>
      <c r="G4923" s="3564">
        <v>100.94</v>
      </c>
      <c r="H4923" s="3564">
        <v>81.62</v>
      </c>
      <c r="I4923" s="3564">
        <v>19.32</v>
      </c>
      <c r="J4923" s="3565">
        <v>1075495</v>
      </c>
      <c r="K4923" s="3565">
        <v>10654.79</v>
      </c>
      <c r="L4923" s="3565">
        <v>13176.86</v>
      </c>
      <c r="M4923" s="3565">
        <v>0</v>
      </c>
      <c r="N4923" s="3565">
        <v>0</v>
      </c>
      <c r="O4923" s="3563" t="s">
        <v>3453</v>
      </c>
    </row>
    <row r="4924" spans="1:15">
      <c r="A4924" s="3563" t="s">
        <v>9148</v>
      </c>
      <c r="B4924" s="3563" t="s">
        <v>4196</v>
      </c>
      <c r="C4924" s="3563" t="s">
        <v>4197</v>
      </c>
      <c r="D4924" s="3563" t="s">
        <v>6429</v>
      </c>
      <c r="E4924" s="3563" t="s">
        <v>9050</v>
      </c>
      <c r="F4924" s="3563" t="s">
        <v>4797</v>
      </c>
      <c r="G4924" s="3564">
        <v>123.71</v>
      </c>
      <c r="H4924" s="3564">
        <v>100.03</v>
      </c>
      <c r="I4924" s="3564">
        <v>23.68</v>
      </c>
      <c r="J4924" s="3565">
        <v>1272042</v>
      </c>
      <c r="K4924" s="3565">
        <v>10282.450000000001</v>
      </c>
      <c r="L4924" s="3565">
        <v>12716.61</v>
      </c>
      <c r="M4924" s="3565">
        <v>0</v>
      </c>
      <c r="N4924" s="3565">
        <v>0</v>
      </c>
      <c r="O4924" s="3563" t="s">
        <v>3453</v>
      </c>
    </row>
    <row r="4925" spans="1:15">
      <c r="A4925" s="3563" t="s">
        <v>9149</v>
      </c>
      <c r="B4925" s="3563" t="s">
        <v>4196</v>
      </c>
      <c r="C4925" s="3563" t="s">
        <v>4197</v>
      </c>
      <c r="D4925" s="3563" t="s">
        <v>6429</v>
      </c>
      <c r="E4925" s="3563" t="s">
        <v>9050</v>
      </c>
      <c r="F4925" s="3563" t="s">
        <v>4797</v>
      </c>
      <c r="G4925" s="3564">
        <v>100.94</v>
      </c>
      <c r="H4925" s="3564">
        <v>81.62</v>
      </c>
      <c r="I4925" s="3564">
        <v>19.32</v>
      </c>
      <c r="J4925" s="3565">
        <v>1069052</v>
      </c>
      <c r="K4925" s="3565">
        <v>10590.96</v>
      </c>
      <c r="L4925" s="3565">
        <v>13097.92</v>
      </c>
      <c r="M4925" s="3565">
        <v>0</v>
      </c>
      <c r="N4925" s="3565">
        <v>0</v>
      </c>
      <c r="O4925" s="3563" t="s">
        <v>3453</v>
      </c>
    </row>
    <row r="4926" spans="1:15">
      <c r="A4926" s="3563" t="s">
        <v>9150</v>
      </c>
      <c r="B4926" s="3563" t="s">
        <v>4196</v>
      </c>
      <c r="C4926" s="3563" t="s">
        <v>4197</v>
      </c>
      <c r="D4926" s="3563" t="s">
        <v>6429</v>
      </c>
      <c r="E4926" s="3563" t="s">
        <v>9050</v>
      </c>
      <c r="F4926" s="3563" t="s">
        <v>4797</v>
      </c>
      <c r="G4926" s="3564">
        <v>100.94</v>
      </c>
      <c r="H4926" s="3564">
        <v>81.62</v>
      </c>
      <c r="I4926" s="3564">
        <v>19.32</v>
      </c>
      <c r="J4926" s="3565">
        <v>1069052</v>
      </c>
      <c r="K4926" s="3565">
        <v>10590.96</v>
      </c>
      <c r="L4926" s="3565">
        <v>13097.92</v>
      </c>
      <c r="M4926" s="3565">
        <v>0</v>
      </c>
      <c r="N4926" s="3565">
        <v>0</v>
      </c>
      <c r="O4926" s="3563" t="s">
        <v>3453</v>
      </c>
    </row>
    <row r="4927" spans="1:15">
      <c r="A4927" s="3563" t="s">
        <v>9151</v>
      </c>
      <c r="B4927" s="3563" t="s">
        <v>4196</v>
      </c>
      <c r="C4927" s="3563" t="s">
        <v>4197</v>
      </c>
      <c r="D4927" s="3563" t="s">
        <v>6429</v>
      </c>
      <c r="E4927" s="3563" t="s">
        <v>9050</v>
      </c>
      <c r="F4927" s="3563" t="s">
        <v>4797</v>
      </c>
      <c r="G4927" s="3564">
        <v>109.37</v>
      </c>
      <c r="H4927" s="3564">
        <v>88.44</v>
      </c>
      <c r="I4927" s="3564">
        <v>20.93</v>
      </c>
      <c r="J4927" s="3565">
        <v>1140881</v>
      </c>
      <c r="K4927" s="3565">
        <v>10431.39</v>
      </c>
      <c r="L4927" s="3565">
        <v>12900.06</v>
      </c>
      <c r="M4927" s="3565">
        <v>0</v>
      </c>
      <c r="N4927" s="3565">
        <v>0</v>
      </c>
      <c r="O4927" s="3563" t="s">
        <v>3453</v>
      </c>
    </row>
    <row r="4928" spans="1:15">
      <c r="A4928" s="3563" t="s">
        <v>9152</v>
      </c>
      <c r="B4928" s="3563" t="s">
        <v>4196</v>
      </c>
      <c r="C4928" s="3563" t="s">
        <v>4197</v>
      </c>
      <c r="D4928" s="3563" t="s">
        <v>6429</v>
      </c>
      <c r="E4928" s="3563" t="s">
        <v>9050</v>
      </c>
      <c r="F4928" s="3563" t="s">
        <v>4797</v>
      </c>
      <c r="G4928" s="3564">
        <v>100.94</v>
      </c>
      <c r="H4928" s="3564">
        <v>81.62</v>
      </c>
      <c r="I4928" s="3564">
        <v>19.32</v>
      </c>
      <c r="J4928" s="3565">
        <v>1063682</v>
      </c>
      <c r="K4928" s="3565">
        <v>10537.77</v>
      </c>
      <c r="L4928" s="3565">
        <v>13032.12</v>
      </c>
      <c r="M4928" s="3565">
        <v>0</v>
      </c>
      <c r="N4928" s="3565">
        <v>0</v>
      </c>
      <c r="O4928" s="3563" t="s">
        <v>3453</v>
      </c>
    </row>
    <row r="4929" spans="1:15">
      <c r="A4929" s="3563" t="s">
        <v>9153</v>
      </c>
      <c r="B4929" s="3563" t="s">
        <v>4196</v>
      </c>
      <c r="C4929" s="3563" t="s">
        <v>4197</v>
      </c>
      <c r="D4929" s="3563" t="s">
        <v>6429</v>
      </c>
      <c r="E4929" s="3563" t="s">
        <v>9050</v>
      </c>
      <c r="F4929" s="3563" t="s">
        <v>4797</v>
      </c>
      <c r="G4929" s="3564">
        <v>100.94</v>
      </c>
      <c r="H4929" s="3564">
        <v>81.62</v>
      </c>
      <c r="I4929" s="3564">
        <v>19.32</v>
      </c>
      <c r="J4929" s="3565">
        <v>1074421</v>
      </c>
      <c r="K4929" s="3565">
        <v>10644.15</v>
      </c>
      <c r="L4929" s="3565">
        <v>13163.7</v>
      </c>
      <c r="M4929" s="3565">
        <v>0</v>
      </c>
      <c r="N4929" s="3565">
        <v>0</v>
      </c>
      <c r="O4929" s="3563" t="s">
        <v>3453</v>
      </c>
    </row>
    <row r="4930" spans="1:15">
      <c r="A4930" s="3563" t="s">
        <v>9154</v>
      </c>
      <c r="B4930" s="3563" t="s">
        <v>4196</v>
      </c>
      <c r="C4930" s="3563" t="s">
        <v>4197</v>
      </c>
      <c r="D4930" s="3563" t="s">
        <v>6429</v>
      </c>
      <c r="E4930" s="3563" t="s">
        <v>9050</v>
      </c>
      <c r="F4930" s="3563" t="s">
        <v>4797</v>
      </c>
      <c r="G4930" s="3564">
        <v>123.71</v>
      </c>
      <c r="H4930" s="3564">
        <v>100.03</v>
      </c>
      <c r="I4930" s="3564">
        <v>23.68</v>
      </c>
      <c r="J4930" s="3565">
        <v>1270726</v>
      </c>
      <c r="K4930" s="3565">
        <v>10271.81</v>
      </c>
      <c r="L4930" s="3565">
        <v>12703.45</v>
      </c>
      <c r="M4930" s="3565">
        <v>0</v>
      </c>
      <c r="N4930" s="3565">
        <v>0</v>
      </c>
      <c r="O4930" s="3563" t="s">
        <v>3453</v>
      </c>
    </row>
    <row r="4931" spans="1:15">
      <c r="A4931" s="3563" t="s">
        <v>9155</v>
      </c>
      <c r="B4931" s="3563" t="s">
        <v>4196</v>
      </c>
      <c r="C4931" s="3563" t="s">
        <v>4197</v>
      </c>
      <c r="D4931" s="3563" t="s">
        <v>6429</v>
      </c>
      <c r="E4931" s="3563" t="s">
        <v>9050</v>
      </c>
      <c r="F4931" s="3563" t="s">
        <v>4797</v>
      </c>
      <c r="G4931" s="3564">
        <v>100.94</v>
      </c>
      <c r="H4931" s="3564">
        <v>81.62</v>
      </c>
      <c r="I4931" s="3564">
        <v>19.32</v>
      </c>
      <c r="J4931" s="3565">
        <v>1035763</v>
      </c>
      <c r="K4931" s="3565">
        <v>10261.17</v>
      </c>
      <c r="L4931" s="3565">
        <v>12690.06</v>
      </c>
      <c r="M4931" s="3565">
        <v>0</v>
      </c>
      <c r="N4931" s="3565">
        <v>0</v>
      </c>
      <c r="O4931" s="3563" t="s">
        <v>3453</v>
      </c>
    </row>
    <row r="4932" spans="1:15">
      <c r="A4932" s="3563" t="s">
        <v>9156</v>
      </c>
      <c r="B4932" s="3563" t="s">
        <v>4196</v>
      </c>
      <c r="C4932" s="3563" t="s">
        <v>4197</v>
      </c>
      <c r="D4932" s="3563" t="s">
        <v>6429</v>
      </c>
      <c r="E4932" s="3563" t="s">
        <v>9050</v>
      </c>
      <c r="F4932" s="3563" t="s">
        <v>4797</v>
      </c>
      <c r="G4932" s="3564">
        <v>100.94</v>
      </c>
      <c r="H4932" s="3564">
        <v>81.62</v>
      </c>
      <c r="I4932" s="3564">
        <v>19.32</v>
      </c>
      <c r="J4932" s="3565">
        <v>1035763</v>
      </c>
      <c r="K4932" s="3565">
        <v>10261.17</v>
      </c>
      <c r="L4932" s="3565">
        <v>12690.06</v>
      </c>
      <c r="M4932" s="3565">
        <v>0</v>
      </c>
      <c r="N4932" s="3565">
        <v>0</v>
      </c>
      <c r="O4932" s="3563" t="s">
        <v>3453</v>
      </c>
    </row>
    <row r="4933" spans="1:15">
      <c r="A4933" s="3563" t="s">
        <v>9157</v>
      </c>
      <c r="B4933" s="3563" t="s">
        <v>4196</v>
      </c>
      <c r="C4933" s="3563" t="s">
        <v>4197</v>
      </c>
      <c r="D4933" s="3563" t="s">
        <v>6429</v>
      </c>
      <c r="E4933" s="3563" t="s">
        <v>9050</v>
      </c>
      <c r="F4933" s="3563" t="s">
        <v>4797</v>
      </c>
      <c r="G4933" s="3564">
        <v>109.37</v>
      </c>
      <c r="H4933" s="3564">
        <v>88.44</v>
      </c>
      <c r="I4933" s="3564">
        <v>20.93</v>
      </c>
      <c r="J4933" s="3565">
        <v>1104812</v>
      </c>
      <c r="K4933" s="3565">
        <v>10101.6</v>
      </c>
      <c r="L4933" s="3565">
        <v>12492.22</v>
      </c>
      <c r="M4933" s="3565">
        <v>0</v>
      </c>
      <c r="N4933" s="3565">
        <v>0</v>
      </c>
      <c r="O4933" s="3563" t="s">
        <v>3453</v>
      </c>
    </row>
    <row r="4934" spans="1:15">
      <c r="A4934" s="3563" t="s">
        <v>9158</v>
      </c>
      <c r="B4934" s="3563" t="s">
        <v>4196</v>
      </c>
      <c r="C4934" s="3563" t="s">
        <v>4197</v>
      </c>
      <c r="D4934" s="3563" t="s">
        <v>6429</v>
      </c>
      <c r="E4934" s="3563" t="s">
        <v>9050</v>
      </c>
      <c r="F4934" s="3563" t="s">
        <v>4797</v>
      </c>
      <c r="G4934" s="3564">
        <v>100.94</v>
      </c>
      <c r="H4934" s="3564">
        <v>81.62</v>
      </c>
      <c r="I4934" s="3564">
        <v>19.32</v>
      </c>
      <c r="J4934" s="3565">
        <v>1030394</v>
      </c>
      <c r="K4934" s="3565">
        <v>10207.98</v>
      </c>
      <c r="L4934" s="3565">
        <v>12624.28</v>
      </c>
      <c r="M4934" s="3565">
        <v>0</v>
      </c>
      <c r="N4934" s="3565">
        <v>0</v>
      </c>
      <c r="O4934" s="3563" t="s">
        <v>3453</v>
      </c>
    </row>
    <row r="4935" spans="1:15">
      <c r="A4935" s="3563" t="s">
        <v>9159</v>
      </c>
      <c r="B4935" s="3563" t="s">
        <v>4196</v>
      </c>
      <c r="C4935" s="3563" t="s">
        <v>4197</v>
      </c>
      <c r="D4935" s="3563" t="s">
        <v>6429</v>
      </c>
      <c r="E4935" s="3563" t="s">
        <v>9050</v>
      </c>
      <c r="F4935" s="3563" t="s">
        <v>4797</v>
      </c>
      <c r="G4935" s="3564">
        <v>100.94</v>
      </c>
      <c r="H4935" s="3564">
        <v>81.62</v>
      </c>
      <c r="I4935" s="3564">
        <v>19.32</v>
      </c>
      <c r="J4935" s="3565">
        <v>1041132</v>
      </c>
      <c r="K4935" s="3565">
        <v>10314.36</v>
      </c>
      <c r="L4935" s="3565">
        <v>12755.84</v>
      </c>
      <c r="M4935" s="3565">
        <v>0</v>
      </c>
      <c r="N4935" s="3565">
        <v>0</v>
      </c>
      <c r="O4935" s="3563" t="s">
        <v>3453</v>
      </c>
    </row>
    <row r="4936" spans="1:15">
      <c r="A4936" s="3563" t="s">
        <v>9160</v>
      </c>
      <c r="B4936" s="3563" t="s">
        <v>4196</v>
      </c>
      <c r="C4936" s="3563" t="s">
        <v>4197</v>
      </c>
      <c r="D4936" s="3563" t="s">
        <v>6429</v>
      </c>
      <c r="E4936" s="3563" t="s">
        <v>9050</v>
      </c>
      <c r="F4936" s="3563" t="s">
        <v>4797</v>
      </c>
      <c r="G4936" s="3564">
        <v>123.71</v>
      </c>
      <c r="H4936" s="3564">
        <v>100.03</v>
      </c>
      <c r="I4936" s="3564">
        <v>23.68</v>
      </c>
      <c r="J4936" s="3565">
        <v>1229928</v>
      </c>
      <c r="K4936" s="3565">
        <v>9942.0300000000007</v>
      </c>
      <c r="L4936" s="3565">
        <v>12295.59</v>
      </c>
      <c r="M4936" s="3565">
        <v>0</v>
      </c>
      <c r="N4936" s="3565">
        <v>0</v>
      </c>
      <c r="O4936" s="3563" t="s">
        <v>3453</v>
      </c>
    </row>
    <row r="4937" spans="1:15">
      <c r="A4937" s="3563" t="s">
        <v>9161</v>
      </c>
      <c r="B4937" s="3563" t="s">
        <v>4196</v>
      </c>
      <c r="C4937" s="3563" t="s">
        <v>4197</v>
      </c>
      <c r="D4937" s="3563" t="s">
        <v>6429</v>
      </c>
      <c r="E4937" s="3563" t="s">
        <v>9050</v>
      </c>
      <c r="F4937" s="3563" t="s">
        <v>4797</v>
      </c>
      <c r="G4937" s="3564">
        <v>100.94</v>
      </c>
      <c r="H4937" s="3564">
        <v>81.62</v>
      </c>
      <c r="I4937" s="3564">
        <v>19.32</v>
      </c>
      <c r="J4937" s="3565">
        <v>1043280</v>
      </c>
      <c r="K4937" s="3565">
        <v>10335.64</v>
      </c>
      <c r="L4937" s="3565">
        <v>12782.16</v>
      </c>
      <c r="M4937" s="3565">
        <v>0</v>
      </c>
      <c r="N4937" s="3565">
        <v>0</v>
      </c>
      <c r="O4937" s="3563" t="s">
        <v>3453</v>
      </c>
    </row>
    <row r="4938" spans="1:15">
      <c r="A4938" s="3563" t="s">
        <v>9162</v>
      </c>
      <c r="B4938" s="3563" t="s">
        <v>4196</v>
      </c>
      <c r="C4938" s="3563" t="s">
        <v>4197</v>
      </c>
      <c r="D4938" s="3563" t="s">
        <v>6429</v>
      </c>
      <c r="E4938" s="3563" t="s">
        <v>9050</v>
      </c>
      <c r="F4938" s="3563" t="s">
        <v>4797</v>
      </c>
      <c r="G4938" s="3564">
        <v>100.94</v>
      </c>
      <c r="H4938" s="3564">
        <v>81.62</v>
      </c>
      <c r="I4938" s="3564">
        <v>19.32</v>
      </c>
      <c r="J4938" s="3565">
        <v>1043280</v>
      </c>
      <c r="K4938" s="3565">
        <v>10335.64</v>
      </c>
      <c r="L4938" s="3565">
        <v>12782.16</v>
      </c>
      <c r="M4938" s="3565">
        <v>0</v>
      </c>
      <c r="N4938" s="3565">
        <v>0</v>
      </c>
      <c r="O4938" s="3563" t="s">
        <v>3453</v>
      </c>
    </row>
    <row r="4939" spans="1:15">
      <c r="A4939" s="3563" t="s">
        <v>9163</v>
      </c>
      <c r="B4939" s="3563" t="s">
        <v>4196</v>
      </c>
      <c r="C4939" s="3563" t="s">
        <v>4197</v>
      </c>
      <c r="D4939" s="3563" t="s">
        <v>6429</v>
      </c>
      <c r="E4939" s="3563" t="s">
        <v>9050</v>
      </c>
      <c r="F4939" s="3563" t="s">
        <v>4797</v>
      </c>
      <c r="G4939" s="3564">
        <v>109.37</v>
      </c>
      <c r="H4939" s="3564">
        <v>88.44</v>
      </c>
      <c r="I4939" s="3564">
        <v>20.93</v>
      </c>
      <c r="J4939" s="3565">
        <v>1089687</v>
      </c>
      <c r="K4939" s="3565">
        <v>9963.31</v>
      </c>
      <c r="L4939" s="3565">
        <v>12321.2</v>
      </c>
      <c r="M4939" s="3565">
        <v>0</v>
      </c>
      <c r="N4939" s="3565">
        <v>0</v>
      </c>
      <c r="O4939" s="3563" t="s">
        <v>3453</v>
      </c>
    </row>
    <row r="4940" spans="1:15">
      <c r="A4940" s="3563" t="s">
        <v>9164</v>
      </c>
      <c r="B4940" s="3563" t="s">
        <v>4196</v>
      </c>
      <c r="C4940" s="3563" t="s">
        <v>4197</v>
      </c>
      <c r="D4940" s="3563" t="s">
        <v>6429</v>
      </c>
      <c r="E4940" s="3563" t="s">
        <v>9050</v>
      </c>
      <c r="F4940" s="3563" t="s">
        <v>4797</v>
      </c>
      <c r="G4940" s="3564">
        <v>100.94</v>
      </c>
      <c r="H4940" s="3564">
        <v>81.62</v>
      </c>
      <c r="I4940" s="3564">
        <v>19.32</v>
      </c>
      <c r="J4940" s="3565">
        <v>1016435</v>
      </c>
      <c r="K4940" s="3565">
        <v>10069.69</v>
      </c>
      <c r="L4940" s="3565">
        <v>12453.26</v>
      </c>
      <c r="M4940" s="3565">
        <v>0</v>
      </c>
      <c r="N4940" s="3565">
        <v>0</v>
      </c>
      <c r="O4940" s="3563" t="s">
        <v>3453</v>
      </c>
    </row>
    <row r="4941" spans="1:15">
      <c r="A4941" s="3563" t="s">
        <v>9165</v>
      </c>
      <c r="B4941" s="3563" t="s">
        <v>4196</v>
      </c>
      <c r="C4941" s="3563" t="s">
        <v>4197</v>
      </c>
      <c r="D4941" s="3563" t="s">
        <v>6429</v>
      </c>
      <c r="E4941" s="3563" t="s">
        <v>9050</v>
      </c>
      <c r="F4941" s="3563" t="s">
        <v>4797</v>
      </c>
      <c r="G4941" s="3564">
        <v>100.94</v>
      </c>
      <c r="H4941" s="3564">
        <v>81.62</v>
      </c>
      <c r="I4941" s="3564">
        <v>19.32</v>
      </c>
      <c r="J4941" s="3565">
        <v>1048649</v>
      </c>
      <c r="K4941" s="3565">
        <v>10388.83</v>
      </c>
      <c r="L4941" s="3565">
        <v>12847.94</v>
      </c>
      <c r="M4941" s="3565">
        <v>0</v>
      </c>
      <c r="N4941" s="3565">
        <v>0</v>
      </c>
      <c r="O4941" s="3563" t="s">
        <v>3453</v>
      </c>
    </row>
    <row r="4942" spans="1:15">
      <c r="A4942" s="3563" t="s">
        <v>9166</v>
      </c>
      <c r="B4942" s="3563" t="s">
        <v>4196</v>
      </c>
      <c r="C4942" s="3563" t="s">
        <v>4197</v>
      </c>
      <c r="D4942" s="3563" t="s">
        <v>6429</v>
      </c>
      <c r="E4942" s="3563" t="s">
        <v>9050</v>
      </c>
      <c r="F4942" s="3563" t="s">
        <v>4797</v>
      </c>
      <c r="G4942" s="3564">
        <v>123.71</v>
      </c>
      <c r="H4942" s="3564">
        <v>100.03</v>
      </c>
      <c r="I4942" s="3564">
        <v>23.68</v>
      </c>
      <c r="J4942" s="3565">
        <v>1239141</v>
      </c>
      <c r="K4942" s="3565">
        <v>10016.5</v>
      </c>
      <c r="L4942" s="3565">
        <v>12387.69</v>
      </c>
      <c r="M4942" s="3565">
        <v>0</v>
      </c>
      <c r="N4942" s="3565">
        <v>0</v>
      </c>
      <c r="O4942" s="3563" t="s">
        <v>3453</v>
      </c>
    </row>
    <row r="4943" spans="1:15">
      <c r="A4943" s="3563" t="s">
        <v>9167</v>
      </c>
      <c r="B4943" s="3563" t="s">
        <v>4196</v>
      </c>
      <c r="C4943" s="3563" t="s">
        <v>4197</v>
      </c>
      <c r="D4943" s="3563" t="s">
        <v>6429</v>
      </c>
      <c r="E4943" s="3563" t="s">
        <v>9050</v>
      </c>
      <c r="F4943" s="3563" t="s">
        <v>4797</v>
      </c>
      <c r="G4943" s="3564">
        <v>100.94</v>
      </c>
      <c r="H4943" s="3564">
        <v>81.62</v>
      </c>
      <c r="I4943" s="3564">
        <v>19.32</v>
      </c>
      <c r="J4943" s="3565">
        <v>1056165</v>
      </c>
      <c r="K4943" s="3565">
        <v>10463.299999999999</v>
      </c>
      <c r="L4943" s="3565">
        <v>12940.03</v>
      </c>
      <c r="M4943" s="3565">
        <v>0</v>
      </c>
      <c r="N4943" s="3565">
        <v>0</v>
      </c>
      <c r="O4943" s="3563" t="s">
        <v>3453</v>
      </c>
    </row>
    <row r="4944" spans="1:15">
      <c r="A4944" s="3563" t="s">
        <v>9168</v>
      </c>
      <c r="B4944" s="3563" t="s">
        <v>4196</v>
      </c>
      <c r="C4944" s="3563" t="s">
        <v>4197</v>
      </c>
      <c r="D4944" s="3563" t="s">
        <v>6429</v>
      </c>
      <c r="E4944" s="3563" t="s">
        <v>9050</v>
      </c>
      <c r="F4944" s="3563" t="s">
        <v>4797</v>
      </c>
      <c r="G4944" s="3564">
        <v>100.94</v>
      </c>
      <c r="H4944" s="3564">
        <v>81.62</v>
      </c>
      <c r="I4944" s="3564">
        <v>19.32</v>
      </c>
      <c r="J4944" s="3565">
        <v>1056165</v>
      </c>
      <c r="K4944" s="3565">
        <v>10463.299999999999</v>
      </c>
      <c r="L4944" s="3565">
        <v>12940.03</v>
      </c>
      <c r="M4944" s="3565">
        <v>0</v>
      </c>
      <c r="N4944" s="3565">
        <v>0</v>
      </c>
      <c r="O4944" s="3563" t="s">
        <v>3453</v>
      </c>
    </row>
    <row r="4945" spans="1:15">
      <c r="A4945" s="3563" t="s">
        <v>9169</v>
      </c>
      <c r="B4945" s="3563" t="s">
        <v>4196</v>
      </c>
      <c r="C4945" s="3563" t="s">
        <v>4197</v>
      </c>
      <c r="D4945" s="3563" t="s">
        <v>6429</v>
      </c>
      <c r="E4945" s="3563" t="s">
        <v>9050</v>
      </c>
      <c r="F4945" s="3563" t="s">
        <v>4797</v>
      </c>
      <c r="G4945" s="3564">
        <v>109.37</v>
      </c>
      <c r="H4945" s="3564">
        <v>88.44</v>
      </c>
      <c r="I4945" s="3564">
        <v>20.93</v>
      </c>
      <c r="J4945" s="3565">
        <v>1103648</v>
      </c>
      <c r="K4945" s="3565">
        <v>10090.959999999999</v>
      </c>
      <c r="L4945" s="3565">
        <v>12479.06</v>
      </c>
      <c r="M4945" s="3565">
        <v>0</v>
      </c>
      <c r="N4945" s="3565">
        <v>0</v>
      </c>
      <c r="O4945" s="3563" t="s">
        <v>3453</v>
      </c>
    </row>
    <row r="4946" spans="1:15">
      <c r="A4946" s="3563" t="s">
        <v>9170</v>
      </c>
      <c r="B4946" s="3563" t="s">
        <v>4196</v>
      </c>
      <c r="C4946" s="3563" t="s">
        <v>4197</v>
      </c>
      <c r="D4946" s="3563" t="s">
        <v>6429</v>
      </c>
      <c r="E4946" s="3563" t="s">
        <v>9050</v>
      </c>
      <c r="F4946" s="3563" t="s">
        <v>4797</v>
      </c>
      <c r="G4946" s="3564">
        <v>100.94</v>
      </c>
      <c r="H4946" s="3564">
        <v>81.62</v>
      </c>
      <c r="I4946" s="3564">
        <v>19.32</v>
      </c>
      <c r="J4946" s="3565">
        <v>1029320</v>
      </c>
      <c r="K4946" s="3565">
        <v>10197.34</v>
      </c>
      <c r="L4946" s="3565">
        <v>12611.12</v>
      </c>
      <c r="M4946" s="3565">
        <v>0</v>
      </c>
      <c r="N4946" s="3565">
        <v>0</v>
      </c>
      <c r="O4946" s="3563" t="s">
        <v>3453</v>
      </c>
    </row>
    <row r="4947" spans="1:15">
      <c r="A4947" s="3563" t="s">
        <v>9171</v>
      </c>
      <c r="B4947" s="3563" t="s">
        <v>4196</v>
      </c>
      <c r="C4947" s="3563" t="s">
        <v>4197</v>
      </c>
      <c r="D4947" s="3563" t="s">
        <v>6429</v>
      </c>
      <c r="E4947" s="3563" t="s">
        <v>9050</v>
      </c>
      <c r="F4947" s="3563" t="s">
        <v>4797</v>
      </c>
      <c r="G4947" s="3564">
        <v>100.94</v>
      </c>
      <c r="H4947" s="3564">
        <v>81.62</v>
      </c>
      <c r="I4947" s="3564">
        <v>19.32</v>
      </c>
      <c r="J4947" s="3565">
        <v>1061535</v>
      </c>
      <c r="K4947" s="3565">
        <v>10516.49</v>
      </c>
      <c r="L4947" s="3565">
        <v>13005.82</v>
      </c>
      <c r="M4947" s="3565">
        <v>0</v>
      </c>
      <c r="N4947" s="3565">
        <v>0</v>
      </c>
      <c r="O4947" s="3563" t="s">
        <v>3453</v>
      </c>
    </row>
    <row r="4948" spans="1:15">
      <c r="A4948" s="3563" t="s">
        <v>9172</v>
      </c>
      <c r="B4948" s="3563" t="s">
        <v>4196</v>
      </c>
      <c r="C4948" s="3563" t="s">
        <v>4197</v>
      </c>
      <c r="D4948" s="3563" t="s">
        <v>6429</v>
      </c>
      <c r="E4948" s="3563" t="s">
        <v>9050</v>
      </c>
      <c r="F4948" s="3563" t="s">
        <v>4797</v>
      </c>
      <c r="G4948" s="3564">
        <v>123.71</v>
      </c>
      <c r="H4948" s="3564">
        <v>100.03</v>
      </c>
      <c r="I4948" s="3564">
        <v>23.68</v>
      </c>
      <c r="J4948" s="3565">
        <v>1254933</v>
      </c>
      <c r="K4948" s="3565">
        <v>10144.15</v>
      </c>
      <c r="L4948" s="3565">
        <v>12545.57</v>
      </c>
      <c r="M4948" s="3565">
        <v>0</v>
      </c>
      <c r="N4948" s="3565">
        <v>0</v>
      </c>
      <c r="O4948" s="3563" t="s">
        <v>3453</v>
      </c>
    </row>
    <row r="4949" spans="1:15">
      <c r="A4949" s="3563" t="s">
        <v>9173</v>
      </c>
      <c r="B4949" s="3563" t="s">
        <v>4196</v>
      </c>
      <c r="C4949" s="3563" t="s">
        <v>4197</v>
      </c>
      <c r="D4949" s="3563" t="s">
        <v>6429</v>
      </c>
      <c r="E4949" s="3563" t="s">
        <v>9050</v>
      </c>
      <c r="F4949" s="3563" t="s">
        <v>4797</v>
      </c>
      <c r="G4949" s="3564">
        <v>100.94</v>
      </c>
      <c r="H4949" s="3564">
        <v>81.62</v>
      </c>
      <c r="I4949" s="3564">
        <v>19.32</v>
      </c>
      <c r="J4949" s="3565">
        <v>1069052</v>
      </c>
      <c r="K4949" s="3565">
        <v>10590.96</v>
      </c>
      <c r="L4949" s="3565">
        <v>13097.92</v>
      </c>
      <c r="M4949" s="3565">
        <v>0</v>
      </c>
      <c r="N4949" s="3565">
        <v>0</v>
      </c>
      <c r="O4949" s="3563" t="s">
        <v>3453</v>
      </c>
    </row>
    <row r="4950" spans="1:15">
      <c r="A4950" s="3563" t="s">
        <v>9174</v>
      </c>
      <c r="B4950" s="3563" t="s">
        <v>4196</v>
      </c>
      <c r="C4950" s="3563" t="s">
        <v>4197</v>
      </c>
      <c r="D4950" s="3563" t="s">
        <v>6429</v>
      </c>
      <c r="E4950" s="3563" t="s">
        <v>9050</v>
      </c>
      <c r="F4950" s="3563" t="s">
        <v>4797</v>
      </c>
      <c r="G4950" s="3564">
        <v>100.94</v>
      </c>
      <c r="H4950" s="3564">
        <v>81.62</v>
      </c>
      <c r="I4950" s="3564">
        <v>19.32</v>
      </c>
      <c r="J4950" s="3565">
        <v>1069052</v>
      </c>
      <c r="K4950" s="3565">
        <v>10590.96</v>
      </c>
      <c r="L4950" s="3565">
        <v>13097.92</v>
      </c>
      <c r="M4950" s="3565">
        <v>0</v>
      </c>
      <c r="N4950" s="3565">
        <v>0</v>
      </c>
      <c r="O4950" s="3563" t="s">
        <v>3453</v>
      </c>
    </row>
    <row r="4951" spans="1:15">
      <c r="A4951" s="3563" t="s">
        <v>9175</v>
      </c>
      <c r="B4951" s="3563" t="s">
        <v>4196</v>
      </c>
      <c r="C4951" s="3563" t="s">
        <v>4197</v>
      </c>
      <c r="D4951" s="3563" t="s">
        <v>6429</v>
      </c>
      <c r="E4951" s="3563" t="s">
        <v>9050</v>
      </c>
      <c r="F4951" s="3563" t="s">
        <v>4797</v>
      </c>
      <c r="G4951" s="3564">
        <v>109.37</v>
      </c>
      <c r="H4951" s="3564">
        <v>88.44</v>
      </c>
      <c r="I4951" s="3564">
        <v>20.93</v>
      </c>
      <c r="J4951" s="3565">
        <v>1117611</v>
      </c>
      <c r="K4951" s="3565">
        <v>10218.620000000001</v>
      </c>
      <c r="L4951" s="3565">
        <v>12636.94</v>
      </c>
      <c r="M4951" s="3565">
        <v>0</v>
      </c>
      <c r="N4951" s="3565">
        <v>0</v>
      </c>
      <c r="O4951" s="3563" t="s">
        <v>3453</v>
      </c>
    </row>
    <row r="4952" spans="1:15">
      <c r="A4952" s="3563" t="s">
        <v>9176</v>
      </c>
      <c r="B4952" s="3563" t="s">
        <v>4196</v>
      </c>
      <c r="C4952" s="3563" t="s">
        <v>4197</v>
      </c>
      <c r="D4952" s="3563" t="s">
        <v>6429</v>
      </c>
      <c r="E4952" s="3563" t="s">
        <v>9050</v>
      </c>
      <c r="F4952" s="3563" t="s">
        <v>4797</v>
      </c>
      <c r="G4952" s="3564">
        <v>100.94</v>
      </c>
      <c r="H4952" s="3564">
        <v>81.62</v>
      </c>
      <c r="I4952" s="3564">
        <v>19.32</v>
      </c>
      <c r="J4952" s="3565">
        <v>1042206</v>
      </c>
      <c r="K4952" s="3565">
        <v>10325</v>
      </c>
      <c r="L4952" s="3565">
        <v>12769</v>
      </c>
      <c r="M4952" s="3565">
        <v>0</v>
      </c>
      <c r="N4952" s="3565">
        <v>0</v>
      </c>
      <c r="O4952" s="3563" t="s">
        <v>3453</v>
      </c>
    </row>
    <row r="4953" spans="1:15">
      <c r="A4953" s="3563" t="s">
        <v>9177</v>
      </c>
      <c r="B4953" s="3563" t="s">
        <v>4196</v>
      </c>
      <c r="C4953" s="3563" t="s">
        <v>4197</v>
      </c>
      <c r="D4953" s="3563" t="s">
        <v>6429</v>
      </c>
      <c r="E4953" s="3563" t="s">
        <v>9050</v>
      </c>
      <c r="F4953" s="3563" t="s">
        <v>4797</v>
      </c>
      <c r="G4953" s="3564">
        <v>100.94</v>
      </c>
      <c r="H4953" s="3564">
        <v>81.62</v>
      </c>
      <c r="I4953" s="3564">
        <v>19.32</v>
      </c>
      <c r="J4953" s="3565">
        <v>1074421</v>
      </c>
      <c r="K4953" s="3565">
        <v>10644.15</v>
      </c>
      <c r="L4953" s="3565">
        <v>13163.7</v>
      </c>
      <c r="M4953" s="3565">
        <v>0</v>
      </c>
      <c r="N4953" s="3565">
        <v>0</v>
      </c>
      <c r="O4953" s="3563" t="s">
        <v>3453</v>
      </c>
    </row>
    <row r="4954" spans="1:15">
      <c r="A4954" s="3563" t="s">
        <v>9178</v>
      </c>
      <c r="B4954" s="3563" t="s">
        <v>4196</v>
      </c>
      <c r="C4954" s="3563" t="s">
        <v>4197</v>
      </c>
      <c r="D4954" s="3563" t="s">
        <v>6429</v>
      </c>
      <c r="E4954" s="3563" t="s">
        <v>9050</v>
      </c>
      <c r="F4954" s="3563" t="s">
        <v>4797</v>
      </c>
      <c r="G4954" s="3564">
        <v>123.71</v>
      </c>
      <c r="H4954" s="3564">
        <v>100.03</v>
      </c>
      <c r="I4954" s="3564">
        <v>23.68</v>
      </c>
      <c r="J4954" s="3565">
        <v>1270726</v>
      </c>
      <c r="K4954" s="3565">
        <v>10271.81</v>
      </c>
      <c r="L4954" s="3565">
        <v>12703.45</v>
      </c>
      <c r="M4954" s="3565">
        <v>0</v>
      </c>
      <c r="N4954" s="3565">
        <v>0</v>
      </c>
      <c r="O4954" s="3563" t="s">
        <v>3453</v>
      </c>
    </row>
    <row r="4955" spans="1:15">
      <c r="A4955" s="3563" t="s">
        <v>9179</v>
      </c>
      <c r="B4955" s="3563" t="s">
        <v>4196</v>
      </c>
      <c r="C4955" s="3563" t="s">
        <v>4197</v>
      </c>
      <c r="D4955" s="3563" t="s">
        <v>6429</v>
      </c>
      <c r="E4955" s="3563" t="s">
        <v>9050</v>
      </c>
      <c r="F4955" s="3563" t="s">
        <v>4797</v>
      </c>
      <c r="G4955" s="3564">
        <v>100.94</v>
      </c>
      <c r="H4955" s="3564">
        <v>81.62</v>
      </c>
      <c r="I4955" s="3564">
        <v>19.32</v>
      </c>
      <c r="J4955" s="3565">
        <v>1070126</v>
      </c>
      <c r="K4955" s="3565">
        <v>10601.6</v>
      </c>
      <c r="L4955" s="3565">
        <v>13111.08</v>
      </c>
      <c r="M4955" s="3565">
        <v>0</v>
      </c>
      <c r="N4955" s="3565">
        <v>0</v>
      </c>
      <c r="O4955" s="3563" t="s">
        <v>3453</v>
      </c>
    </row>
    <row r="4956" spans="1:15">
      <c r="A4956" s="3563" t="s">
        <v>9180</v>
      </c>
      <c r="B4956" s="3563" t="s">
        <v>4196</v>
      </c>
      <c r="C4956" s="3563" t="s">
        <v>4197</v>
      </c>
      <c r="D4956" s="3563" t="s">
        <v>6429</v>
      </c>
      <c r="E4956" s="3563" t="s">
        <v>9050</v>
      </c>
      <c r="F4956" s="3563" t="s">
        <v>4797</v>
      </c>
      <c r="G4956" s="3564">
        <v>100.94</v>
      </c>
      <c r="H4956" s="3564">
        <v>81.62</v>
      </c>
      <c r="I4956" s="3564">
        <v>19.32</v>
      </c>
      <c r="J4956" s="3565">
        <v>1070126</v>
      </c>
      <c r="K4956" s="3565">
        <v>10601.6</v>
      </c>
      <c r="L4956" s="3565">
        <v>13111.08</v>
      </c>
      <c r="M4956" s="3565">
        <v>0</v>
      </c>
      <c r="N4956" s="3565">
        <v>0</v>
      </c>
      <c r="O4956" s="3563" t="s">
        <v>3453</v>
      </c>
    </row>
    <row r="4957" spans="1:15">
      <c r="A4957" s="3563" t="s">
        <v>9181</v>
      </c>
      <c r="B4957" s="3563" t="s">
        <v>4196</v>
      </c>
      <c r="C4957" s="3563" t="s">
        <v>4197</v>
      </c>
      <c r="D4957" s="3563" t="s">
        <v>6429</v>
      </c>
      <c r="E4957" s="3563" t="s">
        <v>9050</v>
      </c>
      <c r="F4957" s="3563" t="s">
        <v>4797</v>
      </c>
      <c r="G4957" s="3564">
        <v>109.37</v>
      </c>
      <c r="H4957" s="3564">
        <v>88.44</v>
      </c>
      <c r="I4957" s="3564">
        <v>20.93</v>
      </c>
      <c r="J4957" s="3565">
        <v>1118774</v>
      </c>
      <c r="K4957" s="3565">
        <v>10229.26</v>
      </c>
      <c r="L4957" s="3565">
        <v>12650.09</v>
      </c>
      <c r="M4957" s="3565">
        <v>0</v>
      </c>
      <c r="N4957" s="3565">
        <v>0</v>
      </c>
      <c r="O4957" s="3563" t="s">
        <v>3453</v>
      </c>
    </row>
    <row r="4958" spans="1:15">
      <c r="A4958" s="3563" t="s">
        <v>9182</v>
      </c>
      <c r="B4958" s="3563" t="s">
        <v>4196</v>
      </c>
      <c r="C4958" s="3563" t="s">
        <v>4197</v>
      </c>
      <c r="D4958" s="3563" t="s">
        <v>6429</v>
      </c>
      <c r="E4958" s="3563" t="s">
        <v>9050</v>
      </c>
      <c r="F4958" s="3563" t="s">
        <v>4797</v>
      </c>
      <c r="G4958" s="3564">
        <v>100.94</v>
      </c>
      <c r="H4958" s="3564">
        <v>81.62</v>
      </c>
      <c r="I4958" s="3564">
        <v>19.32</v>
      </c>
      <c r="J4958" s="3565">
        <v>1043280</v>
      </c>
      <c r="K4958" s="3565">
        <v>10335.64</v>
      </c>
      <c r="L4958" s="3565">
        <v>12782.16</v>
      </c>
      <c r="M4958" s="3565">
        <v>0</v>
      </c>
      <c r="N4958" s="3565">
        <v>0</v>
      </c>
      <c r="O4958" s="3563" t="s">
        <v>3453</v>
      </c>
    </row>
    <row r="4959" spans="1:15">
      <c r="A4959" s="3563" t="s">
        <v>9183</v>
      </c>
      <c r="B4959" s="3563" t="s">
        <v>4196</v>
      </c>
      <c r="C4959" s="3563" t="s">
        <v>4197</v>
      </c>
      <c r="D4959" s="3563" t="s">
        <v>6429</v>
      </c>
      <c r="E4959" s="3563" t="s">
        <v>9050</v>
      </c>
      <c r="F4959" s="3563" t="s">
        <v>4797</v>
      </c>
      <c r="G4959" s="3564">
        <v>100.94</v>
      </c>
      <c r="H4959" s="3564">
        <v>81.62</v>
      </c>
      <c r="I4959" s="3564">
        <v>19.32</v>
      </c>
      <c r="J4959" s="3565">
        <v>1075495</v>
      </c>
      <c r="K4959" s="3565">
        <v>10654.79</v>
      </c>
      <c r="L4959" s="3565">
        <v>13176.86</v>
      </c>
      <c r="M4959" s="3565">
        <v>0</v>
      </c>
      <c r="N4959" s="3565">
        <v>0</v>
      </c>
      <c r="O4959" s="3563" t="s">
        <v>3453</v>
      </c>
    </row>
    <row r="4960" spans="1:15">
      <c r="A4960" s="3563" t="s">
        <v>9184</v>
      </c>
      <c r="B4960" s="3563" t="s">
        <v>4196</v>
      </c>
      <c r="C4960" s="3563" t="s">
        <v>4197</v>
      </c>
      <c r="D4960" s="3563" t="s">
        <v>6429</v>
      </c>
      <c r="E4960" s="3563" t="s">
        <v>9050</v>
      </c>
      <c r="F4960" s="3563" t="s">
        <v>4797</v>
      </c>
      <c r="G4960" s="3564">
        <v>123.71</v>
      </c>
      <c r="H4960" s="3564">
        <v>100.03</v>
      </c>
      <c r="I4960" s="3564">
        <v>23.68</v>
      </c>
      <c r="J4960" s="3565">
        <v>1272042</v>
      </c>
      <c r="K4960" s="3565">
        <v>10282.450000000001</v>
      </c>
      <c r="L4960" s="3565">
        <v>12716.61</v>
      </c>
      <c r="M4960" s="3565">
        <v>0</v>
      </c>
      <c r="N4960" s="3565">
        <v>0</v>
      </c>
      <c r="O4960" s="3563" t="s">
        <v>3453</v>
      </c>
    </row>
    <row r="4961" spans="1:15">
      <c r="A4961" s="3563" t="s">
        <v>9185</v>
      </c>
      <c r="B4961" s="3563" t="s">
        <v>4196</v>
      </c>
      <c r="C4961" s="3563" t="s">
        <v>4197</v>
      </c>
      <c r="D4961" s="3563" t="s">
        <v>6429</v>
      </c>
      <c r="E4961" s="3563" t="s">
        <v>9050</v>
      </c>
      <c r="F4961" s="3563" t="s">
        <v>4797</v>
      </c>
      <c r="G4961" s="3564">
        <v>100.94</v>
      </c>
      <c r="H4961" s="3564">
        <v>81.62</v>
      </c>
      <c r="I4961" s="3564">
        <v>19.32</v>
      </c>
      <c r="J4961" s="3565">
        <v>1071199</v>
      </c>
      <c r="K4961" s="3565">
        <v>10612.23</v>
      </c>
      <c r="L4961" s="3565">
        <v>13124.22</v>
      </c>
      <c r="M4961" s="3565">
        <v>0</v>
      </c>
      <c r="N4961" s="3565">
        <v>0</v>
      </c>
      <c r="O4961" s="3563" t="s">
        <v>3453</v>
      </c>
    </row>
    <row r="4962" spans="1:15">
      <c r="A4962" s="3563" t="s">
        <v>9186</v>
      </c>
      <c r="B4962" s="3563" t="s">
        <v>4196</v>
      </c>
      <c r="C4962" s="3563" t="s">
        <v>4197</v>
      </c>
      <c r="D4962" s="3563" t="s">
        <v>6429</v>
      </c>
      <c r="E4962" s="3563" t="s">
        <v>9050</v>
      </c>
      <c r="F4962" s="3563" t="s">
        <v>4797</v>
      </c>
      <c r="G4962" s="3564">
        <v>100.94</v>
      </c>
      <c r="H4962" s="3564">
        <v>81.62</v>
      </c>
      <c r="I4962" s="3564">
        <v>19.32</v>
      </c>
      <c r="J4962" s="3565">
        <v>1071199</v>
      </c>
      <c r="K4962" s="3565">
        <v>10612.23</v>
      </c>
      <c r="L4962" s="3565">
        <v>13124.22</v>
      </c>
      <c r="M4962" s="3565">
        <v>0</v>
      </c>
      <c r="N4962" s="3565">
        <v>0</v>
      </c>
      <c r="O4962" s="3563" t="s">
        <v>3453</v>
      </c>
    </row>
    <row r="4963" spans="1:15">
      <c r="A4963" s="3563" t="s">
        <v>9187</v>
      </c>
      <c r="B4963" s="3563" t="s">
        <v>4196</v>
      </c>
      <c r="C4963" s="3563" t="s">
        <v>4197</v>
      </c>
      <c r="D4963" s="3563" t="s">
        <v>6429</v>
      </c>
      <c r="E4963" s="3563" t="s">
        <v>9050</v>
      </c>
      <c r="F4963" s="3563" t="s">
        <v>4797</v>
      </c>
      <c r="G4963" s="3564">
        <v>109.37</v>
      </c>
      <c r="H4963" s="3564">
        <v>88.44</v>
      </c>
      <c r="I4963" s="3564">
        <v>20.93</v>
      </c>
      <c r="J4963" s="3565">
        <v>1119938</v>
      </c>
      <c r="K4963" s="3565">
        <v>10239.9</v>
      </c>
      <c r="L4963" s="3565">
        <v>12663.25</v>
      </c>
      <c r="M4963" s="3565">
        <v>0</v>
      </c>
      <c r="N4963" s="3565">
        <v>0</v>
      </c>
      <c r="O4963" s="3563" t="s">
        <v>3453</v>
      </c>
    </row>
    <row r="4964" spans="1:15">
      <c r="A4964" s="3563" t="s">
        <v>9188</v>
      </c>
      <c r="B4964" s="3563" t="s">
        <v>4196</v>
      </c>
      <c r="C4964" s="3563" t="s">
        <v>4197</v>
      </c>
      <c r="D4964" s="3563" t="s">
        <v>6429</v>
      </c>
      <c r="E4964" s="3563" t="s">
        <v>9050</v>
      </c>
      <c r="F4964" s="3563" t="s">
        <v>4797</v>
      </c>
      <c r="G4964" s="3564">
        <v>100.94</v>
      </c>
      <c r="H4964" s="3564">
        <v>81.62</v>
      </c>
      <c r="I4964" s="3564">
        <v>19.32</v>
      </c>
      <c r="J4964" s="3565">
        <v>1044354</v>
      </c>
      <c r="K4964" s="3565">
        <v>10346.280000000001</v>
      </c>
      <c r="L4964" s="3565">
        <v>12795.32</v>
      </c>
      <c r="M4964" s="3565">
        <v>0</v>
      </c>
      <c r="N4964" s="3565">
        <v>0</v>
      </c>
      <c r="O4964" s="3563" t="s">
        <v>3453</v>
      </c>
    </row>
    <row r="4965" spans="1:15">
      <c r="A4965" s="3563" t="s">
        <v>9189</v>
      </c>
      <c r="B4965" s="3563" t="s">
        <v>4196</v>
      </c>
      <c r="C4965" s="3563" t="s">
        <v>4197</v>
      </c>
      <c r="D4965" s="3563" t="s">
        <v>6429</v>
      </c>
      <c r="E4965" s="3563" t="s">
        <v>9050</v>
      </c>
      <c r="F4965" s="3563" t="s">
        <v>4797</v>
      </c>
      <c r="G4965" s="3564">
        <v>100.94</v>
      </c>
      <c r="H4965" s="3564">
        <v>81.62</v>
      </c>
      <c r="I4965" s="3564">
        <v>19.32</v>
      </c>
      <c r="J4965" s="3565">
        <v>1076569</v>
      </c>
      <c r="K4965" s="3565">
        <v>10665.43</v>
      </c>
      <c r="L4965" s="3565">
        <v>13190.01</v>
      </c>
      <c r="M4965" s="3565">
        <v>0</v>
      </c>
      <c r="N4965" s="3565">
        <v>0</v>
      </c>
      <c r="O4965" s="3563" t="s">
        <v>3453</v>
      </c>
    </row>
    <row r="4966" spans="1:15">
      <c r="A4966" s="3563" t="s">
        <v>9190</v>
      </c>
      <c r="B4966" s="3563" t="s">
        <v>4196</v>
      </c>
      <c r="C4966" s="3563" t="s">
        <v>4197</v>
      </c>
      <c r="D4966" s="3563" t="s">
        <v>6429</v>
      </c>
      <c r="E4966" s="3563" t="s">
        <v>9050</v>
      </c>
      <c r="F4966" s="3563" t="s">
        <v>4797</v>
      </c>
      <c r="G4966" s="3564">
        <v>123.71</v>
      </c>
      <c r="H4966" s="3564">
        <v>100.03</v>
      </c>
      <c r="I4966" s="3564">
        <v>23.68</v>
      </c>
      <c r="J4966" s="3565">
        <v>1273358</v>
      </c>
      <c r="K4966" s="3565">
        <v>10293.09</v>
      </c>
      <c r="L4966" s="3565">
        <v>12729.76</v>
      </c>
      <c r="M4966" s="3565">
        <v>0</v>
      </c>
      <c r="N4966" s="3565">
        <v>0</v>
      </c>
      <c r="O4966" s="3563" t="s">
        <v>3453</v>
      </c>
    </row>
    <row r="4967" spans="1:15">
      <c r="A4967" s="3563" t="s">
        <v>9191</v>
      </c>
      <c r="B4967" s="3563" t="s">
        <v>4196</v>
      </c>
      <c r="C4967" s="3563" t="s">
        <v>4197</v>
      </c>
      <c r="D4967" s="3563" t="s">
        <v>6429</v>
      </c>
      <c r="E4967" s="3563" t="s">
        <v>9050</v>
      </c>
      <c r="F4967" s="3563" t="s">
        <v>4797</v>
      </c>
      <c r="G4967" s="3564">
        <v>100.94</v>
      </c>
      <c r="H4967" s="3564">
        <v>81.62</v>
      </c>
      <c r="I4967" s="3564">
        <v>19.32</v>
      </c>
      <c r="J4967" s="3565">
        <v>1072273</v>
      </c>
      <c r="K4967" s="3565">
        <v>10622.87</v>
      </c>
      <c r="L4967" s="3565">
        <v>13137.38</v>
      </c>
      <c r="M4967" s="3565">
        <v>0</v>
      </c>
      <c r="N4967" s="3565">
        <v>0</v>
      </c>
      <c r="O4967" s="3563" t="s">
        <v>3453</v>
      </c>
    </row>
    <row r="4968" spans="1:15">
      <c r="A4968" s="3563" t="s">
        <v>9192</v>
      </c>
      <c r="B4968" s="3563" t="s">
        <v>4196</v>
      </c>
      <c r="C4968" s="3563" t="s">
        <v>4197</v>
      </c>
      <c r="D4968" s="3563" t="s">
        <v>6429</v>
      </c>
      <c r="E4968" s="3563" t="s">
        <v>9050</v>
      </c>
      <c r="F4968" s="3563" t="s">
        <v>4797</v>
      </c>
      <c r="G4968" s="3564">
        <v>100.94</v>
      </c>
      <c r="H4968" s="3564">
        <v>81.62</v>
      </c>
      <c r="I4968" s="3564">
        <v>19.32</v>
      </c>
      <c r="J4968" s="3565">
        <v>1072273</v>
      </c>
      <c r="K4968" s="3565">
        <v>10622.87</v>
      </c>
      <c r="L4968" s="3565">
        <v>13137.38</v>
      </c>
      <c r="M4968" s="3565">
        <v>0</v>
      </c>
      <c r="N4968" s="3565">
        <v>0</v>
      </c>
      <c r="O4968" s="3563" t="s">
        <v>3453</v>
      </c>
    </row>
    <row r="4969" spans="1:15">
      <c r="A4969" s="3563" t="s">
        <v>9193</v>
      </c>
      <c r="B4969" s="3563" t="s">
        <v>4196</v>
      </c>
      <c r="C4969" s="3563" t="s">
        <v>4197</v>
      </c>
      <c r="D4969" s="3563" t="s">
        <v>6429</v>
      </c>
      <c r="E4969" s="3563" t="s">
        <v>9050</v>
      </c>
      <c r="F4969" s="3563" t="s">
        <v>4797</v>
      </c>
      <c r="G4969" s="3564">
        <v>109.37</v>
      </c>
      <c r="H4969" s="3564">
        <v>88.44</v>
      </c>
      <c r="I4969" s="3564">
        <v>20.93</v>
      </c>
      <c r="J4969" s="3565">
        <v>1121102</v>
      </c>
      <c r="K4969" s="3565">
        <v>10250.540000000001</v>
      </c>
      <c r="L4969" s="3565">
        <v>12676.41</v>
      </c>
      <c r="M4969" s="3565">
        <v>0</v>
      </c>
      <c r="N4969" s="3565">
        <v>0</v>
      </c>
      <c r="O4969" s="3563" t="s">
        <v>3453</v>
      </c>
    </row>
    <row r="4970" spans="1:15">
      <c r="A4970" s="3563" t="s">
        <v>9194</v>
      </c>
      <c r="B4970" s="3563" t="s">
        <v>4196</v>
      </c>
      <c r="C4970" s="3563" t="s">
        <v>4197</v>
      </c>
      <c r="D4970" s="3563" t="s">
        <v>6429</v>
      </c>
      <c r="E4970" s="3563" t="s">
        <v>9050</v>
      </c>
      <c r="F4970" s="3563" t="s">
        <v>4797</v>
      </c>
      <c r="G4970" s="3564">
        <v>100.94</v>
      </c>
      <c r="H4970" s="3564">
        <v>81.62</v>
      </c>
      <c r="I4970" s="3564">
        <v>19.32</v>
      </c>
      <c r="J4970" s="3565">
        <v>1045427</v>
      </c>
      <c r="K4970" s="3565">
        <v>10356.91</v>
      </c>
      <c r="L4970" s="3565">
        <v>12808.47</v>
      </c>
      <c r="M4970" s="3565">
        <v>0</v>
      </c>
      <c r="N4970" s="3565">
        <v>0</v>
      </c>
      <c r="O4970" s="3563" t="s">
        <v>3453</v>
      </c>
    </row>
    <row r="4971" spans="1:15">
      <c r="A4971" s="3563" t="s">
        <v>9195</v>
      </c>
      <c r="B4971" s="3563" t="s">
        <v>4196</v>
      </c>
      <c r="C4971" s="3563" t="s">
        <v>4197</v>
      </c>
      <c r="D4971" s="3563" t="s">
        <v>6429</v>
      </c>
      <c r="E4971" s="3563" t="s">
        <v>9050</v>
      </c>
      <c r="F4971" s="3563" t="s">
        <v>4797</v>
      </c>
      <c r="G4971" s="3564">
        <v>100.94</v>
      </c>
      <c r="H4971" s="3564">
        <v>81.62</v>
      </c>
      <c r="I4971" s="3564">
        <v>19.32</v>
      </c>
      <c r="J4971" s="3565">
        <v>1077642</v>
      </c>
      <c r="K4971" s="3565">
        <v>10676.06</v>
      </c>
      <c r="L4971" s="3565">
        <v>13203.16</v>
      </c>
      <c r="M4971" s="3565">
        <v>0</v>
      </c>
      <c r="N4971" s="3565">
        <v>0</v>
      </c>
      <c r="O4971" s="3563" t="s">
        <v>3453</v>
      </c>
    </row>
    <row r="4972" spans="1:15">
      <c r="A4972" s="3563" t="s">
        <v>9196</v>
      </c>
      <c r="B4972" s="3563" t="s">
        <v>4196</v>
      </c>
      <c r="C4972" s="3563" t="s">
        <v>4197</v>
      </c>
      <c r="D4972" s="3563" t="s">
        <v>6429</v>
      </c>
      <c r="E4972" s="3563" t="s">
        <v>9050</v>
      </c>
      <c r="F4972" s="3563" t="s">
        <v>4797</v>
      </c>
      <c r="G4972" s="3564">
        <v>123.71</v>
      </c>
      <c r="H4972" s="3564">
        <v>100.03</v>
      </c>
      <c r="I4972" s="3564">
        <v>23.68</v>
      </c>
      <c r="J4972" s="3565">
        <v>1274674</v>
      </c>
      <c r="K4972" s="3565">
        <v>10303.73</v>
      </c>
      <c r="L4972" s="3565">
        <v>12742.92</v>
      </c>
      <c r="M4972" s="3565">
        <v>0</v>
      </c>
      <c r="N4972" s="3565">
        <v>0</v>
      </c>
      <c r="O4972" s="3563" t="s">
        <v>3453</v>
      </c>
    </row>
    <row r="4973" spans="1:15">
      <c r="A4973" s="3563" t="s">
        <v>9197</v>
      </c>
      <c r="B4973" s="3563" t="s">
        <v>4196</v>
      </c>
      <c r="C4973" s="3563" t="s">
        <v>4197</v>
      </c>
      <c r="D4973" s="3563" t="s">
        <v>6429</v>
      </c>
      <c r="E4973" s="3563" t="s">
        <v>9050</v>
      </c>
      <c r="F4973" s="3563" t="s">
        <v>4797</v>
      </c>
      <c r="G4973" s="3564">
        <v>100.94</v>
      </c>
      <c r="H4973" s="3564">
        <v>81.62</v>
      </c>
      <c r="I4973" s="3564">
        <v>19.32</v>
      </c>
      <c r="J4973" s="3565">
        <v>1073347</v>
      </c>
      <c r="K4973" s="3565">
        <v>10633.51</v>
      </c>
      <c r="L4973" s="3565">
        <v>13150.54</v>
      </c>
      <c r="M4973" s="3565">
        <v>0</v>
      </c>
      <c r="N4973" s="3565">
        <v>0</v>
      </c>
      <c r="O4973" s="3563" t="s">
        <v>3453</v>
      </c>
    </row>
    <row r="4974" spans="1:15">
      <c r="A4974" s="3563" t="s">
        <v>9198</v>
      </c>
      <c r="B4974" s="3563" t="s">
        <v>4196</v>
      </c>
      <c r="C4974" s="3563" t="s">
        <v>4197</v>
      </c>
      <c r="D4974" s="3563" t="s">
        <v>6429</v>
      </c>
      <c r="E4974" s="3563" t="s">
        <v>9050</v>
      </c>
      <c r="F4974" s="3563" t="s">
        <v>4797</v>
      </c>
      <c r="G4974" s="3564">
        <v>100.94</v>
      </c>
      <c r="H4974" s="3564">
        <v>81.62</v>
      </c>
      <c r="I4974" s="3564">
        <v>19.32</v>
      </c>
      <c r="J4974" s="3565">
        <v>1073347</v>
      </c>
      <c r="K4974" s="3565">
        <v>10633.51</v>
      </c>
      <c r="L4974" s="3565">
        <v>13150.54</v>
      </c>
      <c r="M4974" s="3565">
        <v>0</v>
      </c>
      <c r="N4974" s="3565">
        <v>0</v>
      </c>
      <c r="O4974" s="3563" t="s">
        <v>3453</v>
      </c>
    </row>
    <row r="4975" spans="1:15">
      <c r="A4975" s="3563" t="s">
        <v>9199</v>
      </c>
      <c r="B4975" s="3563" t="s">
        <v>4196</v>
      </c>
      <c r="C4975" s="3563" t="s">
        <v>4197</v>
      </c>
      <c r="D4975" s="3563" t="s">
        <v>6429</v>
      </c>
      <c r="E4975" s="3563" t="s">
        <v>9050</v>
      </c>
      <c r="F4975" s="3563" t="s">
        <v>4797</v>
      </c>
      <c r="G4975" s="3564">
        <v>109.37</v>
      </c>
      <c r="H4975" s="3564">
        <v>88.44</v>
      </c>
      <c r="I4975" s="3564">
        <v>20.93</v>
      </c>
      <c r="J4975" s="3565">
        <v>1122264</v>
      </c>
      <c r="K4975" s="3565">
        <v>10261.17</v>
      </c>
      <c r="L4975" s="3565">
        <v>12689.55</v>
      </c>
      <c r="M4975" s="3565">
        <v>0</v>
      </c>
      <c r="N4975" s="3565">
        <v>0</v>
      </c>
      <c r="O4975" s="3563" t="s">
        <v>3453</v>
      </c>
    </row>
    <row r="4976" spans="1:15">
      <c r="A4976" s="3563" t="s">
        <v>9200</v>
      </c>
      <c r="B4976" s="3563" t="s">
        <v>4196</v>
      </c>
      <c r="C4976" s="3563" t="s">
        <v>4197</v>
      </c>
      <c r="D4976" s="3563" t="s">
        <v>6429</v>
      </c>
      <c r="E4976" s="3563" t="s">
        <v>9050</v>
      </c>
      <c r="F4976" s="3563" t="s">
        <v>4797</v>
      </c>
      <c r="G4976" s="3564">
        <v>100.94</v>
      </c>
      <c r="H4976" s="3564">
        <v>81.62</v>
      </c>
      <c r="I4976" s="3564">
        <v>19.32</v>
      </c>
      <c r="J4976" s="3565">
        <v>1046502</v>
      </c>
      <c r="K4976" s="3565">
        <v>10367.56</v>
      </c>
      <c r="L4976" s="3565">
        <v>12821.64</v>
      </c>
      <c r="M4976" s="3565">
        <v>0</v>
      </c>
      <c r="N4976" s="3565">
        <v>0</v>
      </c>
      <c r="O4976" s="3563" t="s">
        <v>3453</v>
      </c>
    </row>
    <row r="4977" spans="1:15">
      <c r="A4977" s="3563" t="s">
        <v>9201</v>
      </c>
      <c r="B4977" s="3563" t="s">
        <v>4196</v>
      </c>
      <c r="C4977" s="3563" t="s">
        <v>4197</v>
      </c>
      <c r="D4977" s="3563" t="s">
        <v>6429</v>
      </c>
      <c r="E4977" s="3563" t="s">
        <v>9050</v>
      </c>
      <c r="F4977" s="3563" t="s">
        <v>4797</v>
      </c>
      <c r="G4977" s="3564">
        <v>100.94</v>
      </c>
      <c r="H4977" s="3564">
        <v>81.62</v>
      </c>
      <c r="I4977" s="3564">
        <v>19.32</v>
      </c>
      <c r="J4977" s="3565">
        <v>1078716</v>
      </c>
      <c r="K4977" s="3565">
        <v>10686.7</v>
      </c>
      <c r="L4977" s="3565">
        <v>13216.32</v>
      </c>
      <c r="M4977" s="3565">
        <v>0</v>
      </c>
      <c r="N4977" s="3565">
        <v>0</v>
      </c>
      <c r="O4977" s="3563" t="s">
        <v>3453</v>
      </c>
    </row>
    <row r="4978" spans="1:15">
      <c r="A4978" s="3563" t="s">
        <v>9202</v>
      </c>
      <c r="B4978" s="3563" t="s">
        <v>4196</v>
      </c>
      <c r="C4978" s="3563" t="s">
        <v>4197</v>
      </c>
      <c r="D4978" s="3563" t="s">
        <v>6429</v>
      </c>
      <c r="E4978" s="3563" t="s">
        <v>9050</v>
      </c>
      <c r="F4978" s="3563" t="s">
        <v>4797</v>
      </c>
      <c r="G4978" s="3564">
        <v>123.71</v>
      </c>
      <c r="H4978" s="3564">
        <v>100.03</v>
      </c>
      <c r="I4978" s="3564">
        <v>23.68</v>
      </c>
      <c r="J4978" s="3565">
        <v>1275990</v>
      </c>
      <c r="K4978" s="3565">
        <v>10314.36</v>
      </c>
      <c r="L4978" s="3565">
        <v>12756.07</v>
      </c>
      <c r="M4978" s="3565">
        <v>0</v>
      </c>
      <c r="N4978" s="3565">
        <v>0</v>
      </c>
      <c r="O4978" s="3563" t="s">
        <v>3453</v>
      </c>
    </row>
    <row r="4979" spans="1:15">
      <c r="A4979" s="3563" t="s">
        <v>9203</v>
      </c>
      <c r="B4979" s="3563" t="s">
        <v>4196</v>
      </c>
      <c r="C4979" s="3563" t="s">
        <v>4197</v>
      </c>
      <c r="D4979" s="3563" t="s">
        <v>6429</v>
      </c>
      <c r="E4979" s="3563" t="s">
        <v>9204</v>
      </c>
      <c r="F4979" s="3563" t="s">
        <v>4797</v>
      </c>
      <c r="G4979" s="3564">
        <v>98.85</v>
      </c>
      <c r="H4979" s="3564">
        <v>81.62</v>
      </c>
      <c r="I4979" s="3564">
        <v>17.23</v>
      </c>
      <c r="J4979" s="3565">
        <v>970150</v>
      </c>
      <c r="K4979" s="3565">
        <v>9814.3700000000008</v>
      </c>
      <c r="L4979" s="3565">
        <v>11886.18</v>
      </c>
      <c r="M4979" s="3565">
        <v>0</v>
      </c>
      <c r="N4979" s="3565">
        <v>0</v>
      </c>
      <c r="O4979" s="3563" t="s">
        <v>3453</v>
      </c>
    </row>
    <row r="4980" spans="1:15">
      <c r="A4980" s="3563" t="s">
        <v>9205</v>
      </c>
      <c r="B4980" s="3563" t="s">
        <v>4196</v>
      </c>
      <c r="C4980" s="3563" t="s">
        <v>4197</v>
      </c>
      <c r="D4980" s="3563" t="s">
        <v>6429</v>
      </c>
      <c r="E4980" s="3563" t="s">
        <v>9204</v>
      </c>
      <c r="F4980" s="3563" t="s">
        <v>4797</v>
      </c>
      <c r="G4980" s="3564">
        <v>98.85</v>
      </c>
      <c r="H4980" s="3564">
        <v>81.62</v>
      </c>
      <c r="I4980" s="3564">
        <v>17.23</v>
      </c>
      <c r="J4980" s="3565">
        <v>970150</v>
      </c>
      <c r="K4980" s="3565">
        <v>9814.3700000000008</v>
      </c>
      <c r="L4980" s="3565">
        <v>11886.18</v>
      </c>
      <c r="M4980" s="3565">
        <v>0</v>
      </c>
      <c r="N4980" s="3565">
        <v>0</v>
      </c>
      <c r="O4980" s="3563" t="s">
        <v>3453</v>
      </c>
    </row>
    <row r="4981" spans="1:15">
      <c r="A4981" s="3563" t="s">
        <v>9206</v>
      </c>
      <c r="B4981" s="3563" t="s">
        <v>4196</v>
      </c>
      <c r="C4981" s="3563" t="s">
        <v>4197</v>
      </c>
      <c r="D4981" s="3563" t="s">
        <v>6429</v>
      </c>
      <c r="E4981" s="3563" t="s">
        <v>9204</v>
      </c>
      <c r="F4981" s="3563" t="s">
        <v>4797</v>
      </c>
      <c r="G4981" s="3564">
        <v>93.39</v>
      </c>
      <c r="H4981" s="3564">
        <v>81.62</v>
      </c>
      <c r="I4981" s="3564">
        <v>11.77</v>
      </c>
      <c r="J4981" s="3565">
        <v>911596</v>
      </c>
      <c r="K4981" s="3565">
        <v>9761.17</v>
      </c>
      <c r="L4981" s="3565">
        <v>11168.78</v>
      </c>
      <c r="M4981" s="3565">
        <v>0</v>
      </c>
      <c r="N4981" s="3565">
        <v>0</v>
      </c>
      <c r="O4981" s="3563" t="s">
        <v>3453</v>
      </c>
    </row>
    <row r="4982" spans="1:15">
      <c r="A4982" s="3563" t="s">
        <v>9207</v>
      </c>
      <c r="B4982" s="3563" t="s">
        <v>4196</v>
      </c>
      <c r="C4982" s="3563" t="s">
        <v>4197</v>
      </c>
      <c r="D4982" s="3563" t="s">
        <v>6429</v>
      </c>
      <c r="E4982" s="3563" t="s">
        <v>9204</v>
      </c>
      <c r="F4982" s="3563" t="s">
        <v>4797</v>
      </c>
      <c r="G4982" s="3564">
        <v>93.39</v>
      </c>
      <c r="H4982" s="3564">
        <v>81.62</v>
      </c>
      <c r="I4982" s="3564">
        <v>11.77</v>
      </c>
      <c r="J4982" s="3565">
        <v>911596</v>
      </c>
      <c r="K4982" s="3565">
        <v>9761.17</v>
      </c>
      <c r="L4982" s="3565">
        <v>11168.78</v>
      </c>
      <c r="M4982" s="3565">
        <v>0</v>
      </c>
      <c r="N4982" s="3565">
        <v>0</v>
      </c>
      <c r="O4982" s="3563" t="s">
        <v>3453</v>
      </c>
    </row>
    <row r="4983" spans="1:15">
      <c r="A4983" s="3563" t="s">
        <v>9208</v>
      </c>
      <c r="B4983" s="3563" t="s">
        <v>4196</v>
      </c>
      <c r="C4983" s="3563" t="s">
        <v>4197</v>
      </c>
      <c r="D4983" s="3563" t="s">
        <v>6429</v>
      </c>
      <c r="E4983" s="3563" t="s">
        <v>9204</v>
      </c>
      <c r="F4983" s="3563" t="s">
        <v>4797</v>
      </c>
      <c r="G4983" s="3564">
        <v>114.46</v>
      </c>
      <c r="H4983" s="3564">
        <v>100.03</v>
      </c>
      <c r="I4983" s="3564">
        <v>14.43</v>
      </c>
      <c r="J4983" s="3565">
        <v>1111176</v>
      </c>
      <c r="K4983" s="3565">
        <v>9707.99</v>
      </c>
      <c r="L4983" s="3565">
        <v>11108.43</v>
      </c>
      <c r="M4983" s="3565">
        <v>0</v>
      </c>
      <c r="N4983" s="3565">
        <v>0</v>
      </c>
      <c r="O4983" s="3563" t="s">
        <v>3453</v>
      </c>
    </row>
    <row r="4984" spans="1:15">
      <c r="A4984" s="3563" t="s">
        <v>9209</v>
      </c>
      <c r="B4984" s="3563" t="s">
        <v>4196</v>
      </c>
      <c r="C4984" s="3563" t="s">
        <v>4197</v>
      </c>
      <c r="D4984" s="3563" t="s">
        <v>6429</v>
      </c>
      <c r="E4984" s="3563" t="s">
        <v>9204</v>
      </c>
      <c r="F4984" s="3563" t="s">
        <v>4797</v>
      </c>
      <c r="G4984" s="3564">
        <v>100.88</v>
      </c>
      <c r="H4984" s="3564">
        <v>81.62</v>
      </c>
      <c r="I4984" s="3564">
        <v>19.260000000000002</v>
      </c>
      <c r="J4984" s="3565">
        <v>1046953</v>
      </c>
      <c r="K4984" s="3565">
        <v>10378.200000000001</v>
      </c>
      <c r="L4984" s="3565">
        <v>12827.16</v>
      </c>
      <c r="M4984" s="3565">
        <v>0</v>
      </c>
      <c r="N4984" s="3565">
        <v>0</v>
      </c>
      <c r="O4984" s="3563" t="s">
        <v>3453</v>
      </c>
    </row>
    <row r="4985" spans="1:15">
      <c r="A4985" s="3563" t="s">
        <v>9210</v>
      </c>
      <c r="B4985" s="3563" t="s">
        <v>4196</v>
      </c>
      <c r="C4985" s="3563" t="s">
        <v>4197</v>
      </c>
      <c r="D4985" s="3563" t="s">
        <v>6429</v>
      </c>
      <c r="E4985" s="3563" t="s">
        <v>9204</v>
      </c>
      <c r="F4985" s="3563" t="s">
        <v>4797</v>
      </c>
      <c r="G4985" s="3564">
        <v>100.88</v>
      </c>
      <c r="H4985" s="3564">
        <v>81.62</v>
      </c>
      <c r="I4985" s="3564">
        <v>19.260000000000002</v>
      </c>
      <c r="J4985" s="3565">
        <v>1068416</v>
      </c>
      <c r="K4985" s="3565">
        <v>10590.96</v>
      </c>
      <c r="L4985" s="3565">
        <v>13090.12</v>
      </c>
      <c r="M4985" s="3565">
        <v>0</v>
      </c>
      <c r="N4985" s="3565">
        <v>0</v>
      </c>
      <c r="O4985" s="3563" t="s">
        <v>3453</v>
      </c>
    </row>
    <row r="4986" spans="1:15">
      <c r="A4986" s="3563" t="s">
        <v>9211</v>
      </c>
      <c r="B4986" s="3563" t="s">
        <v>4196</v>
      </c>
      <c r="C4986" s="3563" t="s">
        <v>4197</v>
      </c>
      <c r="D4986" s="3563" t="s">
        <v>6429</v>
      </c>
      <c r="E4986" s="3563" t="s">
        <v>9204</v>
      </c>
      <c r="F4986" s="3563" t="s">
        <v>4797</v>
      </c>
      <c r="G4986" s="3564">
        <v>109.31</v>
      </c>
      <c r="H4986" s="3564">
        <v>88.44</v>
      </c>
      <c r="I4986" s="3564">
        <v>20.87</v>
      </c>
      <c r="J4986" s="3565">
        <v>1128626</v>
      </c>
      <c r="K4986" s="3565">
        <v>10325</v>
      </c>
      <c r="L4986" s="3565">
        <v>12761.49</v>
      </c>
      <c r="M4986" s="3565">
        <v>0</v>
      </c>
      <c r="N4986" s="3565">
        <v>0</v>
      </c>
      <c r="O4986" s="3563" t="s">
        <v>3453</v>
      </c>
    </row>
    <row r="4987" spans="1:15">
      <c r="A4987" s="3563" t="s">
        <v>9212</v>
      </c>
      <c r="B4987" s="3563" t="s">
        <v>4196</v>
      </c>
      <c r="C4987" s="3563" t="s">
        <v>4197</v>
      </c>
      <c r="D4987" s="3563" t="s">
        <v>6429</v>
      </c>
      <c r="E4987" s="3563" t="s">
        <v>9204</v>
      </c>
      <c r="F4987" s="3563" t="s">
        <v>4797</v>
      </c>
      <c r="G4987" s="3564">
        <v>100.88</v>
      </c>
      <c r="H4987" s="3564">
        <v>81.62</v>
      </c>
      <c r="I4987" s="3564">
        <v>19.260000000000002</v>
      </c>
      <c r="J4987" s="3565">
        <v>1063050</v>
      </c>
      <c r="K4987" s="3565">
        <v>10537.77</v>
      </c>
      <c r="L4987" s="3565">
        <v>13024.38</v>
      </c>
      <c r="M4987" s="3565">
        <v>0</v>
      </c>
      <c r="N4987" s="3565">
        <v>0</v>
      </c>
      <c r="O4987" s="3563" t="s">
        <v>3453</v>
      </c>
    </row>
    <row r="4988" spans="1:15">
      <c r="A4988" s="3563" t="s">
        <v>9213</v>
      </c>
      <c r="B4988" s="3563" t="s">
        <v>4196</v>
      </c>
      <c r="C4988" s="3563" t="s">
        <v>4197</v>
      </c>
      <c r="D4988" s="3563" t="s">
        <v>6429</v>
      </c>
      <c r="E4988" s="3563" t="s">
        <v>9204</v>
      </c>
      <c r="F4988" s="3563" t="s">
        <v>4797</v>
      </c>
      <c r="G4988" s="3564">
        <v>100.88</v>
      </c>
      <c r="H4988" s="3564">
        <v>81.62</v>
      </c>
      <c r="I4988" s="3564">
        <v>19.260000000000002</v>
      </c>
      <c r="J4988" s="3565">
        <v>1063050</v>
      </c>
      <c r="K4988" s="3565">
        <v>10537.77</v>
      </c>
      <c r="L4988" s="3565">
        <v>13024.38</v>
      </c>
      <c r="M4988" s="3565">
        <v>0</v>
      </c>
      <c r="N4988" s="3565">
        <v>0</v>
      </c>
      <c r="O4988" s="3563" t="s">
        <v>3453</v>
      </c>
    </row>
    <row r="4989" spans="1:15">
      <c r="A4989" s="3563" t="s">
        <v>9214</v>
      </c>
      <c r="B4989" s="3563" t="s">
        <v>4196</v>
      </c>
      <c r="C4989" s="3563" t="s">
        <v>4197</v>
      </c>
      <c r="D4989" s="3563" t="s">
        <v>6429</v>
      </c>
      <c r="E4989" s="3563" t="s">
        <v>9204</v>
      </c>
      <c r="F4989" s="3563" t="s">
        <v>4797</v>
      </c>
      <c r="G4989" s="3564">
        <v>123.64</v>
      </c>
      <c r="H4989" s="3564">
        <v>100.03</v>
      </c>
      <c r="I4989" s="3564">
        <v>23.61</v>
      </c>
      <c r="J4989" s="3565">
        <v>1270007</v>
      </c>
      <c r="K4989" s="3565">
        <v>10271.81</v>
      </c>
      <c r="L4989" s="3565">
        <v>12696.26</v>
      </c>
      <c r="M4989" s="3565">
        <v>0</v>
      </c>
      <c r="N4989" s="3565">
        <v>0</v>
      </c>
      <c r="O4989" s="3563" t="s">
        <v>3453</v>
      </c>
    </row>
    <row r="4990" spans="1:15">
      <c r="A4990" s="3563" t="s">
        <v>9215</v>
      </c>
      <c r="B4990" s="3563" t="s">
        <v>4196</v>
      </c>
      <c r="C4990" s="3563" t="s">
        <v>4197</v>
      </c>
      <c r="D4990" s="3563" t="s">
        <v>6429</v>
      </c>
      <c r="E4990" s="3563" t="s">
        <v>9204</v>
      </c>
      <c r="F4990" s="3563" t="s">
        <v>4797</v>
      </c>
      <c r="G4990" s="3564">
        <v>100.88</v>
      </c>
      <c r="H4990" s="3564">
        <v>81.62</v>
      </c>
      <c r="I4990" s="3564">
        <v>19.260000000000002</v>
      </c>
      <c r="J4990" s="3565">
        <v>1048026</v>
      </c>
      <c r="K4990" s="3565">
        <v>10388.84</v>
      </c>
      <c r="L4990" s="3565">
        <v>12840.31</v>
      </c>
      <c r="M4990" s="3565">
        <v>0</v>
      </c>
      <c r="N4990" s="3565">
        <v>0</v>
      </c>
      <c r="O4990" s="3563" t="s">
        <v>3453</v>
      </c>
    </row>
    <row r="4991" spans="1:15">
      <c r="A4991" s="3563" t="s">
        <v>9216</v>
      </c>
      <c r="B4991" s="3563" t="s">
        <v>4196</v>
      </c>
      <c r="C4991" s="3563" t="s">
        <v>4197</v>
      </c>
      <c r="D4991" s="3563" t="s">
        <v>6429</v>
      </c>
      <c r="E4991" s="3563" t="s">
        <v>9204</v>
      </c>
      <c r="F4991" s="3563" t="s">
        <v>4797</v>
      </c>
      <c r="G4991" s="3564">
        <v>100.88</v>
      </c>
      <c r="H4991" s="3564">
        <v>81.62</v>
      </c>
      <c r="I4991" s="3564">
        <v>19.260000000000002</v>
      </c>
      <c r="J4991" s="3565">
        <v>1069490</v>
      </c>
      <c r="K4991" s="3565">
        <v>10601.61</v>
      </c>
      <c r="L4991" s="3565">
        <v>13103.28</v>
      </c>
      <c r="M4991" s="3565">
        <v>0</v>
      </c>
      <c r="N4991" s="3565">
        <v>0</v>
      </c>
      <c r="O4991" s="3563" t="s">
        <v>3453</v>
      </c>
    </row>
    <row r="4992" spans="1:15">
      <c r="A4992" s="3563" t="s">
        <v>9217</v>
      </c>
      <c r="B4992" s="3563" t="s">
        <v>4196</v>
      </c>
      <c r="C4992" s="3563" t="s">
        <v>4197</v>
      </c>
      <c r="D4992" s="3563" t="s">
        <v>6429</v>
      </c>
      <c r="E4992" s="3563" t="s">
        <v>9204</v>
      </c>
      <c r="F4992" s="3563" t="s">
        <v>4797</v>
      </c>
      <c r="G4992" s="3564">
        <v>109.31</v>
      </c>
      <c r="H4992" s="3564">
        <v>88.44</v>
      </c>
      <c r="I4992" s="3564">
        <v>20.87</v>
      </c>
      <c r="J4992" s="3565">
        <v>1129789</v>
      </c>
      <c r="K4992" s="3565">
        <v>10335.64</v>
      </c>
      <c r="L4992" s="3565">
        <v>12774.64</v>
      </c>
      <c r="M4992" s="3565">
        <v>0</v>
      </c>
      <c r="N4992" s="3565">
        <v>0</v>
      </c>
      <c r="O4992" s="3563" t="s">
        <v>3453</v>
      </c>
    </row>
    <row r="4993" spans="1:15">
      <c r="A4993" s="3563" t="s">
        <v>9218</v>
      </c>
      <c r="B4993" s="3563" t="s">
        <v>4196</v>
      </c>
      <c r="C4993" s="3563" t="s">
        <v>4197</v>
      </c>
      <c r="D4993" s="3563" t="s">
        <v>6429</v>
      </c>
      <c r="E4993" s="3563" t="s">
        <v>9204</v>
      </c>
      <c r="F4993" s="3563" t="s">
        <v>4797</v>
      </c>
      <c r="G4993" s="3564">
        <v>100.88</v>
      </c>
      <c r="H4993" s="3564">
        <v>81.62</v>
      </c>
      <c r="I4993" s="3564">
        <v>19.260000000000002</v>
      </c>
      <c r="J4993" s="3565">
        <v>1064124</v>
      </c>
      <c r="K4993" s="3565">
        <v>10548.41</v>
      </c>
      <c r="L4993" s="3565">
        <v>13037.54</v>
      </c>
      <c r="M4993" s="3565">
        <v>0</v>
      </c>
      <c r="N4993" s="3565">
        <v>0</v>
      </c>
      <c r="O4993" s="3563" t="s">
        <v>3453</v>
      </c>
    </row>
    <row r="4994" spans="1:15">
      <c r="A4994" s="3563" t="s">
        <v>9219</v>
      </c>
      <c r="B4994" s="3563" t="s">
        <v>4196</v>
      </c>
      <c r="C4994" s="3563" t="s">
        <v>4197</v>
      </c>
      <c r="D4994" s="3563" t="s">
        <v>6429</v>
      </c>
      <c r="E4994" s="3563" t="s">
        <v>9204</v>
      </c>
      <c r="F4994" s="3563" t="s">
        <v>4797</v>
      </c>
      <c r="G4994" s="3564">
        <v>100.88</v>
      </c>
      <c r="H4994" s="3564">
        <v>81.62</v>
      </c>
      <c r="I4994" s="3564">
        <v>19.260000000000002</v>
      </c>
      <c r="J4994" s="3565">
        <v>1064124</v>
      </c>
      <c r="K4994" s="3565">
        <v>10548.41</v>
      </c>
      <c r="L4994" s="3565">
        <v>13037.54</v>
      </c>
      <c r="M4994" s="3565">
        <v>0</v>
      </c>
      <c r="N4994" s="3565">
        <v>0</v>
      </c>
      <c r="O4994" s="3563" t="s">
        <v>3453</v>
      </c>
    </row>
    <row r="4995" spans="1:15">
      <c r="A4995" s="3563" t="s">
        <v>9220</v>
      </c>
      <c r="B4995" s="3563" t="s">
        <v>4196</v>
      </c>
      <c r="C4995" s="3563" t="s">
        <v>4197</v>
      </c>
      <c r="D4995" s="3563" t="s">
        <v>6429</v>
      </c>
      <c r="E4995" s="3563" t="s">
        <v>9204</v>
      </c>
      <c r="F4995" s="3563" t="s">
        <v>4797</v>
      </c>
      <c r="G4995" s="3564">
        <v>123.64</v>
      </c>
      <c r="H4995" s="3564">
        <v>100.03</v>
      </c>
      <c r="I4995" s="3564">
        <v>23.61</v>
      </c>
      <c r="J4995" s="3565">
        <v>1271322</v>
      </c>
      <c r="K4995" s="3565">
        <v>10282.450000000001</v>
      </c>
      <c r="L4995" s="3565">
        <v>12709.41</v>
      </c>
      <c r="M4995" s="3565">
        <v>0</v>
      </c>
      <c r="N4995" s="3565">
        <v>0</v>
      </c>
      <c r="O4995" s="3563" t="s">
        <v>3453</v>
      </c>
    </row>
    <row r="4996" spans="1:15">
      <c r="A4996" s="3563" t="s">
        <v>9221</v>
      </c>
      <c r="B4996" s="3563" t="s">
        <v>4196</v>
      </c>
      <c r="C4996" s="3563" t="s">
        <v>4197</v>
      </c>
      <c r="D4996" s="3563" t="s">
        <v>6429</v>
      </c>
      <c r="E4996" s="3563" t="s">
        <v>9204</v>
      </c>
      <c r="F4996" s="3563" t="s">
        <v>4797</v>
      </c>
      <c r="G4996" s="3564">
        <v>100.88</v>
      </c>
      <c r="H4996" s="3564">
        <v>81.62</v>
      </c>
      <c r="I4996" s="3564">
        <v>19.260000000000002</v>
      </c>
      <c r="J4996" s="3565">
        <v>1049098</v>
      </c>
      <c r="K4996" s="3565">
        <v>10399.459999999999</v>
      </c>
      <c r="L4996" s="3565">
        <v>12853.44</v>
      </c>
      <c r="M4996" s="3565">
        <v>0</v>
      </c>
      <c r="N4996" s="3565">
        <v>0</v>
      </c>
      <c r="O4996" s="3563" t="s">
        <v>3453</v>
      </c>
    </row>
    <row r="4997" spans="1:15">
      <c r="A4997" s="3563" t="s">
        <v>9222</v>
      </c>
      <c r="B4997" s="3563" t="s">
        <v>4196</v>
      </c>
      <c r="C4997" s="3563" t="s">
        <v>4197</v>
      </c>
      <c r="D4997" s="3563" t="s">
        <v>6429</v>
      </c>
      <c r="E4997" s="3563" t="s">
        <v>9204</v>
      </c>
      <c r="F4997" s="3563" t="s">
        <v>4797</v>
      </c>
      <c r="G4997" s="3564">
        <v>100.88</v>
      </c>
      <c r="H4997" s="3564">
        <v>81.62</v>
      </c>
      <c r="I4997" s="3564">
        <v>19.260000000000002</v>
      </c>
      <c r="J4997" s="3565">
        <v>1070562</v>
      </c>
      <c r="K4997" s="3565">
        <v>10612.23</v>
      </c>
      <c r="L4997" s="3565">
        <v>13116.42</v>
      </c>
      <c r="M4997" s="3565">
        <v>0</v>
      </c>
      <c r="N4997" s="3565">
        <v>0</v>
      </c>
      <c r="O4997" s="3563" t="s">
        <v>3453</v>
      </c>
    </row>
    <row r="4998" spans="1:15">
      <c r="A4998" s="3563" t="s">
        <v>9223</v>
      </c>
      <c r="B4998" s="3563" t="s">
        <v>4196</v>
      </c>
      <c r="C4998" s="3563" t="s">
        <v>4197</v>
      </c>
      <c r="D4998" s="3563" t="s">
        <v>6429</v>
      </c>
      <c r="E4998" s="3563" t="s">
        <v>9204</v>
      </c>
      <c r="F4998" s="3563" t="s">
        <v>4797</v>
      </c>
      <c r="G4998" s="3564">
        <v>109.31</v>
      </c>
      <c r="H4998" s="3564">
        <v>88.44</v>
      </c>
      <c r="I4998" s="3564">
        <v>20.87</v>
      </c>
      <c r="J4998" s="3565">
        <v>1130952</v>
      </c>
      <c r="K4998" s="3565">
        <v>10346.280000000001</v>
      </c>
      <c r="L4998" s="3565">
        <v>12787.79</v>
      </c>
      <c r="M4998" s="3565">
        <v>0</v>
      </c>
      <c r="N4998" s="3565">
        <v>0</v>
      </c>
      <c r="O4998" s="3563" t="s">
        <v>3453</v>
      </c>
    </row>
    <row r="4999" spans="1:15">
      <c r="A4999" s="3563" t="s">
        <v>9224</v>
      </c>
      <c r="B4999" s="3563" t="s">
        <v>4196</v>
      </c>
      <c r="C4999" s="3563" t="s">
        <v>4197</v>
      </c>
      <c r="D4999" s="3563" t="s">
        <v>6429</v>
      </c>
      <c r="E4999" s="3563" t="s">
        <v>9204</v>
      </c>
      <c r="F4999" s="3563" t="s">
        <v>4797</v>
      </c>
      <c r="G4999" s="3564">
        <v>100.88</v>
      </c>
      <c r="H4999" s="3564">
        <v>81.62</v>
      </c>
      <c r="I4999" s="3564">
        <v>19.260000000000002</v>
      </c>
      <c r="J4999" s="3565">
        <v>1065196</v>
      </c>
      <c r="K4999" s="3565">
        <v>10559.04</v>
      </c>
      <c r="L4999" s="3565">
        <v>13050.67</v>
      </c>
      <c r="M4999" s="3565">
        <v>0</v>
      </c>
      <c r="N4999" s="3565">
        <v>0</v>
      </c>
      <c r="O4999" s="3563" t="s">
        <v>3453</v>
      </c>
    </row>
    <row r="5000" spans="1:15">
      <c r="A5000" s="3563" t="s">
        <v>9225</v>
      </c>
      <c r="B5000" s="3563" t="s">
        <v>4196</v>
      </c>
      <c r="C5000" s="3563" t="s">
        <v>4197</v>
      </c>
      <c r="D5000" s="3563" t="s">
        <v>6429</v>
      </c>
      <c r="E5000" s="3563" t="s">
        <v>9204</v>
      </c>
      <c r="F5000" s="3563" t="s">
        <v>4797</v>
      </c>
      <c r="G5000" s="3564">
        <v>100.88</v>
      </c>
      <c r="H5000" s="3564">
        <v>81.62</v>
      </c>
      <c r="I5000" s="3564">
        <v>19.260000000000002</v>
      </c>
      <c r="J5000" s="3565">
        <v>1065196</v>
      </c>
      <c r="K5000" s="3565">
        <v>10559.04</v>
      </c>
      <c r="L5000" s="3565">
        <v>13050.67</v>
      </c>
      <c r="M5000" s="3565">
        <v>0</v>
      </c>
      <c r="N5000" s="3565">
        <v>0</v>
      </c>
      <c r="O5000" s="3563" t="s">
        <v>3453</v>
      </c>
    </row>
    <row r="5001" spans="1:15">
      <c r="A5001" s="3563" t="s">
        <v>9226</v>
      </c>
      <c r="B5001" s="3563" t="s">
        <v>4196</v>
      </c>
      <c r="C5001" s="3563" t="s">
        <v>4197</v>
      </c>
      <c r="D5001" s="3563" t="s">
        <v>6429</v>
      </c>
      <c r="E5001" s="3563" t="s">
        <v>9204</v>
      </c>
      <c r="F5001" s="3563" t="s">
        <v>4797</v>
      </c>
      <c r="G5001" s="3564">
        <v>123.64</v>
      </c>
      <c r="H5001" s="3564">
        <v>100.03</v>
      </c>
      <c r="I5001" s="3564">
        <v>23.61</v>
      </c>
      <c r="J5001" s="3565">
        <v>1272638</v>
      </c>
      <c r="K5001" s="3565">
        <v>10293.09</v>
      </c>
      <c r="L5001" s="3565">
        <v>12722.56</v>
      </c>
      <c r="M5001" s="3565">
        <v>0</v>
      </c>
      <c r="N5001" s="3565">
        <v>0</v>
      </c>
      <c r="O5001" s="3563" t="s">
        <v>3453</v>
      </c>
    </row>
    <row r="5002" spans="1:15">
      <c r="A5002" s="3563" t="s">
        <v>9227</v>
      </c>
      <c r="B5002" s="3563" t="s">
        <v>4196</v>
      </c>
      <c r="C5002" s="3563" t="s">
        <v>4197</v>
      </c>
      <c r="D5002" s="3563" t="s">
        <v>6429</v>
      </c>
      <c r="E5002" s="3563" t="s">
        <v>9204</v>
      </c>
      <c r="F5002" s="3563" t="s">
        <v>4797</v>
      </c>
      <c r="G5002" s="3564">
        <v>100.88</v>
      </c>
      <c r="H5002" s="3564">
        <v>81.62</v>
      </c>
      <c r="I5002" s="3564">
        <v>19.260000000000002</v>
      </c>
      <c r="J5002" s="3565">
        <v>1050172</v>
      </c>
      <c r="K5002" s="3565">
        <v>10410.11</v>
      </c>
      <c r="L5002" s="3565">
        <v>12866.6</v>
      </c>
      <c r="M5002" s="3565">
        <v>0</v>
      </c>
      <c r="N5002" s="3565">
        <v>0</v>
      </c>
      <c r="O5002" s="3563" t="s">
        <v>3453</v>
      </c>
    </row>
    <row r="5003" spans="1:15">
      <c r="A5003" s="3563" t="s">
        <v>9228</v>
      </c>
      <c r="B5003" s="3563" t="s">
        <v>4196</v>
      </c>
      <c r="C5003" s="3563" t="s">
        <v>4197</v>
      </c>
      <c r="D5003" s="3563" t="s">
        <v>6429</v>
      </c>
      <c r="E5003" s="3563" t="s">
        <v>9204</v>
      </c>
      <c r="F5003" s="3563" t="s">
        <v>4797</v>
      </c>
      <c r="G5003" s="3564">
        <v>100.88</v>
      </c>
      <c r="H5003" s="3564">
        <v>81.62</v>
      </c>
      <c r="I5003" s="3564">
        <v>19.260000000000002</v>
      </c>
      <c r="J5003" s="3565">
        <v>1071636</v>
      </c>
      <c r="K5003" s="3565">
        <v>10622.88</v>
      </c>
      <c r="L5003" s="3565">
        <v>13129.58</v>
      </c>
      <c r="M5003" s="3565">
        <v>0</v>
      </c>
      <c r="N5003" s="3565">
        <v>0</v>
      </c>
      <c r="O5003" s="3563" t="s">
        <v>3453</v>
      </c>
    </row>
    <row r="5004" spans="1:15">
      <c r="A5004" s="3563" t="s">
        <v>9229</v>
      </c>
      <c r="B5004" s="3563" t="s">
        <v>4196</v>
      </c>
      <c r="C5004" s="3563" t="s">
        <v>4197</v>
      </c>
      <c r="D5004" s="3563" t="s">
        <v>6429</v>
      </c>
      <c r="E5004" s="3563" t="s">
        <v>9204</v>
      </c>
      <c r="F5004" s="3563" t="s">
        <v>4797</v>
      </c>
      <c r="G5004" s="3564">
        <v>109.31</v>
      </c>
      <c r="H5004" s="3564">
        <v>88.44</v>
      </c>
      <c r="I5004" s="3564">
        <v>20.87</v>
      </c>
      <c r="J5004" s="3565">
        <v>1132115</v>
      </c>
      <c r="K5004" s="3565">
        <v>10356.92</v>
      </c>
      <c r="L5004" s="3565">
        <v>12800.94</v>
      </c>
      <c r="M5004" s="3565">
        <v>0</v>
      </c>
      <c r="N5004" s="3565">
        <v>0</v>
      </c>
      <c r="O5004" s="3563" t="s">
        <v>3453</v>
      </c>
    </row>
    <row r="5005" spans="1:15">
      <c r="A5005" s="3563" t="s">
        <v>9230</v>
      </c>
      <c r="B5005" s="3563" t="s">
        <v>4196</v>
      </c>
      <c r="C5005" s="3563" t="s">
        <v>4197</v>
      </c>
      <c r="D5005" s="3563" t="s">
        <v>6429</v>
      </c>
      <c r="E5005" s="3563" t="s">
        <v>9204</v>
      </c>
      <c r="F5005" s="3563" t="s">
        <v>4797</v>
      </c>
      <c r="G5005" s="3564">
        <v>100.88</v>
      </c>
      <c r="H5005" s="3564">
        <v>81.62</v>
      </c>
      <c r="I5005" s="3564">
        <v>19.260000000000002</v>
      </c>
      <c r="J5005" s="3565">
        <v>1066270</v>
      </c>
      <c r="K5005" s="3565">
        <v>10569.69</v>
      </c>
      <c r="L5005" s="3565">
        <v>13063.83</v>
      </c>
      <c r="M5005" s="3565">
        <v>0</v>
      </c>
      <c r="N5005" s="3565">
        <v>0</v>
      </c>
      <c r="O5005" s="3563" t="s">
        <v>3453</v>
      </c>
    </row>
    <row r="5006" spans="1:15">
      <c r="A5006" s="3563" t="s">
        <v>9231</v>
      </c>
      <c r="B5006" s="3563" t="s">
        <v>4196</v>
      </c>
      <c r="C5006" s="3563" t="s">
        <v>4197</v>
      </c>
      <c r="D5006" s="3563" t="s">
        <v>6429</v>
      </c>
      <c r="E5006" s="3563" t="s">
        <v>9204</v>
      </c>
      <c r="F5006" s="3563" t="s">
        <v>4797</v>
      </c>
      <c r="G5006" s="3564">
        <v>100.88</v>
      </c>
      <c r="H5006" s="3564">
        <v>81.62</v>
      </c>
      <c r="I5006" s="3564">
        <v>19.260000000000002</v>
      </c>
      <c r="J5006" s="3565">
        <v>1066270</v>
      </c>
      <c r="K5006" s="3565">
        <v>10569.69</v>
      </c>
      <c r="L5006" s="3565">
        <v>13063.83</v>
      </c>
      <c r="M5006" s="3565">
        <v>0</v>
      </c>
      <c r="N5006" s="3565">
        <v>0</v>
      </c>
      <c r="O5006" s="3563" t="s">
        <v>3453</v>
      </c>
    </row>
    <row r="5007" spans="1:15">
      <c r="A5007" s="3563" t="s">
        <v>9232</v>
      </c>
      <c r="B5007" s="3563" t="s">
        <v>4196</v>
      </c>
      <c r="C5007" s="3563" t="s">
        <v>4197</v>
      </c>
      <c r="D5007" s="3563" t="s">
        <v>6429</v>
      </c>
      <c r="E5007" s="3563" t="s">
        <v>9204</v>
      </c>
      <c r="F5007" s="3563" t="s">
        <v>4797</v>
      </c>
      <c r="G5007" s="3564">
        <v>123.64</v>
      </c>
      <c r="H5007" s="3564">
        <v>100.03</v>
      </c>
      <c r="I5007" s="3564">
        <v>23.61</v>
      </c>
      <c r="J5007" s="3565">
        <v>1273953</v>
      </c>
      <c r="K5007" s="3565">
        <v>10303.73</v>
      </c>
      <c r="L5007" s="3565">
        <v>12735.71</v>
      </c>
      <c r="M5007" s="3565">
        <v>0</v>
      </c>
      <c r="N5007" s="3565">
        <v>0</v>
      </c>
      <c r="O5007" s="3563" t="s">
        <v>3453</v>
      </c>
    </row>
    <row r="5008" spans="1:15">
      <c r="A5008" s="3563" t="s">
        <v>9233</v>
      </c>
      <c r="B5008" s="3563" t="s">
        <v>4196</v>
      </c>
      <c r="C5008" s="3563" t="s">
        <v>4197</v>
      </c>
      <c r="D5008" s="3563" t="s">
        <v>6429</v>
      </c>
      <c r="E5008" s="3563" t="s">
        <v>9204</v>
      </c>
      <c r="F5008" s="3563" t="s">
        <v>4797</v>
      </c>
      <c r="G5008" s="3564">
        <v>100.88</v>
      </c>
      <c r="H5008" s="3564">
        <v>81.62</v>
      </c>
      <c r="I5008" s="3564">
        <v>19.260000000000002</v>
      </c>
      <c r="J5008" s="3565">
        <v>1040513</v>
      </c>
      <c r="K5008" s="3565">
        <v>10314.36</v>
      </c>
      <c r="L5008" s="3565">
        <v>12748.26</v>
      </c>
      <c r="M5008" s="3565">
        <v>0</v>
      </c>
      <c r="N5008" s="3565">
        <v>0</v>
      </c>
      <c r="O5008" s="3563" t="s">
        <v>3453</v>
      </c>
    </row>
    <row r="5009" spans="1:15">
      <c r="A5009" s="3563" t="s">
        <v>9234</v>
      </c>
      <c r="B5009" s="3563" t="s">
        <v>4196</v>
      </c>
      <c r="C5009" s="3563" t="s">
        <v>4197</v>
      </c>
      <c r="D5009" s="3563" t="s">
        <v>6429</v>
      </c>
      <c r="E5009" s="3563" t="s">
        <v>9204</v>
      </c>
      <c r="F5009" s="3563" t="s">
        <v>4797</v>
      </c>
      <c r="G5009" s="3564">
        <v>100.88</v>
      </c>
      <c r="H5009" s="3564">
        <v>81.62</v>
      </c>
      <c r="I5009" s="3564">
        <v>19.260000000000002</v>
      </c>
      <c r="J5009" s="3565">
        <v>1061977</v>
      </c>
      <c r="K5009" s="3565">
        <v>10527.13</v>
      </c>
      <c r="L5009" s="3565">
        <v>13011.23</v>
      </c>
      <c r="M5009" s="3565">
        <v>0</v>
      </c>
      <c r="N5009" s="3565">
        <v>0</v>
      </c>
      <c r="O5009" s="3563" t="s">
        <v>3453</v>
      </c>
    </row>
    <row r="5010" spans="1:15">
      <c r="A5010" s="3563" t="s">
        <v>9235</v>
      </c>
      <c r="B5010" s="3563" t="s">
        <v>4196</v>
      </c>
      <c r="C5010" s="3563" t="s">
        <v>4197</v>
      </c>
      <c r="D5010" s="3563" t="s">
        <v>6429</v>
      </c>
      <c r="E5010" s="3563" t="s">
        <v>9204</v>
      </c>
      <c r="F5010" s="3563" t="s">
        <v>4797</v>
      </c>
      <c r="G5010" s="3564">
        <v>109.31</v>
      </c>
      <c r="H5010" s="3564">
        <v>88.44</v>
      </c>
      <c r="I5010" s="3564">
        <v>20.87</v>
      </c>
      <c r="J5010" s="3565">
        <v>1121649</v>
      </c>
      <c r="K5010" s="3565">
        <v>10261.17</v>
      </c>
      <c r="L5010" s="3565">
        <v>12682.6</v>
      </c>
      <c r="M5010" s="3565">
        <v>0</v>
      </c>
      <c r="N5010" s="3565">
        <v>0</v>
      </c>
      <c r="O5010" s="3563" t="s">
        <v>3453</v>
      </c>
    </row>
    <row r="5011" spans="1:15">
      <c r="A5011" s="3563" t="s">
        <v>9236</v>
      </c>
      <c r="B5011" s="3563" t="s">
        <v>4196</v>
      </c>
      <c r="C5011" s="3563" t="s">
        <v>4197</v>
      </c>
      <c r="D5011" s="3563" t="s">
        <v>6429</v>
      </c>
      <c r="E5011" s="3563" t="s">
        <v>9204</v>
      </c>
      <c r="F5011" s="3563" t="s">
        <v>4797</v>
      </c>
      <c r="G5011" s="3564">
        <v>100.88</v>
      </c>
      <c r="H5011" s="3564">
        <v>81.62</v>
      </c>
      <c r="I5011" s="3564">
        <v>19.260000000000002</v>
      </c>
      <c r="J5011" s="3565">
        <v>1056611</v>
      </c>
      <c r="K5011" s="3565">
        <v>10473.94</v>
      </c>
      <c r="L5011" s="3565">
        <v>12945.49</v>
      </c>
      <c r="M5011" s="3565">
        <v>0</v>
      </c>
      <c r="N5011" s="3565">
        <v>0</v>
      </c>
      <c r="O5011" s="3563" t="s">
        <v>3453</v>
      </c>
    </row>
    <row r="5012" spans="1:15">
      <c r="A5012" s="3563" t="s">
        <v>9237</v>
      </c>
      <c r="B5012" s="3563" t="s">
        <v>4196</v>
      </c>
      <c r="C5012" s="3563" t="s">
        <v>4197</v>
      </c>
      <c r="D5012" s="3563" t="s">
        <v>6429</v>
      </c>
      <c r="E5012" s="3563" t="s">
        <v>9204</v>
      </c>
      <c r="F5012" s="3563" t="s">
        <v>4797</v>
      </c>
      <c r="G5012" s="3564">
        <v>100.88</v>
      </c>
      <c r="H5012" s="3564">
        <v>81.62</v>
      </c>
      <c r="I5012" s="3564">
        <v>19.260000000000002</v>
      </c>
      <c r="J5012" s="3565">
        <v>1056611</v>
      </c>
      <c r="K5012" s="3565">
        <v>10473.94</v>
      </c>
      <c r="L5012" s="3565">
        <v>12945.49</v>
      </c>
      <c r="M5012" s="3565">
        <v>0</v>
      </c>
      <c r="N5012" s="3565">
        <v>0</v>
      </c>
      <c r="O5012" s="3563" t="s">
        <v>3453</v>
      </c>
    </row>
    <row r="5013" spans="1:15">
      <c r="A5013" s="3563" t="s">
        <v>9238</v>
      </c>
      <c r="B5013" s="3563" t="s">
        <v>4196</v>
      </c>
      <c r="C5013" s="3563" t="s">
        <v>4197</v>
      </c>
      <c r="D5013" s="3563" t="s">
        <v>6429</v>
      </c>
      <c r="E5013" s="3563" t="s">
        <v>9204</v>
      </c>
      <c r="F5013" s="3563" t="s">
        <v>4797</v>
      </c>
      <c r="G5013" s="3564">
        <v>123.64</v>
      </c>
      <c r="H5013" s="3564">
        <v>100.03</v>
      </c>
      <c r="I5013" s="3564">
        <v>23.61</v>
      </c>
      <c r="J5013" s="3565">
        <v>1262115</v>
      </c>
      <c r="K5013" s="3565">
        <v>10207.98</v>
      </c>
      <c r="L5013" s="3565">
        <v>12617.36</v>
      </c>
      <c r="M5013" s="3565">
        <v>0</v>
      </c>
      <c r="N5013" s="3565">
        <v>0</v>
      </c>
      <c r="O5013" s="3563" t="s">
        <v>3453</v>
      </c>
    </row>
    <row r="5014" spans="1:15">
      <c r="A5014" s="3563" t="s">
        <v>9239</v>
      </c>
      <c r="B5014" s="3563" t="s">
        <v>4196</v>
      </c>
      <c r="C5014" s="3563" t="s">
        <v>4197</v>
      </c>
      <c r="D5014" s="3563" t="s">
        <v>6429</v>
      </c>
      <c r="E5014" s="3563" t="s">
        <v>9204</v>
      </c>
      <c r="F5014" s="3563" t="s">
        <v>4797</v>
      </c>
      <c r="G5014" s="3564">
        <v>100.88</v>
      </c>
      <c r="H5014" s="3564">
        <v>81.62</v>
      </c>
      <c r="I5014" s="3564">
        <v>19.260000000000002</v>
      </c>
      <c r="J5014" s="3565">
        <v>1052319</v>
      </c>
      <c r="K5014" s="3565">
        <v>10431.39</v>
      </c>
      <c r="L5014" s="3565">
        <v>12892.91</v>
      </c>
      <c r="M5014" s="3565">
        <v>0</v>
      </c>
      <c r="N5014" s="3565">
        <v>0</v>
      </c>
      <c r="O5014" s="3563" t="s">
        <v>3453</v>
      </c>
    </row>
    <row r="5015" spans="1:15">
      <c r="A5015" s="3563" t="s">
        <v>9240</v>
      </c>
      <c r="B5015" s="3563" t="s">
        <v>4196</v>
      </c>
      <c r="C5015" s="3563" t="s">
        <v>4197</v>
      </c>
      <c r="D5015" s="3563" t="s">
        <v>6429</v>
      </c>
      <c r="E5015" s="3563" t="s">
        <v>9204</v>
      </c>
      <c r="F5015" s="3563" t="s">
        <v>4797</v>
      </c>
      <c r="G5015" s="3564">
        <v>100.88</v>
      </c>
      <c r="H5015" s="3564">
        <v>81.62</v>
      </c>
      <c r="I5015" s="3564">
        <v>19.260000000000002</v>
      </c>
      <c r="J5015" s="3565">
        <v>1073782</v>
      </c>
      <c r="K5015" s="3565">
        <v>10644.15</v>
      </c>
      <c r="L5015" s="3565">
        <v>13155.87</v>
      </c>
      <c r="M5015" s="3565">
        <v>0</v>
      </c>
      <c r="N5015" s="3565">
        <v>0</v>
      </c>
      <c r="O5015" s="3563" t="s">
        <v>3453</v>
      </c>
    </row>
    <row r="5016" spans="1:15">
      <c r="A5016" s="3563" t="s">
        <v>9241</v>
      </c>
      <c r="B5016" s="3563" t="s">
        <v>4196</v>
      </c>
      <c r="C5016" s="3563" t="s">
        <v>4197</v>
      </c>
      <c r="D5016" s="3563" t="s">
        <v>6429</v>
      </c>
      <c r="E5016" s="3563" t="s">
        <v>9204</v>
      </c>
      <c r="F5016" s="3563" t="s">
        <v>4797</v>
      </c>
      <c r="G5016" s="3564">
        <v>109.31</v>
      </c>
      <c r="H5016" s="3564">
        <v>88.44</v>
      </c>
      <c r="I5016" s="3564">
        <v>20.87</v>
      </c>
      <c r="J5016" s="3565">
        <v>1134441</v>
      </c>
      <c r="K5016" s="3565">
        <v>10378.200000000001</v>
      </c>
      <c r="L5016" s="3565">
        <v>12827.24</v>
      </c>
      <c r="M5016" s="3565">
        <v>0</v>
      </c>
      <c r="N5016" s="3565">
        <v>0</v>
      </c>
      <c r="O5016" s="3563" t="s">
        <v>3453</v>
      </c>
    </row>
    <row r="5017" spans="1:15">
      <c r="A5017" s="3563" t="s">
        <v>9242</v>
      </c>
      <c r="B5017" s="3563" t="s">
        <v>4196</v>
      </c>
      <c r="C5017" s="3563" t="s">
        <v>4197</v>
      </c>
      <c r="D5017" s="3563" t="s">
        <v>6429</v>
      </c>
      <c r="E5017" s="3563" t="s">
        <v>9204</v>
      </c>
      <c r="F5017" s="3563" t="s">
        <v>4797</v>
      </c>
      <c r="G5017" s="3564">
        <v>100.88</v>
      </c>
      <c r="H5017" s="3564">
        <v>81.62</v>
      </c>
      <c r="I5017" s="3564">
        <v>19.260000000000002</v>
      </c>
      <c r="J5017" s="3565">
        <v>1068416</v>
      </c>
      <c r="K5017" s="3565">
        <v>10590.96</v>
      </c>
      <c r="L5017" s="3565">
        <v>13090.12</v>
      </c>
      <c r="M5017" s="3565">
        <v>0</v>
      </c>
      <c r="N5017" s="3565">
        <v>0</v>
      </c>
      <c r="O5017" s="3563" t="s">
        <v>3453</v>
      </c>
    </row>
    <row r="5018" spans="1:15">
      <c r="A5018" s="3563" t="s">
        <v>9243</v>
      </c>
      <c r="B5018" s="3563" t="s">
        <v>4196</v>
      </c>
      <c r="C5018" s="3563" t="s">
        <v>4197</v>
      </c>
      <c r="D5018" s="3563" t="s">
        <v>6429</v>
      </c>
      <c r="E5018" s="3563" t="s">
        <v>9204</v>
      </c>
      <c r="F5018" s="3563" t="s">
        <v>4797</v>
      </c>
      <c r="G5018" s="3564">
        <v>100.88</v>
      </c>
      <c r="H5018" s="3564">
        <v>81.62</v>
      </c>
      <c r="I5018" s="3564">
        <v>19.260000000000002</v>
      </c>
      <c r="J5018" s="3565">
        <v>1068416</v>
      </c>
      <c r="K5018" s="3565">
        <v>10590.96</v>
      </c>
      <c r="L5018" s="3565">
        <v>13090.12</v>
      </c>
      <c r="M5018" s="3565">
        <v>0</v>
      </c>
      <c r="N5018" s="3565">
        <v>0</v>
      </c>
      <c r="O5018" s="3563" t="s">
        <v>3453</v>
      </c>
    </row>
    <row r="5019" spans="1:15">
      <c r="A5019" s="3563" t="s">
        <v>9244</v>
      </c>
      <c r="B5019" s="3563" t="s">
        <v>4196</v>
      </c>
      <c r="C5019" s="3563" t="s">
        <v>4197</v>
      </c>
      <c r="D5019" s="3563" t="s">
        <v>6429</v>
      </c>
      <c r="E5019" s="3563" t="s">
        <v>9204</v>
      </c>
      <c r="F5019" s="3563" t="s">
        <v>4797</v>
      </c>
      <c r="G5019" s="3564">
        <v>123.64</v>
      </c>
      <c r="H5019" s="3564">
        <v>100.03</v>
      </c>
      <c r="I5019" s="3564">
        <v>23.61</v>
      </c>
      <c r="J5019" s="3565">
        <v>1276583</v>
      </c>
      <c r="K5019" s="3565">
        <v>10325</v>
      </c>
      <c r="L5019" s="3565">
        <v>12762</v>
      </c>
      <c r="M5019" s="3565">
        <v>0</v>
      </c>
      <c r="N5019" s="3565">
        <v>0</v>
      </c>
      <c r="O5019" s="3563" t="s">
        <v>3453</v>
      </c>
    </row>
    <row r="5020" spans="1:15">
      <c r="A5020" s="3563" t="s">
        <v>9245</v>
      </c>
      <c r="B5020" s="3563" t="s">
        <v>4196</v>
      </c>
      <c r="C5020" s="3563" t="s">
        <v>4197</v>
      </c>
      <c r="D5020" s="3563" t="s">
        <v>6429</v>
      </c>
      <c r="E5020" s="3563" t="s">
        <v>9204</v>
      </c>
      <c r="F5020" s="3563" t="s">
        <v>4797</v>
      </c>
      <c r="G5020" s="3564">
        <v>100.88</v>
      </c>
      <c r="H5020" s="3564">
        <v>81.62</v>
      </c>
      <c r="I5020" s="3564">
        <v>19.260000000000002</v>
      </c>
      <c r="J5020" s="3565">
        <v>1051245</v>
      </c>
      <c r="K5020" s="3565">
        <v>10420.75</v>
      </c>
      <c r="L5020" s="3565">
        <v>12879.75</v>
      </c>
      <c r="M5020" s="3565">
        <v>0</v>
      </c>
      <c r="N5020" s="3565">
        <v>0</v>
      </c>
      <c r="O5020" s="3563" t="s">
        <v>3453</v>
      </c>
    </row>
    <row r="5021" spans="1:15">
      <c r="A5021" s="3563" t="s">
        <v>9246</v>
      </c>
      <c r="B5021" s="3563" t="s">
        <v>4196</v>
      </c>
      <c r="C5021" s="3563" t="s">
        <v>4197</v>
      </c>
      <c r="D5021" s="3563" t="s">
        <v>6429</v>
      </c>
      <c r="E5021" s="3563" t="s">
        <v>9204</v>
      </c>
      <c r="F5021" s="3563" t="s">
        <v>4797</v>
      </c>
      <c r="G5021" s="3564">
        <v>100.88</v>
      </c>
      <c r="H5021" s="3564">
        <v>81.62</v>
      </c>
      <c r="I5021" s="3564">
        <v>19.260000000000002</v>
      </c>
      <c r="J5021" s="3565">
        <v>1072709</v>
      </c>
      <c r="K5021" s="3565">
        <v>10633.52</v>
      </c>
      <c r="L5021" s="3565">
        <v>13142.72</v>
      </c>
      <c r="M5021" s="3565">
        <v>0</v>
      </c>
      <c r="N5021" s="3565">
        <v>0</v>
      </c>
      <c r="O5021" s="3563" t="s">
        <v>3453</v>
      </c>
    </row>
    <row r="5022" spans="1:15">
      <c r="A5022" s="3563" t="s">
        <v>9247</v>
      </c>
      <c r="B5022" s="3563" t="s">
        <v>4196</v>
      </c>
      <c r="C5022" s="3563" t="s">
        <v>4197</v>
      </c>
      <c r="D5022" s="3563" t="s">
        <v>6429</v>
      </c>
      <c r="E5022" s="3563" t="s">
        <v>9204</v>
      </c>
      <c r="F5022" s="3563" t="s">
        <v>4797</v>
      </c>
      <c r="G5022" s="3564">
        <v>109.31</v>
      </c>
      <c r="H5022" s="3564">
        <v>88.44</v>
      </c>
      <c r="I5022" s="3564">
        <v>20.87</v>
      </c>
      <c r="J5022" s="3565">
        <v>1133278</v>
      </c>
      <c r="K5022" s="3565">
        <v>10367.56</v>
      </c>
      <c r="L5022" s="3565">
        <v>12814.09</v>
      </c>
      <c r="M5022" s="3565">
        <v>0</v>
      </c>
      <c r="N5022" s="3565">
        <v>0</v>
      </c>
      <c r="O5022" s="3563" t="s">
        <v>3453</v>
      </c>
    </row>
    <row r="5023" spans="1:15">
      <c r="A5023" s="3563" t="s">
        <v>9248</v>
      </c>
      <c r="B5023" s="3563" t="s">
        <v>4196</v>
      </c>
      <c r="C5023" s="3563" t="s">
        <v>4197</v>
      </c>
      <c r="D5023" s="3563" t="s">
        <v>6429</v>
      </c>
      <c r="E5023" s="3563" t="s">
        <v>9204</v>
      </c>
      <c r="F5023" s="3563" t="s">
        <v>4797</v>
      </c>
      <c r="G5023" s="3564">
        <v>100.88</v>
      </c>
      <c r="H5023" s="3564">
        <v>81.62</v>
      </c>
      <c r="I5023" s="3564">
        <v>19.260000000000002</v>
      </c>
      <c r="J5023" s="3565">
        <v>1067343</v>
      </c>
      <c r="K5023" s="3565">
        <v>10580.32</v>
      </c>
      <c r="L5023" s="3565">
        <v>13076.98</v>
      </c>
      <c r="M5023" s="3565">
        <v>0</v>
      </c>
      <c r="N5023" s="3565">
        <v>0</v>
      </c>
      <c r="O5023" s="3563" t="s">
        <v>3453</v>
      </c>
    </row>
    <row r="5024" spans="1:15">
      <c r="A5024" s="3563" t="s">
        <v>9249</v>
      </c>
      <c r="B5024" s="3563" t="s">
        <v>4196</v>
      </c>
      <c r="C5024" s="3563" t="s">
        <v>4197</v>
      </c>
      <c r="D5024" s="3563" t="s">
        <v>6429</v>
      </c>
      <c r="E5024" s="3563" t="s">
        <v>9204</v>
      </c>
      <c r="F5024" s="3563" t="s">
        <v>4797</v>
      </c>
      <c r="G5024" s="3564">
        <v>100.88</v>
      </c>
      <c r="H5024" s="3564">
        <v>81.62</v>
      </c>
      <c r="I5024" s="3564">
        <v>19.260000000000002</v>
      </c>
      <c r="J5024" s="3565">
        <v>1067343</v>
      </c>
      <c r="K5024" s="3565">
        <v>10580.32</v>
      </c>
      <c r="L5024" s="3565">
        <v>13076.98</v>
      </c>
      <c r="M5024" s="3565">
        <v>0</v>
      </c>
      <c r="N5024" s="3565">
        <v>0</v>
      </c>
      <c r="O5024" s="3563" t="s">
        <v>3453</v>
      </c>
    </row>
    <row r="5025" spans="1:15">
      <c r="A5025" s="3563" t="s">
        <v>9250</v>
      </c>
      <c r="B5025" s="3563" t="s">
        <v>4196</v>
      </c>
      <c r="C5025" s="3563" t="s">
        <v>4197</v>
      </c>
      <c r="D5025" s="3563" t="s">
        <v>6429</v>
      </c>
      <c r="E5025" s="3563" t="s">
        <v>9204</v>
      </c>
      <c r="F5025" s="3563" t="s">
        <v>4797</v>
      </c>
      <c r="G5025" s="3564">
        <v>123.64</v>
      </c>
      <c r="H5025" s="3564">
        <v>100.03</v>
      </c>
      <c r="I5025" s="3564">
        <v>23.61</v>
      </c>
      <c r="J5025" s="3565">
        <v>1275269</v>
      </c>
      <c r="K5025" s="3565">
        <v>10314.370000000001</v>
      </c>
      <c r="L5025" s="3565">
        <v>12748.87</v>
      </c>
      <c r="M5025" s="3565">
        <v>0</v>
      </c>
      <c r="N5025" s="3565">
        <v>0</v>
      </c>
      <c r="O5025" s="3563" t="s">
        <v>3453</v>
      </c>
    </row>
    <row r="5026" spans="1:15">
      <c r="A5026" s="3563" t="s">
        <v>9251</v>
      </c>
      <c r="B5026" s="3563" t="s">
        <v>4196</v>
      </c>
      <c r="C5026" s="3563" t="s">
        <v>4197</v>
      </c>
      <c r="D5026" s="3563" t="s">
        <v>6429</v>
      </c>
      <c r="E5026" s="3563" t="s">
        <v>9204</v>
      </c>
      <c r="F5026" s="3563" t="s">
        <v>4797</v>
      </c>
      <c r="G5026" s="3564">
        <v>100.88</v>
      </c>
      <c r="H5026" s="3564">
        <v>81.62</v>
      </c>
      <c r="I5026" s="3564">
        <v>19.260000000000002</v>
      </c>
      <c r="J5026" s="3565">
        <v>1050172</v>
      </c>
      <c r="K5026" s="3565">
        <v>10410.11</v>
      </c>
      <c r="L5026" s="3565">
        <v>12866.6</v>
      </c>
      <c r="M5026" s="3565">
        <v>0</v>
      </c>
      <c r="N5026" s="3565">
        <v>0</v>
      </c>
      <c r="O5026" s="3563" t="s">
        <v>3453</v>
      </c>
    </row>
    <row r="5027" spans="1:15">
      <c r="A5027" s="3563" t="s">
        <v>9252</v>
      </c>
      <c r="B5027" s="3563" t="s">
        <v>4196</v>
      </c>
      <c r="C5027" s="3563" t="s">
        <v>4197</v>
      </c>
      <c r="D5027" s="3563" t="s">
        <v>6429</v>
      </c>
      <c r="E5027" s="3563" t="s">
        <v>9204</v>
      </c>
      <c r="F5027" s="3563" t="s">
        <v>4797</v>
      </c>
      <c r="G5027" s="3564">
        <v>100.88</v>
      </c>
      <c r="H5027" s="3564">
        <v>81.62</v>
      </c>
      <c r="I5027" s="3564">
        <v>19.260000000000002</v>
      </c>
      <c r="J5027" s="3565">
        <v>1071636</v>
      </c>
      <c r="K5027" s="3565">
        <v>10622.88</v>
      </c>
      <c r="L5027" s="3565">
        <v>13129.58</v>
      </c>
      <c r="M5027" s="3565">
        <v>0</v>
      </c>
      <c r="N5027" s="3565">
        <v>0</v>
      </c>
      <c r="O5027" s="3563" t="s">
        <v>3453</v>
      </c>
    </row>
    <row r="5028" spans="1:15">
      <c r="A5028" s="3563" t="s">
        <v>9253</v>
      </c>
      <c r="B5028" s="3563" t="s">
        <v>4196</v>
      </c>
      <c r="C5028" s="3563" t="s">
        <v>4197</v>
      </c>
      <c r="D5028" s="3563" t="s">
        <v>6429</v>
      </c>
      <c r="E5028" s="3563" t="s">
        <v>9204</v>
      </c>
      <c r="F5028" s="3563" t="s">
        <v>4797</v>
      </c>
      <c r="G5028" s="3564">
        <v>109.31</v>
      </c>
      <c r="H5028" s="3564">
        <v>88.44</v>
      </c>
      <c r="I5028" s="3564">
        <v>20.87</v>
      </c>
      <c r="J5028" s="3565">
        <v>1132115</v>
      </c>
      <c r="K5028" s="3565">
        <v>10356.92</v>
      </c>
      <c r="L5028" s="3565">
        <v>12800.94</v>
      </c>
      <c r="M5028" s="3565">
        <v>0</v>
      </c>
      <c r="N5028" s="3565">
        <v>0</v>
      </c>
      <c r="O5028" s="3563" t="s">
        <v>3453</v>
      </c>
    </row>
    <row r="5029" spans="1:15">
      <c r="A5029" s="3563" t="s">
        <v>9254</v>
      </c>
      <c r="B5029" s="3563" t="s">
        <v>4196</v>
      </c>
      <c r="C5029" s="3563" t="s">
        <v>4197</v>
      </c>
      <c r="D5029" s="3563" t="s">
        <v>6429</v>
      </c>
      <c r="E5029" s="3563" t="s">
        <v>9204</v>
      </c>
      <c r="F5029" s="3563" t="s">
        <v>4797</v>
      </c>
      <c r="G5029" s="3564">
        <v>100.88</v>
      </c>
      <c r="H5029" s="3564">
        <v>81.62</v>
      </c>
      <c r="I5029" s="3564">
        <v>19.260000000000002</v>
      </c>
      <c r="J5029" s="3565">
        <v>1066270</v>
      </c>
      <c r="K5029" s="3565">
        <v>10569.69</v>
      </c>
      <c r="L5029" s="3565">
        <v>13063.83</v>
      </c>
      <c r="M5029" s="3565">
        <v>0</v>
      </c>
      <c r="N5029" s="3565">
        <v>0</v>
      </c>
      <c r="O5029" s="3563" t="s">
        <v>3453</v>
      </c>
    </row>
    <row r="5030" spans="1:15">
      <c r="A5030" s="3563" t="s">
        <v>9255</v>
      </c>
      <c r="B5030" s="3563" t="s">
        <v>4196</v>
      </c>
      <c r="C5030" s="3563" t="s">
        <v>4197</v>
      </c>
      <c r="D5030" s="3563" t="s">
        <v>6429</v>
      </c>
      <c r="E5030" s="3563" t="s">
        <v>9204</v>
      </c>
      <c r="F5030" s="3563" t="s">
        <v>4797</v>
      </c>
      <c r="G5030" s="3564">
        <v>100.88</v>
      </c>
      <c r="H5030" s="3564">
        <v>81.62</v>
      </c>
      <c r="I5030" s="3564">
        <v>19.260000000000002</v>
      </c>
      <c r="J5030" s="3565">
        <v>1066270</v>
      </c>
      <c r="K5030" s="3565">
        <v>10569.69</v>
      </c>
      <c r="L5030" s="3565">
        <v>13063.83</v>
      </c>
      <c r="M5030" s="3565">
        <v>0</v>
      </c>
      <c r="N5030" s="3565">
        <v>0</v>
      </c>
      <c r="O5030" s="3563" t="s">
        <v>3453</v>
      </c>
    </row>
    <row r="5031" spans="1:15">
      <c r="A5031" s="3563" t="s">
        <v>9256</v>
      </c>
      <c r="B5031" s="3563" t="s">
        <v>4196</v>
      </c>
      <c r="C5031" s="3563" t="s">
        <v>4197</v>
      </c>
      <c r="D5031" s="3563" t="s">
        <v>6429</v>
      </c>
      <c r="E5031" s="3563" t="s">
        <v>9204</v>
      </c>
      <c r="F5031" s="3563" t="s">
        <v>4797</v>
      </c>
      <c r="G5031" s="3564">
        <v>123.64</v>
      </c>
      <c r="H5031" s="3564">
        <v>100.03</v>
      </c>
      <c r="I5031" s="3564">
        <v>23.61</v>
      </c>
      <c r="J5031" s="3565">
        <v>1273953</v>
      </c>
      <c r="K5031" s="3565">
        <v>10303.73</v>
      </c>
      <c r="L5031" s="3565">
        <v>12735.71</v>
      </c>
      <c r="M5031" s="3565">
        <v>0</v>
      </c>
      <c r="N5031" s="3565">
        <v>0</v>
      </c>
      <c r="O5031" s="3563" t="s">
        <v>3453</v>
      </c>
    </row>
    <row r="5032" spans="1:15">
      <c r="A5032" s="3563" t="s">
        <v>9257</v>
      </c>
      <c r="B5032" s="3563" t="s">
        <v>4196</v>
      </c>
      <c r="C5032" s="3563" t="s">
        <v>4197</v>
      </c>
      <c r="D5032" s="3563" t="s">
        <v>6429</v>
      </c>
      <c r="E5032" s="3563" t="s">
        <v>9204</v>
      </c>
      <c r="F5032" s="3563" t="s">
        <v>4797</v>
      </c>
      <c r="G5032" s="3564">
        <v>100.88</v>
      </c>
      <c r="H5032" s="3564">
        <v>81.62</v>
      </c>
      <c r="I5032" s="3564">
        <v>19.260000000000002</v>
      </c>
      <c r="J5032" s="3565">
        <v>1038366</v>
      </c>
      <c r="K5032" s="3565">
        <v>10293.08</v>
      </c>
      <c r="L5032" s="3565">
        <v>12721.96</v>
      </c>
      <c r="M5032" s="3565">
        <v>0</v>
      </c>
      <c r="N5032" s="3565">
        <v>0</v>
      </c>
      <c r="O5032" s="3563" t="s">
        <v>3453</v>
      </c>
    </row>
    <row r="5033" spans="1:15">
      <c r="A5033" s="3563" t="s">
        <v>9258</v>
      </c>
      <c r="B5033" s="3563" t="s">
        <v>4196</v>
      </c>
      <c r="C5033" s="3563" t="s">
        <v>4197</v>
      </c>
      <c r="D5033" s="3563" t="s">
        <v>6429</v>
      </c>
      <c r="E5033" s="3563" t="s">
        <v>9204</v>
      </c>
      <c r="F5033" s="3563" t="s">
        <v>4797</v>
      </c>
      <c r="G5033" s="3564">
        <v>100.88</v>
      </c>
      <c r="H5033" s="3564">
        <v>81.62</v>
      </c>
      <c r="I5033" s="3564">
        <v>19.260000000000002</v>
      </c>
      <c r="J5033" s="3565">
        <v>1059830</v>
      </c>
      <c r="K5033" s="3565">
        <v>10505.85</v>
      </c>
      <c r="L5033" s="3565">
        <v>12984.93</v>
      </c>
      <c r="M5033" s="3565">
        <v>0</v>
      </c>
      <c r="N5033" s="3565">
        <v>0</v>
      </c>
      <c r="O5033" s="3563" t="s">
        <v>3453</v>
      </c>
    </row>
    <row r="5034" spans="1:15">
      <c r="A5034" s="3563" t="s">
        <v>9259</v>
      </c>
      <c r="B5034" s="3563" t="s">
        <v>4196</v>
      </c>
      <c r="C5034" s="3563" t="s">
        <v>4197</v>
      </c>
      <c r="D5034" s="3563" t="s">
        <v>6429</v>
      </c>
      <c r="E5034" s="3563" t="s">
        <v>9204</v>
      </c>
      <c r="F5034" s="3563" t="s">
        <v>4797</v>
      </c>
      <c r="G5034" s="3564">
        <v>109.31</v>
      </c>
      <c r="H5034" s="3564">
        <v>88.44</v>
      </c>
      <c r="I5034" s="3564">
        <v>20.87</v>
      </c>
      <c r="J5034" s="3565">
        <v>1119323</v>
      </c>
      <c r="K5034" s="3565">
        <v>10239.9</v>
      </c>
      <c r="L5034" s="3565">
        <v>12656.3</v>
      </c>
      <c r="M5034" s="3565">
        <v>0</v>
      </c>
      <c r="N5034" s="3565">
        <v>0</v>
      </c>
      <c r="O5034" s="3563" t="s">
        <v>3453</v>
      </c>
    </row>
    <row r="5035" spans="1:15">
      <c r="A5035" s="3563" t="s">
        <v>9260</v>
      </c>
      <c r="B5035" s="3563" t="s">
        <v>4196</v>
      </c>
      <c r="C5035" s="3563" t="s">
        <v>4197</v>
      </c>
      <c r="D5035" s="3563" t="s">
        <v>6429</v>
      </c>
      <c r="E5035" s="3563" t="s">
        <v>9204</v>
      </c>
      <c r="F5035" s="3563" t="s">
        <v>4797</v>
      </c>
      <c r="G5035" s="3564">
        <v>100.88</v>
      </c>
      <c r="H5035" s="3564">
        <v>81.62</v>
      </c>
      <c r="I5035" s="3564">
        <v>19.260000000000002</v>
      </c>
      <c r="J5035" s="3565">
        <v>1054464</v>
      </c>
      <c r="K5035" s="3565">
        <v>10452.66</v>
      </c>
      <c r="L5035" s="3565">
        <v>12919.19</v>
      </c>
      <c r="M5035" s="3565">
        <v>0</v>
      </c>
      <c r="N5035" s="3565">
        <v>0</v>
      </c>
      <c r="O5035" s="3563" t="s">
        <v>3453</v>
      </c>
    </row>
    <row r="5036" spans="1:15">
      <c r="A5036" s="3563" t="s">
        <v>9261</v>
      </c>
      <c r="B5036" s="3563" t="s">
        <v>4196</v>
      </c>
      <c r="C5036" s="3563" t="s">
        <v>4197</v>
      </c>
      <c r="D5036" s="3563" t="s">
        <v>6429</v>
      </c>
      <c r="E5036" s="3563" t="s">
        <v>9204</v>
      </c>
      <c r="F5036" s="3563" t="s">
        <v>4797</v>
      </c>
      <c r="G5036" s="3564">
        <v>100.88</v>
      </c>
      <c r="H5036" s="3564">
        <v>81.62</v>
      </c>
      <c r="I5036" s="3564">
        <v>19.260000000000002</v>
      </c>
      <c r="J5036" s="3565">
        <v>1054464</v>
      </c>
      <c r="K5036" s="3565">
        <v>10452.66</v>
      </c>
      <c r="L5036" s="3565">
        <v>12919.19</v>
      </c>
      <c r="M5036" s="3565">
        <v>0</v>
      </c>
      <c r="N5036" s="3565">
        <v>0</v>
      </c>
      <c r="O5036" s="3563" t="s">
        <v>3453</v>
      </c>
    </row>
    <row r="5037" spans="1:15">
      <c r="A5037" s="3563" t="s">
        <v>9262</v>
      </c>
      <c r="B5037" s="3563" t="s">
        <v>4196</v>
      </c>
      <c r="C5037" s="3563" t="s">
        <v>4197</v>
      </c>
      <c r="D5037" s="3563" t="s">
        <v>6429</v>
      </c>
      <c r="E5037" s="3563" t="s">
        <v>9204</v>
      </c>
      <c r="F5037" s="3563" t="s">
        <v>4797</v>
      </c>
      <c r="G5037" s="3564">
        <v>123.64</v>
      </c>
      <c r="H5037" s="3564">
        <v>100.03</v>
      </c>
      <c r="I5037" s="3564">
        <v>23.61</v>
      </c>
      <c r="J5037" s="3565">
        <v>1259485</v>
      </c>
      <c r="K5037" s="3565">
        <v>10186.709999999999</v>
      </c>
      <c r="L5037" s="3565">
        <v>12591.07</v>
      </c>
      <c r="M5037" s="3565">
        <v>0</v>
      </c>
      <c r="N5037" s="3565">
        <v>0</v>
      </c>
      <c r="O5037" s="3563" t="s">
        <v>3453</v>
      </c>
    </row>
    <row r="5038" spans="1:15">
      <c r="A5038" s="3563" t="s">
        <v>9263</v>
      </c>
      <c r="B5038" s="3563" t="s">
        <v>4196</v>
      </c>
      <c r="C5038" s="3563" t="s">
        <v>4197</v>
      </c>
      <c r="D5038" s="3563" t="s">
        <v>6429</v>
      </c>
      <c r="E5038" s="3563" t="s">
        <v>9204</v>
      </c>
      <c r="F5038" s="3563" t="s">
        <v>4797</v>
      </c>
      <c r="G5038" s="3564">
        <v>100.88</v>
      </c>
      <c r="H5038" s="3564">
        <v>81.62</v>
      </c>
      <c r="I5038" s="3564">
        <v>19.260000000000002</v>
      </c>
      <c r="J5038" s="3565">
        <v>1048026</v>
      </c>
      <c r="K5038" s="3565">
        <v>10388.84</v>
      </c>
      <c r="L5038" s="3565">
        <v>12840.31</v>
      </c>
      <c r="M5038" s="3565">
        <v>0</v>
      </c>
      <c r="N5038" s="3565">
        <v>0</v>
      </c>
      <c r="O5038" s="3563" t="s">
        <v>3453</v>
      </c>
    </row>
    <row r="5039" spans="1:15">
      <c r="A5039" s="3563" t="s">
        <v>9264</v>
      </c>
      <c r="B5039" s="3563" t="s">
        <v>4196</v>
      </c>
      <c r="C5039" s="3563" t="s">
        <v>4197</v>
      </c>
      <c r="D5039" s="3563" t="s">
        <v>6429</v>
      </c>
      <c r="E5039" s="3563" t="s">
        <v>9204</v>
      </c>
      <c r="F5039" s="3563" t="s">
        <v>4797</v>
      </c>
      <c r="G5039" s="3564">
        <v>100.88</v>
      </c>
      <c r="H5039" s="3564">
        <v>81.62</v>
      </c>
      <c r="I5039" s="3564">
        <v>19.260000000000002</v>
      </c>
      <c r="J5039" s="3565">
        <v>1069490</v>
      </c>
      <c r="K5039" s="3565">
        <v>10601.61</v>
      </c>
      <c r="L5039" s="3565">
        <v>13103.28</v>
      </c>
      <c r="M5039" s="3565">
        <v>0</v>
      </c>
      <c r="N5039" s="3565">
        <v>0</v>
      </c>
      <c r="O5039" s="3563" t="s">
        <v>3453</v>
      </c>
    </row>
    <row r="5040" spans="1:15">
      <c r="A5040" s="3563" t="s">
        <v>9265</v>
      </c>
      <c r="B5040" s="3563" t="s">
        <v>4196</v>
      </c>
      <c r="C5040" s="3563" t="s">
        <v>4197</v>
      </c>
      <c r="D5040" s="3563" t="s">
        <v>6429</v>
      </c>
      <c r="E5040" s="3563" t="s">
        <v>9204</v>
      </c>
      <c r="F5040" s="3563" t="s">
        <v>4797</v>
      </c>
      <c r="G5040" s="3564">
        <v>109.31</v>
      </c>
      <c r="H5040" s="3564">
        <v>88.44</v>
      </c>
      <c r="I5040" s="3564">
        <v>20.87</v>
      </c>
      <c r="J5040" s="3565">
        <v>1129789</v>
      </c>
      <c r="K5040" s="3565">
        <v>10335.64</v>
      </c>
      <c r="L5040" s="3565">
        <v>12774.64</v>
      </c>
      <c r="M5040" s="3565">
        <v>0</v>
      </c>
      <c r="N5040" s="3565">
        <v>0</v>
      </c>
      <c r="O5040" s="3563" t="s">
        <v>3453</v>
      </c>
    </row>
    <row r="5041" spans="1:15">
      <c r="A5041" s="3563" t="s">
        <v>9266</v>
      </c>
      <c r="B5041" s="3563" t="s">
        <v>4196</v>
      </c>
      <c r="C5041" s="3563" t="s">
        <v>4197</v>
      </c>
      <c r="D5041" s="3563" t="s">
        <v>6429</v>
      </c>
      <c r="E5041" s="3563" t="s">
        <v>9204</v>
      </c>
      <c r="F5041" s="3563" t="s">
        <v>4797</v>
      </c>
      <c r="G5041" s="3564">
        <v>100.88</v>
      </c>
      <c r="H5041" s="3564">
        <v>81.62</v>
      </c>
      <c r="I5041" s="3564">
        <v>19.260000000000002</v>
      </c>
      <c r="J5041" s="3565">
        <v>1064124</v>
      </c>
      <c r="K5041" s="3565">
        <v>10548.41</v>
      </c>
      <c r="L5041" s="3565">
        <v>13037.54</v>
      </c>
      <c r="M5041" s="3565">
        <v>0</v>
      </c>
      <c r="N5041" s="3565">
        <v>0</v>
      </c>
      <c r="O5041" s="3563" t="s">
        <v>3453</v>
      </c>
    </row>
    <row r="5042" spans="1:15">
      <c r="A5042" s="3563" t="s">
        <v>9267</v>
      </c>
      <c r="B5042" s="3563" t="s">
        <v>4196</v>
      </c>
      <c r="C5042" s="3563" t="s">
        <v>4197</v>
      </c>
      <c r="D5042" s="3563" t="s">
        <v>6429</v>
      </c>
      <c r="E5042" s="3563" t="s">
        <v>9204</v>
      </c>
      <c r="F5042" s="3563" t="s">
        <v>4797</v>
      </c>
      <c r="G5042" s="3564">
        <v>100.88</v>
      </c>
      <c r="H5042" s="3564">
        <v>81.62</v>
      </c>
      <c r="I5042" s="3564">
        <v>19.260000000000002</v>
      </c>
      <c r="J5042" s="3565">
        <v>1064124</v>
      </c>
      <c r="K5042" s="3565">
        <v>10548.41</v>
      </c>
      <c r="L5042" s="3565">
        <v>13037.54</v>
      </c>
      <c r="M5042" s="3565">
        <v>0</v>
      </c>
      <c r="N5042" s="3565">
        <v>0</v>
      </c>
      <c r="O5042" s="3563" t="s">
        <v>3453</v>
      </c>
    </row>
    <row r="5043" spans="1:15">
      <c r="A5043" s="3563" t="s">
        <v>9268</v>
      </c>
      <c r="B5043" s="3563" t="s">
        <v>4196</v>
      </c>
      <c r="C5043" s="3563" t="s">
        <v>4197</v>
      </c>
      <c r="D5043" s="3563" t="s">
        <v>6429</v>
      </c>
      <c r="E5043" s="3563" t="s">
        <v>9204</v>
      </c>
      <c r="F5043" s="3563" t="s">
        <v>4797</v>
      </c>
      <c r="G5043" s="3564">
        <v>123.64</v>
      </c>
      <c r="H5043" s="3564">
        <v>100.03</v>
      </c>
      <c r="I5043" s="3564">
        <v>23.61</v>
      </c>
      <c r="J5043" s="3565">
        <v>1271322</v>
      </c>
      <c r="K5043" s="3565">
        <v>10282.450000000001</v>
      </c>
      <c r="L5043" s="3565">
        <v>12709.41</v>
      </c>
      <c r="M5043" s="3565">
        <v>0</v>
      </c>
      <c r="N5043" s="3565">
        <v>0</v>
      </c>
      <c r="O5043" s="3563" t="s">
        <v>3453</v>
      </c>
    </row>
    <row r="5044" spans="1:15">
      <c r="A5044" s="3563" t="s">
        <v>9269</v>
      </c>
      <c r="B5044" s="3563" t="s">
        <v>4196</v>
      </c>
      <c r="C5044" s="3563" t="s">
        <v>4197</v>
      </c>
      <c r="D5044" s="3563" t="s">
        <v>6429</v>
      </c>
      <c r="E5044" s="3563" t="s">
        <v>9204</v>
      </c>
      <c r="F5044" s="3563" t="s">
        <v>4797</v>
      </c>
      <c r="G5044" s="3564">
        <v>102.44</v>
      </c>
      <c r="H5044" s="3564">
        <v>81.62</v>
      </c>
      <c r="I5044" s="3564">
        <v>20.82</v>
      </c>
      <c r="J5044" s="3565">
        <v>1018461</v>
      </c>
      <c r="K5044" s="3565">
        <v>9942.02</v>
      </c>
      <c r="L5044" s="3565">
        <v>12478.08</v>
      </c>
      <c r="M5044" s="3565">
        <v>0</v>
      </c>
      <c r="N5044" s="3565">
        <v>0</v>
      </c>
      <c r="O5044" s="3563" t="s">
        <v>3453</v>
      </c>
    </row>
    <row r="5045" spans="1:15">
      <c r="A5045" s="3563" t="s">
        <v>9270</v>
      </c>
      <c r="B5045" s="3563" t="s">
        <v>4196</v>
      </c>
      <c r="C5045" s="3563" t="s">
        <v>4197</v>
      </c>
      <c r="D5045" s="3563" t="s">
        <v>6429</v>
      </c>
      <c r="E5045" s="3563" t="s">
        <v>9204</v>
      </c>
      <c r="F5045" s="3563" t="s">
        <v>4797</v>
      </c>
      <c r="G5045" s="3564">
        <v>102.44</v>
      </c>
      <c r="H5045" s="3564">
        <v>81.62</v>
      </c>
      <c r="I5045" s="3564">
        <v>20.82</v>
      </c>
      <c r="J5045" s="3565">
        <v>1018461</v>
      </c>
      <c r="K5045" s="3565">
        <v>9942.02</v>
      </c>
      <c r="L5045" s="3565">
        <v>12478.08</v>
      </c>
      <c r="M5045" s="3565">
        <v>0</v>
      </c>
      <c r="N5045" s="3565">
        <v>0</v>
      </c>
      <c r="O5045" s="3563" t="s">
        <v>3453</v>
      </c>
    </row>
    <row r="5046" spans="1:15">
      <c r="A5046" s="3563" t="s">
        <v>9271</v>
      </c>
      <c r="B5046" s="3563" t="s">
        <v>4196</v>
      </c>
      <c r="C5046" s="3563" t="s">
        <v>4197</v>
      </c>
      <c r="D5046" s="3563" t="s">
        <v>6429</v>
      </c>
      <c r="E5046" s="3563" t="s">
        <v>9204</v>
      </c>
      <c r="F5046" s="3563" t="s">
        <v>4797</v>
      </c>
      <c r="G5046" s="3564">
        <v>102.44</v>
      </c>
      <c r="H5046" s="3564">
        <v>81.62</v>
      </c>
      <c r="I5046" s="3564">
        <v>20.82</v>
      </c>
      <c r="J5046" s="3565">
        <v>1013012</v>
      </c>
      <c r="K5046" s="3565">
        <v>9888.83</v>
      </c>
      <c r="L5046" s="3565">
        <v>12411.32</v>
      </c>
      <c r="M5046" s="3565">
        <v>0</v>
      </c>
      <c r="N5046" s="3565">
        <v>0</v>
      </c>
      <c r="O5046" s="3563" t="s">
        <v>3453</v>
      </c>
    </row>
    <row r="5047" spans="1:15">
      <c r="A5047" s="3563" t="s">
        <v>9272</v>
      </c>
      <c r="B5047" s="3563" t="s">
        <v>4196</v>
      </c>
      <c r="C5047" s="3563" t="s">
        <v>4197</v>
      </c>
      <c r="D5047" s="3563" t="s">
        <v>6429</v>
      </c>
      <c r="E5047" s="3563" t="s">
        <v>9204</v>
      </c>
      <c r="F5047" s="3563" t="s">
        <v>4797</v>
      </c>
      <c r="G5047" s="3564">
        <v>102.44</v>
      </c>
      <c r="H5047" s="3564">
        <v>81.62</v>
      </c>
      <c r="I5047" s="3564">
        <v>20.82</v>
      </c>
      <c r="J5047" s="3565">
        <v>1013012</v>
      </c>
      <c r="K5047" s="3565">
        <v>9888.83</v>
      </c>
      <c r="L5047" s="3565">
        <v>12411.32</v>
      </c>
      <c r="M5047" s="3565">
        <v>0</v>
      </c>
      <c r="N5047" s="3565">
        <v>0</v>
      </c>
      <c r="O5047" s="3563" t="s">
        <v>3453</v>
      </c>
    </row>
    <row r="5048" spans="1:15">
      <c r="A5048" s="3563" t="s">
        <v>9273</v>
      </c>
      <c r="B5048" s="3563" t="s">
        <v>4196</v>
      </c>
      <c r="C5048" s="3563" t="s">
        <v>4197</v>
      </c>
      <c r="D5048" s="3563" t="s">
        <v>6429</v>
      </c>
      <c r="E5048" s="3563" t="s">
        <v>9204</v>
      </c>
      <c r="F5048" s="3563" t="s">
        <v>4797</v>
      </c>
      <c r="G5048" s="3564">
        <v>125.54</v>
      </c>
      <c r="H5048" s="3564">
        <v>100.03</v>
      </c>
      <c r="I5048" s="3564">
        <v>25.51</v>
      </c>
      <c r="J5048" s="3565">
        <v>1234766</v>
      </c>
      <c r="K5048" s="3565">
        <v>9835.64</v>
      </c>
      <c r="L5048" s="3565">
        <v>12343.96</v>
      </c>
      <c r="M5048" s="3565">
        <v>0</v>
      </c>
      <c r="N5048" s="3565">
        <v>0</v>
      </c>
      <c r="O5048" s="3563" t="s">
        <v>3453</v>
      </c>
    </row>
    <row r="5049" spans="1:15">
      <c r="A5049" s="3563" t="s">
        <v>9274</v>
      </c>
      <c r="B5049" s="3563" t="s">
        <v>4196</v>
      </c>
      <c r="C5049" s="3563" t="s">
        <v>4197</v>
      </c>
      <c r="D5049" s="3563" t="s">
        <v>6429</v>
      </c>
      <c r="E5049" s="3563" t="s">
        <v>9204</v>
      </c>
      <c r="F5049" s="3563" t="s">
        <v>4797</v>
      </c>
      <c r="G5049" s="3564">
        <v>100.88</v>
      </c>
      <c r="H5049" s="3564">
        <v>81.62</v>
      </c>
      <c r="I5049" s="3564">
        <v>19.260000000000002</v>
      </c>
      <c r="J5049" s="3565">
        <v>1046953</v>
      </c>
      <c r="K5049" s="3565">
        <v>10378.200000000001</v>
      </c>
      <c r="L5049" s="3565">
        <v>12827.16</v>
      </c>
      <c r="M5049" s="3565">
        <v>0</v>
      </c>
      <c r="N5049" s="3565">
        <v>0</v>
      </c>
      <c r="O5049" s="3563" t="s">
        <v>3453</v>
      </c>
    </row>
    <row r="5050" spans="1:15">
      <c r="A5050" s="3563" t="s">
        <v>9275</v>
      </c>
      <c r="B5050" s="3563" t="s">
        <v>4196</v>
      </c>
      <c r="C5050" s="3563" t="s">
        <v>4197</v>
      </c>
      <c r="D5050" s="3563" t="s">
        <v>6429</v>
      </c>
      <c r="E5050" s="3563" t="s">
        <v>9204</v>
      </c>
      <c r="F5050" s="3563" t="s">
        <v>4797</v>
      </c>
      <c r="G5050" s="3564">
        <v>100.88</v>
      </c>
      <c r="H5050" s="3564">
        <v>81.62</v>
      </c>
      <c r="I5050" s="3564">
        <v>19.260000000000002</v>
      </c>
      <c r="J5050" s="3565">
        <v>1068416</v>
      </c>
      <c r="K5050" s="3565">
        <v>10590.96</v>
      </c>
      <c r="L5050" s="3565">
        <v>13090.12</v>
      </c>
      <c r="M5050" s="3565">
        <v>0</v>
      </c>
      <c r="N5050" s="3565">
        <v>0</v>
      </c>
      <c r="O5050" s="3563" t="s">
        <v>3453</v>
      </c>
    </row>
    <row r="5051" spans="1:15">
      <c r="A5051" s="3563" t="s">
        <v>9276</v>
      </c>
      <c r="B5051" s="3563" t="s">
        <v>4196</v>
      </c>
      <c r="C5051" s="3563" t="s">
        <v>4197</v>
      </c>
      <c r="D5051" s="3563" t="s">
        <v>6429</v>
      </c>
      <c r="E5051" s="3563" t="s">
        <v>9204</v>
      </c>
      <c r="F5051" s="3563" t="s">
        <v>4797</v>
      </c>
      <c r="G5051" s="3564">
        <v>109.31</v>
      </c>
      <c r="H5051" s="3564">
        <v>88.44</v>
      </c>
      <c r="I5051" s="3564">
        <v>20.87</v>
      </c>
      <c r="J5051" s="3565">
        <v>1128626</v>
      </c>
      <c r="K5051" s="3565">
        <v>10325</v>
      </c>
      <c r="L5051" s="3565">
        <v>12761.49</v>
      </c>
      <c r="M5051" s="3565">
        <v>0</v>
      </c>
      <c r="N5051" s="3565">
        <v>0</v>
      </c>
      <c r="O5051" s="3563" t="s">
        <v>3453</v>
      </c>
    </row>
    <row r="5052" spans="1:15">
      <c r="A5052" s="3563" t="s">
        <v>9277</v>
      </c>
      <c r="B5052" s="3563" t="s">
        <v>4196</v>
      </c>
      <c r="C5052" s="3563" t="s">
        <v>4197</v>
      </c>
      <c r="D5052" s="3563" t="s">
        <v>6429</v>
      </c>
      <c r="E5052" s="3563" t="s">
        <v>9204</v>
      </c>
      <c r="F5052" s="3563" t="s">
        <v>4797</v>
      </c>
      <c r="G5052" s="3564">
        <v>100.88</v>
      </c>
      <c r="H5052" s="3564">
        <v>81.62</v>
      </c>
      <c r="I5052" s="3564">
        <v>19.260000000000002</v>
      </c>
      <c r="J5052" s="3565">
        <v>1063050</v>
      </c>
      <c r="K5052" s="3565">
        <v>10537.77</v>
      </c>
      <c r="L5052" s="3565">
        <v>13024.38</v>
      </c>
      <c r="M5052" s="3565">
        <v>0</v>
      </c>
      <c r="N5052" s="3565">
        <v>0</v>
      </c>
      <c r="O5052" s="3563" t="s">
        <v>3453</v>
      </c>
    </row>
    <row r="5053" spans="1:15">
      <c r="A5053" s="3563" t="s">
        <v>9278</v>
      </c>
      <c r="B5053" s="3563" t="s">
        <v>4196</v>
      </c>
      <c r="C5053" s="3563" t="s">
        <v>4197</v>
      </c>
      <c r="D5053" s="3563" t="s">
        <v>6429</v>
      </c>
      <c r="E5053" s="3563" t="s">
        <v>9204</v>
      </c>
      <c r="F5053" s="3563" t="s">
        <v>4797</v>
      </c>
      <c r="G5053" s="3564">
        <v>100.88</v>
      </c>
      <c r="H5053" s="3564">
        <v>81.62</v>
      </c>
      <c r="I5053" s="3564">
        <v>19.260000000000002</v>
      </c>
      <c r="J5053" s="3565">
        <v>1063050</v>
      </c>
      <c r="K5053" s="3565">
        <v>10537.77</v>
      </c>
      <c r="L5053" s="3565">
        <v>13024.38</v>
      </c>
      <c r="M5053" s="3565">
        <v>0</v>
      </c>
      <c r="N5053" s="3565">
        <v>0</v>
      </c>
      <c r="O5053" s="3563" t="s">
        <v>3453</v>
      </c>
    </row>
    <row r="5054" spans="1:15">
      <c r="A5054" s="3563" t="s">
        <v>9279</v>
      </c>
      <c r="B5054" s="3563" t="s">
        <v>4196</v>
      </c>
      <c r="C5054" s="3563" t="s">
        <v>4197</v>
      </c>
      <c r="D5054" s="3563" t="s">
        <v>6429</v>
      </c>
      <c r="E5054" s="3563" t="s">
        <v>9204</v>
      </c>
      <c r="F5054" s="3563" t="s">
        <v>4797</v>
      </c>
      <c r="G5054" s="3564">
        <v>123.64</v>
      </c>
      <c r="H5054" s="3564">
        <v>100.03</v>
      </c>
      <c r="I5054" s="3564">
        <v>23.61</v>
      </c>
      <c r="J5054" s="3565">
        <v>1270007</v>
      </c>
      <c r="K5054" s="3565">
        <v>10271.81</v>
      </c>
      <c r="L5054" s="3565">
        <v>12696.26</v>
      </c>
      <c r="M5054" s="3565">
        <v>0</v>
      </c>
      <c r="N5054" s="3565">
        <v>0</v>
      </c>
      <c r="O5054" s="3563" t="s">
        <v>3453</v>
      </c>
    </row>
    <row r="5055" spans="1:15">
      <c r="A5055" s="3563" t="s">
        <v>9280</v>
      </c>
      <c r="B5055" s="3563" t="s">
        <v>4196</v>
      </c>
      <c r="C5055" s="3563" t="s">
        <v>4197</v>
      </c>
      <c r="D5055" s="3563" t="s">
        <v>6429</v>
      </c>
      <c r="E5055" s="3563" t="s">
        <v>9204</v>
      </c>
      <c r="F5055" s="3563" t="s">
        <v>4797</v>
      </c>
      <c r="G5055" s="3564">
        <v>100.88</v>
      </c>
      <c r="H5055" s="3564">
        <v>81.62</v>
      </c>
      <c r="I5055" s="3564">
        <v>19.260000000000002</v>
      </c>
      <c r="J5055" s="3565">
        <v>1045879</v>
      </c>
      <c r="K5055" s="3565">
        <v>10367.56</v>
      </c>
      <c r="L5055" s="3565">
        <v>12814</v>
      </c>
      <c r="M5055" s="3565">
        <v>0</v>
      </c>
      <c r="N5055" s="3565">
        <v>0</v>
      </c>
      <c r="O5055" s="3563" t="s">
        <v>3453</v>
      </c>
    </row>
    <row r="5056" spans="1:15">
      <c r="A5056" s="3563" t="s">
        <v>9281</v>
      </c>
      <c r="B5056" s="3563" t="s">
        <v>4196</v>
      </c>
      <c r="C5056" s="3563" t="s">
        <v>4197</v>
      </c>
      <c r="D5056" s="3563" t="s">
        <v>6429</v>
      </c>
      <c r="E5056" s="3563" t="s">
        <v>9204</v>
      </c>
      <c r="F5056" s="3563" t="s">
        <v>4797</v>
      </c>
      <c r="G5056" s="3564">
        <v>100.88</v>
      </c>
      <c r="H5056" s="3564">
        <v>81.62</v>
      </c>
      <c r="I5056" s="3564">
        <v>19.260000000000002</v>
      </c>
      <c r="J5056" s="3565">
        <v>1067343</v>
      </c>
      <c r="K5056" s="3565">
        <v>10580.32</v>
      </c>
      <c r="L5056" s="3565">
        <v>13076.98</v>
      </c>
      <c r="M5056" s="3565">
        <v>0</v>
      </c>
      <c r="N5056" s="3565">
        <v>0</v>
      </c>
      <c r="O5056" s="3563" t="s">
        <v>3453</v>
      </c>
    </row>
    <row r="5057" spans="1:15">
      <c r="A5057" s="3563" t="s">
        <v>9282</v>
      </c>
      <c r="B5057" s="3563" t="s">
        <v>4196</v>
      </c>
      <c r="C5057" s="3563" t="s">
        <v>4197</v>
      </c>
      <c r="D5057" s="3563" t="s">
        <v>6429</v>
      </c>
      <c r="E5057" s="3563" t="s">
        <v>9204</v>
      </c>
      <c r="F5057" s="3563" t="s">
        <v>4797</v>
      </c>
      <c r="G5057" s="3564">
        <v>109.31</v>
      </c>
      <c r="H5057" s="3564">
        <v>88.44</v>
      </c>
      <c r="I5057" s="3564">
        <v>20.87</v>
      </c>
      <c r="J5057" s="3565">
        <v>1127463</v>
      </c>
      <c r="K5057" s="3565">
        <v>10314.36</v>
      </c>
      <c r="L5057" s="3565">
        <v>12748.34</v>
      </c>
      <c r="M5057" s="3565">
        <v>0</v>
      </c>
      <c r="N5057" s="3565">
        <v>0</v>
      </c>
      <c r="O5057" s="3563" t="s">
        <v>3453</v>
      </c>
    </row>
    <row r="5058" spans="1:15">
      <c r="A5058" s="3563" t="s">
        <v>9283</v>
      </c>
      <c r="B5058" s="3563" t="s">
        <v>4196</v>
      </c>
      <c r="C5058" s="3563" t="s">
        <v>4197</v>
      </c>
      <c r="D5058" s="3563" t="s">
        <v>6429</v>
      </c>
      <c r="E5058" s="3563" t="s">
        <v>9204</v>
      </c>
      <c r="F5058" s="3563" t="s">
        <v>4797</v>
      </c>
      <c r="G5058" s="3564">
        <v>100.88</v>
      </c>
      <c r="H5058" s="3564">
        <v>81.62</v>
      </c>
      <c r="I5058" s="3564">
        <v>19.260000000000002</v>
      </c>
      <c r="J5058" s="3565">
        <v>1061977</v>
      </c>
      <c r="K5058" s="3565">
        <v>10527.13</v>
      </c>
      <c r="L5058" s="3565">
        <v>13011.23</v>
      </c>
      <c r="M5058" s="3565">
        <v>0</v>
      </c>
      <c r="N5058" s="3565">
        <v>0</v>
      </c>
      <c r="O5058" s="3563" t="s">
        <v>3453</v>
      </c>
    </row>
    <row r="5059" spans="1:15">
      <c r="A5059" s="3563" t="s">
        <v>9284</v>
      </c>
      <c r="B5059" s="3563" t="s">
        <v>4196</v>
      </c>
      <c r="C5059" s="3563" t="s">
        <v>4197</v>
      </c>
      <c r="D5059" s="3563" t="s">
        <v>6429</v>
      </c>
      <c r="E5059" s="3563" t="s">
        <v>9204</v>
      </c>
      <c r="F5059" s="3563" t="s">
        <v>4797</v>
      </c>
      <c r="G5059" s="3564">
        <v>100.88</v>
      </c>
      <c r="H5059" s="3564">
        <v>81.62</v>
      </c>
      <c r="I5059" s="3564">
        <v>19.260000000000002</v>
      </c>
      <c r="J5059" s="3565">
        <v>1061977</v>
      </c>
      <c r="K5059" s="3565">
        <v>10527.13</v>
      </c>
      <c r="L5059" s="3565">
        <v>13011.23</v>
      </c>
      <c r="M5059" s="3565">
        <v>0</v>
      </c>
      <c r="N5059" s="3565">
        <v>0</v>
      </c>
      <c r="O5059" s="3563" t="s">
        <v>3453</v>
      </c>
    </row>
    <row r="5060" spans="1:15">
      <c r="A5060" s="3563" t="s">
        <v>9285</v>
      </c>
      <c r="B5060" s="3563" t="s">
        <v>4196</v>
      </c>
      <c r="C5060" s="3563" t="s">
        <v>4197</v>
      </c>
      <c r="D5060" s="3563" t="s">
        <v>6429</v>
      </c>
      <c r="E5060" s="3563" t="s">
        <v>9204</v>
      </c>
      <c r="F5060" s="3563" t="s">
        <v>4797</v>
      </c>
      <c r="G5060" s="3564">
        <v>123.64</v>
      </c>
      <c r="H5060" s="3564">
        <v>100.03</v>
      </c>
      <c r="I5060" s="3564">
        <v>23.61</v>
      </c>
      <c r="J5060" s="3565">
        <v>1268692</v>
      </c>
      <c r="K5060" s="3565">
        <v>10261.18</v>
      </c>
      <c r="L5060" s="3565">
        <v>12683.12</v>
      </c>
      <c r="M5060" s="3565">
        <v>0</v>
      </c>
      <c r="N5060" s="3565">
        <v>0</v>
      </c>
      <c r="O5060" s="3563" t="s">
        <v>3453</v>
      </c>
    </row>
    <row r="5061" spans="1:15">
      <c r="A5061" s="3563" t="s">
        <v>9286</v>
      </c>
      <c r="B5061" s="3563" t="s">
        <v>4196</v>
      </c>
      <c r="C5061" s="3563" t="s">
        <v>4197</v>
      </c>
      <c r="D5061" s="3563" t="s">
        <v>6429</v>
      </c>
      <c r="E5061" s="3563" t="s">
        <v>9204</v>
      </c>
      <c r="F5061" s="3563" t="s">
        <v>4797</v>
      </c>
      <c r="G5061" s="3564">
        <v>100.88</v>
      </c>
      <c r="H5061" s="3564">
        <v>81.62</v>
      </c>
      <c r="I5061" s="3564">
        <v>19.260000000000002</v>
      </c>
      <c r="J5061" s="3565">
        <v>1044806</v>
      </c>
      <c r="K5061" s="3565">
        <v>10356.92</v>
      </c>
      <c r="L5061" s="3565">
        <v>12800.86</v>
      </c>
      <c r="M5061" s="3565">
        <v>0</v>
      </c>
      <c r="N5061" s="3565">
        <v>0</v>
      </c>
      <c r="O5061" s="3563" t="s">
        <v>3453</v>
      </c>
    </row>
    <row r="5062" spans="1:15">
      <c r="A5062" s="3563" t="s">
        <v>9287</v>
      </c>
      <c r="B5062" s="3563" t="s">
        <v>4196</v>
      </c>
      <c r="C5062" s="3563" t="s">
        <v>4197</v>
      </c>
      <c r="D5062" s="3563" t="s">
        <v>6429</v>
      </c>
      <c r="E5062" s="3563" t="s">
        <v>9204</v>
      </c>
      <c r="F5062" s="3563" t="s">
        <v>4797</v>
      </c>
      <c r="G5062" s="3564">
        <v>100.88</v>
      </c>
      <c r="H5062" s="3564">
        <v>81.62</v>
      </c>
      <c r="I5062" s="3564">
        <v>19.260000000000002</v>
      </c>
      <c r="J5062" s="3565">
        <v>1066270</v>
      </c>
      <c r="K5062" s="3565">
        <v>10569.69</v>
      </c>
      <c r="L5062" s="3565">
        <v>13063.83</v>
      </c>
      <c r="M5062" s="3565">
        <v>0</v>
      </c>
      <c r="N5062" s="3565">
        <v>0</v>
      </c>
      <c r="O5062" s="3563" t="s">
        <v>3453</v>
      </c>
    </row>
    <row r="5063" spans="1:15">
      <c r="A5063" s="3563" t="s">
        <v>9288</v>
      </c>
      <c r="B5063" s="3563" t="s">
        <v>4196</v>
      </c>
      <c r="C5063" s="3563" t="s">
        <v>4197</v>
      </c>
      <c r="D5063" s="3563" t="s">
        <v>6429</v>
      </c>
      <c r="E5063" s="3563" t="s">
        <v>9204</v>
      </c>
      <c r="F5063" s="3563" t="s">
        <v>4797</v>
      </c>
      <c r="G5063" s="3564">
        <v>109.31</v>
      </c>
      <c r="H5063" s="3564">
        <v>88.44</v>
      </c>
      <c r="I5063" s="3564">
        <v>20.87</v>
      </c>
      <c r="J5063" s="3565">
        <v>1126300</v>
      </c>
      <c r="K5063" s="3565">
        <v>10303.719999999999</v>
      </c>
      <c r="L5063" s="3565">
        <v>12735.19</v>
      </c>
      <c r="M5063" s="3565">
        <v>0</v>
      </c>
      <c r="N5063" s="3565">
        <v>0</v>
      </c>
      <c r="O5063" s="3563" t="s">
        <v>3453</v>
      </c>
    </row>
    <row r="5064" spans="1:15">
      <c r="A5064" s="3563" t="s">
        <v>9289</v>
      </c>
      <c r="B5064" s="3563" t="s">
        <v>4196</v>
      </c>
      <c r="C5064" s="3563" t="s">
        <v>4197</v>
      </c>
      <c r="D5064" s="3563" t="s">
        <v>6429</v>
      </c>
      <c r="E5064" s="3563" t="s">
        <v>9204</v>
      </c>
      <c r="F5064" s="3563" t="s">
        <v>4797</v>
      </c>
      <c r="G5064" s="3564">
        <v>100.88</v>
      </c>
      <c r="H5064" s="3564">
        <v>81.62</v>
      </c>
      <c r="I5064" s="3564">
        <v>19.260000000000002</v>
      </c>
      <c r="J5064" s="3565">
        <v>1060904</v>
      </c>
      <c r="K5064" s="3565">
        <v>10516.49</v>
      </c>
      <c r="L5064" s="3565">
        <v>12998.09</v>
      </c>
      <c r="M5064" s="3565">
        <v>0</v>
      </c>
      <c r="N5064" s="3565">
        <v>0</v>
      </c>
      <c r="O5064" s="3563" t="s">
        <v>3453</v>
      </c>
    </row>
    <row r="5065" spans="1:15">
      <c r="A5065" s="3563" t="s">
        <v>9290</v>
      </c>
      <c r="B5065" s="3563" t="s">
        <v>4196</v>
      </c>
      <c r="C5065" s="3563" t="s">
        <v>4197</v>
      </c>
      <c r="D5065" s="3563" t="s">
        <v>6429</v>
      </c>
      <c r="E5065" s="3563" t="s">
        <v>9204</v>
      </c>
      <c r="F5065" s="3563" t="s">
        <v>4797</v>
      </c>
      <c r="G5065" s="3564">
        <v>100.88</v>
      </c>
      <c r="H5065" s="3564">
        <v>81.62</v>
      </c>
      <c r="I5065" s="3564">
        <v>19.260000000000002</v>
      </c>
      <c r="J5065" s="3565">
        <v>1060904</v>
      </c>
      <c r="K5065" s="3565">
        <v>10516.49</v>
      </c>
      <c r="L5065" s="3565">
        <v>12998.09</v>
      </c>
      <c r="M5065" s="3565">
        <v>0</v>
      </c>
      <c r="N5065" s="3565">
        <v>0</v>
      </c>
      <c r="O5065" s="3563" t="s">
        <v>3453</v>
      </c>
    </row>
    <row r="5066" spans="1:15">
      <c r="A5066" s="3563" t="s">
        <v>9291</v>
      </c>
      <c r="B5066" s="3563" t="s">
        <v>4196</v>
      </c>
      <c r="C5066" s="3563" t="s">
        <v>4197</v>
      </c>
      <c r="D5066" s="3563" t="s">
        <v>6429</v>
      </c>
      <c r="E5066" s="3563" t="s">
        <v>9204</v>
      </c>
      <c r="F5066" s="3563" t="s">
        <v>4797</v>
      </c>
      <c r="G5066" s="3564">
        <v>123.64</v>
      </c>
      <c r="H5066" s="3564">
        <v>100.03</v>
      </c>
      <c r="I5066" s="3564">
        <v>23.61</v>
      </c>
      <c r="J5066" s="3565">
        <v>1267376</v>
      </c>
      <c r="K5066" s="3565">
        <v>10250.530000000001</v>
      </c>
      <c r="L5066" s="3565">
        <v>12669.96</v>
      </c>
      <c r="M5066" s="3565">
        <v>0</v>
      </c>
      <c r="N5066" s="3565">
        <v>0</v>
      </c>
      <c r="O5066" s="3563" t="s">
        <v>3453</v>
      </c>
    </row>
    <row r="5067" spans="1:15">
      <c r="A5067" s="3563" t="s">
        <v>9292</v>
      </c>
      <c r="B5067" s="3563" t="s">
        <v>4196</v>
      </c>
      <c r="C5067" s="3563" t="s">
        <v>4197</v>
      </c>
      <c r="D5067" s="3563" t="s">
        <v>6429</v>
      </c>
      <c r="E5067" s="3563" t="s">
        <v>9204</v>
      </c>
      <c r="F5067" s="3563" t="s">
        <v>4797</v>
      </c>
      <c r="G5067" s="3564">
        <v>100.88</v>
      </c>
      <c r="H5067" s="3564">
        <v>81.62</v>
      </c>
      <c r="I5067" s="3564">
        <v>19.260000000000002</v>
      </c>
      <c r="J5067" s="3565">
        <v>1043732</v>
      </c>
      <c r="K5067" s="3565">
        <v>10346.27</v>
      </c>
      <c r="L5067" s="3565">
        <v>12787.7</v>
      </c>
      <c r="M5067" s="3565">
        <v>0</v>
      </c>
      <c r="N5067" s="3565">
        <v>0</v>
      </c>
      <c r="O5067" s="3563" t="s">
        <v>3453</v>
      </c>
    </row>
    <row r="5068" spans="1:15">
      <c r="A5068" s="3563" t="s">
        <v>9293</v>
      </c>
      <c r="B5068" s="3563" t="s">
        <v>4196</v>
      </c>
      <c r="C5068" s="3563" t="s">
        <v>4197</v>
      </c>
      <c r="D5068" s="3563" t="s">
        <v>6429</v>
      </c>
      <c r="E5068" s="3563" t="s">
        <v>9204</v>
      </c>
      <c r="F5068" s="3563" t="s">
        <v>4797</v>
      </c>
      <c r="G5068" s="3564">
        <v>100.88</v>
      </c>
      <c r="H5068" s="3564">
        <v>81.62</v>
      </c>
      <c r="I5068" s="3564">
        <v>19.260000000000002</v>
      </c>
      <c r="J5068" s="3565">
        <v>1065196</v>
      </c>
      <c r="K5068" s="3565">
        <v>10559.04</v>
      </c>
      <c r="L5068" s="3565">
        <v>13050.67</v>
      </c>
      <c r="M5068" s="3565">
        <v>0</v>
      </c>
      <c r="N5068" s="3565">
        <v>0</v>
      </c>
      <c r="O5068" s="3563" t="s">
        <v>3453</v>
      </c>
    </row>
    <row r="5069" spans="1:15">
      <c r="A5069" s="3563" t="s">
        <v>9294</v>
      </c>
      <c r="B5069" s="3563" t="s">
        <v>4196</v>
      </c>
      <c r="C5069" s="3563" t="s">
        <v>4197</v>
      </c>
      <c r="D5069" s="3563" t="s">
        <v>6429</v>
      </c>
      <c r="E5069" s="3563" t="s">
        <v>9204</v>
      </c>
      <c r="F5069" s="3563" t="s">
        <v>4797</v>
      </c>
      <c r="G5069" s="3564">
        <v>109.31</v>
      </c>
      <c r="H5069" s="3564">
        <v>88.44</v>
      </c>
      <c r="I5069" s="3564">
        <v>20.87</v>
      </c>
      <c r="J5069" s="3565">
        <v>1125138</v>
      </c>
      <c r="K5069" s="3565">
        <v>10293.09</v>
      </c>
      <c r="L5069" s="3565">
        <v>12722.05</v>
      </c>
      <c r="M5069" s="3565">
        <v>0</v>
      </c>
      <c r="N5069" s="3565">
        <v>0</v>
      </c>
      <c r="O5069" s="3563" t="s">
        <v>3453</v>
      </c>
    </row>
    <row r="5070" spans="1:15">
      <c r="A5070" s="3563" t="s">
        <v>9295</v>
      </c>
      <c r="B5070" s="3563" t="s">
        <v>4196</v>
      </c>
      <c r="C5070" s="3563" t="s">
        <v>4197</v>
      </c>
      <c r="D5070" s="3563" t="s">
        <v>6429</v>
      </c>
      <c r="E5070" s="3563" t="s">
        <v>9204</v>
      </c>
      <c r="F5070" s="3563" t="s">
        <v>4797</v>
      </c>
      <c r="G5070" s="3564">
        <v>100.88</v>
      </c>
      <c r="H5070" s="3564">
        <v>81.62</v>
      </c>
      <c r="I5070" s="3564">
        <v>19.260000000000002</v>
      </c>
      <c r="J5070" s="3565">
        <v>1059830</v>
      </c>
      <c r="K5070" s="3565">
        <v>10505.85</v>
      </c>
      <c r="L5070" s="3565">
        <v>12984.93</v>
      </c>
      <c r="M5070" s="3565">
        <v>0</v>
      </c>
      <c r="N5070" s="3565">
        <v>0</v>
      </c>
      <c r="O5070" s="3563" t="s">
        <v>3453</v>
      </c>
    </row>
    <row r="5071" spans="1:15">
      <c r="A5071" s="3563" t="s">
        <v>9296</v>
      </c>
      <c r="B5071" s="3563" t="s">
        <v>4196</v>
      </c>
      <c r="C5071" s="3563" t="s">
        <v>4197</v>
      </c>
      <c r="D5071" s="3563" t="s">
        <v>6429</v>
      </c>
      <c r="E5071" s="3563" t="s">
        <v>9204</v>
      </c>
      <c r="F5071" s="3563" t="s">
        <v>4797</v>
      </c>
      <c r="G5071" s="3564">
        <v>100.88</v>
      </c>
      <c r="H5071" s="3564">
        <v>81.62</v>
      </c>
      <c r="I5071" s="3564">
        <v>19.260000000000002</v>
      </c>
      <c r="J5071" s="3565">
        <v>1059830</v>
      </c>
      <c r="K5071" s="3565">
        <v>10505.85</v>
      </c>
      <c r="L5071" s="3565">
        <v>12984.93</v>
      </c>
      <c r="M5071" s="3565">
        <v>0</v>
      </c>
      <c r="N5071" s="3565">
        <v>0</v>
      </c>
      <c r="O5071" s="3563" t="s">
        <v>3453</v>
      </c>
    </row>
    <row r="5072" spans="1:15">
      <c r="A5072" s="3563" t="s">
        <v>9297</v>
      </c>
      <c r="B5072" s="3563" t="s">
        <v>4196</v>
      </c>
      <c r="C5072" s="3563" t="s">
        <v>4197</v>
      </c>
      <c r="D5072" s="3563" t="s">
        <v>6429</v>
      </c>
      <c r="E5072" s="3563" t="s">
        <v>9204</v>
      </c>
      <c r="F5072" s="3563" t="s">
        <v>4797</v>
      </c>
      <c r="G5072" s="3564">
        <v>123.64</v>
      </c>
      <c r="H5072" s="3564">
        <v>100.03</v>
      </c>
      <c r="I5072" s="3564">
        <v>23.61</v>
      </c>
      <c r="J5072" s="3565">
        <v>1266061</v>
      </c>
      <c r="K5072" s="3565">
        <v>10239.9</v>
      </c>
      <c r="L5072" s="3565">
        <v>12656.81</v>
      </c>
      <c r="M5072" s="3565">
        <v>0</v>
      </c>
      <c r="N5072" s="3565">
        <v>0</v>
      </c>
      <c r="O5072" s="3563" t="s">
        <v>3453</v>
      </c>
    </row>
    <row r="5073" spans="1:15">
      <c r="A5073" s="3563" t="s">
        <v>9298</v>
      </c>
      <c r="B5073" s="3563" t="s">
        <v>4196</v>
      </c>
      <c r="C5073" s="3563" t="s">
        <v>4197</v>
      </c>
      <c r="D5073" s="3563" t="s">
        <v>6429</v>
      </c>
      <c r="E5073" s="3563" t="s">
        <v>9204</v>
      </c>
      <c r="F5073" s="3563" t="s">
        <v>4797</v>
      </c>
      <c r="G5073" s="3564">
        <v>100.88</v>
      </c>
      <c r="H5073" s="3564">
        <v>81.62</v>
      </c>
      <c r="I5073" s="3564">
        <v>19.260000000000002</v>
      </c>
      <c r="J5073" s="3565">
        <v>1042660</v>
      </c>
      <c r="K5073" s="3565">
        <v>10335.65</v>
      </c>
      <c r="L5073" s="3565">
        <v>12774.57</v>
      </c>
      <c r="M5073" s="3565">
        <v>0</v>
      </c>
      <c r="N5073" s="3565">
        <v>0</v>
      </c>
      <c r="O5073" s="3563" t="s">
        <v>3453</v>
      </c>
    </row>
    <row r="5074" spans="1:15">
      <c r="A5074" s="3563" t="s">
        <v>9299</v>
      </c>
      <c r="B5074" s="3563" t="s">
        <v>4196</v>
      </c>
      <c r="C5074" s="3563" t="s">
        <v>4197</v>
      </c>
      <c r="D5074" s="3563" t="s">
        <v>6429</v>
      </c>
      <c r="E5074" s="3563" t="s">
        <v>9204</v>
      </c>
      <c r="F5074" s="3563" t="s">
        <v>4797</v>
      </c>
      <c r="G5074" s="3564">
        <v>100.88</v>
      </c>
      <c r="H5074" s="3564">
        <v>81.62</v>
      </c>
      <c r="I5074" s="3564">
        <v>19.260000000000002</v>
      </c>
      <c r="J5074" s="3565">
        <v>1064124</v>
      </c>
      <c r="K5074" s="3565">
        <v>10548.41</v>
      </c>
      <c r="L5074" s="3565">
        <v>13037.54</v>
      </c>
      <c r="M5074" s="3565">
        <v>0</v>
      </c>
      <c r="N5074" s="3565">
        <v>0</v>
      </c>
      <c r="O5074" s="3563" t="s">
        <v>3453</v>
      </c>
    </row>
    <row r="5075" spans="1:15">
      <c r="A5075" s="3563" t="s">
        <v>9300</v>
      </c>
      <c r="B5075" s="3563" t="s">
        <v>4196</v>
      </c>
      <c r="C5075" s="3563" t="s">
        <v>4197</v>
      </c>
      <c r="D5075" s="3563" t="s">
        <v>6429</v>
      </c>
      <c r="E5075" s="3563" t="s">
        <v>9204</v>
      </c>
      <c r="F5075" s="3563" t="s">
        <v>4797</v>
      </c>
      <c r="G5075" s="3564">
        <v>109.31</v>
      </c>
      <c r="H5075" s="3564">
        <v>88.44</v>
      </c>
      <c r="I5075" s="3564">
        <v>20.87</v>
      </c>
      <c r="J5075" s="3565">
        <v>1123975</v>
      </c>
      <c r="K5075" s="3565">
        <v>10282.450000000001</v>
      </c>
      <c r="L5075" s="3565">
        <v>12708.9</v>
      </c>
      <c r="M5075" s="3565">
        <v>0</v>
      </c>
      <c r="N5075" s="3565">
        <v>0</v>
      </c>
      <c r="O5075" s="3563" t="s">
        <v>3453</v>
      </c>
    </row>
    <row r="5076" spans="1:15">
      <c r="A5076" s="3563" t="s">
        <v>9301</v>
      </c>
      <c r="B5076" s="3563" t="s">
        <v>4196</v>
      </c>
      <c r="C5076" s="3563" t="s">
        <v>4197</v>
      </c>
      <c r="D5076" s="3563" t="s">
        <v>6429</v>
      </c>
      <c r="E5076" s="3563" t="s">
        <v>9204</v>
      </c>
      <c r="F5076" s="3563" t="s">
        <v>4797</v>
      </c>
      <c r="G5076" s="3564">
        <v>100.88</v>
      </c>
      <c r="H5076" s="3564">
        <v>81.62</v>
      </c>
      <c r="I5076" s="3564">
        <v>19.260000000000002</v>
      </c>
      <c r="J5076" s="3565">
        <v>1058758</v>
      </c>
      <c r="K5076" s="3565">
        <v>10495.22</v>
      </c>
      <c r="L5076" s="3565">
        <v>12971.8</v>
      </c>
      <c r="M5076" s="3565">
        <v>0</v>
      </c>
      <c r="N5076" s="3565">
        <v>0</v>
      </c>
      <c r="O5076" s="3563" t="s">
        <v>3453</v>
      </c>
    </row>
    <row r="5077" spans="1:15">
      <c r="A5077" s="3563" t="s">
        <v>9302</v>
      </c>
      <c r="B5077" s="3563" t="s">
        <v>4196</v>
      </c>
      <c r="C5077" s="3563" t="s">
        <v>4197</v>
      </c>
      <c r="D5077" s="3563" t="s">
        <v>6429</v>
      </c>
      <c r="E5077" s="3563" t="s">
        <v>9204</v>
      </c>
      <c r="F5077" s="3563" t="s">
        <v>4797</v>
      </c>
      <c r="G5077" s="3564">
        <v>100.88</v>
      </c>
      <c r="H5077" s="3564">
        <v>81.62</v>
      </c>
      <c r="I5077" s="3564">
        <v>19.260000000000002</v>
      </c>
      <c r="J5077" s="3565">
        <v>1058758</v>
      </c>
      <c r="K5077" s="3565">
        <v>10495.22</v>
      </c>
      <c r="L5077" s="3565">
        <v>12971.8</v>
      </c>
      <c r="M5077" s="3565">
        <v>0</v>
      </c>
      <c r="N5077" s="3565">
        <v>0</v>
      </c>
      <c r="O5077" s="3563" t="s">
        <v>3453</v>
      </c>
    </row>
    <row r="5078" spans="1:15">
      <c r="A5078" s="3563" t="s">
        <v>9303</v>
      </c>
      <c r="B5078" s="3563" t="s">
        <v>4196</v>
      </c>
      <c r="C5078" s="3563" t="s">
        <v>4197</v>
      </c>
      <c r="D5078" s="3563" t="s">
        <v>6429</v>
      </c>
      <c r="E5078" s="3563" t="s">
        <v>9204</v>
      </c>
      <c r="F5078" s="3563" t="s">
        <v>4797</v>
      </c>
      <c r="G5078" s="3564">
        <v>123.64</v>
      </c>
      <c r="H5078" s="3564">
        <v>100.03</v>
      </c>
      <c r="I5078" s="3564">
        <v>23.61</v>
      </c>
      <c r="J5078" s="3565">
        <v>1291052</v>
      </c>
      <c r="K5078" s="3565">
        <v>10442.030000000001</v>
      </c>
      <c r="L5078" s="3565">
        <v>12906.65</v>
      </c>
      <c r="M5078" s="3565">
        <v>0</v>
      </c>
      <c r="N5078" s="3565">
        <v>0</v>
      </c>
      <c r="O5078" s="3563" t="s">
        <v>3453</v>
      </c>
    </row>
    <row r="5079" spans="1:15">
      <c r="A5079" s="3563" t="s">
        <v>9304</v>
      </c>
      <c r="B5079" s="3563" t="s">
        <v>4196</v>
      </c>
      <c r="C5079" s="3563" t="s">
        <v>4197</v>
      </c>
      <c r="D5079" s="3563" t="s">
        <v>6429</v>
      </c>
      <c r="E5079" s="3563" t="s">
        <v>9204</v>
      </c>
      <c r="F5079" s="3563" t="s">
        <v>4797</v>
      </c>
      <c r="G5079" s="3564">
        <v>100.88</v>
      </c>
      <c r="H5079" s="3564">
        <v>81.62</v>
      </c>
      <c r="I5079" s="3564">
        <v>19.260000000000002</v>
      </c>
      <c r="J5079" s="3565">
        <v>1041587</v>
      </c>
      <c r="K5079" s="3565">
        <v>10325.01</v>
      </c>
      <c r="L5079" s="3565">
        <v>12761.42</v>
      </c>
      <c r="M5079" s="3565">
        <v>0</v>
      </c>
      <c r="N5079" s="3565">
        <v>0</v>
      </c>
      <c r="O5079" s="3563" t="s">
        <v>3453</v>
      </c>
    </row>
    <row r="5080" spans="1:15">
      <c r="A5080" s="3563" t="s">
        <v>9305</v>
      </c>
      <c r="B5080" s="3563" t="s">
        <v>4196</v>
      </c>
      <c r="C5080" s="3563" t="s">
        <v>4197</v>
      </c>
      <c r="D5080" s="3563" t="s">
        <v>6429</v>
      </c>
      <c r="E5080" s="3563" t="s">
        <v>9204</v>
      </c>
      <c r="F5080" s="3563" t="s">
        <v>4797</v>
      </c>
      <c r="G5080" s="3564">
        <v>100.88</v>
      </c>
      <c r="H5080" s="3564">
        <v>81.62</v>
      </c>
      <c r="I5080" s="3564">
        <v>19.260000000000002</v>
      </c>
      <c r="J5080" s="3565">
        <v>1063050</v>
      </c>
      <c r="K5080" s="3565">
        <v>10537.77</v>
      </c>
      <c r="L5080" s="3565">
        <v>13024.38</v>
      </c>
      <c r="M5080" s="3565">
        <v>0</v>
      </c>
      <c r="N5080" s="3565">
        <v>0</v>
      </c>
      <c r="O5080" s="3563" t="s">
        <v>3453</v>
      </c>
    </row>
    <row r="5081" spans="1:15">
      <c r="A5081" s="3563" t="s">
        <v>9306</v>
      </c>
      <c r="B5081" s="3563" t="s">
        <v>4196</v>
      </c>
      <c r="C5081" s="3563" t="s">
        <v>4197</v>
      </c>
      <c r="D5081" s="3563" t="s">
        <v>6429</v>
      </c>
      <c r="E5081" s="3563" t="s">
        <v>9204</v>
      </c>
      <c r="F5081" s="3563" t="s">
        <v>4797</v>
      </c>
      <c r="G5081" s="3564">
        <v>109.31</v>
      </c>
      <c r="H5081" s="3564">
        <v>88.44</v>
      </c>
      <c r="I5081" s="3564">
        <v>20.87</v>
      </c>
      <c r="J5081" s="3565">
        <v>1122812</v>
      </c>
      <c r="K5081" s="3565">
        <v>10271.81</v>
      </c>
      <c r="L5081" s="3565">
        <v>12695.75</v>
      </c>
      <c r="M5081" s="3565">
        <v>0</v>
      </c>
      <c r="N5081" s="3565">
        <v>0</v>
      </c>
      <c r="O5081" s="3563" t="s">
        <v>3453</v>
      </c>
    </row>
    <row r="5082" spans="1:15">
      <c r="A5082" s="3563" t="s">
        <v>9307</v>
      </c>
      <c r="B5082" s="3563" t="s">
        <v>4196</v>
      </c>
      <c r="C5082" s="3563" t="s">
        <v>4197</v>
      </c>
      <c r="D5082" s="3563" t="s">
        <v>6429</v>
      </c>
      <c r="E5082" s="3563" t="s">
        <v>9204</v>
      </c>
      <c r="F5082" s="3563" t="s">
        <v>4797</v>
      </c>
      <c r="G5082" s="3564">
        <v>100.88</v>
      </c>
      <c r="H5082" s="3564">
        <v>81.62</v>
      </c>
      <c r="I5082" s="3564">
        <v>19.260000000000002</v>
      </c>
      <c r="J5082" s="3565">
        <v>1057685</v>
      </c>
      <c r="K5082" s="3565">
        <v>10484.59</v>
      </c>
      <c r="L5082" s="3565">
        <v>12958.65</v>
      </c>
      <c r="M5082" s="3565">
        <v>0</v>
      </c>
      <c r="N5082" s="3565">
        <v>0</v>
      </c>
      <c r="O5082" s="3563" t="s">
        <v>3453</v>
      </c>
    </row>
    <row r="5083" spans="1:15">
      <c r="A5083" s="3563" t="s">
        <v>9308</v>
      </c>
      <c r="B5083" s="3563" t="s">
        <v>4196</v>
      </c>
      <c r="C5083" s="3563" t="s">
        <v>4197</v>
      </c>
      <c r="D5083" s="3563" t="s">
        <v>6429</v>
      </c>
      <c r="E5083" s="3563" t="s">
        <v>9204</v>
      </c>
      <c r="F5083" s="3563" t="s">
        <v>4797</v>
      </c>
      <c r="G5083" s="3564">
        <v>100.88</v>
      </c>
      <c r="H5083" s="3564">
        <v>81.62</v>
      </c>
      <c r="I5083" s="3564">
        <v>19.260000000000002</v>
      </c>
      <c r="J5083" s="3565">
        <v>1057685</v>
      </c>
      <c r="K5083" s="3565">
        <v>10484.59</v>
      </c>
      <c r="L5083" s="3565">
        <v>12958.65</v>
      </c>
      <c r="M5083" s="3565">
        <v>0</v>
      </c>
      <c r="N5083" s="3565">
        <v>0</v>
      </c>
      <c r="O5083" s="3563" t="s">
        <v>3453</v>
      </c>
    </row>
    <row r="5084" spans="1:15">
      <c r="A5084" s="3563" t="s">
        <v>9309</v>
      </c>
      <c r="B5084" s="3563" t="s">
        <v>4196</v>
      </c>
      <c r="C5084" s="3563" t="s">
        <v>4197</v>
      </c>
      <c r="D5084" s="3563" t="s">
        <v>6429</v>
      </c>
      <c r="E5084" s="3563" t="s">
        <v>9204</v>
      </c>
      <c r="F5084" s="3563" t="s">
        <v>4797</v>
      </c>
      <c r="G5084" s="3564">
        <v>123.64</v>
      </c>
      <c r="H5084" s="3564">
        <v>100.03</v>
      </c>
      <c r="I5084" s="3564">
        <v>23.61</v>
      </c>
      <c r="J5084" s="3565">
        <v>1289737</v>
      </c>
      <c r="K5084" s="3565">
        <v>10431.39</v>
      </c>
      <c r="L5084" s="3565">
        <v>12893.5</v>
      </c>
      <c r="M5084" s="3565">
        <v>0</v>
      </c>
      <c r="N5084" s="3565">
        <v>0</v>
      </c>
      <c r="O5084" s="3563" t="s">
        <v>3453</v>
      </c>
    </row>
    <row r="5085" spans="1:15">
      <c r="A5085" s="3563" t="s">
        <v>9310</v>
      </c>
      <c r="B5085" s="3563" t="s">
        <v>4196</v>
      </c>
      <c r="C5085" s="3563" t="s">
        <v>4197</v>
      </c>
      <c r="D5085" s="3563" t="s">
        <v>6429</v>
      </c>
      <c r="E5085" s="3563" t="s">
        <v>9204</v>
      </c>
      <c r="F5085" s="3563" t="s">
        <v>4797</v>
      </c>
      <c r="G5085" s="3564">
        <v>100.88</v>
      </c>
      <c r="H5085" s="3564">
        <v>81.62</v>
      </c>
      <c r="I5085" s="3564">
        <v>19.260000000000002</v>
      </c>
      <c r="J5085" s="3565">
        <v>1029781</v>
      </c>
      <c r="K5085" s="3565">
        <v>10207.98</v>
      </c>
      <c r="L5085" s="3565">
        <v>12616.77</v>
      </c>
      <c r="M5085" s="3565">
        <v>0</v>
      </c>
      <c r="N5085" s="3565">
        <v>0</v>
      </c>
      <c r="O5085" s="3563" t="s">
        <v>3453</v>
      </c>
    </row>
    <row r="5086" spans="1:15">
      <c r="A5086" s="3563" t="s">
        <v>9311</v>
      </c>
      <c r="B5086" s="3563" t="s">
        <v>4196</v>
      </c>
      <c r="C5086" s="3563" t="s">
        <v>4197</v>
      </c>
      <c r="D5086" s="3563" t="s">
        <v>6429</v>
      </c>
      <c r="E5086" s="3563" t="s">
        <v>9204</v>
      </c>
      <c r="F5086" s="3563" t="s">
        <v>4797</v>
      </c>
      <c r="G5086" s="3564">
        <v>100.88</v>
      </c>
      <c r="H5086" s="3564">
        <v>81.62</v>
      </c>
      <c r="I5086" s="3564">
        <v>19.260000000000002</v>
      </c>
      <c r="J5086" s="3565">
        <v>1029781</v>
      </c>
      <c r="K5086" s="3565">
        <v>10207.98</v>
      </c>
      <c r="L5086" s="3565">
        <v>12616.77</v>
      </c>
      <c r="M5086" s="3565">
        <v>0</v>
      </c>
      <c r="N5086" s="3565">
        <v>0</v>
      </c>
      <c r="O5086" s="3563" t="s">
        <v>3453</v>
      </c>
    </row>
    <row r="5087" spans="1:15">
      <c r="A5087" s="3563" t="s">
        <v>9312</v>
      </c>
      <c r="B5087" s="3563" t="s">
        <v>4196</v>
      </c>
      <c r="C5087" s="3563" t="s">
        <v>4197</v>
      </c>
      <c r="D5087" s="3563" t="s">
        <v>6429</v>
      </c>
      <c r="E5087" s="3563" t="s">
        <v>9204</v>
      </c>
      <c r="F5087" s="3563" t="s">
        <v>4797</v>
      </c>
      <c r="G5087" s="3564">
        <v>109.31</v>
      </c>
      <c r="H5087" s="3564">
        <v>88.44</v>
      </c>
      <c r="I5087" s="3564">
        <v>20.87</v>
      </c>
      <c r="J5087" s="3565">
        <v>1086763</v>
      </c>
      <c r="K5087" s="3565">
        <v>9942.0300000000007</v>
      </c>
      <c r="L5087" s="3565">
        <v>12288.14</v>
      </c>
      <c r="M5087" s="3565">
        <v>0</v>
      </c>
      <c r="N5087" s="3565">
        <v>0</v>
      </c>
      <c r="O5087" s="3563" t="s">
        <v>3453</v>
      </c>
    </row>
    <row r="5088" spans="1:15">
      <c r="A5088" s="3563" t="s">
        <v>9313</v>
      </c>
      <c r="B5088" s="3563" t="s">
        <v>4196</v>
      </c>
      <c r="C5088" s="3563" t="s">
        <v>4197</v>
      </c>
      <c r="D5088" s="3563" t="s">
        <v>6429</v>
      </c>
      <c r="E5088" s="3563" t="s">
        <v>9204</v>
      </c>
      <c r="F5088" s="3563" t="s">
        <v>4797</v>
      </c>
      <c r="G5088" s="3564">
        <v>100.88</v>
      </c>
      <c r="H5088" s="3564">
        <v>81.62</v>
      </c>
      <c r="I5088" s="3564">
        <v>19.260000000000002</v>
      </c>
      <c r="J5088" s="3565">
        <v>1024415</v>
      </c>
      <c r="K5088" s="3565">
        <v>10154.790000000001</v>
      </c>
      <c r="L5088" s="3565">
        <v>12551.03</v>
      </c>
      <c r="M5088" s="3565">
        <v>0</v>
      </c>
      <c r="N5088" s="3565">
        <v>0</v>
      </c>
      <c r="O5088" s="3563" t="s">
        <v>3453</v>
      </c>
    </row>
    <row r="5089" spans="1:15">
      <c r="A5089" s="3563" t="s">
        <v>9314</v>
      </c>
      <c r="B5089" s="3563" t="s">
        <v>4196</v>
      </c>
      <c r="C5089" s="3563" t="s">
        <v>4197</v>
      </c>
      <c r="D5089" s="3563" t="s">
        <v>6429</v>
      </c>
      <c r="E5089" s="3563" t="s">
        <v>9204</v>
      </c>
      <c r="F5089" s="3563" t="s">
        <v>4797</v>
      </c>
      <c r="G5089" s="3564">
        <v>100.88</v>
      </c>
      <c r="H5089" s="3564">
        <v>81.62</v>
      </c>
      <c r="I5089" s="3564">
        <v>19.260000000000002</v>
      </c>
      <c r="J5089" s="3565">
        <v>1024415</v>
      </c>
      <c r="K5089" s="3565">
        <v>10154.790000000001</v>
      </c>
      <c r="L5089" s="3565">
        <v>12551.03</v>
      </c>
      <c r="M5089" s="3565">
        <v>0</v>
      </c>
      <c r="N5089" s="3565">
        <v>0</v>
      </c>
      <c r="O5089" s="3563" t="s">
        <v>3453</v>
      </c>
    </row>
    <row r="5090" spans="1:15">
      <c r="A5090" s="3563" t="s">
        <v>9315</v>
      </c>
      <c r="B5090" s="3563" t="s">
        <v>4196</v>
      </c>
      <c r="C5090" s="3563" t="s">
        <v>4197</v>
      </c>
      <c r="D5090" s="3563" t="s">
        <v>6429</v>
      </c>
      <c r="E5090" s="3563" t="s">
        <v>9204</v>
      </c>
      <c r="F5090" s="3563" t="s">
        <v>4797</v>
      </c>
      <c r="G5090" s="3564">
        <v>123.64</v>
      </c>
      <c r="H5090" s="3564">
        <v>100.03</v>
      </c>
      <c r="I5090" s="3564">
        <v>23.61</v>
      </c>
      <c r="J5090" s="3565">
        <v>1248962</v>
      </c>
      <c r="K5090" s="3565">
        <v>10101.6</v>
      </c>
      <c r="L5090" s="3565">
        <v>12485.87</v>
      </c>
      <c r="M5090" s="3565">
        <v>0</v>
      </c>
      <c r="N5090" s="3565">
        <v>0</v>
      </c>
      <c r="O5090" s="3563" t="s">
        <v>3453</v>
      </c>
    </row>
    <row r="5091" spans="1:15">
      <c r="A5091" s="3563" t="s">
        <v>9316</v>
      </c>
      <c r="B5091" s="3563" t="s">
        <v>4196</v>
      </c>
      <c r="C5091" s="3563" t="s">
        <v>4197</v>
      </c>
      <c r="D5091" s="3563" t="s">
        <v>6429</v>
      </c>
      <c r="E5091" s="3563" t="s">
        <v>9204</v>
      </c>
      <c r="F5091" s="3563" t="s">
        <v>4797</v>
      </c>
      <c r="G5091" s="3564">
        <v>100.88</v>
      </c>
      <c r="H5091" s="3564">
        <v>81.62</v>
      </c>
      <c r="I5091" s="3564">
        <v>19.260000000000002</v>
      </c>
      <c r="J5091" s="3565">
        <v>1015830</v>
      </c>
      <c r="K5091" s="3565">
        <v>10069.69</v>
      </c>
      <c r="L5091" s="3565">
        <v>12445.85</v>
      </c>
      <c r="M5091" s="3565">
        <v>0</v>
      </c>
      <c r="N5091" s="3565">
        <v>0</v>
      </c>
      <c r="O5091" s="3563" t="s">
        <v>3453</v>
      </c>
    </row>
    <row r="5092" spans="1:15">
      <c r="A5092" s="3563" t="s">
        <v>9317</v>
      </c>
      <c r="B5092" s="3563" t="s">
        <v>4196</v>
      </c>
      <c r="C5092" s="3563" t="s">
        <v>4197</v>
      </c>
      <c r="D5092" s="3563" t="s">
        <v>6429</v>
      </c>
      <c r="E5092" s="3563" t="s">
        <v>9204</v>
      </c>
      <c r="F5092" s="3563" t="s">
        <v>4797</v>
      </c>
      <c r="G5092" s="3564">
        <v>100.88</v>
      </c>
      <c r="H5092" s="3564">
        <v>81.62</v>
      </c>
      <c r="I5092" s="3564">
        <v>19.260000000000002</v>
      </c>
      <c r="J5092" s="3565">
        <v>1015830</v>
      </c>
      <c r="K5092" s="3565">
        <v>10069.69</v>
      </c>
      <c r="L5092" s="3565">
        <v>12445.85</v>
      </c>
      <c r="M5092" s="3565">
        <v>0</v>
      </c>
      <c r="N5092" s="3565">
        <v>0</v>
      </c>
      <c r="O5092" s="3563" t="s">
        <v>3453</v>
      </c>
    </row>
    <row r="5093" spans="1:15">
      <c r="A5093" s="3563" t="s">
        <v>9318</v>
      </c>
      <c r="B5093" s="3563" t="s">
        <v>4196</v>
      </c>
      <c r="C5093" s="3563" t="s">
        <v>4197</v>
      </c>
      <c r="D5093" s="3563" t="s">
        <v>6429</v>
      </c>
      <c r="E5093" s="3563" t="s">
        <v>9204</v>
      </c>
      <c r="F5093" s="3563" t="s">
        <v>4797</v>
      </c>
      <c r="G5093" s="3564">
        <v>109.31</v>
      </c>
      <c r="H5093" s="3564">
        <v>88.44</v>
      </c>
      <c r="I5093" s="3564">
        <v>20.87</v>
      </c>
      <c r="J5093" s="3565">
        <v>1071645</v>
      </c>
      <c r="K5093" s="3565">
        <v>9803.7199999999993</v>
      </c>
      <c r="L5093" s="3565">
        <v>12117.2</v>
      </c>
      <c r="M5093" s="3565">
        <v>0</v>
      </c>
      <c r="N5093" s="3565">
        <v>0</v>
      </c>
      <c r="O5093" s="3563" t="s">
        <v>3453</v>
      </c>
    </row>
    <row r="5094" spans="1:15">
      <c r="A5094" s="3563" t="s">
        <v>9319</v>
      </c>
      <c r="B5094" s="3563" t="s">
        <v>4196</v>
      </c>
      <c r="C5094" s="3563" t="s">
        <v>4197</v>
      </c>
      <c r="D5094" s="3563" t="s">
        <v>6429</v>
      </c>
      <c r="E5094" s="3563" t="s">
        <v>9204</v>
      </c>
      <c r="F5094" s="3563" t="s">
        <v>4797</v>
      </c>
      <c r="G5094" s="3564">
        <v>100.88</v>
      </c>
      <c r="H5094" s="3564">
        <v>81.62</v>
      </c>
      <c r="I5094" s="3564">
        <v>19.260000000000002</v>
      </c>
      <c r="J5094" s="3565">
        <v>1010464</v>
      </c>
      <c r="K5094" s="3565">
        <v>10016.49</v>
      </c>
      <c r="L5094" s="3565">
        <v>12380.1</v>
      </c>
      <c r="M5094" s="3565">
        <v>0</v>
      </c>
      <c r="N5094" s="3565">
        <v>0</v>
      </c>
      <c r="O5094" s="3563" t="s">
        <v>3453</v>
      </c>
    </row>
    <row r="5095" spans="1:15">
      <c r="A5095" s="3563" t="s">
        <v>9320</v>
      </c>
      <c r="B5095" s="3563" t="s">
        <v>4196</v>
      </c>
      <c r="C5095" s="3563" t="s">
        <v>4197</v>
      </c>
      <c r="D5095" s="3563" t="s">
        <v>6429</v>
      </c>
      <c r="E5095" s="3563" t="s">
        <v>9204</v>
      </c>
      <c r="F5095" s="3563" t="s">
        <v>4797</v>
      </c>
      <c r="G5095" s="3564">
        <v>100.88</v>
      </c>
      <c r="H5095" s="3564">
        <v>81.62</v>
      </c>
      <c r="I5095" s="3564">
        <v>19.260000000000002</v>
      </c>
      <c r="J5095" s="3565">
        <v>1010464</v>
      </c>
      <c r="K5095" s="3565">
        <v>10016.49</v>
      </c>
      <c r="L5095" s="3565">
        <v>12380.1</v>
      </c>
      <c r="M5095" s="3565">
        <v>0</v>
      </c>
      <c r="N5095" s="3565">
        <v>0</v>
      </c>
      <c r="O5095" s="3563" t="s">
        <v>3453</v>
      </c>
    </row>
    <row r="5096" spans="1:15">
      <c r="A5096" s="3563" t="s">
        <v>9321</v>
      </c>
      <c r="B5096" s="3563" t="s">
        <v>4196</v>
      </c>
      <c r="C5096" s="3563" t="s">
        <v>4197</v>
      </c>
      <c r="D5096" s="3563" t="s">
        <v>6429</v>
      </c>
      <c r="E5096" s="3563" t="s">
        <v>9204</v>
      </c>
      <c r="F5096" s="3563" t="s">
        <v>4797</v>
      </c>
      <c r="G5096" s="3564">
        <v>123.64</v>
      </c>
      <c r="H5096" s="3564">
        <v>100.03</v>
      </c>
      <c r="I5096" s="3564">
        <v>23.61</v>
      </c>
      <c r="J5096" s="3565">
        <v>1231862</v>
      </c>
      <c r="K5096" s="3565">
        <v>9963.2999999999993</v>
      </c>
      <c r="L5096" s="3565">
        <v>12314.93</v>
      </c>
      <c r="M5096" s="3565">
        <v>0</v>
      </c>
      <c r="N5096" s="3565">
        <v>0</v>
      </c>
      <c r="O5096" s="3563" t="s">
        <v>3453</v>
      </c>
    </row>
    <row r="5097" spans="1:15">
      <c r="A5097" s="3563" t="s">
        <v>9322</v>
      </c>
      <c r="B5097" s="3563" t="s">
        <v>4196</v>
      </c>
      <c r="C5097" s="3563" t="s">
        <v>4197</v>
      </c>
      <c r="D5097" s="3563" t="s">
        <v>6429</v>
      </c>
      <c r="E5097" s="3563" t="s">
        <v>9204</v>
      </c>
      <c r="F5097" s="3563" t="s">
        <v>4797</v>
      </c>
      <c r="G5097" s="3564">
        <v>100.88</v>
      </c>
      <c r="H5097" s="3564">
        <v>81.62</v>
      </c>
      <c r="I5097" s="3564">
        <v>19.260000000000002</v>
      </c>
      <c r="J5097" s="3565">
        <v>1028708</v>
      </c>
      <c r="K5097" s="3565">
        <v>10197.34</v>
      </c>
      <c r="L5097" s="3565">
        <v>12603.63</v>
      </c>
      <c r="M5097" s="3565">
        <v>0</v>
      </c>
      <c r="N5097" s="3565">
        <v>0</v>
      </c>
      <c r="O5097" s="3563" t="s">
        <v>3453</v>
      </c>
    </row>
    <row r="5098" spans="1:15">
      <c r="A5098" s="3563" t="s">
        <v>9323</v>
      </c>
      <c r="B5098" s="3563" t="s">
        <v>4196</v>
      </c>
      <c r="C5098" s="3563" t="s">
        <v>4197</v>
      </c>
      <c r="D5098" s="3563" t="s">
        <v>6429</v>
      </c>
      <c r="E5098" s="3563" t="s">
        <v>9204</v>
      </c>
      <c r="F5098" s="3563" t="s">
        <v>4797</v>
      </c>
      <c r="G5098" s="3564">
        <v>100.88</v>
      </c>
      <c r="H5098" s="3564">
        <v>81.62</v>
      </c>
      <c r="I5098" s="3564">
        <v>19.260000000000002</v>
      </c>
      <c r="J5098" s="3565">
        <v>1028708</v>
      </c>
      <c r="K5098" s="3565">
        <v>10197.34</v>
      </c>
      <c r="L5098" s="3565">
        <v>12603.63</v>
      </c>
      <c r="M5098" s="3565">
        <v>0</v>
      </c>
      <c r="N5098" s="3565">
        <v>0</v>
      </c>
      <c r="O5098" s="3563" t="s">
        <v>3453</v>
      </c>
    </row>
    <row r="5099" spans="1:15">
      <c r="A5099" s="3563" t="s">
        <v>9324</v>
      </c>
      <c r="B5099" s="3563" t="s">
        <v>4196</v>
      </c>
      <c r="C5099" s="3563" t="s">
        <v>4197</v>
      </c>
      <c r="D5099" s="3563" t="s">
        <v>6429</v>
      </c>
      <c r="E5099" s="3563" t="s">
        <v>9204</v>
      </c>
      <c r="F5099" s="3563" t="s">
        <v>4797</v>
      </c>
      <c r="G5099" s="3564">
        <v>109.31</v>
      </c>
      <c r="H5099" s="3564">
        <v>88.44</v>
      </c>
      <c r="I5099" s="3564">
        <v>20.87</v>
      </c>
      <c r="J5099" s="3565">
        <v>1085600</v>
      </c>
      <c r="K5099" s="3565">
        <v>9931.39</v>
      </c>
      <c r="L5099" s="3565">
        <v>12274.99</v>
      </c>
      <c r="M5099" s="3565">
        <v>0</v>
      </c>
      <c r="N5099" s="3565">
        <v>0</v>
      </c>
      <c r="O5099" s="3563" t="s">
        <v>3453</v>
      </c>
    </row>
    <row r="5100" spans="1:15">
      <c r="A5100" s="3563" t="s">
        <v>9325</v>
      </c>
      <c r="B5100" s="3563" t="s">
        <v>4196</v>
      </c>
      <c r="C5100" s="3563" t="s">
        <v>4197</v>
      </c>
      <c r="D5100" s="3563" t="s">
        <v>6429</v>
      </c>
      <c r="E5100" s="3563" t="s">
        <v>9204</v>
      </c>
      <c r="F5100" s="3563" t="s">
        <v>4797</v>
      </c>
      <c r="G5100" s="3564">
        <v>100.88</v>
      </c>
      <c r="H5100" s="3564">
        <v>81.62</v>
      </c>
      <c r="I5100" s="3564">
        <v>19.260000000000002</v>
      </c>
      <c r="J5100" s="3565">
        <v>1023342</v>
      </c>
      <c r="K5100" s="3565">
        <v>10144.15</v>
      </c>
      <c r="L5100" s="3565">
        <v>12537.88</v>
      </c>
      <c r="M5100" s="3565">
        <v>0</v>
      </c>
      <c r="N5100" s="3565">
        <v>0</v>
      </c>
      <c r="O5100" s="3563" t="s">
        <v>3453</v>
      </c>
    </row>
    <row r="5101" spans="1:15">
      <c r="A5101" s="3563" t="s">
        <v>9326</v>
      </c>
      <c r="B5101" s="3563" t="s">
        <v>4196</v>
      </c>
      <c r="C5101" s="3563" t="s">
        <v>4197</v>
      </c>
      <c r="D5101" s="3563" t="s">
        <v>6429</v>
      </c>
      <c r="E5101" s="3563" t="s">
        <v>9204</v>
      </c>
      <c r="F5101" s="3563" t="s">
        <v>4797</v>
      </c>
      <c r="G5101" s="3564">
        <v>100.88</v>
      </c>
      <c r="H5101" s="3564">
        <v>81.62</v>
      </c>
      <c r="I5101" s="3564">
        <v>19.260000000000002</v>
      </c>
      <c r="J5101" s="3565">
        <v>1023342</v>
      </c>
      <c r="K5101" s="3565">
        <v>10144.15</v>
      </c>
      <c r="L5101" s="3565">
        <v>12537.88</v>
      </c>
      <c r="M5101" s="3565">
        <v>0</v>
      </c>
      <c r="N5101" s="3565">
        <v>0</v>
      </c>
      <c r="O5101" s="3563" t="s">
        <v>3453</v>
      </c>
    </row>
    <row r="5102" spans="1:15">
      <c r="A5102" s="3563" t="s">
        <v>9327</v>
      </c>
      <c r="B5102" s="3563" t="s">
        <v>4196</v>
      </c>
      <c r="C5102" s="3563" t="s">
        <v>4197</v>
      </c>
      <c r="D5102" s="3563" t="s">
        <v>6429</v>
      </c>
      <c r="E5102" s="3563" t="s">
        <v>9204</v>
      </c>
      <c r="F5102" s="3563" t="s">
        <v>4797</v>
      </c>
      <c r="G5102" s="3564">
        <v>123.64</v>
      </c>
      <c r="H5102" s="3564">
        <v>100.03</v>
      </c>
      <c r="I5102" s="3564">
        <v>23.61</v>
      </c>
      <c r="J5102" s="3565">
        <v>1247646</v>
      </c>
      <c r="K5102" s="3565">
        <v>10090.959999999999</v>
      </c>
      <c r="L5102" s="3565">
        <v>12472.72</v>
      </c>
      <c r="M5102" s="3565">
        <v>0</v>
      </c>
      <c r="N5102" s="3565">
        <v>0</v>
      </c>
      <c r="O5102" s="3563" t="s">
        <v>3453</v>
      </c>
    </row>
    <row r="5103" spans="1:15">
      <c r="A5103" s="3563" t="s">
        <v>9328</v>
      </c>
      <c r="B5103" s="3563" t="s">
        <v>4196</v>
      </c>
      <c r="C5103" s="3563" t="s">
        <v>4197</v>
      </c>
      <c r="D5103" s="3563" t="s">
        <v>6429</v>
      </c>
      <c r="E5103" s="3563" t="s">
        <v>9204</v>
      </c>
      <c r="F5103" s="3563" t="s">
        <v>4797</v>
      </c>
      <c r="G5103" s="3564">
        <v>100.88</v>
      </c>
      <c r="H5103" s="3564">
        <v>81.62</v>
      </c>
      <c r="I5103" s="3564">
        <v>19.260000000000002</v>
      </c>
      <c r="J5103" s="3565">
        <v>1041587</v>
      </c>
      <c r="K5103" s="3565">
        <v>10325.01</v>
      </c>
      <c r="L5103" s="3565">
        <v>12761.42</v>
      </c>
      <c r="M5103" s="3565">
        <v>0</v>
      </c>
      <c r="N5103" s="3565">
        <v>0</v>
      </c>
      <c r="O5103" s="3563" t="s">
        <v>3453</v>
      </c>
    </row>
    <row r="5104" spans="1:15">
      <c r="A5104" s="3563" t="s">
        <v>9329</v>
      </c>
      <c r="B5104" s="3563" t="s">
        <v>4196</v>
      </c>
      <c r="C5104" s="3563" t="s">
        <v>4197</v>
      </c>
      <c r="D5104" s="3563" t="s">
        <v>6429</v>
      </c>
      <c r="E5104" s="3563" t="s">
        <v>9204</v>
      </c>
      <c r="F5104" s="3563" t="s">
        <v>4797</v>
      </c>
      <c r="G5104" s="3564">
        <v>100.88</v>
      </c>
      <c r="H5104" s="3564">
        <v>81.62</v>
      </c>
      <c r="I5104" s="3564">
        <v>19.260000000000002</v>
      </c>
      <c r="J5104" s="3565">
        <v>1041587</v>
      </c>
      <c r="K5104" s="3565">
        <v>10325.01</v>
      </c>
      <c r="L5104" s="3565">
        <v>12761.42</v>
      </c>
      <c r="M5104" s="3565">
        <v>0</v>
      </c>
      <c r="N5104" s="3565">
        <v>0</v>
      </c>
      <c r="O5104" s="3563" t="s">
        <v>3453</v>
      </c>
    </row>
    <row r="5105" spans="1:15">
      <c r="A5105" s="3563" t="s">
        <v>9330</v>
      </c>
      <c r="B5105" s="3563" t="s">
        <v>4196</v>
      </c>
      <c r="C5105" s="3563" t="s">
        <v>4197</v>
      </c>
      <c r="D5105" s="3563" t="s">
        <v>6429</v>
      </c>
      <c r="E5105" s="3563" t="s">
        <v>9204</v>
      </c>
      <c r="F5105" s="3563" t="s">
        <v>4797</v>
      </c>
      <c r="G5105" s="3564">
        <v>109.31</v>
      </c>
      <c r="H5105" s="3564">
        <v>88.44</v>
      </c>
      <c r="I5105" s="3564">
        <v>20.87</v>
      </c>
      <c r="J5105" s="3565">
        <v>1099555</v>
      </c>
      <c r="K5105" s="3565">
        <v>10059.049999999999</v>
      </c>
      <c r="L5105" s="3565">
        <v>12432.78</v>
      </c>
      <c r="M5105" s="3565">
        <v>0</v>
      </c>
      <c r="N5105" s="3565">
        <v>0</v>
      </c>
      <c r="O5105" s="3563" t="s">
        <v>3453</v>
      </c>
    </row>
    <row r="5106" spans="1:15">
      <c r="A5106" s="3563" t="s">
        <v>9331</v>
      </c>
      <c r="B5106" s="3563" t="s">
        <v>4196</v>
      </c>
      <c r="C5106" s="3563" t="s">
        <v>4197</v>
      </c>
      <c r="D5106" s="3563" t="s">
        <v>6429</v>
      </c>
      <c r="E5106" s="3563" t="s">
        <v>9204</v>
      </c>
      <c r="F5106" s="3563" t="s">
        <v>4797</v>
      </c>
      <c r="G5106" s="3564">
        <v>100.88</v>
      </c>
      <c r="H5106" s="3564">
        <v>81.62</v>
      </c>
      <c r="I5106" s="3564">
        <v>19.260000000000002</v>
      </c>
      <c r="J5106" s="3565">
        <v>1036221</v>
      </c>
      <c r="K5106" s="3565">
        <v>10271.82</v>
      </c>
      <c r="L5106" s="3565">
        <v>12695.68</v>
      </c>
      <c r="M5106" s="3565">
        <v>0</v>
      </c>
      <c r="N5106" s="3565">
        <v>0</v>
      </c>
      <c r="O5106" s="3563" t="s">
        <v>3453</v>
      </c>
    </row>
    <row r="5107" spans="1:15">
      <c r="A5107" s="3563" t="s">
        <v>9332</v>
      </c>
      <c r="B5107" s="3563" t="s">
        <v>4196</v>
      </c>
      <c r="C5107" s="3563" t="s">
        <v>4197</v>
      </c>
      <c r="D5107" s="3563" t="s">
        <v>6429</v>
      </c>
      <c r="E5107" s="3563" t="s">
        <v>9204</v>
      </c>
      <c r="F5107" s="3563" t="s">
        <v>4797</v>
      </c>
      <c r="G5107" s="3564">
        <v>100.88</v>
      </c>
      <c r="H5107" s="3564">
        <v>81.62</v>
      </c>
      <c r="I5107" s="3564">
        <v>19.260000000000002</v>
      </c>
      <c r="J5107" s="3565">
        <v>1036221</v>
      </c>
      <c r="K5107" s="3565">
        <v>10271.82</v>
      </c>
      <c r="L5107" s="3565">
        <v>12695.68</v>
      </c>
      <c r="M5107" s="3565">
        <v>0</v>
      </c>
      <c r="N5107" s="3565">
        <v>0</v>
      </c>
      <c r="O5107" s="3563" t="s">
        <v>3453</v>
      </c>
    </row>
    <row r="5108" spans="1:15">
      <c r="A5108" s="3563" t="s">
        <v>9333</v>
      </c>
      <c r="B5108" s="3563" t="s">
        <v>4196</v>
      </c>
      <c r="C5108" s="3563" t="s">
        <v>4197</v>
      </c>
      <c r="D5108" s="3563" t="s">
        <v>6429</v>
      </c>
      <c r="E5108" s="3563" t="s">
        <v>9204</v>
      </c>
      <c r="F5108" s="3563" t="s">
        <v>4797</v>
      </c>
      <c r="G5108" s="3564">
        <v>123.64</v>
      </c>
      <c r="H5108" s="3564">
        <v>100.03</v>
      </c>
      <c r="I5108" s="3564">
        <v>23.61</v>
      </c>
      <c r="J5108" s="3565">
        <v>1263430</v>
      </c>
      <c r="K5108" s="3565">
        <v>10218.620000000001</v>
      </c>
      <c r="L5108" s="3565">
        <v>12630.51</v>
      </c>
      <c r="M5108" s="3565">
        <v>0</v>
      </c>
      <c r="N5108" s="3565">
        <v>0</v>
      </c>
      <c r="O5108" s="3563" t="s">
        <v>3453</v>
      </c>
    </row>
    <row r="5109" spans="1:15">
      <c r="A5109" s="3563" t="s">
        <v>9334</v>
      </c>
      <c r="B5109" s="3563" t="s">
        <v>4196</v>
      </c>
      <c r="C5109" s="3563" t="s">
        <v>4197</v>
      </c>
      <c r="D5109" s="3563" t="s">
        <v>6429</v>
      </c>
      <c r="E5109" s="3563" t="s">
        <v>9204</v>
      </c>
      <c r="F5109" s="3563" t="s">
        <v>4797</v>
      </c>
      <c r="G5109" s="3564">
        <v>100.88</v>
      </c>
      <c r="H5109" s="3564">
        <v>81.62</v>
      </c>
      <c r="I5109" s="3564">
        <v>19.260000000000002</v>
      </c>
      <c r="J5109" s="3565">
        <v>1042660</v>
      </c>
      <c r="K5109" s="3565">
        <v>10335.65</v>
      </c>
      <c r="L5109" s="3565">
        <v>12774.57</v>
      </c>
      <c r="M5109" s="3565">
        <v>0</v>
      </c>
      <c r="N5109" s="3565">
        <v>0</v>
      </c>
      <c r="O5109" s="3563" t="s">
        <v>3453</v>
      </c>
    </row>
    <row r="5110" spans="1:15">
      <c r="A5110" s="3563" t="s">
        <v>9335</v>
      </c>
      <c r="B5110" s="3563" t="s">
        <v>4196</v>
      </c>
      <c r="C5110" s="3563" t="s">
        <v>4197</v>
      </c>
      <c r="D5110" s="3563" t="s">
        <v>6429</v>
      </c>
      <c r="E5110" s="3563" t="s">
        <v>9204</v>
      </c>
      <c r="F5110" s="3563" t="s">
        <v>4797</v>
      </c>
      <c r="G5110" s="3564">
        <v>100.88</v>
      </c>
      <c r="H5110" s="3564">
        <v>81.62</v>
      </c>
      <c r="I5110" s="3564">
        <v>19.260000000000002</v>
      </c>
      <c r="J5110" s="3565">
        <v>1042660</v>
      </c>
      <c r="K5110" s="3565">
        <v>10335.65</v>
      </c>
      <c r="L5110" s="3565">
        <v>12774.57</v>
      </c>
      <c r="M5110" s="3565">
        <v>0</v>
      </c>
      <c r="N5110" s="3565">
        <v>0</v>
      </c>
      <c r="O5110" s="3563" t="s">
        <v>3453</v>
      </c>
    </row>
    <row r="5111" spans="1:15">
      <c r="A5111" s="3563" t="s">
        <v>9336</v>
      </c>
      <c r="B5111" s="3563" t="s">
        <v>4196</v>
      </c>
      <c r="C5111" s="3563" t="s">
        <v>4197</v>
      </c>
      <c r="D5111" s="3563" t="s">
        <v>6429</v>
      </c>
      <c r="E5111" s="3563" t="s">
        <v>9204</v>
      </c>
      <c r="F5111" s="3563" t="s">
        <v>4797</v>
      </c>
      <c r="G5111" s="3564">
        <v>109.31</v>
      </c>
      <c r="H5111" s="3564">
        <v>88.44</v>
      </c>
      <c r="I5111" s="3564">
        <v>20.87</v>
      </c>
      <c r="J5111" s="3565">
        <v>1100718</v>
      </c>
      <c r="K5111" s="3565">
        <v>10069.69</v>
      </c>
      <c r="L5111" s="3565">
        <v>12445.93</v>
      </c>
      <c r="M5111" s="3565">
        <v>0</v>
      </c>
      <c r="N5111" s="3565">
        <v>0</v>
      </c>
      <c r="O5111" s="3563" t="s">
        <v>3453</v>
      </c>
    </row>
    <row r="5112" spans="1:15">
      <c r="A5112" s="3563" t="s">
        <v>9337</v>
      </c>
      <c r="B5112" s="3563" t="s">
        <v>4196</v>
      </c>
      <c r="C5112" s="3563" t="s">
        <v>4197</v>
      </c>
      <c r="D5112" s="3563" t="s">
        <v>6429</v>
      </c>
      <c r="E5112" s="3563" t="s">
        <v>9204</v>
      </c>
      <c r="F5112" s="3563" t="s">
        <v>4797</v>
      </c>
      <c r="G5112" s="3564">
        <v>100.88</v>
      </c>
      <c r="H5112" s="3564">
        <v>81.62</v>
      </c>
      <c r="I5112" s="3564">
        <v>19.260000000000002</v>
      </c>
      <c r="J5112" s="3565">
        <v>1037294</v>
      </c>
      <c r="K5112" s="3565">
        <v>10282.450000000001</v>
      </c>
      <c r="L5112" s="3565">
        <v>12708.82</v>
      </c>
      <c r="M5112" s="3565">
        <v>0</v>
      </c>
      <c r="N5112" s="3565">
        <v>0</v>
      </c>
      <c r="O5112" s="3563" t="s">
        <v>3453</v>
      </c>
    </row>
    <row r="5113" spans="1:15">
      <c r="A5113" s="3563" t="s">
        <v>9338</v>
      </c>
      <c r="B5113" s="3563" t="s">
        <v>4196</v>
      </c>
      <c r="C5113" s="3563" t="s">
        <v>4197</v>
      </c>
      <c r="D5113" s="3563" t="s">
        <v>6429</v>
      </c>
      <c r="E5113" s="3563" t="s">
        <v>9204</v>
      </c>
      <c r="F5113" s="3563" t="s">
        <v>4797</v>
      </c>
      <c r="G5113" s="3564">
        <v>100.88</v>
      </c>
      <c r="H5113" s="3564">
        <v>81.62</v>
      </c>
      <c r="I5113" s="3564">
        <v>19.260000000000002</v>
      </c>
      <c r="J5113" s="3565">
        <v>1037294</v>
      </c>
      <c r="K5113" s="3565">
        <v>10282.450000000001</v>
      </c>
      <c r="L5113" s="3565">
        <v>12708.82</v>
      </c>
      <c r="M5113" s="3565">
        <v>0</v>
      </c>
      <c r="N5113" s="3565">
        <v>0</v>
      </c>
      <c r="O5113" s="3563" t="s">
        <v>3453</v>
      </c>
    </row>
    <row r="5114" spans="1:15">
      <c r="A5114" s="3563" t="s">
        <v>9339</v>
      </c>
      <c r="B5114" s="3563" t="s">
        <v>4196</v>
      </c>
      <c r="C5114" s="3563" t="s">
        <v>4197</v>
      </c>
      <c r="D5114" s="3563" t="s">
        <v>6429</v>
      </c>
      <c r="E5114" s="3563" t="s">
        <v>9204</v>
      </c>
      <c r="F5114" s="3563" t="s">
        <v>4797</v>
      </c>
      <c r="G5114" s="3564">
        <v>123.64</v>
      </c>
      <c r="H5114" s="3564">
        <v>100.03</v>
      </c>
      <c r="I5114" s="3564">
        <v>23.61</v>
      </c>
      <c r="J5114" s="3565">
        <v>1264745</v>
      </c>
      <c r="K5114" s="3565">
        <v>10229.25</v>
      </c>
      <c r="L5114" s="3565">
        <v>12643.66</v>
      </c>
      <c r="M5114" s="3565">
        <v>0</v>
      </c>
      <c r="N5114" s="3565">
        <v>0</v>
      </c>
      <c r="O5114" s="3563" t="s">
        <v>3453</v>
      </c>
    </row>
    <row r="5115" spans="1:15">
      <c r="A5115" s="3563" t="s">
        <v>9340</v>
      </c>
      <c r="B5115" s="3563" t="s">
        <v>4196</v>
      </c>
      <c r="C5115" s="3563" t="s">
        <v>4197</v>
      </c>
      <c r="D5115" s="3563" t="s">
        <v>6429</v>
      </c>
      <c r="E5115" s="3563" t="s">
        <v>9204</v>
      </c>
      <c r="F5115" s="3563" t="s">
        <v>4797</v>
      </c>
      <c r="G5115" s="3564">
        <v>100.88</v>
      </c>
      <c r="H5115" s="3564">
        <v>81.62</v>
      </c>
      <c r="I5115" s="3564">
        <v>19.260000000000002</v>
      </c>
      <c r="J5115" s="3565">
        <v>1043732</v>
      </c>
      <c r="K5115" s="3565">
        <v>10346.27</v>
      </c>
      <c r="L5115" s="3565">
        <v>12787.7</v>
      </c>
      <c r="M5115" s="3565">
        <v>0</v>
      </c>
      <c r="N5115" s="3565">
        <v>0</v>
      </c>
      <c r="O5115" s="3563" t="s">
        <v>3453</v>
      </c>
    </row>
    <row r="5116" spans="1:15">
      <c r="A5116" s="3563" t="s">
        <v>9341</v>
      </c>
      <c r="B5116" s="3563" t="s">
        <v>4196</v>
      </c>
      <c r="C5116" s="3563" t="s">
        <v>4197</v>
      </c>
      <c r="D5116" s="3563" t="s">
        <v>6429</v>
      </c>
      <c r="E5116" s="3563" t="s">
        <v>9204</v>
      </c>
      <c r="F5116" s="3563" t="s">
        <v>4797</v>
      </c>
      <c r="G5116" s="3564">
        <v>100.88</v>
      </c>
      <c r="H5116" s="3564">
        <v>81.62</v>
      </c>
      <c r="I5116" s="3564">
        <v>19.260000000000002</v>
      </c>
      <c r="J5116" s="3565">
        <v>1043732</v>
      </c>
      <c r="K5116" s="3565">
        <v>10346.27</v>
      </c>
      <c r="L5116" s="3565">
        <v>12787.7</v>
      </c>
      <c r="M5116" s="3565">
        <v>0</v>
      </c>
      <c r="N5116" s="3565">
        <v>0</v>
      </c>
      <c r="O5116" s="3563" t="s">
        <v>3453</v>
      </c>
    </row>
    <row r="5117" spans="1:15">
      <c r="A5117" s="3563" t="s">
        <v>9342</v>
      </c>
      <c r="B5117" s="3563" t="s">
        <v>4196</v>
      </c>
      <c r="C5117" s="3563" t="s">
        <v>4197</v>
      </c>
      <c r="D5117" s="3563" t="s">
        <v>6429</v>
      </c>
      <c r="E5117" s="3563" t="s">
        <v>9204</v>
      </c>
      <c r="F5117" s="3563" t="s">
        <v>4797</v>
      </c>
      <c r="G5117" s="3564">
        <v>109.31</v>
      </c>
      <c r="H5117" s="3564">
        <v>88.44</v>
      </c>
      <c r="I5117" s="3564">
        <v>20.87</v>
      </c>
      <c r="J5117" s="3565">
        <v>1101880</v>
      </c>
      <c r="K5117" s="3565">
        <v>10080.32</v>
      </c>
      <c r="L5117" s="3565">
        <v>12459.07</v>
      </c>
      <c r="M5117" s="3565">
        <v>0</v>
      </c>
      <c r="N5117" s="3565">
        <v>0</v>
      </c>
      <c r="O5117" s="3563" t="s">
        <v>3453</v>
      </c>
    </row>
    <row r="5118" spans="1:15">
      <c r="A5118" s="3563" t="s">
        <v>9343</v>
      </c>
      <c r="B5118" s="3563" t="s">
        <v>4196</v>
      </c>
      <c r="C5118" s="3563" t="s">
        <v>4197</v>
      </c>
      <c r="D5118" s="3563" t="s">
        <v>6429</v>
      </c>
      <c r="E5118" s="3563" t="s">
        <v>9204</v>
      </c>
      <c r="F5118" s="3563" t="s">
        <v>4797</v>
      </c>
      <c r="G5118" s="3564">
        <v>100.88</v>
      </c>
      <c r="H5118" s="3564">
        <v>81.62</v>
      </c>
      <c r="I5118" s="3564">
        <v>19.260000000000002</v>
      </c>
      <c r="J5118" s="3565">
        <v>1038366</v>
      </c>
      <c r="K5118" s="3565">
        <v>10293.08</v>
      </c>
      <c r="L5118" s="3565">
        <v>12721.96</v>
      </c>
      <c r="M5118" s="3565">
        <v>0</v>
      </c>
      <c r="N5118" s="3565">
        <v>0</v>
      </c>
      <c r="O5118" s="3563" t="s">
        <v>3453</v>
      </c>
    </row>
    <row r="5119" spans="1:15">
      <c r="A5119" s="3563" t="s">
        <v>9344</v>
      </c>
      <c r="B5119" s="3563" t="s">
        <v>4196</v>
      </c>
      <c r="C5119" s="3563" t="s">
        <v>4197</v>
      </c>
      <c r="D5119" s="3563" t="s">
        <v>6429</v>
      </c>
      <c r="E5119" s="3563" t="s">
        <v>9204</v>
      </c>
      <c r="F5119" s="3563" t="s">
        <v>4797</v>
      </c>
      <c r="G5119" s="3564">
        <v>100.88</v>
      </c>
      <c r="H5119" s="3564">
        <v>81.62</v>
      </c>
      <c r="I5119" s="3564">
        <v>19.260000000000002</v>
      </c>
      <c r="J5119" s="3565">
        <v>1038366</v>
      </c>
      <c r="K5119" s="3565">
        <v>10293.08</v>
      </c>
      <c r="L5119" s="3565">
        <v>12721.96</v>
      </c>
      <c r="M5119" s="3565">
        <v>0</v>
      </c>
      <c r="N5119" s="3565">
        <v>0</v>
      </c>
      <c r="O5119" s="3563" t="s">
        <v>3453</v>
      </c>
    </row>
    <row r="5120" spans="1:15">
      <c r="A5120" s="3563" t="s">
        <v>9345</v>
      </c>
      <c r="B5120" s="3563" t="s">
        <v>4196</v>
      </c>
      <c r="C5120" s="3563" t="s">
        <v>4197</v>
      </c>
      <c r="D5120" s="3563" t="s">
        <v>6429</v>
      </c>
      <c r="E5120" s="3563" t="s">
        <v>9204</v>
      </c>
      <c r="F5120" s="3563" t="s">
        <v>4797</v>
      </c>
      <c r="G5120" s="3564">
        <v>123.64</v>
      </c>
      <c r="H5120" s="3564">
        <v>100.03</v>
      </c>
      <c r="I5120" s="3564">
        <v>23.61</v>
      </c>
      <c r="J5120" s="3565">
        <v>1266061</v>
      </c>
      <c r="K5120" s="3565">
        <v>10239.9</v>
      </c>
      <c r="L5120" s="3565">
        <v>12656.81</v>
      </c>
      <c r="M5120" s="3565">
        <v>0</v>
      </c>
      <c r="N5120" s="3565">
        <v>0</v>
      </c>
      <c r="O5120" s="3563" t="s">
        <v>3453</v>
      </c>
    </row>
    <row r="5121" spans="1:15">
      <c r="A5121" s="3563" t="s">
        <v>9346</v>
      </c>
      <c r="B5121" s="3563" t="s">
        <v>4196</v>
      </c>
      <c r="C5121" s="3563" t="s">
        <v>4197</v>
      </c>
      <c r="D5121" s="3563" t="s">
        <v>6429</v>
      </c>
      <c r="E5121" s="3563" t="s">
        <v>9204</v>
      </c>
      <c r="F5121" s="3563" t="s">
        <v>4797</v>
      </c>
      <c r="G5121" s="3564">
        <v>100.88</v>
      </c>
      <c r="H5121" s="3564">
        <v>81.62</v>
      </c>
      <c r="I5121" s="3564">
        <v>19.260000000000002</v>
      </c>
      <c r="J5121" s="3565">
        <v>1044806</v>
      </c>
      <c r="K5121" s="3565">
        <v>10356.92</v>
      </c>
      <c r="L5121" s="3565">
        <v>12800.86</v>
      </c>
      <c r="M5121" s="3565">
        <v>0</v>
      </c>
      <c r="N5121" s="3565">
        <v>0</v>
      </c>
      <c r="O5121" s="3563" t="s">
        <v>3453</v>
      </c>
    </row>
    <row r="5122" spans="1:15">
      <c r="A5122" s="3563" t="s">
        <v>9347</v>
      </c>
      <c r="B5122" s="3563" t="s">
        <v>4196</v>
      </c>
      <c r="C5122" s="3563" t="s">
        <v>4197</v>
      </c>
      <c r="D5122" s="3563" t="s">
        <v>6429</v>
      </c>
      <c r="E5122" s="3563" t="s">
        <v>9204</v>
      </c>
      <c r="F5122" s="3563" t="s">
        <v>4797</v>
      </c>
      <c r="G5122" s="3564">
        <v>100.88</v>
      </c>
      <c r="H5122" s="3564">
        <v>81.62</v>
      </c>
      <c r="I5122" s="3564">
        <v>19.260000000000002</v>
      </c>
      <c r="J5122" s="3565">
        <v>1044806</v>
      </c>
      <c r="K5122" s="3565">
        <v>10356.92</v>
      </c>
      <c r="L5122" s="3565">
        <v>12800.86</v>
      </c>
      <c r="M5122" s="3565">
        <v>0</v>
      </c>
      <c r="N5122" s="3565">
        <v>0</v>
      </c>
      <c r="O5122" s="3563" t="s">
        <v>3453</v>
      </c>
    </row>
    <row r="5123" spans="1:15">
      <c r="A5123" s="3563" t="s">
        <v>9348</v>
      </c>
      <c r="B5123" s="3563" t="s">
        <v>4196</v>
      </c>
      <c r="C5123" s="3563" t="s">
        <v>4197</v>
      </c>
      <c r="D5123" s="3563" t="s">
        <v>6429</v>
      </c>
      <c r="E5123" s="3563" t="s">
        <v>9204</v>
      </c>
      <c r="F5123" s="3563" t="s">
        <v>4797</v>
      </c>
      <c r="G5123" s="3564">
        <v>109.31</v>
      </c>
      <c r="H5123" s="3564">
        <v>88.44</v>
      </c>
      <c r="I5123" s="3564">
        <v>20.87</v>
      </c>
      <c r="J5123" s="3565">
        <v>1126300</v>
      </c>
      <c r="K5123" s="3565">
        <v>10303.719999999999</v>
      </c>
      <c r="L5123" s="3565">
        <v>12735.19</v>
      </c>
      <c r="M5123" s="3565">
        <v>0</v>
      </c>
      <c r="N5123" s="3565">
        <v>0</v>
      </c>
      <c r="O5123" s="3563" t="s">
        <v>3453</v>
      </c>
    </row>
    <row r="5124" spans="1:15">
      <c r="A5124" s="3563" t="s">
        <v>9349</v>
      </c>
      <c r="B5124" s="3563" t="s">
        <v>4196</v>
      </c>
      <c r="C5124" s="3563" t="s">
        <v>4197</v>
      </c>
      <c r="D5124" s="3563" t="s">
        <v>6429</v>
      </c>
      <c r="E5124" s="3563" t="s">
        <v>9204</v>
      </c>
      <c r="F5124" s="3563" t="s">
        <v>4797</v>
      </c>
      <c r="G5124" s="3564">
        <v>100.88</v>
      </c>
      <c r="H5124" s="3564">
        <v>81.62</v>
      </c>
      <c r="I5124" s="3564">
        <v>19.260000000000002</v>
      </c>
      <c r="J5124" s="3565">
        <v>1060904</v>
      </c>
      <c r="K5124" s="3565">
        <v>10516.49</v>
      </c>
      <c r="L5124" s="3565">
        <v>12998.09</v>
      </c>
      <c r="M5124" s="3565">
        <v>0</v>
      </c>
      <c r="N5124" s="3565">
        <v>0</v>
      </c>
      <c r="O5124" s="3563" t="s">
        <v>3453</v>
      </c>
    </row>
    <row r="5125" spans="1:15">
      <c r="A5125" s="3563" t="s">
        <v>9350</v>
      </c>
      <c r="B5125" s="3563" t="s">
        <v>4196</v>
      </c>
      <c r="C5125" s="3563" t="s">
        <v>4197</v>
      </c>
      <c r="D5125" s="3563" t="s">
        <v>6429</v>
      </c>
      <c r="E5125" s="3563" t="s">
        <v>9204</v>
      </c>
      <c r="F5125" s="3563" t="s">
        <v>4797</v>
      </c>
      <c r="G5125" s="3564">
        <v>100.88</v>
      </c>
      <c r="H5125" s="3564">
        <v>81.62</v>
      </c>
      <c r="I5125" s="3564">
        <v>19.260000000000002</v>
      </c>
      <c r="J5125" s="3565">
        <v>1060904</v>
      </c>
      <c r="K5125" s="3565">
        <v>10516.49</v>
      </c>
      <c r="L5125" s="3565">
        <v>12998.09</v>
      </c>
      <c r="M5125" s="3565">
        <v>0</v>
      </c>
      <c r="N5125" s="3565">
        <v>0</v>
      </c>
      <c r="O5125" s="3563" t="s">
        <v>3453</v>
      </c>
    </row>
    <row r="5126" spans="1:15">
      <c r="A5126" s="3563" t="s">
        <v>9351</v>
      </c>
      <c r="B5126" s="3563" t="s">
        <v>4196</v>
      </c>
      <c r="C5126" s="3563" t="s">
        <v>4197</v>
      </c>
      <c r="D5126" s="3563" t="s">
        <v>6429</v>
      </c>
      <c r="E5126" s="3563" t="s">
        <v>9204</v>
      </c>
      <c r="F5126" s="3563" t="s">
        <v>4797</v>
      </c>
      <c r="G5126" s="3564">
        <v>123.64</v>
      </c>
      <c r="H5126" s="3564">
        <v>100.03</v>
      </c>
      <c r="I5126" s="3564">
        <v>23.61</v>
      </c>
      <c r="J5126" s="3565">
        <v>1267376</v>
      </c>
      <c r="K5126" s="3565">
        <v>10250.530000000001</v>
      </c>
      <c r="L5126" s="3565">
        <v>12669.96</v>
      </c>
      <c r="M5126" s="3565">
        <v>0</v>
      </c>
      <c r="N5126" s="3565">
        <v>0</v>
      </c>
      <c r="O5126" s="3563" t="s">
        <v>3453</v>
      </c>
    </row>
    <row r="5127" spans="1:15">
      <c r="A5127" s="3563" t="s">
        <v>9352</v>
      </c>
      <c r="B5127" s="3563" t="s">
        <v>4196</v>
      </c>
      <c r="C5127" s="3563" t="s">
        <v>4197</v>
      </c>
      <c r="D5127" s="3563" t="s">
        <v>6429</v>
      </c>
      <c r="E5127" s="3563" t="s">
        <v>9204</v>
      </c>
      <c r="F5127" s="3563" t="s">
        <v>4797</v>
      </c>
      <c r="G5127" s="3564">
        <v>100.88</v>
      </c>
      <c r="H5127" s="3564">
        <v>81.62</v>
      </c>
      <c r="I5127" s="3564">
        <v>19.260000000000002</v>
      </c>
      <c r="J5127" s="3565">
        <v>1045879</v>
      </c>
      <c r="K5127" s="3565">
        <v>10367.56</v>
      </c>
      <c r="L5127" s="3565">
        <v>12814</v>
      </c>
      <c r="M5127" s="3565">
        <v>0</v>
      </c>
      <c r="N5127" s="3565">
        <v>0</v>
      </c>
      <c r="O5127" s="3563" t="s">
        <v>3453</v>
      </c>
    </row>
    <row r="5128" spans="1:15">
      <c r="A5128" s="3563" t="s">
        <v>9353</v>
      </c>
      <c r="B5128" s="3563" t="s">
        <v>4196</v>
      </c>
      <c r="C5128" s="3563" t="s">
        <v>4197</v>
      </c>
      <c r="D5128" s="3563" t="s">
        <v>6429</v>
      </c>
      <c r="E5128" s="3563" t="s">
        <v>9204</v>
      </c>
      <c r="F5128" s="3563" t="s">
        <v>4797</v>
      </c>
      <c r="G5128" s="3564">
        <v>100.88</v>
      </c>
      <c r="H5128" s="3564">
        <v>81.62</v>
      </c>
      <c r="I5128" s="3564">
        <v>19.260000000000002</v>
      </c>
      <c r="J5128" s="3565">
        <v>1067343</v>
      </c>
      <c r="K5128" s="3565">
        <v>10580.32</v>
      </c>
      <c r="L5128" s="3565">
        <v>13076.98</v>
      </c>
      <c r="M5128" s="3565">
        <v>0</v>
      </c>
      <c r="N5128" s="3565">
        <v>0</v>
      </c>
      <c r="O5128" s="3563" t="s">
        <v>3453</v>
      </c>
    </row>
    <row r="5129" spans="1:15">
      <c r="A5129" s="3563" t="s">
        <v>9354</v>
      </c>
      <c r="B5129" s="3563" t="s">
        <v>4196</v>
      </c>
      <c r="C5129" s="3563" t="s">
        <v>4197</v>
      </c>
      <c r="D5129" s="3563" t="s">
        <v>6429</v>
      </c>
      <c r="E5129" s="3563" t="s">
        <v>9204</v>
      </c>
      <c r="F5129" s="3563" t="s">
        <v>4797</v>
      </c>
      <c r="G5129" s="3564">
        <v>109.31</v>
      </c>
      <c r="H5129" s="3564">
        <v>88.44</v>
      </c>
      <c r="I5129" s="3564">
        <v>20.87</v>
      </c>
      <c r="J5129" s="3565">
        <v>1127463</v>
      </c>
      <c r="K5129" s="3565">
        <v>10314.36</v>
      </c>
      <c r="L5129" s="3565">
        <v>12748.34</v>
      </c>
      <c r="M5129" s="3565">
        <v>0</v>
      </c>
      <c r="N5129" s="3565">
        <v>0</v>
      </c>
      <c r="O5129" s="3563" t="s">
        <v>3453</v>
      </c>
    </row>
    <row r="5130" spans="1:15">
      <c r="A5130" s="3563" t="s">
        <v>9355</v>
      </c>
      <c r="B5130" s="3563" t="s">
        <v>4196</v>
      </c>
      <c r="C5130" s="3563" t="s">
        <v>4197</v>
      </c>
      <c r="D5130" s="3563" t="s">
        <v>6429</v>
      </c>
      <c r="E5130" s="3563" t="s">
        <v>9204</v>
      </c>
      <c r="F5130" s="3563" t="s">
        <v>4797</v>
      </c>
      <c r="G5130" s="3564">
        <v>100.88</v>
      </c>
      <c r="H5130" s="3564">
        <v>81.62</v>
      </c>
      <c r="I5130" s="3564">
        <v>19.260000000000002</v>
      </c>
      <c r="J5130" s="3565">
        <v>1061977</v>
      </c>
      <c r="K5130" s="3565">
        <v>10527.13</v>
      </c>
      <c r="L5130" s="3565">
        <v>13011.23</v>
      </c>
      <c r="M5130" s="3565">
        <v>0</v>
      </c>
      <c r="N5130" s="3565">
        <v>0</v>
      </c>
      <c r="O5130" s="3563" t="s">
        <v>3453</v>
      </c>
    </row>
    <row r="5131" spans="1:15">
      <c r="A5131" s="3563" t="s">
        <v>9356</v>
      </c>
      <c r="B5131" s="3563" t="s">
        <v>4196</v>
      </c>
      <c r="C5131" s="3563" t="s">
        <v>4197</v>
      </c>
      <c r="D5131" s="3563" t="s">
        <v>6429</v>
      </c>
      <c r="E5131" s="3563" t="s">
        <v>9204</v>
      </c>
      <c r="F5131" s="3563" t="s">
        <v>4797</v>
      </c>
      <c r="G5131" s="3564">
        <v>100.88</v>
      </c>
      <c r="H5131" s="3564">
        <v>81.62</v>
      </c>
      <c r="I5131" s="3564">
        <v>19.260000000000002</v>
      </c>
      <c r="J5131" s="3565">
        <v>1061977</v>
      </c>
      <c r="K5131" s="3565">
        <v>10527.13</v>
      </c>
      <c r="L5131" s="3565">
        <v>13011.23</v>
      </c>
      <c r="M5131" s="3565">
        <v>0</v>
      </c>
      <c r="N5131" s="3565">
        <v>0</v>
      </c>
      <c r="O5131" s="3563" t="s">
        <v>3453</v>
      </c>
    </row>
    <row r="5132" spans="1:15">
      <c r="A5132" s="3563" t="s">
        <v>9357</v>
      </c>
      <c r="B5132" s="3563" t="s">
        <v>4196</v>
      </c>
      <c r="C5132" s="3563" t="s">
        <v>4197</v>
      </c>
      <c r="D5132" s="3563" t="s">
        <v>6429</v>
      </c>
      <c r="E5132" s="3563" t="s">
        <v>9204</v>
      </c>
      <c r="F5132" s="3563" t="s">
        <v>4797</v>
      </c>
      <c r="G5132" s="3564">
        <v>123.64</v>
      </c>
      <c r="H5132" s="3564">
        <v>100.03</v>
      </c>
      <c r="I5132" s="3564">
        <v>23.61</v>
      </c>
      <c r="J5132" s="3565">
        <v>1268692</v>
      </c>
      <c r="K5132" s="3565">
        <v>10261.18</v>
      </c>
      <c r="L5132" s="3565">
        <v>12683.12</v>
      </c>
      <c r="M5132" s="3565">
        <v>0</v>
      </c>
      <c r="N5132" s="3565">
        <v>0</v>
      </c>
      <c r="O5132" s="3563" t="s">
        <v>3453</v>
      </c>
    </row>
    <row r="5133" spans="1:15">
      <c r="A5133" s="3563" t="s">
        <v>9358</v>
      </c>
      <c r="B5133" s="3563" t="s">
        <v>4196</v>
      </c>
      <c r="C5133" s="3563" t="s">
        <v>4197</v>
      </c>
      <c r="D5133" s="3563" t="s">
        <v>6429</v>
      </c>
      <c r="E5133" s="3563" t="s">
        <v>9359</v>
      </c>
      <c r="F5133" s="3563" t="s">
        <v>4797</v>
      </c>
      <c r="G5133" s="3564">
        <v>97.54</v>
      </c>
      <c r="H5133" s="3564">
        <v>81.739999999999995</v>
      </c>
      <c r="I5133" s="3564">
        <v>15.8</v>
      </c>
      <c r="J5133" s="3565">
        <v>955218</v>
      </c>
      <c r="K5133" s="3565">
        <v>9793.09</v>
      </c>
      <c r="L5133" s="3565">
        <v>11686.05</v>
      </c>
      <c r="M5133" s="3565">
        <v>0</v>
      </c>
      <c r="N5133" s="3565">
        <v>0</v>
      </c>
      <c r="O5133" s="3563" t="s">
        <v>3453</v>
      </c>
    </row>
    <row r="5134" spans="1:15">
      <c r="A5134" s="3563" t="s">
        <v>9360</v>
      </c>
      <c r="B5134" s="3563" t="s">
        <v>4196</v>
      </c>
      <c r="C5134" s="3563" t="s">
        <v>4197</v>
      </c>
      <c r="D5134" s="3563" t="s">
        <v>6429</v>
      </c>
      <c r="E5134" s="3563" t="s">
        <v>9359</v>
      </c>
      <c r="F5134" s="3563" t="s">
        <v>4797</v>
      </c>
      <c r="G5134" s="3564">
        <v>97.54</v>
      </c>
      <c r="H5134" s="3564">
        <v>81.739999999999995</v>
      </c>
      <c r="I5134" s="3564">
        <v>15.8</v>
      </c>
      <c r="J5134" s="3565">
        <v>955218</v>
      </c>
      <c r="K5134" s="3565">
        <v>9793.09</v>
      </c>
      <c r="L5134" s="3565">
        <v>11686.05</v>
      </c>
      <c r="M5134" s="3565">
        <v>0</v>
      </c>
      <c r="N5134" s="3565">
        <v>0</v>
      </c>
      <c r="O5134" s="3563" t="s">
        <v>3453</v>
      </c>
    </row>
    <row r="5135" spans="1:15">
      <c r="A5135" s="3563" t="s">
        <v>9361</v>
      </c>
      <c r="B5135" s="3563" t="s">
        <v>4196</v>
      </c>
      <c r="C5135" s="3563" t="s">
        <v>4197</v>
      </c>
      <c r="D5135" s="3563" t="s">
        <v>6429</v>
      </c>
      <c r="E5135" s="3563" t="s">
        <v>9359</v>
      </c>
      <c r="F5135" s="3563" t="s">
        <v>4797</v>
      </c>
      <c r="G5135" s="3564">
        <v>97.86</v>
      </c>
      <c r="H5135" s="3564">
        <v>82.01</v>
      </c>
      <c r="I5135" s="3564">
        <v>15.85</v>
      </c>
      <c r="J5135" s="3565">
        <v>958352</v>
      </c>
      <c r="K5135" s="3565">
        <v>9793.09</v>
      </c>
      <c r="L5135" s="3565">
        <v>11685.79</v>
      </c>
      <c r="M5135" s="3565">
        <v>0</v>
      </c>
      <c r="N5135" s="3565">
        <v>0</v>
      </c>
      <c r="O5135" s="3563" t="s">
        <v>3453</v>
      </c>
    </row>
    <row r="5136" spans="1:15">
      <c r="A5136" s="3563" t="s">
        <v>9362</v>
      </c>
      <c r="B5136" s="3563" t="s">
        <v>4196</v>
      </c>
      <c r="C5136" s="3563" t="s">
        <v>4197</v>
      </c>
      <c r="D5136" s="3563" t="s">
        <v>6429</v>
      </c>
      <c r="E5136" s="3563" t="s">
        <v>9359</v>
      </c>
      <c r="F5136" s="3563" t="s">
        <v>4797</v>
      </c>
      <c r="G5136" s="3564">
        <v>82</v>
      </c>
      <c r="H5136" s="3564">
        <v>71</v>
      </c>
      <c r="I5136" s="3564">
        <v>11</v>
      </c>
      <c r="J5136" s="3565">
        <v>813502</v>
      </c>
      <c r="K5136" s="3565">
        <v>9920.76</v>
      </c>
      <c r="L5136" s="3565">
        <v>11457.77</v>
      </c>
      <c r="M5136" s="3565">
        <v>0</v>
      </c>
      <c r="N5136" s="3565">
        <v>0</v>
      </c>
      <c r="O5136" s="3563" t="s">
        <v>3453</v>
      </c>
    </row>
    <row r="5137" spans="1:15">
      <c r="A5137" s="3563" t="s">
        <v>9363</v>
      </c>
      <c r="B5137" s="3563" t="s">
        <v>4196</v>
      </c>
      <c r="C5137" s="3563" t="s">
        <v>4197</v>
      </c>
      <c r="D5137" s="3563" t="s">
        <v>6429</v>
      </c>
      <c r="E5137" s="3563" t="s">
        <v>9359</v>
      </c>
      <c r="F5137" s="3563" t="s">
        <v>4797</v>
      </c>
      <c r="G5137" s="3564">
        <v>82</v>
      </c>
      <c r="H5137" s="3564">
        <v>71</v>
      </c>
      <c r="I5137" s="3564">
        <v>11</v>
      </c>
      <c r="J5137" s="3565">
        <v>813502</v>
      </c>
      <c r="K5137" s="3565">
        <v>9920.76</v>
      </c>
      <c r="L5137" s="3565">
        <v>11457.77</v>
      </c>
      <c r="M5137" s="3565">
        <v>0</v>
      </c>
      <c r="N5137" s="3565">
        <v>0</v>
      </c>
      <c r="O5137" s="3563" t="s">
        <v>3453</v>
      </c>
    </row>
    <row r="5138" spans="1:15">
      <c r="A5138" s="3563" t="s">
        <v>9364</v>
      </c>
      <c r="B5138" s="3563" t="s">
        <v>4196</v>
      </c>
      <c r="C5138" s="3563" t="s">
        <v>4197</v>
      </c>
      <c r="D5138" s="3563" t="s">
        <v>6429</v>
      </c>
      <c r="E5138" s="3563" t="s">
        <v>9359</v>
      </c>
      <c r="F5138" s="3563" t="s">
        <v>4797</v>
      </c>
      <c r="G5138" s="3564">
        <v>100.47</v>
      </c>
      <c r="H5138" s="3564">
        <v>81.739999999999995</v>
      </c>
      <c r="I5138" s="3564">
        <v>18.73</v>
      </c>
      <c r="J5138" s="3565">
        <v>1058730</v>
      </c>
      <c r="K5138" s="3565">
        <v>10537.77</v>
      </c>
      <c r="L5138" s="3565">
        <v>12952.41</v>
      </c>
      <c r="M5138" s="3565">
        <v>0</v>
      </c>
      <c r="N5138" s="3565">
        <v>0</v>
      </c>
      <c r="O5138" s="3563" t="s">
        <v>3453</v>
      </c>
    </row>
    <row r="5139" spans="1:15">
      <c r="A5139" s="3563" t="s">
        <v>9365</v>
      </c>
      <c r="B5139" s="3563" t="s">
        <v>4196</v>
      </c>
      <c r="C5139" s="3563" t="s">
        <v>4197</v>
      </c>
      <c r="D5139" s="3563" t="s">
        <v>6429</v>
      </c>
      <c r="E5139" s="3563" t="s">
        <v>9359</v>
      </c>
      <c r="F5139" s="3563" t="s">
        <v>4797</v>
      </c>
      <c r="G5139" s="3564">
        <v>100.47</v>
      </c>
      <c r="H5139" s="3564">
        <v>81.739999999999995</v>
      </c>
      <c r="I5139" s="3564">
        <v>18.73</v>
      </c>
      <c r="J5139" s="3565">
        <v>1037354</v>
      </c>
      <c r="K5139" s="3565">
        <v>10325.01</v>
      </c>
      <c r="L5139" s="3565">
        <v>12690.9</v>
      </c>
      <c r="M5139" s="3565">
        <v>0</v>
      </c>
      <c r="N5139" s="3565">
        <v>0</v>
      </c>
      <c r="O5139" s="3563" t="s">
        <v>3453</v>
      </c>
    </row>
    <row r="5140" spans="1:15">
      <c r="A5140" s="3563" t="s">
        <v>9366</v>
      </c>
      <c r="B5140" s="3563" t="s">
        <v>4196</v>
      </c>
      <c r="C5140" s="3563" t="s">
        <v>4197</v>
      </c>
      <c r="D5140" s="3563" t="s">
        <v>6429</v>
      </c>
      <c r="E5140" s="3563" t="s">
        <v>9359</v>
      </c>
      <c r="F5140" s="3563" t="s">
        <v>4797</v>
      </c>
      <c r="G5140" s="3564">
        <v>100.81</v>
      </c>
      <c r="H5140" s="3564">
        <v>82.01</v>
      </c>
      <c r="I5140" s="3564">
        <v>18.8</v>
      </c>
      <c r="J5140" s="3565">
        <v>1035502</v>
      </c>
      <c r="K5140" s="3565">
        <v>10271.82</v>
      </c>
      <c r="L5140" s="3565">
        <v>12626.53</v>
      </c>
      <c r="M5140" s="3565">
        <v>0</v>
      </c>
      <c r="N5140" s="3565">
        <v>0</v>
      </c>
      <c r="O5140" s="3563" t="s">
        <v>3453</v>
      </c>
    </row>
    <row r="5141" spans="1:15">
      <c r="A5141" s="3563" t="s">
        <v>9367</v>
      </c>
      <c r="B5141" s="3563" t="s">
        <v>4196</v>
      </c>
      <c r="C5141" s="3563" t="s">
        <v>4197</v>
      </c>
      <c r="D5141" s="3563" t="s">
        <v>6429</v>
      </c>
      <c r="E5141" s="3563" t="s">
        <v>9359</v>
      </c>
      <c r="F5141" s="3563" t="s">
        <v>4797</v>
      </c>
      <c r="G5141" s="3564">
        <v>87.27</v>
      </c>
      <c r="H5141" s="3564">
        <v>71</v>
      </c>
      <c r="I5141" s="3564">
        <v>16.27</v>
      </c>
      <c r="J5141" s="3565">
        <v>914989</v>
      </c>
      <c r="K5141" s="3565">
        <v>10484.58</v>
      </c>
      <c r="L5141" s="3565">
        <v>12887.17</v>
      </c>
      <c r="M5141" s="3565">
        <v>0</v>
      </c>
      <c r="N5141" s="3565">
        <v>0</v>
      </c>
      <c r="O5141" s="3563" t="s">
        <v>3453</v>
      </c>
    </row>
    <row r="5142" spans="1:15">
      <c r="A5142" s="3563" t="s">
        <v>9368</v>
      </c>
      <c r="B5142" s="3563" t="s">
        <v>4196</v>
      </c>
      <c r="C5142" s="3563" t="s">
        <v>4197</v>
      </c>
      <c r="D5142" s="3563" t="s">
        <v>6429</v>
      </c>
      <c r="E5142" s="3563" t="s">
        <v>9359</v>
      </c>
      <c r="F5142" s="3563" t="s">
        <v>4797</v>
      </c>
      <c r="G5142" s="3564">
        <v>87.27</v>
      </c>
      <c r="H5142" s="3564">
        <v>71</v>
      </c>
      <c r="I5142" s="3564">
        <v>16.27</v>
      </c>
      <c r="J5142" s="3565">
        <v>914989</v>
      </c>
      <c r="K5142" s="3565">
        <v>10484.58</v>
      </c>
      <c r="L5142" s="3565">
        <v>12887.17</v>
      </c>
      <c r="M5142" s="3565">
        <v>0</v>
      </c>
      <c r="N5142" s="3565">
        <v>0</v>
      </c>
      <c r="O5142" s="3563" t="s">
        <v>3453</v>
      </c>
    </row>
    <row r="5143" spans="1:15">
      <c r="A5143" s="3563" t="s">
        <v>9369</v>
      </c>
      <c r="B5143" s="3563" t="s">
        <v>4196</v>
      </c>
      <c r="C5143" s="3563" t="s">
        <v>4197</v>
      </c>
      <c r="D5143" s="3563" t="s">
        <v>6429</v>
      </c>
      <c r="E5143" s="3563" t="s">
        <v>9359</v>
      </c>
      <c r="F5143" s="3563" t="s">
        <v>4797</v>
      </c>
      <c r="G5143" s="3564">
        <v>108.71</v>
      </c>
      <c r="H5143" s="3564">
        <v>88.44</v>
      </c>
      <c r="I5143" s="3564">
        <v>20.27</v>
      </c>
      <c r="J5143" s="3565">
        <v>1099302</v>
      </c>
      <c r="K5143" s="3565">
        <v>10112.24</v>
      </c>
      <c r="L5143" s="3565">
        <v>12429.92</v>
      </c>
      <c r="M5143" s="3565">
        <v>0</v>
      </c>
      <c r="N5143" s="3565">
        <v>0</v>
      </c>
      <c r="O5143" s="3563" t="s">
        <v>3453</v>
      </c>
    </row>
    <row r="5144" spans="1:15">
      <c r="A5144" s="3563" t="s">
        <v>9370</v>
      </c>
      <c r="B5144" s="3563" t="s">
        <v>4196</v>
      </c>
      <c r="C5144" s="3563" t="s">
        <v>4197</v>
      </c>
      <c r="D5144" s="3563" t="s">
        <v>6429</v>
      </c>
      <c r="E5144" s="3563" t="s">
        <v>9359</v>
      </c>
      <c r="F5144" s="3563" t="s">
        <v>4797</v>
      </c>
      <c r="G5144" s="3564">
        <v>100.47</v>
      </c>
      <c r="H5144" s="3564">
        <v>81.739999999999995</v>
      </c>
      <c r="I5144" s="3564">
        <v>18.73</v>
      </c>
      <c r="J5144" s="3565">
        <v>1059798</v>
      </c>
      <c r="K5144" s="3565">
        <v>10548.4</v>
      </c>
      <c r="L5144" s="3565">
        <v>12965.48</v>
      </c>
      <c r="M5144" s="3565">
        <v>0</v>
      </c>
      <c r="N5144" s="3565">
        <v>0</v>
      </c>
      <c r="O5144" s="3563" t="s">
        <v>3453</v>
      </c>
    </row>
    <row r="5145" spans="1:15">
      <c r="A5145" s="3563" t="s">
        <v>9371</v>
      </c>
      <c r="B5145" s="3563" t="s">
        <v>4196</v>
      </c>
      <c r="C5145" s="3563" t="s">
        <v>4197</v>
      </c>
      <c r="D5145" s="3563" t="s">
        <v>6429</v>
      </c>
      <c r="E5145" s="3563" t="s">
        <v>9359</v>
      </c>
      <c r="F5145" s="3563" t="s">
        <v>4797</v>
      </c>
      <c r="G5145" s="3564">
        <v>100.47</v>
      </c>
      <c r="H5145" s="3564">
        <v>81.739999999999995</v>
      </c>
      <c r="I5145" s="3564">
        <v>18.73</v>
      </c>
      <c r="J5145" s="3565">
        <v>1038422</v>
      </c>
      <c r="K5145" s="3565">
        <v>10335.64</v>
      </c>
      <c r="L5145" s="3565">
        <v>12703.96</v>
      </c>
      <c r="M5145" s="3565">
        <v>0</v>
      </c>
      <c r="N5145" s="3565">
        <v>0</v>
      </c>
      <c r="O5145" s="3563" t="s">
        <v>3453</v>
      </c>
    </row>
    <row r="5146" spans="1:15">
      <c r="A5146" s="3563" t="s">
        <v>9372</v>
      </c>
      <c r="B5146" s="3563" t="s">
        <v>4196</v>
      </c>
      <c r="C5146" s="3563" t="s">
        <v>4197</v>
      </c>
      <c r="D5146" s="3563" t="s">
        <v>6429</v>
      </c>
      <c r="E5146" s="3563" t="s">
        <v>9359</v>
      </c>
      <c r="F5146" s="3563" t="s">
        <v>4797</v>
      </c>
      <c r="G5146" s="3564">
        <v>100.81</v>
      </c>
      <c r="H5146" s="3564">
        <v>82.01</v>
      </c>
      <c r="I5146" s="3564">
        <v>18.8</v>
      </c>
      <c r="J5146" s="3565">
        <v>1036574</v>
      </c>
      <c r="K5146" s="3565">
        <v>10282.450000000001</v>
      </c>
      <c r="L5146" s="3565">
        <v>12639.6</v>
      </c>
      <c r="M5146" s="3565">
        <v>0</v>
      </c>
      <c r="N5146" s="3565">
        <v>0</v>
      </c>
      <c r="O5146" s="3563" t="s">
        <v>3453</v>
      </c>
    </row>
    <row r="5147" spans="1:15">
      <c r="A5147" s="3563" t="s">
        <v>9373</v>
      </c>
      <c r="B5147" s="3563" t="s">
        <v>4196</v>
      </c>
      <c r="C5147" s="3563" t="s">
        <v>4197</v>
      </c>
      <c r="D5147" s="3563" t="s">
        <v>6429</v>
      </c>
      <c r="E5147" s="3563" t="s">
        <v>9359</v>
      </c>
      <c r="F5147" s="3563" t="s">
        <v>4797</v>
      </c>
      <c r="G5147" s="3564">
        <v>87.27</v>
      </c>
      <c r="H5147" s="3564">
        <v>71</v>
      </c>
      <c r="I5147" s="3564">
        <v>16.27</v>
      </c>
      <c r="J5147" s="3565">
        <v>915918</v>
      </c>
      <c r="K5147" s="3565">
        <v>10495.22</v>
      </c>
      <c r="L5147" s="3565">
        <v>12900.25</v>
      </c>
      <c r="M5147" s="3565">
        <v>0</v>
      </c>
      <c r="N5147" s="3565">
        <v>0</v>
      </c>
      <c r="O5147" s="3563" t="s">
        <v>3453</v>
      </c>
    </row>
    <row r="5148" spans="1:15">
      <c r="A5148" s="3563" t="s">
        <v>9374</v>
      </c>
      <c r="B5148" s="3563" t="s">
        <v>4196</v>
      </c>
      <c r="C5148" s="3563" t="s">
        <v>4197</v>
      </c>
      <c r="D5148" s="3563" t="s">
        <v>6429</v>
      </c>
      <c r="E5148" s="3563" t="s">
        <v>9359</v>
      </c>
      <c r="F5148" s="3563" t="s">
        <v>4797</v>
      </c>
      <c r="G5148" s="3564">
        <v>87.27</v>
      </c>
      <c r="H5148" s="3564">
        <v>71</v>
      </c>
      <c r="I5148" s="3564">
        <v>16.27</v>
      </c>
      <c r="J5148" s="3565">
        <v>934486</v>
      </c>
      <c r="K5148" s="3565">
        <v>10707.99</v>
      </c>
      <c r="L5148" s="3565">
        <v>13161.77</v>
      </c>
      <c r="M5148" s="3565">
        <v>0</v>
      </c>
      <c r="N5148" s="3565">
        <v>0</v>
      </c>
      <c r="O5148" s="3563" t="s">
        <v>3453</v>
      </c>
    </row>
    <row r="5149" spans="1:15">
      <c r="A5149" s="3563" t="s">
        <v>9375</v>
      </c>
      <c r="B5149" s="3563" t="s">
        <v>4196</v>
      </c>
      <c r="C5149" s="3563" t="s">
        <v>4197</v>
      </c>
      <c r="D5149" s="3563" t="s">
        <v>6429</v>
      </c>
      <c r="E5149" s="3563" t="s">
        <v>9359</v>
      </c>
      <c r="F5149" s="3563" t="s">
        <v>4797</v>
      </c>
      <c r="G5149" s="3564">
        <v>108.71</v>
      </c>
      <c r="H5149" s="3564">
        <v>88.44</v>
      </c>
      <c r="I5149" s="3564">
        <v>20.27</v>
      </c>
      <c r="J5149" s="3565">
        <v>1100458</v>
      </c>
      <c r="K5149" s="3565">
        <v>10122.879999999999</v>
      </c>
      <c r="L5149" s="3565">
        <v>12442.99</v>
      </c>
      <c r="M5149" s="3565">
        <v>0</v>
      </c>
      <c r="N5149" s="3565">
        <v>0</v>
      </c>
      <c r="O5149" s="3563" t="s">
        <v>3453</v>
      </c>
    </row>
    <row r="5150" spans="1:15">
      <c r="A5150" s="3563" t="s">
        <v>9376</v>
      </c>
      <c r="B5150" s="3563" t="s">
        <v>4196</v>
      </c>
      <c r="C5150" s="3563" t="s">
        <v>4197</v>
      </c>
      <c r="D5150" s="3563" t="s">
        <v>6429</v>
      </c>
      <c r="E5150" s="3563" t="s">
        <v>9359</v>
      </c>
      <c r="F5150" s="3563" t="s">
        <v>4797</v>
      </c>
      <c r="G5150" s="3564">
        <v>100.47</v>
      </c>
      <c r="H5150" s="3564">
        <v>81.739999999999995</v>
      </c>
      <c r="I5150" s="3564">
        <v>18.73</v>
      </c>
      <c r="J5150" s="3565">
        <v>1060868</v>
      </c>
      <c r="K5150" s="3565">
        <v>10559.05</v>
      </c>
      <c r="L5150" s="3565">
        <v>12978.57</v>
      </c>
      <c r="M5150" s="3565">
        <v>0</v>
      </c>
      <c r="N5150" s="3565">
        <v>0</v>
      </c>
      <c r="O5150" s="3563" t="s">
        <v>3453</v>
      </c>
    </row>
    <row r="5151" spans="1:15">
      <c r="A5151" s="3563" t="s">
        <v>9377</v>
      </c>
      <c r="B5151" s="3563" t="s">
        <v>4196</v>
      </c>
      <c r="C5151" s="3563" t="s">
        <v>4197</v>
      </c>
      <c r="D5151" s="3563" t="s">
        <v>6429</v>
      </c>
      <c r="E5151" s="3563" t="s">
        <v>9359</v>
      </c>
      <c r="F5151" s="3563" t="s">
        <v>4797</v>
      </c>
      <c r="G5151" s="3564">
        <v>100.47</v>
      </c>
      <c r="H5151" s="3564">
        <v>81.739999999999995</v>
      </c>
      <c r="I5151" s="3564">
        <v>18.73</v>
      </c>
      <c r="J5151" s="3565">
        <v>1039491</v>
      </c>
      <c r="K5151" s="3565">
        <v>10346.280000000001</v>
      </c>
      <c r="L5151" s="3565">
        <v>12717.04</v>
      </c>
      <c r="M5151" s="3565">
        <v>0</v>
      </c>
      <c r="N5151" s="3565">
        <v>0</v>
      </c>
      <c r="O5151" s="3563" t="s">
        <v>3453</v>
      </c>
    </row>
    <row r="5152" spans="1:15">
      <c r="A5152" s="3563" t="s">
        <v>9378</v>
      </c>
      <c r="B5152" s="3563" t="s">
        <v>4196</v>
      </c>
      <c r="C5152" s="3563" t="s">
        <v>4197</v>
      </c>
      <c r="D5152" s="3563" t="s">
        <v>6429</v>
      </c>
      <c r="E5152" s="3563" t="s">
        <v>9359</v>
      </c>
      <c r="F5152" s="3563" t="s">
        <v>4797</v>
      </c>
      <c r="G5152" s="3564">
        <v>100.81</v>
      </c>
      <c r="H5152" s="3564">
        <v>82.01</v>
      </c>
      <c r="I5152" s="3564">
        <v>18.8</v>
      </c>
      <c r="J5152" s="3565">
        <v>1037646</v>
      </c>
      <c r="K5152" s="3565">
        <v>10293.09</v>
      </c>
      <c r="L5152" s="3565">
        <v>12652.68</v>
      </c>
      <c r="M5152" s="3565">
        <v>0</v>
      </c>
      <c r="N5152" s="3565">
        <v>0</v>
      </c>
      <c r="O5152" s="3563" t="s">
        <v>3453</v>
      </c>
    </row>
    <row r="5153" spans="1:15">
      <c r="A5153" s="3563" t="s">
        <v>9379</v>
      </c>
      <c r="B5153" s="3563" t="s">
        <v>4196</v>
      </c>
      <c r="C5153" s="3563" t="s">
        <v>4197</v>
      </c>
      <c r="D5153" s="3563" t="s">
        <v>6429</v>
      </c>
      <c r="E5153" s="3563" t="s">
        <v>9359</v>
      </c>
      <c r="F5153" s="3563" t="s">
        <v>4797</v>
      </c>
      <c r="G5153" s="3564">
        <v>87.27</v>
      </c>
      <c r="H5153" s="3564">
        <v>71</v>
      </c>
      <c r="I5153" s="3564">
        <v>16.27</v>
      </c>
      <c r="J5153" s="3565">
        <v>916846</v>
      </c>
      <c r="K5153" s="3565">
        <v>10505.86</v>
      </c>
      <c r="L5153" s="3565">
        <v>12913.32</v>
      </c>
      <c r="M5153" s="3565">
        <v>0</v>
      </c>
      <c r="N5153" s="3565">
        <v>0</v>
      </c>
      <c r="O5153" s="3563" t="s">
        <v>3453</v>
      </c>
    </row>
    <row r="5154" spans="1:15">
      <c r="A5154" s="3563" t="s">
        <v>9380</v>
      </c>
      <c r="B5154" s="3563" t="s">
        <v>4196</v>
      </c>
      <c r="C5154" s="3563" t="s">
        <v>4197</v>
      </c>
      <c r="D5154" s="3563" t="s">
        <v>6429</v>
      </c>
      <c r="E5154" s="3563" t="s">
        <v>9359</v>
      </c>
      <c r="F5154" s="3563" t="s">
        <v>4797</v>
      </c>
      <c r="G5154" s="3564">
        <v>87.27</v>
      </c>
      <c r="H5154" s="3564">
        <v>71</v>
      </c>
      <c r="I5154" s="3564">
        <v>16.27</v>
      </c>
      <c r="J5154" s="3565">
        <v>935414</v>
      </c>
      <c r="K5154" s="3565">
        <v>10718.62</v>
      </c>
      <c r="L5154" s="3565">
        <v>13174.85</v>
      </c>
      <c r="M5154" s="3565">
        <v>0</v>
      </c>
      <c r="N5154" s="3565">
        <v>0</v>
      </c>
      <c r="O5154" s="3563" t="s">
        <v>3453</v>
      </c>
    </row>
    <row r="5155" spans="1:15">
      <c r="A5155" s="3563" t="s">
        <v>9381</v>
      </c>
      <c r="B5155" s="3563" t="s">
        <v>4196</v>
      </c>
      <c r="C5155" s="3563" t="s">
        <v>4197</v>
      </c>
      <c r="D5155" s="3563" t="s">
        <v>6429</v>
      </c>
      <c r="E5155" s="3563" t="s">
        <v>9359</v>
      </c>
      <c r="F5155" s="3563" t="s">
        <v>4797</v>
      </c>
      <c r="G5155" s="3564">
        <v>108.71</v>
      </c>
      <c r="H5155" s="3564">
        <v>88.44</v>
      </c>
      <c r="I5155" s="3564">
        <v>20.27</v>
      </c>
      <c r="J5155" s="3565">
        <v>1101614</v>
      </c>
      <c r="K5155" s="3565">
        <v>10133.51</v>
      </c>
      <c r="L5155" s="3565">
        <v>12456.06</v>
      </c>
      <c r="M5155" s="3565">
        <v>0</v>
      </c>
      <c r="N5155" s="3565">
        <v>0</v>
      </c>
      <c r="O5155" s="3563" t="s">
        <v>3453</v>
      </c>
    </row>
    <row r="5156" spans="1:15">
      <c r="A5156" s="3563" t="s">
        <v>9382</v>
      </c>
      <c r="B5156" s="3563" t="s">
        <v>4196</v>
      </c>
      <c r="C5156" s="3563" t="s">
        <v>4197</v>
      </c>
      <c r="D5156" s="3563" t="s">
        <v>6429</v>
      </c>
      <c r="E5156" s="3563" t="s">
        <v>9359</v>
      </c>
      <c r="F5156" s="3563" t="s">
        <v>4797</v>
      </c>
      <c r="G5156" s="3564">
        <v>100.47</v>
      </c>
      <c r="H5156" s="3564">
        <v>81.739999999999995</v>
      </c>
      <c r="I5156" s="3564">
        <v>18.73</v>
      </c>
      <c r="J5156" s="3565">
        <v>1061937</v>
      </c>
      <c r="K5156" s="3565">
        <v>10569.69</v>
      </c>
      <c r="L5156" s="3565">
        <v>12991.64</v>
      </c>
      <c r="M5156" s="3565">
        <v>0</v>
      </c>
      <c r="N5156" s="3565">
        <v>0</v>
      </c>
      <c r="O5156" s="3563" t="s">
        <v>3453</v>
      </c>
    </row>
    <row r="5157" spans="1:15">
      <c r="A5157" s="3563" t="s">
        <v>9383</v>
      </c>
      <c r="B5157" s="3563" t="s">
        <v>4196</v>
      </c>
      <c r="C5157" s="3563" t="s">
        <v>4197</v>
      </c>
      <c r="D5157" s="3563" t="s">
        <v>6429</v>
      </c>
      <c r="E5157" s="3563" t="s">
        <v>9359</v>
      </c>
      <c r="F5157" s="3563" t="s">
        <v>4797</v>
      </c>
      <c r="G5157" s="3564">
        <v>100.47</v>
      </c>
      <c r="H5157" s="3564">
        <v>81.739999999999995</v>
      </c>
      <c r="I5157" s="3564">
        <v>18.73</v>
      </c>
      <c r="J5157" s="3565">
        <v>1040560</v>
      </c>
      <c r="K5157" s="3565">
        <v>10356.92</v>
      </c>
      <c r="L5157" s="3565">
        <v>12730.12</v>
      </c>
      <c r="M5157" s="3565">
        <v>0</v>
      </c>
      <c r="N5157" s="3565">
        <v>0</v>
      </c>
      <c r="O5157" s="3563" t="s">
        <v>3453</v>
      </c>
    </row>
    <row r="5158" spans="1:15">
      <c r="A5158" s="3563" t="s">
        <v>9384</v>
      </c>
      <c r="B5158" s="3563" t="s">
        <v>4196</v>
      </c>
      <c r="C5158" s="3563" t="s">
        <v>4197</v>
      </c>
      <c r="D5158" s="3563" t="s">
        <v>6429</v>
      </c>
      <c r="E5158" s="3563" t="s">
        <v>9359</v>
      </c>
      <c r="F5158" s="3563" t="s">
        <v>4797</v>
      </c>
      <c r="G5158" s="3564">
        <v>100.81</v>
      </c>
      <c r="H5158" s="3564">
        <v>82.01</v>
      </c>
      <c r="I5158" s="3564">
        <v>18.8</v>
      </c>
      <c r="J5158" s="3565">
        <v>1038719</v>
      </c>
      <c r="K5158" s="3565">
        <v>10303.73</v>
      </c>
      <c r="L5158" s="3565">
        <v>12665.76</v>
      </c>
      <c r="M5158" s="3565">
        <v>0</v>
      </c>
      <c r="N5158" s="3565">
        <v>0</v>
      </c>
      <c r="O5158" s="3563" t="s">
        <v>3453</v>
      </c>
    </row>
    <row r="5159" spans="1:15">
      <c r="A5159" s="3563" t="s">
        <v>9385</v>
      </c>
      <c r="B5159" s="3563" t="s">
        <v>4196</v>
      </c>
      <c r="C5159" s="3563" t="s">
        <v>4197</v>
      </c>
      <c r="D5159" s="3563" t="s">
        <v>6429</v>
      </c>
      <c r="E5159" s="3563" t="s">
        <v>9359</v>
      </c>
      <c r="F5159" s="3563" t="s">
        <v>4797</v>
      </c>
      <c r="G5159" s="3564">
        <v>87.27</v>
      </c>
      <c r="H5159" s="3564">
        <v>71</v>
      </c>
      <c r="I5159" s="3564">
        <v>16.27</v>
      </c>
      <c r="J5159" s="3565">
        <v>917775</v>
      </c>
      <c r="K5159" s="3565">
        <v>10516.5</v>
      </c>
      <c r="L5159" s="3565">
        <v>12926.41</v>
      </c>
      <c r="M5159" s="3565">
        <v>0</v>
      </c>
      <c r="N5159" s="3565">
        <v>0</v>
      </c>
      <c r="O5159" s="3563" t="s">
        <v>3453</v>
      </c>
    </row>
    <row r="5160" spans="1:15">
      <c r="A5160" s="3563" t="s">
        <v>9386</v>
      </c>
      <c r="B5160" s="3563" t="s">
        <v>4196</v>
      </c>
      <c r="C5160" s="3563" t="s">
        <v>4197</v>
      </c>
      <c r="D5160" s="3563" t="s">
        <v>6429</v>
      </c>
      <c r="E5160" s="3563" t="s">
        <v>9359</v>
      </c>
      <c r="F5160" s="3563" t="s">
        <v>4797</v>
      </c>
      <c r="G5160" s="3564">
        <v>87.27</v>
      </c>
      <c r="H5160" s="3564">
        <v>71</v>
      </c>
      <c r="I5160" s="3564">
        <v>16.27</v>
      </c>
      <c r="J5160" s="3565">
        <v>936343</v>
      </c>
      <c r="K5160" s="3565">
        <v>10729.27</v>
      </c>
      <c r="L5160" s="3565">
        <v>13187.93</v>
      </c>
      <c r="M5160" s="3565">
        <v>0</v>
      </c>
      <c r="N5160" s="3565">
        <v>0</v>
      </c>
      <c r="O5160" s="3563" t="s">
        <v>3453</v>
      </c>
    </row>
    <row r="5161" spans="1:15">
      <c r="A5161" s="3563" t="s">
        <v>9387</v>
      </c>
      <c r="B5161" s="3563" t="s">
        <v>4196</v>
      </c>
      <c r="C5161" s="3563" t="s">
        <v>4197</v>
      </c>
      <c r="D5161" s="3563" t="s">
        <v>6429</v>
      </c>
      <c r="E5161" s="3563" t="s">
        <v>9359</v>
      </c>
      <c r="F5161" s="3563" t="s">
        <v>4797</v>
      </c>
      <c r="G5161" s="3564">
        <v>108.71</v>
      </c>
      <c r="H5161" s="3564">
        <v>88.44</v>
      </c>
      <c r="I5161" s="3564">
        <v>20.27</v>
      </c>
      <c r="J5161" s="3565">
        <v>1102771</v>
      </c>
      <c r="K5161" s="3565">
        <v>10144.15</v>
      </c>
      <c r="L5161" s="3565">
        <v>12469.14</v>
      </c>
      <c r="M5161" s="3565">
        <v>0</v>
      </c>
      <c r="N5161" s="3565">
        <v>0</v>
      </c>
      <c r="O5161" s="3563" t="s">
        <v>3453</v>
      </c>
    </row>
    <row r="5162" spans="1:15">
      <c r="A5162" s="3563" t="s">
        <v>9388</v>
      </c>
      <c r="B5162" s="3563" t="s">
        <v>4196</v>
      </c>
      <c r="C5162" s="3563" t="s">
        <v>4197</v>
      </c>
      <c r="D5162" s="3563" t="s">
        <v>6429</v>
      </c>
      <c r="E5162" s="3563" t="s">
        <v>9359</v>
      </c>
      <c r="F5162" s="3563" t="s">
        <v>4797</v>
      </c>
      <c r="G5162" s="3564">
        <v>100.47</v>
      </c>
      <c r="H5162" s="3564">
        <v>81.739999999999995</v>
      </c>
      <c r="I5162" s="3564">
        <v>18.73</v>
      </c>
      <c r="J5162" s="3565">
        <v>1052316</v>
      </c>
      <c r="K5162" s="3565">
        <v>10473.93</v>
      </c>
      <c r="L5162" s="3565">
        <v>12873.94</v>
      </c>
      <c r="M5162" s="3565">
        <v>0</v>
      </c>
      <c r="N5162" s="3565">
        <v>0</v>
      </c>
      <c r="O5162" s="3563" t="s">
        <v>3453</v>
      </c>
    </row>
    <row r="5163" spans="1:15">
      <c r="A5163" s="3563" t="s">
        <v>9389</v>
      </c>
      <c r="B5163" s="3563" t="s">
        <v>4196</v>
      </c>
      <c r="C5163" s="3563" t="s">
        <v>4197</v>
      </c>
      <c r="D5163" s="3563" t="s">
        <v>6429</v>
      </c>
      <c r="E5163" s="3563" t="s">
        <v>9359</v>
      </c>
      <c r="F5163" s="3563" t="s">
        <v>4797</v>
      </c>
      <c r="G5163" s="3564">
        <v>100.47</v>
      </c>
      <c r="H5163" s="3564">
        <v>81.739999999999995</v>
      </c>
      <c r="I5163" s="3564">
        <v>18.73</v>
      </c>
      <c r="J5163" s="3565">
        <v>1030940</v>
      </c>
      <c r="K5163" s="3565">
        <v>10261.17</v>
      </c>
      <c r="L5163" s="3565">
        <v>12612.43</v>
      </c>
      <c r="M5163" s="3565">
        <v>0</v>
      </c>
      <c r="N5163" s="3565">
        <v>0</v>
      </c>
      <c r="O5163" s="3563" t="s">
        <v>3453</v>
      </c>
    </row>
    <row r="5164" spans="1:15">
      <c r="A5164" s="3563" t="s">
        <v>9390</v>
      </c>
      <c r="B5164" s="3563" t="s">
        <v>4196</v>
      </c>
      <c r="C5164" s="3563" t="s">
        <v>4197</v>
      </c>
      <c r="D5164" s="3563" t="s">
        <v>6429</v>
      </c>
      <c r="E5164" s="3563" t="s">
        <v>9359</v>
      </c>
      <c r="F5164" s="3563" t="s">
        <v>4797</v>
      </c>
      <c r="G5164" s="3564">
        <v>100.81</v>
      </c>
      <c r="H5164" s="3564">
        <v>82.01</v>
      </c>
      <c r="I5164" s="3564">
        <v>18.8</v>
      </c>
      <c r="J5164" s="3565">
        <v>1029066</v>
      </c>
      <c r="K5164" s="3565">
        <v>10207.98</v>
      </c>
      <c r="L5164" s="3565">
        <v>12548.06</v>
      </c>
      <c r="M5164" s="3565">
        <v>0</v>
      </c>
      <c r="N5164" s="3565">
        <v>0</v>
      </c>
      <c r="O5164" s="3563" t="s">
        <v>3453</v>
      </c>
    </row>
    <row r="5165" spans="1:15">
      <c r="A5165" s="3563" t="s">
        <v>9391</v>
      </c>
      <c r="B5165" s="3563" t="s">
        <v>4196</v>
      </c>
      <c r="C5165" s="3563" t="s">
        <v>4197</v>
      </c>
      <c r="D5165" s="3563" t="s">
        <v>6429</v>
      </c>
      <c r="E5165" s="3563" t="s">
        <v>9359</v>
      </c>
      <c r="F5165" s="3563" t="s">
        <v>4797</v>
      </c>
      <c r="G5165" s="3564">
        <v>87.27</v>
      </c>
      <c r="H5165" s="3564">
        <v>71</v>
      </c>
      <c r="I5165" s="3564">
        <v>16.27</v>
      </c>
      <c r="J5165" s="3565">
        <v>909419</v>
      </c>
      <c r="K5165" s="3565">
        <v>10420.75</v>
      </c>
      <c r="L5165" s="3565">
        <v>12808.72</v>
      </c>
      <c r="M5165" s="3565">
        <v>0</v>
      </c>
      <c r="N5165" s="3565">
        <v>0</v>
      </c>
      <c r="O5165" s="3563" t="s">
        <v>3453</v>
      </c>
    </row>
    <row r="5166" spans="1:15">
      <c r="A5166" s="3563" t="s">
        <v>9392</v>
      </c>
      <c r="B5166" s="3563" t="s">
        <v>4196</v>
      </c>
      <c r="C5166" s="3563" t="s">
        <v>4197</v>
      </c>
      <c r="D5166" s="3563" t="s">
        <v>6429</v>
      </c>
      <c r="E5166" s="3563" t="s">
        <v>9359</v>
      </c>
      <c r="F5166" s="3563" t="s">
        <v>4797</v>
      </c>
      <c r="G5166" s="3564">
        <v>87.27</v>
      </c>
      <c r="H5166" s="3564">
        <v>71</v>
      </c>
      <c r="I5166" s="3564">
        <v>16.27</v>
      </c>
      <c r="J5166" s="3565">
        <v>927987</v>
      </c>
      <c r="K5166" s="3565">
        <v>10633.52</v>
      </c>
      <c r="L5166" s="3565">
        <v>13070.24</v>
      </c>
      <c r="M5166" s="3565">
        <v>0</v>
      </c>
      <c r="N5166" s="3565">
        <v>0</v>
      </c>
      <c r="O5166" s="3563" t="s">
        <v>3453</v>
      </c>
    </row>
    <row r="5167" spans="1:15">
      <c r="A5167" s="3563" t="s">
        <v>9393</v>
      </c>
      <c r="B5167" s="3563" t="s">
        <v>4196</v>
      </c>
      <c r="C5167" s="3563" t="s">
        <v>4197</v>
      </c>
      <c r="D5167" s="3563" t="s">
        <v>6429</v>
      </c>
      <c r="E5167" s="3563" t="s">
        <v>9359</v>
      </c>
      <c r="F5167" s="3563" t="s">
        <v>4797</v>
      </c>
      <c r="G5167" s="3564">
        <v>108.71</v>
      </c>
      <c r="H5167" s="3564">
        <v>88.44</v>
      </c>
      <c r="I5167" s="3564">
        <v>20.27</v>
      </c>
      <c r="J5167" s="3565">
        <v>1092362</v>
      </c>
      <c r="K5167" s="3565">
        <v>10048.4</v>
      </c>
      <c r="L5167" s="3565">
        <v>12351.45</v>
      </c>
      <c r="M5167" s="3565">
        <v>0</v>
      </c>
      <c r="N5167" s="3565">
        <v>0</v>
      </c>
      <c r="O5167" s="3563" t="s">
        <v>3453</v>
      </c>
    </row>
    <row r="5168" spans="1:15">
      <c r="A5168" s="3563" t="s">
        <v>9394</v>
      </c>
      <c r="B5168" s="3563" t="s">
        <v>4196</v>
      </c>
      <c r="C5168" s="3563" t="s">
        <v>4197</v>
      </c>
      <c r="D5168" s="3563" t="s">
        <v>6429</v>
      </c>
      <c r="E5168" s="3563" t="s">
        <v>9359</v>
      </c>
      <c r="F5168" s="3563" t="s">
        <v>4797</v>
      </c>
      <c r="G5168" s="3564">
        <v>100.47</v>
      </c>
      <c r="H5168" s="3564">
        <v>81.739999999999995</v>
      </c>
      <c r="I5168" s="3564">
        <v>18.73</v>
      </c>
      <c r="J5168" s="3565">
        <v>1064074</v>
      </c>
      <c r="K5168" s="3565">
        <v>10590.96</v>
      </c>
      <c r="L5168" s="3565">
        <v>13017.79</v>
      </c>
      <c r="M5168" s="3565">
        <v>0</v>
      </c>
      <c r="N5168" s="3565">
        <v>0</v>
      </c>
      <c r="O5168" s="3563" t="s">
        <v>3453</v>
      </c>
    </row>
    <row r="5169" spans="1:15">
      <c r="A5169" s="3563" t="s">
        <v>9395</v>
      </c>
      <c r="B5169" s="3563" t="s">
        <v>4196</v>
      </c>
      <c r="C5169" s="3563" t="s">
        <v>4197</v>
      </c>
      <c r="D5169" s="3563" t="s">
        <v>6429</v>
      </c>
      <c r="E5169" s="3563" t="s">
        <v>9359</v>
      </c>
      <c r="F5169" s="3563" t="s">
        <v>4797</v>
      </c>
      <c r="G5169" s="3564">
        <v>100.47</v>
      </c>
      <c r="H5169" s="3564">
        <v>81.739999999999995</v>
      </c>
      <c r="I5169" s="3564">
        <v>18.73</v>
      </c>
      <c r="J5169" s="3565">
        <v>1042697</v>
      </c>
      <c r="K5169" s="3565">
        <v>10378.19</v>
      </c>
      <c r="L5169" s="3565">
        <v>12756.26</v>
      </c>
      <c r="M5169" s="3565">
        <v>0</v>
      </c>
      <c r="N5169" s="3565">
        <v>0</v>
      </c>
      <c r="O5169" s="3563" t="s">
        <v>3453</v>
      </c>
    </row>
    <row r="5170" spans="1:15">
      <c r="A5170" s="3563" t="s">
        <v>9396</v>
      </c>
      <c r="B5170" s="3563" t="s">
        <v>4196</v>
      </c>
      <c r="C5170" s="3563" t="s">
        <v>4197</v>
      </c>
      <c r="D5170" s="3563" t="s">
        <v>6429</v>
      </c>
      <c r="E5170" s="3563" t="s">
        <v>9359</v>
      </c>
      <c r="F5170" s="3563" t="s">
        <v>4797</v>
      </c>
      <c r="G5170" s="3564">
        <v>100.81</v>
      </c>
      <c r="H5170" s="3564">
        <v>82.01</v>
      </c>
      <c r="I5170" s="3564">
        <v>18.8</v>
      </c>
      <c r="J5170" s="3565">
        <v>1040863</v>
      </c>
      <c r="K5170" s="3565">
        <v>10325</v>
      </c>
      <c r="L5170" s="3565">
        <v>12691.9</v>
      </c>
      <c r="M5170" s="3565">
        <v>0</v>
      </c>
      <c r="N5170" s="3565">
        <v>0</v>
      </c>
      <c r="O5170" s="3563" t="s">
        <v>3453</v>
      </c>
    </row>
    <row r="5171" spans="1:15">
      <c r="A5171" s="3563" t="s">
        <v>9397</v>
      </c>
      <c r="B5171" s="3563" t="s">
        <v>4196</v>
      </c>
      <c r="C5171" s="3563" t="s">
        <v>4197</v>
      </c>
      <c r="D5171" s="3563" t="s">
        <v>6429</v>
      </c>
      <c r="E5171" s="3563" t="s">
        <v>9359</v>
      </c>
      <c r="F5171" s="3563" t="s">
        <v>4797</v>
      </c>
      <c r="G5171" s="3564">
        <v>87.27</v>
      </c>
      <c r="H5171" s="3564">
        <v>71</v>
      </c>
      <c r="I5171" s="3564">
        <v>16.27</v>
      </c>
      <c r="J5171" s="3565">
        <v>919631</v>
      </c>
      <c r="K5171" s="3565">
        <v>10537.77</v>
      </c>
      <c r="L5171" s="3565">
        <v>12952.55</v>
      </c>
      <c r="M5171" s="3565">
        <v>0</v>
      </c>
      <c r="N5171" s="3565">
        <v>0</v>
      </c>
      <c r="O5171" s="3563" t="s">
        <v>3453</v>
      </c>
    </row>
    <row r="5172" spans="1:15">
      <c r="A5172" s="3563" t="s">
        <v>9398</v>
      </c>
      <c r="B5172" s="3563" t="s">
        <v>4196</v>
      </c>
      <c r="C5172" s="3563" t="s">
        <v>4197</v>
      </c>
      <c r="D5172" s="3563" t="s">
        <v>6429</v>
      </c>
      <c r="E5172" s="3563" t="s">
        <v>9359</v>
      </c>
      <c r="F5172" s="3563" t="s">
        <v>4797</v>
      </c>
      <c r="G5172" s="3564">
        <v>87.27</v>
      </c>
      <c r="H5172" s="3564">
        <v>71</v>
      </c>
      <c r="I5172" s="3564">
        <v>16.27</v>
      </c>
      <c r="J5172" s="3565">
        <v>938199</v>
      </c>
      <c r="K5172" s="3565">
        <v>10750.53</v>
      </c>
      <c r="L5172" s="3565">
        <v>13214.07</v>
      </c>
      <c r="M5172" s="3565">
        <v>0</v>
      </c>
      <c r="N5172" s="3565">
        <v>0</v>
      </c>
      <c r="O5172" s="3563" t="s">
        <v>3453</v>
      </c>
    </row>
    <row r="5173" spans="1:15">
      <c r="A5173" s="3563" t="s">
        <v>9399</v>
      </c>
      <c r="B5173" s="3563" t="s">
        <v>4196</v>
      </c>
      <c r="C5173" s="3563" t="s">
        <v>4197</v>
      </c>
      <c r="D5173" s="3563" t="s">
        <v>6429</v>
      </c>
      <c r="E5173" s="3563" t="s">
        <v>9359</v>
      </c>
      <c r="F5173" s="3563" t="s">
        <v>4797</v>
      </c>
      <c r="G5173" s="3564">
        <v>108.71</v>
      </c>
      <c r="H5173" s="3564">
        <v>88.44</v>
      </c>
      <c r="I5173" s="3564">
        <v>20.27</v>
      </c>
      <c r="J5173" s="3565">
        <v>1105083</v>
      </c>
      <c r="K5173" s="3565">
        <v>10165.42</v>
      </c>
      <c r="L5173" s="3565">
        <v>12495.28</v>
      </c>
      <c r="M5173" s="3565">
        <v>0</v>
      </c>
      <c r="N5173" s="3565">
        <v>0</v>
      </c>
      <c r="O5173" s="3563" t="s">
        <v>3453</v>
      </c>
    </row>
    <row r="5174" spans="1:15">
      <c r="A5174" s="3563" t="s">
        <v>9400</v>
      </c>
      <c r="B5174" s="3563" t="s">
        <v>4196</v>
      </c>
      <c r="C5174" s="3563" t="s">
        <v>4197</v>
      </c>
      <c r="D5174" s="3563" t="s">
        <v>6429</v>
      </c>
      <c r="E5174" s="3563" t="s">
        <v>9359</v>
      </c>
      <c r="F5174" s="3563" t="s">
        <v>4797</v>
      </c>
      <c r="G5174" s="3564">
        <v>100.47</v>
      </c>
      <c r="H5174" s="3564">
        <v>81.739999999999995</v>
      </c>
      <c r="I5174" s="3564">
        <v>18.73</v>
      </c>
      <c r="J5174" s="3565">
        <v>1063005</v>
      </c>
      <c r="K5174" s="3565">
        <v>10580.32</v>
      </c>
      <c r="L5174" s="3565">
        <v>13004.71</v>
      </c>
      <c r="M5174" s="3565">
        <v>0</v>
      </c>
      <c r="N5174" s="3565">
        <v>0</v>
      </c>
      <c r="O5174" s="3563" t="s">
        <v>3453</v>
      </c>
    </row>
    <row r="5175" spans="1:15">
      <c r="A5175" s="3563" t="s">
        <v>9401</v>
      </c>
      <c r="B5175" s="3563" t="s">
        <v>4196</v>
      </c>
      <c r="C5175" s="3563" t="s">
        <v>4197</v>
      </c>
      <c r="D5175" s="3563" t="s">
        <v>6429</v>
      </c>
      <c r="E5175" s="3563" t="s">
        <v>9359</v>
      </c>
      <c r="F5175" s="3563" t="s">
        <v>4797</v>
      </c>
      <c r="G5175" s="3564">
        <v>100.47</v>
      </c>
      <c r="H5175" s="3564">
        <v>81.739999999999995</v>
      </c>
      <c r="I5175" s="3564">
        <v>18.73</v>
      </c>
      <c r="J5175" s="3565">
        <v>1063005</v>
      </c>
      <c r="K5175" s="3565">
        <v>10580.32</v>
      </c>
      <c r="L5175" s="3565">
        <v>13004.71</v>
      </c>
      <c r="M5175" s="3565">
        <v>0</v>
      </c>
      <c r="N5175" s="3565">
        <v>0</v>
      </c>
      <c r="O5175" s="3563" t="s">
        <v>3453</v>
      </c>
    </row>
    <row r="5176" spans="1:15">
      <c r="A5176" s="3563" t="s">
        <v>9402</v>
      </c>
      <c r="B5176" s="3563" t="s">
        <v>4196</v>
      </c>
      <c r="C5176" s="3563" t="s">
        <v>4197</v>
      </c>
      <c r="D5176" s="3563" t="s">
        <v>6429</v>
      </c>
      <c r="E5176" s="3563" t="s">
        <v>9359</v>
      </c>
      <c r="F5176" s="3563" t="s">
        <v>4797</v>
      </c>
      <c r="G5176" s="3564">
        <v>100.81</v>
      </c>
      <c r="H5176" s="3564">
        <v>82.01</v>
      </c>
      <c r="I5176" s="3564">
        <v>18.8</v>
      </c>
      <c r="J5176" s="3565">
        <v>1039791</v>
      </c>
      <c r="K5176" s="3565">
        <v>10314.36</v>
      </c>
      <c r="L5176" s="3565">
        <v>12678.83</v>
      </c>
      <c r="M5176" s="3565">
        <v>0</v>
      </c>
      <c r="N5176" s="3565">
        <v>0</v>
      </c>
      <c r="O5176" s="3563" t="s">
        <v>3453</v>
      </c>
    </row>
    <row r="5177" spans="1:15">
      <c r="A5177" s="3563" t="s">
        <v>9403</v>
      </c>
      <c r="B5177" s="3563" t="s">
        <v>4196</v>
      </c>
      <c r="C5177" s="3563" t="s">
        <v>4197</v>
      </c>
      <c r="D5177" s="3563" t="s">
        <v>6429</v>
      </c>
      <c r="E5177" s="3563" t="s">
        <v>9359</v>
      </c>
      <c r="F5177" s="3563" t="s">
        <v>4797</v>
      </c>
      <c r="G5177" s="3564">
        <v>87.27</v>
      </c>
      <c r="H5177" s="3564">
        <v>71</v>
      </c>
      <c r="I5177" s="3564">
        <v>16.27</v>
      </c>
      <c r="J5177" s="3565">
        <v>918703</v>
      </c>
      <c r="K5177" s="3565">
        <v>10527.13</v>
      </c>
      <c r="L5177" s="3565">
        <v>12939.48</v>
      </c>
      <c r="M5177" s="3565">
        <v>0</v>
      </c>
      <c r="N5177" s="3565">
        <v>0</v>
      </c>
      <c r="O5177" s="3563" t="s">
        <v>3453</v>
      </c>
    </row>
    <row r="5178" spans="1:15">
      <c r="A5178" s="3563" t="s">
        <v>9404</v>
      </c>
      <c r="B5178" s="3563" t="s">
        <v>4196</v>
      </c>
      <c r="C5178" s="3563" t="s">
        <v>4197</v>
      </c>
      <c r="D5178" s="3563" t="s">
        <v>6429</v>
      </c>
      <c r="E5178" s="3563" t="s">
        <v>9359</v>
      </c>
      <c r="F5178" s="3563" t="s">
        <v>4797</v>
      </c>
      <c r="G5178" s="3564">
        <v>87.27</v>
      </c>
      <c r="H5178" s="3564">
        <v>71</v>
      </c>
      <c r="I5178" s="3564">
        <v>16.27</v>
      </c>
      <c r="J5178" s="3565">
        <v>937271</v>
      </c>
      <c r="K5178" s="3565">
        <v>10739.9</v>
      </c>
      <c r="L5178" s="3565">
        <v>13201</v>
      </c>
      <c r="M5178" s="3565">
        <v>0</v>
      </c>
      <c r="N5178" s="3565">
        <v>0</v>
      </c>
      <c r="O5178" s="3563" t="s">
        <v>3453</v>
      </c>
    </row>
    <row r="5179" spans="1:15">
      <c r="A5179" s="3563" t="s">
        <v>9405</v>
      </c>
      <c r="B5179" s="3563" t="s">
        <v>4196</v>
      </c>
      <c r="C5179" s="3563" t="s">
        <v>4197</v>
      </c>
      <c r="D5179" s="3563" t="s">
        <v>6429</v>
      </c>
      <c r="E5179" s="3563" t="s">
        <v>9359</v>
      </c>
      <c r="F5179" s="3563" t="s">
        <v>4797</v>
      </c>
      <c r="G5179" s="3564">
        <v>108.71</v>
      </c>
      <c r="H5179" s="3564">
        <v>88.44</v>
      </c>
      <c r="I5179" s="3564">
        <v>20.27</v>
      </c>
      <c r="J5179" s="3565">
        <v>1103927</v>
      </c>
      <c r="K5179" s="3565">
        <v>10154.790000000001</v>
      </c>
      <c r="L5179" s="3565">
        <v>12482.21</v>
      </c>
      <c r="M5179" s="3565">
        <v>0</v>
      </c>
      <c r="N5179" s="3565">
        <v>0</v>
      </c>
      <c r="O5179" s="3563" t="s">
        <v>3453</v>
      </c>
    </row>
    <row r="5180" spans="1:15">
      <c r="A5180" s="3563" t="s">
        <v>9406</v>
      </c>
      <c r="B5180" s="3563" t="s">
        <v>4196</v>
      </c>
      <c r="C5180" s="3563" t="s">
        <v>4197</v>
      </c>
      <c r="D5180" s="3563" t="s">
        <v>6429</v>
      </c>
      <c r="E5180" s="3563" t="s">
        <v>9359</v>
      </c>
      <c r="F5180" s="3563" t="s">
        <v>4797</v>
      </c>
      <c r="G5180" s="3564">
        <v>100.47</v>
      </c>
      <c r="H5180" s="3564">
        <v>81.739999999999995</v>
      </c>
      <c r="I5180" s="3564">
        <v>18.73</v>
      </c>
      <c r="J5180" s="3565">
        <v>1061937</v>
      </c>
      <c r="K5180" s="3565">
        <v>10569.69</v>
      </c>
      <c r="L5180" s="3565">
        <v>12991.64</v>
      </c>
      <c r="M5180" s="3565">
        <v>0</v>
      </c>
      <c r="N5180" s="3565">
        <v>0</v>
      </c>
      <c r="O5180" s="3563" t="s">
        <v>3453</v>
      </c>
    </row>
    <row r="5181" spans="1:15">
      <c r="A5181" s="3563" t="s">
        <v>9407</v>
      </c>
      <c r="B5181" s="3563" t="s">
        <v>4196</v>
      </c>
      <c r="C5181" s="3563" t="s">
        <v>4197</v>
      </c>
      <c r="D5181" s="3563" t="s">
        <v>6429</v>
      </c>
      <c r="E5181" s="3563" t="s">
        <v>9359</v>
      </c>
      <c r="F5181" s="3563" t="s">
        <v>4797</v>
      </c>
      <c r="G5181" s="3564">
        <v>100.47</v>
      </c>
      <c r="H5181" s="3564">
        <v>81.739999999999995</v>
      </c>
      <c r="I5181" s="3564">
        <v>18.73</v>
      </c>
      <c r="J5181" s="3565">
        <v>1061937</v>
      </c>
      <c r="K5181" s="3565">
        <v>10569.69</v>
      </c>
      <c r="L5181" s="3565">
        <v>12991.64</v>
      </c>
      <c r="M5181" s="3565">
        <v>0</v>
      </c>
      <c r="N5181" s="3565">
        <v>0</v>
      </c>
      <c r="O5181" s="3563" t="s">
        <v>3453</v>
      </c>
    </row>
    <row r="5182" spans="1:15">
      <c r="A5182" s="3563" t="s">
        <v>9408</v>
      </c>
      <c r="B5182" s="3563" t="s">
        <v>4196</v>
      </c>
      <c r="C5182" s="3563" t="s">
        <v>4197</v>
      </c>
      <c r="D5182" s="3563" t="s">
        <v>6429</v>
      </c>
      <c r="E5182" s="3563" t="s">
        <v>9359</v>
      </c>
      <c r="F5182" s="3563" t="s">
        <v>4797</v>
      </c>
      <c r="G5182" s="3564">
        <v>100.81</v>
      </c>
      <c r="H5182" s="3564">
        <v>82.01</v>
      </c>
      <c r="I5182" s="3564">
        <v>18.8</v>
      </c>
      <c r="J5182" s="3565">
        <v>1038719</v>
      </c>
      <c r="K5182" s="3565">
        <v>10303.73</v>
      </c>
      <c r="L5182" s="3565">
        <v>12665.76</v>
      </c>
      <c r="M5182" s="3565">
        <v>0</v>
      </c>
      <c r="N5182" s="3565">
        <v>0</v>
      </c>
      <c r="O5182" s="3563" t="s">
        <v>3453</v>
      </c>
    </row>
    <row r="5183" spans="1:15">
      <c r="A5183" s="3563" t="s">
        <v>9409</v>
      </c>
      <c r="B5183" s="3563" t="s">
        <v>4196</v>
      </c>
      <c r="C5183" s="3563" t="s">
        <v>4197</v>
      </c>
      <c r="D5183" s="3563" t="s">
        <v>6429</v>
      </c>
      <c r="E5183" s="3563" t="s">
        <v>9359</v>
      </c>
      <c r="F5183" s="3563" t="s">
        <v>4797</v>
      </c>
      <c r="G5183" s="3564">
        <v>87.27</v>
      </c>
      <c r="H5183" s="3564">
        <v>71</v>
      </c>
      <c r="I5183" s="3564">
        <v>16.27</v>
      </c>
      <c r="J5183" s="3565">
        <v>917775</v>
      </c>
      <c r="K5183" s="3565">
        <v>10516.5</v>
      </c>
      <c r="L5183" s="3565">
        <v>12926.41</v>
      </c>
      <c r="M5183" s="3565">
        <v>0</v>
      </c>
      <c r="N5183" s="3565">
        <v>0</v>
      </c>
      <c r="O5183" s="3563" t="s">
        <v>3453</v>
      </c>
    </row>
    <row r="5184" spans="1:15">
      <c r="A5184" s="3563" t="s">
        <v>9410</v>
      </c>
      <c r="B5184" s="3563" t="s">
        <v>4196</v>
      </c>
      <c r="C5184" s="3563" t="s">
        <v>4197</v>
      </c>
      <c r="D5184" s="3563" t="s">
        <v>6429</v>
      </c>
      <c r="E5184" s="3563" t="s">
        <v>9359</v>
      </c>
      <c r="F5184" s="3563" t="s">
        <v>4797</v>
      </c>
      <c r="G5184" s="3564">
        <v>87.27</v>
      </c>
      <c r="H5184" s="3564">
        <v>71</v>
      </c>
      <c r="I5184" s="3564">
        <v>16.27</v>
      </c>
      <c r="J5184" s="3565">
        <v>936343</v>
      </c>
      <c r="K5184" s="3565">
        <v>10729.27</v>
      </c>
      <c r="L5184" s="3565">
        <v>13187.93</v>
      </c>
      <c r="M5184" s="3565">
        <v>0</v>
      </c>
      <c r="N5184" s="3565">
        <v>0</v>
      </c>
      <c r="O5184" s="3563" t="s">
        <v>3453</v>
      </c>
    </row>
    <row r="5185" spans="1:15">
      <c r="A5185" s="3563" t="s">
        <v>9411</v>
      </c>
      <c r="B5185" s="3563" t="s">
        <v>4196</v>
      </c>
      <c r="C5185" s="3563" t="s">
        <v>4197</v>
      </c>
      <c r="D5185" s="3563" t="s">
        <v>6429</v>
      </c>
      <c r="E5185" s="3563" t="s">
        <v>9359</v>
      </c>
      <c r="F5185" s="3563" t="s">
        <v>4797</v>
      </c>
      <c r="G5185" s="3564">
        <v>108.71</v>
      </c>
      <c r="H5185" s="3564">
        <v>88.44</v>
      </c>
      <c r="I5185" s="3564">
        <v>20.27</v>
      </c>
      <c r="J5185" s="3565">
        <v>1102771</v>
      </c>
      <c r="K5185" s="3565">
        <v>10144.15</v>
      </c>
      <c r="L5185" s="3565">
        <v>12469.14</v>
      </c>
      <c r="M5185" s="3565">
        <v>0</v>
      </c>
      <c r="N5185" s="3565">
        <v>0</v>
      </c>
      <c r="O5185" s="3563" t="s">
        <v>3453</v>
      </c>
    </row>
    <row r="5186" spans="1:15">
      <c r="A5186" s="3563" t="s">
        <v>9412</v>
      </c>
      <c r="B5186" s="3563" t="s">
        <v>4196</v>
      </c>
      <c r="C5186" s="3563" t="s">
        <v>4197</v>
      </c>
      <c r="D5186" s="3563" t="s">
        <v>6429</v>
      </c>
      <c r="E5186" s="3563" t="s">
        <v>9359</v>
      </c>
      <c r="F5186" s="3563" t="s">
        <v>4797</v>
      </c>
      <c r="G5186" s="3564">
        <v>100.47</v>
      </c>
      <c r="H5186" s="3564">
        <v>81.739999999999995</v>
      </c>
      <c r="I5186" s="3564">
        <v>18.73</v>
      </c>
      <c r="J5186" s="3565">
        <v>1050179</v>
      </c>
      <c r="K5186" s="3565">
        <v>10452.66</v>
      </c>
      <c r="L5186" s="3565">
        <v>12847.8</v>
      </c>
      <c r="M5186" s="3565">
        <v>0</v>
      </c>
      <c r="N5186" s="3565">
        <v>0</v>
      </c>
      <c r="O5186" s="3563" t="s">
        <v>3453</v>
      </c>
    </row>
    <row r="5187" spans="1:15">
      <c r="A5187" s="3563" t="s">
        <v>9413</v>
      </c>
      <c r="B5187" s="3563" t="s">
        <v>4196</v>
      </c>
      <c r="C5187" s="3563" t="s">
        <v>4197</v>
      </c>
      <c r="D5187" s="3563" t="s">
        <v>6429</v>
      </c>
      <c r="E5187" s="3563" t="s">
        <v>9359</v>
      </c>
      <c r="F5187" s="3563" t="s">
        <v>4797</v>
      </c>
      <c r="G5187" s="3564">
        <v>100.47</v>
      </c>
      <c r="H5187" s="3564">
        <v>81.739999999999995</v>
      </c>
      <c r="I5187" s="3564">
        <v>18.73</v>
      </c>
      <c r="J5187" s="3565">
        <v>1050179</v>
      </c>
      <c r="K5187" s="3565">
        <v>10452.66</v>
      </c>
      <c r="L5187" s="3565">
        <v>12847.8</v>
      </c>
      <c r="M5187" s="3565">
        <v>0</v>
      </c>
      <c r="N5187" s="3565">
        <v>0</v>
      </c>
      <c r="O5187" s="3563" t="s">
        <v>3453</v>
      </c>
    </row>
    <row r="5188" spans="1:15">
      <c r="A5188" s="3563" t="s">
        <v>9414</v>
      </c>
      <c r="B5188" s="3563" t="s">
        <v>4196</v>
      </c>
      <c r="C5188" s="3563" t="s">
        <v>4197</v>
      </c>
      <c r="D5188" s="3563" t="s">
        <v>6429</v>
      </c>
      <c r="E5188" s="3563" t="s">
        <v>9359</v>
      </c>
      <c r="F5188" s="3563" t="s">
        <v>4797</v>
      </c>
      <c r="G5188" s="3564">
        <v>100.81</v>
      </c>
      <c r="H5188" s="3564">
        <v>82.01</v>
      </c>
      <c r="I5188" s="3564">
        <v>18.8</v>
      </c>
      <c r="J5188" s="3565">
        <v>1026922</v>
      </c>
      <c r="K5188" s="3565">
        <v>10186.709999999999</v>
      </c>
      <c r="L5188" s="3565">
        <v>12521.91</v>
      </c>
      <c r="M5188" s="3565">
        <v>0</v>
      </c>
      <c r="N5188" s="3565">
        <v>0</v>
      </c>
      <c r="O5188" s="3563" t="s">
        <v>3453</v>
      </c>
    </row>
    <row r="5189" spans="1:15">
      <c r="A5189" s="3563" t="s">
        <v>9415</v>
      </c>
      <c r="B5189" s="3563" t="s">
        <v>4196</v>
      </c>
      <c r="C5189" s="3563" t="s">
        <v>4197</v>
      </c>
      <c r="D5189" s="3563" t="s">
        <v>6429</v>
      </c>
      <c r="E5189" s="3563" t="s">
        <v>9359</v>
      </c>
      <c r="F5189" s="3563" t="s">
        <v>4797</v>
      </c>
      <c r="G5189" s="3564">
        <v>87.27</v>
      </c>
      <c r="H5189" s="3564">
        <v>71</v>
      </c>
      <c r="I5189" s="3564">
        <v>16.27</v>
      </c>
      <c r="J5189" s="3565">
        <v>907562</v>
      </c>
      <c r="K5189" s="3565">
        <v>10399.469999999999</v>
      </c>
      <c r="L5189" s="3565">
        <v>12782.56</v>
      </c>
      <c r="M5189" s="3565">
        <v>0</v>
      </c>
      <c r="N5189" s="3565">
        <v>0</v>
      </c>
      <c r="O5189" s="3563" t="s">
        <v>3453</v>
      </c>
    </row>
    <row r="5190" spans="1:15">
      <c r="A5190" s="3563" t="s">
        <v>9416</v>
      </c>
      <c r="B5190" s="3563" t="s">
        <v>4196</v>
      </c>
      <c r="C5190" s="3563" t="s">
        <v>4197</v>
      </c>
      <c r="D5190" s="3563" t="s">
        <v>6429</v>
      </c>
      <c r="E5190" s="3563" t="s">
        <v>9359</v>
      </c>
      <c r="F5190" s="3563" t="s">
        <v>4797</v>
      </c>
      <c r="G5190" s="3564">
        <v>87.27</v>
      </c>
      <c r="H5190" s="3564">
        <v>71</v>
      </c>
      <c r="I5190" s="3564">
        <v>16.27</v>
      </c>
      <c r="J5190" s="3565">
        <v>926130</v>
      </c>
      <c r="K5190" s="3565">
        <v>10612.24</v>
      </c>
      <c r="L5190" s="3565">
        <v>13044.08</v>
      </c>
      <c r="M5190" s="3565">
        <v>0</v>
      </c>
      <c r="N5190" s="3565">
        <v>0</v>
      </c>
      <c r="O5190" s="3563" t="s">
        <v>3453</v>
      </c>
    </row>
    <row r="5191" spans="1:15">
      <c r="A5191" s="3563" t="s">
        <v>9417</v>
      </c>
      <c r="B5191" s="3563" t="s">
        <v>4196</v>
      </c>
      <c r="C5191" s="3563" t="s">
        <v>4197</v>
      </c>
      <c r="D5191" s="3563" t="s">
        <v>6429</v>
      </c>
      <c r="E5191" s="3563" t="s">
        <v>9359</v>
      </c>
      <c r="F5191" s="3563" t="s">
        <v>4797</v>
      </c>
      <c r="G5191" s="3564">
        <v>108.71</v>
      </c>
      <c r="H5191" s="3564">
        <v>88.44</v>
      </c>
      <c r="I5191" s="3564">
        <v>20.27</v>
      </c>
      <c r="J5191" s="3565">
        <v>1090049</v>
      </c>
      <c r="K5191" s="3565">
        <v>10027.129999999999</v>
      </c>
      <c r="L5191" s="3565">
        <v>12325.29</v>
      </c>
      <c r="M5191" s="3565">
        <v>0</v>
      </c>
      <c r="N5191" s="3565">
        <v>0</v>
      </c>
      <c r="O5191" s="3563" t="s">
        <v>3453</v>
      </c>
    </row>
    <row r="5192" spans="1:15">
      <c r="A5192" s="3563" t="s">
        <v>9418</v>
      </c>
      <c r="B5192" s="3563" t="s">
        <v>4196</v>
      </c>
      <c r="C5192" s="3563" t="s">
        <v>4197</v>
      </c>
      <c r="D5192" s="3563" t="s">
        <v>6429</v>
      </c>
      <c r="E5192" s="3563" t="s">
        <v>9359</v>
      </c>
      <c r="F5192" s="3563" t="s">
        <v>4797</v>
      </c>
      <c r="G5192" s="3564">
        <v>100.47</v>
      </c>
      <c r="H5192" s="3564">
        <v>81.739999999999995</v>
      </c>
      <c r="I5192" s="3564">
        <v>18.73</v>
      </c>
      <c r="J5192" s="3565">
        <v>1059798</v>
      </c>
      <c r="K5192" s="3565">
        <v>10548.4</v>
      </c>
      <c r="L5192" s="3565">
        <v>12965.48</v>
      </c>
      <c r="M5192" s="3565">
        <v>0</v>
      </c>
      <c r="N5192" s="3565">
        <v>0</v>
      </c>
      <c r="O5192" s="3563" t="s">
        <v>3453</v>
      </c>
    </row>
    <row r="5193" spans="1:15">
      <c r="A5193" s="3563" t="s">
        <v>9419</v>
      </c>
      <c r="B5193" s="3563" t="s">
        <v>4196</v>
      </c>
      <c r="C5193" s="3563" t="s">
        <v>4197</v>
      </c>
      <c r="D5193" s="3563" t="s">
        <v>6429</v>
      </c>
      <c r="E5193" s="3563" t="s">
        <v>9359</v>
      </c>
      <c r="F5193" s="3563" t="s">
        <v>4797</v>
      </c>
      <c r="G5193" s="3564">
        <v>100.47</v>
      </c>
      <c r="H5193" s="3564">
        <v>81.739999999999995</v>
      </c>
      <c r="I5193" s="3564">
        <v>18.73</v>
      </c>
      <c r="J5193" s="3565">
        <v>1059798</v>
      </c>
      <c r="K5193" s="3565">
        <v>10548.4</v>
      </c>
      <c r="L5193" s="3565">
        <v>12965.48</v>
      </c>
      <c r="M5193" s="3565">
        <v>0</v>
      </c>
      <c r="N5193" s="3565">
        <v>0</v>
      </c>
      <c r="O5193" s="3563" t="s">
        <v>3453</v>
      </c>
    </row>
    <row r="5194" spans="1:15">
      <c r="A5194" s="3563" t="s">
        <v>9420</v>
      </c>
      <c r="B5194" s="3563" t="s">
        <v>4196</v>
      </c>
      <c r="C5194" s="3563" t="s">
        <v>4197</v>
      </c>
      <c r="D5194" s="3563" t="s">
        <v>6429</v>
      </c>
      <c r="E5194" s="3563" t="s">
        <v>9359</v>
      </c>
      <c r="F5194" s="3563" t="s">
        <v>4797</v>
      </c>
      <c r="G5194" s="3564">
        <v>100.81</v>
      </c>
      <c r="H5194" s="3564">
        <v>82.01</v>
      </c>
      <c r="I5194" s="3564">
        <v>18.8</v>
      </c>
      <c r="J5194" s="3565">
        <v>1036574</v>
      </c>
      <c r="K5194" s="3565">
        <v>10282.450000000001</v>
      </c>
      <c r="L5194" s="3565">
        <v>12639.6</v>
      </c>
      <c r="M5194" s="3565">
        <v>0</v>
      </c>
      <c r="N5194" s="3565">
        <v>0</v>
      </c>
      <c r="O5194" s="3563" t="s">
        <v>3453</v>
      </c>
    </row>
    <row r="5195" spans="1:15">
      <c r="A5195" s="3563" t="s">
        <v>9421</v>
      </c>
      <c r="B5195" s="3563" t="s">
        <v>4196</v>
      </c>
      <c r="C5195" s="3563" t="s">
        <v>4197</v>
      </c>
      <c r="D5195" s="3563" t="s">
        <v>6429</v>
      </c>
      <c r="E5195" s="3563" t="s">
        <v>9359</v>
      </c>
      <c r="F5195" s="3563" t="s">
        <v>4797</v>
      </c>
      <c r="G5195" s="3564">
        <v>87.27</v>
      </c>
      <c r="H5195" s="3564">
        <v>71</v>
      </c>
      <c r="I5195" s="3564">
        <v>16.27</v>
      </c>
      <c r="J5195" s="3565">
        <v>915918</v>
      </c>
      <c r="K5195" s="3565">
        <v>10495.22</v>
      </c>
      <c r="L5195" s="3565">
        <v>12900.25</v>
      </c>
      <c r="M5195" s="3565">
        <v>0</v>
      </c>
      <c r="N5195" s="3565">
        <v>0</v>
      </c>
      <c r="O5195" s="3563" t="s">
        <v>3453</v>
      </c>
    </row>
    <row r="5196" spans="1:15">
      <c r="A5196" s="3563" t="s">
        <v>9422</v>
      </c>
      <c r="B5196" s="3563" t="s">
        <v>4196</v>
      </c>
      <c r="C5196" s="3563" t="s">
        <v>4197</v>
      </c>
      <c r="D5196" s="3563" t="s">
        <v>6429</v>
      </c>
      <c r="E5196" s="3563" t="s">
        <v>9359</v>
      </c>
      <c r="F5196" s="3563" t="s">
        <v>4797</v>
      </c>
      <c r="G5196" s="3564">
        <v>87.27</v>
      </c>
      <c r="H5196" s="3564">
        <v>71</v>
      </c>
      <c r="I5196" s="3564">
        <v>16.27</v>
      </c>
      <c r="J5196" s="3565">
        <v>934486</v>
      </c>
      <c r="K5196" s="3565">
        <v>10707.99</v>
      </c>
      <c r="L5196" s="3565">
        <v>13161.77</v>
      </c>
      <c r="M5196" s="3565">
        <v>0</v>
      </c>
      <c r="N5196" s="3565">
        <v>0</v>
      </c>
      <c r="O5196" s="3563" t="s">
        <v>3453</v>
      </c>
    </row>
    <row r="5197" spans="1:15">
      <c r="A5197" s="3563" t="s">
        <v>9423</v>
      </c>
      <c r="B5197" s="3563" t="s">
        <v>4196</v>
      </c>
      <c r="C5197" s="3563" t="s">
        <v>4197</v>
      </c>
      <c r="D5197" s="3563" t="s">
        <v>6429</v>
      </c>
      <c r="E5197" s="3563" t="s">
        <v>9359</v>
      </c>
      <c r="F5197" s="3563" t="s">
        <v>4797</v>
      </c>
      <c r="G5197" s="3564">
        <v>108.71</v>
      </c>
      <c r="H5197" s="3564">
        <v>88.44</v>
      </c>
      <c r="I5197" s="3564">
        <v>20.27</v>
      </c>
      <c r="J5197" s="3565">
        <v>1100458</v>
      </c>
      <c r="K5197" s="3565">
        <v>10122.879999999999</v>
      </c>
      <c r="L5197" s="3565">
        <v>12442.99</v>
      </c>
      <c r="M5197" s="3565">
        <v>0</v>
      </c>
      <c r="N5197" s="3565">
        <v>0</v>
      </c>
      <c r="O5197" s="3563" t="s">
        <v>3453</v>
      </c>
    </row>
    <row r="5198" spans="1:15">
      <c r="A5198" s="3563" t="s">
        <v>9424</v>
      </c>
      <c r="B5198" s="3563" t="s">
        <v>4196</v>
      </c>
      <c r="C5198" s="3563" t="s">
        <v>4197</v>
      </c>
      <c r="D5198" s="3563" t="s">
        <v>6429</v>
      </c>
      <c r="E5198" s="3563" t="s">
        <v>9359</v>
      </c>
      <c r="F5198" s="3563" t="s">
        <v>4797</v>
      </c>
      <c r="G5198" s="3564">
        <v>101.86</v>
      </c>
      <c r="H5198" s="3564">
        <v>81.739999999999995</v>
      </c>
      <c r="I5198" s="3564">
        <v>20.12</v>
      </c>
      <c r="J5198" s="3565">
        <v>1007277</v>
      </c>
      <c r="K5198" s="3565">
        <v>9888.84</v>
      </c>
      <c r="L5198" s="3565">
        <v>12322.94</v>
      </c>
      <c r="M5198" s="3565">
        <v>0</v>
      </c>
      <c r="N5198" s="3565">
        <v>0</v>
      </c>
      <c r="O5198" s="3563" t="s">
        <v>3453</v>
      </c>
    </row>
    <row r="5199" spans="1:15">
      <c r="A5199" s="3563" t="s">
        <v>9425</v>
      </c>
      <c r="B5199" s="3563" t="s">
        <v>4196</v>
      </c>
      <c r="C5199" s="3563" t="s">
        <v>4197</v>
      </c>
      <c r="D5199" s="3563" t="s">
        <v>6429</v>
      </c>
      <c r="E5199" s="3563" t="s">
        <v>9359</v>
      </c>
      <c r="F5199" s="3563" t="s">
        <v>4797</v>
      </c>
      <c r="G5199" s="3564">
        <v>101.86</v>
      </c>
      <c r="H5199" s="3564">
        <v>81.739999999999995</v>
      </c>
      <c r="I5199" s="3564">
        <v>20.12</v>
      </c>
      <c r="J5199" s="3565">
        <v>1007277</v>
      </c>
      <c r="K5199" s="3565">
        <v>9888.84</v>
      </c>
      <c r="L5199" s="3565">
        <v>12322.94</v>
      </c>
      <c r="M5199" s="3565">
        <v>0</v>
      </c>
      <c r="N5199" s="3565">
        <v>0</v>
      </c>
      <c r="O5199" s="3563" t="s">
        <v>3453</v>
      </c>
    </row>
    <row r="5200" spans="1:15">
      <c r="A5200" s="3563" t="s">
        <v>9426</v>
      </c>
      <c r="B5200" s="3563" t="s">
        <v>4196</v>
      </c>
      <c r="C5200" s="3563" t="s">
        <v>4197</v>
      </c>
      <c r="D5200" s="3563" t="s">
        <v>6429</v>
      </c>
      <c r="E5200" s="3563" t="s">
        <v>9359</v>
      </c>
      <c r="F5200" s="3563" t="s">
        <v>4797</v>
      </c>
      <c r="G5200" s="3564">
        <v>102.19</v>
      </c>
      <c r="H5200" s="3564">
        <v>82.01</v>
      </c>
      <c r="I5200" s="3564">
        <v>20.18</v>
      </c>
      <c r="J5200" s="3565">
        <v>1005105</v>
      </c>
      <c r="K5200" s="3565">
        <v>9835.65</v>
      </c>
      <c r="L5200" s="3565">
        <v>12255.88</v>
      </c>
      <c r="M5200" s="3565">
        <v>0</v>
      </c>
      <c r="N5200" s="3565">
        <v>0</v>
      </c>
      <c r="O5200" s="3563" t="s">
        <v>3453</v>
      </c>
    </row>
    <row r="5201" spans="1:15">
      <c r="A5201" s="3563" t="s">
        <v>9427</v>
      </c>
      <c r="B5201" s="3563" t="s">
        <v>4196</v>
      </c>
      <c r="C5201" s="3563" t="s">
        <v>4197</v>
      </c>
      <c r="D5201" s="3563" t="s">
        <v>6429</v>
      </c>
      <c r="E5201" s="3563" t="s">
        <v>9359</v>
      </c>
      <c r="F5201" s="3563" t="s">
        <v>4797</v>
      </c>
      <c r="G5201" s="3564">
        <v>88.47</v>
      </c>
      <c r="H5201" s="3564">
        <v>71</v>
      </c>
      <c r="I5201" s="3564">
        <v>17.47</v>
      </c>
      <c r="J5201" s="3565">
        <v>888982</v>
      </c>
      <c r="K5201" s="3565">
        <v>10048.4</v>
      </c>
      <c r="L5201" s="3565">
        <v>12520.87</v>
      </c>
      <c r="M5201" s="3565">
        <v>0</v>
      </c>
      <c r="N5201" s="3565">
        <v>0</v>
      </c>
      <c r="O5201" s="3563" t="s">
        <v>3453</v>
      </c>
    </row>
    <row r="5202" spans="1:15">
      <c r="A5202" s="3563" t="s">
        <v>9428</v>
      </c>
      <c r="B5202" s="3563" t="s">
        <v>4196</v>
      </c>
      <c r="C5202" s="3563" t="s">
        <v>4197</v>
      </c>
      <c r="D5202" s="3563" t="s">
        <v>6429</v>
      </c>
      <c r="E5202" s="3563" t="s">
        <v>9359</v>
      </c>
      <c r="F5202" s="3563" t="s">
        <v>4797</v>
      </c>
      <c r="G5202" s="3564">
        <v>88.47</v>
      </c>
      <c r="H5202" s="3564">
        <v>71</v>
      </c>
      <c r="I5202" s="3564">
        <v>17.47</v>
      </c>
      <c r="J5202" s="3565">
        <v>888982</v>
      </c>
      <c r="K5202" s="3565">
        <v>10048.4</v>
      </c>
      <c r="L5202" s="3565">
        <v>12520.87</v>
      </c>
      <c r="M5202" s="3565">
        <v>0</v>
      </c>
      <c r="N5202" s="3565">
        <v>0</v>
      </c>
      <c r="O5202" s="3563" t="s">
        <v>3453</v>
      </c>
    </row>
    <row r="5203" spans="1:15">
      <c r="A5203" s="3563" t="s">
        <v>9429</v>
      </c>
      <c r="B5203" s="3563" t="s">
        <v>4196</v>
      </c>
      <c r="C5203" s="3563" t="s">
        <v>4197</v>
      </c>
      <c r="D5203" s="3563" t="s">
        <v>6429</v>
      </c>
      <c r="E5203" s="3563" t="s">
        <v>9359</v>
      </c>
      <c r="F5203" s="3563" t="s">
        <v>4797</v>
      </c>
      <c r="G5203" s="3564">
        <v>100.47</v>
      </c>
      <c r="H5203" s="3564">
        <v>81.739999999999995</v>
      </c>
      <c r="I5203" s="3564">
        <v>18.73</v>
      </c>
      <c r="J5203" s="3565">
        <v>1058730</v>
      </c>
      <c r="K5203" s="3565">
        <v>10537.77</v>
      </c>
      <c r="L5203" s="3565">
        <v>12952.41</v>
      </c>
      <c r="M5203" s="3565">
        <v>0</v>
      </c>
      <c r="N5203" s="3565">
        <v>0</v>
      </c>
      <c r="O5203" s="3563" t="s">
        <v>3453</v>
      </c>
    </row>
    <row r="5204" spans="1:15">
      <c r="A5204" s="3563" t="s">
        <v>9430</v>
      </c>
      <c r="B5204" s="3563" t="s">
        <v>4196</v>
      </c>
      <c r="C5204" s="3563" t="s">
        <v>4197</v>
      </c>
      <c r="D5204" s="3563" t="s">
        <v>6429</v>
      </c>
      <c r="E5204" s="3563" t="s">
        <v>9359</v>
      </c>
      <c r="F5204" s="3563" t="s">
        <v>4797</v>
      </c>
      <c r="G5204" s="3564">
        <v>100.47</v>
      </c>
      <c r="H5204" s="3564">
        <v>81.739999999999995</v>
      </c>
      <c r="I5204" s="3564">
        <v>18.73</v>
      </c>
      <c r="J5204" s="3565">
        <v>1058730</v>
      </c>
      <c r="K5204" s="3565">
        <v>10537.77</v>
      </c>
      <c r="L5204" s="3565">
        <v>12952.41</v>
      </c>
      <c r="M5204" s="3565">
        <v>0</v>
      </c>
      <c r="N5204" s="3565">
        <v>0</v>
      </c>
      <c r="O5204" s="3563" t="s">
        <v>3453</v>
      </c>
    </row>
    <row r="5205" spans="1:15">
      <c r="A5205" s="3563" t="s">
        <v>9431</v>
      </c>
      <c r="B5205" s="3563" t="s">
        <v>4196</v>
      </c>
      <c r="C5205" s="3563" t="s">
        <v>4197</v>
      </c>
      <c r="D5205" s="3563" t="s">
        <v>6429</v>
      </c>
      <c r="E5205" s="3563" t="s">
        <v>9359</v>
      </c>
      <c r="F5205" s="3563" t="s">
        <v>4797</v>
      </c>
      <c r="G5205" s="3564">
        <v>100.81</v>
      </c>
      <c r="H5205" s="3564">
        <v>82.01</v>
      </c>
      <c r="I5205" s="3564">
        <v>18.8</v>
      </c>
      <c r="J5205" s="3565">
        <v>1035502</v>
      </c>
      <c r="K5205" s="3565">
        <v>10271.82</v>
      </c>
      <c r="L5205" s="3565">
        <v>12626.53</v>
      </c>
      <c r="M5205" s="3565">
        <v>0</v>
      </c>
      <c r="N5205" s="3565">
        <v>0</v>
      </c>
      <c r="O5205" s="3563" t="s">
        <v>3453</v>
      </c>
    </row>
    <row r="5206" spans="1:15">
      <c r="A5206" s="3563" t="s">
        <v>9432</v>
      </c>
      <c r="B5206" s="3563" t="s">
        <v>4196</v>
      </c>
      <c r="C5206" s="3563" t="s">
        <v>4197</v>
      </c>
      <c r="D5206" s="3563" t="s">
        <v>6429</v>
      </c>
      <c r="E5206" s="3563" t="s">
        <v>9359</v>
      </c>
      <c r="F5206" s="3563" t="s">
        <v>4797</v>
      </c>
      <c r="G5206" s="3564">
        <v>87.27</v>
      </c>
      <c r="H5206" s="3564">
        <v>71</v>
      </c>
      <c r="I5206" s="3564">
        <v>16.27</v>
      </c>
      <c r="J5206" s="3565">
        <v>914989</v>
      </c>
      <c r="K5206" s="3565">
        <v>10484.58</v>
      </c>
      <c r="L5206" s="3565">
        <v>12887.17</v>
      </c>
      <c r="M5206" s="3565">
        <v>0</v>
      </c>
      <c r="N5206" s="3565">
        <v>0</v>
      </c>
      <c r="O5206" s="3563" t="s">
        <v>3453</v>
      </c>
    </row>
    <row r="5207" spans="1:15">
      <c r="A5207" s="3563" t="s">
        <v>9433</v>
      </c>
      <c r="B5207" s="3563" t="s">
        <v>4196</v>
      </c>
      <c r="C5207" s="3563" t="s">
        <v>4197</v>
      </c>
      <c r="D5207" s="3563" t="s">
        <v>6429</v>
      </c>
      <c r="E5207" s="3563" t="s">
        <v>9359</v>
      </c>
      <c r="F5207" s="3563" t="s">
        <v>4797</v>
      </c>
      <c r="G5207" s="3564">
        <v>87.27</v>
      </c>
      <c r="H5207" s="3564">
        <v>71</v>
      </c>
      <c r="I5207" s="3564">
        <v>16.27</v>
      </c>
      <c r="J5207" s="3565">
        <v>933557</v>
      </c>
      <c r="K5207" s="3565">
        <v>10697.34</v>
      </c>
      <c r="L5207" s="3565">
        <v>13148.69</v>
      </c>
      <c r="M5207" s="3565">
        <v>0</v>
      </c>
      <c r="N5207" s="3565">
        <v>0</v>
      </c>
      <c r="O5207" s="3563" t="s">
        <v>3453</v>
      </c>
    </row>
    <row r="5208" spans="1:15">
      <c r="A5208" s="3563" t="s">
        <v>9434</v>
      </c>
      <c r="B5208" s="3563" t="s">
        <v>4196</v>
      </c>
      <c r="C5208" s="3563" t="s">
        <v>4197</v>
      </c>
      <c r="D5208" s="3563" t="s">
        <v>6429</v>
      </c>
      <c r="E5208" s="3563" t="s">
        <v>9359</v>
      </c>
      <c r="F5208" s="3563" t="s">
        <v>4797</v>
      </c>
      <c r="G5208" s="3564">
        <v>108.71</v>
      </c>
      <c r="H5208" s="3564">
        <v>88.44</v>
      </c>
      <c r="I5208" s="3564">
        <v>20.27</v>
      </c>
      <c r="J5208" s="3565">
        <v>1099302</v>
      </c>
      <c r="K5208" s="3565">
        <v>10112.24</v>
      </c>
      <c r="L5208" s="3565">
        <v>12429.92</v>
      </c>
      <c r="M5208" s="3565">
        <v>0</v>
      </c>
      <c r="N5208" s="3565">
        <v>0</v>
      </c>
      <c r="O5208" s="3563" t="s">
        <v>3453</v>
      </c>
    </row>
    <row r="5209" spans="1:15">
      <c r="A5209" s="3563" t="s">
        <v>9435</v>
      </c>
      <c r="B5209" s="3563" t="s">
        <v>4196</v>
      </c>
      <c r="C5209" s="3563" t="s">
        <v>4197</v>
      </c>
      <c r="D5209" s="3563" t="s">
        <v>6429</v>
      </c>
      <c r="E5209" s="3563" t="s">
        <v>9359</v>
      </c>
      <c r="F5209" s="3563" t="s">
        <v>4797</v>
      </c>
      <c r="G5209" s="3564">
        <v>100.47</v>
      </c>
      <c r="H5209" s="3564">
        <v>81.739999999999995</v>
      </c>
      <c r="I5209" s="3564">
        <v>18.73</v>
      </c>
      <c r="J5209" s="3565">
        <v>1057661</v>
      </c>
      <c r="K5209" s="3565">
        <v>10527.13</v>
      </c>
      <c r="L5209" s="3565">
        <v>12939.33</v>
      </c>
      <c r="M5209" s="3565">
        <v>0</v>
      </c>
      <c r="N5209" s="3565">
        <v>0</v>
      </c>
      <c r="O5209" s="3563" t="s">
        <v>3453</v>
      </c>
    </row>
    <row r="5210" spans="1:15">
      <c r="A5210" s="3563" t="s">
        <v>9436</v>
      </c>
      <c r="B5210" s="3563" t="s">
        <v>4196</v>
      </c>
      <c r="C5210" s="3563" t="s">
        <v>4197</v>
      </c>
      <c r="D5210" s="3563" t="s">
        <v>6429</v>
      </c>
      <c r="E5210" s="3563" t="s">
        <v>9359</v>
      </c>
      <c r="F5210" s="3563" t="s">
        <v>4797</v>
      </c>
      <c r="G5210" s="3564">
        <v>100.47</v>
      </c>
      <c r="H5210" s="3564">
        <v>81.739999999999995</v>
      </c>
      <c r="I5210" s="3564">
        <v>18.73</v>
      </c>
      <c r="J5210" s="3565">
        <v>1057661</v>
      </c>
      <c r="K5210" s="3565">
        <v>10527.13</v>
      </c>
      <c r="L5210" s="3565">
        <v>12939.33</v>
      </c>
      <c r="M5210" s="3565">
        <v>0</v>
      </c>
      <c r="N5210" s="3565">
        <v>0</v>
      </c>
      <c r="O5210" s="3563" t="s">
        <v>3453</v>
      </c>
    </row>
    <row r="5211" spans="1:15">
      <c r="A5211" s="3563" t="s">
        <v>9437</v>
      </c>
      <c r="B5211" s="3563" t="s">
        <v>4196</v>
      </c>
      <c r="C5211" s="3563" t="s">
        <v>4197</v>
      </c>
      <c r="D5211" s="3563" t="s">
        <v>6429</v>
      </c>
      <c r="E5211" s="3563" t="s">
        <v>9359</v>
      </c>
      <c r="F5211" s="3563" t="s">
        <v>4797</v>
      </c>
      <c r="G5211" s="3564">
        <v>100.81</v>
      </c>
      <c r="H5211" s="3564">
        <v>82.01</v>
      </c>
      <c r="I5211" s="3564">
        <v>18.8</v>
      </c>
      <c r="J5211" s="3565">
        <v>1034429</v>
      </c>
      <c r="K5211" s="3565">
        <v>10261.17</v>
      </c>
      <c r="L5211" s="3565">
        <v>12613.45</v>
      </c>
      <c r="M5211" s="3565">
        <v>0</v>
      </c>
      <c r="N5211" s="3565">
        <v>0</v>
      </c>
      <c r="O5211" s="3563" t="s">
        <v>3453</v>
      </c>
    </row>
    <row r="5212" spans="1:15">
      <c r="A5212" s="3563" t="s">
        <v>9438</v>
      </c>
      <c r="B5212" s="3563" t="s">
        <v>4196</v>
      </c>
      <c r="C5212" s="3563" t="s">
        <v>4197</v>
      </c>
      <c r="D5212" s="3563" t="s">
        <v>6429</v>
      </c>
      <c r="E5212" s="3563" t="s">
        <v>9359</v>
      </c>
      <c r="F5212" s="3563" t="s">
        <v>4797</v>
      </c>
      <c r="G5212" s="3564">
        <v>87.27</v>
      </c>
      <c r="H5212" s="3564">
        <v>71</v>
      </c>
      <c r="I5212" s="3564">
        <v>16.27</v>
      </c>
      <c r="J5212" s="3565">
        <v>914061</v>
      </c>
      <c r="K5212" s="3565">
        <v>10473.94</v>
      </c>
      <c r="L5212" s="3565">
        <v>12874.1</v>
      </c>
      <c r="M5212" s="3565">
        <v>0</v>
      </c>
      <c r="N5212" s="3565">
        <v>0</v>
      </c>
      <c r="O5212" s="3563" t="s">
        <v>3453</v>
      </c>
    </row>
    <row r="5213" spans="1:15">
      <c r="A5213" s="3563" t="s">
        <v>9439</v>
      </c>
      <c r="B5213" s="3563" t="s">
        <v>4196</v>
      </c>
      <c r="C5213" s="3563" t="s">
        <v>4197</v>
      </c>
      <c r="D5213" s="3563" t="s">
        <v>6429</v>
      </c>
      <c r="E5213" s="3563" t="s">
        <v>9359</v>
      </c>
      <c r="F5213" s="3563" t="s">
        <v>4797</v>
      </c>
      <c r="G5213" s="3564">
        <v>87.27</v>
      </c>
      <c r="H5213" s="3564">
        <v>71</v>
      </c>
      <c r="I5213" s="3564">
        <v>16.27</v>
      </c>
      <c r="J5213" s="3565">
        <v>932629</v>
      </c>
      <c r="K5213" s="3565">
        <v>10686.71</v>
      </c>
      <c r="L5213" s="3565">
        <v>13135.62</v>
      </c>
      <c r="M5213" s="3565">
        <v>0</v>
      </c>
      <c r="N5213" s="3565">
        <v>0</v>
      </c>
      <c r="O5213" s="3563" t="s">
        <v>3453</v>
      </c>
    </row>
    <row r="5214" spans="1:15">
      <c r="A5214" s="3563" t="s">
        <v>9440</v>
      </c>
      <c r="B5214" s="3563" t="s">
        <v>4196</v>
      </c>
      <c r="C5214" s="3563" t="s">
        <v>4197</v>
      </c>
      <c r="D5214" s="3563" t="s">
        <v>6429</v>
      </c>
      <c r="E5214" s="3563" t="s">
        <v>9359</v>
      </c>
      <c r="F5214" s="3563" t="s">
        <v>4797</v>
      </c>
      <c r="G5214" s="3564">
        <v>108.71</v>
      </c>
      <c r="H5214" s="3564">
        <v>88.44</v>
      </c>
      <c r="I5214" s="3564">
        <v>20.27</v>
      </c>
      <c r="J5214" s="3565">
        <v>1098145</v>
      </c>
      <c r="K5214" s="3565">
        <v>10101.6</v>
      </c>
      <c r="L5214" s="3565">
        <v>12416.84</v>
      </c>
      <c r="M5214" s="3565">
        <v>0</v>
      </c>
      <c r="N5214" s="3565">
        <v>0</v>
      </c>
      <c r="O5214" s="3563" t="s">
        <v>3453</v>
      </c>
    </row>
    <row r="5215" spans="1:15">
      <c r="A5215" s="3563" t="s">
        <v>9441</v>
      </c>
      <c r="B5215" s="3563" t="s">
        <v>4196</v>
      </c>
      <c r="C5215" s="3563" t="s">
        <v>4197</v>
      </c>
      <c r="D5215" s="3563" t="s">
        <v>6429</v>
      </c>
      <c r="E5215" s="3563" t="s">
        <v>9359</v>
      </c>
      <c r="F5215" s="3563" t="s">
        <v>4797</v>
      </c>
      <c r="G5215" s="3564">
        <v>100.47</v>
      </c>
      <c r="H5215" s="3564">
        <v>81.739999999999995</v>
      </c>
      <c r="I5215" s="3564">
        <v>18.73</v>
      </c>
      <c r="J5215" s="3565">
        <v>1056592</v>
      </c>
      <c r="K5215" s="3565">
        <v>10516.49</v>
      </c>
      <c r="L5215" s="3565">
        <v>12926.25</v>
      </c>
      <c r="M5215" s="3565">
        <v>0</v>
      </c>
      <c r="N5215" s="3565">
        <v>0</v>
      </c>
      <c r="O5215" s="3563" t="s">
        <v>3453</v>
      </c>
    </row>
    <row r="5216" spans="1:15">
      <c r="A5216" s="3563" t="s">
        <v>9442</v>
      </c>
      <c r="B5216" s="3563" t="s">
        <v>4196</v>
      </c>
      <c r="C5216" s="3563" t="s">
        <v>4197</v>
      </c>
      <c r="D5216" s="3563" t="s">
        <v>6429</v>
      </c>
      <c r="E5216" s="3563" t="s">
        <v>9359</v>
      </c>
      <c r="F5216" s="3563" t="s">
        <v>4797</v>
      </c>
      <c r="G5216" s="3564">
        <v>100.47</v>
      </c>
      <c r="H5216" s="3564">
        <v>81.739999999999995</v>
      </c>
      <c r="I5216" s="3564">
        <v>18.73</v>
      </c>
      <c r="J5216" s="3565">
        <v>1056592</v>
      </c>
      <c r="K5216" s="3565">
        <v>10516.49</v>
      </c>
      <c r="L5216" s="3565">
        <v>12926.25</v>
      </c>
      <c r="M5216" s="3565">
        <v>0</v>
      </c>
      <c r="N5216" s="3565">
        <v>0</v>
      </c>
      <c r="O5216" s="3563" t="s">
        <v>3453</v>
      </c>
    </row>
    <row r="5217" spans="1:15">
      <c r="A5217" s="3563" t="s">
        <v>9443</v>
      </c>
      <c r="B5217" s="3563" t="s">
        <v>4196</v>
      </c>
      <c r="C5217" s="3563" t="s">
        <v>4197</v>
      </c>
      <c r="D5217" s="3563" t="s">
        <v>6429</v>
      </c>
      <c r="E5217" s="3563" t="s">
        <v>9359</v>
      </c>
      <c r="F5217" s="3563" t="s">
        <v>4797</v>
      </c>
      <c r="G5217" s="3564">
        <v>100.81</v>
      </c>
      <c r="H5217" s="3564">
        <v>82.01</v>
      </c>
      <c r="I5217" s="3564">
        <v>18.8</v>
      </c>
      <c r="J5217" s="3565">
        <v>1033357</v>
      </c>
      <c r="K5217" s="3565">
        <v>10250.540000000001</v>
      </c>
      <c r="L5217" s="3565">
        <v>12600.38</v>
      </c>
      <c r="M5217" s="3565">
        <v>0</v>
      </c>
      <c r="N5217" s="3565">
        <v>0</v>
      </c>
      <c r="O5217" s="3563" t="s">
        <v>3453</v>
      </c>
    </row>
    <row r="5218" spans="1:15">
      <c r="A5218" s="3563" t="s">
        <v>9444</v>
      </c>
      <c r="B5218" s="3563" t="s">
        <v>4196</v>
      </c>
      <c r="C5218" s="3563" t="s">
        <v>4197</v>
      </c>
      <c r="D5218" s="3563" t="s">
        <v>6429</v>
      </c>
      <c r="E5218" s="3563" t="s">
        <v>9359</v>
      </c>
      <c r="F5218" s="3563" t="s">
        <v>4797</v>
      </c>
      <c r="G5218" s="3564">
        <v>87.27</v>
      </c>
      <c r="H5218" s="3564">
        <v>71</v>
      </c>
      <c r="I5218" s="3564">
        <v>16.27</v>
      </c>
      <c r="J5218" s="3565">
        <v>913132</v>
      </c>
      <c r="K5218" s="3565">
        <v>10463.299999999999</v>
      </c>
      <c r="L5218" s="3565">
        <v>12861.01</v>
      </c>
      <c r="M5218" s="3565">
        <v>0</v>
      </c>
      <c r="N5218" s="3565">
        <v>0</v>
      </c>
      <c r="O5218" s="3563" t="s">
        <v>3453</v>
      </c>
    </row>
    <row r="5219" spans="1:15">
      <c r="A5219" s="3563" t="s">
        <v>9445</v>
      </c>
      <c r="B5219" s="3563" t="s">
        <v>4196</v>
      </c>
      <c r="C5219" s="3563" t="s">
        <v>4197</v>
      </c>
      <c r="D5219" s="3563" t="s">
        <v>6429</v>
      </c>
      <c r="E5219" s="3563" t="s">
        <v>9359</v>
      </c>
      <c r="F5219" s="3563" t="s">
        <v>4797</v>
      </c>
      <c r="G5219" s="3564">
        <v>87.27</v>
      </c>
      <c r="H5219" s="3564">
        <v>71</v>
      </c>
      <c r="I5219" s="3564">
        <v>16.27</v>
      </c>
      <c r="J5219" s="3565">
        <v>931700</v>
      </c>
      <c r="K5219" s="3565">
        <v>10676.06</v>
      </c>
      <c r="L5219" s="3565">
        <v>13122.54</v>
      </c>
      <c r="M5219" s="3565">
        <v>0</v>
      </c>
      <c r="N5219" s="3565">
        <v>0</v>
      </c>
      <c r="O5219" s="3563" t="s">
        <v>3453</v>
      </c>
    </row>
    <row r="5220" spans="1:15">
      <c r="A5220" s="3563" t="s">
        <v>9446</v>
      </c>
      <c r="B5220" s="3563" t="s">
        <v>4196</v>
      </c>
      <c r="C5220" s="3563" t="s">
        <v>4197</v>
      </c>
      <c r="D5220" s="3563" t="s">
        <v>6429</v>
      </c>
      <c r="E5220" s="3563" t="s">
        <v>9359</v>
      </c>
      <c r="F5220" s="3563" t="s">
        <v>4797</v>
      </c>
      <c r="G5220" s="3564">
        <v>108.71</v>
      </c>
      <c r="H5220" s="3564">
        <v>88.44</v>
      </c>
      <c r="I5220" s="3564">
        <v>20.27</v>
      </c>
      <c r="J5220" s="3565">
        <v>1096989</v>
      </c>
      <c r="K5220" s="3565">
        <v>10090.969999999999</v>
      </c>
      <c r="L5220" s="3565">
        <v>12403.77</v>
      </c>
      <c r="M5220" s="3565">
        <v>0</v>
      </c>
      <c r="N5220" s="3565">
        <v>0</v>
      </c>
      <c r="O5220" s="3563" t="s">
        <v>3453</v>
      </c>
    </row>
    <row r="5221" spans="1:15">
      <c r="A5221" s="3563" t="s">
        <v>9447</v>
      </c>
      <c r="B5221" s="3563" t="s">
        <v>4196</v>
      </c>
      <c r="C5221" s="3563" t="s">
        <v>4197</v>
      </c>
      <c r="D5221" s="3563" t="s">
        <v>6429</v>
      </c>
      <c r="E5221" s="3563" t="s">
        <v>9359</v>
      </c>
      <c r="F5221" s="3563" t="s">
        <v>4797</v>
      </c>
      <c r="G5221" s="3564">
        <v>100.47</v>
      </c>
      <c r="H5221" s="3564">
        <v>81.739999999999995</v>
      </c>
      <c r="I5221" s="3564">
        <v>18.73</v>
      </c>
      <c r="J5221" s="3565">
        <v>1055523</v>
      </c>
      <c r="K5221" s="3565">
        <v>10505.85</v>
      </c>
      <c r="L5221" s="3565">
        <v>12913.18</v>
      </c>
      <c r="M5221" s="3565">
        <v>0</v>
      </c>
      <c r="N5221" s="3565">
        <v>0</v>
      </c>
      <c r="O5221" s="3563" t="s">
        <v>3453</v>
      </c>
    </row>
    <row r="5222" spans="1:15">
      <c r="A5222" s="3563" t="s">
        <v>9448</v>
      </c>
      <c r="B5222" s="3563" t="s">
        <v>4196</v>
      </c>
      <c r="C5222" s="3563" t="s">
        <v>4197</v>
      </c>
      <c r="D5222" s="3563" t="s">
        <v>6429</v>
      </c>
      <c r="E5222" s="3563" t="s">
        <v>9359</v>
      </c>
      <c r="F5222" s="3563" t="s">
        <v>4797</v>
      </c>
      <c r="G5222" s="3564">
        <v>100.47</v>
      </c>
      <c r="H5222" s="3564">
        <v>81.739999999999995</v>
      </c>
      <c r="I5222" s="3564">
        <v>18.73</v>
      </c>
      <c r="J5222" s="3565">
        <v>1055523</v>
      </c>
      <c r="K5222" s="3565">
        <v>10505.85</v>
      </c>
      <c r="L5222" s="3565">
        <v>12913.18</v>
      </c>
      <c r="M5222" s="3565">
        <v>0</v>
      </c>
      <c r="N5222" s="3565">
        <v>0</v>
      </c>
      <c r="O5222" s="3563" t="s">
        <v>3453</v>
      </c>
    </row>
    <row r="5223" spans="1:15">
      <c r="A5223" s="3563" t="s">
        <v>9449</v>
      </c>
      <c r="B5223" s="3563" t="s">
        <v>4196</v>
      </c>
      <c r="C5223" s="3563" t="s">
        <v>4197</v>
      </c>
      <c r="D5223" s="3563" t="s">
        <v>6429</v>
      </c>
      <c r="E5223" s="3563" t="s">
        <v>9359</v>
      </c>
      <c r="F5223" s="3563" t="s">
        <v>4797</v>
      </c>
      <c r="G5223" s="3564">
        <v>100.81</v>
      </c>
      <c r="H5223" s="3564">
        <v>82.01</v>
      </c>
      <c r="I5223" s="3564">
        <v>18.8</v>
      </c>
      <c r="J5223" s="3565">
        <v>1032285</v>
      </c>
      <c r="K5223" s="3565">
        <v>10239.91</v>
      </c>
      <c r="L5223" s="3565">
        <v>12587.31</v>
      </c>
      <c r="M5223" s="3565">
        <v>0</v>
      </c>
      <c r="N5223" s="3565">
        <v>0</v>
      </c>
      <c r="O5223" s="3563" t="s">
        <v>3453</v>
      </c>
    </row>
    <row r="5224" spans="1:15">
      <c r="A5224" s="3563" t="s">
        <v>9450</v>
      </c>
      <c r="B5224" s="3563" t="s">
        <v>4196</v>
      </c>
      <c r="C5224" s="3563" t="s">
        <v>4197</v>
      </c>
      <c r="D5224" s="3563" t="s">
        <v>6429</v>
      </c>
      <c r="E5224" s="3563" t="s">
        <v>9359</v>
      </c>
      <c r="F5224" s="3563" t="s">
        <v>4797</v>
      </c>
      <c r="G5224" s="3564">
        <v>87.27</v>
      </c>
      <c r="H5224" s="3564">
        <v>71</v>
      </c>
      <c r="I5224" s="3564">
        <v>16.27</v>
      </c>
      <c r="J5224" s="3565">
        <v>912204</v>
      </c>
      <c r="K5224" s="3565">
        <v>10452.66</v>
      </c>
      <c r="L5224" s="3565">
        <v>12847.94</v>
      </c>
      <c r="M5224" s="3565">
        <v>0</v>
      </c>
      <c r="N5224" s="3565">
        <v>0</v>
      </c>
      <c r="O5224" s="3563" t="s">
        <v>3453</v>
      </c>
    </row>
    <row r="5225" spans="1:15">
      <c r="A5225" s="3563" t="s">
        <v>9451</v>
      </c>
      <c r="B5225" s="3563" t="s">
        <v>4196</v>
      </c>
      <c r="C5225" s="3563" t="s">
        <v>4197</v>
      </c>
      <c r="D5225" s="3563" t="s">
        <v>6429</v>
      </c>
      <c r="E5225" s="3563" t="s">
        <v>9359</v>
      </c>
      <c r="F5225" s="3563" t="s">
        <v>4797</v>
      </c>
      <c r="G5225" s="3564">
        <v>87.27</v>
      </c>
      <c r="H5225" s="3564">
        <v>71</v>
      </c>
      <c r="I5225" s="3564">
        <v>16.27</v>
      </c>
      <c r="J5225" s="3565">
        <v>930772</v>
      </c>
      <c r="K5225" s="3565">
        <v>10665.43</v>
      </c>
      <c r="L5225" s="3565">
        <v>13109.46</v>
      </c>
      <c r="M5225" s="3565">
        <v>0</v>
      </c>
      <c r="N5225" s="3565">
        <v>0</v>
      </c>
      <c r="O5225" s="3563" t="s">
        <v>3453</v>
      </c>
    </row>
    <row r="5226" spans="1:15">
      <c r="A5226" s="3563" t="s">
        <v>9452</v>
      </c>
      <c r="B5226" s="3563" t="s">
        <v>4196</v>
      </c>
      <c r="C5226" s="3563" t="s">
        <v>4197</v>
      </c>
      <c r="D5226" s="3563" t="s">
        <v>6429</v>
      </c>
      <c r="E5226" s="3563" t="s">
        <v>9359</v>
      </c>
      <c r="F5226" s="3563" t="s">
        <v>4797</v>
      </c>
      <c r="G5226" s="3564">
        <v>108.71</v>
      </c>
      <c r="H5226" s="3564">
        <v>88.44</v>
      </c>
      <c r="I5226" s="3564">
        <v>20.27</v>
      </c>
      <c r="J5226" s="3565">
        <v>1095832</v>
      </c>
      <c r="K5226" s="3565">
        <v>10080.32</v>
      </c>
      <c r="L5226" s="3565">
        <v>12390.68</v>
      </c>
      <c r="M5226" s="3565">
        <v>0</v>
      </c>
      <c r="N5226" s="3565">
        <v>0</v>
      </c>
      <c r="O5226" s="3563" t="s">
        <v>3453</v>
      </c>
    </row>
    <row r="5227" spans="1:15">
      <c r="A5227" s="3563" t="s">
        <v>9453</v>
      </c>
      <c r="B5227" s="3563" t="s">
        <v>4196</v>
      </c>
      <c r="C5227" s="3563" t="s">
        <v>4197</v>
      </c>
      <c r="D5227" s="3563" t="s">
        <v>6429</v>
      </c>
      <c r="E5227" s="3563" t="s">
        <v>9359</v>
      </c>
      <c r="F5227" s="3563" t="s">
        <v>4797</v>
      </c>
      <c r="G5227" s="3564">
        <v>100.47</v>
      </c>
      <c r="H5227" s="3564">
        <v>81.739999999999995</v>
      </c>
      <c r="I5227" s="3564">
        <v>18.73</v>
      </c>
      <c r="J5227" s="3565">
        <v>1054455</v>
      </c>
      <c r="K5227" s="3565">
        <v>10495.22</v>
      </c>
      <c r="L5227" s="3565">
        <v>12900.11</v>
      </c>
      <c r="M5227" s="3565">
        <v>0</v>
      </c>
      <c r="N5227" s="3565">
        <v>0</v>
      </c>
      <c r="O5227" s="3563" t="s">
        <v>3453</v>
      </c>
    </row>
    <row r="5228" spans="1:15">
      <c r="A5228" s="3563" t="s">
        <v>9454</v>
      </c>
      <c r="B5228" s="3563" t="s">
        <v>4196</v>
      </c>
      <c r="C5228" s="3563" t="s">
        <v>4197</v>
      </c>
      <c r="D5228" s="3563" t="s">
        <v>6429</v>
      </c>
      <c r="E5228" s="3563" t="s">
        <v>9359</v>
      </c>
      <c r="F5228" s="3563" t="s">
        <v>4797</v>
      </c>
      <c r="G5228" s="3564">
        <v>100.47</v>
      </c>
      <c r="H5228" s="3564">
        <v>81.739999999999995</v>
      </c>
      <c r="I5228" s="3564">
        <v>18.73</v>
      </c>
      <c r="J5228" s="3565">
        <v>1054455</v>
      </c>
      <c r="K5228" s="3565">
        <v>10495.22</v>
      </c>
      <c r="L5228" s="3565">
        <v>12900.11</v>
      </c>
      <c r="M5228" s="3565">
        <v>0</v>
      </c>
      <c r="N5228" s="3565">
        <v>0</v>
      </c>
      <c r="O5228" s="3563" t="s">
        <v>3453</v>
      </c>
    </row>
    <row r="5229" spans="1:15">
      <c r="A5229" s="3563" t="s">
        <v>9455</v>
      </c>
      <c r="B5229" s="3563" t="s">
        <v>4196</v>
      </c>
      <c r="C5229" s="3563" t="s">
        <v>4197</v>
      </c>
      <c r="D5229" s="3563" t="s">
        <v>6429</v>
      </c>
      <c r="E5229" s="3563" t="s">
        <v>9359</v>
      </c>
      <c r="F5229" s="3563" t="s">
        <v>4797</v>
      </c>
      <c r="G5229" s="3564">
        <v>100.81</v>
      </c>
      <c r="H5229" s="3564">
        <v>82.01</v>
      </c>
      <c r="I5229" s="3564">
        <v>18.8</v>
      </c>
      <c r="J5229" s="3565">
        <v>1031212</v>
      </c>
      <c r="K5229" s="3565">
        <v>10229.26</v>
      </c>
      <c r="L5229" s="3565">
        <v>12574.22</v>
      </c>
      <c r="M5229" s="3565">
        <v>0</v>
      </c>
      <c r="N5229" s="3565">
        <v>0</v>
      </c>
      <c r="O5229" s="3563" t="s">
        <v>3453</v>
      </c>
    </row>
    <row r="5230" spans="1:15">
      <c r="A5230" s="3563" t="s">
        <v>9456</v>
      </c>
      <c r="B5230" s="3563" t="s">
        <v>4196</v>
      </c>
      <c r="C5230" s="3563" t="s">
        <v>4197</v>
      </c>
      <c r="D5230" s="3563" t="s">
        <v>6429</v>
      </c>
      <c r="E5230" s="3563" t="s">
        <v>9359</v>
      </c>
      <c r="F5230" s="3563" t="s">
        <v>4797</v>
      </c>
      <c r="G5230" s="3564">
        <v>87.27</v>
      </c>
      <c r="H5230" s="3564">
        <v>71</v>
      </c>
      <c r="I5230" s="3564">
        <v>16.27</v>
      </c>
      <c r="J5230" s="3565">
        <v>911276</v>
      </c>
      <c r="K5230" s="3565">
        <v>10442.030000000001</v>
      </c>
      <c r="L5230" s="3565">
        <v>12834.87</v>
      </c>
      <c r="M5230" s="3565">
        <v>0</v>
      </c>
      <c r="N5230" s="3565">
        <v>0</v>
      </c>
      <c r="O5230" s="3563" t="s">
        <v>3453</v>
      </c>
    </row>
    <row r="5231" spans="1:15">
      <c r="A5231" s="3563" t="s">
        <v>9457</v>
      </c>
      <c r="B5231" s="3563" t="s">
        <v>4196</v>
      </c>
      <c r="C5231" s="3563" t="s">
        <v>4197</v>
      </c>
      <c r="D5231" s="3563" t="s">
        <v>6429</v>
      </c>
      <c r="E5231" s="3563" t="s">
        <v>9359</v>
      </c>
      <c r="F5231" s="3563" t="s">
        <v>4797</v>
      </c>
      <c r="G5231" s="3564">
        <v>87.27</v>
      </c>
      <c r="H5231" s="3564">
        <v>71</v>
      </c>
      <c r="I5231" s="3564">
        <v>16.27</v>
      </c>
      <c r="J5231" s="3565">
        <v>929844</v>
      </c>
      <c r="K5231" s="3565">
        <v>10654.8</v>
      </c>
      <c r="L5231" s="3565">
        <v>13096.39</v>
      </c>
      <c r="M5231" s="3565">
        <v>0</v>
      </c>
      <c r="N5231" s="3565">
        <v>0</v>
      </c>
      <c r="O5231" s="3563" t="s">
        <v>3453</v>
      </c>
    </row>
    <row r="5232" spans="1:15">
      <c r="A5232" s="3563" t="s">
        <v>9458</v>
      </c>
      <c r="B5232" s="3563" t="s">
        <v>4196</v>
      </c>
      <c r="C5232" s="3563" t="s">
        <v>4197</v>
      </c>
      <c r="D5232" s="3563" t="s">
        <v>6429</v>
      </c>
      <c r="E5232" s="3563" t="s">
        <v>9359</v>
      </c>
      <c r="F5232" s="3563" t="s">
        <v>4797</v>
      </c>
      <c r="G5232" s="3564">
        <v>108.71</v>
      </c>
      <c r="H5232" s="3564">
        <v>88.44</v>
      </c>
      <c r="I5232" s="3564">
        <v>20.27</v>
      </c>
      <c r="J5232" s="3565">
        <v>1094676</v>
      </c>
      <c r="K5232" s="3565">
        <v>10069.69</v>
      </c>
      <c r="L5232" s="3565">
        <v>12377.61</v>
      </c>
      <c r="M5232" s="3565">
        <v>0</v>
      </c>
      <c r="N5232" s="3565">
        <v>0</v>
      </c>
      <c r="O5232" s="3563" t="s">
        <v>3453</v>
      </c>
    </row>
    <row r="5233" spans="1:15">
      <c r="A5233" s="3563" t="s">
        <v>9459</v>
      </c>
      <c r="B5233" s="3563" t="s">
        <v>4196</v>
      </c>
      <c r="C5233" s="3563" t="s">
        <v>4197</v>
      </c>
      <c r="D5233" s="3563" t="s">
        <v>6429</v>
      </c>
      <c r="E5233" s="3563" t="s">
        <v>9359</v>
      </c>
      <c r="F5233" s="3563" t="s">
        <v>4797</v>
      </c>
      <c r="G5233" s="3564">
        <v>100.47</v>
      </c>
      <c r="H5233" s="3564">
        <v>81.739999999999995</v>
      </c>
      <c r="I5233" s="3564">
        <v>18.73</v>
      </c>
      <c r="J5233" s="3565">
        <v>1053386</v>
      </c>
      <c r="K5233" s="3565">
        <v>10484.58</v>
      </c>
      <c r="L5233" s="3565">
        <v>12887.03</v>
      </c>
      <c r="M5233" s="3565">
        <v>0</v>
      </c>
      <c r="N5233" s="3565">
        <v>0</v>
      </c>
      <c r="O5233" s="3563" t="s">
        <v>3453</v>
      </c>
    </row>
    <row r="5234" spans="1:15">
      <c r="A5234" s="3563" t="s">
        <v>9460</v>
      </c>
      <c r="B5234" s="3563" t="s">
        <v>4196</v>
      </c>
      <c r="C5234" s="3563" t="s">
        <v>4197</v>
      </c>
      <c r="D5234" s="3563" t="s">
        <v>6429</v>
      </c>
      <c r="E5234" s="3563" t="s">
        <v>9359</v>
      </c>
      <c r="F5234" s="3563" t="s">
        <v>4797</v>
      </c>
      <c r="G5234" s="3564">
        <v>100.47</v>
      </c>
      <c r="H5234" s="3564">
        <v>81.739999999999995</v>
      </c>
      <c r="I5234" s="3564">
        <v>18.73</v>
      </c>
      <c r="J5234" s="3565">
        <v>1053386</v>
      </c>
      <c r="K5234" s="3565">
        <v>10484.58</v>
      </c>
      <c r="L5234" s="3565">
        <v>12887.03</v>
      </c>
      <c r="M5234" s="3565">
        <v>0</v>
      </c>
      <c r="N5234" s="3565">
        <v>0</v>
      </c>
      <c r="O5234" s="3563" t="s">
        <v>3453</v>
      </c>
    </row>
    <row r="5235" spans="1:15">
      <c r="A5235" s="3563" t="s">
        <v>9461</v>
      </c>
      <c r="B5235" s="3563" t="s">
        <v>4196</v>
      </c>
      <c r="C5235" s="3563" t="s">
        <v>4197</v>
      </c>
      <c r="D5235" s="3563" t="s">
        <v>6429</v>
      </c>
      <c r="E5235" s="3563" t="s">
        <v>9359</v>
      </c>
      <c r="F5235" s="3563" t="s">
        <v>4797</v>
      </c>
      <c r="G5235" s="3564">
        <v>100.81</v>
      </c>
      <c r="H5235" s="3564">
        <v>82.01</v>
      </c>
      <c r="I5235" s="3564">
        <v>18.8</v>
      </c>
      <c r="J5235" s="3565">
        <v>1051588</v>
      </c>
      <c r="K5235" s="3565">
        <v>10431.39</v>
      </c>
      <c r="L5235" s="3565">
        <v>12822.68</v>
      </c>
      <c r="M5235" s="3565">
        <v>0</v>
      </c>
      <c r="N5235" s="3565">
        <v>0</v>
      </c>
      <c r="O5235" s="3563" t="s">
        <v>3453</v>
      </c>
    </row>
    <row r="5236" spans="1:15">
      <c r="A5236" s="3563" t="s">
        <v>9462</v>
      </c>
      <c r="B5236" s="3563" t="s">
        <v>4196</v>
      </c>
      <c r="C5236" s="3563" t="s">
        <v>4197</v>
      </c>
      <c r="D5236" s="3563" t="s">
        <v>6429</v>
      </c>
      <c r="E5236" s="3563" t="s">
        <v>9359</v>
      </c>
      <c r="F5236" s="3563" t="s">
        <v>4797</v>
      </c>
      <c r="G5236" s="3564">
        <v>87.27</v>
      </c>
      <c r="H5236" s="3564">
        <v>71</v>
      </c>
      <c r="I5236" s="3564">
        <v>16.27</v>
      </c>
      <c r="J5236" s="3565">
        <v>928915</v>
      </c>
      <c r="K5236" s="3565">
        <v>10644.15</v>
      </c>
      <c r="L5236" s="3565">
        <v>13083.31</v>
      </c>
      <c r="M5236" s="3565">
        <v>0</v>
      </c>
      <c r="N5236" s="3565">
        <v>0</v>
      </c>
      <c r="O5236" s="3563" t="s">
        <v>3453</v>
      </c>
    </row>
    <row r="5237" spans="1:15">
      <c r="A5237" s="3563" t="s">
        <v>9463</v>
      </c>
      <c r="B5237" s="3563" t="s">
        <v>4196</v>
      </c>
      <c r="C5237" s="3563" t="s">
        <v>4197</v>
      </c>
      <c r="D5237" s="3563" t="s">
        <v>6429</v>
      </c>
      <c r="E5237" s="3563" t="s">
        <v>9359</v>
      </c>
      <c r="F5237" s="3563" t="s">
        <v>4797</v>
      </c>
      <c r="G5237" s="3564">
        <v>87.27</v>
      </c>
      <c r="H5237" s="3564">
        <v>71</v>
      </c>
      <c r="I5237" s="3564">
        <v>16.27</v>
      </c>
      <c r="J5237" s="3565">
        <v>928915</v>
      </c>
      <c r="K5237" s="3565">
        <v>10644.15</v>
      </c>
      <c r="L5237" s="3565">
        <v>13083.31</v>
      </c>
      <c r="M5237" s="3565">
        <v>0</v>
      </c>
      <c r="N5237" s="3565">
        <v>0</v>
      </c>
      <c r="O5237" s="3563" t="s">
        <v>3453</v>
      </c>
    </row>
    <row r="5238" spans="1:15">
      <c r="A5238" s="3563" t="s">
        <v>9464</v>
      </c>
      <c r="B5238" s="3563" t="s">
        <v>4196</v>
      </c>
      <c r="C5238" s="3563" t="s">
        <v>4197</v>
      </c>
      <c r="D5238" s="3563" t="s">
        <v>6429</v>
      </c>
      <c r="E5238" s="3563" t="s">
        <v>9359</v>
      </c>
      <c r="F5238" s="3563" t="s">
        <v>4797</v>
      </c>
      <c r="G5238" s="3564">
        <v>108.71</v>
      </c>
      <c r="H5238" s="3564">
        <v>88.44</v>
      </c>
      <c r="I5238" s="3564">
        <v>20.27</v>
      </c>
      <c r="J5238" s="3565">
        <v>1093519</v>
      </c>
      <c r="K5238" s="3565">
        <v>10059.049999999999</v>
      </c>
      <c r="L5238" s="3565">
        <v>12364.53</v>
      </c>
      <c r="M5238" s="3565">
        <v>0</v>
      </c>
      <c r="N5238" s="3565">
        <v>0</v>
      </c>
      <c r="O5238" s="3563" t="s">
        <v>3453</v>
      </c>
    </row>
    <row r="5239" spans="1:15">
      <c r="A5239" s="3563" t="s">
        <v>9465</v>
      </c>
      <c r="B5239" s="3563" t="s">
        <v>4196</v>
      </c>
      <c r="C5239" s="3563" t="s">
        <v>4197</v>
      </c>
      <c r="D5239" s="3563" t="s">
        <v>6429</v>
      </c>
      <c r="E5239" s="3563" t="s">
        <v>9359</v>
      </c>
      <c r="F5239" s="3563" t="s">
        <v>4797</v>
      </c>
      <c r="G5239" s="3564">
        <v>100.47</v>
      </c>
      <c r="H5239" s="3564">
        <v>81.739999999999995</v>
      </c>
      <c r="I5239" s="3564">
        <v>18.73</v>
      </c>
      <c r="J5239" s="3565">
        <v>1020252</v>
      </c>
      <c r="K5239" s="3565">
        <v>10154.790000000001</v>
      </c>
      <c r="L5239" s="3565">
        <v>12481.67</v>
      </c>
      <c r="M5239" s="3565">
        <v>0</v>
      </c>
      <c r="N5239" s="3565">
        <v>0</v>
      </c>
      <c r="O5239" s="3563" t="s">
        <v>3453</v>
      </c>
    </row>
    <row r="5240" spans="1:15">
      <c r="A5240" s="3563" t="s">
        <v>9466</v>
      </c>
      <c r="B5240" s="3563" t="s">
        <v>4196</v>
      </c>
      <c r="C5240" s="3563" t="s">
        <v>4197</v>
      </c>
      <c r="D5240" s="3563" t="s">
        <v>6429</v>
      </c>
      <c r="E5240" s="3563" t="s">
        <v>9359</v>
      </c>
      <c r="F5240" s="3563" t="s">
        <v>4797</v>
      </c>
      <c r="G5240" s="3564">
        <v>100.47</v>
      </c>
      <c r="H5240" s="3564">
        <v>81.739999999999995</v>
      </c>
      <c r="I5240" s="3564">
        <v>18.73</v>
      </c>
      <c r="J5240" s="3565">
        <v>1020252</v>
      </c>
      <c r="K5240" s="3565">
        <v>10154.790000000001</v>
      </c>
      <c r="L5240" s="3565">
        <v>12481.67</v>
      </c>
      <c r="M5240" s="3565">
        <v>0</v>
      </c>
      <c r="N5240" s="3565">
        <v>0</v>
      </c>
      <c r="O5240" s="3563" t="s">
        <v>3453</v>
      </c>
    </row>
    <row r="5241" spans="1:15">
      <c r="A5241" s="3563" t="s">
        <v>9467</v>
      </c>
      <c r="B5241" s="3563" t="s">
        <v>4196</v>
      </c>
      <c r="C5241" s="3563" t="s">
        <v>4197</v>
      </c>
      <c r="D5241" s="3563" t="s">
        <v>6429</v>
      </c>
      <c r="E5241" s="3563" t="s">
        <v>9359</v>
      </c>
      <c r="F5241" s="3563" t="s">
        <v>4797</v>
      </c>
      <c r="G5241" s="3564">
        <v>100.81</v>
      </c>
      <c r="H5241" s="3564">
        <v>82.01</v>
      </c>
      <c r="I5241" s="3564">
        <v>18.8</v>
      </c>
      <c r="J5241" s="3565">
        <v>1018342</v>
      </c>
      <c r="K5241" s="3565">
        <v>10101.6</v>
      </c>
      <c r="L5241" s="3565">
        <v>12417.29</v>
      </c>
      <c r="M5241" s="3565">
        <v>0</v>
      </c>
      <c r="N5241" s="3565">
        <v>0</v>
      </c>
      <c r="O5241" s="3563" t="s">
        <v>3453</v>
      </c>
    </row>
    <row r="5242" spans="1:15">
      <c r="A5242" s="3563" t="s">
        <v>9468</v>
      </c>
      <c r="B5242" s="3563" t="s">
        <v>4196</v>
      </c>
      <c r="C5242" s="3563" t="s">
        <v>4197</v>
      </c>
      <c r="D5242" s="3563" t="s">
        <v>6429</v>
      </c>
      <c r="E5242" s="3563" t="s">
        <v>9359</v>
      </c>
      <c r="F5242" s="3563" t="s">
        <v>4797</v>
      </c>
      <c r="G5242" s="3564">
        <v>87.27</v>
      </c>
      <c r="H5242" s="3564">
        <v>71</v>
      </c>
      <c r="I5242" s="3564">
        <v>16.27</v>
      </c>
      <c r="J5242" s="3565">
        <v>900135</v>
      </c>
      <c r="K5242" s="3565">
        <v>10314.370000000001</v>
      </c>
      <c r="L5242" s="3565">
        <v>12677.96</v>
      </c>
      <c r="M5242" s="3565">
        <v>0</v>
      </c>
      <c r="N5242" s="3565">
        <v>0</v>
      </c>
      <c r="O5242" s="3563" t="s">
        <v>3453</v>
      </c>
    </row>
    <row r="5243" spans="1:15">
      <c r="A5243" s="3563" t="s">
        <v>9469</v>
      </c>
      <c r="B5243" s="3563" t="s">
        <v>4196</v>
      </c>
      <c r="C5243" s="3563" t="s">
        <v>4197</v>
      </c>
      <c r="D5243" s="3563" t="s">
        <v>6429</v>
      </c>
      <c r="E5243" s="3563" t="s">
        <v>9359</v>
      </c>
      <c r="F5243" s="3563" t="s">
        <v>4797</v>
      </c>
      <c r="G5243" s="3564">
        <v>87.27</v>
      </c>
      <c r="H5243" s="3564">
        <v>71</v>
      </c>
      <c r="I5243" s="3564">
        <v>16.27</v>
      </c>
      <c r="J5243" s="3565">
        <v>900135</v>
      </c>
      <c r="K5243" s="3565">
        <v>10314.370000000001</v>
      </c>
      <c r="L5243" s="3565">
        <v>12677.96</v>
      </c>
      <c r="M5243" s="3565">
        <v>0</v>
      </c>
      <c r="N5243" s="3565">
        <v>0</v>
      </c>
      <c r="O5243" s="3563" t="s">
        <v>3453</v>
      </c>
    </row>
    <row r="5244" spans="1:15">
      <c r="A5244" s="3563" t="s">
        <v>9470</v>
      </c>
      <c r="B5244" s="3563" t="s">
        <v>4196</v>
      </c>
      <c r="C5244" s="3563" t="s">
        <v>4197</v>
      </c>
      <c r="D5244" s="3563" t="s">
        <v>6429</v>
      </c>
      <c r="E5244" s="3563" t="s">
        <v>9359</v>
      </c>
      <c r="F5244" s="3563" t="s">
        <v>4797</v>
      </c>
      <c r="G5244" s="3564">
        <v>108.71</v>
      </c>
      <c r="H5244" s="3564">
        <v>88.44</v>
      </c>
      <c r="I5244" s="3564">
        <v>20.27</v>
      </c>
      <c r="J5244" s="3565">
        <v>1080797</v>
      </c>
      <c r="K5244" s="3565">
        <v>9942.02</v>
      </c>
      <c r="L5244" s="3565">
        <v>12220.68</v>
      </c>
      <c r="M5244" s="3565">
        <v>0</v>
      </c>
      <c r="N5244" s="3565">
        <v>0</v>
      </c>
      <c r="O5244" s="3563" t="s">
        <v>3453</v>
      </c>
    </row>
    <row r="5245" spans="1:15">
      <c r="A5245" s="3563" t="s">
        <v>9471</v>
      </c>
      <c r="B5245" s="3563" t="s">
        <v>4196</v>
      </c>
      <c r="C5245" s="3563" t="s">
        <v>4197</v>
      </c>
      <c r="D5245" s="3563" t="s">
        <v>6429</v>
      </c>
      <c r="E5245" s="3563" t="s">
        <v>9359</v>
      </c>
      <c r="F5245" s="3563" t="s">
        <v>4797</v>
      </c>
      <c r="G5245" s="3564">
        <v>100.47</v>
      </c>
      <c r="H5245" s="3564">
        <v>81.739999999999995</v>
      </c>
      <c r="I5245" s="3564">
        <v>18.73</v>
      </c>
      <c r="J5245" s="3565">
        <v>1006357</v>
      </c>
      <c r="K5245" s="3565">
        <v>10016.49</v>
      </c>
      <c r="L5245" s="3565">
        <v>12311.68</v>
      </c>
      <c r="M5245" s="3565">
        <v>0</v>
      </c>
      <c r="N5245" s="3565">
        <v>0</v>
      </c>
      <c r="O5245" s="3563" t="s">
        <v>3453</v>
      </c>
    </row>
    <row r="5246" spans="1:15">
      <c r="A5246" s="3563" t="s">
        <v>9472</v>
      </c>
      <c r="B5246" s="3563" t="s">
        <v>4196</v>
      </c>
      <c r="C5246" s="3563" t="s">
        <v>4197</v>
      </c>
      <c r="D5246" s="3563" t="s">
        <v>6429</v>
      </c>
      <c r="E5246" s="3563" t="s">
        <v>9359</v>
      </c>
      <c r="F5246" s="3563" t="s">
        <v>4797</v>
      </c>
      <c r="G5246" s="3564">
        <v>100.47</v>
      </c>
      <c r="H5246" s="3564">
        <v>81.739999999999995</v>
      </c>
      <c r="I5246" s="3564">
        <v>18.73</v>
      </c>
      <c r="J5246" s="3565">
        <v>1006357</v>
      </c>
      <c r="K5246" s="3565">
        <v>10016.49</v>
      </c>
      <c r="L5246" s="3565">
        <v>12311.68</v>
      </c>
      <c r="M5246" s="3565">
        <v>0</v>
      </c>
      <c r="N5246" s="3565">
        <v>0</v>
      </c>
      <c r="O5246" s="3563" t="s">
        <v>3453</v>
      </c>
    </row>
    <row r="5247" spans="1:15">
      <c r="A5247" s="3563" t="s">
        <v>9473</v>
      </c>
      <c r="B5247" s="3563" t="s">
        <v>4196</v>
      </c>
      <c r="C5247" s="3563" t="s">
        <v>4197</v>
      </c>
      <c r="D5247" s="3563" t="s">
        <v>6429</v>
      </c>
      <c r="E5247" s="3563" t="s">
        <v>9359</v>
      </c>
      <c r="F5247" s="3563" t="s">
        <v>4797</v>
      </c>
      <c r="G5247" s="3564">
        <v>100.81</v>
      </c>
      <c r="H5247" s="3564">
        <v>82.01</v>
      </c>
      <c r="I5247" s="3564">
        <v>18.8</v>
      </c>
      <c r="J5247" s="3565">
        <v>1004400</v>
      </c>
      <c r="K5247" s="3565">
        <v>9963.2999999999993</v>
      </c>
      <c r="L5247" s="3565">
        <v>12247.29</v>
      </c>
      <c r="M5247" s="3565">
        <v>0</v>
      </c>
      <c r="N5247" s="3565">
        <v>0</v>
      </c>
      <c r="O5247" s="3563" t="s">
        <v>3453</v>
      </c>
    </row>
    <row r="5248" spans="1:15">
      <c r="A5248" s="3563" t="s">
        <v>9474</v>
      </c>
      <c r="B5248" s="3563" t="s">
        <v>4196</v>
      </c>
      <c r="C5248" s="3563" t="s">
        <v>4197</v>
      </c>
      <c r="D5248" s="3563" t="s">
        <v>6429</v>
      </c>
      <c r="E5248" s="3563" t="s">
        <v>9359</v>
      </c>
      <c r="F5248" s="3563" t="s">
        <v>4797</v>
      </c>
      <c r="G5248" s="3564">
        <v>87.27</v>
      </c>
      <c r="H5248" s="3564">
        <v>71</v>
      </c>
      <c r="I5248" s="3564">
        <v>16.27</v>
      </c>
      <c r="J5248" s="3565">
        <v>888065</v>
      </c>
      <c r="K5248" s="3565">
        <v>10176.06</v>
      </c>
      <c r="L5248" s="3565">
        <v>12507.96</v>
      </c>
      <c r="M5248" s="3565">
        <v>0</v>
      </c>
      <c r="N5248" s="3565">
        <v>0</v>
      </c>
      <c r="O5248" s="3563" t="s">
        <v>3453</v>
      </c>
    </row>
    <row r="5249" spans="1:15">
      <c r="A5249" s="3563" t="s">
        <v>9475</v>
      </c>
      <c r="B5249" s="3563" t="s">
        <v>4196</v>
      </c>
      <c r="C5249" s="3563" t="s">
        <v>4197</v>
      </c>
      <c r="D5249" s="3563" t="s">
        <v>6429</v>
      </c>
      <c r="E5249" s="3563" t="s">
        <v>9359</v>
      </c>
      <c r="F5249" s="3563" t="s">
        <v>4797</v>
      </c>
      <c r="G5249" s="3564">
        <v>87.27</v>
      </c>
      <c r="H5249" s="3564">
        <v>71</v>
      </c>
      <c r="I5249" s="3564">
        <v>16.27</v>
      </c>
      <c r="J5249" s="3565">
        <v>888065</v>
      </c>
      <c r="K5249" s="3565">
        <v>10176.06</v>
      </c>
      <c r="L5249" s="3565">
        <v>12507.96</v>
      </c>
      <c r="M5249" s="3565">
        <v>0</v>
      </c>
      <c r="N5249" s="3565">
        <v>0</v>
      </c>
      <c r="O5249" s="3563" t="s">
        <v>3453</v>
      </c>
    </row>
    <row r="5250" spans="1:15">
      <c r="A5250" s="3563" t="s">
        <v>9476</v>
      </c>
      <c r="B5250" s="3563" t="s">
        <v>4196</v>
      </c>
      <c r="C5250" s="3563" t="s">
        <v>4197</v>
      </c>
      <c r="D5250" s="3563" t="s">
        <v>6429</v>
      </c>
      <c r="E5250" s="3563" t="s">
        <v>9359</v>
      </c>
      <c r="F5250" s="3563" t="s">
        <v>4797</v>
      </c>
      <c r="G5250" s="3564">
        <v>108.71</v>
      </c>
      <c r="H5250" s="3564">
        <v>88.44</v>
      </c>
      <c r="I5250" s="3564">
        <v>20.27</v>
      </c>
      <c r="J5250" s="3565">
        <v>1065763</v>
      </c>
      <c r="K5250" s="3565">
        <v>9803.73</v>
      </c>
      <c r="L5250" s="3565">
        <v>12050.69</v>
      </c>
      <c r="M5250" s="3565">
        <v>0</v>
      </c>
      <c r="N5250" s="3565">
        <v>0</v>
      </c>
      <c r="O5250" s="3563" t="s">
        <v>3453</v>
      </c>
    </row>
    <row r="5251" spans="1:15">
      <c r="A5251" s="3563" t="s">
        <v>9477</v>
      </c>
      <c r="B5251" s="3563" t="s">
        <v>4196</v>
      </c>
      <c r="C5251" s="3563" t="s">
        <v>4197</v>
      </c>
      <c r="D5251" s="3563" t="s">
        <v>6429</v>
      </c>
      <c r="E5251" s="3563" t="s">
        <v>9359</v>
      </c>
      <c r="F5251" s="3563" t="s">
        <v>4797</v>
      </c>
      <c r="G5251" s="3564">
        <v>100.47</v>
      </c>
      <c r="H5251" s="3564">
        <v>81.739999999999995</v>
      </c>
      <c r="I5251" s="3564">
        <v>18.73</v>
      </c>
      <c r="J5251" s="3565">
        <v>1019183</v>
      </c>
      <c r="K5251" s="3565">
        <v>10144.15</v>
      </c>
      <c r="L5251" s="3565">
        <v>12468.6</v>
      </c>
      <c r="M5251" s="3565">
        <v>0</v>
      </c>
      <c r="N5251" s="3565">
        <v>0</v>
      </c>
      <c r="O5251" s="3563" t="s">
        <v>3453</v>
      </c>
    </row>
    <row r="5252" spans="1:15">
      <c r="A5252" s="3563" t="s">
        <v>9478</v>
      </c>
      <c r="B5252" s="3563" t="s">
        <v>4196</v>
      </c>
      <c r="C5252" s="3563" t="s">
        <v>4197</v>
      </c>
      <c r="D5252" s="3563" t="s">
        <v>6429</v>
      </c>
      <c r="E5252" s="3563" t="s">
        <v>9359</v>
      </c>
      <c r="F5252" s="3563" t="s">
        <v>4797</v>
      </c>
      <c r="G5252" s="3564">
        <v>100.47</v>
      </c>
      <c r="H5252" s="3564">
        <v>81.739999999999995</v>
      </c>
      <c r="I5252" s="3564">
        <v>18.73</v>
      </c>
      <c r="J5252" s="3565">
        <v>1019183</v>
      </c>
      <c r="K5252" s="3565">
        <v>10144.15</v>
      </c>
      <c r="L5252" s="3565">
        <v>12468.6</v>
      </c>
      <c r="M5252" s="3565">
        <v>0</v>
      </c>
      <c r="N5252" s="3565">
        <v>0</v>
      </c>
      <c r="O5252" s="3563" t="s">
        <v>3453</v>
      </c>
    </row>
    <row r="5253" spans="1:15">
      <c r="A5253" s="3563" t="s">
        <v>9479</v>
      </c>
      <c r="B5253" s="3563" t="s">
        <v>4196</v>
      </c>
      <c r="C5253" s="3563" t="s">
        <v>4197</v>
      </c>
      <c r="D5253" s="3563" t="s">
        <v>6429</v>
      </c>
      <c r="E5253" s="3563" t="s">
        <v>9359</v>
      </c>
      <c r="F5253" s="3563" t="s">
        <v>4797</v>
      </c>
      <c r="G5253" s="3564">
        <v>100.81</v>
      </c>
      <c r="H5253" s="3564">
        <v>82.01</v>
      </c>
      <c r="I5253" s="3564">
        <v>18.8</v>
      </c>
      <c r="J5253" s="3565">
        <v>1017270</v>
      </c>
      <c r="K5253" s="3565">
        <v>10090.959999999999</v>
      </c>
      <c r="L5253" s="3565">
        <v>12404.22</v>
      </c>
      <c r="M5253" s="3565">
        <v>0</v>
      </c>
      <c r="N5253" s="3565">
        <v>0</v>
      </c>
      <c r="O5253" s="3563" t="s">
        <v>3453</v>
      </c>
    </row>
    <row r="5254" spans="1:15">
      <c r="A5254" s="3563" t="s">
        <v>9480</v>
      </c>
      <c r="B5254" s="3563" t="s">
        <v>4196</v>
      </c>
      <c r="C5254" s="3563" t="s">
        <v>4197</v>
      </c>
      <c r="D5254" s="3563" t="s">
        <v>6429</v>
      </c>
      <c r="E5254" s="3563" t="s">
        <v>9359</v>
      </c>
      <c r="F5254" s="3563" t="s">
        <v>4797</v>
      </c>
      <c r="G5254" s="3564">
        <v>87.27</v>
      </c>
      <c r="H5254" s="3564">
        <v>71</v>
      </c>
      <c r="I5254" s="3564">
        <v>16.27</v>
      </c>
      <c r="J5254" s="3565">
        <v>899207</v>
      </c>
      <c r="K5254" s="3565">
        <v>10303.74</v>
      </c>
      <c r="L5254" s="3565">
        <v>12664.89</v>
      </c>
      <c r="M5254" s="3565">
        <v>0</v>
      </c>
      <c r="N5254" s="3565">
        <v>0</v>
      </c>
      <c r="O5254" s="3563" t="s">
        <v>3453</v>
      </c>
    </row>
    <row r="5255" spans="1:15">
      <c r="A5255" s="3563" t="s">
        <v>9481</v>
      </c>
      <c r="B5255" s="3563" t="s">
        <v>4196</v>
      </c>
      <c r="C5255" s="3563" t="s">
        <v>4197</v>
      </c>
      <c r="D5255" s="3563" t="s">
        <v>6429</v>
      </c>
      <c r="E5255" s="3563" t="s">
        <v>9359</v>
      </c>
      <c r="F5255" s="3563" t="s">
        <v>4797</v>
      </c>
      <c r="G5255" s="3564">
        <v>87.27</v>
      </c>
      <c r="H5255" s="3564">
        <v>71</v>
      </c>
      <c r="I5255" s="3564">
        <v>16.27</v>
      </c>
      <c r="J5255" s="3565">
        <v>899207</v>
      </c>
      <c r="K5255" s="3565">
        <v>10303.74</v>
      </c>
      <c r="L5255" s="3565">
        <v>12664.89</v>
      </c>
      <c r="M5255" s="3565">
        <v>0</v>
      </c>
      <c r="N5255" s="3565">
        <v>0</v>
      </c>
      <c r="O5255" s="3563" t="s">
        <v>3453</v>
      </c>
    </row>
    <row r="5256" spans="1:15">
      <c r="A5256" s="3563" t="s">
        <v>9482</v>
      </c>
      <c r="B5256" s="3563" t="s">
        <v>4196</v>
      </c>
      <c r="C5256" s="3563" t="s">
        <v>4197</v>
      </c>
      <c r="D5256" s="3563" t="s">
        <v>6429</v>
      </c>
      <c r="E5256" s="3563" t="s">
        <v>9359</v>
      </c>
      <c r="F5256" s="3563" t="s">
        <v>4797</v>
      </c>
      <c r="G5256" s="3564">
        <v>108.71</v>
      </c>
      <c r="H5256" s="3564">
        <v>88.44</v>
      </c>
      <c r="I5256" s="3564">
        <v>20.27</v>
      </c>
      <c r="J5256" s="3565">
        <v>1079641</v>
      </c>
      <c r="K5256" s="3565">
        <v>9931.39</v>
      </c>
      <c r="L5256" s="3565">
        <v>12207.61</v>
      </c>
      <c r="M5256" s="3565">
        <v>0</v>
      </c>
      <c r="N5256" s="3565">
        <v>0</v>
      </c>
      <c r="O5256" s="3563" t="s">
        <v>3453</v>
      </c>
    </row>
    <row r="5257" spans="1:15">
      <c r="A5257" s="3563" t="s">
        <v>9483</v>
      </c>
      <c r="B5257" s="3563" t="s">
        <v>4196</v>
      </c>
      <c r="C5257" s="3563" t="s">
        <v>4197</v>
      </c>
      <c r="D5257" s="3563" t="s">
        <v>6429</v>
      </c>
      <c r="E5257" s="3563" t="s">
        <v>9359</v>
      </c>
      <c r="F5257" s="3563" t="s">
        <v>4797</v>
      </c>
      <c r="G5257" s="3564">
        <v>100.47</v>
      </c>
      <c r="H5257" s="3564">
        <v>81.739999999999995</v>
      </c>
      <c r="I5257" s="3564">
        <v>18.73</v>
      </c>
      <c r="J5257" s="3565">
        <v>1032009</v>
      </c>
      <c r="K5257" s="3565">
        <v>10271.81</v>
      </c>
      <c r="L5257" s="3565">
        <v>12625.51</v>
      </c>
      <c r="M5257" s="3565">
        <v>0</v>
      </c>
      <c r="N5257" s="3565">
        <v>0</v>
      </c>
      <c r="O5257" s="3563" t="s">
        <v>3453</v>
      </c>
    </row>
    <row r="5258" spans="1:15">
      <c r="A5258" s="3563" t="s">
        <v>9484</v>
      </c>
      <c r="B5258" s="3563" t="s">
        <v>4196</v>
      </c>
      <c r="C5258" s="3563" t="s">
        <v>4197</v>
      </c>
      <c r="D5258" s="3563" t="s">
        <v>6429</v>
      </c>
      <c r="E5258" s="3563" t="s">
        <v>9359</v>
      </c>
      <c r="F5258" s="3563" t="s">
        <v>4797</v>
      </c>
      <c r="G5258" s="3564">
        <v>100.47</v>
      </c>
      <c r="H5258" s="3564">
        <v>81.739999999999995</v>
      </c>
      <c r="I5258" s="3564">
        <v>18.73</v>
      </c>
      <c r="J5258" s="3565">
        <v>1032009</v>
      </c>
      <c r="K5258" s="3565">
        <v>10271.81</v>
      </c>
      <c r="L5258" s="3565">
        <v>12625.51</v>
      </c>
      <c r="M5258" s="3565">
        <v>0</v>
      </c>
      <c r="N5258" s="3565">
        <v>0</v>
      </c>
      <c r="O5258" s="3563" t="s">
        <v>3453</v>
      </c>
    </row>
    <row r="5259" spans="1:15">
      <c r="A5259" s="3563" t="s">
        <v>9485</v>
      </c>
      <c r="B5259" s="3563" t="s">
        <v>4196</v>
      </c>
      <c r="C5259" s="3563" t="s">
        <v>4197</v>
      </c>
      <c r="D5259" s="3563" t="s">
        <v>6429</v>
      </c>
      <c r="E5259" s="3563" t="s">
        <v>9359</v>
      </c>
      <c r="F5259" s="3563" t="s">
        <v>4797</v>
      </c>
      <c r="G5259" s="3564">
        <v>100.81</v>
      </c>
      <c r="H5259" s="3564">
        <v>82.01</v>
      </c>
      <c r="I5259" s="3564">
        <v>18.8</v>
      </c>
      <c r="J5259" s="3565">
        <v>1030139</v>
      </c>
      <c r="K5259" s="3565">
        <v>10218.620000000001</v>
      </c>
      <c r="L5259" s="3565">
        <v>12561.14</v>
      </c>
      <c r="M5259" s="3565">
        <v>0</v>
      </c>
      <c r="N5259" s="3565">
        <v>0</v>
      </c>
      <c r="O5259" s="3563" t="s">
        <v>3453</v>
      </c>
    </row>
    <row r="5260" spans="1:15">
      <c r="A5260" s="3563" t="s">
        <v>9486</v>
      </c>
      <c r="B5260" s="3563" t="s">
        <v>4196</v>
      </c>
      <c r="C5260" s="3563" t="s">
        <v>4197</v>
      </c>
      <c r="D5260" s="3563" t="s">
        <v>6429</v>
      </c>
      <c r="E5260" s="3563" t="s">
        <v>9359</v>
      </c>
      <c r="F5260" s="3563" t="s">
        <v>4797</v>
      </c>
      <c r="G5260" s="3564">
        <v>87.27</v>
      </c>
      <c r="H5260" s="3564">
        <v>71</v>
      </c>
      <c r="I5260" s="3564">
        <v>16.27</v>
      </c>
      <c r="J5260" s="3565">
        <v>910347</v>
      </c>
      <c r="K5260" s="3565">
        <v>10431.39</v>
      </c>
      <c r="L5260" s="3565">
        <v>12821.79</v>
      </c>
      <c r="M5260" s="3565">
        <v>0</v>
      </c>
      <c r="N5260" s="3565">
        <v>0</v>
      </c>
      <c r="O5260" s="3563" t="s">
        <v>3453</v>
      </c>
    </row>
    <row r="5261" spans="1:15">
      <c r="A5261" s="3563" t="s">
        <v>9487</v>
      </c>
      <c r="B5261" s="3563" t="s">
        <v>4196</v>
      </c>
      <c r="C5261" s="3563" t="s">
        <v>4197</v>
      </c>
      <c r="D5261" s="3563" t="s">
        <v>6429</v>
      </c>
      <c r="E5261" s="3563" t="s">
        <v>9359</v>
      </c>
      <c r="F5261" s="3563" t="s">
        <v>4797</v>
      </c>
      <c r="G5261" s="3564">
        <v>87.27</v>
      </c>
      <c r="H5261" s="3564">
        <v>71</v>
      </c>
      <c r="I5261" s="3564">
        <v>16.27</v>
      </c>
      <c r="J5261" s="3565">
        <v>910347</v>
      </c>
      <c r="K5261" s="3565">
        <v>10431.39</v>
      </c>
      <c r="L5261" s="3565">
        <v>12821.79</v>
      </c>
      <c r="M5261" s="3565">
        <v>0</v>
      </c>
      <c r="N5261" s="3565">
        <v>0</v>
      </c>
      <c r="O5261" s="3563" t="s">
        <v>3453</v>
      </c>
    </row>
    <row r="5262" spans="1:15">
      <c r="A5262" s="3563" t="s">
        <v>9488</v>
      </c>
      <c r="B5262" s="3563" t="s">
        <v>4196</v>
      </c>
      <c r="C5262" s="3563" t="s">
        <v>4197</v>
      </c>
      <c r="D5262" s="3563" t="s">
        <v>6429</v>
      </c>
      <c r="E5262" s="3563" t="s">
        <v>9359</v>
      </c>
      <c r="F5262" s="3563" t="s">
        <v>4797</v>
      </c>
      <c r="G5262" s="3564">
        <v>108.71</v>
      </c>
      <c r="H5262" s="3564">
        <v>88.44</v>
      </c>
      <c r="I5262" s="3564">
        <v>20.27</v>
      </c>
      <c r="J5262" s="3565">
        <v>1093519</v>
      </c>
      <c r="K5262" s="3565">
        <v>10059.049999999999</v>
      </c>
      <c r="L5262" s="3565">
        <v>12364.53</v>
      </c>
      <c r="M5262" s="3565">
        <v>0</v>
      </c>
      <c r="N5262" s="3565">
        <v>0</v>
      </c>
      <c r="O5262" s="3563" t="s">
        <v>3453</v>
      </c>
    </row>
    <row r="5263" spans="1:15">
      <c r="A5263" s="3563" t="s">
        <v>9489</v>
      </c>
      <c r="B5263" s="3563" t="s">
        <v>4196</v>
      </c>
      <c r="C5263" s="3563" t="s">
        <v>4197</v>
      </c>
      <c r="D5263" s="3563" t="s">
        <v>6429</v>
      </c>
      <c r="E5263" s="3563" t="s">
        <v>9359</v>
      </c>
      <c r="F5263" s="3563" t="s">
        <v>4797</v>
      </c>
      <c r="G5263" s="3564">
        <v>100.47</v>
      </c>
      <c r="H5263" s="3564">
        <v>81.739999999999995</v>
      </c>
      <c r="I5263" s="3564">
        <v>18.73</v>
      </c>
      <c r="J5263" s="3565">
        <v>1033078</v>
      </c>
      <c r="K5263" s="3565">
        <v>10282.450000000001</v>
      </c>
      <c r="L5263" s="3565">
        <v>12638.59</v>
      </c>
      <c r="M5263" s="3565">
        <v>0</v>
      </c>
      <c r="N5263" s="3565">
        <v>0</v>
      </c>
      <c r="O5263" s="3563" t="s">
        <v>3453</v>
      </c>
    </row>
    <row r="5264" spans="1:15">
      <c r="A5264" s="3563" t="s">
        <v>9490</v>
      </c>
      <c r="B5264" s="3563" t="s">
        <v>4196</v>
      </c>
      <c r="C5264" s="3563" t="s">
        <v>4197</v>
      </c>
      <c r="D5264" s="3563" t="s">
        <v>6429</v>
      </c>
      <c r="E5264" s="3563" t="s">
        <v>9359</v>
      </c>
      <c r="F5264" s="3563" t="s">
        <v>4797</v>
      </c>
      <c r="G5264" s="3564">
        <v>100.47</v>
      </c>
      <c r="H5264" s="3564">
        <v>81.739999999999995</v>
      </c>
      <c r="I5264" s="3564">
        <v>18.73</v>
      </c>
      <c r="J5264" s="3565">
        <v>1033078</v>
      </c>
      <c r="K5264" s="3565">
        <v>10282.450000000001</v>
      </c>
      <c r="L5264" s="3565">
        <v>12638.59</v>
      </c>
      <c r="M5264" s="3565">
        <v>0</v>
      </c>
      <c r="N5264" s="3565">
        <v>0</v>
      </c>
      <c r="O5264" s="3563" t="s">
        <v>3453</v>
      </c>
    </row>
    <row r="5265" spans="1:15">
      <c r="A5265" s="3563" t="s">
        <v>9491</v>
      </c>
      <c r="B5265" s="3563" t="s">
        <v>4196</v>
      </c>
      <c r="C5265" s="3563" t="s">
        <v>4197</v>
      </c>
      <c r="D5265" s="3563" t="s">
        <v>6429</v>
      </c>
      <c r="E5265" s="3563" t="s">
        <v>9359</v>
      </c>
      <c r="F5265" s="3563" t="s">
        <v>4797</v>
      </c>
      <c r="G5265" s="3564">
        <v>100.81</v>
      </c>
      <c r="H5265" s="3564">
        <v>82.01</v>
      </c>
      <c r="I5265" s="3564">
        <v>18.8</v>
      </c>
      <c r="J5265" s="3565">
        <v>1031212</v>
      </c>
      <c r="K5265" s="3565">
        <v>10229.26</v>
      </c>
      <c r="L5265" s="3565">
        <v>12574.22</v>
      </c>
      <c r="M5265" s="3565">
        <v>0</v>
      </c>
      <c r="N5265" s="3565">
        <v>0</v>
      </c>
      <c r="O5265" s="3563" t="s">
        <v>3453</v>
      </c>
    </row>
    <row r="5266" spans="1:15">
      <c r="A5266" s="3563" t="s">
        <v>9492</v>
      </c>
      <c r="B5266" s="3563" t="s">
        <v>4196</v>
      </c>
      <c r="C5266" s="3563" t="s">
        <v>4197</v>
      </c>
      <c r="D5266" s="3563" t="s">
        <v>6429</v>
      </c>
      <c r="E5266" s="3563" t="s">
        <v>9359</v>
      </c>
      <c r="F5266" s="3563" t="s">
        <v>4797</v>
      </c>
      <c r="G5266" s="3564">
        <v>87.27</v>
      </c>
      <c r="H5266" s="3564">
        <v>71</v>
      </c>
      <c r="I5266" s="3564">
        <v>16.27</v>
      </c>
      <c r="J5266" s="3565">
        <v>911276</v>
      </c>
      <c r="K5266" s="3565">
        <v>10442.030000000001</v>
      </c>
      <c r="L5266" s="3565">
        <v>12834.87</v>
      </c>
      <c r="M5266" s="3565">
        <v>0</v>
      </c>
      <c r="N5266" s="3565">
        <v>0</v>
      </c>
      <c r="O5266" s="3563" t="s">
        <v>3453</v>
      </c>
    </row>
    <row r="5267" spans="1:15">
      <c r="A5267" s="3563" t="s">
        <v>9493</v>
      </c>
      <c r="B5267" s="3563" t="s">
        <v>4196</v>
      </c>
      <c r="C5267" s="3563" t="s">
        <v>4197</v>
      </c>
      <c r="D5267" s="3563" t="s">
        <v>6429</v>
      </c>
      <c r="E5267" s="3563" t="s">
        <v>9359</v>
      </c>
      <c r="F5267" s="3563" t="s">
        <v>4797</v>
      </c>
      <c r="G5267" s="3564">
        <v>87.27</v>
      </c>
      <c r="H5267" s="3564">
        <v>71</v>
      </c>
      <c r="I5267" s="3564">
        <v>16.27</v>
      </c>
      <c r="J5267" s="3565">
        <v>911276</v>
      </c>
      <c r="K5267" s="3565">
        <v>10442.030000000001</v>
      </c>
      <c r="L5267" s="3565">
        <v>12834.87</v>
      </c>
      <c r="M5267" s="3565">
        <v>0</v>
      </c>
      <c r="N5267" s="3565">
        <v>0</v>
      </c>
      <c r="O5267" s="3563" t="s">
        <v>3453</v>
      </c>
    </row>
    <row r="5268" spans="1:15">
      <c r="A5268" s="3563" t="s">
        <v>9494</v>
      </c>
      <c r="B5268" s="3563" t="s">
        <v>4196</v>
      </c>
      <c r="C5268" s="3563" t="s">
        <v>4197</v>
      </c>
      <c r="D5268" s="3563" t="s">
        <v>6429</v>
      </c>
      <c r="E5268" s="3563" t="s">
        <v>9359</v>
      </c>
      <c r="F5268" s="3563" t="s">
        <v>4797</v>
      </c>
      <c r="G5268" s="3564">
        <v>108.71</v>
      </c>
      <c r="H5268" s="3564">
        <v>88.44</v>
      </c>
      <c r="I5268" s="3564">
        <v>20.27</v>
      </c>
      <c r="J5268" s="3565">
        <v>1094676</v>
      </c>
      <c r="K5268" s="3565">
        <v>10069.69</v>
      </c>
      <c r="L5268" s="3565">
        <v>12377.61</v>
      </c>
      <c r="M5268" s="3565">
        <v>0</v>
      </c>
      <c r="N5268" s="3565">
        <v>0</v>
      </c>
      <c r="O5268" s="3563" t="s">
        <v>3453</v>
      </c>
    </row>
    <row r="5269" spans="1:15">
      <c r="A5269" s="3563" t="s">
        <v>9495</v>
      </c>
      <c r="B5269" s="3563" t="s">
        <v>4196</v>
      </c>
      <c r="C5269" s="3563" t="s">
        <v>4197</v>
      </c>
      <c r="D5269" s="3563" t="s">
        <v>6429</v>
      </c>
      <c r="E5269" s="3563" t="s">
        <v>9359</v>
      </c>
      <c r="F5269" s="3563" t="s">
        <v>4797</v>
      </c>
      <c r="G5269" s="3564">
        <v>100.47</v>
      </c>
      <c r="H5269" s="3564">
        <v>81.739999999999995</v>
      </c>
      <c r="I5269" s="3564">
        <v>18.73</v>
      </c>
      <c r="J5269" s="3565">
        <v>1034146</v>
      </c>
      <c r="K5269" s="3565">
        <v>10293.08</v>
      </c>
      <c r="L5269" s="3565">
        <v>12651.65</v>
      </c>
      <c r="M5269" s="3565">
        <v>0</v>
      </c>
      <c r="N5269" s="3565">
        <v>0</v>
      </c>
      <c r="O5269" s="3563" t="s">
        <v>3453</v>
      </c>
    </row>
    <row r="5270" spans="1:15">
      <c r="A5270" s="3563" t="s">
        <v>9496</v>
      </c>
      <c r="B5270" s="3563" t="s">
        <v>4196</v>
      </c>
      <c r="C5270" s="3563" t="s">
        <v>4197</v>
      </c>
      <c r="D5270" s="3563" t="s">
        <v>6429</v>
      </c>
      <c r="E5270" s="3563" t="s">
        <v>9359</v>
      </c>
      <c r="F5270" s="3563" t="s">
        <v>4797</v>
      </c>
      <c r="G5270" s="3564">
        <v>100.47</v>
      </c>
      <c r="H5270" s="3564">
        <v>81.739999999999995</v>
      </c>
      <c r="I5270" s="3564">
        <v>18.73</v>
      </c>
      <c r="J5270" s="3565">
        <v>1034146</v>
      </c>
      <c r="K5270" s="3565">
        <v>10293.08</v>
      </c>
      <c r="L5270" s="3565">
        <v>12651.65</v>
      </c>
      <c r="M5270" s="3565">
        <v>0</v>
      </c>
      <c r="N5270" s="3565">
        <v>0</v>
      </c>
      <c r="O5270" s="3563" t="s">
        <v>3453</v>
      </c>
    </row>
    <row r="5271" spans="1:15">
      <c r="A5271" s="3563" t="s">
        <v>9497</v>
      </c>
      <c r="B5271" s="3563" t="s">
        <v>4196</v>
      </c>
      <c r="C5271" s="3563" t="s">
        <v>4197</v>
      </c>
      <c r="D5271" s="3563" t="s">
        <v>6429</v>
      </c>
      <c r="E5271" s="3563" t="s">
        <v>9359</v>
      </c>
      <c r="F5271" s="3563" t="s">
        <v>4797</v>
      </c>
      <c r="G5271" s="3564">
        <v>100.81</v>
      </c>
      <c r="H5271" s="3564">
        <v>82.01</v>
      </c>
      <c r="I5271" s="3564">
        <v>18.8</v>
      </c>
      <c r="J5271" s="3565">
        <v>1032285</v>
      </c>
      <c r="K5271" s="3565">
        <v>10239.91</v>
      </c>
      <c r="L5271" s="3565">
        <v>12587.31</v>
      </c>
      <c r="M5271" s="3565">
        <v>0</v>
      </c>
      <c r="N5271" s="3565">
        <v>0</v>
      </c>
      <c r="O5271" s="3563" t="s">
        <v>3453</v>
      </c>
    </row>
    <row r="5272" spans="1:15">
      <c r="A5272" s="3563" t="s">
        <v>9498</v>
      </c>
      <c r="B5272" s="3563" t="s">
        <v>4196</v>
      </c>
      <c r="C5272" s="3563" t="s">
        <v>4197</v>
      </c>
      <c r="D5272" s="3563" t="s">
        <v>6429</v>
      </c>
      <c r="E5272" s="3563" t="s">
        <v>9359</v>
      </c>
      <c r="F5272" s="3563" t="s">
        <v>4797</v>
      </c>
      <c r="G5272" s="3564">
        <v>87.27</v>
      </c>
      <c r="H5272" s="3564">
        <v>71</v>
      </c>
      <c r="I5272" s="3564">
        <v>16.27</v>
      </c>
      <c r="J5272" s="3565">
        <v>912204</v>
      </c>
      <c r="K5272" s="3565">
        <v>10452.66</v>
      </c>
      <c r="L5272" s="3565">
        <v>12847.94</v>
      </c>
      <c r="M5272" s="3565">
        <v>0</v>
      </c>
      <c r="N5272" s="3565">
        <v>0</v>
      </c>
      <c r="O5272" s="3563" t="s">
        <v>3453</v>
      </c>
    </row>
    <row r="5273" spans="1:15">
      <c r="A5273" s="3563" t="s">
        <v>9499</v>
      </c>
      <c r="B5273" s="3563" t="s">
        <v>4196</v>
      </c>
      <c r="C5273" s="3563" t="s">
        <v>4197</v>
      </c>
      <c r="D5273" s="3563" t="s">
        <v>6429</v>
      </c>
      <c r="E5273" s="3563" t="s">
        <v>9359</v>
      </c>
      <c r="F5273" s="3563" t="s">
        <v>4797</v>
      </c>
      <c r="G5273" s="3564">
        <v>87.27</v>
      </c>
      <c r="H5273" s="3564">
        <v>71</v>
      </c>
      <c r="I5273" s="3564">
        <v>16.27</v>
      </c>
      <c r="J5273" s="3565">
        <v>912204</v>
      </c>
      <c r="K5273" s="3565">
        <v>10452.66</v>
      </c>
      <c r="L5273" s="3565">
        <v>12847.94</v>
      </c>
      <c r="M5273" s="3565">
        <v>0</v>
      </c>
      <c r="N5273" s="3565">
        <v>0</v>
      </c>
      <c r="O5273" s="3563" t="s">
        <v>3453</v>
      </c>
    </row>
    <row r="5274" spans="1:15">
      <c r="A5274" s="3563" t="s">
        <v>9500</v>
      </c>
      <c r="B5274" s="3563" t="s">
        <v>4196</v>
      </c>
      <c r="C5274" s="3563" t="s">
        <v>4197</v>
      </c>
      <c r="D5274" s="3563" t="s">
        <v>6429</v>
      </c>
      <c r="E5274" s="3563" t="s">
        <v>9359</v>
      </c>
      <c r="F5274" s="3563" t="s">
        <v>4797</v>
      </c>
      <c r="G5274" s="3564">
        <v>108.71</v>
      </c>
      <c r="H5274" s="3564">
        <v>88.44</v>
      </c>
      <c r="I5274" s="3564">
        <v>20.27</v>
      </c>
      <c r="J5274" s="3565">
        <v>1095832</v>
      </c>
      <c r="K5274" s="3565">
        <v>10080.32</v>
      </c>
      <c r="L5274" s="3565">
        <v>12390.68</v>
      </c>
      <c r="M5274" s="3565">
        <v>0</v>
      </c>
      <c r="N5274" s="3565">
        <v>0</v>
      </c>
      <c r="O5274" s="3563" t="s">
        <v>3453</v>
      </c>
    </row>
    <row r="5275" spans="1:15">
      <c r="A5275" s="3563" t="s">
        <v>9501</v>
      </c>
      <c r="B5275" s="3563" t="s">
        <v>4196</v>
      </c>
      <c r="C5275" s="3563" t="s">
        <v>4197</v>
      </c>
      <c r="D5275" s="3563" t="s">
        <v>6429</v>
      </c>
      <c r="E5275" s="3563" t="s">
        <v>9359</v>
      </c>
      <c r="F5275" s="3563" t="s">
        <v>4797</v>
      </c>
      <c r="G5275" s="3564">
        <v>100.47</v>
      </c>
      <c r="H5275" s="3564">
        <v>81.739999999999995</v>
      </c>
      <c r="I5275" s="3564">
        <v>18.73</v>
      </c>
      <c r="J5275" s="3565">
        <v>1035215</v>
      </c>
      <c r="K5275" s="3565">
        <v>10303.719999999999</v>
      </c>
      <c r="L5275" s="3565">
        <v>12664.73</v>
      </c>
      <c r="M5275" s="3565">
        <v>0</v>
      </c>
      <c r="N5275" s="3565">
        <v>0</v>
      </c>
      <c r="O5275" s="3563" t="s">
        <v>3453</v>
      </c>
    </row>
    <row r="5276" spans="1:15">
      <c r="A5276" s="3563" t="s">
        <v>9502</v>
      </c>
      <c r="B5276" s="3563" t="s">
        <v>4196</v>
      </c>
      <c r="C5276" s="3563" t="s">
        <v>4197</v>
      </c>
      <c r="D5276" s="3563" t="s">
        <v>6429</v>
      </c>
      <c r="E5276" s="3563" t="s">
        <v>9359</v>
      </c>
      <c r="F5276" s="3563" t="s">
        <v>4797</v>
      </c>
      <c r="G5276" s="3564">
        <v>100.47</v>
      </c>
      <c r="H5276" s="3564">
        <v>81.739999999999995</v>
      </c>
      <c r="I5276" s="3564">
        <v>18.73</v>
      </c>
      <c r="J5276" s="3565">
        <v>1035215</v>
      </c>
      <c r="K5276" s="3565">
        <v>10303.719999999999</v>
      </c>
      <c r="L5276" s="3565">
        <v>12664.73</v>
      </c>
      <c r="M5276" s="3565">
        <v>0</v>
      </c>
      <c r="N5276" s="3565">
        <v>0</v>
      </c>
      <c r="O5276" s="3563" t="s">
        <v>3453</v>
      </c>
    </row>
    <row r="5277" spans="1:15">
      <c r="A5277" s="3563" t="s">
        <v>9503</v>
      </c>
      <c r="B5277" s="3563" t="s">
        <v>4196</v>
      </c>
      <c r="C5277" s="3563" t="s">
        <v>4197</v>
      </c>
      <c r="D5277" s="3563" t="s">
        <v>6429</v>
      </c>
      <c r="E5277" s="3563" t="s">
        <v>9359</v>
      </c>
      <c r="F5277" s="3563" t="s">
        <v>4797</v>
      </c>
      <c r="G5277" s="3564">
        <v>100.81</v>
      </c>
      <c r="H5277" s="3564">
        <v>82.01</v>
      </c>
      <c r="I5277" s="3564">
        <v>18.8</v>
      </c>
      <c r="J5277" s="3565">
        <v>1033357</v>
      </c>
      <c r="K5277" s="3565">
        <v>10250.540000000001</v>
      </c>
      <c r="L5277" s="3565">
        <v>12600.38</v>
      </c>
      <c r="M5277" s="3565">
        <v>0</v>
      </c>
      <c r="N5277" s="3565">
        <v>0</v>
      </c>
      <c r="O5277" s="3563" t="s">
        <v>3453</v>
      </c>
    </row>
    <row r="5278" spans="1:15">
      <c r="A5278" s="3563" t="s">
        <v>9504</v>
      </c>
      <c r="B5278" s="3563" t="s">
        <v>4196</v>
      </c>
      <c r="C5278" s="3563" t="s">
        <v>4197</v>
      </c>
      <c r="D5278" s="3563" t="s">
        <v>6429</v>
      </c>
      <c r="E5278" s="3563" t="s">
        <v>9359</v>
      </c>
      <c r="F5278" s="3563" t="s">
        <v>4797</v>
      </c>
      <c r="G5278" s="3564">
        <v>87.27</v>
      </c>
      <c r="H5278" s="3564">
        <v>71</v>
      </c>
      <c r="I5278" s="3564">
        <v>16.27</v>
      </c>
      <c r="J5278" s="3565">
        <v>913132</v>
      </c>
      <c r="K5278" s="3565">
        <v>10463.299999999999</v>
      </c>
      <c r="L5278" s="3565">
        <v>12861.01</v>
      </c>
      <c r="M5278" s="3565">
        <v>0</v>
      </c>
      <c r="N5278" s="3565">
        <v>0</v>
      </c>
      <c r="O5278" s="3563" t="s">
        <v>3453</v>
      </c>
    </row>
    <row r="5279" spans="1:15">
      <c r="A5279" s="3563" t="s">
        <v>9505</v>
      </c>
      <c r="B5279" s="3563" t="s">
        <v>4196</v>
      </c>
      <c r="C5279" s="3563" t="s">
        <v>4197</v>
      </c>
      <c r="D5279" s="3563" t="s">
        <v>6429</v>
      </c>
      <c r="E5279" s="3563" t="s">
        <v>9359</v>
      </c>
      <c r="F5279" s="3563" t="s">
        <v>4797</v>
      </c>
      <c r="G5279" s="3564">
        <v>87.27</v>
      </c>
      <c r="H5279" s="3564">
        <v>71</v>
      </c>
      <c r="I5279" s="3564">
        <v>16.27</v>
      </c>
      <c r="J5279" s="3565">
        <v>913132</v>
      </c>
      <c r="K5279" s="3565">
        <v>10463.299999999999</v>
      </c>
      <c r="L5279" s="3565">
        <v>12861.01</v>
      </c>
      <c r="M5279" s="3565">
        <v>0</v>
      </c>
      <c r="N5279" s="3565">
        <v>0</v>
      </c>
      <c r="O5279" s="3563" t="s">
        <v>3453</v>
      </c>
    </row>
    <row r="5280" spans="1:15">
      <c r="A5280" s="3563" t="s">
        <v>9506</v>
      </c>
      <c r="B5280" s="3563" t="s">
        <v>4196</v>
      </c>
      <c r="C5280" s="3563" t="s">
        <v>4197</v>
      </c>
      <c r="D5280" s="3563" t="s">
        <v>6429</v>
      </c>
      <c r="E5280" s="3563" t="s">
        <v>9359</v>
      </c>
      <c r="F5280" s="3563" t="s">
        <v>4797</v>
      </c>
      <c r="G5280" s="3564">
        <v>108.71</v>
      </c>
      <c r="H5280" s="3564">
        <v>88.44</v>
      </c>
      <c r="I5280" s="3564">
        <v>20.27</v>
      </c>
      <c r="J5280" s="3565">
        <v>1096989</v>
      </c>
      <c r="K5280" s="3565">
        <v>10090.969999999999</v>
      </c>
      <c r="L5280" s="3565">
        <v>12403.77</v>
      </c>
      <c r="M5280" s="3565">
        <v>0</v>
      </c>
      <c r="N5280" s="3565">
        <v>0</v>
      </c>
      <c r="O5280" s="3563" t="s">
        <v>3453</v>
      </c>
    </row>
    <row r="5281" spans="1:15">
      <c r="A5281" s="3563" t="s">
        <v>9507</v>
      </c>
      <c r="B5281" s="3563" t="s">
        <v>4196</v>
      </c>
      <c r="C5281" s="3563" t="s">
        <v>4197</v>
      </c>
      <c r="D5281" s="3563" t="s">
        <v>6429</v>
      </c>
      <c r="E5281" s="3563" t="s">
        <v>9359</v>
      </c>
      <c r="F5281" s="3563" t="s">
        <v>4797</v>
      </c>
      <c r="G5281" s="3564">
        <v>100.47</v>
      </c>
      <c r="H5281" s="3564">
        <v>81.739999999999995</v>
      </c>
      <c r="I5281" s="3564">
        <v>18.73</v>
      </c>
      <c r="J5281" s="3565">
        <v>1036285</v>
      </c>
      <c r="K5281" s="3565">
        <v>10314.370000000001</v>
      </c>
      <c r="L5281" s="3565">
        <v>12677.82</v>
      </c>
      <c r="M5281" s="3565">
        <v>0</v>
      </c>
      <c r="N5281" s="3565">
        <v>0</v>
      </c>
      <c r="O5281" s="3563" t="s">
        <v>3453</v>
      </c>
    </row>
    <row r="5282" spans="1:15">
      <c r="A5282" s="3563" t="s">
        <v>9508</v>
      </c>
      <c r="B5282" s="3563" t="s">
        <v>4196</v>
      </c>
      <c r="C5282" s="3563" t="s">
        <v>4197</v>
      </c>
      <c r="D5282" s="3563" t="s">
        <v>6429</v>
      </c>
      <c r="E5282" s="3563" t="s">
        <v>9359</v>
      </c>
      <c r="F5282" s="3563" t="s">
        <v>4797</v>
      </c>
      <c r="G5282" s="3564">
        <v>100.47</v>
      </c>
      <c r="H5282" s="3564">
        <v>81.739999999999995</v>
      </c>
      <c r="I5282" s="3564">
        <v>18.73</v>
      </c>
      <c r="J5282" s="3565">
        <v>1036285</v>
      </c>
      <c r="K5282" s="3565">
        <v>10314.370000000001</v>
      </c>
      <c r="L5282" s="3565">
        <v>12677.82</v>
      </c>
      <c r="M5282" s="3565">
        <v>0</v>
      </c>
      <c r="N5282" s="3565">
        <v>0</v>
      </c>
      <c r="O5282" s="3563" t="s">
        <v>3453</v>
      </c>
    </row>
    <row r="5283" spans="1:15">
      <c r="A5283" s="3563" t="s">
        <v>9509</v>
      </c>
      <c r="B5283" s="3563" t="s">
        <v>4196</v>
      </c>
      <c r="C5283" s="3563" t="s">
        <v>4197</v>
      </c>
      <c r="D5283" s="3563" t="s">
        <v>6429</v>
      </c>
      <c r="E5283" s="3563" t="s">
        <v>9359</v>
      </c>
      <c r="F5283" s="3563" t="s">
        <v>4797</v>
      </c>
      <c r="G5283" s="3564">
        <v>100.81</v>
      </c>
      <c r="H5283" s="3564">
        <v>82.01</v>
      </c>
      <c r="I5283" s="3564">
        <v>18.8</v>
      </c>
      <c r="J5283" s="3565">
        <v>1034429</v>
      </c>
      <c r="K5283" s="3565">
        <v>10261.17</v>
      </c>
      <c r="L5283" s="3565">
        <v>12613.45</v>
      </c>
      <c r="M5283" s="3565">
        <v>0</v>
      </c>
      <c r="N5283" s="3565">
        <v>0</v>
      </c>
      <c r="O5283" s="3563" t="s">
        <v>3453</v>
      </c>
    </row>
    <row r="5284" spans="1:15">
      <c r="A5284" s="3563" t="s">
        <v>9510</v>
      </c>
      <c r="B5284" s="3563" t="s">
        <v>4196</v>
      </c>
      <c r="C5284" s="3563" t="s">
        <v>4197</v>
      </c>
      <c r="D5284" s="3563" t="s">
        <v>6429</v>
      </c>
      <c r="E5284" s="3563" t="s">
        <v>9359</v>
      </c>
      <c r="F5284" s="3563" t="s">
        <v>4797</v>
      </c>
      <c r="G5284" s="3564">
        <v>87.27</v>
      </c>
      <c r="H5284" s="3564">
        <v>71</v>
      </c>
      <c r="I5284" s="3564">
        <v>16.27</v>
      </c>
      <c r="J5284" s="3565">
        <v>914061</v>
      </c>
      <c r="K5284" s="3565">
        <v>10473.94</v>
      </c>
      <c r="L5284" s="3565">
        <v>12874.1</v>
      </c>
      <c r="M5284" s="3565">
        <v>0</v>
      </c>
      <c r="N5284" s="3565">
        <v>0</v>
      </c>
      <c r="O5284" s="3563" t="s">
        <v>3453</v>
      </c>
    </row>
    <row r="5285" spans="1:15">
      <c r="A5285" s="3563" t="s">
        <v>9511</v>
      </c>
      <c r="B5285" s="3563" t="s">
        <v>4196</v>
      </c>
      <c r="C5285" s="3563" t="s">
        <v>4197</v>
      </c>
      <c r="D5285" s="3563" t="s">
        <v>6429</v>
      </c>
      <c r="E5285" s="3563" t="s">
        <v>9359</v>
      </c>
      <c r="F5285" s="3563" t="s">
        <v>4797</v>
      </c>
      <c r="G5285" s="3564">
        <v>87.27</v>
      </c>
      <c r="H5285" s="3564">
        <v>71</v>
      </c>
      <c r="I5285" s="3564">
        <v>16.27</v>
      </c>
      <c r="J5285" s="3565">
        <v>914061</v>
      </c>
      <c r="K5285" s="3565">
        <v>10473.94</v>
      </c>
      <c r="L5285" s="3565">
        <v>12874.1</v>
      </c>
      <c r="M5285" s="3565">
        <v>0</v>
      </c>
      <c r="N5285" s="3565">
        <v>0</v>
      </c>
      <c r="O5285" s="3563" t="s">
        <v>3453</v>
      </c>
    </row>
    <row r="5286" spans="1:15">
      <c r="A5286" s="3563" t="s">
        <v>9512</v>
      </c>
      <c r="B5286" s="3563" t="s">
        <v>4196</v>
      </c>
      <c r="C5286" s="3563" t="s">
        <v>4197</v>
      </c>
      <c r="D5286" s="3563" t="s">
        <v>6429</v>
      </c>
      <c r="E5286" s="3563" t="s">
        <v>9359</v>
      </c>
      <c r="F5286" s="3563" t="s">
        <v>4797</v>
      </c>
      <c r="G5286" s="3564">
        <v>108.71</v>
      </c>
      <c r="H5286" s="3564">
        <v>88.44</v>
      </c>
      <c r="I5286" s="3564">
        <v>20.27</v>
      </c>
      <c r="J5286" s="3565">
        <v>1098145</v>
      </c>
      <c r="K5286" s="3565">
        <v>10101.6</v>
      </c>
      <c r="L5286" s="3565">
        <v>12416.84</v>
      </c>
      <c r="M5286" s="3565">
        <v>0</v>
      </c>
      <c r="N5286" s="3565">
        <v>0</v>
      </c>
      <c r="O5286" s="3563" t="s">
        <v>3453</v>
      </c>
    </row>
    <row r="5287" spans="1:15">
      <c r="A5287" s="3563" t="s">
        <v>9513</v>
      </c>
      <c r="B5287" s="3563" t="s">
        <v>4196</v>
      </c>
      <c r="C5287" s="3563" t="s">
        <v>4197</v>
      </c>
      <c r="D5287" s="3563" t="s">
        <v>6429</v>
      </c>
      <c r="E5287" s="3563" t="s">
        <v>9514</v>
      </c>
      <c r="F5287" s="3563" t="s">
        <v>4797</v>
      </c>
      <c r="G5287" s="3564">
        <v>97.54</v>
      </c>
      <c r="H5287" s="3564">
        <v>81.739999999999995</v>
      </c>
      <c r="I5287" s="3564">
        <v>15.8</v>
      </c>
      <c r="J5287" s="3565">
        <v>983235</v>
      </c>
      <c r="K5287" s="3565">
        <v>10080.33</v>
      </c>
      <c r="L5287" s="3565">
        <v>12028.81</v>
      </c>
      <c r="M5287" s="3565">
        <v>0</v>
      </c>
      <c r="N5287" s="3565">
        <v>0</v>
      </c>
      <c r="O5287" s="3563" t="s">
        <v>3453</v>
      </c>
    </row>
    <row r="5288" spans="1:15">
      <c r="A5288" s="3563" t="s">
        <v>9515</v>
      </c>
      <c r="B5288" s="3563" t="s">
        <v>4196</v>
      </c>
      <c r="C5288" s="3563" t="s">
        <v>4197</v>
      </c>
      <c r="D5288" s="3563" t="s">
        <v>6429</v>
      </c>
      <c r="E5288" s="3563" t="s">
        <v>9514</v>
      </c>
      <c r="F5288" s="3563" t="s">
        <v>4797</v>
      </c>
      <c r="G5288" s="3564">
        <v>97.54</v>
      </c>
      <c r="H5288" s="3564">
        <v>81.739999999999995</v>
      </c>
      <c r="I5288" s="3564">
        <v>15.8</v>
      </c>
      <c r="J5288" s="3565">
        <v>970782</v>
      </c>
      <c r="K5288" s="3565">
        <v>9952.66</v>
      </c>
      <c r="L5288" s="3565">
        <v>11876.46</v>
      </c>
      <c r="M5288" s="3565">
        <v>0</v>
      </c>
      <c r="N5288" s="3565">
        <v>0</v>
      </c>
      <c r="O5288" s="3563" t="s">
        <v>3453</v>
      </c>
    </row>
    <row r="5289" spans="1:15">
      <c r="A5289" s="3563" t="s">
        <v>9516</v>
      </c>
      <c r="B5289" s="3563" t="s">
        <v>4196</v>
      </c>
      <c r="C5289" s="3563" t="s">
        <v>4197</v>
      </c>
      <c r="D5289" s="3563" t="s">
        <v>6429</v>
      </c>
      <c r="E5289" s="3563" t="s">
        <v>9514</v>
      </c>
      <c r="F5289" s="3563" t="s">
        <v>4797</v>
      </c>
      <c r="G5289" s="3564">
        <v>97.86</v>
      </c>
      <c r="H5289" s="3564">
        <v>82.01</v>
      </c>
      <c r="I5289" s="3564">
        <v>15.85</v>
      </c>
      <c r="J5289" s="3565">
        <v>973968</v>
      </c>
      <c r="K5289" s="3565">
        <v>9952.67</v>
      </c>
      <c r="L5289" s="3565">
        <v>11876.21</v>
      </c>
      <c r="M5289" s="3565">
        <v>0</v>
      </c>
      <c r="N5289" s="3565">
        <v>0</v>
      </c>
      <c r="O5289" s="3563" t="s">
        <v>3453</v>
      </c>
    </row>
    <row r="5290" spans="1:15">
      <c r="A5290" s="3563" t="s">
        <v>9517</v>
      </c>
      <c r="B5290" s="3563" t="s">
        <v>4196</v>
      </c>
      <c r="C5290" s="3563" t="s">
        <v>4197</v>
      </c>
      <c r="D5290" s="3563" t="s">
        <v>6429</v>
      </c>
      <c r="E5290" s="3563" t="s">
        <v>9514</v>
      </c>
      <c r="F5290" s="3563" t="s">
        <v>4797</v>
      </c>
      <c r="G5290" s="3564">
        <v>82</v>
      </c>
      <c r="H5290" s="3564">
        <v>71</v>
      </c>
      <c r="I5290" s="3564">
        <v>11</v>
      </c>
      <c r="J5290" s="3565">
        <v>822225</v>
      </c>
      <c r="K5290" s="3565">
        <v>10027.129999999999</v>
      </c>
      <c r="L5290" s="3565">
        <v>11580.63</v>
      </c>
      <c r="M5290" s="3565">
        <v>0</v>
      </c>
      <c r="N5290" s="3565">
        <v>0</v>
      </c>
      <c r="O5290" s="3563" t="s">
        <v>3453</v>
      </c>
    </row>
    <row r="5291" spans="1:15">
      <c r="A5291" s="3563" t="s">
        <v>9518</v>
      </c>
      <c r="B5291" s="3563" t="s">
        <v>4196</v>
      </c>
      <c r="C5291" s="3563" t="s">
        <v>4197</v>
      </c>
      <c r="D5291" s="3563" t="s">
        <v>6429</v>
      </c>
      <c r="E5291" s="3563" t="s">
        <v>9514</v>
      </c>
      <c r="F5291" s="3563" t="s">
        <v>4797</v>
      </c>
      <c r="G5291" s="3564">
        <v>82</v>
      </c>
      <c r="H5291" s="3564">
        <v>71</v>
      </c>
      <c r="I5291" s="3564">
        <v>11</v>
      </c>
      <c r="J5291" s="3565">
        <v>839672</v>
      </c>
      <c r="K5291" s="3565">
        <v>10239.9</v>
      </c>
      <c r="L5291" s="3565">
        <v>11826.37</v>
      </c>
      <c r="M5291" s="3565">
        <v>0</v>
      </c>
      <c r="N5291" s="3565">
        <v>0</v>
      </c>
      <c r="O5291" s="3563" t="s">
        <v>3453</v>
      </c>
    </row>
    <row r="5292" spans="1:15">
      <c r="A5292" s="3563" t="s">
        <v>9519</v>
      </c>
      <c r="B5292" s="3563" t="s">
        <v>4196</v>
      </c>
      <c r="C5292" s="3563" t="s">
        <v>4197</v>
      </c>
      <c r="D5292" s="3563" t="s">
        <v>6429</v>
      </c>
      <c r="E5292" s="3563" t="s">
        <v>9514</v>
      </c>
      <c r="F5292" s="3563" t="s">
        <v>4797</v>
      </c>
      <c r="G5292" s="3564">
        <v>100.47</v>
      </c>
      <c r="H5292" s="3564">
        <v>81.739999999999995</v>
      </c>
      <c r="I5292" s="3564">
        <v>18.73</v>
      </c>
      <c r="J5292" s="3565">
        <v>1090795</v>
      </c>
      <c r="K5292" s="3565">
        <v>10856.92</v>
      </c>
      <c r="L5292" s="3565">
        <v>13344.69</v>
      </c>
      <c r="M5292" s="3565">
        <v>0</v>
      </c>
      <c r="N5292" s="3565">
        <v>0</v>
      </c>
      <c r="O5292" s="3563" t="s">
        <v>3453</v>
      </c>
    </row>
    <row r="5293" spans="1:15">
      <c r="A5293" s="3563" t="s">
        <v>9520</v>
      </c>
      <c r="B5293" s="3563" t="s">
        <v>4196</v>
      </c>
      <c r="C5293" s="3563" t="s">
        <v>4197</v>
      </c>
      <c r="D5293" s="3563" t="s">
        <v>6429</v>
      </c>
      <c r="E5293" s="3563" t="s">
        <v>9514</v>
      </c>
      <c r="F5293" s="3563" t="s">
        <v>4797</v>
      </c>
      <c r="G5293" s="3564">
        <v>100.47</v>
      </c>
      <c r="H5293" s="3564">
        <v>81.739999999999995</v>
      </c>
      <c r="I5293" s="3564">
        <v>18.73</v>
      </c>
      <c r="J5293" s="3565">
        <v>1069419</v>
      </c>
      <c r="K5293" s="3565">
        <v>10644.16</v>
      </c>
      <c r="L5293" s="3565">
        <v>13083.18</v>
      </c>
      <c r="M5293" s="3565">
        <v>0</v>
      </c>
      <c r="N5293" s="3565">
        <v>0</v>
      </c>
      <c r="O5293" s="3563" t="s">
        <v>3453</v>
      </c>
    </row>
    <row r="5294" spans="1:15">
      <c r="A5294" s="3563" t="s">
        <v>9521</v>
      </c>
      <c r="B5294" s="3563" t="s">
        <v>4196</v>
      </c>
      <c r="C5294" s="3563" t="s">
        <v>4197</v>
      </c>
      <c r="D5294" s="3563" t="s">
        <v>6429</v>
      </c>
      <c r="E5294" s="3563" t="s">
        <v>9514</v>
      </c>
      <c r="F5294" s="3563" t="s">
        <v>4797</v>
      </c>
      <c r="G5294" s="3564">
        <v>100.81</v>
      </c>
      <c r="H5294" s="3564">
        <v>82.01</v>
      </c>
      <c r="I5294" s="3564">
        <v>18.8</v>
      </c>
      <c r="J5294" s="3565">
        <v>1035502</v>
      </c>
      <c r="K5294" s="3565">
        <v>10271.82</v>
      </c>
      <c r="L5294" s="3565">
        <v>12626.53</v>
      </c>
      <c r="M5294" s="3565">
        <v>0</v>
      </c>
      <c r="N5294" s="3565">
        <v>0</v>
      </c>
      <c r="O5294" s="3563" t="s">
        <v>3453</v>
      </c>
    </row>
    <row r="5295" spans="1:15">
      <c r="A5295" s="3563" t="s">
        <v>9522</v>
      </c>
      <c r="B5295" s="3563" t="s">
        <v>4196</v>
      </c>
      <c r="C5295" s="3563" t="s">
        <v>4197</v>
      </c>
      <c r="D5295" s="3563" t="s">
        <v>6429</v>
      </c>
      <c r="E5295" s="3563" t="s">
        <v>9514</v>
      </c>
      <c r="F5295" s="3563" t="s">
        <v>4797</v>
      </c>
      <c r="G5295" s="3564">
        <v>87.27</v>
      </c>
      <c r="H5295" s="3564">
        <v>71</v>
      </c>
      <c r="I5295" s="3564">
        <v>16.27</v>
      </c>
      <c r="J5295" s="3565">
        <v>924273</v>
      </c>
      <c r="K5295" s="3565">
        <v>10590.96</v>
      </c>
      <c r="L5295" s="3565">
        <v>13017.93</v>
      </c>
      <c r="M5295" s="3565">
        <v>0</v>
      </c>
      <c r="N5295" s="3565">
        <v>0</v>
      </c>
      <c r="O5295" s="3563" t="s">
        <v>3453</v>
      </c>
    </row>
    <row r="5296" spans="1:15">
      <c r="A5296" s="3563" t="s">
        <v>9523</v>
      </c>
      <c r="B5296" s="3563" t="s">
        <v>4196</v>
      </c>
      <c r="C5296" s="3563" t="s">
        <v>4197</v>
      </c>
      <c r="D5296" s="3563" t="s">
        <v>6429</v>
      </c>
      <c r="E5296" s="3563" t="s">
        <v>9514</v>
      </c>
      <c r="F5296" s="3563" t="s">
        <v>4797</v>
      </c>
      <c r="G5296" s="3564">
        <v>87.27</v>
      </c>
      <c r="H5296" s="3564">
        <v>71</v>
      </c>
      <c r="I5296" s="3564">
        <v>16.27</v>
      </c>
      <c r="J5296" s="3565">
        <v>942841</v>
      </c>
      <c r="K5296" s="3565">
        <v>10803.72</v>
      </c>
      <c r="L5296" s="3565">
        <v>13279.45</v>
      </c>
      <c r="M5296" s="3565">
        <v>0</v>
      </c>
      <c r="N5296" s="3565">
        <v>0</v>
      </c>
      <c r="O5296" s="3563" t="s">
        <v>3453</v>
      </c>
    </row>
    <row r="5297" spans="1:15">
      <c r="A5297" s="3563" t="s">
        <v>9524</v>
      </c>
      <c r="B5297" s="3563" t="s">
        <v>4196</v>
      </c>
      <c r="C5297" s="3563" t="s">
        <v>4197</v>
      </c>
      <c r="D5297" s="3563" t="s">
        <v>6429</v>
      </c>
      <c r="E5297" s="3563" t="s">
        <v>9514</v>
      </c>
      <c r="F5297" s="3563" t="s">
        <v>4797</v>
      </c>
      <c r="G5297" s="3564">
        <v>108.71</v>
      </c>
      <c r="H5297" s="3564">
        <v>88.44</v>
      </c>
      <c r="I5297" s="3564">
        <v>20.27</v>
      </c>
      <c r="J5297" s="3565">
        <v>1122431</v>
      </c>
      <c r="K5297" s="3565">
        <v>10325</v>
      </c>
      <c r="L5297" s="3565">
        <v>12691.44</v>
      </c>
      <c r="M5297" s="3565">
        <v>0</v>
      </c>
      <c r="N5297" s="3565">
        <v>0</v>
      </c>
      <c r="O5297" s="3563" t="s">
        <v>3453</v>
      </c>
    </row>
    <row r="5298" spans="1:15">
      <c r="A5298" s="3563" t="s">
        <v>9525</v>
      </c>
      <c r="B5298" s="3563" t="s">
        <v>4196</v>
      </c>
      <c r="C5298" s="3563" t="s">
        <v>4197</v>
      </c>
      <c r="D5298" s="3563" t="s">
        <v>6429</v>
      </c>
      <c r="E5298" s="3563" t="s">
        <v>9514</v>
      </c>
      <c r="F5298" s="3563" t="s">
        <v>4797</v>
      </c>
      <c r="G5298" s="3564">
        <v>100.47</v>
      </c>
      <c r="H5298" s="3564">
        <v>81.739999999999995</v>
      </c>
      <c r="I5298" s="3564">
        <v>18.73</v>
      </c>
      <c r="J5298" s="3565">
        <v>1091863</v>
      </c>
      <c r="K5298" s="3565">
        <v>10867.55</v>
      </c>
      <c r="L5298" s="3565">
        <v>13357.76</v>
      </c>
      <c r="M5298" s="3565">
        <v>0</v>
      </c>
      <c r="N5298" s="3565">
        <v>0</v>
      </c>
      <c r="O5298" s="3563" t="s">
        <v>3453</v>
      </c>
    </row>
    <row r="5299" spans="1:15">
      <c r="A5299" s="3563" t="s">
        <v>9526</v>
      </c>
      <c r="B5299" s="3563" t="s">
        <v>4196</v>
      </c>
      <c r="C5299" s="3563" t="s">
        <v>4197</v>
      </c>
      <c r="D5299" s="3563" t="s">
        <v>6429</v>
      </c>
      <c r="E5299" s="3563" t="s">
        <v>9514</v>
      </c>
      <c r="F5299" s="3563" t="s">
        <v>4797</v>
      </c>
      <c r="G5299" s="3564">
        <v>100.47</v>
      </c>
      <c r="H5299" s="3564">
        <v>81.739999999999995</v>
      </c>
      <c r="I5299" s="3564">
        <v>18.73</v>
      </c>
      <c r="J5299" s="3565">
        <v>1070487</v>
      </c>
      <c r="K5299" s="3565">
        <v>10654.79</v>
      </c>
      <c r="L5299" s="3565">
        <v>13096.24</v>
      </c>
      <c r="M5299" s="3565">
        <v>0</v>
      </c>
      <c r="N5299" s="3565">
        <v>0</v>
      </c>
      <c r="O5299" s="3563" t="s">
        <v>3453</v>
      </c>
    </row>
    <row r="5300" spans="1:15">
      <c r="A5300" s="3563" t="s">
        <v>9527</v>
      </c>
      <c r="B5300" s="3563" t="s">
        <v>4196</v>
      </c>
      <c r="C5300" s="3563" t="s">
        <v>4197</v>
      </c>
      <c r="D5300" s="3563" t="s">
        <v>6429</v>
      </c>
      <c r="E5300" s="3563" t="s">
        <v>9514</v>
      </c>
      <c r="F5300" s="3563" t="s">
        <v>4797</v>
      </c>
      <c r="G5300" s="3564">
        <v>100.81</v>
      </c>
      <c r="H5300" s="3564">
        <v>82.01</v>
      </c>
      <c r="I5300" s="3564">
        <v>18.8</v>
      </c>
      <c r="J5300" s="3565">
        <v>1036574</v>
      </c>
      <c r="K5300" s="3565">
        <v>10282.450000000001</v>
      </c>
      <c r="L5300" s="3565">
        <v>12639.6</v>
      </c>
      <c r="M5300" s="3565">
        <v>0</v>
      </c>
      <c r="N5300" s="3565">
        <v>0</v>
      </c>
      <c r="O5300" s="3563" t="s">
        <v>3453</v>
      </c>
    </row>
    <row r="5301" spans="1:15">
      <c r="A5301" s="3563" t="s">
        <v>9528</v>
      </c>
      <c r="B5301" s="3563" t="s">
        <v>4196</v>
      </c>
      <c r="C5301" s="3563" t="s">
        <v>4197</v>
      </c>
      <c r="D5301" s="3563" t="s">
        <v>6429</v>
      </c>
      <c r="E5301" s="3563" t="s">
        <v>9514</v>
      </c>
      <c r="F5301" s="3563" t="s">
        <v>4797</v>
      </c>
      <c r="G5301" s="3564">
        <v>87.27</v>
      </c>
      <c r="H5301" s="3564">
        <v>71</v>
      </c>
      <c r="I5301" s="3564">
        <v>16.27</v>
      </c>
      <c r="J5301" s="3565">
        <v>925202</v>
      </c>
      <c r="K5301" s="3565">
        <v>10601.6</v>
      </c>
      <c r="L5301" s="3565">
        <v>13031.01</v>
      </c>
      <c r="M5301" s="3565">
        <v>0</v>
      </c>
      <c r="N5301" s="3565">
        <v>0</v>
      </c>
      <c r="O5301" s="3563" t="s">
        <v>3453</v>
      </c>
    </row>
    <row r="5302" spans="1:15">
      <c r="A5302" s="3563" t="s">
        <v>9529</v>
      </c>
      <c r="B5302" s="3563" t="s">
        <v>4196</v>
      </c>
      <c r="C5302" s="3563" t="s">
        <v>4197</v>
      </c>
      <c r="D5302" s="3563" t="s">
        <v>6429</v>
      </c>
      <c r="E5302" s="3563" t="s">
        <v>9514</v>
      </c>
      <c r="F5302" s="3563" t="s">
        <v>4797</v>
      </c>
      <c r="G5302" s="3564">
        <v>87.27</v>
      </c>
      <c r="H5302" s="3564">
        <v>71</v>
      </c>
      <c r="I5302" s="3564">
        <v>16.27</v>
      </c>
      <c r="J5302" s="3565">
        <v>943770</v>
      </c>
      <c r="K5302" s="3565">
        <v>10814.37</v>
      </c>
      <c r="L5302" s="3565">
        <v>13292.54</v>
      </c>
      <c r="M5302" s="3565">
        <v>0</v>
      </c>
      <c r="N5302" s="3565">
        <v>0</v>
      </c>
      <c r="O5302" s="3563" t="s">
        <v>3453</v>
      </c>
    </row>
    <row r="5303" spans="1:15">
      <c r="A5303" s="3563" t="s">
        <v>9530</v>
      </c>
      <c r="B5303" s="3563" t="s">
        <v>4196</v>
      </c>
      <c r="C5303" s="3563" t="s">
        <v>4197</v>
      </c>
      <c r="D5303" s="3563" t="s">
        <v>6429</v>
      </c>
      <c r="E5303" s="3563" t="s">
        <v>9514</v>
      </c>
      <c r="F5303" s="3563" t="s">
        <v>4797</v>
      </c>
      <c r="G5303" s="3564">
        <v>108.71</v>
      </c>
      <c r="H5303" s="3564">
        <v>88.44</v>
      </c>
      <c r="I5303" s="3564">
        <v>20.27</v>
      </c>
      <c r="J5303" s="3565">
        <v>1123588</v>
      </c>
      <c r="K5303" s="3565">
        <v>10335.65</v>
      </c>
      <c r="L5303" s="3565">
        <v>12704.52</v>
      </c>
      <c r="M5303" s="3565">
        <v>0</v>
      </c>
      <c r="N5303" s="3565">
        <v>0</v>
      </c>
      <c r="O5303" s="3563" t="s">
        <v>3453</v>
      </c>
    </row>
    <row r="5304" spans="1:15">
      <c r="A5304" s="3563" t="s">
        <v>9531</v>
      </c>
      <c r="B5304" s="3563" t="s">
        <v>4196</v>
      </c>
      <c r="C5304" s="3563" t="s">
        <v>4197</v>
      </c>
      <c r="D5304" s="3563" t="s">
        <v>6429</v>
      </c>
      <c r="E5304" s="3563" t="s">
        <v>9514</v>
      </c>
      <c r="F5304" s="3563" t="s">
        <v>4797</v>
      </c>
      <c r="G5304" s="3564">
        <v>100.47</v>
      </c>
      <c r="H5304" s="3564">
        <v>81.739999999999995</v>
      </c>
      <c r="I5304" s="3564">
        <v>18.73</v>
      </c>
      <c r="J5304" s="3565">
        <v>1092932</v>
      </c>
      <c r="K5304" s="3565">
        <v>10878.19</v>
      </c>
      <c r="L5304" s="3565">
        <v>13370.83</v>
      </c>
      <c r="M5304" s="3565">
        <v>0</v>
      </c>
      <c r="N5304" s="3565">
        <v>0</v>
      </c>
      <c r="O5304" s="3563" t="s">
        <v>3453</v>
      </c>
    </row>
    <row r="5305" spans="1:15">
      <c r="A5305" s="3563" t="s">
        <v>9532</v>
      </c>
      <c r="B5305" s="3563" t="s">
        <v>4196</v>
      </c>
      <c r="C5305" s="3563" t="s">
        <v>4197</v>
      </c>
      <c r="D5305" s="3563" t="s">
        <v>6429</v>
      </c>
      <c r="E5305" s="3563" t="s">
        <v>9514</v>
      </c>
      <c r="F5305" s="3563" t="s">
        <v>4797</v>
      </c>
      <c r="G5305" s="3564">
        <v>100.47</v>
      </c>
      <c r="H5305" s="3564">
        <v>81.739999999999995</v>
      </c>
      <c r="I5305" s="3564">
        <v>18.73</v>
      </c>
      <c r="J5305" s="3565">
        <v>1071556</v>
      </c>
      <c r="K5305" s="3565">
        <v>10665.43</v>
      </c>
      <c r="L5305" s="3565">
        <v>13109.32</v>
      </c>
      <c r="M5305" s="3565">
        <v>0</v>
      </c>
      <c r="N5305" s="3565">
        <v>0</v>
      </c>
      <c r="O5305" s="3563" t="s">
        <v>3453</v>
      </c>
    </row>
    <row r="5306" spans="1:15">
      <c r="A5306" s="3563" t="s">
        <v>9533</v>
      </c>
      <c r="B5306" s="3563" t="s">
        <v>4196</v>
      </c>
      <c r="C5306" s="3563" t="s">
        <v>4197</v>
      </c>
      <c r="D5306" s="3563" t="s">
        <v>6429</v>
      </c>
      <c r="E5306" s="3563" t="s">
        <v>9514</v>
      </c>
      <c r="F5306" s="3563" t="s">
        <v>4797</v>
      </c>
      <c r="G5306" s="3564">
        <v>100.81</v>
      </c>
      <c r="H5306" s="3564">
        <v>82.01</v>
      </c>
      <c r="I5306" s="3564">
        <v>18.8</v>
      </c>
      <c r="J5306" s="3565">
        <v>1037646</v>
      </c>
      <c r="K5306" s="3565">
        <v>10293.09</v>
      </c>
      <c r="L5306" s="3565">
        <v>12652.68</v>
      </c>
      <c r="M5306" s="3565">
        <v>0</v>
      </c>
      <c r="N5306" s="3565">
        <v>0</v>
      </c>
      <c r="O5306" s="3563" t="s">
        <v>3453</v>
      </c>
    </row>
    <row r="5307" spans="1:15">
      <c r="A5307" s="3563" t="s">
        <v>9534</v>
      </c>
      <c r="B5307" s="3563" t="s">
        <v>4196</v>
      </c>
      <c r="C5307" s="3563" t="s">
        <v>4197</v>
      </c>
      <c r="D5307" s="3563" t="s">
        <v>6429</v>
      </c>
      <c r="E5307" s="3563" t="s">
        <v>9514</v>
      </c>
      <c r="F5307" s="3563" t="s">
        <v>4797</v>
      </c>
      <c r="G5307" s="3564">
        <v>87.27</v>
      </c>
      <c r="H5307" s="3564">
        <v>71</v>
      </c>
      <c r="I5307" s="3564">
        <v>16.27</v>
      </c>
      <c r="J5307" s="3565">
        <v>926130</v>
      </c>
      <c r="K5307" s="3565">
        <v>10612.24</v>
      </c>
      <c r="L5307" s="3565">
        <v>13044.08</v>
      </c>
      <c r="M5307" s="3565">
        <v>0</v>
      </c>
      <c r="N5307" s="3565">
        <v>0</v>
      </c>
      <c r="O5307" s="3563" t="s">
        <v>3453</v>
      </c>
    </row>
    <row r="5308" spans="1:15">
      <c r="A5308" s="3563" t="s">
        <v>9535</v>
      </c>
      <c r="B5308" s="3563" t="s">
        <v>4196</v>
      </c>
      <c r="C5308" s="3563" t="s">
        <v>4197</v>
      </c>
      <c r="D5308" s="3563" t="s">
        <v>6429</v>
      </c>
      <c r="E5308" s="3563" t="s">
        <v>9514</v>
      </c>
      <c r="F5308" s="3563" t="s">
        <v>4797</v>
      </c>
      <c r="G5308" s="3564">
        <v>87.27</v>
      </c>
      <c r="H5308" s="3564">
        <v>71</v>
      </c>
      <c r="I5308" s="3564">
        <v>16.27</v>
      </c>
      <c r="J5308" s="3565">
        <v>944698</v>
      </c>
      <c r="K5308" s="3565">
        <v>10825</v>
      </c>
      <c r="L5308" s="3565">
        <v>13305.61</v>
      </c>
      <c r="M5308" s="3565">
        <v>0</v>
      </c>
      <c r="N5308" s="3565">
        <v>0</v>
      </c>
      <c r="O5308" s="3563" t="s">
        <v>3453</v>
      </c>
    </row>
    <row r="5309" spans="1:15">
      <c r="A5309" s="3563" t="s">
        <v>9536</v>
      </c>
      <c r="B5309" s="3563" t="s">
        <v>4196</v>
      </c>
      <c r="C5309" s="3563" t="s">
        <v>4197</v>
      </c>
      <c r="D5309" s="3563" t="s">
        <v>6429</v>
      </c>
      <c r="E5309" s="3563" t="s">
        <v>9514</v>
      </c>
      <c r="F5309" s="3563" t="s">
        <v>4797</v>
      </c>
      <c r="G5309" s="3564">
        <v>108.71</v>
      </c>
      <c r="H5309" s="3564">
        <v>88.44</v>
      </c>
      <c r="I5309" s="3564">
        <v>20.27</v>
      </c>
      <c r="J5309" s="3565">
        <v>1124744</v>
      </c>
      <c r="K5309" s="3565">
        <v>10346.280000000001</v>
      </c>
      <c r="L5309" s="3565">
        <v>12717.59</v>
      </c>
      <c r="M5309" s="3565">
        <v>0</v>
      </c>
      <c r="N5309" s="3565">
        <v>0</v>
      </c>
      <c r="O5309" s="3563" t="s">
        <v>3453</v>
      </c>
    </row>
    <row r="5310" spans="1:15">
      <c r="A5310" s="3563" t="s">
        <v>9537</v>
      </c>
      <c r="B5310" s="3563" t="s">
        <v>4196</v>
      </c>
      <c r="C5310" s="3563" t="s">
        <v>4197</v>
      </c>
      <c r="D5310" s="3563" t="s">
        <v>6429</v>
      </c>
      <c r="E5310" s="3563" t="s">
        <v>9514</v>
      </c>
      <c r="F5310" s="3563" t="s">
        <v>4797</v>
      </c>
      <c r="G5310" s="3564">
        <v>100.47</v>
      </c>
      <c r="H5310" s="3564">
        <v>81.739999999999995</v>
      </c>
      <c r="I5310" s="3564">
        <v>18.73</v>
      </c>
      <c r="J5310" s="3565">
        <v>1094002</v>
      </c>
      <c r="K5310" s="3565">
        <v>10888.84</v>
      </c>
      <c r="L5310" s="3565">
        <v>13383.92</v>
      </c>
      <c r="M5310" s="3565">
        <v>0</v>
      </c>
      <c r="N5310" s="3565">
        <v>0</v>
      </c>
      <c r="O5310" s="3563" t="s">
        <v>3453</v>
      </c>
    </row>
    <row r="5311" spans="1:15">
      <c r="A5311" s="3563" t="s">
        <v>9538</v>
      </c>
      <c r="B5311" s="3563" t="s">
        <v>4196</v>
      </c>
      <c r="C5311" s="3563" t="s">
        <v>4197</v>
      </c>
      <c r="D5311" s="3563" t="s">
        <v>6429</v>
      </c>
      <c r="E5311" s="3563" t="s">
        <v>9514</v>
      </c>
      <c r="F5311" s="3563" t="s">
        <v>4797</v>
      </c>
      <c r="G5311" s="3564">
        <v>100.47</v>
      </c>
      <c r="H5311" s="3564">
        <v>81.739999999999995</v>
      </c>
      <c r="I5311" s="3564">
        <v>18.73</v>
      </c>
      <c r="J5311" s="3565">
        <v>1072625</v>
      </c>
      <c r="K5311" s="3565">
        <v>10676.07</v>
      </c>
      <c r="L5311" s="3565">
        <v>13122.4</v>
      </c>
      <c r="M5311" s="3565">
        <v>0</v>
      </c>
      <c r="N5311" s="3565">
        <v>0</v>
      </c>
      <c r="O5311" s="3563" t="s">
        <v>3453</v>
      </c>
    </row>
    <row r="5312" spans="1:15">
      <c r="A5312" s="3563" t="s">
        <v>9539</v>
      </c>
      <c r="B5312" s="3563" t="s">
        <v>4196</v>
      </c>
      <c r="C5312" s="3563" t="s">
        <v>4197</v>
      </c>
      <c r="D5312" s="3563" t="s">
        <v>6429</v>
      </c>
      <c r="E5312" s="3563" t="s">
        <v>9514</v>
      </c>
      <c r="F5312" s="3563" t="s">
        <v>4797</v>
      </c>
      <c r="G5312" s="3564">
        <v>100.81</v>
      </c>
      <c r="H5312" s="3564">
        <v>82.01</v>
      </c>
      <c r="I5312" s="3564">
        <v>18.8</v>
      </c>
      <c r="J5312" s="3565">
        <v>1038719</v>
      </c>
      <c r="K5312" s="3565">
        <v>10303.73</v>
      </c>
      <c r="L5312" s="3565">
        <v>12665.76</v>
      </c>
      <c r="M5312" s="3565">
        <v>0</v>
      </c>
      <c r="N5312" s="3565">
        <v>0</v>
      </c>
      <c r="O5312" s="3563" t="s">
        <v>3453</v>
      </c>
    </row>
    <row r="5313" spans="1:15">
      <c r="A5313" s="3563" t="s">
        <v>9540</v>
      </c>
      <c r="B5313" s="3563" t="s">
        <v>4196</v>
      </c>
      <c r="C5313" s="3563" t="s">
        <v>4197</v>
      </c>
      <c r="D5313" s="3563" t="s">
        <v>6429</v>
      </c>
      <c r="E5313" s="3563" t="s">
        <v>9514</v>
      </c>
      <c r="F5313" s="3563" t="s">
        <v>4797</v>
      </c>
      <c r="G5313" s="3564">
        <v>87.27</v>
      </c>
      <c r="H5313" s="3564">
        <v>71</v>
      </c>
      <c r="I5313" s="3564">
        <v>16.27</v>
      </c>
      <c r="J5313" s="3565">
        <v>927059</v>
      </c>
      <c r="K5313" s="3565">
        <v>10622.88</v>
      </c>
      <c r="L5313" s="3565">
        <v>13057.17</v>
      </c>
      <c r="M5313" s="3565">
        <v>0</v>
      </c>
      <c r="N5313" s="3565">
        <v>0</v>
      </c>
      <c r="O5313" s="3563" t="s">
        <v>3453</v>
      </c>
    </row>
    <row r="5314" spans="1:15">
      <c r="A5314" s="3563" t="s">
        <v>9541</v>
      </c>
      <c r="B5314" s="3563" t="s">
        <v>4196</v>
      </c>
      <c r="C5314" s="3563" t="s">
        <v>4197</v>
      </c>
      <c r="D5314" s="3563" t="s">
        <v>6429</v>
      </c>
      <c r="E5314" s="3563" t="s">
        <v>9514</v>
      </c>
      <c r="F5314" s="3563" t="s">
        <v>4797</v>
      </c>
      <c r="G5314" s="3564">
        <v>87.27</v>
      </c>
      <c r="H5314" s="3564">
        <v>71</v>
      </c>
      <c r="I5314" s="3564">
        <v>16.27</v>
      </c>
      <c r="J5314" s="3565">
        <v>945627</v>
      </c>
      <c r="K5314" s="3565">
        <v>10835.65</v>
      </c>
      <c r="L5314" s="3565">
        <v>13318.69</v>
      </c>
      <c r="M5314" s="3565">
        <v>0</v>
      </c>
      <c r="N5314" s="3565">
        <v>0</v>
      </c>
      <c r="O5314" s="3563" t="s">
        <v>3453</v>
      </c>
    </row>
    <row r="5315" spans="1:15">
      <c r="A5315" s="3563" t="s">
        <v>9542</v>
      </c>
      <c r="B5315" s="3563" t="s">
        <v>4196</v>
      </c>
      <c r="C5315" s="3563" t="s">
        <v>4197</v>
      </c>
      <c r="D5315" s="3563" t="s">
        <v>6429</v>
      </c>
      <c r="E5315" s="3563" t="s">
        <v>9514</v>
      </c>
      <c r="F5315" s="3563" t="s">
        <v>4797</v>
      </c>
      <c r="G5315" s="3564">
        <v>108.71</v>
      </c>
      <c r="H5315" s="3564">
        <v>88.44</v>
      </c>
      <c r="I5315" s="3564">
        <v>20.27</v>
      </c>
      <c r="J5315" s="3565">
        <v>1125900</v>
      </c>
      <c r="K5315" s="3565">
        <v>10356.91</v>
      </c>
      <c r="L5315" s="3565">
        <v>12730.66</v>
      </c>
      <c r="M5315" s="3565">
        <v>0</v>
      </c>
      <c r="N5315" s="3565">
        <v>0</v>
      </c>
      <c r="O5315" s="3563" t="s">
        <v>3453</v>
      </c>
    </row>
    <row r="5316" spans="1:15">
      <c r="A5316" s="3563" t="s">
        <v>9543</v>
      </c>
      <c r="B5316" s="3563" t="s">
        <v>4196</v>
      </c>
      <c r="C5316" s="3563" t="s">
        <v>4197</v>
      </c>
      <c r="D5316" s="3563" t="s">
        <v>6429</v>
      </c>
      <c r="E5316" s="3563" t="s">
        <v>9514</v>
      </c>
      <c r="F5316" s="3563" t="s">
        <v>4797</v>
      </c>
      <c r="G5316" s="3564">
        <v>100.47</v>
      </c>
      <c r="H5316" s="3564">
        <v>81.739999999999995</v>
      </c>
      <c r="I5316" s="3564">
        <v>18.73</v>
      </c>
      <c r="J5316" s="3565">
        <v>1084381</v>
      </c>
      <c r="K5316" s="3565">
        <v>10793.08</v>
      </c>
      <c r="L5316" s="3565">
        <v>13266.22</v>
      </c>
      <c r="M5316" s="3565">
        <v>0</v>
      </c>
      <c r="N5316" s="3565">
        <v>0</v>
      </c>
      <c r="O5316" s="3563" t="s">
        <v>3453</v>
      </c>
    </row>
    <row r="5317" spans="1:15">
      <c r="A5317" s="3563" t="s">
        <v>9544</v>
      </c>
      <c r="B5317" s="3563" t="s">
        <v>4196</v>
      </c>
      <c r="C5317" s="3563" t="s">
        <v>4197</v>
      </c>
      <c r="D5317" s="3563" t="s">
        <v>6429</v>
      </c>
      <c r="E5317" s="3563" t="s">
        <v>9514</v>
      </c>
      <c r="F5317" s="3563" t="s">
        <v>4797</v>
      </c>
      <c r="G5317" s="3564">
        <v>100.47</v>
      </c>
      <c r="H5317" s="3564">
        <v>81.739999999999995</v>
      </c>
      <c r="I5317" s="3564">
        <v>18.73</v>
      </c>
      <c r="J5317" s="3565">
        <v>1063005</v>
      </c>
      <c r="K5317" s="3565">
        <v>10580.32</v>
      </c>
      <c r="L5317" s="3565">
        <v>13004.71</v>
      </c>
      <c r="M5317" s="3565">
        <v>0</v>
      </c>
      <c r="N5317" s="3565">
        <v>0</v>
      </c>
      <c r="O5317" s="3563" t="s">
        <v>3453</v>
      </c>
    </row>
    <row r="5318" spans="1:15">
      <c r="A5318" s="3563" t="s">
        <v>9545</v>
      </c>
      <c r="B5318" s="3563" t="s">
        <v>4196</v>
      </c>
      <c r="C5318" s="3563" t="s">
        <v>4197</v>
      </c>
      <c r="D5318" s="3563" t="s">
        <v>6429</v>
      </c>
      <c r="E5318" s="3563" t="s">
        <v>9514</v>
      </c>
      <c r="F5318" s="3563" t="s">
        <v>4797</v>
      </c>
      <c r="G5318" s="3564">
        <v>100.81</v>
      </c>
      <c r="H5318" s="3564">
        <v>82.01</v>
      </c>
      <c r="I5318" s="3564">
        <v>18.8</v>
      </c>
      <c r="J5318" s="3565">
        <v>1029066</v>
      </c>
      <c r="K5318" s="3565">
        <v>10207.98</v>
      </c>
      <c r="L5318" s="3565">
        <v>12548.06</v>
      </c>
      <c r="M5318" s="3565">
        <v>0</v>
      </c>
      <c r="N5318" s="3565">
        <v>0</v>
      </c>
      <c r="O5318" s="3563" t="s">
        <v>3453</v>
      </c>
    </row>
    <row r="5319" spans="1:15">
      <c r="A5319" s="3563" t="s">
        <v>9546</v>
      </c>
      <c r="B5319" s="3563" t="s">
        <v>4196</v>
      </c>
      <c r="C5319" s="3563" t="s">
        <v>4197</v>
      </c>
      <c r="D5319" s="3563" t="s">
        <v>6429</v>
      </c>
      <c r="E5319" s="3563" t="s">
        <v>9514</v>
      </c>
      <c r="F5319" s="3563" t="s">
        <v>4797</v>
      </c>
      <c r="G5319" s="3564">
        <v>87.27</v>
      </c>
      <c r="H5319" s="3564">
        <v>71</v>
      </c>
      <c r="I5319" s="3564">
        <v>16.27</v>
      </c>
      <c r="J5319" s="3565">
        <v>918703</v>
      </c>
      <c r="K5319" s="3565">
        <v>10527.13</v>
      </c>
      <c r="L5319" s="3565">
        <v>12939.48</v>
      </c>
      <c r="M5319" s="3565">
        <v>0</v>
      </c>
      <c r="N5319" s="3565">
        <v>0</v>
      </c>
      <c r="O5319" s="3563" t="s">
        <v>3453</v>
      </c>
    </row>
    <row r="5320" spans="1:15">
      <c r="A5320" s="3563" t="s">
        <v>9547</v>
      </c>
      <c r="B5320" s="3563" t="s">
        <v>4196</v>
      </c>
      <c r="C5320" s="3563" t="s">
        <v>4197</v>
      </c>
      <c r="D5320" s="3563" t="s">
        <v>6429</v>
      </c>
      <c r="E5320" s="3563" t="s">
        <v>9514</v>
      </c>
      <c r="F5320" s="3563" t="s">
        <v>4797</v>
      </c>
      <c r="G5320" s="3564">
        <v>87.27</v>
      </c>
      <c r="H5320" s="3564">
        <v>71</v>
      </c>
      <c r="I5320" s="3564">
        <v>16.27</v>
      </c>
      <c r="J5320" s="3565">
        <v>937271</v>
      </c>
      <c r="K5320" s="3565">
        <v>10739.9</v>
      </c>
      <c r="L5320" s="3565">
        <v>13201</v>
      </c>
      <c r="M5320" s="3565">
        <v>0</v>
      </c>
      <c r="N5320" s="3565">
        <v>0</v>
      </c>
      <c r="O5320" s="3563" t="s">
        <v>3453</v>
      </c>
    </row>
    <row r="5321" spans="1:15">
      <c r="A5321" s="3563" t="s">
        <v>9548</v>
      </c>
      <c r="B5321" s="3563" t="s">
        <v>4196</v>
      </c>
      <c r="C5321" s="3563" t="s">
        <v>4197</v>
      </c>
      <c r="D5321" s="3563" t="s">
        <v>6429</v>
      </c>
      <c r="E5321" s="3563" t="s">
        <v>9514</v>
      </c>
      <c r="F5321" s="3563" t="s">
        <v>4797</v>
      </c>
      <c r="G5321" s="3564">
        <v>108.71</v>
      </c>
      <c r="H5321" s="3564">
        <v>88.44</v>
      </c>
      <c r="I5321" s="3564">
        <v>20.27</v>
      </c>
      <c r="J5321" s="3565">
        <v>1115492</v>
      </c>
      <c r="K5321" s="3565">
        <v>10261.17</v>
      </c>
      <c r="L5321" s="3565">
        <v>12612.98</v>
      </c>
      <c r="M5321" s="3565">
        <v>0</v>
      </c>
      <c r="N5321" s="3565">
        <v>0</v>
      </c>
      <c r="O5321" s="3563" t="s">
        <v>3453</v>
      </c>
    </row>
    <row r="5322" spans="1:15">
      <c r="A5322" s="3563" t="s">
        <v>9549</v>
      </c>
      <c r="B5322" s="3563" t="s">
        <v>4196</v>
      </c>
      <c r="C5322" s="3563" t="s">
        <v>4197</v>
      </c>
      <c r="D5322" s="3563" t="s">
        <v>6429</v>
      </c>
      <c r="E5322" s="3563" t="s">
        <v>9514</v>
      </c>
      <c r="F5322" s="3563" t="s">
        <v>4797</v>
      </c>
      <c r="G5322" s="3564">
        <v>100.47</v>
      </c>
      <c r="H5322" s="3564">
        <v>81.739999999999995</v>
      </c>
      <c r="I5322" s="3564">
        <v>18.73</v>
      </c>
      <c r="J5322" s="3565">
        <v>1096139</v>
      </c>
      <c r="K5322" s="3565">
        <v>10910.11</v>
      </c>
      <c r="L5322" s="3565">
        <v>13410.07</v>
      </c>
      <c r="M5322" s="3565">
        <v>0</v>
      </c>
      <c r="N5322" s="3565">
        <v>0</v>
      </c>
      <c r="O5322" s="3563" t="s">
        <v>3453</v>
      </c>
    </row>
    <row r="5323" spans="1:15">
      <c r="A5323" s="3563" t="s">
        <v>9550</v>
      </c>
      <c r="B5323" s="3563" t="s">
        <v>4196</v>
      </c>
      <c r="C5323" s="3563" t="s">
        <v>4197</v>
      </c>
      <c r="D5323" s="3563" t="s">
        <v>6429</v>
      </c>
      <c r="E5323" s="3563" t="s">
        <v>9514</v>
      </c>
      <c r="F5323" s="3563" t="s">
        <v>4797</v>
      </c>
      <c r="G5323" s="3564">
        <v>100.47</v>
      </c>
      <c r="H5323" s="3564">
        <v>81.739999999999995</v>
      </c>
      <c r="I5323" s="3564">
        <v>18.73</v>
      </c>
      <c r="J5323" s="3565">
        <v>1074762</v>
      </c>
      <c r="K5323" s="3565">
        <v>10697.34</v>
      </c>
      <c r="L5323" s="3565">
        <v>13148.54</v>
      </c>
      <c r="M5323" s="3565">
        <v>0</v>
      </c>
      <c r="N5323" s="3565">
        <v>0</v>
      </c>
      <c r="O5323" s="3563" t="s">
        <v>3453</v>
      </c>
    </row>
    <row r="5324" spans="1:15">
      <c r="A5324" s="3563" t="s">
        <v>9551</v>
      </c>
      <c r="B5324" s="3563" t="s">
        <v>4196</v>
      </c>
      <c r="C5324" s="3563" t="s">
        <v>4197</v>
      </c>
      <c r="D5324" s="3563" t="s">
        <v>6429</v>
      </c>
      <c r="E5324" s="3563" t="s">
        <v>9514</v>
      </c>
      <c r="F5324" s="3563" t="s">
        <v>4797</v>
      </c>
      <c r="G5324" s="3564">
        <v>100.81</v>
      </c>
      <c r="H5324" s="3564">
        <v>82.01</v>
      </c>
      <c r="I5324" s="3564">
        <v>18.8</v>
      </c>
      <c r="J5324" s="3565">
        <v>1040863</v>
      </c>
      <c r="K5324" s="3565">
        <v>10325</v>
      </c>
      <c r="L5324" s="3565">
        <v>12691.9</v>
      </c>
      <c r="M5324" s="3565">
        <v>0</v>
      </c>
      <c r="N5324" s="3565">
        <v>0</v>
      </c>
      <c r="O5324" s="3563" t="s">
        <v>3453</v>
      </c>
    </row>
    <row r="5325" spans="1:15">
      <c r="A5325" s="3563" t="s">
        <v>9552</v>
      </c>
      <c r="B5325" s="3563" t="s">
        <v>4196</v>
      </c>
      <c r="C5325" s="3563" t="s">
        <v>4197</v>
      </c>
      <c r="D5325" s="3563" t="s">
        <v>6429</v>
      </c>
      <c r="E5325" s="3563" t="s">
        <v>9514</v>
      </c>
      <c r="F5325" s="3563" t="s">
        <v>4797</v>
      </c>
      <c r="G5325" s="3564">
        <v>87.27</v>
      </c>
      <c r="H5325" s="3564">
        <v>71</v>
      </c>
      <c r="I5325" s="3564">
        <v>16.27</v>
      </c>
      <c r="J5325" s="3565">
        <v>947483</v>
      </c>
      <c r="K5325" s="3565">
        <v>10856.92</v>
      </c>
      <c r="L5325" s="3565">
        <v>13344.83</v>
      </c>
      <c r="M5325" s="3565">
        <v>0</v>
      </c>
      <c r="N5325" s="3565">
        <v>0</v>
      </c>
      <c r="O5325" s="3563" t="s">
        <v>3453</v>
      </c>
    </row>
    <row r="5326" spans="1:15">
      <c r="A5326" s="3563" t="s">
        <v>9553</v>
      </c>
      <c r="B5326" s="3563" t="s">
        <v>4196</v>
      </c>
      <c r="C5326" s="3563" t="s">
        <v>4197</v>
      </c>
      <c r="D5326" s="3563" t="s">
        <v>6429</v>
      </c>
      <c r="E5326" s="3563" t="s">
        <v>9514</v>
      </c>
      <c r="F5326" s="3563" t="s">
        <v>4797</v>
      </c>
      <c r="G5326" s="3564">
        <v>87.27</v>
      </c>
      <c r="H5326" s="3564">
        <v>71</v>
      </c>
      <c r="I5326" s="3564">
        <v>16.27</v>
      </c>
      <c r="J5326" s="3565">
        <v>947483</v>
      </c>
      <c r="K5326" s="3565">
        <v>10856.92</v>
      </c>
      <c r="L5326" s="3565">
        <v>13344.83</v>
      </c>
      <c r="M5326" s="3565">
        <v>0</v>
      </c>
      <c r="N5326" s="3565">
        <v>0</v>
      </c>
      <c r="O5326" s="3563" t="s">
        <v>3453</v>
      </c>
    </row>
    <row r="5327" spans="1:15">
      <c r="A5327" s="3563" t="s">
        <v>9554</v>
      </c>
      <c r="B5327" s="3563" t="s">
        <v>4196</v>
      </c>
      <c r="C5327" s="3563" t="s">
        <v>4197</v>
      </c>
      <c r="D5327" s="3563" t="s">
        <v>6429</v>
      </c>
      <c r="E5327" s="3563" t="s">
        <v>9514</v>
      </c>
      <c r="F5327" s="3563" t="s">
        <v>4797</v>
      </c>
      <c r="G5327" s="3564">
        <v>108.71</v>
      </c>
      <c r="H5327" s="3564">
        <v>88.44</v>
      </c>
      <c r="I5327" s="3564">
        <v>20.27</v>
      </c>
      <c r="J5327" s="3565">
        <v>1128213</v>
      </c>
      <c r="K5327" s="3565">
        <v>10378.19</v>
      </c>
      <c r="L5327" s="3565">
        <v>12756.82</v>
      </c>
      <c r="M5327" s="3565">
        <v>0</v>
      </c>
      <c r="N5327" s="3565">
        <v>0</v>
      </c>
      <c r="O5327" s="3563" t="s">
        <v>3453</v>
      </c>
    </row>
    <row r="5328" spans="1:15">
      <c r="A5328" s="3563" t="s">
        <v>9555</v>
      </c>
      <c r="B5328" s="3563" t="s">
        <v>4196</v>
      </c>
      <c r="C5328" s="3563" t="s">
        <v>4197</v>
      </c>
      <c r="D5328" s="3563" t="s">
        <v>6429</v>
      </c>
      <c r="E5328" s="3563" t="s">
        <v>9514</v>
      </c>
      <c r="F5328" s="3563" t="s">
        <v>4797</v>
      </c>
      <c r="G5328" s="3564">
        <v>100.47</v>
      </c>
      <c r="H5328" s="3564">
        <v>81.739999999999995</v>
      </c>
      <c r="I5328" s="3564">
        <v>18.73</v>
      </c>
      <c r="J5328" s="3565">
        <v>1095070</v>
      </c>
      <c r="K5328" s="3565">
        <v>10899.47</v>
      </c>
      <c r="L5328" s="3565">
        <v>13396.99</v>
      </c>
      <c r="M5328" s="3565">
        <v>0</v>
      </c>
      <c r="N5328" s="3565">
        <v>0</v>
      </c>
      <c r="O5328" s="3563" t="s">
        <v>3453</v>
      </c>
    </row>
    <row r="5329" spans="1:15">
      <c r="A5329" s="3563" t="s">
        <v>9556</v>
      </c>
      <c r="B5329" s="3563" t="s">
        <v>4196</v>
      </c>
      <c r="C5329" s="3563" t="s">
        <v>4197</v>
      </c>
      <c r="D5329" s="3563" t="s">
        <v>6429</v>
      </c>
      <c r="E5329" s="3563" t="s">
        <v>9514</v>
      </c>
      <c r="F5329" s="3563" t="s">
        <v>4797</v>
      </c>
      <c r="G5329" s="3564">
        <v>100.47</v>
      </c>
      <c r="H5329" s="3564">
        <v>81.739999999999995</v>
      </c>
      <c r="I5329" s="3564">
        <v>18.73</v>
      </c>
      <c r="J5329" s="3565">
        <v>1073693</v>
      </c>
      <c r="K5329" s="3565">
        <v>10686.7</v>
      </c>
      <c r="L5329" s="3565">
        <v>13135.47</v>
      </c>
      <c r="M5329" s="3565">
        <v>0</v>
      </c>
      <c r="N5329" s="3565">
        <v>0</v>
      </c>
      <c r="O5329" s="3563" t="s">
        <v>3453</v>
      </c>
    </row>
    <row r="5330" spans="1:15">
      <c r="A5330" s="3563" t="s">
        <v>9557</v>
      </c>
      <c r="B5330" s="3563" t="s">
        <v>4196</v>
      </c>
      <c r="C5330" s="3563" t="s">
        <v>4197</v>
      </c>
      <c r="D5330" s="3563" t="s">
        <v>6429</v>
      </c>
      <c r="E5330" s="3563" t="s">
        <v>9514</v>
      </c>
      <c r="F5330" s="3563" t="s">
        <v>4797</v>
      </c>
      <c r="G5330" s="3564">
        <v>100.81</v>
      </c>
      <c r="H5330" s="3564">
        <v>82.01</v>
      </c>
      <c r="I5330" s="3564">
        <v>18.8</v>
      </c>
      <c r="J5330" s="3565">
        <v>1039791</v>
      </c>
      <c r="K5330" s="3565">
        <v>10314.36</v>
      </c>
      <c r="L5330" s="3565">
        <v>12678.83</v>
      </c>
      <c r="M5330" s="3565">
        <v>0</v>
      </c>
      <c r="N5330" s="3565">
        <v>0</v>
      </c>
      <c r="O5330" s="3563" t="s">
        <v>3453</v>
      </c>
    </row>
    <row r="5331" spans="1:15">
      <c r="A5331" s="3563" t="s">
        <v>9558</v>
      </c>
      <c r="B5331" s="3563" t="s">
        <v>4196</v>
      </c>
      <c r="C5331" s="3563" t="s">
        <v>4197</v>
      </c>
      <c r="D5331" s="3563" t="s">
        <v>6429</v>
      </c>
      <c r="E5331" s="3563" t="s">
        <v>9514</v>
      </c>
      <c r="F5331" s="3563" t="s">
        <v>4797</v>
      </c>
      <c r="G5331" s="3564">
        <v>87.27</v>
      </c>
      <c r="H5331" s="3564">
        <v>71</v>
      </c>
      <c r="I5331" s="3564">
        <v>16.27</v>
      </c>
      <c r="J5331" s="3565">
        <v>946555</v>
      </c>
      <c r="K5331" s="3565">
        <v>10846.28</v>
      </c>
      <c r="L5331" s="3565">
        <v>13331.76</v>
      </c>
      <c r="M5331" s="3565">
        <v>0</v>
      </c>
      <c r="N5331" s="3565">
        <v>0</v>
      </c>
      <c r="O5331" s="3563" t="s">
        <v>3453</v>
      </c>
    </row>
    <row r="5332" spans="1:15">
      <c r="A5332" s="3563" t="s">
        <v>9559</v>
      </c>
      <c r="B5332" s="3563" t="s">
        <v>4196</v>
      </c>
      <c r="C5332" s="3563" t="s">
        <v>4197</v>
      </c>
      <c r="D5332" s="3563" t="s">
        <v>6429</v>
      </c>
      <c r="E5332" s="3563" t="s">
        <v>9514</v>
      </c>
      <c r="F5332" s="3563" t="s">
        <v>4797</v>
      </c>
      <c r="G5332" s="3564">
        <v>87.27</v>
      </c>
      <c r="H5332" s="3564">
        <v>71</v>
      </c>
      <c r="I5332" s="3564">
        <v>16.27</v>
      </c>
      <c r="J5332" s="3565">
        <v>946555</v>
      </c>
      <c r="K5332" s="3565">
        <v>10846.28</v>
      </c>
      <c r="L5332" s="3565">
        <v>13331.76</v>
      </c>
      <c r="M5332" s="3565">
        <v>0</v>
      </c>
      <c r="N5332" s="3565">
        <v>0</v>
      </c>
      <c r="O5332" s="3563" t="s">
        <v>3453</v>
      </c>
    </row>
    <row r="5333" spans="1:15">
      <c r="A5333" s="3563" t="s">
        <v>9560</v>
      </c>
      <c r="B5333" s="3563" t="s">
        <v>4196</v>
      </c>
      <c r="C5333" s="3563" t="s">
        <v>4197</v>
      </c>
      <c r="D5333" s="3563" t="s">
        <v>6429</v>
      </c>
      <c r="E5333" s="3563" t="s">
        <v>9514</v>
      </c>
      <c r="F5333" s="3563" t="s">
        <v>4797</v>
      </c>
      <c r="G5333" s="3564">
        <v>108.71</v>
      </c>
      <c r="H5333" s="3564">
        <v>88.44</v>
      </c>
      <c r="I5333" s="3564">
        <v>20.27</v>
      </c>
      <c r="J5333" s="3565">
        <v>1127057</v>
      </c>
      <c r="K5333" s="3565">
        <v>10367.56</v>
      </c>
      <c r="L5333" s="3565">
        <v>12743.75</v>
      </c>
      <c r="M5333" s="3565">
        <v>0</v>
      </c>
      <c r="N5333" s="3565">
        <v>0</v>
      </c>
      <c r="O5333" s="3563" t="s">
        <v>3453</v>
      </c>
    </row>
    <row r="5334" spans="1:15">
      <c r="A5334" s="3563" t="s">
        <v>9561</v>
      </c>
      <c r="B5334" s="3563" t="s">
        <v>4196</v>
      </c>
      <c r="C5334" s="3563" t="s">
        <v>4197</v>
      </c>
      <c r="D5334" s="3563" t="s">
        <v>6429</v>
      </c>
      <c r="E5334" s="3563" t="s">
        <v>9514</v>
      </c>
      <c r="F5334" s="3563" t="s">
        <v>4797</v>
      </c>
      <c r="G5334" s="3564">
        <v>100.47</v>
      </c>
      <c r="H5334" s="3564">
        <v>81.739999999999995</v>
      </c>
      <c r="I5334" s="3564">
        <v>18.73</v>
      </c>
      <c r="J5334" s="3565">
        <v>1094002</v>
      </c>
      <c r="K5334" s="3565">
        <v>10888.84</v>
      </c>
      <c r="L5334" s="3565">
        <v>13383.92</v>
      </c>
      <c r="M5334" s="3565">
        <v>0</v>
      </c>
      <c r="N5334" s="3565">
        <v>0</v>
      </c>
      <c r="O5334" s="3563" t="s">
        <v>3453</v>
      </c>
    </row>
    <row r="5335" spans="1:15">
      <c r="A5335" s="3563" t="s">
        <v>9562</v>
      </c>
      <c r="B5335" s="3563" t="s">
        <v>4196</v>
      </c>
      <c r="C5335" s="3563" t="s">
        <v>4197</v>
      </c>
      <c r="D5335" s="3563" t="s">
        <v>6429</v>
      </c>
      <c r="E5335" s="3563" t="s">
        <v>9514</v>
      </c>
      <c r="F5335" s="3563" t="s">
        <v>4797</v>
      </c>
      <c r="G5335" s="3564">
        <v>100.47</v>
      </c>
      <c r="H5335" s="3564">
        <v>81.739999999999995</v>
      </c>
      <c r="I5335" s="3564">
        <v>18.73</v>
      </c>
      <c r="J5335" s="3565">
        <v>1072625</v>
      </c>
      <c r="K5335" s="3565">
        <v>10676.07</v>
      </c>
      <c r="L5335" s="3565">
        <v>13122.4</v>
      </c>
      <c r="M5335" s="3565">
        <v>0</v>
      </c>
      <c r="N5335" s="3565">
        <v>0</v>
      </c>
      <c r="O5335" s="3563" t="s">
        <v>3453</v>
      </c>
    </row>
    <row r="5336" spans="1:15">
      <c r="A5336" s="3563" t="s">
        <v>9563</v>
      </c>
      <c r="B5336" s="3563" t="s">
        <v>4196</v>
      </c>
      <c r="C5336" s="3563" t="s">
        <v>4197</v>
      </c>
      <c r="D5336" s="3563" t="s">
        <v>6429</v>
      </c>
      <c r="E5336" s="3563" t="s">
        <v>9514</v>
      </c>
      <c r="F5336" s="3563" t="s">
        <v>4797</v>
      </c>
      <c r="G5336" s="3564">
        <v>100.81</v>
      </c>
      <c r="H5336" s="3564">
        <v>82.01</v>
      </c>
      <c r="I5336" s="3564">
        <v>18.8</v>
      </c>
      <c r="J5336" s="3565">
        <v>1038719</v>
      </c>
      <c r="K5336" s="3565">
        <v>10303.73</v>
      </c>
      <c r="L5336" s="3565">
        <v>12665.76</v>
      </c>
      <c r="M5336" s="3565">
        <v>0</v>
      </c>
      <c r="N5336" s="3565">
        <v>0</v>
      </c>
      <c r="O5336" s="3563" t="s">
        <v>3453</v>
      </c>
    </row>
    <row r="5337" spans="1:15">
      <c r="A5337" s="3563" t="s">
        <v>9564</v>
      </c>
      <c r="B5337" s="3563" t="s">
        <v>4196</v>
      </c>
      <c r="C5337" s="3563" t="s">
        <v>4197</v>
      </c>
      <c r="D5337" s="3563" t="s">
        <v>6429</v>
      </c>
      <c r="E5337" s="3563" t="s">
        <v>9514</v>
      </c>
      <c r="F5337" s="3563" t="s">
        <v>4797</v>
      </c>
      <c r="G5337" s="3564">
        <v>87.27</v>
      </c>
      <c r="H5337" s="3564">
        <v>71</v>
      </c>
      <c r="I5337" s="3564">
        <v>16.27</v>
      </c>
      <c r="J5337" s="3565">
        <v>945627</v>
      </c>
      <c r="K5337" s="3565">
        <v>10835.65</v>
      </c>
      <c r="L5337" s="3565">
        <v>13318.69</v>
      </c>
      <c r="M5337" s="3565">
        <v>0</v>
      </c>
      <c r="N5337" s="3565">
        <v>0</v>
      </c>
      <c r="O5337" s="3563" t="s">
        <v>3453</v>
      </c>
    </row>
    <row r="5338" spans="1:15">
      <c r="A5338" s="3563" t="s">
        <v>9565</v>
      </c>
      <c r="B5338" s="3563" t="s">
        <v>4196</v>
      </c>
      <c r="C5338" s="3563" t="s">
        <v>4197</v>
      </c>
      <c r="D5338" s="3563" t="s">
        <v>6429</v>
      </c>
      <c r="E5338" s="3563" t="s">
        <v>9514</v>
      </c>
      <c r="F5338" s="3563" t="s">
        <v>4797</v>
      </c>
      <c r="G5338" s="3564">
        <v>87.27</v>
      </c>
      <c r="H5338" s="3564">
        <v>71</v>
      </c>
      <c r="I5338" s="3564">
        <v>16.27</v>
      </c>
      <c r="J5338" s="3565">
        <v>945627</v>
      </c>
      <c r="K5338" s="3565">
        <v>10835.65</v>
      </c>
      <c r="L5338" s="3565">
        <v>13318.69</v>
      </c>
      <c r="M5338" s="3565">
        <v>0</v>
      </c>
      <c r="N5338" s="3565">
        <v>0</v>
      </c>
      <c r="O5338" s="3563" t="s">
        <v>3453</v>
      </c>
    </row>
    <row r="5339" spans="1:15">
      <c r="A5339" s="3563" t="s">
        <v>9566</v>
      </c>
      <c r="B5339" s="3563" t="s">
        <v>4196</v>
      </c>
      <c r="C5339" s="3563" t="s">
        <v>4197</v>
      </c>
      <c r="D5339" s="3563" t="s">
        <v>6429</v>
      </c>
      <c r="E5339" s="3563" t="s">
        <v>9514</v>
      </c>
      <c r="F5339" s="3563" t="s">
        <v>4797</v>
      </c>
      <c r="G5339" s="3564">
        <v>108.71</v>
      </c>
      <c r="H5339" s="3564">
        <v>88.44</v>
      </c>
      <c r="I5339" s="3564">
        <v>20.27</v>
      </c>
      <c r="J5339" s="3565">
        <v>1125900</v>
      </c>
      <c r="K5339" s="3565">
        <v>10356.91</v>
      </c>
      <c r="L5339" s="3565">
        <v>12730.66</v>
      </c>
      <c r="M5339" s="3565">
        <v>0</v>
      </c>
      <c r="N5339" s="3565">
        <v>0</v>
      </c>
      <c r="O5339" s="3563" t="s">
        <v>3453</v>
      </c>
    </row>
    <row r="5340" spans="1:15">
      <c r="A5340" s="3563" t="s">
        <v>9567</v>
      </c>
      <c r="B5340" s="3563" t="s">
        <v>4196</v>
      </c>
      <c r="C5340" s="3563" t="s">
        <v>4197</v>
      </c>
      <c r="D5340" s="3563" t="s">
        <v>6429</v>
      </c>
      <c r="E5340" s="3563" t="s">
        <v>9514</v>
      </c>
      <c r="F5340" s="3563" t="s">
        <v>4797</v>
      </c>
      <c r="G5340" s="3564">
        <v>100.47</v>
      </c>
      <c r="H5340" s="3564">
        <v>81.739999999999995</v>
      </c>
      <c r="I5340" s="3564">
        <v>18.73</v>
      </c>
      <c r="J5340" s="3565">
        <v>1082244</v>
      </c>
      <c r="K5340" s="3565">
        <v>10771.81</v>
      </c>
      <c r="L5340" s="3565">
        <v>13240.08</v>
      </c>
      <c r="M5340" s="3565">
        <v>0</v>
      </c>
      <c r="N5340" s="3565">
        <v>0</v>
      </c>
      <c r="O5340" s="3563" t="s">
        <v>3453</v>
      </c>
    </row>
    <row r="5341" spans="1:15">
      <c r="A5341" s="3563" t="s">
        <v>9568</v>
      </c>
      <c r="B5341" s="3563" t="s">
        <v>4196</v>
      </c>
      <c r="C5341" s="3563" t="s">
        <v>4197</v>
      </c>
      <c r="D5341" s="3563" t="s">
        <v>6429</v>
      </c>
      <c r="E5341" s="3563" t="s">
        <v>9514</v>
      </c>
      <c r="F5341" s="3563" t="s">
        <v>4797</v>
      </c>
      <c r="G5341" s="3564">
        <v>100.47</v>
      </c>
      <c r="H5341" s="3564">
        <v>81.739999999999995</v>
      </c>
      <c r="I5341" s="3564">
        <v>18.73</v>
      </c>
      <c r="J5341" s="3565">
        <v>1060868</v>
      </c>
      <c r="K5341" s="3565">
        <v>10559.05</v>
      </c>
      <c r="L5341" s="3565">
        <v>12978.57</v>
      </c>
      <c r="M5341" s="3565">
        <v>0</v>
      </c>
      <c r="N5341" s="3565">
        <v>0</v>
      </c>
      <c r="O5341" s="3563" t="s">
        <v>3453</v>
      </c>
    </row>
    <row r="5342" spans="1:15">
      <c r="A5342" s="3563" t="s">
        <v>9569</v>
      </c>
      <c r="B5342" s="3563" t="s">
        <v>4196</v>
      </c>
      <c r="C5342" s="3563" t="s">
        <v>4197</v>
      </c>
      <c r="D5342" s="3563" t="s">
        <v>6429</v>
      </c>
      <c r="E5342" s="3563" t="s">
        <v>9514</v>
      </c>
      <c r="F5342" s="3563" t="s">
        <v>4797</v>
      </c>
      <c r="G5342" s="3564">
        <v>100.81</v>
      </c>
      <c r="H5342" s="3564">
        <v>82.01</v>
      </c>
      <c r="I5342" s="3564">
        <v>18.8</v>
      </c>
      <c r="J5342" s="3565">
        <v>1026922</v>
      </c>
      <c r="K5342" s="3565">
        <v>10186.709999999999</v>
      </c>
      <c r="L5342" s="3565">
        <v>12521.91</v>
      </c>
      <c r="M5342" s="3565">
        <v>0</v>
      </c>
      <c r="N5342" s="3565">
        <v>0</v>
      </c>
      <c r="O5342" s="3563" t="s">
        <v>3453</v>
      </c>
    </row>
    <row r="5343" spans="1:15">
      <c r="A5343" s="3563" t="s">
        <v>9570</v>
      </c>
      <c r="B5343" s="3563" t="s">
        <v>4196</v>
      </c>
      <c r="C5343" s="3563" t="s">
        <v>4197</v>
      </c>
      <c r="D5343" s="3563" t="s">
        <v>6429</v>
      </c>
      <c r="E5343" s="3563" t="s">
        <v>9514</v>
      </c>
      <c r="F5343" s="3563" t="s">
        <v>4797</v>
      </c>
      <c r="G5343" s="3564">
        <v>87.27</v>
      </c>
      <c r="H5343" s="3564">
        <v>71</v>
      </c>
      <c r="I5343" s="3564">
        <v>16.27</v>
      </c>
      <c r="J5343" s="3565">
        <v>935414</v>
      </c>
      <c r="K5343" s="3565">
        <v>10718.62</v>
      </c>
      <c r="L5343" s="3565">
        <v>13174.85</v>
      </c>
      <c r="M5343" s="3565">
        <v>0</v>
      </c>
      <c r="N5343" s="3565">
        <v>0</v>
      </c>
      <c r="O5343" s="3563" t="s">
        <v>3453</v>
      </c>
    </row>
    <row r="5344" spans="1:15">
      <c r="A5344" s="3563" t="s">
        <v>9571</v>
      </c>
      <c r="B5344" s="3563" t="s">
        <v>4196</v>
      </c>
      <c r="C5344" s="3563" t="s">
        <v>4197</v>
      </c>
      <c r="D5344" s="3563" t="s">
        <v>6429</v>
      </c>
      <c r="E5344" s="3563" t="s">
        <v>9514</v>
      </c>
      <c r="F5344" s="3563" t="s">
        <v>4797</v>
      </c>
      <c r="G5344" s="3564">
        <v>87.27</v>
      </c>
      <c r="H5344" s="3564">
        <v>71</v>
      </c>
      <c r="I5344" s="3564">
        <v>16.27</v>
      </c>
      <c r="J5344" s="3565">
        <v>935414</v>
      </c>
      <c r="K5344" s="3565">
        <v>10718.62</v>
      </c>
      <c r="L5344" s="3565">
        <v>13174.85</v>
      </c>
      <c r="M5344" s="3565">
        <v>0</v>
      </c>
      <c r="N5344" s="3565">
        <v>0</v>
      </c>
      <c r="O5344" s="3563" t="s">
        <v>3453</v>
      </c>
    </row>
    <row r="5345" spans="1:15">
      <c r="A5345" s="3563" t="s">
        <v>9572</v>
      </c>
      <c r="B5345" s="3563" t="s">
        <v>4196</v>
      </c>
      <c r="C5345" s="3563" t="s">
        <v>4197</v>
      </c>
      <c r="D5345" s="3563" t="s">
        <v>6429</v>
      </c>
      <c r="E5345" s="3563" t="s">
        <v>9514</v>
      </c>
      <c r="F5345" s="3563" t="s">
        <v>4797</v>
      </c>
      <c r="G5345" s="3564">
        <v>108.71</v>
      </c>
      <c r="H5345" s="3564">
        <v>88.44</v>
      </c>
      <c r="I5345" s="3564">
        <v>20.27</v>
      </c>
      <c r="J5345" s="3565">
        <v>1113179</v>
      </c>
      <c r="K5345" s="3565">
        <v>10239.9</v>
      </c>
      <c r="L5345" s="3565">
        <v>12586.83</v>
      </c>
      <c r="M5345" s="3565">
        <v>0</v>
      </c>
      <c r="N5345" s="3565">
        <v>0</v>
      </c>
      <c r="O5345" s="3563" t="s">
        <v>3453</v>
      </c>
    </row>
    <row r="5346" spans="1:15">
      <c r="A5346" s="3563" t="s">
        <v>9573</v>
      </c>
      <c r="B5346" s="3563" t="s">
        <v>4196</v>
      </c>
      <c r="C5346" s="3563" t="s">
        <v>4197</v>
      </c>
      <c r="D5346" s="3563" t="s">
        <v>6429</v>
      </c>
      <c r="E5346" s="3563" t="s">
        <v>9514</v>
      </c>
      <c r="F5346" s="3563" t="s">
        <v>4797</v>
      </c>
      <c r="G5346" s="3564">
        <v>100.47</v>
      </c>
      <c r="H5346" s="3564">
        <v>81.739999999999995</v>
      </c>
      <c r="I5346" s="3564">
        <v>18.73</v>
      </c>
      <c r="J5346" s="3565">
        <v>1091863</v>
      </c>
      <c r="K5346" s="3565">
        <v>10867.55</v>
      </c>
      <c r="L5346" s="3565">
        <v>13357.76</v>
      </c>
      <c r="M5346" s="3565">
        <v>0</v>
      </c>
      <c r="N5346" s="3565">
        <v>0</v>
      </c>
      <c r="O5346" s="3563" t="s">
        <v>3453</v>
      </c>
    </row>
    <row r="5347" spans="1:15">
      <c r="A5347" s="3563" t="s">
        <v>9574</v>
      </c>
      <c r="B5347" s="3563" t="s">
        <v>4196</v>
      </c>
      <c r="C5347" s="3563" t="s">
        <v>4197</v>
      </c>
      <c r="D5347" s="3563" t="s">
        <v>6429</v>
      </c>
      <c r="E5347" s="3563" t="s">
        <v>9514</v>
      </c>
      <c r="F5347" s="3563" t="s">
        <v>4797</v>
      </c>
      <c r="G5347" s="3564">
        <v>100.47</v>
      </c>
      <c r="H5347" s="3564">
        <v>81.739999999999995</v>
      </c>
      <c r="I5347" s="3564">
        <v>18.73</v>
      </c>
      <c r="J5347" s="3565">
        <v>1070487</v>
      </c>
      <c r="K5347" s="3565">
        <v>10654.79</v>
      </c>
      <c r="L5347" s="3565">
        <v>13096.24</v>
      </c>
      <c r="M5347" s="3565">
        <v>0</v>
      </c>
      <c r="N5347" s="3565">
        <v>0</v>
      </c>
      <c r="O5347" s="3563" t="s">
        <v>3453</v>
      </c>
    </row>
    <row r="5348" spans="1:15">
      <c r="A5348" s="3563" t="s">
        <v>9575</v>
      </c>
      <c r="B5348" s="3563" t="s">
        <v>4196</v>
      </c>
      <c r="C5348" s="3563" t="s">
        <v>4197</v>
      </c>
      <c r="D5348" s="3563" t="s">
        <v>6429</v>
      </c>
      <c r="E5348" s="3563" t="s">
        <v>9514</v>
      </c>
      <c r="F5348" s="3563" t="s">
        <v>4797</v>
      </c>
      <c r="G5348" s="3564">
        <v>100.81</v>
      </c>
      <c r="H5348" s="3564">
        <v>82.01</v>
      </c>
      <c r="I5348" s="3564">
        <v>18.8</v>
      </c>
      <c r="J5348" s="3565">
        <v>1036574</v>
      </c>
      <c r="K5348" s="3565">
        <v>10282.450000000001</v>
      </c>
      <c r="L5348" s="3565">
        <v>12639.6</v>
      </c>
      <c r="M5348" s="3565">
        <v>0</v>
      </c>
      <c r="N5348" s="3565">
        <v>0</v>
      </c>
      <c r="O5348" s="3563" t="s">
        <v>3453</v>
      </c>
    </row>
    <row r="5349" spans="1:15">
      <c r="A5349" s="3563" t="s">
        <v>9576</v>
      </c>
      <c r="B5349" s="3563" t="s">
        <v>4196</v>
      </c>
      <c r="C5349" s="3563" t="s">
        <v>4197</v>
      </c>
      <c r="D5349" s="3563" t="s">
        <v>6429</v>
      </c>
      <c r="E5349" s="3563" t="s">
        <v>9514</v>
      </c>
      <c r="F5349" s="3563" t="s">
        <v>4797</v>
      </c>
      <c r="G5349" s="3564">
        <v>87.27</v>
      </c>
      <c r="H5349" s="3564">
        <v>71</v>
      </c>
      <c r="I5349" s="3564">
        <v>16.27</v>
      </c>
      <c r="J5349" s="3565">
        <v>943770</v>
      </c>
      <c r="K5349" s="3565">
        <v>10814.37</v>
      </c>
      <c r="L5349" s="3565">
        <v>13292.54</v>
      </c>
      <c r="M5349" s="3565">
        <v>0</v>
      </c>
      <c r="N5349" s="3565">
        <v>0</v>
      </c>
      <c r="O5349" s="3563" t="s">
        <v>3453</v>
      </c>
    </row>
    <row r="5350" spans="1:15">
      <c r="A5350" s="3563" t="s">
        <v>9577</v>
      </c>
      <c r="B5350" s="3563" t="s">
        <v>4196</v>
      </c>
      <c r="C5350" s="3563" t="s">
        <v>4197</v>
      </c>
      <c r="D5350" s="3563" t="s">
        <v>6429</v>
      </c>
      <c r="E5350" s="3563" t="s">
        <v>9514</v>
      </c>
      <c r="F5350" s="3563" t="s">
        <v>4797</v>
      </c>
      <c r="G5350" s="3564">
        <v>87.27</v>
      </c>
      <c r="H5350" s="3564">
        <v>71</v>
      </c>
      <c r="I5350" s="3564">
        <v>16.27</v>
      </c>
      <c r="J5350" s="3565">
        <v>943770</v>
      </c>
      <c r="K5350" s="3565">
        <v>10814.37</v>
      </c>
      <c r="L5350" s="3565">
        <v>13292.54</v>
      </c>
      <c r="M5350" s="3565">
        <v>0</v>
      </c>
      <c r="N5350" s="3565">
        <v>0</v>
      </c>
      <c r="O5350" s="3563" t="s">
        <v>3453</v>
      </c>
    </row>
    <row r="5351" spans="1:15">
      <c r="A5351" s="3563" t="s">
        <v>9578</v>
      </c>
      <c r="B5351" s="3563" t="s">
        <v>4196</v>
      </c>
      <c r="C5351" s="3563" t="s">
        <v>4197</v>
      </c>
      <c r="D5351" s="3563" t="s">
        <v>6429</v>
      </c>
      <c r="E5351" s="3563" t="s">
        <v>9514</v>
      </c>
      <c r="F5351" s="3563" t="s">
        <v>4797</v>
      </c>
      <c r="G5351" s="3564">
        <v>108.71</v>
      </c>
      <c r="H5351" s="3564">
        <v>88.44</v>
      </c>
      <c r="I5351" s="3564">
        <v>20.27</v>
      </c>
      <c r="J5351" s="3565">
        <v>1123588</v>
      </c>
      <c r="K5351" s="3565">
        <v>10335.65</v>
      </c>
      <c r="L5351" s="3565">
        <v>12704.52</v>
      </c>
      <c r="M5351" s="3565">
        <v>0</v>
      </c>
      <c r="N5351" s="3565">
        <v>0</v>
      </c>
      <c r="O5351" s="3563" t="s">
        <v>3453</v>
      </c>
    </row>
    <row r="5352" spans="1:15">
      <c r="A5352" s="3563" t="s">
        <v>9579</v>
      </c>
      <c r="B5352" s="3563" t="s">
        <v>4196</v>
      </c>
      <c r="C5352" s="3563" t="s">
        <v>4197</v>
      </c>
      <c r="D5352" s="3563" t="s">
        <v>6429</v>
      </c>
      <c r="E5352" s="3563" t="s">
        <v>9514</v>
      </c>
      <c r="F5352" s="3563" t="s">
        <v>4797</v>
      </c>
      <c r="G5352" s="3564">
        <v>101.86</v>
      </c>
      <c r="H5352" s="3564">
        <v>81.739999999999995</v>
      </c>
      <c r="I5352" s="3564">
        <v>20.12</v>
      </c>
      <c r="J5352" s="3565">
        <v>1039786</v>
      </c>
      <c r="K5352" s="3565">
        <v>10207.99</v>
      </c>
      <c r="L5352" s="3565">
        <v>12720.65</v>
      </c>
      <c r="M5352" s="3565">
        <v>0</v>
      </c>
      <c r="N5352" s="3565">
        <v>0</v>
      </c>
      <c r="O5352" s="3563" t="s">
        <v>3453</v>
      </c>
    </row>
    <row r="5353" spans="1:15">
      <c r="A5353" s="3563" t="s">
        <v>9580</v>
      </c>
      <c r="B5353" s="3563" t="s">
        <v>4196</v>
      </c>
      <c r="C5353" s="3563" t="s">
        <v>4197</v>
      </c>
      <c r="D5353" s="3563" t="s">
        <v>6429</v>
      </c>
      <c r="E5353" s="3563" t="s">
        <v>9514</v>
      </c>
      <c r="F5353" s="3563" t="s">
        <v>4797</v>
      </c>
      <c r="G5353" s="3564">
        <v>101.86</v>
      </c>
      <c r="H5353" s="3564">
        <v>81.739999999999995</v>
      </c>
      <c r="I5353" s="3564">
        <v>20.12</v>
      </c>
      <c r="J5353" s="3565">
        <v>1018113</v>
      </c>
      <c r="K5353" s="3565">
        <v>9995.2199999999993</v>
      </c>
      <c r="L5353" s="3565">
        <v>12455.51</v>
      </c>
      <c r="M5353" s="3565">
        <v>0</v>
      </c>
      <c r="N5353" s="3565">
        <v>0</v>
      </c>
      <c r="O5353" s="3563" t="s">
        <v>3453</v>
      </c>
    </row>
    <row r="5354" spans="1:15">
      <c r="A5354" s="3563" t="s">
        <v>9581</v>
      </c>
      <c r="B5354" s="3563" t="s">
        <v>4196</v>
      </c>
      <c r="C5354" s="3563" t="s">
        <v>4197</v>
      </c>
      <c r="D5354" s="3563" t="s">
        <v>6429</v>
      </c>
      <c r="E5354" s="3563" t="s">
        <v>9514</v>
      </c>
      <c r="F5354" s="3563" t="s">
        <v>4797</v>
      </c>
      <c r="G5354" s="3564">
        <v>102.19</v>
      </c>
      <c r="H5354" s="3564">
        <v>82.01</v>
      </c>
      <c r="I5354" s="3564">
        <v>20.18</v>
      </c>
      <c r="J5354" s="3565">
        <v>1017063</v>
      </c>
      <c r="K5354" s="3565">
        <v>9952.67</v>
      </c>
      <c r="L5354" s="3565">
        <v>12401.69</v>
      </c>
      <c r="M5354" s="3565">
        <v>0</v>
      </c>
      <c r="N5354" s="3565">
        <v>0</v>
      </c>
      <c r="O5354" s="3563" t="s">
        <v>3453</v>
      </c>
    </row>
    <row r="5355" spans="1:15">
      <c r="A5355" s="3563" t="s">
        <v>9582</v>
      </c>
      <c r="B5355" s="3563" t="s">
        <v>4196</v>
      </c>
      <c r="C5355" s="3563" t="s">
        <v>4197</v>
      </c>
      <c r="D5355" s="3563" t="s">
        <v>6429</v>
      </c>
      <c r="E5355" s="3563" t="s">
        <v>9514</v>
      </c>
      <c r="F5355" s="3563" t="s">
        <v>4797</v>
      </c>
      <c r="G5355" s="3564">
        <v>88.47</v>
      </c>
      <c r="H5355" s="3564">
        <v>71</v>
      </c>
      <c r="I5355" s="3564">
        <v>17.47</v>
      </c>
      <c r="J5355" s="3565">
        <v>898394</v>
      </c>
      <c r="K5355" s="3565">
        <v>10154.790000000001</v>
      </c>
      <c r="L5355" s="3565">
        <v>12653.44</v>
      </c>
      <c r="M5355" s="3565">
        <v>0</v>
      </c>
      <c r="N5355" s="3565">
        <v>0</v>
      </c>
      <c r="O5355" s="3563" t="s">
        <v>3453</v>
      </c>
    </row>
    <row r="5356" spans="1:15">
      <c r="A5356" s="3563" t="s">
        <v>9583</v>
      </c>
      <c r="B5356" s="3563" t="s">
        <v>4196</v>
      </c>
      <c r="C5356" s="3563" t="s">
        <v>4197</v>
      </c>
      <c r="D5356" s="3563" t="s">
        <v>6429</v>
      </c>
      <c r="E5356" s="3563" t="s">
        <v>9514</v>
      </c>
      <c r="F5356" s="3563" t="s">
        <v>4797</v>
      </c>
      <c r="G5356" s="3564">
        <v>88.47</v>
      </c>
      <c r="H5356" s="3564">
        <v>71</v>
      </c>
      <c r="I5356" s="3564">
        <v>17.47</v>
      </c>
      <c r="J5356" s="3565">
        <v>917218</v>
      </c>
      <c r="K5356" s="3565">
        <v>10367.56</v>
      </c>
      <c r="L5356" s="3565">
        <v>12918.56</v>
      </c>
      <c r="M5356" s="3565">
        <v>0</v>
      </c>
      <c r="N5356" s="3565">
        <v>0</v>
      </c>
      <c r="O5356" s="3563" t="s">
        <v>3453</v>
      </c>
    </row>
    <row r="5357" spans="1:15">
      <c r="A5357" s="3563" t="s">
        <v>9584</v>
      </c>
      <c r="B5357" s="3563" t="s">
        <v>4196</v>
      </c>
      <c r="C5357" s="3563" t="s">
        <v>4197</v>
      </c>
      <c r="D5357" s="3563" t="s">
        <v>6429</v>
      </c>
      <c r="E5357" s="3563" t="s">
        <v>9514</v>
      </c>
      <c r="F5357" s="3563" t="s">
        <v>4797</v>
      </c>
      <c r="G5357" s="3564">
        <v>100.47</v>
      </c>
      <c r="H5357" s="3564">
        <v>81.739999999999995</v>
      </c>
      <c r="I5357" s="3564">
        <v>18.73</v>
      </c>
      <c r="J5357" s="3565">
        <v>1090795</v>
      </c>
      <c r="K5357" s="3565">
        <v>10856.92</v>
      </c>
      <c r="L5357" s="3565">
        <v>13344.69</v>
      </c>
      <c r="M5357" s="3565">
        <v>0</v>
      </c>
      <c r="N5357" s="3565">
        <v>0</v>
      </c>
      <c r="O5357" s="3563" t="s">
        <v>3453</v>
      </c>
    </row>
    <row r="5358" spans="1:15">
      <c r="A5358" s="3563" t="s">
        <v>9585</v>
      </c>
      <c r="B5358" s="3563" t="s">
        <v>4196</v>
      </c>
      <c r="C5358" s="3563" t="s">
        <v>4197</v>
      </c>
      <c r="D5358" s="3563" t="s">
        <v>6429</v>
      </c>
      <c r="E5358" s="3563" t="s">
        <v>9514</v>
      </c>
      <c r="F5358" s="3563" t="s">
        <v>4797</v>
      </c>
      <c r="G5358" s="3564">
        <v>100.47</v>
      </c>
      <c r="H5358" s="3564">
        <v>81.739999999999995</v>
      </c>
      <c r="I5358" s="3564">
        <v>18.73</v>
      </c>
      <c r="J5358" s="3565">
        <v>1090795</v>
      </c>
      <c r="K5358" s="3565">
        <v>10856.92</v>
      </c>
      <c r="L5358" s="3565">
        <v>13344.69</v>
      </c>
      <c r="M5358" s="3565">
        <v>0</v>
      </c>
      <c r="N5358" s="3565">
        <v>0</v>
      </c>
      <c r="O5358" s="3563" t="s">
        <v>3453</v>
      </c>
    </row>
    <row r="5359" spans="1:15">
      <c r="A5359" s="3563" t="s">
        <v>9586</v>
      </c>
      <c r="B5359" s="3563" t="s">
        <v>4196</v>
      </c>
      <c r="C5359" s="3563" t="s">
        <v>4197</v>
      </c>
      <c r="D5359" s="3563" t="s">
        <v>6429</v>
      </c>
      <c r="E5359" s="3563" t="s">
        <v>9514</v>
      </c>
      <c r="F5359" s="3563" t="s">
        <v>4797</v>
      </c>
      <c r="G5359" s="3564">
        <v>100.81</v>
      </c>
      <c r="H5359" s="3564">
        <v>82.01</v>
      </c>
      <c r="I5359" s="3564">
        <v>18.8</v>
      </c>
      <c r="J5359" s="3565">
        <v>1035502</v>
      </c>
      <c r="K5359" s="3565">
        <v>10271.82</v>
      </c>
      <c r="L5359" s="3565">
        <v>12626.53</v>
      </c>
      <c r="M5359" s="3565">
        <v>0</v>
      </c>
      <c r="N5359" s="3565">
        <v>0</v>
      </c>
      <c r="O5359" s="3563" t="s">
        <v>3453</v>
      </c>
    </row>
    <row r="5360" spans="1:15">
      <c r="A5360" s="3563" t="s">
        <v>9587</v>
      </c>
      <c r="B5360" s="3563" t="s">
        <v>4196</v>
      </c>
      <c r="C5360" s="3563" t="s">
        <v>4197</v>
      </c>
      <c r="D5360" s="3563" t="s">
        <v>6429</v>
      </c>
      <c r="E5360" s="3563" t="s">
        <v>9514</v>
      </c>
      <c r="F5360" s="3563" t="s">
        <v>4797</v>
      </c>
      <c r="G5360" s="3564">
        <v>87.27</v>
      </c>
      <c r="H5360" s="3564">
        <v>71</v>
      </c>
      <c r="I5360" s="3564">
        <v>16.27</v>
      </c>
      <c r="J5360" s="3565">
        <v>942841</v>
      </c>
      <c r="K5360" s="3565">
        <v>10803.72</v>
      </c>
      <c r="L5360" s="3565">
        <v>13279.45</v>
      </c>
      <c r="M5360" s="3565">
        <v>0</v>
      </c>
      <c r="N5360" s="3565">
        <v>0</v>
      </c>
      <c r="O5360" s="3563" t="s">
        <v>3453</v>
      </c>
    </row>
    <row r="5361" spans="1:15">
      <c r="A5361" s="3563" t="s">
        <v>9588</v>
      </c>
      <c r="B5361" s="3563" t="s">
        <v>4196</v>
      </c>
      <c r="C5361" s="3563" t="s">
        <v>4197</v>
      </c>
      <c r="D5361" s="3563" t="s">
        <v>6429</v>
      </c>
      <c r="E5361" s="3563" t="s">
        <v>9514</v>
      </c>
      <c r="F5361" s="3563" t="s">
        <v>4797</v>
      </c>
      <c r="G5361" s="3564">
        <v>87.27</v>
      </c>
      <c r="H5361" s="3564">
        <v>71</v>
      </c>
      <c r="I5361" s="3564">
        <v>16.27</v>
      </c>
      <c r="J5361" s="3565">
        <v>942841</v>
      </c>
      <c r="K5361" s="3565">
        <v>10803.72</v>
      </c>
      <c r="L5361" s="3565">
        <v>13279.45</v>
      </c>
      <c r="M5361" s="3565">
        <v>0</v>
      </c>
      <c r="N5361" s="3565">
        <v>0</v>
      </c>
      <c r="O5361" s="3563" t="s">
        <v>3453</v>
      </c>
    </row>
    <row r="5362" spans="1:15">
      <c r="A5362" s="3563" t="s">
        <v>9589</v>
      </c>
      <c r="B5362" s="3563" t="s">
        <v>4196</v>
      </c>
      <c r="C5362" s="3563" t="s">
        <v>4197</v>
      </c>
      <c r="D5362" s="3563" t="s">
        <v>6429</v>
      </c>
      <c r="E5362" s="3563" t="s">
        <v>9514</v>
      </c>
      <c r="F5362" s="3563" t="s">
        <v>4797</v>
      </c>
      <c r="G5362" s="3564">
        <v>108.71</v>
      </c>
      <c r="H5362" s="3564">
        <v>88.44</v>
      </c>
      <c r="I5362" s="3564">
        <v>20.27</v>
      </c>
      <c r="J5362" s="3565">
        <v>1122431</v>
      </c>
      <c r="K5362" s="3565">
        <v>10325</v>
      </c>
      <c r="L5362" s="3565">
        <v>12691.44</v>
      </c>
      <c r="M5362" s="3565">
        <v>0</v>
      </c>
      <c r="N5362" s="3565">
        <v>0</v>
      </c>
      <c r="O5362" s="3563" t="s">
        <v>3453</v>
      </c>
    </row>
    <row r="5363" spans="1:15">
      <c r="A5363" s="3563" t="s">
        <v>9590</v>
      </c>
      <c r="B5363" s="3563" t="s">
        <v>4196</v>
      </c>
      <c r="C5363" s="3563" t="s">
        <v>4197</v>
      </c>
      <c r="D5363" s="3563" t="s">
        <v>6429</v>
      </c>
      <c r="E5363" s="3563" t="s">
        <v>9514</v>
      </c>
      <c r="F5363" s="3563" t="s">
        <v>4797</v>
      </c>
      <c r="G5363" s="3564">
        <v>100.47</v>
      </c>
      <c r="H5363" s="3564">
        <v>81.739999999999995</v>
      </c>
      <c r="I5363" s="3564">
        <v>18.73</v>
      </c>
      <c r="J5363" s="3565">
        <v>1089726</v>
      </c>
      <c r="K5363" s="3565">
        <v>10846.28</v>
      </c>
      <c r="L5363" s="3565">
        <v>13331.61</v>
      </c>
      <c r="M5363" s="3565">
        <v>0</v>
      </c>
      <c r="N5363" s="3565">
        <v>0</v>
      </c>
      <c r="O5363" s="3563" t="s">
        <v>3453</v>
      </c>
    </row>
    <row r="5364" spans="1:15">
      <c r="A5364" s="3563" t="s">
        <v>9591</v>
      </c>
      <c r="B5364" s="3563" t="s">
        <v>4196</v>
      </c>
      <c r="C5364" s="3563" t="s">
        <v>4197</v>
      </c>
      <c r="D5364" s="3563" t="s">
        <v>6429</v>
      </c>
      <c r="E5364" s="3563" t="s">
        <v>9514</v>
      </c>
      <c r="F5364" s="3563" t="s">
        <v>4797</v>
      </c>
      <c r="G5364" s="3564">
        <v>100.47</v>
      </c>
      <c r="H5364" s="3564">
        <v>81.739999999999995</v>
      </c>
      <c r="I5364" s="3564">
        <v>18.73</v>
      </c>
      <c r="J5364" s="3565">
        <v>1089726</v>
      </c>
      <c r="K5364" s="3565">
        <v>10846.28</v>
      </c>
      <c r="L5364" s="3565">
        <v>13331.61</v>
      </c>
      <c r="M5364" s="3565">
        <v>0</v>
      </c>
      <c r="N5364" s="3565">
        <v>0</v>
      </c>
      <c r="O5364" s="3563" t="s">
        <v>3453</v>
      </c>
    </row>
    <row r="5365" spans="1:15">
      <c r="A5365" s="3563" t="s">
        <v>9592</v>
      </c>
      <c r="B5365" s="3563" t="s">
        <v>4196</v>
      </c>
      <c r="C5365" s="3563" t="s">
        <v>4197</v>
      </c>
      <c r="D5365" s="3563" t="s">
        <v>6429</v>
      </c>
      <c r="E5365" s="3563" t="s">
        <v>9514</v>
      </c>
      <c r="F5365" s="3563" t="s">
        <v>4797</v>
      </c>
      <c r="G5365" s="3564">
        <v>100.81</v>
      </c>
      <c r="H5365" s="3564">
        <v>82.01</v>
      </c>
      <c r="I5365" s="3564">
        <v>18.8</v>
      </c>
      <c r="J5365" s="3565">
        <v>1034429</v>
      </c>
      <c r="K5365" s="3565">
        <v>10261.17</v>
      </c>
      <c r="L5365" s="3565">
        <v>12613.45</v>
      </c>
      <c r="M5365" s="3565">
        <v>0</v>
      </c>
      <c r="N5365" s="3565">
        <v>0</v>
      </c>
      <c r="O5365" s="3563" t="s">
        <v>3453</v>
      </c>
    </row>
    <row r="5366" spans="1:15">
      <c r="A5366" s="3563" t="s">
        <v>9593</v>
      </c>
      <c r="B5366" s="3563" t="s">
        <v>4196</v>
      </c>
      <c r="C5366" s="3563" t="s">
        <v>4197</v>
      </c>
      <c r="D5366" s="3563" t="s">
        <v>6429</v>
      </c>
      <c r="E5366" s="3563" t="s">
        <v>9514</v>
      </c>
      <c r="F5366" s="3563" t="s">
        <v>4797</v>
      </c>
      <c r="G5366" s="3564">
        <v>87.27</v>
      </c>
      <c r="H5366" s="3564">
        <v>71</v>
      </c>
      <c r="I5366" s="3564">
        <v>16.27</v>
      </c>
      <c r="J5366" s="3565">
        <v>941913</v>
      </c>
      <c r="K5366" s="3565">
        <v>10793.09</v>
      </c>
      <c r="L5366" s="3565">
        <v>13266.38</v>
      </c>
      <c r="M5366" s="3565">
        <v>0</v>
      </c>
      <c r="N5366" s="3565">
        <v>0</v>
      </c>
      <c r="O5366" s="3563" t="s">
        <v>3453</v>
      </c>
    </row>
    <row r="5367" spans="1:15">
      <c r="A5367" s="3563" t="s">
        <v>9594</v>
      </c>
      <c r="B5367" s="3563" t="s">
        <v>4196</v>
      </c>
      <c r="C5367" s="3563" t="s">
        <v>4197</v>
      </c>
      <c r="D5367" s="3563" t="s">
        <v>6429</v>
      </c>
      <c r="E5367" s="3563" t="s">
        <v>9514</v>
      </c>
      <c r="F5367" s="3563" t="s">
        <v>4797</v>
      </c>
      <c r="G5367" s="3564">
        <v>87.27</v>
      </c>
      <c r="H5367" s="3564">
        <v>71</v>
      </c>
      <c r="I5367" s="3564">
        <v>16.27</v>
      </c>
      <c r="J5367" s="3565">
        <v>941913</v>
      </c>
      <c r="K5367" s="3565">
        <v>10793.09</v>
      </c>
      <c r="L5367" s="3565">
        <v>13266.38</v>
      </c>
      <c r="M5367" s="3565">
        <v>0</v>
      </c>
      <c r="N5367" s="3565">
        <v>0</v>
      </c>
      <c r="O5367" s="3563" t="s">
        <v>3453</v>
      </c>
    </row>
    <row r="5368" spans="1:15">
      <c r="A5368" s="3563" t="s">
        <v>9595</v>
      </c>
      <c r="B5368" s="3563" t="s">
        <v>4196</v>
      </c>
      <c r="C5368" s="3563" t="s">
        <v>4197</v>
      </c>
      <c r="D5368" s="3563" t="s">
        <v>6429</v>
      </c>
      <c r="E5368" s="3563" t="s">
        <v>9514</v>
      </c>
      <c r="F5368" s="3563" t="s">
        <v>4797</v>
      </c>
      <c r="G5368" s="3564">
        <v>108.71</v>
      </c>
      <c r="H5368" s="3564">
        <v>88.44</v>
      </c>
      <c r="I5368" s="3564">
        <v>20.27</v>
      </c>
      <c r="J5368" s="3565">
        <v>1121275</v>
      </c>
      <c r="K5368" s="3565">
        <v>10314.370000000001</v>
      </c>
      <c r="L5368" s="3565">
        <v>12678.37</v>
      </c>
      <c r="M5368" s="3565">
        <v>0</v>
      </c>
      <c r="N5368" s="3565">
        <v>0</v>
      </c>
      <c r="O5368" s="3563" t="s">
        <v>3453</v>
      </c>
    </row>
    <row r="5369" spans="1:15">
      <c r="A5369" s="3563" t="s">
        <v>9596</v>
      </c>
      <c r="B5369" s="3563" t="s">
        <v>4196</v>
      </c>
      <c r="C5369" s="3563" t="s">
        <v>4197</v>
      </c>
      <c r="D5369" s="3563" t="s">
        <v>6429</v>
      </c>
      <c r="E5369" s="3563" t="s">
        <v>9514</v>
      </c>
      <c r="F5369" s="3563" t="s">
        <v>4797</v>
      </c>
      <c r="G5369" s="3564">
        <v>100.47</v>
      </c>
      <c r="H5369" s="3564">
        <v>81.739999999999995</v>
      </c>
      <c r="I5369" s="3564">
        <v>18.73</v>
      </c>
      <c r="J5369" s="3565">
        <v>1088657</v>
      </c>
      <c r="K5369" s="3565">
        <v>10835.64</v>
      </c>
      <c r="L5369" s="3565">
        <v>13318.53</v>
      </c>
      <c r="M5369" s="3565">
        <v>0</v>
      </c>
      <c r="N5369" s="3565">
        <v>0</v>
      </c>
      <c r="O5369" s="3563" t="s">
        <v>3453</v>
      </c>
    </row>
    <row r="5370" spans="1:15">
      <c r="A5370" s="3563" t="s">
        <v>9597</v>
      </c>
      <c r="B5370" s="3563" t="s">
        <v>4196</v>
      </c>
      <c r="C5370" s="3563" t="s">
        <v>4197</v>
      </c>
      <c r="D5370" s="3563" t="s">
        <v>6429</v>
      </c>
      <c r="E5370" s="3563" t="s">
        <v>9514</v>
      </c>
      <c r="F5370" s="3563" t="s">
        <v>4797</v>
      </c>
      <c r="G5370" s="3564">
        <v>100.47</v>
      </c>
      <c r="H5370" s="3564">
        <v>81.739999999999995</v>
      </c>
      <c r="I5370" s="3564">
        <v>18.73</v>
      </c>
      <c r="J5370" s="3565">
        <v>1088657</v>
      </c>
      <c r="K5370" s="3565">
        <v>10835.64</v>
      </c>
      <c r="L5370" s="3565">
        <v>13318.53</v>
      </c>
      <c r="M5370" s="3565">
        <v>0</v>
      </c>
      <c r="N5370" s="3565">
        <v>0</v>
      </c>
      <c r="O5370" s="3563" t="s">
        <v>3453</v>
      </c>
    </row>
    <row r="5371" spans="1:15">
      <c r="A5371" s="3563" t="s">
        <v>9598</v>
      </c>
      <c r="B5371" s="3563" t="s">
        <v>4196</v>
      </c>
      <c r="C5371" s="3563" t="s">
        <v>4197</v>
      </c>
      <c r="D5371" s="3563" t="s">
        <v>6429</v>
      </c>
      <c r="E5371" s="3563" t="s">
        <v>9514</v>
      </c>
      <c r="F5371" s="3563" t="s">
        <v>4797</v>
      </c>
      <c r="G5371" s="3564">
        <v>100.81</v>
      </c>
      <c r="H5371" s="3564">
        <v>82.01</v>
      </c>
      <c r="I5371" s="3564">
        <v>18.8</v>
      </c>
      <c r="J5371" s="3565">
        <v>1033357</v>
      </c>
      <c r="K5371" s="3565">
        <v>10250.540000000001</v>
      </c>
      <c r="L5371" s="3565">
        <v>12600.38</v>
      </c>
      <c r="M5371" s="3565">
        <v>0</v>
      </c>
      <c r="N5371" s="3565">
        <v>0</v>
      </c>
      <c r="O5371" s="3563" t="s">
        <v>3453</v>
      </c>
    </row>
    <row r="5372" spans="1:15">
      <c r="A5372" s="3563" t="s">
        <v>9599</v>
      </c>
      <c r="B5372" s="3563" t="s">
        <v>4196</v>
      </c>
      <c r="C5372" s="3563" t="s">
        <v>4197</v>
      </c>
      <c r="D5372" s="3563" t="s">
        <v>6429</v>
      </c>
      <c r="E5372" s="3563" t="s">
        <v>9514</v>
      </c>
      <c r="F5372" s="3563" t="s">
        <v>4797</v>
      </c>
      <c r="G5372" s="3564">
        <v>87.27</v>
      </c>
      <c r="H5372" s="3564">
        <v>71</v>
      </c>
      <c r="I5372" s="3564">
        <v>16.27</v>
      </c>
      <c r="J5372" s="3565">
        <v>940985</v>
      </c>
      <c r="K5372" s="3565">
        <v>10782.46</v>
      </c>
      <c r="L5372" s="3565">
        <v>13253.31</v>
      </c>
      <c r="M5372" s="3565">
        <v>0</v>
      </c>
      <c r="N5372" s="3565">
        <v>0</v>
      </c>
      <c r="O5372" s="3563" t="s">
        <v>3453</v>
      </c>
    </row>
    <row r="5373" spans="1:15">
      <c r="A5373" s="3563" t="s">
        <v>9600</v>
      </c>
      <c r="B5373" s="3563" t="s">
        <v>4196</v>
      </c>
      <c r="C5373" s="3563" t="s">
        <v>4197</v>
      </c>
      <c r="D5373" s="3563" t="s">
        <v>6429</v>
      </c>
      <c r="E5373" s="3563" t="s">
        <v>9514</v>
      </c>
      <c r="F5373" s="3563" t="s">
        <v>4797</v>
      </c>
      <c r="G5373" s="3564">
        <v>87.27</v>
      </c>
      <c r="H5373" s="3564">
        <v>71</v>
      </c>
      <c r="I5373" s="3564">
        <v>16.27</v>
      </c>
      <c r="J5373" s="3565">
        <v>940985</v>
      </c>
      <c r="K5373" s="3565">
        <v>10782.46</v>
      </c>
      <c r="L5373" s="3565">
        <v>13253.31</v>
      </c>
      <c r="M5373" s="3565">
        <v>0</v>
      </c>
      <c r="N5373" s="3565">
        <v>0</v>
      </c>
      <c r="O5373" s="3563" t="s">
        <v>3453</v>
      </c>
    </row>
    <row r="5374" spans="1:15">
      <c r="A5374" s="3563" t="s">
        <v>9601</v>
      </c>
      <c r="B5374" s="3563" t="s">
        <v>4196</v>
      </c>
      <c r="C5374" s="3563" t="s">
        <v>4197</v>
      </c>
      <c r="D5374" s="3563" t="s">
        <v>6429</v>
      </c>
      <c r="E5374" s="3563" t="s">
        <v>9514</v>
      </c>
      <c r="F5374" s="3563" t="s">
        <v>4797</v>
      </c>
      <c r="G5374" s="3564">
        <v>108.71</v>
      </c>
      <c r="H5374" s="3564">
        <v>88.44</v>
      </c>
      <c r="I5374" s="3564">
        <v>20.27</v>
      </c>
      <c r="J5374" s="3565">
        <v>1120119</v>
      </c>
      <c r="K5374" s="3565">
        <v>10303.73</v>
      </c>
      <c r="L5374" s="3565">
        <v>12665.3</v>
      </c>
      <c r="M5374" s="3565">
        <v>0</v>
      </c>
      <c r="N5374" s="3565">
        <v>0</v>
      </c>
      <c r="O5374" s="3563" t="s">
        <v>3453</v>
      </c>
    </row>
    <row r="5375" spans="1:15">
      <c r="A5375" s="3563" t="s">
        <v>9602</v>
      </c>
      <c r="B5375" s="3563" t="s">
        <v>4196</v>
      </c>
      <c r="C5375" s="3563" t="s">
        <v>4197</v>
      </c>
      <c r="D5375" s="3563" t="s">
        <v>6429</v>
      </c>
      <c r="E5375" s="3563" t="s">
        <v>9514</v>
      </c>
      <c r="F5375" s="3563" t="s">
        <v>4797</v>
      </c>
      <c r="G5375" s="3564">
        <v>100.47</v>
      </c>
      <c r="H5375" s="3564">
        <v>81.739999999999995</v>
      </c>
      <c r="I5375" s="3564">
        <v>18.73</v>
      </c>
      <c r="J5375" s="3565">
        <v>1087588</v>
      </c>
      <c r="K5375" s="3565">
        <v>10825</v>
      </c>
      <c r="L5375" s="3565">
        <v>13305.46</v>
      </c>
      <c r="M5375" s="3565">
        <v>0</v>
      </c>
      <c r="N5375" s="3565">
        <v>0</v>
      </c>
      <c r="O5375" s="3563" t="s">
        <v>3453</v>
      </c>
    </row>
    <row r="5376" spans="1:15">
      <c r="A5376" s="3563" t="s">
        <v>9603</v>
      </c>
      <c r="B5376" s="3563" t="s">
        <v>4196</v>
      </c>
      <c r="C5376" s="3563" t="s">
        <v>4197</v>
      </c>
      <c r="D5376" s="3563" t="s">
        <v>6429</v>
      </c>
      <c r="E5376" s="3563" t="s">
        <v>9514</v>
      </c>
      <c r="F5376" s="3563" t="s">
        <v>4797</v>
      </c>
      <c r="G5376" s="3564">
        <v>100.47</v>
      </c>
      <c r="H5376" s="3564">
        <v>81.739999999999995</v>
      </c>
      <c r="I5376" s="3564">
        <v>18.73</v>
      </c>
      <c r="J5376" s="3565">
        <v>1087588</v>
      </c>
      <c r="K5376" s="3565">
        <v>10825</v>
      </c>
      <c r="L5376" s="3565">
        <v>13305.46</v>
      </c>
      <c r="M5376" s="3565">
        <v>0</v>
      </c>
      <c r="N5376" s="3565">
        <v>0</v>
      </c>
      <c r="O5376" s="3563" t="s">
        <v>3453</v>
      </c>
    </row>
    <row r="5377" spans="1:15">
      <c r="A5377" s="3563" t="s">
        <v>9604</v>
      </c>
      <c r="B5377" s="3563" t="s">
        <v>4196</v>
      </c>
      <c r="C5377" s="3563" t="s">
        <v>4197</v>
      </c>
      <c r="D5377" s="3563" t="s">
        <v>6429</v>
      </c>
      <c r="E5377" s="3563" t="s">
        <v>9514</v>
      </c>
      <c r="F5377" s="3563" t="s">
        <v>4797</v>
      </c>
      <c r="G5377" s="3564">
        <v>100.81</v>
      </c>
      <c r="H5377" s="3564">
        <v>82.01</v>
      </c>
      <c r="I5377" s="3564">
        <v>18.8</v>
      </c>
      <c r="J5377" s="3565">
        <v>1032285</v>
      </c>
      <c r="K5377" s="3565">
        <v>10239.91</v>
      </c>
      <c r="L5377" s="3565">
        <v>12587.31</v>
      </c>
      <c r="M5377" s="3565">
        <v>0</v>
      </c>
      <c r="N5377" s="3565">
        <v>0</v>
      </c>
      <c r="O5377" s="3563" t="s">
        <v>3453</v>
      </c>
    </row>
    <row r="5378" spans="1:15">
      <c r="A5378" s="3563" t="s">
        <v>9605</v>
      </c>
      <c r="B5378" s="3563" t="s">
        <v>4196</v>
      </c>
      <c r="C5378" s="3563" t="s">
        <v>4197</v>
      </c>
      <c r="D5378" s="3563" t="s">
        <v>6429</v>
      </c>
      <c r="E5378" s="3563" t="s">
        <v>9514</v>
      </c>
      <c r="F5378" s="3563" t="s">
        <v>4797</v>
      </c>
      <c r="G5378" s="3564">
        <v>87.27</v>
      </c>
      <c r="H5378" s="3564">
        <v>71</v>
      </c>
      <c r="I5378" s="3564">
        <v>16.27</v>
      </c>
      <c r="J5378" s="3565">
        <v>940056</v>
      </c>
      <c r="K5378" s="3565">
        <v>10771.81</v>
      </c>
      <c r="L5378" s="3565">
        <v>13240.23</v>
      </c>
      <c r="M5378" s="3565">
        <v>0</v>
      </c>
      <c r="N5378" s="3565">
        <v>0</v>
      </c>
      <c r="O5378" s="3563" t="s">
        <v>3453</v>
      </c>
    </row>
    <row r="5379" spans="1:15">
      <c r="A5379" s="3563" t="s">
        <v>9606</v>
      </c>
      <c r="B5379" s="3563" t="s">
        <v>4196</v>
      </c>
      <c r="C5379" s="3563" t="s">
        <v>4197</v>
      </c>
      <c r="D5379" s="3563" t="s">
        <v>6429</v>
      </c>
      <c r="E5379" s="3563" t="s">
        <v>9514</v>
      </c>
      <c r="F5379" s="3563" t="s">
        <v>4797</v>
      </c>
      <c r="G5379" s="3564">
        <v>87.27</v>
      </c>
      <c r="H5379" s="3564">
        <v>71</v>
      </c>
      <c r="I5379" s="3564">
        <v>16.27</v>
      </c>
      <c r="J5379" s="3565">
        <v>940056</v>
      </c>
      <c r="K5379" s="3565">
        <v>10771.81</v>
      </c>
      <c r="L5379" s="3565">
        <v>13240.23</v>
      </c>
      <c r="M5379" s="3565">
        <v>0</v>
      </c>
      <c r="N5379" s="3565">
        <v>0</v>
      </c>
      <c r="O5379" s="3563" t="s">
        <v>3453</v>
      </c>
    </row>
    <row r="5380" spans="1:15">
      <c r="A5380" s="3563" t="s">
        <v>9607</v>
      </c>
      <c r="B5380" s="3563" t="s">
        <v>4196</v>
      </c>
      <c r="C5380" s="3563" t="s">
        <v>4197</v>
      </c>
      <c r="D5380" s="3563" t="s">
        <v>6429</v>
      </c>
      <c r="E5380" s="3563" t="s">
        <v>9514</v>
      </c>
      <c r="F5380" s="3563" t="s">
        <v>4797</v>
      </c>
      <c r="G5380" s="3564">
        <v>108.71</v>
      </c>
      <c r="H5380" s="3564">
        <v>88.44</v>
      </c>
      <c r="I5380" s="3564">
        <v>20.27</v>
      </c>
      <c r="J5380" s="3565">
        <v>1118962</v>
      </c>
      <c r="K5380" s="3565">
        <v>10293.09</v>
      </c>
      <c r="L5380" s="3565">
        <v>12652.22</v>
      </c>
      <c r="M5380" s="3565">
        <v>0</v>
      </c>
      <c r="N5380" s="3565">
        <v>0</v>
      </c>
      <c r="O5380" s="3563" t="s">
        <v>3453</v>
      </c>
    </row>
    <row r="5381" spans="1:15">
      <c r="A5381" s="3563" t="s">
        <v>9608</v>
      </c>
      <c r="B5381" s="3563" t="s">
        <v>4196</v>
      </c>
      <c r="C5381" s="3563" t="s">
        <v>4197</v>
      </c>
      <c r="D5381" s="3563" t="s">
        <v>6429</v>
      </c>
      <c r="E5381" s="3563" t="s">
        <v>9514</v>
      </c>
      <c r="F5381" s="3563" t="s">
        <v>4797</v>
      </c>
      <c r="G5381" s="3564">
        <v>100.47</v>
      </c>
      <c r="H5381" s="3564">
        <v>81.739999999999995</v>
      </c>
      <c r="I5381" s="3564">
        <v>18.73</v>
      </c>
      <c r="J5381" s="3565">
        <v>1086520</v>
      </c>
      <c r="K5381" s="3565">
        <v>10814.37</v>
      </c>
      <c r="L5381" s="3565">
        <v>13292.39</v>
      </c>
      <c r="M5381" s="3565">
        <v>0</v>
      </c>
      <c r="N5381" s="3565">
        <v>0</v>
      </c>
      <c r="O5381" s="3563" t="s">
        <v>3453</v>
      </c>
    </row>
    <row r="5382" spans="1:15">
      <c r="A5382" s="3563" t="s">
        <v>9609</v>
      </c>
      <c r="B5382" s="3563" t="s">
        <v>4196</v>
      </c>
      <c r="C5382" s="3563" t="s">
        <v>4197</v>
      </c>
      <c r="D5382" s="3563" t="s">
        <v>6429</v>
      </c>
      <c r="E5382" s="3563" t="s">
        <v>9514</v>
      </c>
      <c r="F5382" s="3563" t="s">
        <v>4797</v>
      </c>
      <c r="G5382" s="3564">
        <v>100.47</v>
      </c>
      <c r="H5382" s="3564">
        <v>81.739999999999995</v>
      </c>
      <c r="I5382" s="3564">
        <v>18.73</v>
      </c>
      <c r="J5382" s="3565">
        <v>1086520</v>
      </c>
      <c r="K5382" s="3565">
        <v>10814.37</v>
      </c>
      <c r="L5382" s="3565">
        <v>13292.39</v>
      </c>
      <c r="M5382" s="3565">
        <v>0</v>
      </c>
      <c r="N5382" s="3565">
        <v>0</v>
      </c>
      <c r="O5382" s="3563" t="s">
        <v>3453</v>
      </c>
    </row>
    <row r="5383" spans="1:15">
      <c r="A5383" s="3563" t="s">
        <v>9610</v>
      </c>
      <c r="B5383" s="3563" t="s">
        <v>4196</v>
      </c>
      <c r="C5383" s="3563" t="s">
        <v>4197</v>
      </c>
      <c r="D5383" s="3563" t="s">
        <v>6429</v>
      </c>
      <c r="E5383" s="3563" t="s">
        <v>9514</v>
      </c>
      <c r="F5383" s="3563" t="s">
        <v>4797</v>
      </c>
      <c r="G5383" s="3564">
        <v>100.81</v>
      </c>
      <c r="H5383" s="3564">
        <v>82.01</v>
      </c>
      <c r="I5383" s="3564">
        <v>18.8</v>
      </c>
      <c r="J5383" s="3565">
        <v>1031212</v>
      </c>
      <c r="K5383" s="3565">
        <v>10229.26</v>
      </c>
      <c r="L5383" s="3565">
        <v>12574.22</v>
      </c>
      <c r="M5383" s="3565">
        <v>0</v>
      </c>
      <c r="N5383" s="3565">
        <v>0</v>
      </c>
      <c r="O5383" s="3563" t="s">
        <v>3453</v>
      </c>
    </row>
    <row r="5384" spans="1:15">
      <c r="A5384" s="3563" t="s">
        <v>9611</v>
      </c>
      <c r="B5384" s="3563" t="s">
        <v>4196</v>
      </c>
      <c r="C5384" s="3563" t="s">
        <v>4197</v>
      </c>
      <c r="D5384" s="3563" t="s">
        <v>6429</v>
      </c>
      <c r="E5384" s="3563" t="s">
        <v>9514</v>
      </c>
      <c r="F5384" s="3563" t="s">
        <v>4797</v>
      </c>
      <c r="G5384" s="3564">
        <v>87.27</v>
      </c>
      <c r="H5384" s="3564">
        <v>71</v>
      </c>
      <c r="I5384" s="3564">
        <v>16.27</v>
      </c>
      <c r="J5384" s="3565">
        <v>939128</v>
      </c>
      <c r="K5384" s="3565">
        <v>10761.18</v>
      </c>
      <c r="L5384" s="3565">
        <v>13227.15</v>
      </c>
      <c r="M5384" s="3565">
        <v>0</v>
      </c>
      <c r="N5384" s="3565">
        <v>0</v>
      </c>
      <c r="O5384" s="3563" t="s">
        <v>3453</v>
      </c>
    </row>
    <row r="5385" spans="1:15">
      <c r="A5385" s="3563" t="s">
        <v>9612</v>
      </c>
      <c r="B5385" s="3563" t="s">
        <v>4196</v>
      </c>
      <c r="C5385" s="3563" t="s">
        <v>4197</v>
      </c>
      <c r="D5385" s="3563" t="s">
        <v>6429</v>
      </c>
      <c r="E5385" s="3563" t="s">
        <v>9514</v>
      </c>
      <c r="F5385" s="3563" t="s">
        <v>4797</v>
      </c>
      <c r="G5385" s="3564">
        <v>87.27</v>
      </c>
      <c r="H5385" s="3564">
        <v>71</v>
      </c>
      <c r="I5385" s="3564">
        <v>16.27</v>
      </c>
      <c r="J5385" s="3565">
        <v>939128</v>
      </c>
      <c r="K5385" s="3565">
        <v>10761.18</v>
      </c>
      <c r="L5385" s="3565">
        <v>13227.15</v>
      </c>
      <c r="M5385" s="3565">
        <v>0</v>
      </c>
      <c r="N5385" s="3565">
        <v>0</v>
      </c>
      <c r="O5385" s="3563" t="s">
        <v>3453</v>
      </c>
    </row>
    <row r="5386" spans="1:15">
      <c r="A5386" s="3563" t="s">
        <v>9613</v>
      </c>
      <c r="B5386" s="3563" t="s">
        <v>4196</v>
      </c>
      <c r="C5386" s="3563" t="s">
        <v>4197</v>
      </c>
      <c r="D5386" s="3563" t="s">
        <v>6429</v>
      </c>
      <c r="E5386" s="3563" t="s">
        <v>9514</v>
      </c>
      <c r="F5386" s="3563" t="s">
        <v>4797</v>
      </c>
      <c r="G5386" s="3564">
        <v>108.71</v>
      </c>
      <c r="H5386" s="3564">
        <v>88.44</v>
      </c>
      <c r="I5386" s="3564">
        <v>20.27</v>
      </c>
      <c r="J5386" s="3565">
        <v>1117806</v>
      </c>
      <c r="K5386" s="3565">
        <v>10282.459999999999</v>
      </c>
      <c r="L5386" s="3565">
        <v>12639.15</v>
      </c>
      <c r="M5386" s="3565">
        <v>0</v>
      </c>
      <c r="N5386" s="3565">
        <v>0</v>
      </c>
      <c r="O5386" s="3563" t="s">
        <v>3453</v>
      </c>
    </row>
    <row r="5387" spans="1:15">
      <c r="A5387" s="3563" t="s">
        <v>9614</v>
      </c>
      <c r="B5387" s="3563" t="s">
        <v>4196</v>
      </c>
      <c r="C5387" s="3563" t="s">
        <v>4197</v>
      </c>
      <c r="D5387" s="3563" t="s">
        <v>6429</v>
      </c>
      <c r="E5387" s="3563" t="s">
        <v>9514</v>
      </c>
      <c r="F5387" s="3563" t="s">
        <v>4797</v>
      </c>
      <c r="G5387" s="3564">
        <v>100.47</v>
      </c>
      <c r="H5387" s="3564">
        <v>81.739999999999995</v>
      </c>
      <c r="I5387" s="3564">
        <v>18.73</v>
      </c>
      <c r="J5387" s="3565">
        <v>1085450</v>
      </c>
      <c r="K5387" s="3565">
        <v>10803.72</v>
      </c>
      <c r="L5387" s="3565">
        <v>13279.3</v>
      </c>
      <c r="M5387" s="3565">
        <v>0</v>
      </c>
      <c r="N5387" s="3565">
        <v>0</v>
      </c>
      <c r="O5387" s="3563" t="s">
        <v>3453</v>
      </c>
    </row>
    <row r="5388" spans="1:15">
      <c r="A5388" s="3563" t="s">
        <v>9615</v>
      </c>
      <c r="B5388" s="3563" t="s">
        <v>4196</v>
      </c>
      <c r="C5388" s="3563" t="s">
        <v>4197</v>
      </c>
      <c r="D5388" s="3563" t="s">
        <v>6429</v>
      </c>
      <c r="E5388" s="3563" t="s">
        <v>9514</v>
      </c>
      <c r="F5388" s="3563" t="s">
        <v>4797</v>
      </c>
      <c r="G5388" s="3564">
        <v>100.47</v>
      </c>
      <c r="H5388" s="3564">
        <v>81.739999999999995</v>
      </c>
      <c r="I5388" s="3564">
        <v>18.73</v>
      </c>
      <c r="J5388" s="3565">
        <v>1085450</v>
      </c>
      <c r="K5388" s="3565">
        <v>10803.72</v>
      </c>
      <c r="L5388" s="3565">
        <v>13279.3</v>
      </c>
      <c r="M5388" s="3565">
        <v>0</v>
      </c>
      <c r="N5388" s="3565">
        <v>0</v>
      </c>
      <c r="O5388" s="3563" t="s">
        <v>3453</v>
      </c>
    </row>
    <row r="5389" spans="1:15">
      <c r="A5389" s="3563" t="s">
        <v>9616</v>
      </c>
      <c r="B5389" s="3563" t="s">
        <v>4196</v>
      </c>
      <c r="C5389" s="3563" t="s">
        <v>4197</v>
      </c>
      <c r="D5389" s="3563" t="s">
        <v>6429</v>
      </c>
      <c r="E5389" s="3563" t="s">
        <v>9514</v>
      </c>
      <c r="F5389" s="3563" t="s">
        <v>4797</v>
      </c>
      <c r="G5389" s="3564">
        <v>100.81</v>
      </c>
      <c r="H5389" s="3564">
        <v>82.01</v>
      </c>
      <c r="I5389" s="3564">
        <v>18.8</v>
      </c>
      <c r="J5389" s="3565">
        <v>1051588</v>
      </c>
      <c r="K5389" s="3565">
        <v>10431.39</v>
      </c>
      <c r="L5389" s="3565">
        <v>12822.68</v>
      </c>
      <c r="M5389" s="3565">
        <v>0</v>
      </c>
      <c r="N5389" s="3565">
        <v>0</v>
      </c>
      <c r="O5389" s="3563" t="s">
        <v>3453</v>
      </c>
    </row>
    <row r="5390" spans="1:15">
      <c r="A5390" s="3563" t="s">
        <v>9617</v>
      </c>
      <c r="B5390" s="3563" t="s">
        <v>4196</v>
      </c>
      <c r="C5390" s="3563" t="s">
        <v>4197</v>
      </c>
      <c r="D5390" s="3563" t="s">
        <v>6429</v>
      </c>
      <c r="E5390" s="3563" t="s">
        <v>9514</v>
      </c>
      <c r="F5390" s="3563" t="s">
        <v>4797</v>
      </c>
      <c r="G5390" s="3564">
        <v>87.27</v>
      </c>
      <c r="H5390" s="3564">
        <v>71</v>
      </c>
      <c r="I5390" s="3564">
        <v>16.27</v>
      </c>
      <c r="J5390" s="3565">
        <v>938199</v>
      </c>
      <c r="K5390" s="3565">
        <v>10750.53</v>
      </c>
      <c r="L5390" s="3565">
        <v>13214.07</v>
      </c>
      <c r="M5390" s="3565">
        <v>0</v>
      </c>
      <c r="N5390" s="3565">
        <v>0</v>
      </c>
      <c r="O5390" s="3563" t="s">
        <v>3453</v>
      </c>
    </row>
    <row r="5391" spans="1:15">
      <c r="A5391" s="3563" t="s">
        <v>9618</v>
      </c>
      <c r="B5391" s="3563" t="s">
        <v>4196</v>
      </c>
      <c r="C5391" s="3563" t="s">
        <v>4197</v>
      </c>
      <c r="D5391" s="3563" t="s">
        <v>6429</v>
      </c>
      <c r="E5391" s="3563" t="s">
        <v>9514</v>
      </c>
      <c r="F5391" s="3563" t="s">
        <v>4797</v>
      </c>
      <c r="G5391" s="3564">
        <v>87.27</v>
      </c>
      <c r="H5391" s="3564">
        <v>71</v>
      </c>
      <c r="I5391" s="3564">
        <v>16.27</v>
      </c>
      <c r="J5391" s="3565">
        <v>938199</v>
      </c>
      <c r="K5391" s="3565">
        <v>10750.53</v>
      </c>
      <c r="L5391" s="3565">
        <v>13214.07</v>
      </c>
      <c r="M5391" s="3565">
        <v>0</v>
      </c>
      <c r="N5391" s="3565">
        <v>0</v>
      </c>
      <c r="O5391" s="3563" t="s">
        <v>3453</v>
      </c>
    </row>
    <row r="5392" spans="1:15">
      <c r="A5392" s="3563" t="s">
        <v>9619</v>
      </c>
      <c r="B5392" s="3563" t="s">
        <v>4196</v>
      </c>
      <c r="C5392" s="3563" t="s">
        <v>4197</v>
      </c>
      <c r="D5392" s="3563" t="s">
        <v>6429</v>
      </c>
      <c r="E5392" s="3563" t="s">
        <v>9514</v>
      </c>
      <c r="F5392" s="3563" t="s">
        <v>4797</v>
      </c>
      <c r="G5392" s="3564">
        <v>108.71</v>
      </c>
      <c r="H5392" s="3564">
        <v>88.44</v>
      </c>
      <c r="I5392" s="3564">
        <v>20.27</v>
      </c>
      <c r="J5392" s="3565">
        <v>1116648</v>
      </c>
      <c r="K5392" s="3565">
        <v>10271.81</v>
      </c>
      <c r="L5392" s="3565">
        <v>12626.05</v>
      </c>
      <c r="M5392" s="3565">
        <v>0</v>
      </c>
      <c r="N5392" s="3565">
        <v>0</v>
      </c>
      <c r="O5392" s="3563" t="s">
        <v>3453</v>
      </c>
    </row>
    <row r="5393" spans="1:15">
      <c r="A5393" s="3563" t="s">
        <v>9620</v>
      </c>
      <c r="B5393" s="3563" t="s">
        <v>4196</v>
      </c>
      <c r="C5393" s="3563" t="s">
        <v>4197</v>
      </c>
      <c r="D5393" s="3563" t="s">
        <v>6429</v>
      </c>
      <c r="E5393" s="3563" t="s">
        <v>9514</v>
      </c>
      <c r="F5393" s="3563" t="s">
        <v>4797</v>
      </c>
      <c r="G5393" s="3564">
        <v>100.47</v>
      </c>
      <c r="H5393" s="3564">
        <v>81.739999999999995</v>
      </c>
      <c r="I5393" s="3564">
        <v>18.73</v>
      </c>
      <c r="J5393" s="3565">
        <v>1052316</v>
      </c>
      <c r="K5393" s="3565">
        <v>10473.93</v>
      </c>
      <c r="L5393" s="3565">
        <v>12873.94</v>
      </c>
      <c r="M5393" s="3565">
        <v>0</v>
      </c>
      <c r="N5393" s="3565">
        <v>0</v>
      </c>
      <c r="O5393" s="3563" t="s">
        <v>3453</v>
      </c>
    </row>
    <row r="5394" spans="1:15">
      <c r="A5394" s="3563" t="s">
        <v>9621</v>
      </c>
      <c r="B5394" s="3563" t="s">
        <v>4196</v>
      </c>
      <c r="C5394" s="3563" t="s">
        <v>4197</v>
      </c>
      <c r="D5394" s="3563" t="s">
        <v>6429</v>
      </c>
      <c r="E5394" s="3563" t="s">
        <v>9514</v>
      </c>
      <c r="F5394" s="3563" t="s">
        <v>4797</v>
      </c>
      <c r="G5394" s="3564">
        <v>100.47</v>
      </c>
      <c r="H5394" s="3564">
        <v>81.739999999999995</v>
      </c>
      <c r="I5394" s="3564">
        <v>18.73</v>
      </c>
      <c r="J5394" s="3565">
        <v>1052316</v>
      </c>
      <c r="K5394" s="3565">
        <v>10473.93</v>
      </c>
      <c r="L5394" s="3565">
        <v>12873.94</v>
      </c>
      <c r="M5394" s="3565">
        <v>0</v>
      </c>
      <c r="N5394" s="3565">
        <v>0</v>
      </c>
      <c r="O5394" s="3563" t="s">
        <v>3453</v>
      </c>
    </row>
    <row r="5395" spans="1:15">
      <c r="A5395" s="3563" t="s">
        <v>9622</v>
      </c>
      <c r="B5395" s="3563" t="s">
        <v>4196</v>
      </c>
      <c r="C5395" s="3563" t="s">
        <v>4197</v>
      </c>
      <c r="D5395" s="3563" t="s">
        <v>6429</v>
      </c>
      <c r="E5395" s="3563" t="s">
        <v>9514</v>
      </c>
      <c r="F5395" s="3563" t="s">
        <v>4797</v>
      </c>
      <c r="G5395" s="3564">
        <v>100.81</v>
      </c>
      <c r="H5395" s="3564">
        <v>82.01</v>
      </c>
      <c r="I5395" s="3564">
        <v>18.8</v>
      </c>
      <c r="J5395" s="3565">
        <v>1018342</v>
      </c>
      <c r="K5395" s="3565">
        <v>10101.6</v>
      </c>
      <c r="L5395" s="3565">
        <v>12417.29</v>
      </c>
      <c r="M5395" s="3565">
        <v>0</v>
      </c>
      <c r="N5395" s="3565">
        <v>0</v>
      </c>
      <c r="O5395" s="3563" t="s">
        <v>3453</v>
      </c>
    </row>
    <row r="5396" spans="1:15">
      <c r="A5396" s="3563" t="s">
        <v>9623</v>
      </c>
      <c r="B5396" s="3563" t="s">
        <v>4196</v>
      </c>
      <c r="C5396" s="3563" t="s">
        <v>4197</v>
      </c>
      <c r="D5396" s="3563" t="s">
        <v>6429</v>
      </c>
      <c r="E5396" s="3563" t="s">
        <v>9514</v>
      </c>
      <c r="F5396" s="3563" t="s">
        <v>4797</v>
      </c>
      <c r="G5396" s="3564">
        <v>87.27</v>
      </c>
      <c r="H5396" s="3564">
        <v>71</v>
      </c>
      <c r="I5396" s="3564">
        <v>16.27</v>
      </c>
      <c r="J5396" s="3565">
        <v>909419</v>
      </c>
      <c r="K5396" s="3565">
        <v>10420.75</v>
      </c>
      <c r="L5396" s="3565">
        <v>12808.72</v>
      </c>
      <c r="M5396" s="3565">
        <v>0</v>
      </c>
      <c r="N5396" s="3565">
        <v>0</v>
      </c>
      <c r="O5396" s="3563" t="s">
        <v>3453</v>
      </c>
    </row>
    <row r="5397" spans="1:15">
      <c r="A5397" s="3563" t="s">
        <v>9624</v>
      </c>
      <c r="B5397" s="3563" t="s">
        <v>4196</v>
      </c>
      <c r="C5397" s="3563" t="s">
        <v>4197</v>
      </c>
      <c r="D5397" s="3563" t="s">
        <v>6429</v>
      </c>
      <c r="E5397" s="3563" t="s">
        <v>9514</v>
      </c>
      <c r="F5397" s="3563" t="s">
        <v>4797</v>
      </c>
      <c r="G5397" s="3564">
        <v>87.27</v>
      </c>
      <c r="H5397" s="3564">
        <v>71</v>
      </c>
      <c r="I5397" s="3564">
        <v>16.27</v>
      </c>
      <c r="J5397" s="3565">
        <v>909419</v>
      </c>
      <c r="K5397" s="3565">
        <v>10420.75</v>
      </c>
      <c r="L5397" s="3565">
        <v>12808.72</v>
      </c>
      <c r="M5397" s="3565">
        <v>0</v>
      </c>
      <c r="N5397" s="3565">
        <v>0</v>
      </c>
      <c r="O5397" s="3563" t="s">
        <v>3453</v>
      </c>
    </row>
    <row r="5398" spans="1:15">
      <c r="A5398" s="3563" t="s">
        <v>9625</v>
      </c>
      <c r="B5398" s="3563" t="s">
        <v>4196</v>
      </c>
      <c r="C5398" s="3563" t="s">
        <v>4197</v>
      </c>
      <c r="D5398" s="3563" t="s">
        <v>6429</v>
      </c>
      <c r="E5398" s="3563" t="s">
        <v>9514</v>
      </c>
      <c r="F5398" s="3563" t="s">
        <v>4797</v>
      </c>
      <c r="G5398" s="3564">
        <v>108.71</v>
      </c>
      <c r="H5398" s="3564">
        <v>88.44</v>
      </c>
      <c r="I5398" s="3564">
        <v>20.27</v>
      </c>
      <c r="J5398" s="3565">
        <v>1081954</v>
      </c>
      <c r="K5398" s="3565">
        <v>9952.66</v>
      </c>
      <c r="L5398" s="3565">
        <v>12233.76</v>
      </c>
      <c r="M5398" s="3565">
        <v>0</v>
      </c>
      <c r="N5398" s="3565">
        <v>0</v>
      </c>
      <c r="O5398" s="3563" t="s">
        <v>3453</v>
      </c>
    </row>
    <row r="5399" spans="1:15">
      <c r="A5399" s="3563" t="s">
        <v>9626</v>
      </c>
      <c r="B5399" s="3563" t="s">
        <v>4196</v>
      </c>
      <c r="C5399" s="3563" t="s">
        <v>4197</v>
      </c>
      <c r="D5399" s="3563" t="s">
        <v>6429</v>
      </c>
      <c r="E5399" s="3563" t="s">
        <v>9514</v>
      </c>
      <c r="F5399" s="3563" t="s">
        <v>4797</v>
      </c>
      <c r="G5399" s="3564">
        <v>100.47</v>
      </c>
      <c r="H5399" s="3564">
        <v>81.739999999999995</v>
      </c>
      <c r="I5399" s="3564">
        <v>18.73</v>
      </c>
      <c r="J5399" s="3565">
        <v>1038422</v>
      </c>
      <c r="K5399" s="3565">
        <v>10335.64</v>
      </c>
      <c r="L5399" s="3565">
        <v>12703.96</v>
      </c>
      <c r="M5399" s="3565">
        <v>0</v>
      </c>
      <c r="N5399" s="3565">
        <v>0</v>
      </c>
      <c r="O5399" s="3563" t="s">
        <v>3453</v>
      </c>
    </row>
    <row r="5400" spans="1:15">
      <c r="A5400" s="3563" t="s">
        <v>9627</v>
      </c>
      <c r="B5400" s="3563" t="s">
        <v>4196</v>
      </c>
      <c r="C5400" s="3563" t="s">
        <v>4197</v>
      </c>
      <c r="D5400" s="3563" t="s">
        <v>6429</v>
      </c>
      <c r="E5400" s="3563" t="s">
        <v>9514</v>
      </c>
      <c r="F5400" s="3563" t="s">
        <v>4797</v>
      </c>
      <c r="G5400" s="3564">
        <v>100.47</v>
      </c>
      <c r="H5400" s="3564">
        <v>81.739999999999995</v>
      </c>
      <c r="I5400" s="3564">
        <v>18.73</v>
      </c>
      <c r="J5400" s="3565">
        <v>1017045</v>
      </c>
      <c r="K5400" s="3565">
        <v>10122.870000000001</v>
      </c>
      <c r="L5400" s="3565">
        <v>12442.44</v>
      </c>
      <c r="M5400" s="3565">
        <v>0</v>
      </c>
      <c r="N5400" s="3565">
        <v>0</v>
      </c>
      <c r="O5400" s="3563" t="s">
        <v>3453</v>
      </c>
    </row>
    <row r="5401" spans="1:15">
      <c r="A5401" s="3563" t="s">
        <v>9628</v>
      </c>
      <c r="B5401" s="3563" t="s">
        <v>4196</v>
      </c>
      <c r="C5401" s="3563" t="s">
        <v>4197</v>
      </c>
      <c r="D5401" s="3563" t="s">
        <v>6429</v>
      </c>
      <c r="E5401" s="3563" t="s">
        <v>9514</v>
      </c>
      <c r="F5401" s="3563" t="s">
        <v>4797</v>
      </c>
      <c r="G5401" s="3564">
        <v>100.81</v>
      </c>
      <c r="H5401" s="3564">
        <v>82.01</v>
      </c>
      <c r="I5401" s="3564">
        <v>18.8</v>
      </c>
      <c r="J5401" s="3565">
        <v>1004400</v>
      </c>
      <c r="K5401" s="3565">
        <v>9963.2999999999993</v>
      </c>
      <c r="L5401" s="3565">
        <v>12247.29</v>
      </c>
      <c r="M5401" s="3565">
        <v>0</v>
      </c>
      <c r="N5401" s="3565">
        <v>0</v>
      </c>
      <c r="O5401" s="3563" t="s">
        <v>3453</v>
      </c>
    </row>
    <row r="5402" spans="1:15">
      <c r="A5402" s="3563" t="s">
        <v>9629</v>
      </c>
      <c r="B5402" s="3563" t="s">
        <v>4196</v>
      </c>
      <c r="C5402" s="3563" t="s">
        <v>4197</v>
      </c>
      <c r="D5402" s="3563" t="s">
        <v>6429</v>
      </c>
      <c r="E5402" s="3563" t="s">
        <v>9514</v>
      </c>
      <c r="F5402" s="3563" t="s">
        <v>4797</v>
      </c>
      <c r="G5402" s="3564">
        <v>87.27</v>
      </c>
      <c r="H5402" s="3564">
        <v>71</v>
      </c>
      <c r="I5402" s="3564">
        <v>16.27</v>
      </c>
      <c r="J5402" s="3565">
        <v>897349</v>
      </c>
      <c r="K5402" s="3565">
        <v>10282.450000000001</v>
      </c>
      <c r="L5402" s="3565">
        <v>12638.72</v>
      </c>
      <c r="M5402" s="3565">
        <v>0</v>
      </c>
      <c r="N5402" s="3565">
        <v>0</v>
      </c>
      <c r="O5402" s="3563" t="s">
        <v>3453</v>
      </c>
    </row>
    <row r="5403" spans="1:15">
      <c r="A5403" s="3563" t="s">
        <v>9630</v>
      </c>
      <c r="B5403" s="3563" t="s">
        <v>4196</v>
      </c>
      <c r="C5403" s="3563" t="s">
        <v>4197</v>
      </c>
      <c r="D5403" s="3563" t="s">
        <v>6429</v>
      </c>
      <c r="E5403" s="3563" t="s">
        <v>9514</v>
      </c>
      <c r="F5403" s="3563" t="s">
        <v>4797</v>
      </c>
      <c r="G5403" s="3564">
        <v>87.27</v>
      </c>
      <c r="H5403" s="3564">
        <v>71</v>
      </c>
      <c r="I5403" s="3564">
        <v>16.27</v>
      </c>
      <c r="J5403" s="3565">
        <v>915918</v>
      </c>
      <c r="K5403" s="3565">
        <v>10495.22</v>
      </c>
      <c r="L5403" s="3565">
        <v>12900.25</v>
      </c>
      <c r="M5403" s="3565">
        <v>0</v>
      </c>
      <c r="N5403" s="3565">
        <v>0</v>
      </c>
      <c r="O5403" s="3563" t="s">
        <v>3453</v>
      </c>
    </row>
    <row r="5404" spans="1:15">
      <c r="A5404" s="3563" t="s">
        <v>9631</v>
      </c>
      <c r="B5404" s="3563" t="s">
        <v>4196</v>
      </c>
      <c r="C5404" s="3563" t="s">
        <v>4197</v>
      </c>
      <c r="D5404" s="3563" t="s">
        <v>6429</v>
      </c>
      <c r="E5404" s="3563" t="s">
        <v>9514</v>
      </c>
      <c r="F5404" s="3563" t="s">
        <v>4797</v>
      </c>
      <c r="G5404" s="3564">
        <v>108.71</v>
      </c>
      <c r="H5404" s="3564">
        <v>88.44</v>
      </c>
      <c r="I5404" s="3564">
        <v>20.27</v>
      </c>
      <c r="J5404" s="3565">
        <v>1088893</v>
      </c>
      <c r="K5404" s="3565">
        <v>10016.49</v>
      </c>
      <c r="L5404" s="3565">
        <v>12312.22</v>
      </c>
      <c r="M5404" s="3565">
        <v>0</v>
      </c>
      <c r="N5404" s="3565">
        <v>0</v>
      </c>
      <c r="O5404" s="3563" t="s">
        <v>3453</v>
      </c>
    </row>
    <row r="5405" spans="1:15">
      <c r="A5405" s="3563" t="s">
        <v>9632</v>
      </c>
      <c r="B5405" s="3563" t="s">
        <v>4196</v>
      </c>
      <c r="C5405" s="3563" t="s">
        <v>4197</v>
      </c>
      <c r="D5405" s="3563" t="s">
        <v>6429</v>
      </c>
      <c r="E5405" s="3563" t="s">
        <v>9514</v>
      </c>
      <c r="F5405" s="3563" t="s">
        <v>4797</v>
      </c>
      <c r="G5405" s="3564">
        <v>100.47</v>
      </c>
      <c r="H5405" s="3564">
        <v>81.739999999999995</v>
      </c>
      <c r="I5405" s="3564">
        <v>18.73</v>
      </c>
      <c r="J5405" s="3565">
        <v>1051248</v>
      </c>
      <c r="K5405" s="3565">
        <v>10463.299999999999</v>
      </c>
      <c r="L5405" s="3565">
        <v>12860.88</v>
      </c>
      <c r="M5405" s="3565">
        <v>0</v>
      </c>
      <c r="N5405" s="3565">
        <v>0</v>
      </c>
      <c r="O5405" s="3563" t="s">
        <v>3453</v>
      </c>
    </row>
    <row r="5406" spans="1:15">
      <c r="A5406" s="3563" t="s">
        <v>9633</v>
      </c>
      <c r="B5406" s="3563" t="s">
        <v>4196</v>
      </c>
      <c r="C5406" s="3563" t="s">
        <v>4197</v>
      </c>
      <c r="D5406" s="3563" t="s">
        <v>6429</v>
      </c>
      <c r="E5406" s="3563" t="s">
        <v>9514</v>
      </c>
      <c r="F5406" s="3563" t="s">
        <v>4797</v>
      </c>
      <c r="G5406" s="3564">
        <v>100.47</v>
      </c>
      <c r="H5406" s="3564">
        <v>81.739999999999995</v>
      </c>
      <c r="I5406" s="3564">
        <v>18.73</v>
      </c>
      <c r="J5406" s="3565">
        <v>1029872</v>
      </c>
      <c r="K5406" s="3565">
        <v>10250.540000000001</v>
      </c>
      <c r="L5406" s="3565">
        <v>12599.36</v>
      </c>
      <c r="M5406" s="3565">
        <v>0</v>
      </c>
      <c r="N5406" s="3565">
        <v>0</v>
      </c>
      <c r="O5406" s="3563" t="s">
        <v>3453</v>
      </c>
    </row>
    <row r="5407" spans="1:15">
      <c r="A5407" s="3563" t="s">
        <v>9634</v>
      </c>
      <c r="B5407" s="3563" t="s">
        <v>4196</v>
      </c>
      <c r="C5407" s="3563" t="s">
        <v>4197</v>
      </c>
      <c r="D5407" s="3563" t="s">
        <v>6429</v>
      </c>
      <c r="E5407" s="3563" t="s">
        <v>9514</v>
      </c>
      <c r="F5407" s="3563" t="s">
        <v>4797</v>
      </c>
      <c r="G5407" s="3564">
        <v>100.81</v>
      </c>
      <c r="H5407" s="3564">
        <v>82.01</v>
      </c>
      <c r="I5407" s="3564">
        <v>18.8</v>
      </c>
      <c r="J5407" s="3565">
        <v>1017270</v>
      </c>
      <c r="K5407" s="3565">
        <v>10090.959999999999</v>
      </c>
      <c r="L5407" s="3565">
        <v>12404.22</v>
      </c>
      <c r="M5407" s="3565">
        <v>0</v>
      </c>
      <c r="N5407" s="3565">
        <v>0</v>
      </c>
      <c r="O5407" s="3563" t="s">
        <v>3453</v>
      </c>
    </row>
    <row r="5408" spans="1:15">
      <c r="A5408" s="3563" t="s">
        <v>9635</v>
      </c>
      <c r="B5408" s="3563" t="s">
        <v>4196</v>
      </c>
      <c r="C5408" s="3563" t="s">
        <v>4197</v>
      </c>
      <c r="D5408" s="3563" t="s">
        <v>6429</v>
      </c>
      <c r="E5408" s="3563" t="s">
        <v>9514</v>
      </c>
      <c r="F5408" s="3563" t="s">
        <v>4797</v>
      </c>
      <c r="G5408" s="3564">
        <v>87.27</v>
      </c>
      <c r="H5408" s="3564">
        <v>71</v>
      </c>
      <c r="I5408" s="3564">
        <v>16.27</v>
      </c>
      <c r="J5408" s="3565">
        <v>908491</v>
      </c>
      <c r="K5408" s="3565">
        <v>10410.120000000001</v>
      </c>
      <c r="L5408" s="3565">
        <v>12795.65</v>
      </c>
      <c r="M5408" s="3565">
        <v>0</v>
      </c>
      <c r="N5408" s="3565">
        <v>0</v>
      </c>
      <c r="O5408" s="3563" t="s">
        <v>3453</v>
      </c>
    </row>
    <row r="5409" spans="1:15">
      <c r="A5409" s="3563" t="s">
        <v>9636</v>
      </c>
      <c r="B5409" s="3563" t="s">
        <v>4196</v>
      </c>
      <c r="C5409" s="3563" t="s">
        <v>4197</v>
      </c>
      <c r="D5409" s="3563" t="s">
        <v>6429</v>
      </c>
      <c r="E5409" s="3563" t="s">
        <v>9514</v>
      </c>
      <c r="F5409" s="3563" t="s">
        <v>4797</v>
      </c>
      <c r="G5409" s="3564">
        <v>87.27</v>
      </c>
      <c r="H5409" s="3564">
        <v>71</v>
      </c>
      <c r="I5409" s="3564">
        <v>16.27</v>
      </c>
      <c r="J5409" s="3565">
        <v>927059</v>
      </c>
      <c r="K5409" s="3565">
        <v>10622.88</v>
      </c>
      <c r="L5409" s="3565">
        <v>13057.17</v>
      </c>
      <c r="M5409" s="3565">
        <v>0</v>
      </c>
      <c r="N5409" s="3565">
        <v>0</v>
      </c>
      <c r="O5409" s="3563" t="s">
        <v>3453</v>
      </c>
    </row>
    <row r="5410" spans="1:15">
      <c r="A5410" s="3563" t="s">
        <v>9637</v>
      </c>
      <c r="B5410" s="3563" t="s">
        <v>4196</v>
      </c>
      <c r="C5410" s="3563" t="s">
        <v>4197</v>
      </c>
      <c r="D5410" s="3563" t="s">
        <v>6429</v>
      </c>
      <c r="E5410" s="3563" t="s">
        <v>9514</v>
      </c>
      <c r="F5410" s="3563" t="s">
        <v>4797</v>
      </c>
      <c r="G5410" s="3564">
        <v>108.71</v>
      </c>
      <c r="H5410" s="3564">
        <v>88.44</v>
      </c>
      <c r="I5410" s="3564">
        <v>20.27</v>
      </c>
      <c r="J5410" s="3565">
        <v>1102771</v>
      </c>
      <c r="K5410" s="3565">
        <v>10144.15</v>
      </c>
      <c r="L5410" s="3565">
        <v>12469.14</v>
      </c>
      <c r="M5410" s="3565">
        <v>0</v>
      </c>
      <c r="N5410" s="3565">
        <v>0</v>
      </c>
      <c r="O5410" s="3563" t="s">
        <v>3453</v>
      </c>
    </row>
    <row r="5411" spans="1:15">
      <c r="A5411" s="3563" t="s">
        <v>9638</v>
      </c>
      <c r="B5411" s="3563" t="s">
        <v>4196</v>
      </c>
      <c r="C5411" s="3563" t="s">
        <v>4197</v>
      </c>
      <c r="D5411" s="3563" t="s">
        <v>6429</v>
      </c>
      <c r="E5411" s="3563" t="s">
        <v>9514</v>
      </c>
      <c r="F5411" s="3563" t="s">
        <v>4797</v>
      </c>
      <c r="G5411" s="3564">
        <v>100.47</v>
      </c>
      <c r="H5411" s="3564">
        <v>81.739999999999995</v>
      </c>
      <c r="I5411" s="3564">
        <v>18.73</v>
      </c>
      <c r="J5411" s="3565">
        <v>1064074</v>
      </c>
      <c r="K5411" s="3565">
        <v>10590.96</v>
      </c>
      <c r="L5411" s="3565">
        <v>13017.79</v>
      </c>
      <c r="M5411" s="3565">
        <v>0</v>
      </c>
      <c r="N5411" s="3565">
        <v>0</v>
      </c>
      <c r="O5411" s="3563" t="s">
        <v>3453</v>
      </c>
    </row>
    <row r="5412" spans="1:15">
      <c r="A5412" s="3563" t="s">
        <v>9639</v>
      </c>
      <c r="B5412" s="3563" t="s">
        <v>4196</v>
      </c>
      <c r="C5412" s="3563" t="s">
        <v>4197</v>
      </c>
      <c r="D5412" s="3563" t="s">
        <v>6429</v>
      </c>
      <c r="E5412" s="3563" t="s">
        <v>9514</v>
      </c>
      <c r="F5412" s="3563" t="s">
        <v>4797</v>
      </c>
      <c r="G5412" s="3564">
        <v>100.47</v>
      </c>
      <c r="H5412" s="3564">
        <v>81.739999999999995</v>
      </c>
      <c r="I5412" s="3564">
        <v>18.73</v>
      </c>
      <c r="J5412" s="3565">
        <v>1042697</v>
      </c>
      <c r="K5412" s="3565">
        <v>10378.19</v>
      </c>
      <c r="L5412" s="3565">
        <v>12756.26</v>
      </c>
      <c r="M5412" s="3565">
        <v>0</v>
      </c>
      <c r="N5412" s="3565">
        <v>0</v>
      </c>
      <c r="O5412" s="3563" t="s">
        <v>3453</v>
      </c>
    </row>
    <row r="5413" spans="1:15">
      <c r="A5413" s="3563" t="s">
        <v>9640</v>
      </c>
      <c r="B5413" s="3563" t="s">
        <v>4196</v>
      </c>
      <c r="C5413" s="3563" t="s">
        <v>4197</v>
      </c>
      <c r="D5413" s="3563" t="s">
        <v>6429</v>
      </c>
      <c r="E5413" s="3563" t="s">
        <v>9514</v>
      </c>
      <c r="F5413" s="3563" t="s">
        <v>4797</v>
      </c>
      <c r="G5413" s="3564">
        <v>100.81</v>
      </c>
      <c r="H5413" s="3564">
        <v>82.01</v>
      </c>
      <c r="I5413" s="3564">
        <v>18.8</v>
      </c>
      <c r="J5413" s="3565">
        <v>1030139</v>
      </c>
      <c r="K5413" s="3565">
        <v>10218.620000000001</v>
      </c>
      <c r="L5413" s="3565">
        <v>12561.14</v>
      </c>
      <c r="M5413" s="3565">
        <v>0</v>
      </c>
      <c r="N5413" s="3565">
        <v>0</v>
      </c>
      <c r="O5413" s="3563" t="s">
        <v>3453</v>
      </c>
    </row>
    <row r="5414" spans="1:15">
      <c r="A5414" s="3563" t="s">
        <v>9641</v>
      </c>
      <c r="B5414" s="3563" t="s">
        <v>4196</v>
      </c>
      <c r="C5414" s="3563" t="s">
        <v>4197</v>
      </c>
      <c r="D5414" s="3563" t="s">
        <v>6429</v>
      </c>
      <c r="E5414" s="3563" t="s">
        <v>9514</v>
      </c>
      <c r="F5414" s="3563" t="s">
        <v>4797</v>
      </c>
      <c r="G5414" s="3564">
        <v>87.27</v>
      </c>
      <c r="H5414" s="3564">
        <v>71</v>
      </c>
      <c r="I5414" s="3564">
        <v>16.27</v>
      </c>
      <c r="J5414" s="3565">
        <v>919631</v>
      </c>
      <c r="K5414" s="3565">
        <v>10537.77</v>
      </c>
      <c r="L5414" s="3565">
        <v>12952.55</v>
      </c>
      <c r="M5414" s="3565">
        <v>0</v>
      </c>
      <c r="N5414" s="3565">
        <v>0</v>
      </c>
      <c r="O5414" s="3563" t="s">
        <v>3453</v>
      </c>
    </row>
    <row r="5415" spans="1:15">
      <c r="A5415" s="3563" t="s">
        <v>9642</v>
      </c>
      <c r="B5415" s="3563" t="s">
        <v>4196</v>
      </c>
      <c r="C5415" s="3563" t="s">
        <v>4197</v>
      </c>
      <c r="D5415" s="3563" t="s">
        <v>6429</v>
      </c>
      <c r="E5415" s="3563" t="s">
        <v>9514</v>
      </c>
      <c r="F5415" s="3563" t="s">
        <v>4797</v>
      </c>
      <c r="G5415" s="3564">
        <v>87.27</v>
      </c>
      <c r="H5415" s="3564">
        <v>71</v>
      </c>
      <c r="I5415" s="3564">
        <v>16.27</v>
      </c>
      <c r="J5415" s="3565">
        <v>938199</v>
      </c>
      <c r="K5415" s="3565">
        <v>10750.53</v>
      </c>
      <c r="L5415" s="3565">
        <v>13214.07</v>
      </c>
      <c r="M5415" s="3565">
        <v>0</v>
      </c>
      <c r="N5415" s="3565">
        <v>0</v>
      </c>
      <c r="O5415" s="3563" t="s">
        <v>3453</v>
      </c>
    </row>
    <row r="5416" spans="1:15">
      <c r="A5416" s="3563" t="s">
        <v>9643</v>
      </c>
      <c r="B5416" s="3563" t="s">
        <v>4196</v>
      </c>
      <c r="C5416" s="3563" t="s">
        <v>4197</v>
      </c>
      <c r="D5416" s="3563" t="s">
        <v>6429</v>
      </c>
      <c r="E5416" s="3563" t="s">
        <v>9514</v>
      </c>
      <c r="F5416" s="3563" t="s">
        <v>4797</v>
      </c>
      <c r="G5416" s="3564">
        <v>108.71</v>
      </c>
      <c r="H5416" s="3564">
        <v>88.44</v>
      </c>
      <c r="I5416" s="3564">
        <v>20.27</v>
      </c>
      <c r="J5416" s="3565">
        <v>1116648</v>
      </c>
      <c r="K5416" s="3565">
        <v>10271.81</v>
      </c>
      <c r="L5416" s="3565">
        <v>12626.05</v>
      </c>
      <c r="M5416" s="3565">
        <v>0</v>
      </c>
      <c r="N5416" s="3565">
        <v>0</v>
      </c>
      <c r="O5416" s="3563" t="s">
        <v>3453</v>
      </c>
    </row>
    <row r="5417" spans="1:15">
      <c r="A5417" s="3563" t="s">
        <v>9644</v>
      </c>
      <c r="B5417" s="3563" t="s">
        <v>4196</v>
      </c>
      <c r="C5417" s="3563" t="s">
        <v>4197</v>
      </c>
      <c r="D5417" s="3563" t="s">
        <v>6429</v>
      </c>
      <c r="E5417" s="3563" t="s">
        <v>9514</v>
      </c>
      <c r="F5417" s="3563" t="s">
        <v>4797</v>
      </c>
      <c r="G5417" s="3564">
        <v>100.47</v>
      </c>
      <c r="H5417" s="3564">
        <v>81.739999999999995</v>
      </c>
      <c r="I5417" s="3564">
        <v>18.73</v>
      </c>
      <c r="J5417" s="3565">
        <v>1065143</v>
      </c>
      <c r="K5417" s="3565">
        <v>10601.6</v>
      </c>
      <c r="L5417" s="3565">
        <v>13030.87</v>
      </c>
      <c r="M5417" s="3565">
        <v>0</v>
      </c>
      <c r="N5417" s="3565">
        <v>0</v>
      </c>
      <c r="O5417" s="3563" t="s">
        <v>3453</v>
      </c>
    </row>
    <row r="5418" spans="1:15">
      <c r="A5418" s="3563" t="s">
        <v>9645</v>
      </c>
      <c r="B5418" s="3563" t="s">
        <v>4196</v>
      </c>
      <c r="C5418" s="3563" t="s">
        <v>4197</v>
      </c>
      <c r="D5418" s="3563" t="s">
        <v>6429</v>
      </c>
      <c r="E5418" s="3563" t="s">
        <v>9514</v>
      </c>
      <c r="F5418" s="3563" t="s">
        <v>4797</v>
      </c>
      <c r="G5418" s="3564">
        <v>100.47</v>
      </c>
      <c r="H5418" s="3564">
        <v>81.739999999999995</v>
      </c>
      <c r="I5418" s="3564">
        <v>18.73</v>
      </c>
      <c r="J5418" s="3565">
        <v>1043766</v>
      </c>
      <c r="K5418" s="3565">
        <v>10388.83</v>
      </c>
      <c r="L5418" s="3565">
        <v>12769.34</v>
      </c>
      <c r="M5418" s="3565">
        <v>0</v>
      </c>
      <c r="N5418" s="3565">
        <v>0</v>
      </c>
      <c r="O5418" s="3563" t="s">
        <v>3453</v>
      </c>
    </row>
    <row r="5419" spans="1:15">
      <c r="A5419" s="3563" t="s">
        <v>9646</v>
      </c>
      <c r="B5419" s="3563" t="s">
        <v>4196</v>
      </c>
      <c r="C5419" s="3563" t="s">
        <v>4197</v>
      </c>
      <c r="D5419" s="3563" t="s">
        <v>6429</v>
      </c>
      <c r="E5419" s="3563" t="s">
        <v>9514</v>
      </c>
      <c r="F5419" s="3563" t="s">
        <v>4797</v>
      </c>
      <c r="G5419" s="3564">
        <v>100.81</v>
      </c>
      <c r="H5419" s="3564">
        <v>82.01</v>
      </c>
      <c r="I5419" s="3564">
        <v>18.8</v>
      </c>
      <c r="J5419" s="3565">
        <v>1031212</v>
      </c>
      <c r="K5419" s="3565">
        <v>10229.26</v>
      </c>
      <c r="L5419" s="3565">
        <v>12574.22</v>
      </c>
      <c r="M5419" s="3565">
        <v>0</v>
      </c>
      <c r="N5419" s="3565">
        <v>0</v>
      </c>
      <c r="O5419" s="3563" t="s">
        <v>3453</v>
      </c>
    </row>
    <row r="5420" spans="1:15">
      <c r="A5420" s="3563" t="s">
        <v>9647</v>
      </c>
      <c r="B5420" s="3563" t="s">
        <v>4196</v>
      </c>
      <c r="C5420" s="3563" t="s">
        <v>4197</v>
      </c>
      <c r="D5420" s="3563" t="s">
        <v>6429</v>
      </c>
      <c r="E5420" s="3563" t="s">
        <v>9514</v>
      </c>
      <c r="F5420" s="3563" t="s">
        <v>4797</v>
      </c>
      <c r="G5420" s="3564">
        <v>87.27</v>
      </c>
      <c r="H5420" s="3564">
        <v>71</v>
      </c>
      <c r="I5420" s="3564">
        <v>16.27</v>
      </c>
      <c r="J5420" s="3565">
        <v>920560</v>
      </c>
      <c r="K5420" s="3565">
        <v>10548.41</v>
      </c>
      <c r="L5420" s="3565">
        <v>12965.63</v>
      </c>
      <c r="M5420" s="3565">
        <v>0</v>
      </c>
      <c r="N5420" s="3565">
        <v>0</v>
      </c>
      <c r="O5420" s="3563" t="s">
        <v>3453</v>
      </c>
    </row>
    <row r="5421" spans="1:15">
      <c r="A5421" s="3563" t="s">
        <v>9648</v>
      </c>
      <c r="B5421" s="3563" t="s">
        <v>4196</v>
      </c>
      <c r="C5421" s="3563" t="s">
        <v>4197</v>
      </c>
      <c r="D5421" s="3563" t="s">
        <v>6429</v>
      </c>
      <c r="E5421" s="3563" t="s">
        <v>9514</v>
      </c>
      <c r="F5421" s="3563" t="s">
        <v>4797</v>
      </c>
      <c r="G5421" s="3564">
        <v>87.27</v>
      </c>
      <c r="H5421" s="3564">
        <v>71</v>
      </c>
      <c r="I5421" s="3564">
        <v>16.27</v>
      </c>
      <c r="J5421" s="3565">
        <v>939128</v>
      </c>
      <c r="K5421" s="3565">
        <v>10761.18</v>
      </c>
      <c r="L5421" s="3565">
        <v>13227.15</v>
      </c>
      <c r="M5421" s="3565">
        <v>0</v>
      </c>
      <c r="N5421" s="3565">
        <v>0</v>
      </c>
      <c r="O5421" s="3563" t="s">
        <v>3453</v>
      </c>
    </row>
    <row r="5422" spans="1:15">
      <c r="A5422" s="3563" t="s">
        <v>9649</v>
      </c>
      <c r="B5422" s="3563" t="s">
        <v>4196</v>
      </c>
      <c r="C5422" s="3563" t="s">
        <v>4197</v>
      </c>
      <c r="D5422" s="3563" t="s">
        <v>6429</v>
      </c>
      <c r="E5422" s="3563" t="s">
        <v>9514</v>
      </c>
      <c r="F5422" s="3563" t="s">
        <v>4797</v>
      </c>
      <c r="G5422" s="3564">
        <v>108.71</v>
      </c>
      <c r="H5422" s="3564">
        <v>88.44</v>
      </c>
      <c r="I5422" s="3564">
        <v>20.27</v>
      </c>
      <c r="J5422" s="3565">
        <v>1117806</v>
      </c>
      <c r="K5422" s="3565">
        <v>10282.459999999999</v>
      </c>
      <c r="L5422" s="3565">
        <v>12639.15</v>
      </c>
      <c r="M5422" s="3565">
        <v>0</v>
      </c>
      <c r="N5422" s="3565">
        <v>0</v>
      </c>
      <c r="O5422" s="3563" t="s">
        <v>3453</v>
      </c>
    </row>
    <row r="5423" spans="1:15">
      <c r="A5423" s="3563" t="s">
        <v>9650</v>
      </c>
      <c r="B5423" s="3563" t="s">
        <v>4196</v>
      </c>
      <c r="C5423" s="3563" t="s">
        <v>4197</v>
      </c>
      <c r="D5423" s="3563" t="s">
        <v>6429</v>
      </c>
      <c r="E5423" s="3563" t="s">
        <v>9514</v>
      </c>
      <c r="F5423" s="3563" t="s">
        <v>4797</v>
      </c>
      <c r="G5423" s="3564">
        <v>100.47</v>
      </c>
      <c r="H5423" s="3564">
        <v>81.739999999999995</v>
      </c>
      <c r="I5423" s="3564">
        <v>18.73</v>
      </c>
      <c r="J5423" s="3565">
        <v>1087588</v>
      </c>
      <c r="K5423" s="3565">
        <v>10825</v>
      </c>
      <c r="L5423" s="3565">
        <v>13305.46</v>
      </c>
      <c r="M5423" s="3565">
        <v>0</v>
      </c>
      <c r="N5423" s="3565">
        <v>0</v>
      </c>
      <c r="O5423" s="3563" t="s">
        <v>3453</v>
      </c>
    </row>
    <row r="5424" spans="1:15">
      <c r="A5424" s="3563" t="s">
        <v>9651</v>
      </c>
      <c r="B5424" s="3563" t="s">
        <v>4196</v>
      </c>
      <c r="C5424" s="3563" t="s">
        <v>4197</v>
      </c>
      <c r="D5424" s="3563" t="s">
        <v>6429</v>
      </c>
      <c r="E5424" s="3563" t="s">
        <v>9514</v>
      </c>
      <c r="F5424" s="3563" t="s">
        <v>4797</v>
      </c>
      <c r="G5424" s="3564">
        <v>100.47</v>
      </c>
      <c r="H5424" s="3564">
        <v>81.739999999999995</v>
      </c>
      <c r="I5424" s="3564">
        <v>18.73</v>
      </c>
      <c r="J5424" s="3565">
        <v>1066211</v>
      </c>
      <c r="K5424" s="3565">
        <v>10612.23</v>
      </c>
      <c r="L5424" s="3565">
        <v>13043.93</v>
      </c>
      <c r="M5424" s="3565">
        <v>0</v>
      </c>
      <c r="N5424" s="3565">
        <v>0</v>
      </c>
      <c r="O5424" s="3563" t="s">
        <v>3453</v>
      </c>
    </row>
    <row r="5425" spans="1:15">
      <c r="A5425" s="3563" t="s">
        <v>9652</v>
      </c>
      <c r="B5425" s="3563" t="s">
        <v>4196</v>
      </c>
      <c r="C5425" s="3563" t="s">
        <v>4197</v>
      </c>
      <c r="D5425" s="3563" t="s">
        <v>6429</v>
      </c>
      <c r="E5425" s="3563" t="s">
        <v>9514</v>
      </c>
      <c r="F5425" s="3563" t="s">
        <v>4797</v>
      </c>
      <c r="G5425" s="3564">
        <v>100.81</v>
      </c>
      <c r="H5425" s="3564">
        <v>82.01</v>
      </c>
      <c r="I5425" s="3564">
        <v>18.8</v>
      </c>
      <c r="J5425" s="3565">
        <v>1032285</v>
      </c>
      <c r="K5425" s="3565">
        <v>10239.91</v>
      </c>
      <c r="L5425" s="3565">
        <v>12587.31</v>
      </c>
      <c r="M5425" s="3565">
        <v>0</v>
      </c>
      <c r="N5425" s="3565">
        <v>0</v>
      </c>
      <c r="O5425" s="3563" t="s">
        <v>3453</v>
      </c>
    </row>
    <row r="5426" spans="1:15">
      <c r="A5426" s="3563" t="s">
        <v>9653</v>
      </c>
      <c r="B5426" s="3563" t="s">
        <v>4196</v>
      </c>
      <c r="C5426" s="3563" t="s">
        <v>4197</v>
      </c>
      <c r="D5426" s="3563" t="s">
        <v>6429</v>
      </c>
      <c r="E5426" s="3563" t="s">
        <v>9514</v>
      </c>
      <c r="F5426" s="3563" t="s">
        <v>4797</v>
      </c>
      <c r="G5426" s="3564">
        <v>87.27</v>
      </c>
      <c r="H5426" s="3564">
        <v>71</v>
      </c>
      <c r="I5426" s="3564">
        <v>16.27</v>
      </c>
      <c r="J5426" s="3565">
        <v>921488</v>
      </c>
      <c r="K5426" s="3565">
        <v>10559.05</v>
      </c>
      <c r="L5426" s="3565">
        <v>12978.7</v>
      </c>
      <c r="M5426" s="3565">
        <v>0</v>
      </c>
      <c r="N5426" s="3565">
        <v>0</v>
      </c>
      <c r="O5426" s="3563" t="s">
        <v>3453</v>
      </c>
    </row>
    <row r="5427" spans="1:15">
      <c r="A5427" s="3563" t="s">
        <v>9654</v>
      </c>
      <c r="B5427" s="3563" t="s">
        <v>4196</v>
      </c>
      <c r="C5427" s="3563" t="s">
        <v>4197</v>
      </c>
      <c r="D5427" s="3563" t="s">
        <v>6429</v>
      </c>
      <c r="E5427" s="3563" t="s">
        <v>9514</v>
      </c>
      <c r="F5427" s="3563" t="s">
        <v>4797</v>
      </c>
      <c r="G5427" s="3564">
        <v>87.27</v>
      </c>
      <c r="H5427" s="3564">
        <v>71</v>
      </c>
      <c r="I5427" s="3564">
        <v>16.27</v>
      </c>
      <c r="J5427" s="3565">
        <v>940056</v>
      </c>
      <c r="K5427" s="3565">
        <v>10771.81</v>
      </c>
      <c r="L5427" s="3565">
        <v>13240.23</v>
      </c>
      <c r="M5427" s="3565">
        <v>0</v>
      </c>
      <c r="N5427" s="3565">
        <v>0</v>
      </c>
      <c r="O5427" s="3563" t="s">
        <v>3453</v>
      </c>
    </row>
    <row r="5428" spans="1:15">
      <c r="A5428" s="3563" t="s">
        <v>9655</v>
      </c>
      <c r="B5428" s="3563" t="s">
        <v>4196</v>
      </c>
      <c r="C5428" s="3563" t="s">
        <v>4197</v>
      </c>
      <c r="D5428" s="3563" t="s">
        <v>6429</v>
      </c>
      <c r="E5428" s="3563" t="s">
        <v>9514</v>
      </c>
      <c r="F5428" s="3563" t="s">
        <v>4797</v>
      </c>
      <c r="G5428" s="3564">
        <v>108.71</v>
      </c>
      <c r="H5428" s="3564">
        <v>88.44</v>
      </c>
      <c r="I5428" s="3564">
        <v>20.27</v>
      </c>
      <c r="J5428" s="3565">
        <v>1118962</v>
      </c>
      <c r="K5428" s="3565">
        <v>10293.09</v>
      </c>
      <c r="L5428" s="3565">
        <v>12652.22</v>
      </c>
      <c r="M5428" s="3565">
        <v>0</v>
      </c>
      <c r="N5428" s="3565">
        <v>0</v>
      </c>
      <c r="O5428" s="3563" t="s">
        <v>3453</v>
      </c>
    </row>
    <row r="5429" spans="1:15">
      <c r="A5429" s="3563" t="s">
        <v>9656</v>
      </c>
      <c r="B5429" s="3563" t="s">
        <v>4196</v>
      </c>
      <c r="C5429" s="3563" t="s">
        <v>4197</v>
      </c>
      <c r="D5429" s="3563" t="s">
        <v>6429</v>
      </c>
      <c r="E5429" s="3563" t="s">
        <v>9514</v>
      </c>
      <c r="F5429" s="3563" t="s">
        <v>4797</v>
      </c>
      <c r="G5429" s="3564">
        <v>100.47</v>
      </c>
      <c r="H5429" s="3564">
        <v>81.739999999999995</v>
      </c>
      <c r="I5429" s="3564">
        <v>18.73</v>
      </c>
      <c r="J5429" s="3565">
        <v>1088657</v>
      </c>
      <c r="K5429" s="3565">
        <v>10835.64</v>
      </c>
      <c r="L5429" s="3565">
        <v>13318.53</v>
      </c>
      <c r="M5429" s="3565">
        <v>0</v>
      </c>
      <c r="N5429" s="3565">
        <v>0</v>
      </c>
      <c r="O5429" s="3563" t="s">
        <v>3453</v>
      </c>
    </row>
    <row r="5430" spans="1:15">
      <c r="A5430" s="3563" t="s">
        <v>9657</v>
      </c>
      <c r="B5430" s="3563" t="s">
        <v>4196</v>
      </c>
      <c r="C5430" s="3563" t="s">
        <v>4197</v>
      </c>
      <c r="D5430" s="3563" t="s">
        <v>6429</v>
      </c>
      <c r="E5430" s="3563" t="s">
        <v>9514</v>
      </c>
      <c r="F5430" s="3563" t="s">
        <v>4797</v>
      </c>
      <c r="G5430" s="3564">
        <v>100.47</v>
      </c>
      <c r="H5430" s="3564">
        <v>81.739999999999995</v>
      </c>
      <c r="I5430" s="3564">
        <v>18.73</v>
      </c>
      <c r="J5430" s="3565">
        <v>1067280</v>
      </c>
      <c r="K5430" s="3565">
        <v>10622.87</v>
      </c>
      <c r="L5430" s="3565">
        <v>13057.01</v>
      </c>
      <c r="M5430" s="3565">
        <v>0</v>
      </c>
      <c r="N5430" s="3565">
        <v>0</v>
      </c>
      <c r="O5430" s="3563" t="s">
        <v>3453</v>
      </c>
    </row>
    <row r="5431" spans="1:15">
      <c r="A5431" s="3563" t="s">
        <v>9658</v>
      </c>
      <c r="B5431" s="3563" t="s">
        <v>4196</v>
      </c>
      <c r="C5431" s="3563" t="s">
        <v>4197</v>
      </c>
      <c r="D5431" s="3563" t="s">
        <v>6429</v>
      </c>
      <c r="E5431" s="3563" t="s">
        <v>9514</v>
      </c>
      <c r="F5431" s="3563" t="s">
        <v>4797</v>
      </c>
      <c r="G5431" s="3564">
        <v>100.81</v>
      </c>
      <c r="H5431" s="3564">
        <v>82.01</v>
      </c>
      <c r="I5431" s="3564">
        <v>18.8</v>
      </c>
      <c r="J5431" s="3565">
        <v>1033357</v>
      </c>
      <c r="K5431" s="3565">
        <v>10250.540000000001</v>
      </c>
      <c r="L5431" s="3565">
        <v>12600.38</v>
      </c>
      <c r="M5431" s="3565">
        <v>0</v>
      </c>
      <c r="N5431" s="3565">
        <v>0</v>
      </c>
      <c r="O5431" s="3563" t="s">
        <v>3453</v>
      </c>
    </row>
    <row r="5432" spans="1:15">
      <c r="A5432" s="3563" t="s">
        <v>9659</v>
      </c>
      <c r="B5432" s="3563" t="s">
        <v>4196</v>
      </c>
      <c r="C5432" s="3563" t="s">
        <v>4197</v>
      </c>
      <c r="D5432" s="3563" t="s">
        <v>6429</v>
      </c>
      <c r="E5432" s="3563" t="s">
        <v>9514</v>
      </c>
      <c r="F5432" s="3563" t="s">
        <v>4797</v>
      </c>
      <c r="G5432" s="3564">
        <v>87.27</v>
      </c>
      <c r="H5432" s="3564">
        <v>71</v>
      </c>
      <c r="I5432" s="3564">
        <v>16.27</v>
      </c>
      <c r="J5432" s="3565">
        <v>922416</v>
      </c>
      <c r="K5432" s="3565">
        <v>10569.68</v>
      </c>
      <c r="L5432" s="3565">
        <v>12991.77</v>
      </c>
      <c r="M5432" s="3565">
        <v>0</v>
      </c>
      <c r="N5432" s="3565">
        <v>0</v>
      </c>
      <c r="O5432" s="3563" t="s">
        <v>3453</v>
      </c>
    </row>
    <row r="5433" spans="1:15">
      <c r="A5433" s="3563" t="s">
        <v>9660</v>
      </c>
      <c r="B5433" s="3563" t="s">
        <v>4196</v>
      </c>
      <c r="C5433" s="3563" t="s">
        <v>4197</v>
      </c>
      <c r="D5433" s="3563" t="s">
        <v>6429</v>
      </c>
      <c r="E5433" s="3563" t="s">
        <v>9514</v>
      </c>
      <c r="F5433" s="3563" t="s">
        <v>4797</v>
      </c>
      <c r="G5433" s="3564">
        <v>87.27</v>
      </c>
      <c r="H5433" s="3564">
        <v>71</v>
      </c>
      <c r="I5433" s="3564">
        <v>16.27</v>
      </c>
      <c r="J5433" s="3565">
        <v>940985</v>
      </c>
      <c r="K5433" s="3565">
        <v>10782.46</v>
      </c>
      <c r="L5433" s="3565">
        <v>13253.31</v>
      </c>
      <c r="M5433" s="3565">
        <v>0</v>
      </c>
      <c r="N5433" s="3565">
        <v>0</v>
      </c>
      <c r="O5433" s="3563" t="s">
        <v>3453</v>
      </c>
    </row>
    <row r="5434" spans="1:15">
      <c r="A5434" s="3563" t="s">
        <v>9661</v>
      </c>
      <c r="B5434" s="3563" t="s">
        <v>4196</v>
      </c>
      <c r="C5434" s="3563" t="s">
        <v>4197</v>
      </c>
      <c r="D5434" s="3563" t="s">
        <v>6429</v>
      </c>
      <c r="E5434" s="3563" t="s">
        <v>9514</v>
      </c>
      <c r="F5434" s="3563" t="s">
        <v>4797</v>
      </c>
      <c r="G5434" s="3564">
        <v>108.71</v>
      </c>
      <c r="H5434" s="3564">
        <v>88.44</v>
      </c>
      <c r="I5434" s="3564">
        <v>20.27</v>
      </c>
      <c r="J5434" s="3565">
        <v>1120119</v>
      </c>
      <c r="K5434" s="3565">
        <v>10303.73</v>
      </c>
      <c r="L5434" s="3565">
        <v>12665.3</v>
      </c>
      <c r="M5434" s="3565">
        <v>0</v>
      </c>
      <c r="N5434" s="3565">
        <v>0</v>
      </c>
      <c r="O5434" s="3563" t="s">
        <v>3453</v>
      </c>
    </row>
    <row r="5435" spans="1:15">
      <c r="A5435" s="3563" t="s">
        <v>9662</v>
      </c>
      <c r="B5435" s="3563" t="s">
        <v>4196</v>
      </c>
      <c r="C5435" s="3563" t="s">
        <v>4197</v>
      </c>
      <c r="D5435" s="3563" t="s">
        <v>6429</v>
      </c>
      <c r="E5435" s="3563" t="s">
        <v>9514</v>
      </c>
      <c r="F5435" s="3563" t="s">
        <v>4797</v>
      </c>
      <c r="G5435" s="3564">
        <v>100.47</v>
      </c>
      <c r="H5435" s="3564">
        <v>81.739999999999995</v>
      </c>
      <c r="I5435" s="3564">
        <v>18.73</v>
      </c>
      <c r="J5435" s="3565">
        <v>1089726</v>
      </c>
      <c r="K5435" s="3565">
        <v>10846.28</v>
      </c>
      <c r="L5435" s="3565">
        <v>13331.61</v>
      </c>
      <c r="M5435" s="3565">
        <v>0</v>
      </c>
      <c r="N5435" s="3565">
        <v>0</v>
      </c>
      <c r="O5435" s="3563" t="s">
        <v>3453</v>
      </c>
    </row>
    <row r="5436" spans="1:15">
      <c r="A5436" s="3563" t="s">
        <v>9663</v>
      </c>
      <c r="B5436" s="3563" t="s">
        <v>4196</v>
      </c>
      <c r="C5436" s="3563" t="s">
        <v>4197</v>
      </c>
      <c r="D5436" s="3563" t="s">
        <v>6429</v>
      </c>
      <c r="E5436" s="3563" t="s">
        <v>9514</v>
      </c>
      <c r="F5436" s="3563" t="s">
        <v>4797</v>
      </c>
      <c r="G5436" s="3564">
        <v>100.47</v>
      </c>
      <c r="H5436" s="3564">
        <v>81.739999999999995</v>
      </c>
      <c r="I5436" s="3564">
        <v>18.73</v>
      </c>
      <c r="J5436" s="3565">
        <v>1068349</v>
      </c>
      <c r="K5436" s="3565">
        <v>10633.51</v>
      </c>
      <c r="L5436" s="3565">
        <v>13070.09</v>
      </c>
      <c r="M5436" s="3565">
        <v>0</v>
      </c>
      <c r="N5436" s="3565">
        <v>0</v>
      </c>
      <c r="O5436" s="3563" t="s">
        <v>3453</v>
      </c>
    </row>
    <row r="5437" spans="1:15">
      <c r="A5437" s="3563" t="s">
        <v>9664</v>
      </c>
      <c r="B5437" s="3563" t="s">
        <v>4196</v>
      </c>
      <c r="C5437" s="3563" t="s">
        <v>4197</v>
      </c>
      <c r="D5437" s="3563" t="s">
        <v>6429</v>
      </c>
      <c r="E5437" s="3563" t="s">
        <v>9514</v>
      </c>
      <c r="F5437" s="3563" t="s">
        <v>4797</v>
      </c>
      <c r="G5437" s="3564">
        <v>100.81</v>
      </c>
      <c r="H5437" s="3564">
        <v>82.01</v>
      </c>
      <c r="I5437" s="3564">
        <v>18.8</v>
      </c>
      <c r="J5437" s="3565">
        <v>1034429</v>
      </c>
      <c r="K5437" s="3565">
        <v>10261.17</v>
      </c>
      <c r="L5437" s="3565">
        <v>12613.45</v>
      </c>
      <c r="M5437" s="3565">
        <v>0</v>
      </c>
      <c r="N5437" s="3565">
        <v>0</v>
      </c>
      <c r="O5437" s="3563" t="s">
        <v>3453</v>
      </c>
    </row>
    <row r="5438" spans="1:15">
      <c r="A5438" s="3563" t="s">
        <v>9665</v>
      </c>
      <c r="B5438" s="3563" t="s">
        <v>4196</v>
      </c>
      <c r="C5438" s="3563" t="s">
        <v>4197</v>
      </c>
      <c r="D5438" s="3563" t="s">
        <v>6429</v>
      </c>
      <c r="E5438" s="3563" t="s">
        <v>9514</v>
      </c>
      <c r="F5438" s="3563" t="s">
        <v>4797</v>
      </c>
      <c r="G5438" s="3564">
        <v>87.27</v>
      </c>
      <c r="H5438" s="3564">
        <v>71</v>
      </c>
      <c r="I5438" s="3564">
        <v>16.27</v>
      </c>
      <c r="J5438" s="3565">
        <v>923345</v>
      </c>
      <c r="K5438" s="3565">
        <v>10580.33</v>
      </c>
      <c r="L5438" s="3565">
        <v>13004.86</v>
      </c>
      <c r="M5438" s="3565">
        <v>0</v>
      </c>
      <c r="N5438" s="3565">
        <v>0</v>
      </c>
      <c r="O5438" s="3563" t="s">
        <v>3453</v>
      </c>
    </row>
    <row r="5439" spans="1:15">
      <c r="A5439" s="3563" t="s">
        <v>9666</v>
      </c>
      <c r="B5439" s="3563" t="s">
        <v>4196</v>
      </c>
      <c r="C5439" s="3563" t="s">
        <v>4197</v>
      </c>
      <c r="D5439" s="3563" t="s">
        <v>6429</v>
      </c>
      <c r="E5439" s="3563" t="s">
        <v>9514</v>
      </c>
      <c r="F5439" s="3563" t="s">
        <v>4797</v>
      </c>
      <c r="G5439" s="3564">
        <v>87.27</v>
      </c>
      <c r="H5439" s="3564">
        <v>71</v>
      </c>
      <c r="I5439" s="3564">
        <v>16.27</v>
      </c>
      <c r="J5439" s="3565">
        <v>941913</v>
      </c>
      <c r="K5439" s="3565">
        <v>10793.09</v>
      </c>
      <c r="L5439" s="3565">
        <v>13266.38</v>
      </c>
      <c r="M5439" s="3565">
        <v>0</v>
      </c>
      <c r="N5439" s="3565">
        <v>0</v>
      </c>
      <c r="O5439" s="3563" t="s">
        <v>3453</v>
      </c>
    </row>
    <row r="5440" spans="1:15">
      <c r="A5440" s="3563" t="s">
        <v>9667</v>
      </c>
      <c r="B5440" s="3563" t="s">
        <v>4196</v>
      </c>
      <c r="C5440" s="3563" t="s">
        <v>4197</v>
      </c>
      <c r="D5440" s="3563" t="s">
        <v>6429</v>
      </c>
      <c r="E5440" s="3563" t="s">
        <v>9514</v>
      </c>
      <c r="F5440" s="3563" t="s">
        <v>4797</v>
      </c>
      <c r="G5440" s="3564">
        <v>108.71</v>
      </c>
      <c r="H5440" s="3564">
        <v>88.44</v>
      </c>
      <c r="I5440" s="3564">
        <v>20.27</v>
      </c>
      <c r="J5440" s="3565">
        <v>1121275</v>
      </c>
      <c r="K5440" s="3565">
        <v>10314.370000000001</v>
      </c>
      <c r="L5440" s="3565">
        <v>12678.37</v>
      </c>
      <c r="M5440" s="3565">
        <v>0</v>
      </c>
      <c r="N5440" s="3565">
        <v>0</v>
      </c>
      <c r="O5440" s="3563" t="s">
        <v>3453</v>
      </c>
    </row>
    <row r="5441" spans="1:15">
      <c r="A5441" s="3563" t="s">
        <v>9668</v>
      </c>
      <c r="B5441" s="3563" t="s">
        <v>4196</v>
      </c>
      <c r="C5441" s="3563" t="s">
        <v>4197</v>
      </c>
      <c r="D5441" s="3563" t="s">
        <v>6429</v>
      </c>
      <c r="E5441" s="3563" t="s">
        <v>9669</v>
      </c>
      <c r="F5441" s="3563" t="s">
        <v>4797</v>
      </c>
      <c r="G5441" s="3564">
        <v>97.53</v>
      </c>
      <c r="H5441" s="3564">
        <v>81.739999999999995</v>
      </c>
      <c r="I5441" s="3564">
        <v>15.79</v>
      </c>
      <c r="J5441" s="3565">
        <v>955120</v>
      </c>
      <c r="K5441" s="3565">
        <v>9793.09</v>
      </c>
      <c r="L5441" s="3565">
        <v>11684.85</v>
      </c>
      <c r="M5441" s="3565">
        <v>0</v>
      </c>
      <c r="N5441" s="3565">
        <v>0</v>
      </c>
      <c r="O5441" s="3563" t="s">
        <v>3453</v>
      </c>
    </row>
    <row r="5442" spans="1:15">
      <c r="A5442" s="3563" t="s">
        <v>9670</v>
      </c>
      <c r="B5442" s="3563" t="s">
        <v>4196</v>
      </c>
      <c r="C5442" s="3563" t="s">
        <v>4197</v>
      </c>
      <c r="D5442" s="3563" t="s">
        <v>6429</v>
      </c>
      <c r="E5442" s="3563" t="s">
        <v>9669</v>
      </c>
      <c r="F5442" s="3563" t="s">
        <v>4797</v>
      </c>
      <c r="G5442" s="3564">
        <v>97.53</v>
      </c>
      <c r="H5442" s="3564">
        <v>81.739999999999995</v>
      </c>
      <c r="I5442" s="3564">
        <v>15.79</v>
      </c>
      <c r="J5442" s="3565">
        <v>972759</v>
      </c>
      <c r="K5442" s="3565">
        <v>9973.9500000000007</v>
      </c>
      <c r="L5442" s="3565">
        <v>11900.65</v>
      </c>
      <c r="M5442" s="3565">
        <v>0</v>
      </c>
      <c r="N5442" s="3565">
        <v>0</v>
      </c>
      <c r="O5442" s="3563" t="s">
        <v>3453</v>
      </c>
    </row>
    <row r="5443" spans="1:15">
      <c r="A5443" s="3563" t="s">
        <v>9671</v>
      </c>
      <c r="B5443" s="3563" t="s">
        <v>4196</v>
      </c>
      <c r="C5443" s="3563" t="s">
        <v>4197</v>
      </c>
      <c r="D5443" s="3563" t="s">
        <v>6429</v>
      </c>
      <c r="E5443" s="3563" t="s">
        <v>9669</v>
      </c>
      <c r="F5443" s="3563" t="s">
        <v>4797</v>
      </c>
      <c r="G5443" s="3564">
        <v>97.86</v>
      </c>
      <c r="H5443" s="3564">
        <v>82.01</v>
      </c>
      <c r="I5443" s="3564">
        <v>15.85</v>
      </c>
      <c r="J5443" s="3565">
        <v>960433</v>
      </c>
      <c r="K5443" s="3565">
        <v>9814.36</v>
      </c>
      <c r="L5443" s="3565">
        <v>11711.17</v>
      </c>
      <c r="M5443" s="3565">
        <v>0</v>
      </c>
      <c r="N5443" s="3565">
        <v>0</v>
      </c>
      <c r="O5443" s="3563" t="s">
        <v>3453</v>
      </c>
    </row>
    <row r="5444" spans="1:15">
      <c r="A5444" s="3563" t="s">
        <v>9672</v>
      </c>
      <c r="B5444" s="3563" t="s">
        <v>4196</v>
      </c>
      <c r="C5444" s="3563" t="s">
        <v>4197</v>
      </c>
      <c r="D5444" s="3563" t="s">
        <v>6429</v>
      </c>
      <c r="E5444" s="3563" t="s">
        <v>9669</v>
      </c>
      <c r="F5444" s="3563" t="s">
        <v>4797</v>
      </c>
      <c r="G5444" s="3564">
        <v>82</v>
      </c>
      <c r="H5444" s="3564">
        <v>71</v>
      </c>
      <c r="I5444" s="3564">
        <v>11</v>
      </c>
      <c r="J5444" s="3565">
        <v>813502</v>
      </c>
      <c r="K5444" s="3565">
        <v>9920.76</v>
      </c>
      <c r="L5444" s="3565">
        <v>11457.77</v>
      </c>
      <c r="M5444" s="3565">
        <v>0</v>
      </c>
      <c r="N5444" s="3565">
        <v>0</v>
      </c>
      <c r="O5444" s="3563" t="s">
        <v>3453</v>
      </c>
    </row>
    <row r="5445" spans="1:15">
      <c r="A5445" s="3563" t="s">
        <v>9673</v>
      </c>
      <c r="B5445" s="3563" t="s">
        <v>4196</v>
      </c>
      <c r="C5445" s="3563" t="s">
        <v>4197</v>
      </c>
      <c r="D5445" s="3563" t="s">
        <v>6429</v>
      </c>
      <c r="E5445" s="3563" t="s">
        <v>9669</v>
      </c>
      <c r="F5445" s="3563" t="s">
        <v>4797</v>
      </c>
      <c r="G5445" s="3564">
        <v>82</v>
      </c>
      <c r="H5445" s="3564">
        <v>71</v>
      </c>
      <c r="I5445" s="3564">
        <v>11</v>
      </c>
      <c r="J5445" s="3565">
        <v>813502</v>
      </c>
      <c r="K5445" s="3565">
        <v>9920.76</v>
      </c>
      <c r="L5445" s="3565">
        <v>11457.77</v>
      </c>
      <c r="M5445" s="3565">
        <v>0</v>
      </c>
      <c r="N5445" s="3565">
        <v>0</v>
      </c>
      <c r="O5445" s="3563" t="s">
        <v>3453</v>
      </c>
    </row>
    <row r="5446" spans="1:15">
      <c r="A5446" s="3563" t="s">
        <v>9674</v>
      </c>
      <c r="B5446" s="3563" t="s">
        <v>4196</v>
      </c>
      <c r="C5446" s="3563" t="s">
        <v>4197</v>
      </c>
      <c r="D5446" s="3563" t="s">
        <v>6429</v>
      </c>
      <c r="E5446" s="3563" t="s">
        <v>9669</v>
      </c>
      <c r="F5446" s="3563" t="s">
        <v>4797</v>
      </c>
      <c r="G5446" s="3564">
        <v>100.47</v>
      </c>
      <c r="H5446" s="3564">
        <v>81.739999999999995</v>
      </c>
      <c r="I5446" s="3564">
        <v>18.73</v>
      </c>
      <c r="J5446" s="3565">
        <v>1058730</v>
      </c>
      <c r="K5446" s="3565">
        <v>10537.77</v>
      </c>
      <c r="L5446" s="3565">
        <v>12952.41</v>
      </c>
      <c r="M5446" s="3565">
        <v>0</v>
      </c>
      <c r="N5446" s="3565">
        <v>0</v>
      </c>
      <c r="O5446" s="3563" t="s">
        <v>3453</v>
      </c>
    </row>
    <row r="5447" spans="1:15">
      <c r="A5447" s="3563" t="s">
        <v>9675</v>
      </c>
      <c r="B5447" s="3563" t="s">
        <v>4196</v>
      </c>
      <c r="C5447" s="3563" t="s">
        <v>4197</v>
      </c>
      <c r="D5447" s="3563" t="s">
        <v>6429</v>
      </c>
      <c r="E5447" s="3563" t="s">
        <v>9669</v>
      </c>
      <c r="F5447" s="3563" t="s">
        <v>4797</v>
      </c>
      <c r="G5447" s="3564">
        <v>100.47</v>
      </c>
      <c r="H5447" s="3564">
        <v>81.739999999999995</v>
      </c>
      <c r="I5447" s="3564">
        <v>18.73</v>
      </c>
      <c r="J5447" s="3565">
        <v>1058730</v>
      </c>
      <c r="K5447" s="3565">
        <v>10537.77</v>
      </c>
      <c r="L5447" s="3565">
        <v>12952.41</v>
      </c>
      <c r="M5447" s="3565">
        <v>0</v>
      </c>
      <c r="N5447" s="3565">
        <v>0</v>
      </c>
      <c r="O5447" s="3563" t="s">
        <v>3453</v>
      </c>
    </row>
    <row r="5448" spans="1:15">
      <c r="A5448" s="3563" t="s">
        <v>9676</v>
      </c>
      <c r="B5448" s="3563" t="s">
        <v>4196</v>
      </c>
      <c r="C5448" s="3563" t="s">
        <v>4197</v>
      </c>
      <c r="D5448" s="3563" t="s">
        <v>6429</v>
      </c>
      <c r="E5448" s="3563" t="s">
        <v>9669</v>
      </c>
      <c r="F5448" s="3563" t="s">
        <v>4797</v>
      </c>
      <c r="G5448" s="3564">
        <v>100.8</v>
      </c>
      <c r="H5448" s="3564">
        <v>82.01</v>
      </c>
      <c r="I5448" s="3564">
        <v>18.79</v>
      </c>
      <c r="J5448" s="3565">
        <v>1046122</v>
      </c>
      <c r="K5448" s="3565">
        <v>10378.19</v>
      </c>
      <c r="L5448" s="3565">
        <v>12756.03</v>
      </c>
      <c r="M5448" s="3565">
        <v>0</v>
      </c>
      <c r="N5448" s="3565">
        <v>0</v>
      </c>
      <c r="O5448" s="3563" t="s">
        <v>3453</v>
      </c>
    </row>
    <row r="5449" spans="1:15">
      <c r="A5449" s="3563" t="s">
        <v>9677</v>
      </c>
      <c r="B5449" s="3563" t="s">
        <v>4196</v>
      </c>
      <c r="C5449" s="3563" t="s">
        <v>4197</v>
      </c>
      <c r="D5449" s="3563" t="s">
        <v>6429</v>
      </c>
      <c r="E5449" s="3563" t="s">
        <v>9669</v>
      </c>
      <c r="F5449" s="3563" t="s">
        <v>4797</v>
      </c>
      <c r="G5449" s="3564">
        <v>87.27</v>
      </c>
      <c r="H5449" s="3564">
        <v>71</v>
      </c>
      <c r="I5449" s="3564">
        <v>16.27</v>
      </c>
      <c r="J5449" s="3565">
        <v>914989</v>
      </c>
      <c r="K5449" s="3565">
        <v>10484.58</v>
      </c>
      <c r="L5449" s="3565">
        <v>12887.17</v>
      </c>
      <c r="M5449" s="3565">
        <v>0</v>
      </c>
      <c r="N5449" s="3565">
        <v>0</v>
      </c>
      <c r="O5449" s="3563" t="s">
        <v>3453</v>
      </c>
    </row>
    <row r="5450" spans="1:15">
      <c r="A5450" s="3563" t="s">
        <v>9678</v>
      </c>
      <c r="B5450" s="3563" t="s">
        <v>4196</v>
      </c>
      <c r="C5450" s="3563" t="s">
        <v>4197</v>
      </c>
      <c r="D5450" s="3563" t="s">
        <v>6429</v>
      </c>
      <c r="E5450" s="3563" t="s">
        <v>9669</v>
      </c>
      <c r="F5450" s="3563" t="s">
        <v>4797</v>
      </c>
      <c r="G5450" s="3564">
        <v>87.27</v>
      </c>
      <c r="H5450" s="3564">
        <v>71</v>
      </c>
      <c r="I5450" s="3564">
        <v>16.27</v>
      </c>
      <c r="J5450" s="3565">
        <v>914989</v>
      </c>
      <c r="K5450" s="3565">
        <v>10484.58</v>
      </c>
      <c r="L5450" s="3565">
        <v>12887.17</v>
      </c>
      <c r="M5450" s="3565">
        <v>0</v>
      </c>
      <c r="N5450" s="3565">
        <v>0</v>
      </c>
      <c r="O5450" s="3563" t="s">
        <v>3453</v>
      </c>
    </row>
    <row r="5451" spans="1:15">
      <c r="A5451" s="3563" t="s">
        <v>9679</v>
      </c>
      <c r="B5451" s="3563" t="s">
        <v>4196</v>
      </c>
      <c r="C5451" s="3563" t="s">
        <v>4197</v>
      </c>
      <c r="D5451" s="3563" t="s">
        <v>6429</v>
      </c>
      <c r="E5451" s="3563" t="s">
        <v>9669</v>
      </c>
      <c r="F5451" s="3563" t="s">
        <v>4797</v>
      </c>
      <c r="G5451" s="3564">
        <v>108.71</v>
      </c>
      <c r="H5451" s="3564">
        <v>88.44</v>
      </c>
      <c r="I5451" s="3564">
        <v>20.27</v>
      </c>
      <c r="J5451" s="3565">
        <v>1122431</v>
      </c>
      <c r="K5451" s="3565">
        <v>10325</v>
      </c>
      <c r="L5451" s="3565">
        <v>12691.44</v>
      </c>
      <c r="M5451" s="3565">
        <v>0</v>
      </c>
      <c r="N5451" s="3565">
        <v>0</v>
      </c>
      <c r="O5451" s="3563" t="s">
        <v>3453</v>
      </c>
    </row>
    <row r="5452" spans="1:15">
      <c r="A5452" s="3563" t="s">
        <v>9680</v>
      </c>
      <c r="B5452" s="3563" t="s">
        <v>4196</v>
      </c>
      <c r="C5452" s="3563" t="s">
        <v>4197</v>
      </c>
      <c r="D5452" s="3563" t="s">
        <v>6429</v>
      </c>
      <c r="E5452" s="3563" t="s">
        <v>9669</v>
      </c>
      <c r="F5452" s="3563" t="s">
        <v>4797</v>
      </c>
      <c r="G5452" s="3564">
        <v>100.47</v>
      </c>
      <c r="H5452" s="3564">
        <v>81.739999999999995</v>
      </c>
      <c r="I5452" s="3564">
        <v>18.73</v>
      </c>
      <c r="J5452" s="3565">
        <v>1059798</v>
      </c>
      <c r="K5452" s="3565">
        <v>10548.4</v>
      </c>
      <c r="L5452" s="3565">
        <v>12965.48</v>
      </c>
      <c r="M5452" s="3565">
        <v>0</v>
      </c>
      <c r="N5452" s="3565">
        <v>0</v>
      </c>
      <c r="O5452" s="3563" t="s">
        <v>3453</v>
      </c>
    </row>
    <row r="5453" spans="1:15">
      <c r="A5453" s="3563" t="s">
        <v>9681</v>
      </c>
      <c r="B5453" s="3563" t="s">
        <v>4196</v>
      </c>
      <c r="C5453" s="3563" t="s">
        <v>4197</v>
      </c>
      <c r="D5453" s="3563" t="s">
        <v>6429</v>
      </c>
      <c r="E5453" s="3563" t="s">
        <v>9669</v>
      </c>
      <c r="F5453" s="3563" t="s">
        <v>4797</v>
      </c>
      <c r="G5453" s="3564">
        <v>100.47</v>
      </c>
      <c r="H5453" s="3564">
        <v>81.739999999999995</v>
      </c>
      <c r="I5453" s="3564">
        <v>18.73</v>
      </c>
      <c r="J5453" s="3565">
        <v>1059798</v>
      </c>
      <c r="K5453" s="3565">
        <v>10548.4</v>
      </c>
      <c r="L5453" s="3565">
        <v>12965.48</v>
      </c>
      <c r="M5453" s="3565">
        <v>0</v>
      </c>
      <c r="N5453" s="3565">
        <v>0</v>
      </c>
      <c r="O5453" s="3563" t="s">
        <v>3453</v>
      </c>
    </row>
    <row r="5454" spans="1:15">
      <c r="A5454" s="3563" t="s">
        <v>9682</v>
      </c>
      <c r="B5454" s="3563" t="s">
        <v>4196</v>
      </c>
      <c r="C5454" s="3563" t="s">
        <v>4197</v>
      </c>
      <c r="D5454" s="3563" t="s">
        <v>6429</v>
      </c>
      <c r="E5454" s="3563" t="s">
        <v>9669</v>
      </c>
      <c r="F5454" s="3563" t="s">
        <v>4797</v>
      </c>
      <c r="G5454" s="3564">
        <v>100.8</v>
      </c>
      <c r="H5454" s="3564">
        <v>82.01</v>
      </c>
      <c r="I5454" s="3564">
        <v>18.79</v>
      </c>
      <c r="J5454" s="3565">
        <v>1047194</v>
      </c>
      <c r="K5454" s="3565">
        <v>10388.83</v>
      </c>
      <c r="L5454" s="3565">
        <v>12769.1</v>
      </c>
      <c r="M5454" s="3565">
        <v>0</v>
      </c>
      <c r="N5454" s="3565">
        <v>0</v>
      </c>
      <c r="O5454" s="3563" t="s">
        <v>3453</v>
      </c>
    </row>
    <row r="5455" spans="1:15">
      <c r="A5455" s="3563" t="s">
        <v>9683</v>
      </c>
      <c r="B5455" s="3563" t="s">
        <v>4196</v>
      </c>
      <c r="C5455" s="3563" t="s">
        <v>4197</v>
      </c>
      <c r="D5455" s="3563" t="s">
        <v>6429</v>
      </c>
      <c r="E5455" s="3563" t="s">
        <v>9669</v>
      </c>
      <c r="F5455" s="3563" t="s">
        <v>4797</v>
      </c>
      <c r="G5455" s="3564">
        <v>87.27</v>
      </c>
      <c r="H5455" s="3564">
        <v>71</v>
      </c>
      <c r="I5455" s="3564">
        <v>16.27</v>
      </c>
      <c r="J5455" s="3565">
        <v>915918</v>
      </c>
      <c r="K5455" s="3565">
        <v>10495.22</v>
      </c>
      <c r="L5455" s="3565">
        <v>12900.25</v>
      </c>
      <c r="M5455" s="3565">
        <v>0</v>
      </c>
      <c r="N5455" s="3565">
        <v>0</v>
      </c>
      <c r="O5455" s="3563" t="s">
        <v>3453</v>
      </c>
    </row>
    <row r="5456" spans="1:15">
      <c r="A5456" s="3563" t="s">
        <v>9684</v>
      </c>
      <c r="B5456" s="3563" t="s">
        <v>4196</v>
      </c>
      <c r="C5456" s="3563" t="s">
        <v>4197</v>
      </c>
      <c r="D5456" s="3563" t="s">
        <v>6429</v>
      </c>
      <c r="E5456" s="3563" t="s">
        <v>9669</v>
      </c>
      <c r="F5456" s="3563" t="s">
        <v>4797</v>
      </c>
      <c r="G5456" s="3564">
        <v>87.27</v>
      </c>
      <c r="H5456" s="3564">
        <v>71</v>
      </c>
      <c r="I5456" s="3564">
        <v>16.27</v>
      </c>
      <c r="J5456" s="3565">
        <v>915918</v>
      </c>
      <c r="K5456" s="3565">
        <v>10495.22</v>
      </c>
      <c r="L5456" s="3565">
        <v>12900.25</v>
      </c>
      <c r="M5456" s="3565">
        <v>0</v>
      </c>
      <c r="N5456" s="3565">
        <v>0</v>
      </c>
      <c r="O5456" s="3563" t="s">
        <v>3453</v>
      </c>
    </row>
    <row r="5457" spans="1:15">
      <c r="A5457" s="3563" t="s">
        <v>9685</v>
      </c>
      <c r="B5457" s="3563" t="s">
        <v>4196</v>
      </c>
      <c r="C5457" s="3563" t="s">
        <v>4197</v>
      </c>
      <c r="D5457" s="3563" t="s">
        <v>6429</v>
      </c>
      <c r="E5457" s="3563" t="s">
        <v>9669</v>
      </c>
      <c r="F5457" s="3563" t="s">
        <v>4797</v>
      </c>
      <c r="G5457" s="3564">
        <v>108.71</v>
      </c>
      <c r="H5457" s="3564">
        <v>88.44</v>
      </c>
      <c r="I5457" s="3564">
        <v>20.27</v>
      </c>
      <c r="J5457" s="3565">
        <v>1123588</v>
      </c>
      <c r="K5457" s="3565">
        <v>10335.65</v>
      </c>
      <c r="L5457" s="3565">
        <v>12704.52</v>
      </c>
      <c r="M5457" s="3565">
        <v>0</v>
      </c>
      <c r="N5457" s="3565">
        <v>0</v>
      </c>
      <c r="O5457" s="3563" t="s">
        <v>3453</v>
      </c>
    </row>
    <row r="5458" spans="1:15">
      <c r="A5458" s="3563" t="s">
        <v>9686</v>
      </c>
      <c r="B5458" s="3563" t="s">
        <v>4196</v>
      </c>
      <c r="C5458" s="3563" t="s">
        <v>4197</v>
      </c>
      <c r="D5458" s="3563" t="s">
        <v>6429</v>
      </c>
      <c r="E5458" s="3563" t="s">
        <v>9669</v>
      </c>
      <c r="F5458" s="3563" t="s">
        <v>4797</v>
      </c>
      <c r="G5458" s="3564">
        <v>100.47</v>
      </c>
      <c r="H5458" s="3564">
        <v>81.739999999999995</v>
      </c>
      <c r="I5458" s="3564">
        <v>18.73</v>
      </c>
      <c r="J5458" s="3565">
        <v>1060868</v>
      </c>
      <c r="K5458" s="3565">
        <v>10559.05</v>
      </c>
      <c r="L5458" s="3565">
        <v>12978.57</v>
      </c>
      <c r="M5458" s="3565">
        <v>0</v>
      </c>
      <c r="N5458" s="3565">
        <v>0</v>
      </c>
      <c r="O5458" s="3563" t="s">
        <v>3453</v>
      </c>
    </row>
    <row r="5459" spans="1:15">
      <c r="A5459" s="3563" t="s">
        <v>9687</v>
      </c>
      <c r="B5459" s="3563" t="s">
        <v>4196</v>
      </c>
      <c r="C5459" s="3563" t="s">
        <v>4197</v>
      </c>
      <c r="D5459" s="3563" t="s">
        <v>6429</v>
      </c>
      <c r="E5459" s="3563" t="s">
        <v>9669</v>
      </c>
      <c r="F5459" s="3563" t="s">
        <v>4797</v>
      </c>
      <c r="G5459" s="3564">
        <v>100.47</v>
      </c>
      <c r="H5459" s="3564">
        <v>81.739999999999995</v>
      </c>
      <c r="I5459" s="3564">
        <v>18.73</v>
      </c>
      <c r="J5459" s="3565">
        <v>1060868</v>
      </c>
      <c r="K5459" s="3565">
        <v>10559.05</v>
      </c>
      <c r="L5459" s="3565">
        <v>12978.57</v>
      </c>
      <c r="M5459" s="3565">
        <v>0</v>
      </c>
      <c r="N5459" s="3565">
        <v>0</v>
      </c>
      <c r="O5459" s="3563" t="s">
        <v>3453</v>
      </c>
    </row>
    <row r="5460" spans="1:15">
      <c r="A5460" s="3563" t="s">
        <v>9688</v>
      </c>
      <c r="B5460" s="3563" t="s">
        <v>4196</v>
      </c>
      <c r="C5460" s="3563" t="s">
        <v>4197</v>
      </c>
      <c r="D5460" s="3563" t="s">
        <v>6429</v>
      </c>
      <c r="E5460" s="3563" t="s">
        <v>9669</v>
      </c>
      <c r="F5460" s="3563" t="s">
        <v>4797</v>
      </c>
      <c r="G5460" s="3564">
        <v>100.8</v>
      </c>
      <c r="H5460" s="3564">
        <v>82.01</v>
      </c>
      <c r="I5460" s="3564">
        <v>18.79</v>
      </c>
      <c r="J5460" s="3565">
        <v>1048266</v>
      </c>
      <c r="K5460" s="3565">
        <v>10399.459999999999</v>
      </c>
      <c r="L5460" s="3565">
        <v>12782.17</v>
      </c>
      <c r="M5460" s="3565">
        <v>0</v>
      </c>
      <c r="N5460" s="3565">
        <v>0</v>
      </c>
      <c r="O5460" s="3563" t="s">
        <v>3453</v>
      </c>
    </row>
    <row r="5461" spans="1:15">
      <c r="A5461" s="3563" t="s">
        <v>9689</v>
      </c>
      <c r="B5461" s="3563" t="s">
        <v>4196</v>
      </c>
      <c r="C5461" s="3563" t="s">
        <v>4197</v>
      </c>
      <c r="D5461" s="3563" t="s">
        <v>6429</v>
      </c>
      <c r="E5461" s="3563" t="s">
        <v>9669</v>
      </c>
      <c r="F5461" s="3563" t="s">
        <v>4797</v>
      </c>
      <c r="G5461" s="3564">
        <v>87.27</v>
      </c>
      <c r="H5461" s="3564">
        <v>71</v>
      </c>
      <c r="I5461" s="3564">
        <v>16.27</v>
      </c>
      <c r="J5461" s="3565">
        <v>916846</v>
      </c>
      <c r="K5461" s="3565">
        <v>10505.86</v>
      </c>
      <c r="L5461" s="3565">
        <v>12913.32</v>
      </c>
      <c r="M5461" s="3565">
        <v>0</v>
      </c>
      <c r="N5461" s="3565">
        <v>0</v>
      </c>
      <c r="O5461" s="3563" t="s">
        <v>3453</v>
      </c>
    </row>
    <row r="5462" spans="1:15">
      <c r="A5462" s="3563" t="s">
        <v>9690</v>
      </c>
      <c r="B5462" s="3563" t="s">
        <v>4196</v>
      </c>
      <c r="C5462" s="3563" t="s">
        <v>4197</v>
      </c>
      <c r="D5462" s="3563" t="s">
        <v>6429</v>
      </c>
      <c r="E5462" s="3563" t="s">
        <v>9669</v>
      </c>
      <c r="F5462" s="3563" t="s">
        <v>4797</v>
      </c>
      <c r="G5462" s="3564">
        <v>87.27</v>
      </c>
      <c r="H5462" s="3564">
        <v>71</v>
      </c>
      <c r="I5462" s="3564">
        <v>16.27</v>
      </c>
      <c r="J5462" s="3565">
        <v>916846</v>
      </c>
      <c r="K5462" s="3565">
        <v>10505.86</v>
      </c>
      <c r="L5462" s="3565">
        <v>12913.32</v>
      </c>
      <c r="M5462" s="3565">
        <v>0</v>
      </c>
      <c r="N5462" s="3565">
        <v>0</v>
      </c>
      <c r="O5462" s="3563" t="s">
        <v>3453</v>
      </c>
    </row>
    <row r="5463" spans="1:15">
      <c r="A5463" s="3563" t="s">
        <v>9691</v>
      </c>
      <c r="B5463" s="3563" t="s">
        <v>4196</v>
      </c>
      <c r="C5463" s="3563" t="s">
        <v>4197</v>
      </c>
      <c r="D5463" s="3563" t="s">
        <v>6429</v>
      </c>
      <c r="E5463" s="3563" t="s">
        <v>9669</v>
      </c>
      <c r="F5463" s="3563" t="s">
        <v>4797</v>
      </c>
      <c r="G5463" s="3564">
        <v>108.71</v>
      </c>
      <c r="H5463" s="3564">
        <v>88.44</v>
      </c>
      <c r="I5463" s="3564">
        <v>20.27</v>
      </c>
      <c r="J5463" s="3565">
        <v>1124744</v>
      </c>
      <c r="K5463" s="3565">
        <v>10346.280000000001</v>
      </c>
      <c r="L5463" s="3565">
        <v>12717.59</v>
      </c>
      <c r="M5463" s="3565">
        <v>0</v>
      </c>
      <c r="N5463" s="3565">
        <v>0</v>
      </c>
      <c r="O5463" s="3563" t="s">
        <v>3453</v>
      </c>
    </row>
    <row r="5464" spans="1:15">
      <c r="A5464" s="3563" t="s">
        <v>9692</v>
      </c>
      <c r="B5464" s="3563" t="s">
        <v>4196</v>
      </c>
      <c r="C5464" s="3563" t="s">
        <v>4197</v>
      </c>
      <c r="D5464" s="3563" t="s">
        <v>6429</v>
      </c>
      <c r="E5464" s="3563" t="s">
        <v>9669</v>
      </c>
      <c r="F5464" s="3563" t="s">
        <v>4797</v>
      </c>
      <c r="G5464" s="3564">
        <v>100.47</v>
      </c>
      <c r="H5464" s="3564">
        <v>81.739999999999995</v>
      </c>
      <c r="I5464" s="3564">
        <v>18.73</v>
      </c>
      <c r="J5464" s="3565">
        <v>1061937</v>
      </c>
      <c r="K5464" s="3565">
        <v>10569.69</v>
      </c>
      <c r="L5464" s="3565">
        <v>12991.64</v>
      </c>
      <c r="M5464" s="3565">
        <v>0</v>
      </c>
      <c r="N5464" s="3565">
        <v>0</v>
      </c>
      <c r="O5464" s="3563" t="s">
        <v>3453</v>
      </c>
    </row>
    <row r="5465" spans="1:15">
      <c r="A5465" s="3563" t="s">
        <v>9693</v>
      </c>
      <c r="B5465" s="3563" t="s">
        <v>4196</v>
      </c>
      <c r="C5465" s="3563" t="s">
        <v>4197</v>
      </c>
      <c r="D5465" s="3563" t="s">
        <v>6429</v>
      </c>
      <c r="E5465" s="3563" t="s">
        <v>9669</v>
      </c>
      <c r="F5465" s="3563" t="s">
        <v>4797</v>
      </c>
      <c r="G5465" s="3564">
        <v>100.47</v>
      </c>
      <c r="H5465" s="3564">
        <v>81.739999999999995</v>
      </c>
      <c r="I5465" s="3564">
        <v>18.73</v>
      </c>
      <c r="J5465" s="3565">
        <v>1061937</v>
      </c>
      <c r="K5465" s="3565">
        <v>10569.69</v>
      </c>
      <c r="L5465" s="3565">
        <v>12991.64</v>
      </c>
      <c r="M5465" s="3565">
        <v>0</v>
      </c>
      <c r="N5465" s="3565">
        <v>0</v>
      </c>
      <c r="O5465" s="3563" t="s">
        <v>3453</v>
      </c>
    </row>
    <row r="5466" spans="1:15">
      <c r="A5466" s="3563" t="s">
        <v>9694</v>
      </c>
      <c r="B5466" s="3563" t="s">
        <v>4196</v>
      </c>
      <c r="C5466" s="3563" t="s">
        <v>4197</v>
      </c>
      <c r="D5466" s="3563" t="s">
        <v>6429</v>
      </c>
      <c r="E5466" s="3563" t="s">
        <v>9669</v>
      </c>
      <c r="F5466" s="3563" t="s">
        <v>4797</v>
      </c>
      <c r="G5466" s="3564">
        <v>100.8</v>
      </c>
      <c r="H5466" s="3564">
        <v>82.01</v>
      </c>
      <c r="I5466" s="3564">
        <v>18.79</v>
      </c>
      <c r="J5466" s="3565">
        <v>1049339</v>
      </c>
      <c r="K5466" s="3565">
        <v>10410.11</v>
      </c>
      <c r="L5466" s="3565">
        <v>12795.26</v>
      </c>
      <c r="M5466" s="3565">
        <v>0</v>
      </c>
      <c r="N5466" s="3565">
        <v>0</v>
      </c>
      <c r="O5466" s="3563" t="s">
        <v>3453</v>
      </c>
    </row>
    <row r="5467" spans="1:15">
      <c r="A5467" s="3563" t="s">
        <v>9695</v>
      </c>
      <c r="B5467" s="3563" t="s">
        <v>4196</v>
      </c>
      <c r="C5467" s="3563" t="s">
        <v>4197</v>
      </c>
      <c r="D5467" s="3563" t="s">
        <v>6429</v>
      </c>
      <c r="E5467" s="3563" t="s">
        <v>9669</v>
      </c>
      <c r="F5467" s="3563" t="s">
        <v>4797</v>
      </c>
      <c r="G5467" s="3564">
        <v>87.27</v>
      </c>
      <c r="H5467" s="3564">
        <v>71</v>
      </c>
      <c r="I5467" s="3564">
        <v>16.27</v>
      </c>
      <c r="J5467" s="3565">
        <v>917775</v>
      </c>
      <c r="K5467" s="3565">
        <v>10516.5</v>
      </c>
      <c r="L5467" s="3565">
        <v>12926.41</v>
      </c>
      <c r="M5467" s="3565">
        <v>0</v>
      </c>
      <c r="N5467" s="3565">
        <v>0</v>
      </c>
      <c r="O5467" s="3563" t="s">
        <v>3453</v>
      </c>
    </row>
    <row r="5468" spans="1:15">
      <c r="A5468" s="3563" t="s">
        <v>9696</v>
      </c>
      <c r="B5468" s="3563" t="s">
        <v>4196</v>
      </c>
      <c r="C5468" s="3563" t="s">
        <v>4197</v>
      </c>
      <c r="D5468" s="3563" t="s">
        <v>6429</v>
      </c>
      <c r="E5468" s="3563" t="s">
        <v>9669</v>
      </c>
      <c r="F5468" s="3563" t="s">
        <v>4797</v>
      </c>
      <c r="G5468" s="3564">
        <v>87.27</v>
      </c>
      <c r="H5468" s="3564">
        <v>71</v>
      </c>
      <c r="I5468" s="3564">
        <v>16.27</v>
      </c>
      <c r="J5468" s="3565">
        <v>917775</v>
      </c>
      <c r="K5468" s="3565">
        <v>10516.5</v>
      </c>
      <c r="L5468" s="3565">
        <v>12926.41</v>
      </c>
      <c r="M5468" s="3565">
        <v>0</v>
      </c>
      <c r="N5468" s="3565">
        <v>0</v>
      </c>
      <c r="O5468" s="3563" t="s">
        <v>3453</v>
      </c>
    </row>
    <row r="5469" spans="1:15">
      <c r="A5469" s="3563" t="s">
        <v>9697</v>
      </c>
      <c r="B5469" s="3563" t="s">
        <v>4196</v>
      </c>
      <c r="C5469" s="3563" t="s">
        <v>4197</v>
      </c>
      <c r="D5469" s="3563" t="s">
        <v>6429</v>
      </c>
      <c r="E5469" s="3563" t="s">
        <v>9669</v>
      </c>
      <c r="F5469" s="3563" t="s">
        <v>4797</v>
      </c>
      <c r="G5469" s="3564">
        <v>108.71</v>
      </c>
      <c r="H5469" s="3564">
        <v>88.44</v>
      </c>
      <c r="I5469" s="3564">
        <v>20.27</v>
      </c>
      <c r="J5469" s="3565">
        <v>1125900</v>
      </c>
      <c r="K5469" s="3565">
        <v>10356.91</v>
      </c>
      <c r="L5469" s="3565">
        <v>12730.66</v>
      </c>
      <c r="M5469" s="3565">
        <v>0</v>
      </c>
      <c r="N5469" s="3565">
        <v>0</v>
      </c>
      <c r="O5469" s="3563" t="s">
        <v>3453</v>
      </c>
    </row>
    <row r="5470" spans="1:15">
      <c r="A5470" s="3563" t="s">
        <v>9698</v>
      </c>
      <c r="B5470" s="3563" t="s">
        <v>4196</v>
      </c>
      <c r="C5470" s="3563" t="s">
        <v>4197</v>
      </c>
      <c r="D5470" s="3563" t="s">
        <v>6429</v>
      </c>
      <c r="E5470" s="3563" t="s">
        <v>9669</v>
      </c>
      <c r="F5470" s="3563" t="s">
        <v>4797</v>
      </c>
      <c r="G5470" s="3564">
        <v>100.47</v>
      </c>
      <c r="H5470" s="3564">
        <v>81.739999999999995</v>
      </c>
      <c r="I5470" s="3564">
        <v>18.73</v>
      </c>
      <c r="J5470" s="3565">
        <v>1052316</v>
      </c>
      <c r="K5470" s="3565">
        <v>10473.93</v>
      </c>
      <c r="L5470" s="3565">
        <v>12873.94</v>
      </c>
      <c r="M5470" s="3565">
        <v>0</v>
      </c>
      <c r="N5470" s="3565">
        <v>0</v>
      </c>
      <c r="O5470" s="3563" t="s">
        <v>3453</v>
      </c>
    </row>
    <row r="5471" spans="1:15">
      <c r="A5471" s="3563" t="s">
        <v>9699</v>
      </c>
      <c r="B5471" s="3563" t="s">
        <v>4196</v>
      </c>
      <c r="C5471" s="3563" t="s">
        <v>4197</v>
      </c>
      <c r="D5471" s="3563" t="s">
        <v>6429</v>
      </c>
      <c r="E5471" s="3563" t="s">
        <v>9669</v>
      </c>
      <c r="F5471" s="3563" t="s">
        <v>4797</v>
      </c>
      <c r="G5471" s="3564">
        <v>100.47</v>
      </c>
      <c r="H5471" s="3564">
        <v>81.739999999999995</v>
      </c>
      <c r="I5471" s="3564">
        <v>18.73</v>
      </c>
      <c r="J5471" s="3565">
        <v>1052316</v>
      </c>
      <c r="K5471" s="3565">
        <v>10473.93</v>
      </c>
      <c r="L5471" s="3565">
        <v>12873.94</v>
      </c>
      <c r="M5471" s="3565">
        <v>0</v>
      </c>
      <c r="N5471" s="3565">
        <v>0</v>
      </c>
      <c r="O5471" s="3563" t="s">
        <v>3453</v>
      </c>
    </row>
    <row r="5472" spans="1:15">
      <c r="A5472" s="3563" t="s">
        <v>9700</v>
      </c>
      <c r="B5472" s="3563" t="s">
        <v>4196</v>
      </c>
      <c r="C5472" s="3563" t="s">
        <v>4197</v>
      </c>
      <c r="D5472" s="3563" t="s">
        <v>6429</v>
      </c>
      <c r="E5472" s="3563" t="s">
        <v>9669</v>
      </c>
      <c r="F5472" s="3563" t="s">
        <v>4797</v>
      </c>
      <c r="G5472" s="3564">
        <v>100.8</v>
      </c>
      <c r="H5472" s="3564">
        <v>82.01</v>
      </c>
      <c r="I5472" s="3564">
        <v>18.79</v>
      </c>
      <c r="J5472" s="3565">
        <v>1039688</v>
      </c>
      <c r="K5472" s="3565">
        <v>10314.370000000001</v>
      </c>
      <c r="L5472" s="3565">
        <v>12677.58</v>
      </c>
      <c r="M5472" s="3565">
        <v>0</v>
      </c>
      <c r="N5472" s="3565">
        <v>0</v>
      </c>
      <c r="O5472" s="3563" t="s">
        <v>3453</v>
      </c>
    </row>
    <row r="5473" spans="1:15">
      <c r="A5473" s="3563" t="s">
        <v>9701</v>
      </c>
      <c r="B5473" s="3563" t="s">
        <v>4196</v>
      </c>
      <c r="C5473" s="3563" t="s">
        <v>4197</v>
      </c>
      <c r="D5473" s="3563" t="s">
        <v>6429</v>
      </c>
      <c r="E5473" s="3563" t="s">
        <v>9669</v>
      </c>
      <c r="F5473" s="3563" t="s">
        <v>4797</v>
      </c>
      <c r="G5473" s="3564">
        <v>87.27</v>
      </c>
      <c r="H5473" s="3564">
        <v>71</v>
      </c>
      <c r="I5473" s="3564">
        <v>16.27</v>
      </c>
      <c r="J5473" s="3565">
        <v>909419</v>
      </c>
      <c r="K5473" s="3565">
        <v>10420.75</v>
      </c>
      <c r="L5473" s="3565">
        <v>12808.72</v>
      </c>
      <c r="M5473" s="3565">
        <v>0</v>
      </c>
      <c r="N5473" s="3565">
        <v>0</v>
      </c>
      <c r="O5473" s="3563" t="s">
        <v>3453</v>
      </c>
    </row>
    <row r="5474" spans="1:15">
      <c r="A5474" s="3563" t="s">
        <v>9702</v>
      </c>
      <c r="B5474" s="3563" t="s">
        <v>4196</v>
      </c>
      <c r="C5474" s="3563" t="s">
        <v>4197</v>
      </c>
      <c r="D5474" s="3563" t="s">
        <v>6429</v>
      </c>
      <c r="E5474" s="3563" t="s">
        <v>9669</v>
      </c>
      <c r="F5474" s="3563" t="s">
        <v>4797</v>
      </c>
      <c r="G5474" s="3564">
        <v>87.27</v>
      </c>
      <c r="H5474" s="3564">
        <v>71</v>
      </c>
      <c r="I5474" s="3564">
        <v>16.27</v>
      </c>
      <c r="J5474" s="3565">
        <v>927987</v>
      </c>
      <c r="K5474" s="3565">
        <v>10633.52</v>
      </c>
      <c r="L5474" s="3565">
        <v>13070.24</v>
      </c>
      <c r="M5474" s="3565">
        <v>0</v>
      </c>
      <c r="N5474" s="3565">
        <v>0</v>
      </c>
      <c r="O5474" s="3563" t="s">
        <v>3453</v>
      </c>
    </row>
    <row r="5475" spans="1:15">
      <c r="A5475" s="3563" t="s">
        <v>9703</v>
      </c>
      <c r="B5475" s="3563" t="s">
        <v>4196</v>
      </c>
      <c r="C5475" s="3563" t="s">
        <v>4197</v>
      </c>
      <c r="D5475" s="3563" t="s">
        <v>6429</v>
      </c>
      <c r="E5475" s="3563" t="s">
        <v>9669</v>
      </c>
      <c r="F5475" s="3563" t="s">
        <v>4797</v>
      </c>
      <c r="G5475" s="3564">
        <v>108.71</v>
      </c>
      <c r="H5475" s="3564">
        <v>88.44</v>
      </c>
      <c r="I5475" s="3564">
        <v>20.27</v>
      </c>
      <c r="J5475" s="3565">
        <v>1115492</v>
      </c>
      <c r="K5475" s="3565">
        <v>10261.17</v>
      </c>
      <c r="L5475" s="3565">
        <v>12612.98</v>
      </c>
      <c r="M5475" s="3565">
        <v>0</v>
      </c>
      <c r="N5475" s="3565">
        <v>0</v>
      </c>
      <c r="O5475" s="3563" t="s">
        <v>3453</v>
      </c>
    </row>
    <row r="5476" spans="1:15">
      <c r="A5476" s="3563" t="s">
        <v>9704</v>
      </c>
      <c r="B5476" s="3563" t="s">
        <v>4196</v>
      </c>
      <c r="C5476" s="3563" t="s">
        <v>4197</v>
      </c>
      <c r="D5476" s="3563" t="s">
        <v>6429</v>
      </c>
      <c r="E5476" s="3563" t="s">
        <v>9669</v>
      </c>
      <c r="F5476" s="3563" t="s">
        <v>4797</v>
      </c>
      <c r="G5476" s="3564">
        <v>100.47</v>
      </c>
      <c r="H5476" s="3564">
        <v>81.739999999999995</v>
      </c>
      <c r="I5476" s="3564">
        <v>18.73</v>
      </c>
      <c r="J5476" s="3565">
        <v>1064074</v>
      </c>
      <c r="K5476" s="3565">
        <v>10590.96</v>
      </c>
      <c r="L5476" s="3565">
        <v>13017.79</v>
      </c>
      <c r="M5476" s="3565">
        <v>0</v>
      </c>
      <c r="N5476" s="3565">
        <v>0</v>
      </c>
      <c r="O5476" s="3563" t="s">
        <v>3453</v>
      </c>
    </row>
    <row r="5477" spans="1:15">
      <c r="A5477" s="3563" t="s">
        <v>9705</v>
      </c>
      <c r="B5477" s="3563" t="s">
        <v>4196</v>
      </c>
      <c r="C5477" s="3563" t="s">
        <v>4197</v>
      </c>
      <c r="D5477" s="3563" t="s">
        <v>6429</v>
      </c>
      <c r="E5477" s="3563" t="s">
        <v>9669</v>
      </c>
      <c r="F5477" s="3563" t="s">
        <v>4797</v>
      </c>
      <c r="G5477" s="3564">
        <v>100.47</v>
      </c>
      <c r="H5477" s="3564">
        <v>81.739999999999995</v>
      </c>
      <c r="I5477" s="3564">
        <v>18.73</v>
      </c>
      <c r="J5477" s="3565">
        <v>1064074</v>
      </c>
      <c r="K5477" s="3565">
        <v>10590.96</v>
      </c>
      <c r="L5477" s="3565">
        <v>13017.79</v>
      </c>
      <c r="M5477" s="3565">
        <v>0</v>
      </c>
      <c r="N5477" s="3565">
        <v>0</v>
      </c>
      <c r="O5477" s="3563" t="s">
        <v>3453</v>
      </c>
    </row>
    <row r="5478" spans="1:15">
      <c r="A5478" s="3563" t="s">
        <v>9706</v>
      </c>
      <c r="B5478" s="3563" t="s">
        <v>4196</v>
      </c>
      <c r="C5478" s="3563" t="s">
        <v>4197</v>
      </c>
      <c r="D5478" s="3563" t="s">
        <v>6429</v>
      </c>
      <c r="E5478" s="3563" t="s">
        <v>9669</v>
      </c>
      <c r="F5478" s="3563" t="s">
        <v>4797</v>
      </c>
      <c r="G5478" s="3564">
        <v>100.8</v>
      </c>
      <c r="H5478" s="3564">
        <v>82.01</v>
      </c>
      <c r="I5478" s="3564">
        <v>18.79</v>
      </c>
      <c r="J5478" s="3565">
        <v>1051483</v>
      </c>
      <c r="K5478" s="3565">
        <v>10431.379999999999</v>
      </c>
      <c r="L5478" s="3565">
        <v>12821.4</v>
      </c>
      <c r="M5478" s="3565">
        <v>0</v>
      </c>
      <c r="N5478" s="3565">
        <v>0</v>
      </c>
      <c r="O5478" s="3563" t="s">
        <v>3453</v>
      </c>
    </row>
    <row r="5479" spans="1:15">
      <c r="A5479" s="3563" t="s">
        <v>9707</v>
      </c>
      <c r="B5479" s="3563" t="s">
        <v>4196</v>
      </c>
      <c r="C5479" s="3563" t="s">
        <v>4197</v>
      </c>
      <c r="D5479" s="3563" t="s">
        <v>6429</v>
      </c>
      <c r="E5479" s="3563" t="s">
        <v>9669</v>
      </c>
      <c r="F5479" s="3563" t="s">
        <v>4797</v>
      </c>
      <c r="G5479" s="3564">
        <v>87.27</v>
      </c>
      <c r="H5479" s="3564">
        <v>71</v>
      </c>
      <c r="I5479" s="3564">
        <v>16.27</v>
      </c>
      <c r="J5479" s="3565">
        <v>919631</v>
      </c>
      <c r="K5479" s="3565">
        <v>10537.77</v>
      </c>
      <c r="L5479" s="3565">
        <v>12952.55</v>
      </c>
      <c r="M5479" s="3565">
        <v>0</v>
      </c>
      <c r="N5479" s="3565">
        <v>0</v>
      </c>
      <c r="O5479" s="3563" t="s">
        <v>3453</v>
      </c>
    </row>
    <row r="5480" spans="1:15">
      <c r="A5480" s="3563" t="s">
        <v>9708</v>
      </c>
      <c r="B5480" s="3563" t="s">
        <v>4196</v>
      </c>
      <c r="C5480" s="3563" t="s">
        <v>4197</v>
      </c>
      <c r="D5480" s="3563" t="s">
        <v>6429</v>
      </c>
      <c r="E5480" s="3563" t="s">
        <v>9669</v>
      </c>
      <c r="F5480" s="3563" t="s">
        <v>4797</v>
      </c>
      <c r="G5480" s="3564">
        <v>87.27</v>
      </c>
      <c r="H5480" s="3564">
        <v>71</v>
      </c>
      <c r="I5480" s="3564">
        <v>16.27</v>
      </c>
      <c r="J5480" s="3565">
        <v>938199</v>
      </c>
      <c r="K5480" s="3565">
        <v>10750.53</v>
      </c>
      <c r="L5480" s="3565">
        <v>13214.07</v>
      </c>
      <c r="M5480" s="3565">
        <v>0</v>
      </c>
      <c r="N5480" s="3565">
        <v>0</v>
      </c>
      <c r="O5480" s="3563" t="s">
        <v>3453</v>
      </c>
    </row>
    <row r="5481" spans="1:15">
      <c r="A5481" s="3563" t="s">
        <v>9709</v>
      </c>
      <c r="B5481" s="3563" t="s">
        <v>4196</v>
      </c>
      <c r="C5481" s="3563" t="s">
        <v>4197</v>
      </c>
      <c r="D5481" s="3563" t="s">
        <v>6429</v>
      </c>
      <c r="E5481" s="3563" t="s">
        <v>9669</v>
      </c>
      <c r="F5481" s="3563" t="s">
        <v>4797</v>
      </c>
      <c r="G5481" s="3564">
        <v>108.71</v>
      </c>
      <c r="H5481" s="3564">
        <v>88.44</v>
      </c>
      <c r="I5481" s="3564">
        <v>20.27</v>
      </c>
      <c r="J5481" s="3565">
        <v>1128213</v>
      </c>
      <c r="K5481" s="3565">
        <v>10378.19</v>
      </c>
      <c r="L5481" s="3565">
        <v>12756.82</v>
      </c>
      <c r="M5481" s="3565">
        <v>0</v>
      </c>
      <c r="N5481" s="3565">
        <v>0</v>
      </c>
      <c r="O5481" s="3563" t="s">
        <v>3453</v>
      </c>
    </row>
    <row r="5482" spans="1:15">
      <c r="A5482" s="3563" t="s">
        <v>9710</v>
      </c>
      <c r="B5482" s="3563" t="s">
        <v>4196</v>
      </c>
      <c r="C5482" s="3563" t="s">
        <v>4197</v>
      </c>
      <c r="D5482" s="3563" t="s">
        <v>6429</v>
      </c>
      <c r="E5482" s="3563" t="s">
        <v>9669</v>
      </c>
      <c r="F5482" s="3563" t="s">
        <v>4797</v>
      </c>
      <c r="G5482" s="3564">
        <v>100.47</v>
      </c>
      <c r="H5482" s="3564">
        <v>81.739999999999995</v>
      </c>
      <c r="I5482" s="3564">
        <v>18.73</v>
      </c>
      <c r="J5482" s="3565">
        <v>1063005</v>
      </c>
      <c r="K5482" s="3565">
        <v>10580.32</v>
      </c>
      <c r="L5482" s="3565">
        <v>13004.71</v>
      </c>
      <c r="M5482" s="3565">
        <v>0</v>
      </c>
      <c r="N5482" s="3565">
        <v>0</v>
      </c>
      <c r="O5482" s="3563" t="s">
        <v>3453</v>
      </c>
    </row>
    <row r="5483" spans="1:15">
      <c r="A5483" s="3563" t="s">
        <v>9711</v>
      </c>
      <c r="B5483" s="3563" t="s">
        <v>4196</v>
      </c>
      <c r="C5483" s="3563" t="s">
        <v>4197</v>
      </c>
      <c r="D5483" s="3563" t="s">
        <v>6429</v>
      </c>
      <c r="E5483" s="3563" t="s">
        <v>9669</v>
      </c>
      <c r="F5483" s="3563" t="s">
        <v>4797</v>
      </c>
      <c r="G5483" s="3564">
        <v>100.47</v>
      </c>
      <c r="H5483" s="3564">
        <v>81.739999999999995</v>
      </c>
      <c r="I5483" s="3564">
        <v>18.73</v>
      </c>
      <c r="J5483" s="3565">
        <v>1063005</v>
      </c>
      <c r="K5483" s="3565">
        <v>10580.32</v>
      </c>
      <c r="L5483" s="3565">
        <v>13004.71</v>
      </c>
      <c r="M5483" s="3565">
        <v>0</v>
      </c>
      <c r="N5483" s="3565">
        <v>0</v>
      </c>
      <c r="O5483" s="3563" t="s">
        <v>3453</v>
      </c>
    </row>
    <row r="5484" spans="1:15">
      <c r="A5484" s="3563" t="s">
        <v>9712</v>
      </c>
      <c r="B5484" s="3563" t="s">
        <v>4196</v>
      </c>
      <c r="C5484" s="3563" t="s">
        <v>4197</v>
      </c>
      <c r="D5484" s="3563" t="s">
        <v>6429</v>
      </c>
      <c r="E5484" s="3563" t="s">
        <v>9669</v>
      </c>
      <c r="F5484" s="3563" t="s">
        <v>4797</v>
      </c>
      <c r="G5484" s="3564">
        <v>100.8</v>
      </c>
      <c r="H5484" s="3564">
        <v>82.01</v>
      </c>
      <c r="I5484" s="3564">
        <v>18.79</v>
      </c>
      <c r="J5484" s="3565">
        <v>1050411</v>
      </c>
      <c r="K5484" s="3565">
        <v>10420.74</v>
      </c>
      <c r="L5484" s="3565">
        <v>12808.33</v>
      </c>
      <c r="M5484" s="3565">
        <v>0</v>
      </c>
      <c r="N5484" s="3565">
        <v>0</v>
      </c>
      <c r="O5484" s="3563" t="s">
        <v>3453</v>
      </c>
    </row>
    <row r="5485" spans="1:15">
      <c r="A5485" s="3563" t="s">
        <v>9713</v>
      </c>
      <c r="B5485" s="3563" t="s">
        <v>4196</v>
      </c>
      <c r="C5485" s="3563" t="s">
        <v>4197</v>
      </c>
      <c r="D5485" s="3563" t="s">
        <v>6429</v>
      </c>
      <c r="E5485" s="3563" t="s">
        <v>9669</v>
      </c>
      <c r="F5485" s="3563" t="s">
        <v>4797</v>
      </c>
      <c r="G5485" s="3564">
        <v>87.27</v>
      </c>
      <c r="H5485" s="3564">
        <v>71</v>
      </c>
      <c r="I5485" s="3564">
        <v>16.27</v>
      </c>
      <c r="J5485" s="3565">
        <v>918703</v>
      </c>
      <c r="K5485" s="3565">
        <v>10527.13</v>
      </c>
      <c r="L5485" s="3565">
        <v>12939.48</v>
      </c>
      <c r="M5485" s="3565">
        <v>0</v>
      </c>
      <c r="N5485" s="3565">
        <v>0</v>
      </c>
      <c r="O5485" s="3563" t="s">
        <v>3453</v>
      </c>
    </row>
    <row r="5486" spans="1:15">
      <c r="A5486" s="3563" t="s">
        <v>9714</v>
      </c>
      <c r="B5486" s="3563" t="s">
        <v>4196</v>
      </c>
      <c r="C5486" s="3563" t="s">
        <v>4197</v>
      </c>
      <c r="D5486" s="3563" t="s">
        <v>6429</v>
      </c>
      <c r="E5486" s="3563" t="s">
        <v>9669</v>
      </c>
      <c r="F5486" s="3563" t="s">
        <v>4797</v>
      </c>
      <c r="G5486" s="3564">
        <v>87.27</v>
      </c>
      <c r="H5486" s="3564">
        <v>71</v>
      </c>
      <c r="I5486" s="3564">
        <v>16.27</v>
      </c>
      <c r="J5486" s="3565">
        <v>937271</v>
      </c>
      <c r="K5486" s="3565">
        <v>10739.9</v>
      </c>
      <c r="L5486" s="3565">
        <v>13201</v>
      </c>
      <c r="M5486" s="3565">
        <v>0</v>
      </c>
      <c r="N5486" s="3565">
        <v>0</v>
      </c>
      <c r="O5486" s="3563" t="s">
        <v>3453</v>
      </c>
    </row>
    <row r="5487" spans="1:15">
      <c r="A5487" s="3563" t="s">
        <v>9715</v>
      </c>
      <c r="B5487" s="3563" t="s">
        <v>4196</v>
      </c>
      <c r="C5487" s="3563" t="s">
        <v>4197</v>
      </c>
      <c r="D5487" s="3563" t="s">
        <v>6429</v>
      </c>
      <c r="E5487" s="3563" t="s">
        <v>9669</v>
      </c>
      <c r="F5487" s="3563" t="s">
        <v>4797</v>
      </c>
      <c r="G5487" s="3564">
        <v>108.71</v>
      </c>
      <c r="H5487" s="3564">
        <v>88.44</v>
      </c>
      <c r="I5487" s="3564">
        <v>20.27</v>
      </c>
      <c r="J5487" s="3565">
        <v>1127057</v>
      </c>
      <c r="K5487" s="3565">
        <v>10367.56</v>
      </c>
      <c r="L5487" s="3565">
        <v>12743.75</v>
      </c>
      <c r="M5487" s="3565">
        <v>0</v>
      </c>
      <c r="N5487" s="3565">
        <v>0</v>
      </c>
      <c r="O5487" s="3563" t="s">
        <v>3453</v>
      </c>
    </row>
    <row r="5488" spans="1:15">
      <c r="A5488" s="3563" t="s">
        <v>9716</v>
      </c>
      <c r="B5488" s="3563" t="s">
        <v>4196</v>
      </c>
      <c r="C5488" s="3563" t="s">
        <v>4197</v>
      </c>
      <c r="D5488" s="3563" t="s">
        <v>6429</v>
      </c>
      <c r="E5488" s="3563" t="s">
        <v>9669</v>
      </c>
      <c r="F5488" s="3563" t="s">
        <v>4797</v>
      </c>
      <c r="G5488" s="3564">
        <v>100.47</v>
      </c>
      <c r="H5488" s="3564">
        <v>81.739999999999995</v>
      </c>
      <c r="I5488" s="3564">
        <v>18.73</v>
      </c>
      <c r="J5488" s="3565">
        <v>1061937</v>
      </c>
      <c r="K5488" s="3565">
        <v>10569.69</v>
      </c>
      <c r="L5488" s="3565">
        <v>12991.64</v>
      </c>
      <c r="M5488" s="3565">
        <v>0</v>
      </c>
      <c r="N5488" s="3565">
        <v>0</v>
      </c>
      <c r="O5488" s="3563" t="s">
        <v>3453</v>
      </c>
    </row>
    <row r="5489" spans="1:15">
      <c r="A5489" s="3563" t="s">
        <v>9717</v>
      </c>
      <c r="B5489" s="3563" t="s">
        <v>4196</v>
      </c>
      <c r="C5489" s="3563" t="s">
        <v>4197</v>
      </c>
      <c r="D5489" s="3563" t="s">
        <v>6429</v>
      </c>
      <c r="E5489" s="3563" t="s">
        <v>9669</v>
      </c>
      <c r="F5489" s="3563" t="s">
        <v>4797</v>
      </c>
      <c r="G5489" s="3564">
        <v>100.47</v>
      </c>
      <c r="H5489" s="3564">
        <v>81.739999999999995</v>
      </c>
      <c r="I5489" s="3564">
        <v>18.73</v>
      </c>
      <c r="J5489" s="3565">
        <v>1061937</v>
      </c>
      <c r="K5489" s="3565">
        <v>10569.69</v>
      </c>
      <c r="L5489" s="3565">
        <v>12991.64</v>
      </c>
      <c r="M5489" s="3565">
        <v>0</v>
      </c>
      <c r="N5489" s="3565">
        <v>0</v>
      </c>
      <c r="O5489" s="3563" t="s">
        <v>3453</v>
      </c>
    </row>
    <row r="5490" spans="1:15">
      <c r="A5490" s="3563" t="s">
        <v>9718</v>
      </c>
      <c r="B5490" s="3563" t="s">
        <v>4196</v>
      </c>
      <c r="C5490" s="3563" t="s">
        <v>4197</v>
      </c>
      <c r="D5490" s="3563" t="s">
        <v>6429</v>
      </c>
      <c r="E5490" s="3563" t="s">
        <v>9669</v>
      </c>
      <c r="F5490" s="3563" t="s">
        <v>4797</v>
      </c>
      <c r="G5490" s="3564">
        <v>100.8</v>
      </c>
      <c r="H5490" s="3564">
        <v>82.01</v>
      </c>
      <c r="I5490" s="3564">
        <v>18.79</v>
      </c>
      <c r="J5490" s="3565">
        <v>1049339</v>
      </c>
      <c r="K5490" s="3565">
        <v>10410.11</v>
      </c>
      <c r="L5490" s="3565">
        <v>12795.26</v>
      </c>
      <c r="M5490" s="3565">
        <v>0</v>
      </c>
      <c r="N5490" s="3565">
        <v>0</v>
      </c>
      <c r="O5490" s="3563" t="s">
        <v>3453</v>
      </c>
    </row>
    <row r="5491" spans="1:15">
      <c r="A5491" s="3563" t="s">
        <v>9719</v>
      </c>
      <c r="B5491" s="3563" t="s">
        <v>4196</v>
      </c>
      <c r="C5491" s="3563" t="s">
        <v>4197</v>
      </c>
      <c r="D5491" s="3563" t="s">
        <v>6429</v>
      </c>
      <c r="E5491" s="3563" t="s">
        <v>9669</v>
      </c>
      <c r="F5491" s="3563" t="s">
        <v>4797</v>
      </c>
      <c r="G5491" s="3564">
        <v>87.27</v>
      </c>
      <c r="H5491" s="3564">
        <v>71</v>
      </c>
      <c r="I5491" s="3564">
        <v>16.27</v>
      </c>
      <c r="J5491" s="3565">
        <v>917775</v>
      </c>
      <c r="K5491" s="3565">
        <v>10516.5</v>
      </c>
      <c r="L5491" s="3565">
        <v>12926.41</v>
      </c>
      <c r="M5491" s="3565">
        <v>0</v>
      </c>
      <c r="N5491" s="3565">
        <v>0</v>
      </c>
      <c r="O5491" s="3563" t="s">
        <v>3453</v>
      </c>
    </row>
    <row r="5492" spans="1:15">
      <c r="A5492" s="3563" t="s">
        <v>9720</v>
      </c>
      <c r="B5492" s="3563" t="s">
        <v>4196</v>
      </c>
      <c r="C5492" s="3563" t="s">
        <v>4197</v>
      </c>
      <c r="D5492" s="3563" t="s">
        <v>6429</v>
      </c>
      <c r="E5492" s="3563" t="s">
        <v>9669</v>
      </c>
      <c r="F5492" s="3563" t="s">
        <v>4797</v>
      </c>
      <c r="G5492" s="3564">
        <v>87.27</v>
      </c>
      <c r="H5492" s="3564">
        <v>71</v>
      </c>
      <c r="I5492" s="3564">
        <v>16.27</v>
      </c>
      <c r="J5492" s="3565">
        <v>936343</v>
      </c>
      <c r="K5492" s="3565">
        <v>10729.27</v>
      </c>
      <c r="L5492" s="3565">
        <v>13187.93</v>
      </c>
      <c r="M5492" s="3565">
        <v>0</v>
      </c>
      <c r="N5492" s="3565">
        <v>0</v>
      </c>
      <c r="O5492" s="3563" t="s">
        <v>3453</v>
      </c>
    </row>
    <row r="5493" spans="1:15">
      <c r="A5493" s="3563" t="s">
        <v>9721</v>
      </c>
      <c r="B5493" s="3563" t="s">
        <v>4196</v>
      </c>
      <c r="C5493" s="3563" t="s">
        <v>4197</v>
      </c>
      <c r="D5493" s="3563" t="s">
        <v>6429</v>
      </c>
      <c r="E5493" s="3563" t="s">
        <v>9669</v>
      </c>
      <c r="F5493" s="3563" t="s">
        <v>4797</v>
      </c>
      <c r="G5493" s="3564">
        <v>108.71</v>
      </c>
      <c r="H5493" s="3564">
        <v>88.44</v>
      </c>
      <c r="I5493" s="3564">
        <v>20.27</v>
      </c>
      <c r="J5493" s="3565">
        <v>1125900</v>
      </c>
      <c r="K5493" s="3565">
        <v>10356.91</v>
      </c>
      <c r="L5493" s="3565">
        <v>12730.66</v>
      </c>
      <c r="M5493" s="3565">
        <v>0</v>
      </c>
      <c r="N5493" s="3565">
        <v>0</v>
      </c>
      <c r="O5493" s="3563" t="s">
        <v>3453</v>
      </c>
    </row>
    <row r="5494" spans="1:15">
      <c r="A5494" s="3563" t="s">
        <v>9722</v>
      </c>
      <c r="B5494" s="3563" t="s">
        <v>4196</v>
      </c>
      <c r="C5494" s="3563" t="s">
        <v>4197</v>
      </c>
      <c r="D5494" s="3563" t="s">
        <v>6429</v>
      </c>
      <c r="E5494" s="3563" t="s">
        <v>9669</v>
      </c>
      <c r="F5494" s="3563" t="s">
        <v>4797</v>
      </c>
      <c r="G5494" s="3564">
        <v>100.47</v>
      </c>
      <c r="H5494" s="3564">
        <v>81.739999999999995</v>
      </c>
      <c r="I5494" s="3564">
        <v>18.73</v>
      </c>
      <c r="J5494" s="3565">
        <v>1050179</v>
      </c>
      <c r="K5494" s="3565">
        <v>10452.66</v>
      </c>
      <c r="L5494" s="3565">
        <v>12847.8</v>
      </c>
      <c r="M5494" s="3565">
        <v>0</v>
      </c>
      <c r="N5494" s="3565">
        <v>0</v>
      </c>
      <c r="O5494" s="3563" t="s">
        <v>3453</v>
      </c>
    </row>
    <row r="5495" spans="1:15">
      <c r="A5495" s="3563" t="s">
        <v>9723</v>
      </c>
      <c r="B5495" s="3563" t="s">
        <v>4196</v>
      </c>
      <c r="C5495" s="3563" t="s">
        <v>4197</v>
      </c>
      <c r="D5495" s="3563" t="s">
        <v>6429</v>
      </c>
      <c r="E5495" s="3563" t="s">
        <v>9669</v>
      </c>
      <c r="F5495" s="3563" t="s">
        <v>4797</v>
      </c>
      <c r="G5495" s="3564">
        <v>100.47</v>
      </c>
      <c r="H5495" s="3564">
        <v>81.739999999999995</v>
      </c>
      <c r="I5495" s="3564">
        <v>18.73</v>
      </c>
      <c r="J5495" s="3565">
        <v>1050179</v>
      </c>
      <c r="K5495" s="3565">
        <v>10452.66</v>
      </c>
      <c r="L5495" s="3565">
        <v>12847.8</v>
      </c>
      <c r="M5495" s="3565">
        <v>0</v>
      </c>
      <c r="N5495" s="3565">
        <v>0</v>
      </c>
      <c r="O5495" s="3563" t="s">
        <v>3453</v>
      </c>
    </row>
    <row r="5496" spans="1:15">
      <c r="A5496" s="3563" t="s">
        <v>9724</v>
      </c>
      <c r="B5496" s="3563" t="s">
        <v>4196</v>
      </c>
      <c r="C5496" s="3563" t="s">
        <v>4197</v>
      </c>
      <c r="D5496" s="3563" t="s">
        <v>6429</v>
      </c>
      <c r="E5496" s="3563" t="s">
        <v>9669</v>
      </c>
      <c r="F5496" s="3563" t="s">
        <v>4797</v>
      </c>
      <c r="G5496" s="3564">
        <v>100.8</v>
      </c>
      <c r="H5496" s="3564">
        <v>82.01</v>
      </c>
      <c r="I5496" s="3564">
        <v>18.79</v>
      </c>
      <c r="J5496" s="3565">
        <v>1037543</v>
      </c>
      <c r="K5496" s="3565">
        <v>10293.09</v>
      </c>
      <c r="L5496" s="3565">
        <v>12651.42</v>
      </c>
      <c r="M5496" s="3565">
        <v>0</v>
      </c>
      <c r="N5496" s="3565">
        <v>0</v>
      </c>
      <c r="O5496" s="3563" t="s">
        <v>3453</v>
      </c>
    </row>
    <row r="5497" spans="1:15">
      <c r="A5497" s="3563" t="s">
        <v>9725</v>
      </c>
      <c r="B5497" s="3563" t="s">
        <v>4196</v>
      </c>
      <c r="C5497" s="3563" t="s">
        <v>4197</v>
      </c>
      <c r="D5497" s="3563" t="s">
        <v>6429</v>
      </c>
      <c r="E5497" s="3563" t="s">
        <v>9669</v>
      </c>
      <c r="F5497" s="3563" t="s">
        <v>4797</v>
      </c>
      <c r="G5497" s="3564">
        <v>87.27</v>
      </c>
      <c r="H5497" s="3564">
        <v>71</v>
      </c>
      <c r="I5497" s="3564">
        <v>16.27</v>
      </c>
      <c r="J5497" s="3565">
        <v>907562</v>
      </c>
      <c r="K5497" s="3565">
        <v>10399.469999999999</v>
      </c>
      <c r="L5497" s="3565">
        <v>12782.56</v>
      </c>
      <c r="M5497" s="3565">
        <v>0</v>
      </c>
      <c r="N5497" s="3565">
        <v>0</v>
      </c>
      <c r="O5497" s="3563" t="s">
        <v>3453</v>
      </c>
    </row>
    <row r="5498" spans="1:15">
      <c r="A5498" s="3563" t="s">
        <v>9726</v>
      </c>
      <c r="B5498" s="3563" t="s">
        <v>4196</v>
      </c>
      <c r="C5498" s="3563" t="s">
        <v>4197</v>
      </c>
      <c r="D5498" s="3563" t="s">
        <v>6429</v>
      </c>
      <c r="E5498" s="3563" t="s">
        <v>9669</v>
      </c>
      <c r="F5498" s="3563" t="s">
        <v>4797</v>
      </c>
      <c r="G5498" s="3564">
        <v>87.27</v>
      </c>
      <c r="H5498" s="3564">
        <v>71</v>
      </c>
      <c r="I5498" s="3564">
        <v>16.27</v>
      </c>
      <c r="J5498" s="3565">
        <v>926130</v>
      </c>
      <c r="K5498" s="3565">
        <v>10612.24</v>
      </c>
      <c r="L5498" s="3565">
        <v>13044.08</v>
      </c>
      <c r="M5498" s="3565">
        <v>0</v>
      </c>
      <c r="N5498" s="3565">
        <v>0</v>
      </c>
      <c r="O5498" s="3563" t="s">
        <v>3453</v>
      </c>
    </row>
    <row r="5499" spans="1:15">
      <c r="A5499" s="3563" t="s">
        <v>9727</v>
      </c>
      <c r="B5499" s="3563" t="s">
        <v>4196</v>
      </c>
      <c r="C5499" s="3563" t="s">
        <v>4197</v>
      </c>
      <c r="D5499" s="3563" t="s">
        <v>6429</v>
      </c>
      <c r="E5499" s="3563" t="s">
        <v>9669</v>
      </c>
      <c r="F5499" s="3563" t="s">
        <v>4797</v>
      </c>
      <c r="G5499" s="3564">
        <v>108.71</v>
      </c>
      <c r="H5499" s="3564">
        <v>88.44</v>
      </c>
      <c r="I5499" s="3564">
        <v>20.27</v>
      </c>
      <c r="J5499" s="3565">
        <v>1113179</v>
      </c>
      <c r="K5499" s="3565">
        <v>10239.9</v>
      </c>
      <c r="L5499" s="3565">
        <v>12586.83</v>
      </c>
      <c r="M5499" s="3565">
        <v>0</v>
      </c>
      <c r="N5499" s="3565">
        <v>0</v>
      </c>
      <c r="O5499" s="3563" t="s">
        <v>3453</v>
      </c>
    </row>
    <row r="5500" spans="1:15">
      <c r="A5500" s="3563" t="s">
        <v>9728</v>
      </c>
      <c r="B5500" s="3563" t="s">
        <v>4196</v>
      </c>
      <c r="C5500" s="3563" t="s">
        <v>4197</v>
      </c>
      <c r="D5500" s="3563" t="s">
        <v>6429</v>
      </c>
      <c r="E5500" s="3563" t="s">
        <v>9669</v>
      </c>
      <c r="F5500" s="3563" t="s">
        <v>4797</v>
      </c>
      <c r="G5500" s="3564">
        <v>100.47</v>
      </c>
      <c r="H5500" s="3564">
        <v>81.739999999999995</v>
      </c>
      <c r="I5500" s="3564">
        <v>18.73</v>
      </c>
      <c r="J5500" s="3565">
        <v>1059798</v>
      </c>
      <c r="K5500" s="3565">
        <v>10548.4</v>
      </c>
      <c r="L5500" s="3565">
        <v>12965.48</v>
      </c>
      <c r="M5500" s="3565">
        <v>0</v>
      </c>
      <c r="N5500" s="3565">
        <v>0</v>
      </c>
      <c r="O5500" s="3563" t="s">
        <v>3453</v>
      </c>
    </row>
    <row r="5501" spans="1:15">
      <c r="A5501" s="3563" t="s">
        <v>9729</v>
      </c>
      <c r="B5501" s="3563" t="s">
        <v>4196</v>
      </c>
      <c r="C5501" s="3563" t="s">
        <v>4197</v>
      </c>
      <c r="D5501" s="3563" t="s">
        <v>6429</v>
      </c>
      <c r="E5501" s="3563" t="s">
        <v>9669</v>
      </c>
      <c r="F5501" s="3563" t="s">
        <v>4797</v>
      </c>
      <c r="G5501" s="3564">
        <v>100.47</v>
      </c>
      <c r="H5501" s="3564">
        <v>81.739999999999995</v>
      </c>
      <c r="I5501" s="3564">
        <v>18.73</v>
      </c>
      <c r="J5501" s="3565">
        <v>1059798</v>
      </c>
      <c r="K5501" s="3565">
        <v>10548.4</v>
      </c>
      <c r="L5501" s="3565">
        <v>12965.48</v>
      </c>
      <c r="M5501" s="3565">
        <v>0</v>
      </c>
      <c r="N5501" s="3565">
        <v>0</v>
      </c>
      <c r="O5501" s="3563" t="s">
        <v>3453</v>
      </c>
    </row>
    <row r="5502" spans="1:15">
      <c r="A5502" s="3563" t="s">
        <v>9730</v>
      </c>
      <c r="B5502" s="3563" t="s">
        <v>4196</v>
      </c>
      <c r="C5502" s="3563" t="s">
        <v>4197</v>
      </c>
      <c r="D5502" s="3563" t="s">
        <v>6429</v>
      </c>
      <c r="E5502" s="3563" t="s">
        <v>9669</v>
      </c>
      <c r="F5502" s="3563" t="s">
        <v>4797</v>
      </c>
      <c r="G5502" s="3564">
        <v>100.8</v>
      </c>
      <c r="H5502" s="3564">
        <v>82.01</v>
      </c>
      <c r="I5502" s="3564">
        <v>18.79</v>
      </c>
      <c r="J5502" s="3565">
        <v>1047194</v>
      </c>
      <c r="K5502" s="3565">
        <v>10388.83</v>
      </c>
      <c r="L5502" s="3565">
        <v>12769.1</v>
      </c>
      <c r="M5502" s="3565">
        <v>0</v>
      </c>
      <c r="N5502" s="3565">
        <v>0</v>
      </c>
      <c r="O5502" s="3563" t="s">
        <v>3453</v>
      </c>
    </row>
    <row r="5503" spans="1:15">
      <c r="A5503" s="3563" t="s">
        <v>9731</v>
      </c>
      <c r="B5503" s="3563" t="s">
        <v>4196</v>
      </c>
      <c r="C5503" s="3563" t="s">
        <v>4197</v>
      </c>
      <c r="D5503" s="3563" t="s">
        <v>6429</v>
      </c>
      <c r="E5503" s="3563" t="s">
        <v>9669</v>
      </c>
      <c r="F5503" s="3563" t="s">
        <v>4797</v>
      </c>
      <c r="G5503" s="3564">
        <v>87.27</v>
      </c>
      <c r="H5503" s="3564">
        <v>71</v>
      </c>
      <c r="I5503" s="3564">
        <v>16.27</v>
      </c>
      <c r="J5503" s="3565">
        <v>915918</v>
      </c>
      <c r="K5503" s="3565">
        <v>10495.22</v>
      </c>
      <c r="L5503" s="3565">
        <v>12900.25</v>
      </c>
      <c r="M5503" s="3565">
        <v>0</v>
      </c>
      <c r="N5503" s="3565">
        <v>0</v>
      </c>
      <c r="O5503" s="3563" t="s">
        <v>3453</v>
      </c>
    </row>
    <row r="5504" spans="1:15">
      <c r="A5504" s="3563" t="s">
        <v>9732</v>
      </c>
      <c r="B5504" s="3563" t="s">
        <v>4196</v>
      </c>
      <c r="C5504" s="3563" t="s">
        <v>4197</v>
      </c>
      <c r="D5504" s="3563" t="s">
        <v>6429</v>
      </c>
      <c r="E5504" s="3563" t="s">
        <v>9669</v>
      </c>
      <c r="F5504" s="3563" t="s">
        <v>4797</v>
      </c>
      <c r="G5504" s="3564">
        <v>87.27</v>
      </c>
      <c r="H5504" s="3564">
        <v>71</v>
      </c>
      <c r="I5504" s="3564">
        <v>16.27</v>
      </c>
      <c r="J5504" s="3565">
        <v>934486</v>
      </c>
      <c r="K5504" s="3565">
        <v>10707.99</v>
      </c>
      <c r="L5504" s="3565">
        <v>13161.77</v>
      </c>
      <c r="M5504" s="3565">
        <v>0</v>
      </c>
      <c r="N5504" s="3565">
        <v>0</v>
      </c>
      <c r="O5504" s="3563" t="s">
        <v>3453</v>
      </c>
    </row>
    <row r="5505" spans="1:15">
      <c r="A5505" s="3563" t="s">
        <v>9733</v>
      </c>
      <c r="B5505" s="3563" t="s">
        <v>4196</v>
      </c>
      <c r="C5505" s="3563" t="s">
        <v>4197</v>
      </c>
      <c r="D5505" s="3563" t="s">
        <v>6429</v>
      </c>
      <c r="E5505" s="3563" t="s">
        <v>9669</v>
      </c>
      <c r="F5505" s="3563" t="s">
        <v>4797</v>
      </c>
      <c r="G5505" s="3564">
        <v>108.71</v>
      </c>
      <c r="H5505" s="3564">
        <v>88.44</v>
      </c>
      <c r="I5505" s="3564">
        <v>20.27</v>
      </c>
      <c r="J5505" s="3565">
        <v>1123588</v>
      </c>
      <c r="K5505" s="3565">
        <v>10335.65</v>
      </c>
      <c r="L5505" s="3565">
        <v>12704.52</v>
      </c>
      <c r="M5505" s="3565">
        <v>0</v>
      </c>
      <c r="N5505" s="3565">
        <v>0</v>
      </c>
      <c r="O5505" s="3563" t="s">
        <v>3453</v>
      </c>
    </row>
    <row r="5506" spans="1:15">
      <c r="A5506" s="3563" t="s">
        <v>9734</v>
      </c>
      <c r="B5506" s="3563" t="s">
        <v>4196</v>
      </c>
      <c r="C5506" s="3563" t="s">
        <v>4197</v>
      </c>
      <c r="D5506" s="3563" t="s">
        <v>6429</v>
      </c>
      <c r="E5506" s="3563" t="s">
        <v>9669</v>
      </c>
      <c r="F5506" s="3563" t="s">
        <v>4797</v>
      </c>
      <c r="G5506" s="3564">
        <v>101.86</v>
      </c>
      <c r="H5506" s="3564">
        <v>81.739999999999995</v>
      </c>
      <c r="I5506" s="3564">
        <v>20.12</v>
      </c>
      <c r="J5506" s="3565">
        <v>1007277</v>
      </c>
      <c r="K5506" s="3565">
        <v>9888.84</v>
      </c>
      <c r="L5506" s="3565">
        <v>12322.94</v>
      </c>
      <c r="M5506" s="3565">
        <v>0</v>
      </c>
      <c r="N5506" s="3565">
        <v>0</v>
      </c>
      <c r="O5506" s="3563" t="s">
        <v>3453</v>
      </c>
    </row>
    <row r="5507" spans="1:15">
      <c r="A5507" s="3563" t="s">
        <v>9735</v>
      </c>
      <c r="B5507" s="3563" t="s">
        <v>4196</v>
      </c>
      <c r="C5507" s="3563" t="s">
        <v>4197</v>
      </c>
      <c r="D5507" s="3563" t="s">
        <v>6429</v>
      </c>
      <c r="E5507" s="3563" t="s">
        <v>9669</v>
      </c>
      <c r="F5507" s="3563" t="s">
        <v>4797</v>
      </c>
      <c r="G5507" s="3564">
        <v>101.86</v>
      </c>
      <c r="H5507" s="3564">
        <v>81.739999999999995</v>
      </c>
      <c r="I5507" s="3564">
        <v>20.12</v>
      </c>
      <c r="J5507" s="3565">
        <v>1028949</v>
      </c>
      <c r="K5507" s="3565">
        <v>10101.6</v>
      </c>
      <c r="L5507" s="3565">
        <v>12588.07</v>
      </c>
      <c r="M5507" s="3565">
        <v>0</v>
      </c>
      <c r="N5507" s="3565">
        <v>0</v>
      </c>
      <c r="O5507" s="3563" t="s">
        <v>3453</v>
      </c>
    </row>
    <row r="5508" spans="1:15">
      <c r="A5508" s="3563" t="s">
        <v>9736</v>
      </c>
      <c r="B5508" s="3563" t="s">
        <v>4196</v>
      </c>
      <c r="C5508" s="3563" t="s">
        <v>4197</v>
      </c>
      <c r="D5508" s="3563" t="s">
        <v>6429</v>
      </c>
      <c r="E5508" s="3563" t="s">
        <v>9669</v>
      </c>
      <c r="F5508" s="3563" t="s">
        <v>4797</v>
      </c>
      <c r="G5508" s="3564">
        <v>102.19</v>
      </c>
      <c r="H5508" s="3564">
        <v>82.01</v>
      </c>
      <c r="I5508" s="3564">
        <v>20.18</v>
      </c>
      <c r="J5508" s="3565">
        <v>1015976</v>
      </c>
      <c r="K5508" s="3565">
        <v>9942.0300000000007</v>
      </c>
      <c r="L5508" s="3565">
        <v>12388.44</v>
      </c>
      <c r="M5508" s="3565">
        <v>0</v>
      </c>
      <c r="N5508" s="3565">
        <v>0</v>
      </c>
      <c r="O5508" s="3563" t="s">
        <v>3453</v>
      </c>
    </row>
    <row r="5509" spans="1:15">
      <c r="A5509" s="3563" t="s">
        <v>9737</v>
      </c>
      <c r="B5509" s="3563" t="s">
        <v>4196</v>
      </c>
      <c r="C5509" s="3563" t="s">
        <v>4197</v>
      </c>
      <c r="D5509" s="3563" t="s">
        <v>6429</v>
      </c>
      <c r="E5509" s="3563" t="s">
        <v>9669</v>
      </c>
      <c r="F5509" s="3563" t="s">
        <v>4797</v>
      </c>
      <c r="G5509" s="3564">
        <v>88.47</v>
      </c>
      <c r="H5509" s="3564">
        <v>71</v>
      </c>
      <c r="I5509" s="3564">
        <v>17.47</v>
      </c>
      <c r="J5509" s="3565">
        <v>888982</v>
      </c>
      <c r="K5509" s="3565">
        <v>10048.4</v>
      </c>
      <c r="L5509" s="3565">
        <v>12520.87</v>
      </c>
      <c r="M5509" s="3565">
        <v>0</v>
      </c>
      <c r="N5509" s="3565">
        <v>0</v>
      </c>
      <c r="O5509" s="3563" t="s">
        <v>3453</v>
      </c>
    </row>
    <row r="5510" spans="1:15">
      <c r="A5510" s="3563" t="s">
        <v>9738</v>
      </c>
      <c r="B5510" s="3563" t="s">
        <v>4196</v>
      </c>
      <c r="C5510" s="3563" t="s">
        <v>4197</v>
      </c>
      <c r="D5510" s="3563" t="s">
        <v>6429</v>
      </c>
      <c r="E5510" s="3563" t="s">
        <v>9669</v>
      </c>
      <c r="F5510" s="3563" t="s">
        <v>4797</v>
      </c>
      <c r="G5510" s="3564">
        <v>88.47</v>
      </c>
      <c r="H5510" s="3564">
        <v>71</v>
      </c>
      <c r="I5510" s="3564">
        <v>17.47</v>
      </c>
      <c r="J5510" s="3565">
        <v>888982</v>
      </c>
      <c r="K5510" s="3565">
        <v>10048.4</v>
      </c>
      <c r="L5510" s="3565">
        <v>12520.87</v>
      </c>
      <c r="M5510" s="3565">
        <v>0</v>
      </c>
      <c r="N5510" s="3565">
        <v>0</v>
      </c>
      <c r="O5510" s="3563" t="s">
        <v>3453</v>
      </c>
    </row>
    <row r="5511" spans="1:15">
      <c r="A5511" s="3563" t="s">
        <v>9739</v>
      </c>
      <c r="B5511" s="3563" t="s">
        <v>4196</v>
      </c>
      <c r="C5511" s="3563" t="s">
        <v>4197</v>
      </c>
      <c r="D5511" s="3563" t="s">
        <v>6429</v>
      </c>
      <c r="E5511" s="3563" t="s">
        <v>9669</v>
      </c>
      <c r="F5511" s="3563" t="s">
        <v>4797</v>
      </c>
      <c r="G5511" s="3564">
        <v>100.47</v>
      </c>
      <c r="H5511" s="3564">
        <v>81.739999999999995</v>
      </c>
      <c r="I5511" s="3564">
        <v>18.73</v>
      </c>
      <c r="J5511" s="3565">
        <v>1058730</v>
      </c>
      <c r="K5511" s="3565">
        <v>10537.77</v>
      </c>
      <c r="L5511" s="3565">
        <v>12952.41</v>
      </c>
      <c r="M5511" s="3565">
        <v>0</v>
      </c>
      <c r="N5511" s="3565">
        <v>0</v>
      </c>
      <c r="O5511" s="3563" t="s">
        <v>3453</v>
      </c>
    </row>
    <row r="5512" spans="1:15">
      <c r="A5512" s="3563" t="s">
        <v>9740</v>
      </c>
      <c r="B5512" s="3563" t="s">
        <v>4196</v>
      </c>
      <c r="C5512" s="3563" t="s">
        <v>4197</v>
      </c>
      <c r="D5512" s="3563" t="s">
        <v>6429</v>
      </c>
      <c r="E5512" s="3563" t="s">
        <v>9669</v>
      </c>
      <c r="F5512" s="3563" t="s">
        <v>4797</v>
      </c>
      <c r="G5512" s="3564">
        <v>100.47</v>
      </c>
      <c r="H5512" s="3564">
        <v>81.739999999999995</v>
      </c>
      <c r="I5512" s="3564">
        <v>18.73</v>
      </c>
      <c r="J5512" s="3565">
        <v>1058730</v>
      </c>
      <c r="K5512" s="3565">
        <v>10537.77</v>
      </c>
      <c r="L5512" s="3565">
        <v>12952.41</v>
      </c>
      <c r="M5512" s="3565">
        <v>0</v>
      </c>
      <c r="N5512" s="3565">
        <v>0</v>
      </c>
      <c r="O5512" s="3563" t="s">
        <v>3453</v>
      </c>
    </row>
    <row r="5513" spans="1:15">
      <c r="A5513" s="3563" t="s">
        <v>9741</v>
      </c>
      <c r="B5513" s="3563" t="s">
        <v>4196</v>
      </c>
      <c r="C5513" s="3563" t="s">
        <v>4197</v>
      </c>
      <c r="D5513" s="3563" t="s">
        <v>6429</v>
      </c>
      <c r="E5513" s="3563" t="s">
        <v>9669</v>
      </c>
      <c r="F5513" s="3563" t="s">
        <v>4797</v>
      </c>
      <c r="G5513" s="3564">
        <v>100.8</v>
      </c>
      <c r="H5513" s="3564">
        <v>82.01</v>
      </c>
      <c r="I5513" s="3564">
        <v>18.79</v>
      </c>
      <c r="J5513" s="3565">
        <v>1046122</v>
      </c>
      <c r="K5513" s="3565">
        <v>10378.19</v>
      </c>
      <c r="L5513" s="3565">
        <v>12756.03</v>
      </c>
      <c r="M5513" s="3565">
        <v>0</v>
      </c>
      <c r="N5513" s="3565">
        <v>0</v>
      </c>
      <c r="O5513" s="3563" t="s">
        <v>3453</v>
      </c>
    </row>
    <row r="5514" spans="1:15">
      <c r="A5514" s="3563" t="s">
        <v>9742</v>
      </c>
      <c r="B5514" s="3563" t="s">
        <v>4196</v>
      </c>
      <c r="C5514" s="3563" t="s">
        <v>4197</v>
      </c>
      <c r="D5514" s="3563" t="s">
        <v>6429</v>
      </c>
      <c r="E5514" s="3563" t="s">
        <v>9669</v>
      </c>
      <c r="F5514" s="3563" t="s">
        <v>4797</v>
      </c>
      <c r="G5514" s="3564">
        <v>87.27</v>
      </c>
      <c r="H5514" s="3564">
        <v>71</v>
      </c>
      <c r="I5514" s="3564">
        <v>16.27</v>
      </c>
      <c r="J5514" s="3565">
        <v>914989</v>
      </c>
      <c r="K5514" s="3565">
        <v>10484.58</v>
      </c>
      <c r="L5514" s="3565">
        <v>12887.17</v>
      </c>
      <c r="M5514" s="3565">
        <v>0</v>
      </c>
      <c r="N5514" s="3565">
        <v>0</v>
      </c>
      <c r="O5514" s="3563" t="s">
        <v>3453</v>
      </c>
    </row>
    <row r="5515" spans="1:15">
      <c r="A5515" s="3563" t="s">
        <v>9743</v>
      </c>
      <c r="B5515" s="3563" t="s">
        <v>4196</v>
      </c>
      <c r="C5515" s="3563" t="s">
        <v>4197</v>
      </c>
      <c r="D5515" s="3563" t="s">
        <v>6429</v>
      </c>
      <c r="E5515" s="3563" t="s">
        <v>9669</v>
      </c>
      <c r="F5515" s="3563" t="s">
        <v>4797</v>
      </c>
      <c r="G5515" s="3564">
        <v>87.27</v>
      </c>
      <c r="H5515" s="3564">
        <v>71</v>
      </c>
      <c r="I5515" s="3564">
        <v>16.27</v>
      </c>
      <c r="J5515" s="3565">
        <v>933557</v>
      </c>
      <c r="K5515" s="3565">
        <v>10697.34</v>
      </c>
      <c r="L5515" s="3565">
        <v>13148.69</v>
      </c>
      <c r="M5515" s="3565">
        <v>0</v>
      </c>
      <c r="N5515" s="3565">
        <v>0</v>
      </c>
      <c r="O5515" s="3563" t="s">
        <v>3453</v>
      </c>
    </row>
    <row r="5516" spans="1:15">
      <c r="A5516" s="3563" t="s">
        <v>9744</v>
      </c>
      <c r="B5516" s="3563" t="s">
        <v>4196</v>
      </c>
      <c r="C5516" s="3563" t="s">
        <v>4197</v>
      </c>
      <c r="D5516" s="3563" t="s">
        <v>6429</v>
      </c>
      <c r="E5516" s="3563" t="s">
        <v>9669</v>
      </c>
      <c r="F5516" s="3563" t="s">
        <v>4797</v>
      </c>
      <c r="G5516" s="3564">
        <v>108.71</v>
      </c>
      <c r="H5516" s="3564">
        <v>88.44</v>
      </c>
      <c r="I5516" s="3564">
        <v>20.27</v>
      </c>
      <c r="J5516" s="3565">
        <v>1122431</v>
      </c>
      <c r="K5516" s="3565">
        <v>10325</v>
      </c>
      <c r="L5516" s="3565">
        <v>12691.44</v>
      </c>
      <c r="M5516" s="3565">
        <v>0</v>
      </c>
      <c r="N5516" s="3565">
        <v>0</v>
      </c>
      <c r="O5516" s="3563" t="s">
        <v>3453</v>
      </c>
    </row>
    <row r="5517" spans="1:15">
      <c r="A5517" s="3563" t="s">
        <v>9745</v>
      </c>
      <c r="B5517" s="3563" t="s">
        <v>4196</v>
      </c>
      <c r="C5517" s="3563" t="s">
        <v>4197</v>
      </c>
      <c r="D5517" s="3563" t="s">
        <v>6429</v>
      </c>
      <c r="E5517" s="3563" t="s">
        <v>9669</v>
      </c>
      <c r="F5517" s="3563" t="s">
        <v>4797</v>
      </c>
      <c r="G5517" s="3564">
        <v>100.47</v>
      </c>
      <c r="H5517" s="3564">
        <v>81.739999999999995</v>
      </c>
      <c r="I5517" s="3564">
        <v>18.73</v>
      </c>
      <c r="J5517" s="3565">
        <v>1057661</v>
      </c>
      <c r="K5517" s="3565">
        <v>10527.13</v>
      </c>
      <c r="L5517" s="3565">
        <v>12939.33</v>
      </c>
      <c r="M5517" s="3565">
        <v>0</v>
      </c>
      <c r="N5517" s="3565">
        <v>0</v>
      </c>
      <c r="O5517" s="3563" t="s">
        <v>3453</v>
      </c>
    </row>
    <row r="5518" spans="1:15">
      <c r="A5518" s="3563" t="s">
        <v>9746</v>
      </c>
      <c r="B5518" s="3563" t="s">
        <v>4196</v>
      </c>
      <c r="C5518" s="3563" t="s">
        <v>4197</v>
      </c>
      <c r="D5518" s="3563" t="s">
        <v>6429</v>
      </c>
      <c r="E5518" s="3563" t="s">
        <v>9669</v>
      </c>
      <c r="F5518" s="3563" t="s">
        <v>4797</v>
      </c>
      <c r="G5518" s="3564">
        <v>100.47</v>
      </c>
      <c r="H5518" s="3564">
        <v>81.739999999999995</v>
      </c>
      <c r="I5518" s="3564">
        <v>18.73</v>
      </c>
      <c r="J5518" s="3565">
        <v>1057661</v>
      </c>
      <c r="K5518" s="3565">
        <v>10527.13</v>
      </c>
      <c r="L5518" s="3565">
        <v>12939.33</v>
      </c>
      <c r="M5518" s="3565">
        <v>0</v>
      </c>
      <c r="N5518" s="3565">
        <v>0</v>
      </c>
      <c r="O5518" s="3563" t="s">
        <v>3453</v>
      </c>
    </row>
    <row r="5519" spans="1:15">
      <c r="A5519" s="3563" t="s">
        <v>9747</v>
      </c>
      <c r="B5519" s="3563" t="s">
        <v>4196</v>
      </c>
      <c r="C5519" s="3563" t="s">
        <v>4197</v>
      </c>
      <c r="D5519" s="3563" t="s">
        <v>6429</v>
      </c>
      <c r="E5519" s="3563" t="s">
        <v>9669</v>
      </c>
      <c r="F5519" s="3563" t="s">
        <v>4797</v>
      </c>
      <c r="G5519" s="3564">
        <v>100.8</v>
      </c>
      <c r="H5519" s="3564">
        <v>82.01</v>
      </c>
      <c r="I5519" s="3564">
        <v>18.79</v>
      </c>
      <c r="J5519" s="3565">
        <v>1045049</v>
      </c>
      <c r="K5519" s="3565">
        <v>10367.549999999999</v>
      </c>
      <c r="L5519" s="3565">
        <v>12742.95</v>
      </c>
      <c r="M5519" s="3565">
        <v>0</v>
      </c>
      <c r="N5519" s="3565">
        <v>0</v>
      </c>
      <c r="O5519" s="3563" t="s">
        <v>3453</v>
      </c>
    </row>
    <row r="5520" spans="1:15">
      <c r="A5520" s="3563" t="s">
        <v>9748</v>
      </c>
      <c r="B5520" s="3563" t="s">
        <v>4196</v>
      </c>
      <c r="C5520" s="3563" t="s">
        <v>4197</v>
      </c>
      <c r="D5520" s="3563" t="s">
        <v>6429</v>
      </c>
      <c r="E5520" s="3563" t="s">
        <v>9669</v>
      </c>
      <c r="F5520" s="3563" t="s">
        <v>4797</v>
      </c>
      <c r="G5520" s="3564">
        <v>87.27</v>
      </c>
      <c r="H5520" s="3564">
        <v>71</v>
      </c>
      <c r="I5520" s="3564">
        <v>16.27</v>
      </c>
      <c r="J5520" s="3565">
        <v>914061</v>
      </c>
      <c r="K5520" s="3565">
        <v>10473.94</v>
      </c>
      <c r="L5520" s="3565">
        <v>12874.1</v>
      </c>
      <c r="M5520" s="3565">
        <v>0</v>
      </c>
      <c r="N5520" s="3565">
        <v>0</v>
      </c>
      <c r="O5520" s="3563" t="s">
        <v>3453</v>
      </c>
    </row>
    <row r="5521" spans="1:15">
      <c r="A5521" s="3563" t="s">
        <v>9749</v>
      </c>
      <c r="B5521" s="3563" t="s">
        <v>4196</v>
      </c>
      <c r="C5521" s="3563" t="s">
        <v>4197</v>
      </c>
      <c r="D5521" s="3563" t="s">
        <v>6429</v>
      </c>
      <c r="E5521" s="3563" t="s">
        <v>9669</v>
      </c>
      <c r="F5521" s="3563" t="s">
        <v>4797</v>
      </c>
      <c r="G5521" s="3564">
        <v>87.27</v>
      </c>
      <c r="H5521" s="3564">
        <v>71</v>
      </c>
      <c r="I5521" s="3564">
        <v>16.27</v>
      </c>
      <c r="J5521" s="3565">
        <v>932629</v>
      </c>
      <c r="K5521" s="3565">
        <v>10686.71</v>
      </c>
      <c r="L5521" s="3565">
        <v>13135.62</v>
      </c>
      <c r="M5521" s="3565">
        <v>0</v>
      </c>
      <c r="N5521" s="3565">
        <v>0</v>
      </c>
      <c r="O5521" s="3563" t="s">
        <v>3453</v>
      </c>
    </row>
    <row r="5522" spans="1:15">
      <c r="A5522" s="3563" t="s">
        <v>9750</v>
      </c>
      <c r="B5522" s="3563" t="s">
        <v>4196</v>
      </c>
      <c r="C5522" s="3563" t="s">
        <v>4197</v>
      </c>
      <c r="D5522" s="3563" t="s">
        <v>6429</v>
      </c>
      <c r="E5522" s="3563" t="s">
        <v>9669</v>
      </c>
      <c r="F5522" s="3563" t="s">
        <v>4797</v>
      </c>
      <c r="G5522" s="3564">
        <v>108.71</v>
      </c>
      <c r="H5522" s="3564">
        <v>88.44</v>
      </c>
      <c r="I5522" s="3564">
        <v>20.27</v>
      </c>
      <c r="J5522" s="3565">
        <v>1121275</v>
      </c>
      <c r="K5522" s="3565">
        <v>10314.370000000001</v>
      </c>
      <c r="L5522" s="3565">
        <v>12678.37</v>
      </c>
      <c r="M5522" s="3565">
        <v>0</v>
      </c>
      <c r="N5522" s="3565">
        <v>0</v>
      </c>
      <c r="O5522" s="3563" t="s">
        <v>3453</v>
      </c>
    </row>
    <row r="5523" spans="1:15">
      <c r="A5523" s="3563" t="s">
        <v>9751</v>
      </c>
      <c r="B5523" s="3563" t="s">
        <v>4196</v>
      </c>
      <c r="C5523" s="3563" t="s">
        <v>4197</v>
      </c>
      <c r="D5523" s="3563" t="s">
        <v>6429</v>
      </c>
      <c r="E5523" s="3563" t="s">
        <v>9669</v>
      </c>
      <c r="F5523" s="3563" t="s">
        <v>4797</v>
      </c>
      <c r="G5523" s="3564">
        <v>100.47</v>
      </c>
      <c r="H5523" s="3564">
        <v>81.739999999999995</v>
      </c>
      <c r="I5523" s="3564">
        <v>18.73</v>
      </c>
      <c r="J5523" s="3565">
        <v>1056592</v>
      </c>
      <c r="K5523" s="3565">
        <v>10516.49</v>
      </c>
      <c r="L5523" s="3565">
        <v>12926.25</v>
      </c>
      <c r="M5523" s="3565">
        <v>0</v>
      </c>
      <c r="N5523" s="3565">
        <v>0</v>
      </c>
      <c r="O5523" s="3563" t="s">
        <v>3453</v>
      </c>
    </row>
    <row r="5524" spans="1:15">
      <c r="A5524" s="3563" t="s">
        <v>9752</v>
      </c>
      <c r="B5524" s="3563" t="s">
        <v>4196</v>
      </c>
      <c r="C5524" s="3563" t="s">
        <v>4197</v>
      </c>
      <c r="D5524" s="3563" t="s">
        <v>6429</v>
      </c>
      <c r="E5524" s="3563" t="s">
        <v>9669</v>
      </c>
      <c r="F5524" s="3563" t="s">
        <v>4797</v>
      </c>
      <c r="G5524" s="3564">
        <v>100.47</v>
      </c>
      <c r="H5524" s="3564">
        <v>81.739999999999995</v>
      </c>
      <c r="I5524" s="3564">
        <v>18.73</v>
      </c>
      <c r="J5524" s="3565">
        <v>1056592</v>
      </c>
      <c r="K5524" s="3565">
        <v>10516.49</v>
      </c>
      <c r="L5524" s="3565">
        <v>12926.25</v>
      </c>
      <c r="M5524" s="3565">
        <v>0</v>
      </c>
      <c r="N5524" s="3565">
        <v>0</v>
      </c>
      <c r="O5524" s="3563" t="s">
        <v>3453</v>
      </c>
    </row>
    <row r="5525" spans="1:15">
      <c r="A5525" s="3563" t="s">
        <v>9753</v>
      </c>
      <c r="B5525" s="3563" t="s">
        <v>4196</v>
      </c>
      <c r="C5525" s="3563" t="s">
        <v>4197</v>
      </c>
      <c r="D5525" s="3563" t="s">
        <v>6429</v>
      </c>
      <c r="E5525" s="3563" t="s">
        <v>9669</v>
      </c>
      <c r="F5525" s="3563" t="s">
        <v>4797</v>
      </c>
      <c r="G5525" s="3564">
        <v>100.8</v>
      </c>
      <c r="H5525" s="3564">
        <v>82.01</v>
      </c>
      <c r="I5525" s="3564">
        <v>18.79</v>
      </c>
      <c r="J5525" s="3565">
        <v>1043977</v>
      </c>
      <c r="K5525" s="3565">
        <v>10356.91</v>
      </c>
      <c r="L5525" s="3565">
        <v>12729.87</v>
      </c>
      <c r="M5525" s="3565">
        <v>0</v>
      </c>
      <c r="N5525" s="3565">
        <v>0</v>
      </c>
      <c r="O5525" s="3563" t="s">
        <v>3453</v>
      </c>
    </row>
    <row r="5526" spans="1:15">
      <c r="A5526" s="3563" t="s">
        <v>9754</v>
      </c>
      <c r="B5526" s="3563" t="s">
        <v>4196</v>
      </c>
      <c r="C5526" s="3563" t="s">
        <v>4197</v>
      </c>
      <c r="D5526" s="3563" t="s">
        <v>6429</v>
      </c>
      <c r="E5526" s="3563" t="s">
        <v>9669</v>
      </c>
      <c r="F5526" s="3563" t="s">
        <v>4797</v>
      </c>
      <c r="G5526" s="3564">
        <v>87.27</v>
      </c>
      <c r="H5526" s="3564">
        <v>71</v>
      </c>
      <c r="I5526" s="3564">
        <v>16.27</v>
      </c>
      <c r="J5526" s="3565">
        <v>913132</v>
      </c>
      <c r="K5526" s="3565">
        <v>10463.299999999999</v>
      </c>
      <c r="L5526" s="3565">
        <v>12861.01</v>
      </c>
      <c r="M5526" s="3565">
        <v>0</v>
      </c>
      <c r="N5526" s="3565">
        <v>0</v>
      </c>
      <c r="O5526" s="3563" t="s">
        <v>3453</v>
      </c>
    </row>
    <row r="5527" spans="1:15">
      <c r="A5527" s="3563" t="s">
        <v>9755</v>
      </c>
      <c r="B5527" s="3563" t="s">
        <v>4196</v>
      </c>
      <c r="C5527" s="3563" t="s">
        <v>4197</v>
      </c>
      <c r="D5527" s="3563" t="s">
        <v>6429</v>
      </c>
      <c r="E5527" s="3563" t="s">
        <v>9669</v>
      </c>
      <c r="F5527" s="3563" t="s">
        <v>4797</v>
      </c>
      <c r="G5527" s="3564">
        <v>87.27</v>
      </c>
      <c r="H5527" s="3564">
        <v>71</v>
      </c>
      <c r="I5527" s="3564">
        <v>16.27</v>
      </c>
      <c r="J5527" s="3565">
        <v>931700</v>
      </c>
      <c r="K5527" s="3565">
        <v>10676.06</v>
      </c>
      <c r="L5527" s="3565">
        <v>13122.54</v>
      </c>
      <c r="M5527" s="3565">
        <v>0</v>
      </c>
      <c r="N5527" s="3565">
        <v>0</v>
      </c>
      <c r="O5527" s="3563" t="s">
        <v>3453</v>
      </c>
    </row>
    <row r="5528" spans="1:15">
      <c r="A5528" s="3563" t="s">
        <v>9756</v>
      </c>
      <c r="B5528" s="3563" t="s">
        <v>4196</v>
      </c>
      <c r="C5528" s="3563" t="s">
        <v>4197</v>
      </c>
      <c r="D5528" s="3563" t="s">
        <v>6429</v>
      </c>
      <c r="E5528" s="3563" t="s">
        <v>9669</v>
      </c>
      <c r="F5528" s="3563" t="s">
        <v>4797</v>
      </c>
      <c r="G5528" s="3564">
        <v>108.71</v>
      </c>
      <c r="H5528" s="3564">
        <v>88.44</v>
      </c>
      <c r="I5528" s="3564">
        <v>20.27</v>
      </c>
      <c r="J5528" s="3565">
        <v>1120119</v>
      </c>
      <c r="K5528" s="3565">
        <v>10303.73</v>
      </c>
      <c r="L5528" s="3565">
        <v>12665.3</v>
      </c>
      <c r="M5528" s="3565">
        <v>0</v>
      </c>
      <c r="N5528" s="3565">
        <v>0</v>
      </c>
      <c r="O5528" s="3563" t="s">
        <v>3453</v>
      </c>
    </row>
    <row r="5529" spans="1:15">
      <c r="A5529" s="3563" t="s">
        <v>9757</v>
      </c>
      <c r="B5529" s="3563" t="s">
        <v>4196</v>
      </c>
      <c r="C5529" s="3563" t="s">
        <v>4197</v>
      </c>
      <c r="D5529" s="3563" t="s">
        <v>6429</v>
      </c>
      <c r="E5529" s="3563" t="s">
        <v>9669</v>
      </c>
      <c r="F5529" s="3563" t="s">
        <v>4797</v>
      </c>
      <c r="G5529" s="3564">
        <v>100.47</v>
      </c>
      <c r="H5529" s="3564">
        <v>81.739999999999995</v>
      </c>
      <c r="I5529" s="3564">
        <v>18.73</v>
      </c>
      <c r="J5529" s="3565">
        <v>1055523</v>
      </c>
      <c r="K5529" s="3565">
        <v>10505.85</v>
      </c>
      <c r="L5529" s="3565">
        <v>12913.18</v>
      </c>
      <c r="M5529" s="3565">
        <v>0</v>
      </c>
      <c r="N5529" s="3565">
        <v>0</v>
      </c>
      <c r="O5529" s="3563" t="s">
        <v>3453</v>
      </c>
    </row>
    <row r="5530" spans="1:15">
      <c r="A5530" s="3563" t="s">
        <v>9758</v>
      </c>
      <c r="B5530" s="3563" t="s">
        <v>4196</v>
      </c>
      <c r="C5530" s="3563" t="s">
        <v>4197</v>
      </c>
      <c r="D5530" s="3563" t="s">
        <v>6429</v>
      </c>
      <c r="E5530" s="3563" t="s">
        <v>9669</v>
      </c>
      <c r="F5530" s="3563" t="s">
        <v>4797</v>
      </c>
      <c r="G5530" s="3564">
        <v>100.47</v>
      </c>
      <c r="H5530" s="3564">
        <v>81.739999999999995</v>
      </c>
      <c r="I5530" s="3564">
        <v>18.73</v>
      </c>
      <c r="J5530" s="3565">
        <v>1055523</v>
      </c>
      <c r="K5530" s="3565">
        <v>10505.85</v>
      </c>
      <c r="L5530" s="3565">
        <v>12913.18</v>
      </c>
      <c r="M5530" s="3565">
        <v>0</v>
      </c>
      <c r="N5530" s="3565">
        <v>0</v>
      </c>
      <c r="O5530" s="3563" t="s">
        <v>3453</v>
      </c>
    </row>
    <row r="5531" spans="1:15">
      <c r="A5531" s="3563" t="s">
        <v>9759</v>
      </c>
      <c r="B5531" s="3563" t="s">
        <v>4196</v>
      </c>
      <c r="C5531" s="3563" t="s">
        <v>4197</v>
      </c>
      <c r="D5531" s="3563" t="s">
        <v>6429</v>
      </c>
      <c r="E5531" s="3563" t="s">
        <v>9669</v>
      </c>
      <c r="F5531" s="3563" t="s">
        <v>4797</v>
      </c>
      <c r="G5531" s="3564">
        <v>100.8</v>
      </c>
      <c r="H5531" s="3564">
        <v>82.01</v>
      </c>
      <c r="I5531" s="3564">
        <v>18.79</v>
      </c>
      <c r="J5531" s="3565">
        <v>1042905</v>
      </c>
      <c r="K5531" s="3565">
        <v>10346.280000000001</v>
      </c>
      <c r="L5531" s="3565">
        <v>12716.8</v>
      </c>
      <c r="M5531" s="3565">
        <v>0</v>
      </c>
      <c r="N5531" s="3565">
        <v>0</v>
      </c>
      <c r="O5531" s="3563" t="s">
        <v>3453</v>
      </c>
    </row>
    <row r="5532" spans="1:15">
      <c r="A5532" s="3563" t="s">
        <v>9760</v>
      </c>
      <c r="B5532" s="3563" t="s">
        <v>4196</v>
      </c>
      <c r="C5532" s="3563" t="s">
        <v>4197</v>
      </c>
      <c r="D5532" s="3563" t="s">
        <v>6429</v>
      </c>
      <c r="E5532" s="3563" t="s">
        <v>9669</v>
      </c>
      <c r="F5532" s="3563" t="s">
        <v>4797</v>
      </c>
      <c r="G5532" s="3564">
        <v>87.27</v>
      </c>
      <c r="H5532" s="3564">
        <v>71</v>
      </c>
      <c r="I5532" s="3564">
        <v>16.27</v>
      </c>
      <c r="J5532" s="3565">
        <v>912204</v>
      </c>
      <c r="K5532" s="3565">
        <v>10452.66</v>
      </c>
      <c r="L5532" s="3565">
        <v>12847.94</v>
      </c>
      <c r="M5532" s="3565">
        <v>0</v>
      </c>
      <c r="N5532" s="3565">
        <v>0</v>
      </c>
      <c r="O5532" s="3563" t="s">
        <v>3453</v>
      </c>
    </row>
    <row r="5533" spans="1:15">
      <c r="A5533" s="3563" t="s">
        <v>9761</v>
      </c>
      <c r="B5533" s="3563" t="s">
        <v>4196</v>
      </c>
      <c r="C5533" s="3563" t="s">
        <v>4197</v>
      </c>
      <c r="D5533" s="3563" t="s">
        <v>6429</v>
      </c>
      <c r="E5533" s="3563" t="s">
        <v>9669</v>
      </c>
      <c r="F5533" s="3563" t="s">
        <v>4797</v>
      </c>
      <c r="G5533" s="3564">
        <v>87.27</v>
      </c>
      <c r="H5533" s="3564">
        <v>71</v>
      </c>
      <c r="I5533" s="3564">
        <v>16.27</v>
      </c>
      <c r="J5533" s="3565">
        <v>930772</v>
      </c>
      <c r="K5533" s="3565">
        <v>10665.43</v>
      </c>
      <c r="L5533" s="3565">
        <v>13109.46</v>
      </c>
      <c r="M5533" s="3565">
        <v>0</v>
      </c>
      <c r="N5533" s="3565">
        <v>0</v>
      </c>
      <c r="O5533" s="3563" t="s">
        <v>3453</v>
      </c>
    </row>
    <row r="5534" spans="1:15">
      <c r="A5534" s="3563" t="s">
        <v>9762</v>
      </c>
      <c r="B5534" s="3563" t="s">
        <v>4196</v>
      </c>
      <c r="C5534" s="3563" t="s">
        <v>4197</v>
      </c>
      <c r="D5534" s="3563" t="s">
        <v>6429</v>
      </c>
      <c r="E5534" s="3563" t="s">
        <v>9669</v>
      </c>
      <c r="F5534" s="3563" t="s">
        <v>4797</v>
      </c>
      <c r="G5534" s="3564">
        <v>108.71</v>
      </c>
      <c r="H5534" s="3564">
        <v>88.44</v>
      </c>
      <c r="I5534" s="3564">
        <v>20.27</v>
      </c>
      <c r="J5534" s="3565">
        <v>1118962</v>
      </c>
      <c r="K5534" s="3565">
        <v>10293.09</v>
      </c>
      <c r="L5534" s="3565">
        <v>12652.22</v>
      </c>
      <c r="M5534" s="3565">
        <v>0</v>
      </c>
      <c r="N5534" s="3565">
        <v>0</v>
      </c>
      <c r="O5534" s="3563" t="s">
        <v>3453</v>
      </c>
    </row>
    <row r="5535" spans="1:15">
      <c r="A5535" s="3563" t="s">
        <v>9763</v>
      </c>
      <c r="B5535" s="3563" t="s">
        <v>4196</v>
      </c>
      <c r="C5535" s="3563" t="s">
        <v>4197</v>
      </c>
      <c r="D5535" s="3563" t="s">
        <v>6429</v>
      </c>
      <c r="E5535" s="3563" t="s">
        <v>9669</v>
      </c>
      <c r="F5535" s="3563" t="s">
        <v>4797</v>
      </c>
      <c r="G5535" s="3564">
        <v>100.47</v>
      </c>
      <c r="H5535" s="3564">
        <v>81.739999999999995</v>
      </c>
      <c r="I5535" s="3564">
        <v>18.73</v>
      </c>
      <c r="J5535" s="3565">
        <v>1054455</v>
      </c>
      <c r="K5535" s="3565">
        <v>10495.22</v>
      </c>
      <c r="L5535" s="3565">
        <v>12900.11</v>
      </c>
      <c r="M5535" s="3565">
        <v>0</v>
      </c>
      <c r="N5535" s="3565">
        <v>0</v>
      </c>
      <c r="O5535" s="3563" t="s">
        <v>3453</v>
      </c>
    </row>
    <row r="5536" spans="1:15">
      <c r="A5536" s="3563" t="s">
        <v>9764</v>
      </c>
      <c r="B5536" s="3563" t="s">
        <v>4196</v>
      </c>
      <c r="C5536" s="3563" t="s">
        <v>4197</v>
      </c>
      <c r="D5536" s="3563" t="s">
        <v>6429</v>
      </c>
      <c r="E5536" s="3563" t="s">
        <v>9669</v>
      </c>
      <c r="F5536" s="3563" t="s">
        <v>4797</v>
      </c>
      <c r="G5536" s="3564">
        <v>100.47</v>
      </c>
      <c r="H5536" s="3564">
        <v>81.739999999999995</v>
      </c>
      <c r="I5536" s="3564">
        <v>18.73</v>
      </c>
      <c r="J5536" s="3565">
        <v>1054455</v>
      </c>
      <c r="K5536" s="3565">
        <v>10495.22</v>
      </c>
      <c r="L5536" s="3565">
        <v>12900.11</v>
      </c>
      <c r="M5536" s="3565">
        <v>0</v>
      </c>
      <c r="N5536" s="3565">
        <v>0</v>
      </c>
      <c r="O5536" s="3563" t="s">
        <v>3453</v>
      </c>
    </row>
    <row r="5537" spans="1:15">
      <c r="A5537" s="3563" t="s">
        <v>9765</v>
      </c>
      <c r="B5537" s="3563" t="s">
        <v>4196</v>
      </c>
      <c r="C5537" s="3563" t="s">
        <v>4197</v>
      </c>
      <c r="D5537" s="3563" t="s">
        <v>6429</v>
      </c>
      <c r="E5537" s="3563" t="s">
        <v>9669</v>
      </c>
      <c r="F5537" s="3563" t="s">
        <v>4797</v>
      </c>
      <c r="G5537" s="3564">
        <v>100.8</v>
      </c>
      <c r="H5537" s="3564">
        <v>82.01</v>
      </c>
      <c r="I5537" s="3564">
        <v>18.79</v>
      </c>
      <c r="J5537" s="3565">
        <v>1041832</v>
      </c>
      <c r="K5537" s="3565">
        <v>10335.629999999999</v>
      </c>
      <c r="L5537" s="3565">
        <v>12703.72</v>
      </c>
      <c r="M5537" s="3565">
        <v>0</v>
      </c>
      <c r="N5537" s="3565">
        <v>0</v>
      </c>
      <c r="O5537" s="3563" t="s">
        <v>3453</v>
      </c>
    </row>
    <row r="5538" spans="1:15">
      <c r="A5538" s="3563" t="s">
        <v>9766</v>
      </c>
      <c r="B5538" s="3563" t="s">
        <v>4196</v>
      </c>
      <c r="C5538" s="3563" t="s">
        <v>4197</v>
      </c>
      <c r="D5538" s="3563" t="s">
        <v>6429</v>
      </c>
      <c r="E5538" s="3563" t="s">
        <v>9669</v>
      </c>
      <c r="F5538" s="3563" t="s">
        <v>4797</v>
      </c>
      <c r="G5538" s="3564">
        <v>87.27</v>
      </c>
      <c r="H5538" s="3564">
        <v>71</v>
      </c>
      <c r="I5538" s="3564">
        <v>16.27</v>
      </c>
      <c r="J5538" s="3565">
        <v>911276</v>
      </c>
      <c r="K5538" s="3565">
        <v>10442.030000000001</v>
      </c>
      <c r="L5538" s="3565">
        <v>12834.87</v>
      </c>
      <c r="M5538" s="3565">
        <v>0</v>
      </c>
      <c r="N5538" s="3565">
        <v>0</v>
      </c>
      <c r="O5538" s="3563" t="s">
        <v>3453</v>
      </c>
    </row>
    <row r="5539" spans="1:15">
      <c r="A5539" s="3563" t="s">
        <v>9767</v>
      </c>
      <c r="B5539" s="3563" t="s">
        <v>4196</v>
      </c>
      <c r="C5539" s="3563" t="s">
        <v>4197</v>
      </c>
      <c r="D5539" s="3563" t="s">
        <v>6429</v>
      </c>
      <c r="E5539" s="3563" t="s">
        <v>9669</v>
      </c>
      <c r="F5539" s="3563" t="s">
        <v>4797</v>
      </c>
      <c r="G5539" s="3564">
        <v>87.27</v>
      </c>
      <c r="H5539" s="3564">
        <v>71</v>
      </c>
      <c r="I5539" s="3564">
        <v>16.27</v>
      </c>
      <c r="J5539" s="3565">
        <v>929844</v>
      </c>
      <c r="K5539" s="3565">
        <v>10654.8</v>
      </c>
      <c r="L5539" s="3565">
        <v>13096.39</v>
      </c>
      <c r="M5539" s="3565">
        <v>0</v>
      </c>
      <c r="N5539" s="3565">
        <v>0</v>
      </c>
      <c r="O5539" s="3563" t="s">
        <v>3453</v>
      </c>
    </row>
    <row r="5540" spans="1:15">
      <c r="A5540" s="3563" t="s">
        <v>9768</v>
      </c>
      <c r="B5540" s="3563" t="s">
        <v>4196</v>
      </c>
      <c r="C5540" s="3563" t="s">
        <v>4197</v>
      </c>
      <c r="D5540" s="3563" t="s">
        <v>6429</v>
      </c>
      <c r="E5540" s="3563" t="s">
        <v>9669</v>
      </c>
      <c r="F5540" s="3563" t="s">
        <v>4797</v>
      </c>
      <c r="G5540" s="3564">
        <v>108.71</v>
      </c>
      <c r="H5540" s="3564">
        <v>88.44</v>
      </c>
      <c r="I5540" s="3564">
        <v>20.27</v>
      </c>
      <c r="J5540" s="3565">
        <v>1117806</v>
      </c>
      <c r="K5540" s="3565">
        <v>10282.459999999999</v>
      </c>
      <c r="L5540" s="3565">
        <v>12639.15</v>
      </c>
      <c r="M5540" s="3565">
        <v>0</v>
      </c>
      <c r="N5540" s="3565">
        <v>0</v>
      </c>
      <c r="O5540" s="3563" t="s">
        <v>3453</v>
      </c>
    </row>
    <row r="5541" spans="1:15">
      <c r="A5541" s="3563" t="s">
        <v>9769</v>
      </c>
      <c r="B5541" s="3563" t="s">
        <v>4196</v>
      </c>
      <c r="C5541" s="3563" t="s">
        <v>4197</v>
      </c>
      <c r="D5541" s="3563" t="s">
        <v>6429</v>
      </c>
      <c r="E5541" s="3563" t="s">
        <v>9669</v>
      </c>
      <c r="F5541" s="3563" t="s">
        <v>4797</v>
      </c>
      <c r="G5541" s="3564">
        <v>100.47</v>
      </c>
      <c r="H5541" s="3564">
        <v>81.739999999999995</v>
      </c>
      <c r="I5541" s="3564">
        <v>18.73</v>
      </c>
      <c r="J5541" s="3565">
        <v>1053386</v>
      </c>
      <c r="K5541" s="3565">
        <v>10484.58</v>
      </c>
      <c r="L5541" s="3565">
        <v>12887.03</v>
      </c>
      <c r="M5541" s="3565">
        <v>0</v>
      </c>
      <c r="N5541" s="3565">
        <v>0</v>
      </c>
      <c r="O5541" s="3563" t="s">
        <v>3453</v>
      </c>
    </row>
    <row r="5542" spans="1:15">
      <c r="A5542" s="3563" t="s">
        <v>9770</v>
      </c>
      <c r="B5542" s="3563" t="s">
        <v>4196</v>
      </c>
      <c r="C5542" s="3563" t="s">
        <v>4197</v>
      </c>
      <c r="D5542" s="3563" t="s">
        <v>6429</v>
      </c>
      <c r="E5542" s="3563" t="s">
        <v>9669</v>
      </c>
      <c r="F5542" s="3563" t="s">
        <v>4797</v>
      </c>
      <c r="G5542" s="3564">
        <v>100.47</v>
      </c>
      <c r="H5542" s="3564">
        <v>81.739999999999995</v>
      </c>
      <c r="I5542" s="3564">
        <v>18.73</v>
      </c>
      <c r="J5542" s="3565">
        <v>1053386</v>
      </c>
      <c r="K5542" s="3565">
        <v>10484.58</v>
      </c>
      <c r="L5542" s="3565">
        <v>12887.03</v>
      </c>
      <c r="M5542" s="3565">
        <v>0</v>
      </c>
      <c r="N5542" s="3565">
        <v>0</v>
      </c>
      <c r="O5542" s="3563" t="s">
        <v>3453</v>
      </c>
    </row>
    <row r="5543" spans="1:15">
      <c r="A5543" s="3563" t="s">
        <v>9771</v>
      </c>
      <c r="B5543" s="3563" t="s">
        <v>4196</v>
      </c>
      <c r="C5543" s="3563" t="s">
        <v>4197</v>
      </c>
      <c r="D5543" s="3563" t="s">
        <v>6429</v>
      </c>
      <c r="E5543" s="3563" t="s">
        <v>9669</v>
      </c>
      <c r="F5543" s="3563" t="s">
        <v>4797</v>
      </c>
      <c r="G5543" s="3564">
        <v>100.8</v>
      </c>
      <c r="H5543" s="3564">
        <v>82.01</v>
      </c>
      <c r="I5543" s="3564">
        <v>18.79</v>
      </c>
      <c r="J5543" s="3565">
        <v>1040760</v>
      </c>
      <c r="K5543" s="3565">
        <v>10325</v>
      </c>
      <c r="L5543" s="3565">
        <v>12690.65</v>
      </c>
      <c r="M5543" s="3565">
        <v>0</v>
      </c>
      <c r="N5543" s="3565">
        <v>0</v>
      </c>
      <c r="O5543" s="3563" t="s">
        <v>3453</v>
      </c>
    </row>
    <row r="5544" spans="1:15">
      <c r="A5544" s="3563" t="s">
        <v>9772</v>
      </c>
      <c r="B5544" s="3563" t="s">
        <v>4196</v>
      </c>
      <c r="C5544" s="3563" t="s">
        <v>4197</v>
      </c>
      <c r="D5544" s="3563" t="s">
        <v>6429</v>
      </c>
      <c r="E5544" s="3563" t="s">
        <v>9669</v>
      </c>
      <c r="F5544" s="3563" t="s">
        <v>4797</v>
      </c>
      <c r="G5544" s="3564">
        <v>87.27</v>
      </c>
      <c r="H5544" s="3564">
        <v>71</v>
      </c>
      <c r="I5544" s="3564">
        <v>16.27</v>
      </c>
      <c r="J5544" s="3565">
        <v>910347</v>
      </c>
      <c r="K5544" s="3565">
        <v>10431.39</v>
      </c>
      <c r="L5544" s="3565">
        <v>12821.79</v>
      </c>
      <c r="M5544" s="3565">
        <v>0</v>
      </c>
      <c r="N5544" s="3565">
        <v>0</v>
      </c>
      <c r="O5544" s="3563" t="s">
        <v>3453</v>
      </c>
    </row>
    <row r="5545" spans="1:15">
      <c r="A5545" s="3563" t="s">
        <v>9773</v>
      </c>
      <c r="B5545" s="3563" t="s">
        <v>4196</v>
      </c>
      <c r="C5545" s="3563" t="s">
        <v>4197</v>
      </c>
      <c r="D5545" s="3563" t="s">
        <v>6429</v>
      </c>
      <c r="E5545" s="3563" t="s">
        <v>9669</v>
      </c>
      <c r="F5545" s="3563" t="s">
        <v>4797</v>
      </c>
      <c r="G5545" s="3564">
        <v>87.27</v>
      </c>
      <c r="H5545" s="3564">
        <v>71</v>
      </c>
      <c r="I5545" s="3564">
        <v>16.27</v>
      </c>
      <c r="J5545" s="3565">
        <v>928915</v>
      </c>
      <c r="K5545" s="3565">
        <v>10644.15</v>
      </c>
      <c r="L5545" s="3565">
        <v>13083.31</v>
      </c>
      <c r="M5545" s="3565">
        <v>0</v>
      </c>
      <c r="N5545" s="3565">
        <v>0</v>
      </c>
      <c r="O5545" s="3563" t="s">
        <v>3453</v>
      </c>
    </row>
    <row r="5546" spans="1:15">
      <c r="A5546" s="3563" t="s">
        <v>9774</v>
      </c>
      <c r="B5546" s="3563" t="s">
        <v>4196</v>
      </c>
      <c r="C5546" s="3563" t="s">
        <v>4197</v>
      </c>
      <c r="D5546" s="3563" t="s">
        <v>6429</v>
      </c>
      <c r="E5546" s="3563" t="s">
        <v>9669</v>
      </c>
      <c r="F5546" s="3563" t="s">
        <v>4797</v>
      </c>
      <c r="G5546" s="3564">
        <v>108.71</v>
      </c>
      <c r="H5546" s="3564">
        <v>88.44</v>
      </c>
      <c r="I5546" s="3564">
        <v>20.27</v>
      </c>
      <c r="J5546" s="3565">
        <v>1116648</v>
      </c>
      <c r="K5546" s="3565">
        <v>10271.81</v>
      </c>
      <c r="L5546" s="3565">
        <v>12626.05</v>
      </c>
      <c r="M5546" s="3565">
        <v>0</v>
      </c>
      <c r="N5546" s="3565">
        <v>0</v>
      </c>
      <c r="O5546" s="3563" t="s">
        <v>3453</v>
      </c>
    </row>
    <row r="5547" spans="1:15">
      <c r="A5547" s="3563" t="s">
        <v>9775</v>
      </c>
      <c r="B5547" s="3563" t="s">
        <v>4196</v>
      </c>
      <c r="C5547" s="3563" t="s">
        <v>4197</v>
      </c>
      <c r="D5547" s="3563" t="s">
        <v>6429</v>
      </c>
      <c r="E5547" s="3563" t="s">
        <v>9669</v>
      </c>
      <c r="F5547" s="3563" t="s">
        <v>4797</v>
      </c>
      <c r="G5547" s="3564">
        <v>100.47</v>
      </c>
      <c r="H5547" s="3564">
        <v>81.739999999999995</v>
      </c>
      <c r="I5547" s="3564">
        <v>18.73</v>
      </c>
      <c r="J5547" s="3565">
        <v>1020252</v>
      </c>
      <c r="K5547" s="3565">
        <v>10154.790000000001</v>
      </c>
      <c r="L5547" s="3565">
        <v>12481.67</v>
      </c>
      <c r="M5547" s="3565">
        <v>0</v>
      </c>
      <c r="N5547" s="3565">
        <v>0</v>
      </c>
      <c r="O5547" s="3563" t="s">
        <v>3453</v>
      </c>
    </row>
    <row r="5548" spans="1:15">
      <c r="A5548" s="3563" t="s">
        <v>9776</v>
      </c>
      <c r="B5548" s="3563" t="s">
        <v>4196</v>
      </c>
      <c r="C5548" s="3563" t="s">
        <v>4197</v>
      </c>
      <c r="D5548" s="3563" t="s">
        <v>6429</v>
      </c>
      <c r="E5548" s="3563" t="s">
        <v>9669</v>
      </c>
      <c r="F5548" s="3563" t="s">
        <v>4797</v>
      </c>
      <c r="G5548" s="3564">
        <v>100.47</v>
      </c>
      <c r="H5548" s="3564">
        <v>81.739999999999995</v>
      </c>
      <c r="I5548" s="3564">
        <v>18.73</v>
      </c>
      <c r="J5548" s="3565">
        <v>1020252</v>
      </c>
      <c r="K5548" s="3565">
        <v>10154.790000000001</v>
      </c>
      <c r="L5548" s="3565">
        <v>12481.67</v>
      </c>
      <c r="M5548" s="3565">
        <v>0</v>
      </c>
      <c r="N5548" s="3565">
        <v>0</v>
      </c>
      <c r="O5548" s="3563" t="s">
        <v>3453</v>
      </c>
    </row>
    <row r="5549" spans="1:15">
      <c r="A5549" s="3563" t="s">
        <v>9777</v>
      </c>
      <c r="B5549" s="3563" t="s">
        <v>4196</v>
      </c>
      <c r="C5549" s="3563" t="s">
        <v>4197</v>
      </c>
      <c r="D5549" s="3563" t="s">
        <v>6429</v>
      </c>
      <c r="E5549" s="3563" t="s">
        <v>9669</v>
      </c>
      <c r="F5549" s="3563" t="s">
        <v>4797</v>
      </c>
      <c r="G5549" s="3564">
        <v>100.8</v>
      </c>
      <c r="H5549" s="3564">
        <v>82.01</v>
      </c>
      <c r="I5549" s="3564">
        <v>18.79</v>
      </c>
      <c r="J5549" s="3565">
        <v>1028964</v>
      </c>
      <c r="K5549" s="3565">
        <v>10207.98</v>
      </c>
      <c r="L5549" s="3565">
        <v>12546.81</v>
      </c>
      <c r="M5549" s="3565">
        <v>0</v>
      </c>
      <c r="N5549" s="3565">
        <v>0</v>
      </c>
      <c r="O5549" s="3563" t="s">
        <v>3453</v>
      </c>
    </row>
    <row r="5550" spans="1:15">
      <c r="A5550" s="3563" t="s">
        <v>9778</v>
      </c>
      <c r="B5550" s="3563" t="s">
        <v>4196</v>
      </c>
      <c r="C5550" s="3563" t="s">
        <v>4197</v>
      </c>
      <c r="D5550" s="3563" t="s">
        <v>6429</v>
      </c>
      <c r="E5550" s="3563" t="s">
        <v>9669</v>
      </c>
      <c r="F5550" s="3563" t="s">
        <v>4797</v>
      </c>
      <c r="G5550" s="3564">
        <v>87.27</v>
      </c>
      <c r="H5550" s="3564">
        <v>71</v>
      </c>
      <c r="I5550" s="3564">
        <v>16.27</v>
      </c>
      <c r="J5550" s="3565">
        <v>900135</v>
      </c>
      <c r="K5550" s="3565">
        <v>10314.370000000001</v>
      </c>
      <c r="L5550" s="3565">
        <v>12677.96</v>
      </c>
      <c r="M5550" s="3565">
        <v>0</v>
      </c>
      <c r="N5550" s="3565">
        <v>0</v>
      </c>
      <c r="O5550" s="3563" t="s">
        <v>3453</v>
      </c>
    </row>
    <row r="5551" spans="1:15">
      <c r="A5551" s="3563" t="s">
        <v>9779</v>
      </c>
      <c r="B5551" s="3563" t="s">
        <v>4196</v>
      </c>
      <c r="C5551" s="3563" t="s">
        <v>4197</v>
      </c>
      <c r="D5551" s="3563" t="s">
        <v>6429</v>
      </c>
      <c r="E5551" s="3563" t="s">
        <v>9669</v>
      </c>
      <c r="F5551" s="3563" t="s">
        <v>4797</v>
      </c>
      <c r="G5551" s="3564">
        <v>87.27</v>
      </c>
      <c r="H5551" s="3564">
        <v>71</v>
      </c>
      <c r="I5551" s="3564">
        <v>16.27</v>
      </c>
      <c r="J5551" s="3565">
        <v>900135</v>
      </c>
      <c r="K5551" s="3565">
        <v>10314.370000000001</v>
      </c>
      <c r="L5551" s="3565">
        <v>12677.96</v>
      </c>
      <c r="M5551" s="3565">
        <v>0</v>
      </c>
      <c r="N5551" s="3565">
        <v>0</v>
      </c>
      <c r="O5551" s="3563" t="s">
        <v>3453</v>
      </c>
    </row>
    <row r="5552" spans="1:15">
      <c r="A5552" s="3563" t="s">
        <v>9780</v>
      </c>
      <c r="B5552" s="3563" t="s">
        <v>4196</v>
      </c>
      <c r="C5552" s="3563" t="s">
        <v>4197</v>
      </c>
      <c r="D5552" s="3563" t="s">
        <v>6429</v>
      </c>
      <c r="E5552" s="3563" t="s">
        <v>9669</v>
      </c>
      <c r="F5552" s="3563" t="s">
        <v>4797</v>
      </c>
      <c r="G5552" s="3564">
        <v>108.71</v>
      </c>
      <c r="H5552" s="3564">
        <v>88.44</v>
      </c>
      <c r="I5552" s="3564">
        <v>20.27</v>
      </c>
      <c r="J5552" s="3565">
        <v>1080797</v>
      </c>
      <c r="K5552" s="3565">
        <v>9942.02</v>
      </c>
      <c r="L5552" s="3565">
        <v>12220.68</v>
      </c>
      <c r="M5552" s="3565">
        <v>0</v>
      </c>
      <c r="N5552" s="3565">
        <v>0</v>
      </c>
      <c r="O5552" s="3563" t="s">
        <v>3453</v>
      </c>
    </row>
    <row r="5553" spans="1:15">
      <c r="A5553" s="3563" t="s">
        <v>9781</v>
      </c>
      <c r="B5553" s="3563" t="s">
        <v>4196</v>
      </c>
      <c r="C5553" s="3563" t="s">
        <v>4197</v>
      </c>
      <c r="D5553" s="3563" t="s">
        <v>6429</v>
      </c>
      <c r="E5553" s="3563" t="s">
        <v>9669</v>
      </c>
      <c r="F5553" s="3563" t="s">
        <v>4797</v>
      </c>
      <c r="G5553" s="3564">
        <v>100.47</v>
      </c>
      <c r="H5553" s="3564">
        <v>81.739999999999995</v>
      </c>
      <c r="I5553" s="3564">
        <v>18.73</v>
      </c>
      <c r="J5553" s="3565">
        <v>1006357</v>
      </c>
      <c r="K5553" s="3565">
        <v>10016.49</v>
      </c>
      <c r="L5553" s="3565">
        <v>12311.68</v>
      </c>
      <c r="M5553" s="3565">
        <v>0</v>
      </c>
      <c r="N5553" s="3565">
        <v>0</v>
      </c>
      <c r="O5553" s="3563" t="s">
        <v>3453</v>
      </c>
    </row>
    <row r="5554" spans="1:15">
      <c r="A5554" s="3563" t="s">
        <v>9782</v>
      </c>
      <c r="B5554" s="3563" t="s">
        <v>4196</v>
      </c>
      <c r="C5554" s="3563" t="s">
        <v>4197</v>
      </c>
      <c r="D5554" s="3563" t="s">
        <v>6429</v>
      </c>
      <c r="E5554" s="3563" t="s">
        <v>9669</v>
      </c>
      <c r="F5554" s="3563" t="s">
        <v>4797</v>
      </c>
      <c r="G5554" s="3564">
        <v>100.47</v>
      </c>
      <c r="H5554" s="3564">
        <v>81.739999999999995</v>
      </c>
      <c r="I5554" s="3564">
        <v>18.73</v>
      </c>
      <c r="J5554" s="3565">
        <v>1027733</v>
      </c>
      <c r="K5554" s="3565">
        <v>10229.25</v>
      </c>
      <c r="L5554" s="3565">
        <v>12573.2</v>
      </c>
      <c r="M5554" s="3565">
        <v>0</v>
      </c>
      <c r="N5554" s="3565">
        <v>0</v>
      </c>
      <c r="O5554" s="3563" t="s">
        <v>3453</v>
      </c>
    </row>
    <row r="5555" spans="1:15">
      <c r="A5555" s="3563" t="s">
        <v>9783</v>
      </c>
      <c r="B5555" s="3563" t="s">
        <v>4196</v>
      </c>
      <c r="C5555" s="3563" t="s">
        <v>4197</v>
      </c>
      <c r="D5555" s="3563" t="s">
        <v>6429</v>
      </c>
      <c r="E5555" s="3563" t="s">
        <v>9669</v>
      </c>
      <c r="F5555" s="3563" t="s">
        <v>4797</v>
      </c>
      <c r="G5555" s="3564">
        <v>100.8</v>
      </c>
      <c r="H5555" s="3564">
        <v>82.01</v>
      </c>
      <c r="I5555" s="3564">
        <v>18.79</v>
      </c>
      <c r="J5555" s="3565">
        <v>1015024</v>
      </c>
      <c r="K5555" s="3565">
        <v>10069.68</v>
      </c>
      <c r="L5555" s="3565">
        <v>12376.83</v>
      </c>
      <c r="M5555" s="3565">
        <v>0</v>
      </c>
      <c r="N5555" s="3565">
        <v>0</v>
      </c>
      <c r="O5555" s="3563" t="s">
        <v>3453</v>
      </c>
    </row>
    <row r="5556" spans="1:15">
      <c r="A5556" s="3563" t="s">
        <v>9784</v>
      </c>
      <c r="B5556" s="3563" t="s">
        <v>4196</v>
      </c>
      <c r="C5556" s="3563" t="s">
        <v>4197</v>
      </c>
      <c r="D5556" s="3563" t="s">
        <v>6429</v>
      </c>
      <c r="E5556" s="3563" t="s">
        <v>9669</v>
      </c>
      <c r="F5556" s="3563" t="s">
        <v>4797</v>
      </c>
      <c r="G5556" s="3564">
        <v>87.27</v>
      </c>
      <c r="H5556" s="3564">
        <v>71</v>
      </c>
      <c r="I5556" s="3564">
        <v>16.27</v>
      </c>
      <c r="J5556" s="3565">
        <v>888065</v>
      </c>
      <c r="K5556" s="3565">
        <v>10176.06</v>
      </c>
      <c r="L5556" s="3565">
        <v>12507.96</v>
      </c>
      <c r="M5556" s="3565">
        <v>0</v>
      </c>
      <c r="N5556" s="3565">
        <v>0</v>
      </c>
      <c r="O5556" s="3563" t="s">
        <v>3453</v>
      </c>
    </row>
    <row r="5557" spans="1:15">
      <c r="A5557" s="3563" t="s">
        <v>9785</v>
      </c>
      <c r="B5557" s="3563" t="s">
        <v>4196</v>
      </c>
      <c r="C5557" s="3563" t="s">
        <v>4197</v>
      </c>
      <c r="D5557" s="3563" t="s">
        <v>6429</v>
      </c>
      <c r="E5557" s="3563" t="s">
        <v>9669</v>
      </c>
      <c r="F5557" s="3563" t="s">
        <v>4797</v>
      </c>
      <c r="G5557" s="3564">
        <v>87.27</v>
      </c>
      <c r="H5557" s="3564">
        <v>71</v>
      </c>
      <c r="I5557" s="3564">
        <v>16.27</v>
      </c>
      <c r="J5557" s="3565">
        <v>888065</v>
      </c>
      <c r="K5557" s="3565">
        <v>10176.06</v>
      </c>
      <c r="L5557" s="3565">
        <v>12507.96</v>
      </c>
      <c r="M5557" s="3565">
        <v>0</v>
      </c>
      <c r="N5557" s="3565">
        <v>0</v>
      </c>
      <c r="O5557" s="3563" t="s">
        <v>3453</v>
      </c>
    </row>
    <row r="5558" spans="1:15">
      <c r="A5558" s="3563" t="s">
        <v>9786</v>
      </c>
      <c r="B5558" s="3563" t="s">
        <v>4196</v>
      </c>
      <c r="C5558" s="3563" t="s">
        <v>4197</v>
      </c>
      <c r="D5558" s="3563" t="s">
        <v>6429</v>
      </c>
      <c r="E5558" s="3563" t="s">
        <v>9669</v>
      </c>
      <c r="F5558" s="3563" t="s">
        <v>4797</v>
      </c>
      <c r="G5558" s="3564">
        <v>108.71</v>
      </c>
      <c r="H5558" s="3564">
        <v>88.44</v>
      </c>
      <c r="I5558" s="3564">
        <v>20.27</v>
      </c>
      <c r="J5558" s="3565">
        <v>1065763</v>
      </c>
      <c r="K5558" s="3565">
        <v>9803.73</v>
      </c>
      <c r="L5558" s="3565">
        <v>12050.69</v>
      </c>
      <c r="M5558" s="3565">
        <v>0</v>
      </c>
      <c r="N5558" s="3565">
        <v>0</v>
      </c>
      <c r="O5558" s="3563" t="s">
        <v>3453</v>
      </c>
    </row>
    <row r="5559" spans="1:15">
      <c r="A5559" s="3563" t="s">
        <v>9787</v>
      </c>
      <c r="B5559" s="3563" t="s">
        <v>4196</v>
      </c>
      <c r="C5559" s="3563" t="s">
        <v>4197</v>
      </c>
      <c r="D5559" s="3563" t="s">
        <v>6429</v>
      </c>
      <c r="E5559" s="3563" t="s">
        <v>9669</v>
      </c>
      <c r="F5559" s="3563" t="s">
        <v>4797</v>
      </c>
      <c r="G5559" s="3564">
        <v>100.47</v>
      </c>
      <c r="H5559" s="3564">
        <v>81.739999999999995</v>
      </c>
      <c r="I5559" s="3564">
        <v>18.73</v>
      </c>
      <c r="J5559" s="3565">
        <v>1019183</v>
      </c>
      <c r="K5559" s="3565">
        <v>10144.15</v>
      </c>
      <c r="L5559" s="3565">
        <v>12468.6</v>
      </c>
      <c r="M5559" s="3565">
        <v>0</v>
      </c>
      <c r="N5559" s="3565">
        <v>0</v>
      </c>
      <c r="O5559" s="3563" t="s">
        <v>3453</v>
      </c>
    </row>
    <row r="5560" spans="1:15">
      <c r="A5560" s="3563" t="s">
        <v>9788</v>
      </c>
      <c r="B5560" s="3563" t="s">
        <v>4196</v>
      </c>
      <c r="C5560" s="3563" t="s">
        <v>4197</v>
      </c>
      <c r="D5560" s="3563" t="s">
        <v>6429</v>
      </c>
      <c r="E5560" s="3563" t="s">
        <v>9669</v>
      </c>
      <c r="F5560" s="3563" t="s">
        <v>4797</v>
      </c>
      <c r="G5560" s="3564">
        <v>100.47</v>
      </c>
      <c r="H5560" s="3564">
        <v>81.739999999999995</v>
      </c>
      <c r="I5560" s="3564">
        <v>18.73</v>
      </c>
      <c r="J5560" s="3565">
        <v>1040560</v>
      </c>
      <c r="K5560" s="3565">
        <v>10356.92</v>
      </c>
      <c r="L5560" s="3565">
        <v>12730.12</v>
      </c>
      <c r="M5560" s="3565">
        <v>0</v>
      </c>
      <c r="N5560" s="3565">
        <v>0</v>
      </c>
      <c r="O5560" s="3563" t="s">
        <v>3453</v>
      </c>
    </row>
    <row r="5561" spans="1:15">
      <c r="A5561" s="3563" t="s">
        <v>9789</v>
      </c>
      <c r="B5561" s="3563" t="s">
        <v>4196</v>
      </c>
      <c r="C5561" s="3563" t="s">
        <v>4197</v>
      </c>
      <c r="D5561" s="3563" t="s">
        <v>6429</v>
      </c>
      <c r="E5561" s="3563" t="s">
        <v>9669</v>
      </c>
      <c r="F5561" s="3563" t="s">
        <v>4797</v>
      </c>
      <c r="G5561" s="3564">
        <v>100.8</v>
      </c>
      <c r="H5561" s="3564">
        <v>82.01</v>
      </c>
      <c r="I5561" s="3564">
        <v>18.79</v>
      </c>
      <c r="J5561" s="3565">
        <v>1027892</v>
      </c>
      <c r="K5561" s="3565">
        <v>10197.34</v>
      </c>
      <c r="L5561" s="3565">
        <v>12533.74</v>
      </c>
      <c r="M5561" s="3565">
        <v>0</v>
      </c>
      <c r="N5561" s="3565">
        <v>0</v>
      </c>
      <c r="O5561" s="3563" t="s">
        <v>3453</v>
      </c>
    </row>
    <row r="5562" spans="1:15">
      <c r="A5562" s="3563" t="s">
        <v>9790</v>
      </c>
      <c r="B5562" s="3563" t="s">
        <v>4196</v>
      </c>
      <c r="C5562" s="3563" t="s">
        <v>4197</v>
      </c>
      <c r="D5562" s="3563" t="s">
        <v>6429</v>
      </c>
      <c r="E5562" s="3563" t="s">
        <v>9669</v>
      </c>
      <c r="F5562" s="3563" t="s">
        <v>4797</v>
      </c>
      <c r="G5562" s="3564">
        <v>87.27</v>
      </c>
      <c r="H5562" s="3564">
        <v>71</v>
      </c>
      <c r="I5562" s="3564">
        <v>16.27</v>
      </c>
      <c r="J5562" s="3565">
        <v>899207</v>
      </c>
      <c r="K5562" s="3565">
        <v>10303.74</v>
      </c>
      <c r="L5562" s="3565">
        <v>12664.89</v>
      </c>
      <c r="M5562" s="3565">
        <v>0</v>
      </c>
      <c r="N5562" s="3565">
        <v>0</v>
      </c>
      <c r="O5562" s="3563" t="s">
        <v>3453</v>
      </c>
    </row>
    <row r="5563" spans="1:15">
      <c r="A5563" s="3563" t="s">
        <v>9791</v>
      </c>
      <c r="B5563" s="3563" t="s">
        <v>4196</v>
      </c>
      <c r="C5563" s="3563" t="s">
        <v>4197</v>
      </c>
      <c r="D5563" s="3563" t="s">
        <v>6429</v>
      </c>
      <c r="E5563" s="3563" t="s">
        <v>9669</v>
      </c>
      <c r="F5563" s="3563" t="s">
        <v>4797</v>
      </c>
      <c r="G5563" s="3564">
        <v>87.27</v>
      </c>
      <c r="H5563" s="3564">
        <v>71</v>
      </c>
      <c r="I5563" s="3564">
        <v>16.27</v>
      </c>
      <c r="J5563" s="3565">
        <v>899207</v>
      </c>
      <c r="K5563" s="3565">
        <v>10303.74</v>
      </c>
      <c r="L5563" s="3565">
        <v>12664.89</v>
      </c>
      <c r="M5563" s="3565">
        <v>0</v>
      </c>
      <c r="N5563" s="3565">
        <v>0</v>
      </c>
      <c r="O5563" s="3563" t="s">
        <v>3453</v>
      </c>
    </row>
    <row r="5564" spans="1:15">
      <c r="A5564" s="3563" t="s">
        <v>9792</v>
      </c>
      <c r="B5564" s="3563" t="s">
        <v>4196</v>
      </c>
      <c r="C5564" s="3563" t="s">
        <v>4197</v>
      </c>
      <c r="D5564" s="3563" t="s">
        <v>6429</v>
      </c>
      <c r="E5564" s="3563" t="s">
        <v>9669</v>
      </c>
      <c r="F5564" s="3563" t="s">
        <v>4797</v>
      </c>
      <c r="G5564" s="3564">
        <v>108.71</v>
      </c>
      <c r="H5564" s="3564">
        <v>88.44</v>
      </c>
      <c r="I5564" s="3564">
        <v>20.27</v>
      </c>
      <c r="J5564" s="3565">
        <v>1079641</v>
      </c>
      <c r="K5564" s="3565">
        <v>9931.39</v>
      </c>
      <c r="L5564" s="3565">
        <v>12207.61</v>
      </c>
      <c r="M5564" s="3565">
        <v>0</v>
      </c>
      <c r="N5564" s="3565">
        <v>0</v>
      </c>
      <c r="O5564" s="3563" t="s">
        <v>3453</v>
      </c>
    </row>
    <row r="5565" spans="1:15">
      <c r="A5565" s="3563" t="s">
        <v>9793</v>
      </c>
      <c r="B5565" s="3563" t="s">
        <v>4196</v>
      </c>
      <c r="C5565" s="3563" t="s">
        <v>4197</v>
      </c>
      <c r="D5565" s="3563" t="s">
        <v>6429</v>
      </c>
      <c r="E5565" s="3563" t="s">
        <v>9669</v>
      </c>
      <c r="F5565" s="3563" t="s">
        <v>4797</v>
      </c>
      <c r="G5565" s="3564">
        <v>100.47</v>
      </c>
      <c r="H5565" s="3564">
        <v>81.739999999999995</v>
      </c>
      <c r="I5565" s="3564">
        <v>18.73</v>
      </c>
      <c r="J5565" s="3565">
        <v>1053386</v>
      </c>
      <c r="K5565" s="3565">
        <v>10484.58</v>
      </c>
      <c r="L5565" s="3565">
        <v>12887.03</v>
      </c>
      <c r="M5565" s="3565">
        <v>0</v>
      </c>
      <c r="N5565" s="3565">
        <v>0</v>
      </c>
      <c r="O5565" s="3563" t="s">
        <v>3453</v>
      </c>
    </row>
    <row r="5566" spans="1:15">
      <c r="A5566" s="3563" t="s">
        <v>9794</v>
      </c>
      <c r="B5566" s="3563" t="s">
        <v>4196</v>
      </c>
      <c r="C5566" s="3563" t="s">
        <v>4197</v>
      </c>
      <c r="D5566" s="3563" t="s">
        <v>6429</v>
      </c>
      <c r="E5566" s="3563" t="s">
        <v>9669</v>
      </c>
      <c r="F5566" s="3563" t="s">
        <v>4797</v>
      </c>
      <c r="G5566" s="3564">
        <v>100.47</v>
      </c>
      <c r="H5566" s="3564">
        <v>81.739999999999995</v>
      </c>
      <c r="I5566" s="3564">
        <v>18.73</v>
      </c>
      <c r="J5566" s="3565">
        <v>1053386</v>
      </c>
      <c r="K5566" s="3565">
        <v>10484.58</v>
      </c>
      <c r="L5566" s="3565">
        <v>12887.03</v>
      </c>
      <c r="M5566" s="3565">
        <v>0</v>
      </c>
      <c r="N5566" s="3565">
        <v>0</v>
      </c>
      <c r="O5566" s="3563" t="s">
        <v>3453</v>
      </c>
    </row>
    <row r="5567" spans="1:15">
      <c r="A5567" s="3563" t="s">
        <v>9795</v>
      </c>
      <c r="B5567" s="3563" t="s">
        <v>4196</v>
      </c>
      <c r="C5567" s="3563" t="s">
        <v>4197</v>
      </c>
      <c r="D5567" s="3563" t="s">
        <v>6429</v>
      </c>
      <c r="E5567" s="3563" t="s">
        <v>9669</v>
      </c>
      <c r="F5567" s="3563" t="s">
        <v>4797</v>
      </c>
      <c r="G5567" s="3564">
        <v>100.8</v>
      </c>
      <c r="H5567" s="3564">
        <v>82.01</v>
      </c>
      <c r="I5567" s="3564">
        <v>18.79</v>
      </c>
      <c r="J5567" s="3565">
        <v>1040760</v>
      </c>
      <c r="K5567" s="3565">
        <v>10325</v>
      </c>
      <c r="L5567" s="3565">
        <v>12690.65</v>
      </c>
      <c r="M5567" s="3565">
        <v>0</v>
      </c>
      <c r="N5567" s="3565">
        <v>0</v>
      </c>
      <c r="O5567" s="3563" t="s">
        <v>3453</v>
      </c>
    </row>
    <row r="5568" spans="1:15">
      <c r="A5568" s="3563" t="s">
        <v>9796</v>
      </c>
      <c r="B5568" s="3563" t="s">
        <v>4196</v>
      </c>
      <c r="C5568" s="3563" t="s">
        <v>4197</v>
      </c>
      <c r="D5568" s="3563" t="s">
        <v>6429</v>
      </c>
      <c r="E5568" s="3563" t="s">
        <v>9669</v>
      </c>
      <c r="F5568" s="3563" t="s">
        <v>4797</v>
      </c>
      <c r="G5568" s="3564">
        <v>87.27</v>
      </c>
      <c r="H5568" s="3564">
        <v>71</v>
      </c>
      <c r="I5568" s="3564">
        <v>16.27</v>
      </c>
      <c r="J5568" s="3565">
        <v>910347</v>
      </c>
      <c r="K5568" s="3565">
        <v>10431.39</v>
      </c>
      <c r="L5568" s="3565">
        <v>12821.79</v>
      </c>
      <c r="M5568" s="3565">
        <v>0</v>
      </c>
      <c r="N5568" s="3565">
        <v>0</v>
      </c>
      <c r="O5568" s="3563" t="s">
        <v>3453</v>
      </c>
    </row>
    <row r="5569" spans="1:15">
      <c r="A5569" s="3563" t="s">
        <v>9797</v>
      </c>
      <c r="B5569" s="3563" t="s">
        <v>4196</v>
      </c>
      <c r="C5569" s="3563" t="s">
        <v>4197</v>
      </c>
      <c r="D5569" s="3563" t="s">
        <v>6429</v>
      </c>
      <c r="E5569" s="3563" t="s">
        <v>9669</v>
      </c>
      <c r="F5569" s="3563" t="s">
        <v>4797</v>
      </c>
      <c r="G5569" s="3564">
        <v>87.27</v>
      </c>
      <c r="H5569" s="3564">
        <v>71</v>
      </c>
      <c r="I5569" s="3564">
        <v>16.27</v>
      </c>
      <c r="J5569" s="3565">
        <v>910347</v>
      </c>
      <c r="K5569" s="3565">
        <v>10431.39</v>
      </c>
      <c r="L5569" s="3565">
        <v>12821.79</v>
      </c>
      <c r="M5569" s="3565">
        <v>0</v>
      </c>
      <c r="N5569" s="3565">
        <v>0</v>
      </c>
      <c r="O5569" s="3563" t="s">
        <v>3453</v>
      </c>
    </row>
    <row r="5570" spans="1:15">
      <c r="A5570" s="3563" t="s">
        <v>9798</v>
      </c>
      <c r="B5570" s="3563" t="s">
        <v>4196</v>
      </c>
      <c r="C5570" s="3563" t="s">
        <v>4197</v>
      </c>
      <c r="D5570" s="3563" t="s">
        <v>6429</v>
      </c>
      <c r="E5570" s="3563" t="s">
        <v>9669</v>
      </c>
      <c r="F5570" s="3563" t="s">
        <v>4797</v>
      </c>
      <c r="G5570" s="3564">
        <v>108.71</v>
      </c>
      <c r="H5570" s="3564">
        <v>88.44</v>
      </c>
      <c r="I5570" s="3564">
        <v>20.27</v>
      </c>
      <c r="J5570" s="3565">
        <v>1093519</v>
      </c>
      <c r="K5570" s="3565">
        <v>10059.049999999999</v>
      </c>
      <c r="L5570" s="3565">
        <v>12364.53</v>
      </c>
      <c r="M5570" s="3565">
        <v>0</v>
      </c>
      <c r="N5570" s="3565">
        <v>0</v>
      </c>
      <c r="O5570" s="3563" t="s">
        <v>3453</v>
      </c>
    </row>
    <row r="5571" spans="1:15">
      <c r="A5571" s="3563" t="s">
        <v>9799</v>
      </c>
      <c r="B5571" s="3563" t="s">
        <v>4196</v>
      </c>
      <c r="C5571" s="3563" t="s">
        <v>4197</v>
      </c>
      <c r="D5571" s="3563" t="s">
        <v>6429</v>
      </c>
      <c r="E5571" s="3563" t="s">
        <v>9669</v>
      </c>
      <c r="F5571" s="3563" t="s">
        <v>4797</v>
      </c>
      <c r="G5571" s="3564">
        <v>100.47</v>
      </c>
      <c r="H5571" s="3564">
        <v>81.739999999999995</v>
      </c>
      <c r="I5571" s="3564">
        <v>18.73</v>
      </c>
      <c r="J5571" s="3565">
        <v>1054455</v>
      </c>
      <c r="K5571" s="3565">
        <v>10495.22</v>
      </c>
      <c r="L5571" s="3565">
        <v>12900.11</v>
      </c>
      <c r="M5571" s="3565">
        <v>0</v>
      </c>
      <c r="N5571" s="3565">
        <v>0</v>
      </c>
      <c r="O5571" s="3563" t="s">
        <v>3453</v>
      </c>
    </row>
    <row r="5572" spans="1:15">
      <c r="A5572" s="3563" t="s">
        <v>9800</v>
      </c>
      <c r="B5572" s="3563" t="s">
        <v>4196</v>
      </c>
      <c r="C5572" s="3563" t="s">
        <v>4197</v>
      </c>
      <c r="D5572" s="3563" t="s">
        <v>6429</v>
      </c>
      <c r="E5572" s="3563" t="s">
        <v>9669</v>
      </c>
      <c r="F5572" s="3563" t="s">
        <v>4797</v>
      </c>
      <c r="G5572" s="3564">
        <v>100.47</v>
      </c>
      <c r="H5572" s="3564">
        <v>81.739999999999995</v>
      </c>
      <c r="I5572" s="3564">
        <v>18.73</v>
      </c>
      <c r="J5572" s="3565">
        <v>1054455</v>
      </c>
      <c r="K5572" s="3565">
        <v>10495.22</v>
      </c>
      <c r="L5572" s="3565">
        <v>12900.11</v>
      </c>
      <c r="M5572" s="3565">
        <v>0</v>
      </c>
      <c r="N5572" s="3565">
        <v>0</v>
      </c>
      <c r="O5572" s="3563" t="s">
        <v>3453</v>
      </c>
    </row>
    <row r="5573" spans="1:15">
      <c r="A5573" s="3563" t="s">
        <v>9801</v>
      </c>
      <c r="B5573" s="3563" t="s">
        <v>4196</v>
      </c>
      <c r="C5573" s="3563" t="s">
        <v>4197</v>
      </c>
      <c r="D5573" s="3563" t="s">
        <v>6429</v>
      </c>
      <c r="E5573" s="3563" t="s">
        <v>9669</v>
      </c>
      <c r="F5573" s="3563" t="s">
        <v>4797</v>
      </c>
      <c r="G5573" s="3564">
        <v>100.8</v>
      </c>
      <c r="H5573" s="3564">
        <v>82.01</v>
      </c>
      <c r="I5573" s="3564">
        <v>18.79</v>
      </c>
      <c r="J5573" s="3565">
        <v>1041832</v>
      </c>
      <c r="K5573" s="3565">
        <v>10335.629999999999</v>
      </c>
      <c r="L5573" s="3565">
        <v>12703.72</v>
      </c>
      <c r="M5573" s="3565">
        <v>0</v>
      </c>
      <c r="N5573" s="3565">
        <v>0</v>
      </c>
      <c r="O5573" s="3563" t="s">
        <v>3453</v>
      </c>
    </row>
    <row r="5574" spans="1:15">
      <c r="A5574" s="3563" t="s">
        <v>9802</v>
      </c>
      <c r="B5574" s="3563" t="s">
        <v>4196</v>
      </c>
      <c r="C5574" s="3563" t="s">
        <v>4197</v>
      </c>
      <c r="D5574" s="3563" t="s">
        <v>6429</v>
      </c>
      <c r="E5574" s="3563" t="s">
        <v>9669</v>
      </c>
      <c r="F5574" s="3563" t="s">
        <v>4797</v>
      </c>
      <c r="G5574" s="3564">
        <v>87.27</v>
      </c>
      <c r="H5574" s="3564">
        <v>71</v>
      </c>
      <c r="I5574" s="3564">
        <v>16.27</v>
      </c>
      <c r="J5574" s="3565">
        <v>911276</v>
      </c>
      <c r="K5574" s="3565">
        <v>10442.030000000001</v>
      </c>
      <c r="L5574" s="3565">
        <v>12834.87</v>
      </c>
      <c r="M5574" s="3565">
        <v>0</v>
      </c>
      <c r="N5574" s="3565">
        <v>0</v>
      </c>
      <c r="O5574" s="3563" t="s">
        <v>3453</v>
      </c>
    </row>
    <row r="5575" spans="1:15">
      <c r="A5575" s="3563" t="s">
        <v>9803</v>
      </c>
      <c r="B5575" s="3563" t="s">
        <v>4196</v>
      </c>
      <c r="C5575" s="3563" t="s">
        <v>4197</v>
      </c>
      <c r="D5575" s="3563" t="s">
        <v>6429</v>
      </c>
      <c r="E5575" s="3563" t="s">
        <v>9669</v>
      </c>
      <c r="F5575" s="3563" t="s">
        <v>4797</v>
      </c>
      <c r="G5575" s="3564">
        <v>87.27</v>
      </c>
      <c r="H5575" s="3564">
        <v>71</v>
      </c>
      <c r="I5575" s="3564">
        <v>16.27</v>
      </c>
      <c r="J5575" s="3565">
        <v>911276</v>
      </c>
      <c r="K5575" s="3565">
        <v>10442.030000000001</v>
      </c>
      <c r="L5575" s="3565">
        <v>12834.87</v>
      </c>
      <c r="M5575" s="3565">
        <v>0</v>
      </c>
      <c r="N5575" s="3565">
        <v>0</v>
      </c>
      <c r="O5575" s="3563" t="s">
        <v>3453</v>
      </c>
    </row>
    <row r="5576" spans="1:15">
      <c r="A5576" s="3563" t="s">
        <v>9804</v>
      </c>
      <c r="B5576" s="3563" t="s">
        <v>4196</v>
      </c>
      <c r="C5576" s="3563" t="s">
        <v>4197</v>
      </c>
      <c r="D5576" s="3563" t="s">
        <v>6429</v>
      </c>
      <c r="E5576" s="3563" t="s">
        <v>9669</v>
      </c>
      <c r="F5576" s="3563" t="s">
        <v>4797</v>
      </c>
      <c r="G5576" s="3564">
        <v>108.71</v>
      </c>
      <c r="H5576" s="3564">
        <v>88.44</v>
      </c>
      <c r="I5576" s="3564">
        <v>20.27</v>
      </c>
      <c r="J5576" s="3565">
        <v>1094676</v>
      </c>
      <c r="K5576" s="3565">
        <v>10069.69</v>
      </c>
      <c r="L5576" s="3565">
        <v>12377.61</v>
      </c>
      <c r="M5576" s="3565">
        <v>0</v>
      </c>
      <c r="N5576" s="3565">
        <v>0</v>
      </c>
      <c r="O5576" s="3563" t="s">
        <v>3453</v>
      </c>
    </row>
    <row r="5577" spans="1:15">
      <c r="A5577" s="3563" t="s">
        <v>9805</v>
      </c>
      <c r="B5577" s="3563" t="s">
        <v>4196</v>
      </c>
      <c r="C5577" s="3563" t="s">
        <v>4197</v>
      </c>
      <c r="D5577" s="3563" t="s">
        <v>6429</v>
      </c>
      <c r="E5577" s="3563" t="s">
        <v>9669</v>
      </c>
      <c r="F5577" s="3563" t="s">
        <v>4797</v>
      </c>
      <c r="G5577" s="3564">
        <v>100.47</v>
      </c>
      <c r="H5577" s="3564">
        <v>81.739999999999995</v>
      </c>
      <c r="I5577" s="3564">
        <v>18.73</v>
      </c>
      <c r="J5577" s="3565">
        <v>1055523</v>
      </c>
      <c r="K5577" s="3565">
        <v>10505.85</v>
      </c>
      <c r="L5577" s="3565">
        <v>12913.18</v>
      </c>
      <c r="M5577" s="3565">
        <v>0</v>
      </c>
      <c r="N5577" s="3565">
        <v>0</v>
      </c>
      <c r="O5577" s="3563" t="s">
        <v>3453</v>
      </c>
    </row>
    <row r="5578" spans="1:15">
      <c r="A5578" s="3563" t="s">
        <v>9806</v>
      </c>
      <c r="B5578" s="3563" t="s">
        <v>4196</v>
      </c>
      <c r="C5578" s="3563" t="s">
        <v>4197</v>
      </c>
      <c r="D5578" s="3563" t="s">
        <v>6429</v>
      </c>
      <c r="E5578" s="3563" t="s">
        <v>9669</v>
      </c>
      <c r="F5578" s="3563" t="s">
        <v>4797</v>
      </c>
      <c r="G5578" s="3564">
        <v>100.47</v>
      </c>
      <c r="H5578" s="3564">
        <v>81.739999999999995</v>
      </c>
      <c r="I5578" s="3564">
        <v>18.73</v>
      </c>
      <c r="J5578" s="3565">
        <v>1055523</v>
      </c>
      <c r="K5578" s="3565">
        <v>10505.85</v>
      </c>
      <c r="L5578" s="3565">
        <v>12913.18</v>
      </c>
      <c r="M5578" s="3565">
        <v>0</v>
      </c>
      <c r="N5578" s="3565">
        <v>0</v>
      </c>
      <c r="O5578" s="3563" t="s">
        <v>3453</v>
      </c>
    </row>
    <row r="5579" spans="1:15">
      <c r="A5579" s="3563" t="s">
        <v>9807</v>
      </c>
      <c r="B5579" s="3563" t="s">
        <v>4196</v>
      </c>
      <c r="C5579" s="3563" t="s">
        <v>4197</v>
      </c>
      <c r="D5579" s="3563" t="s">
        <v>6429</v>
      </c>
      <c r="E5579" s="3563" t="s">
        <v>9669</v>
      </c>
      <c r="F5579" s="3563" t="s">
        <v>4797</v>
      </c>
      <c r="G5579" s="3564">
        <v>100.8</v>
      </c>
      <c r="H5579" s="3564">
        <v>82.01</v>
      </c>
      <c r="I5579" s="3564">
        <v>18.79</v>
      </c>
      <c r="J5579" s="3565">
        <v>1042905</v>
      </c>
      <c r="K5579" s="3565">
        <v>10346.280000000001</v>
      </c>
      <c r="L5579" s="3565">
        <v>12716.8</v>
      </c>
      <c r="M5579" s="3565">
        <v>0</v>
      </c>
      <c r="N5579" s="3565">
        <v>0</v>
      </c>
      <c r="O5579" s="3563" t="s">
        <v>3453</v>
      </c>
    </row>
    <row r="5580" spans="1:15">
      <c r="A5580" s="3563" t="s">
        <v>9808</v>
      </c>
      <c r="B5580" s="3563" t="s">
        <v>4196</v>
      </c>
      <c r="C5580" s="3563" t="s">
        <v>4197</v>
      </c>
      <c r="D5580" s="3563" t="s">
        <v>6429</v>
      </c>
      <c r="E5580" s="3563" t="s">
        <v>9669</v>
      </c>
      <c r="F5580" s="3563" t="s">
        <v>4797</v>
      </c>
      <c r="G5580" s="3564">
        <v>87.27</v>
      </c>
      <c r="H5580" s="3564">
        <v>71</v>
      </c>
      <c r="I5580" s="3564">
        <v>16.27</v>
      </c>
      <c r="J5580" s="3565">
        <v>912204</v>
      </c>
      <c r="K5580" s="3565">
        <v>10452.66</v>
      </c>
      <c r="L5580" s="3565">
        <v>12847.94</v>
      </c>
      <c r="M5580" s="3565">
        <v>0</v>
      </c>
      <c r="N5580" s="3565">
        <v>0</v>
      </c>
      <c r="O5580" s="3563" t="s">
        <v>3453</v>
      </c>
    </row>
    <row r="5581" spans="1:15">
      <c r="A5581" s="3563" t="s">
        <v>9809</v>
      </c>
      <c r="B5581" s="3563" t="s">
        <v>4196</v>
      </c>
      <c r="C5581" s="3563" t="s">
        <v>4197</v>
      </c>
      <c r="D5581" s="3563" t="s">
        <v>6429</v>
      </c>
      <c r="E5581" s="3563" t="s">
        <v>9669</v>
      </c>
      <c r="F5581" s="3563" t="s">
        <v>4797</v>
      </c>
      <c r="G5581" s="3564">
        <v>87.27</v>
      </c>
      <c r="H5581" s="3564">
        <v>71</v>
      </c>
      <c r="I5581" s="3564">
        <v>16.27</v>
      </c>
      <c r="J5581" s="3565">
        <v>912204</v>
      </c>
      <c r="K5581" s="3565">
        <v>10452.66</v>
      </c>
      <c r="L5581" s="3565">
        <v>12847.94</v>
      </c>
      <c r="M5581" s="3565">
        <v>0</v>
      </c>
      <c r="N5581" s="3565">
        <v>0</v>
      </c>
      <c r="O5581" s="3563" t="s">
        <v>3453</v>
      </c>
    </row>
    <row r="5582" spans="1:15">
      <c r="A5582" s="3563" t="s">
        <v>9810</v>
      </c>
      <c r="B5582" s="3563" t="s">
        <v>4196</v>
      </c>
      <c r="C5582" s="3563" t="s">
        <v>4197</v>
      </c>
      <c r="D5582" s="3563" t="s">
        <v>6429</v>
      </c>
      <c r="E5582" s="3563" t="s">
        <v>9669</v>
      </c>
      <c r="F5582" s="3563" t="s">
        <v>4797</v>
      </c>
      <c r="G5582" s="3564">
        <v>108.71</v>
      </c>
      <c r="H5582" s="3564">
        <v>88.44</v>
      </c>
      <c r="I5582" s="3564">
        <v>20.27</v>
      </c>
      <c r="J5582" s="3565">
        <v>1095832</v>
      </c>
      <c r="K5582" s="3565">
        <v>10080.32</v>
      </c>
      <c r="L5582" s="3565">
        <v>12390.68</v>
      </c>
      <c r="M5582" s="3565">
        <v>0</v>
      </c>
      <c r="N5582" s="3565">
        <v>0</v>
      </c>
      <c r="O5582" s="3563" t="s">
        <v>3453</v>
      </c>
    </row>
    <row r="5583" spans="1:15">
      <c r="A5583" s="3563" t="s">
        <v>9811</v>
      </c>
      <c r="B5583" s="3563" t="s">
        <v>4196</v>
      </c>
      <c r="C5583" s="3563" t="s">
        <v>4197</v>
      </c>
      <c r="D5583" s="3563" t="s">
        <v>6429</v>
      </c>
      <c r="E5583" s="3563" t="s">
        <v>9669</v>
      </c>
      <c r="F5583" s="3563" t="s">
        <v>4797</v>
      </c>
      <c r="G5583" s="3564">
        <v>100.47</v>
      </c>
      <c r="H5583" s="3564">
        <v>81.739999999999995</v>
      </c>
      <c r="I5583" s="3564">
        <v>18.73</v>
      </c>
      <c r="J5583" s="3565">
        <v>1056592</v>
      </c>
      <c r="K5583" s="3565">
        <v>10516.49</v>
      </c>
      <c r="L5583" s="3565">
        <v>12926.25</v>
      </c>
      <c r="M5583" s="3565">
        <v>0</v>
      </c>
      <c r="N5583" s="3565">
        <v>0</v>
      </c>
      <c r="O5583" s="3563" t="s">
        <v>3453</v>
      </c>
    </row>
    <row r="5584" spans="1:15">
      <c r="A5584" s="3563" t="s">
        <v>9812</v>
      </c>
      <c r="B5584" s="3563" t="s">
        <v>4196</v>
      </c>
      <c r="C5584" s="3563" t="s">
        <v>4197</v>
      </c>
      <c r="D5584" s="3563" t="s">
        <v>6429</v>
      </c>
      <c r="E5584" s="3563" t="s">
        <v>9669</v>
      </c>
      <c r="F5584" s="3563" t="s">
        <v>4797</v>
      </c>
      <c r="G5584" s="3564">
        <v>100.47</v>
      </c>
      <c r="H5584" s="3564">
        <v>81.739999999999995</v>
      </c>
      <c r="I5584" s="3564">
        <v>18.73</v>
      </c>
      <c r="J5584" s="3565">
        <v>1056592</v>
      </c>
      <c r="K5584" s="3565">
        <v>10516.49</v>
      </c>
      <c r="L5584" s="3565">
        <v>12926.25</v>
      </c>
      <c r="M5584" s="3565">
        <v>0</v>
      </c>
      <c r="N5584" s="3565">
        <v>0</v>
      </c>
      <c r="O5584" s="3563" t="s">
        <v>3453</v>
      </c>
    </row>
    <row r="5585" spans="1:15">
      <c r="A5585" s="3563" t="s">
        <v>9813</v>
      </c>
      <c r="B5585" s="3563" t="s">
        <v>4196</v>
      </c>
      <c r="C5585" s="3563" t="s">
        <v>4197</v>
      </c>
      <c r="D5585" s="3563" t="s">
        <v>6429</v>
      </c>
      <c r="E5585" s="3563" t="s">
        <v>9669</v>
      </c>
      <c r="F5585" s="3563" t="s">
        <v>4797</v>
      </c>
      <c r="G5585" s="3564">
        <v>100.8</v>
      </c>
      <c r="H5585" s="3564">
        <v>82.01</v>
      </c>
      <c r="I5585" s="3564">
        <v>18.79</v>
      </c>
      <c r="J5585" s="3565">
        <v>1043977</v>
      </c>
      <c r="K5585" s="3565">
        <v>10356.91</v>
      </c>
      <c r="L5585" s="3565">
        <v>12729.87</v>
      </c>
      <c r="M5585" s="3565">
        <v>0</v>
      </c>
      <c r="N5585" s="3565">
        <v>0</v>
      </c>
      <c r="O5585" s="3563" t="s">
        <v>3453</v>
      </c>
    </row>
    <row r="5586" spans="1:15">
      <c r="A5586" s="3563" t="s">
        <v>9814</v>
      </c>
      <c r="B5586" s="3563" t="s">
        <v>4196</v>
      </c>
      <c r="C5586" s="3563" t="s">
        <v>4197</v>
      </c>
      <c r="D5586" s="3563" t="s">
        <v>6429</v>
      </c>
      <c r="E5586" s="3563" t="s">
        <v>9669</v>
      </c>
      <c r="F5586" s="3563" t="s">
        <v>4797</v>
      </c>
      <c r="G5586" s="3564">
        <v>87.27</v>
      </c>
      <c r="H5586" s="3564">
        <v>71</v>
      </c>
      <c r="I5586" s="3564">
        <v>16.27</v>
      </c>
      <c r="J5586" s="3565">
        <v>913132</v>
      </c>
      <c r="K5586" s="3565">
        <v>10463.299999999999</v>
      </c>
      <c r="L5586" s="3565">
        <v>12861.01</v>
      </c>
      <c r="M5586" s="3565">
        <v>0</v>
      </c>
      <c r="N5586" s="3565">
        <v>0</v>
      </c>
      <c r="O5586" s="3563" t="s">
        <v>3453</v>
      </c>
    </row>
    <row r="5587" spans="1:15">
      <c r="A5587" s="3563" t="s">
        <v>9815</v>
      </c>
      <c r="B5587" s="3563" t="s">
        <v>4196</v>
      </c>
      <c r="C5587" s="3563" t="s">
        <v>4197</v>
      </c>
      <c r="D5587" s="3563" t="s">
        <v>6429</v>
      </c>
      <c r="E5587" s="3563" t="s">
        <v>9669</v>
      </c>
      <c r="F5587" s="3563" t="s">
        <v>4797</v>
      </c>
      <c r="G5587" s="3564">
        <v>87.27</v>
      </c>
      <c r="H5587" s="3564">
        <v>71</v>
      </c>
      <c r="I5587" s="3564">
        <v>16.27</v>
      </c>
      <c r="J5587" s="3565">
        <v>913132</v>
      </c>
      <c r="K5587" s="3565">
        <v>10463.299999999999</v>
      </c>
      <c r="L5587" s="3565">
        <v>12861.01</v>
      </c>
      <c r="M5587" s="3565">
        <v>0</v>
      </c>
      <c r="N5587" s="3565">
        <v>0</v>
      </c>
      <c r="O5587" s="3563" t="s">
        <v>3453</v>
      </c>
    </row>
    <row r="5588" spans="1:15">
      <c r="A5588" s="3563" t="s">
        <v>9816</v>
      </c>
      <c r="B5588" s="3563" t="s">
        <v>4196</v>
      </c>
      <c r="C5588" s="3563" t="s">
        <v>4197</v>
      </c>
      <c r="D5588" s="3563" t="s">
        <v>6429</v>
      </c>
      <c r="E5588" s="3563" t="s">
        <v>9669</v>
      </c>
      <c r="F5588" s="3563" t="s">
        <v>4797</v>
      </c>
      <c r="G5588" s="3564">
        <v>108.71</v>
      </c>
      <c r="H5588" s="3564">
        <v>88.44</v>
      </c>
      <c r="I5588" s="3564">
        <v>20.27</v>
      </c>
      <c r="J5588" s="3565">
        <v>1120119</v>
      </c>
      <c r="K5588" s="3565">
        <v>10303.73</v>
      </c>
      <c r="L5588" s="3565">
        <v>12665.3</v>
      </c>
      <c r="M5588" s="3565">
        <v>0</v>
      </c>
      <c r="N5588" s="3565">
        <v>0</v>
      </c>
      <c r="O5588" s="3563" t="s">
        <v>3453</v>
      </c>
    </row>
    <row r="5589" spans="1:15">
      <c r="A5589" s="3563" t="s">
        <v>9817</v>
      </c>
      <c r="B5589" s="3563" t="s">
        <v>4196</v>
      </c>
      <c r="C5589" s="3563" t="s">
        <v>4197</v>
      </c>
      <c r="D5589" s="3563" t="s">
        <v>6429</v>
      </c>
      <c r="E5589" s="3563" t="s">
        <v>9669</v>
      </c>
      <c r="F5589" s="3563" t="s">
        <v>4797</v>
      </c>
      <c r="G5589" s="3564">
        <v>100.47</v>
      </c>
      <c r="H5589" s="3564">
        <v>81.739999999999995</v>
      </c>
      <c r="I5589" s="3564">
        <v>18.73</v>
      </c>
      <c r="J5589" s="3565">
        <v>1057661</v>
      </c>
      <c r="K5589" s="3565">
        <v>10527.13</v>
      </c>
      <c r="L5589" s="3565">
        <v>12939.33</v>
      </c>
      <c r="M5589" s="3565">
        <v>0</v>
      </c>
      <c r="N5589" s="3565">
        <v>0</v>
      </c>
      <c r="O5589" s="3563" t="s">
        <v>3453</v>
      </c>
    </row>
    <row r="5590" spans="1:15">
      <c r="A5590" s="3563" t="s">
        <v>9818</v>
      </c>
      <c r="B5590" s="3563" t="s">
        <v>4196</v>
      </c>
      <c r="C5590" s="3563" t="s">
        <v>4197</v>
      </c>
      <c r="D5590" s="3563" t="s">
        <v>6429</v>
      </c>
      <c r="E5590" s="3563" t="s">
        <v>9669</v>
      </c>
      <c r="F5590" s="3563" t="s">
        <v>4797</v>
      </c>
      <c r="G5590" s="3564">
        <v>100.47</v>
      </c>
      <c r="H5590" s="3564">
        <v>81.739999999999995</v>
      </c>
      <c r="I5590" s="3564">
        <v>18.73</v>
      </c>
      <c r="J5590" s="3565">
        <v>1057661</v>
      </c>
      <c r="K5590" s="3565">
        <v>10527.13</v>
      </c>
      <c r="L5590" s="3565">
        <v>12939.33</v>
      </c>
      <c r="M5590" s="3565">
        <v>0</v>
      </c>
      <c r="N5590" s="3565">
        <v>0</v>
      </c>
      <c r="O5590" s="3563" t="s">
        <v>3453</v>
      </c>
    </row>
    <row r="5591" spans="1:15">
      <c r="A5591" s="3563" t="s">
        <v>9819</v>
      </c>
      <c r="B5591" s="3563" t="s">
        <v>4196</v>
      </c>
      <c r="C5591" s="3563" t="s">
        <v>4197</v>
      </c>
      <c r="D5591" s="3563" t="s">
        <v>6429</v>
      </c>
      <c r="E5591" s="3563" t="s">
        <v>9669</v>
      </c>
      <c r="F5591" s="3563" t="s">
        <v>4797</v>
      </c>
      <c r="G5591" s="3564">
        <v>100.8</v>
      </c>
      <c r="H5591" s="3564">
        <v>82.01</v>
      </c>
      <c r="I5591" s="3564">
        <v>18.79</v>
      </c>
      <c r="J5591" s="3565">
        <v>1045049</v>
      </c>
      <c r="K5591" s="3565">
        <v>10367.549999999999</v>
      </c>
      <c r="L5591" s="3565">
        <v>12742.95</v>
      </c>
      <c r="M5591" s="3565">
        <v>0</v>
      </c>
      <c r="N5591" s="3565">
        <v>0</v>
      </c>
      <c r="O5591" s="3563" t="s">
        <v>3453</v>
      </c>
    </row>
    <row r="5592" spans="1:15">
      <c r="A5592" s="3563" t="s">
        <v>9820</v>
      </c>
      <c r="B5592" s="3563" t="s">
        <v>4196</v>
      </c>
      <c r="C5592" s="3563" t="s">
        <v>4197</v>
      </c>
      <c r="D5592" s="3563" t="s">
        <v>6429</v>
      </c>
      <c r="E5592" s="3563" t="s">
        <v>9669</v>
      </c>
      <c r="F5592" s="3563" t="s">
        <v>4797</v>
      </c>
      <c r="G5592" s="3564">
        <v>87.27</v>
      </c>
      <c r="H5592" s="3564">
        <v>71</v>
      </c>
      <c r="I5592" s="3564">
        <v>16.27</v>
      </c>
      <c r="J5592" s="3565">
        <v>914061</v>
      </c>
      <c r="K5592" s="3565">
        <v>10473.94</v>
      </c>
      <c r="L5592" s="3565">
        <v>12874.1</v>
      </c>
      <c r="M5592" s="3565">
        <v>0</v>
      </c>
      <c r="N5592" s="3565">
        <v>0</v>
      </c>
      <c r="O5592" s="3563" t="s">
        <v>3453</v>
      </c>
    </row>
    <row r="5593" spans="1:15">
      <c r="A5593" s="3563" t="s">
        <v>9821</v>
      </c>
      <c r="B5593" s="3563" t="s">
        <v>4196</v>
      </c>
      <c r="C5593" s="3563" t="s">
        <v>4197</v>
      </c>
      <c r="D5593" s="3563" t="s">
        <v>6429</v>
      </c>
      <c r="E5593" s="3563" t="s">
        <v>9669</v>
      </c>
      <c r="F5593" s="3563" t="s">
        <v>4797</v>
      </c>
      <c r="G5593" s="3564">
        <v>87.27</v>
      </c>
      <c r="H5593" s="3564">
        <v>71</v>
      </c>
      <c r="I5593" s="3564">
        <v>16.27</v>
      </c>
      <c r="J5593" s="3565">
        <v>914061</v>
      </c>
      <c r="K5593" s="3565">
        <v>10473.94</v>
      </c>
      <c r="L5593" s="3565">
        <v>12874.1</v>
      </c>
      <c r="M5593" s="3565">
        <v>0</v>
      </c>
      <c r="N5593" s="3565">
        <v>0</v>
      </c>
      <c r="O5593" s="3563" t="s">
        <v>3453</v>
      </c>
    </row>
    <row r="5594" spans="1:15">
      <c r="A5594" s="3563" t="s">
        <v>9822</v>
      </c>
      <c r="B5594" s="3563" t="s">
        <v>4196</v>
      </c>
      <c r="C5594" s="3563" t="s">
        <v>4197</v>
      </c>
      <c r="D5594" s="3563" t="s">
        <v>6429</v>
      </c>
      <c r="E5594" s="3563" t="s">
        <v>9669</v>
      </c>
      <c r="F5594" s="3563" t="s">
        <v>4797</v>
      </c>
      <c r="G5594" s="3564">
        <v>108.71</v>
      </c>
      <c r="H5594" s="3564">
        <v>88.44</v>
      </c>
      <c r="I5594" s="3564">
        <v>20.27</v>
      </c>
      <c r="J5594" s="3565">
        <v>1121275</v>
      </c>
      <c r="K5594" s="3565">
        <v>10314.370000000001</v>
      </c>
      <c r="L5594" s="3565">
        <v>12678.37</v>
      </c>
      <c r="M5594" s="3565">
        <v>0</v>
      </c>
      <c r="N5594" s="3565">
        <v>0</v>
      </c>
      <c r="O5594" s="3563" t="s">
        <v>3453</v>
      </c>
    </row>
    <row r="5595" spans="1:15">
      <c r="A5595" s="3563" t="s">
        <v>9823</v>
      </c>
      <c r="B5595" s="3563" t="s">
        <v>4196</v>
      </c>
      <c r="C5595" s="3563" t="s">
        <v>4197</v>
      </c>
      <c r="D5595" s="3563" t="s">
        <v>6429</v>
      </c>
      <c r="E5595" s="3563" t="s">
        <v>9824</v>
      </c>
      <c r="F5595" s="3563" t="s">
        <v>4797</v>
      </c>
      <c r="G5595" s="3564">
        <v>98.89</v>
      </c>
      <c r="H5595" s="3564">
        <v>81.62</v>
      </c>
      <c r="I5595" s="3564">
        <v>17.27</v>
      </c>
      <c r="J5595" s="3565">
        <v>1007363</v>
      </c>
      <c r="K5595" s="3565">
        <v>10186.700000000001</v>
      </c>
      <c r="L5595" s="3565">
        <v>12342.11</v>
      </c>
      <c r="M5595" s="3565">
        <v>0</v>
      </c>
      <c r="N5595" s="3565">
        <v>0</v>
      </c>
      <c r="O5595" s="3563" t="s">
        <v>3453</v>
      </c>
    </row>
    <row r="5596" spans="1:15">
      <c r="A5596" s="3563" t="s">
        <v>9825</v>
      </c>
      <c r="B5596" s="3563" t="s">
        <v>4196</v>
      </c>
      <c r="C5596" s="3563" t="s">
        <v>4197</v>
      </c>
      <c r="D5596" s="3563" t="s">
        <v>6429</v>
      </c>
      <c r="E5596" s="3563" t="s">
        <v>9824</v>
      </c>
      <c r="F5596" s="3563" t="s">
        <v>4797</v>
      </c>
      <c r="G5596" s="3564">
        <v>98.89</v>
      </c>
      <c r="H5596" s="3564">
        <v>81.62</v>
      </c>
      <c r="I5596" s="3564">
        <v>17.27</v>
      </c>
      <c r="J5596" s="3565">
        <v>1007363</v>
      </c>
      <c r="K5596" s="3565">
        <v>10186.700000000001</v>
      </c>
      <c r="L5596" s="3565">
        <v>12342.11</v>
      </c>
      <c r="M5596" s="3565">
        <v>0</v>
      </c>
      <c r="N5596" s="3565">
        <v>0</v>
      </c>
      <c r="O5596" s="3563" t="s">
        <v>3453</v>
      </c>
    </row>
    <row r="5597" spans="1:15">
      <c r="A5597" s="3563" t="s">
        <v>9826</v>
      </c>
      <c r="B5597" s="3563" t="s">
        <v>4196</v>
      </c>
      <c r="C5597" s="3563" t="s">
        <v>4197</v>
      </c>
      <c r="D5597" s="3563" t="s">
        <v>6429</v>
      </c>
      <c r="E5597" s="3563" t="s">
        <v>9824</v>
      </c>
      <c r="F5597" s="3563" t="s">
        <v>4797</v>
      </c>
      <c r="G5597" s="3564">
        <v>93.43</v>
      </c>
      <c r="H5597" s="3564">
        <v>81.62</v>
      </c>
      <c r="I5597" s="3564">
        <v>11.81</v>
      </c>
      <c r="J5597" s="3565">
        <v>919938</v>
      </c>
      <c r="K5597" s="3565">
        <v>9846.2800000000007</v>
      </c>
      <c r="L5597" s="3565">
        <v>11270.99</v>
      </c>
      <c r="M5597" s="3565">
        <v>0</v>
      </c>
      <c r="N5597" s="3565">
        <v>0</v>
      </c>
      <c r="O5597" s="3563" t="s">
        <v>3453</v>
      </c>
    </row>
    <row r="5598" spans="1:15">
      <c r="A5598" s="3563" t="s">
        <v>9827</v>
      </c>
      <c r="B5598" s="3563" t="s">
        <v>4196</v>
      </c>
      <c r="C5598" s="3563" t="s">
        <v>4197</v>
      </c>
      <c r="D5598" s="3563" t="s">
        <v>6429</v>
      </c>
      <c r="E5598" s="3563" t="s">
        <v>9824</v>
      </c>
      <c r="F5598" s="3563" t="s">
        <v>4797</v>
      </c>
      <c r="G5598" s="3564">
        <v>93.43</v>
      </c>
      <c r="H5598" s="3564">
        <v>81.62</v>
      </c>
      <c r="I5598" s="3564">
        <v>11.81</v>
      </c>
      <c r="J5598" s="3565">
        <v>919938</v>
      </c>
      <c r="K5598" s="3565">
        <v>9846.2800000000007</v>
      </c>
      <c r="L5598" s="3565">
        <v>11270.99</v>
      </c>
      <c r="M5598" s="3565">
        <v>0</v>
      </c>
      <c r="N5598" s="3565">
        <v>0</v>
      </c>
      <c r="O5598" s="3563" t="s">
        <v>3453</v>
      </c>
    </row>
    <row r="5599" spans="1:15">
      <c r="A5599" s="3563" t="s">
        <v>9828</v>
      </c>
      <c r="B5599" s="3563" t="s">
        <v>4196</v>
      </c>
      <c r="C5599" s="3563" t="s">
        <v>4197</v>
      </c>
      <c r="D5599" s="3563" t="s">
        <v>6429</v>
      </c>
      <c r="E5599" s="3563" t="s">
        <v>9824</v>
      </c>
      <c r="F5599" s="3563" t="s">
        <v>4797</v>
      </c>
      <c r="G5599" s="3564">
        <v>100.93</v>
      </c>
      <c r="H5599" s="3564">
        <v>81.62</v>
      </c>
      <c r="I5599" s="3564">
        <v>19.309999999999999</v>
      </c>
      <c r="J5599" s="3565">
        <v>1085052</v>
      </c>
      <c r="K5599" s="3565">
        <v>10750.54</v>
      </c>
      <c r="L5599" s="3565">
        <v>13293.95</v>
      </c>
      <c r="M5599" s="3565">
        <v>0</v>
      </c>
      <c r="N5599" s="3565">
        <v>0</v>
      </c>
      <c r="O5599" s="3563" t="s">
        <v>3453</v>
      </c>
    </row>
    <row r="5600" spans="1:15">
      <c r="A5600" s="3563" t="s">
        <v>9829</v>
      </c>
      <c r="B5600" s="3563" t="s">
        <v>4196</v>
      </c>
      <c r="C5600" s="3563" t="s">
        <v>4197</v>
      </c>
      <c r="D5600" s="3563" t="s">
        <v>6429</v>
      </c>
      <c r="E5600" s="3563" t="s">
        <v>9824</v>
      </c>
      <c r="F5600" s="3563" t="s">
        <v>4797</v>
      </c>
      <c r="G5600" s="3564">
        <v>100.93</v>
      </c>
      <c r="H5600" s="3564">
        <v>81.62</v>
      </c>
      <c r="I5600" s="3564">
        <v>19.309999999999999</v>
      </c>
      <c r="J5600" s="3565">
        <v>1085052</v>
      </c>
      <c r="K5600" s="3565">
        <v>10750.54</v>
      </c>
      <c r="L5600" s="3565">
        <v>13293.95</v>
      </c>
      <c r="M5600" s="3565">
        <v>0</v>
      </c>
      <c r="N5600" s="3565">
        <v>0</v>
      </c>
      <c r="O5600" s="3563" t="s">
        <v>3453</v>
      </c>
    </row>
    <row r="5601" spans="1:15">
      <c r="A5601" s="3563" t="s">
        <v>9830</v>
      </c>
      <c r="B5601" s="3563" t="s">
        <v>4196</v>
      </c>
      <c r="C5601" s="3563" t="s">
        <v>4197</v>
      </c>
      <c r="D5601" s="3563" t="s">
        <v>6429</v>
      </c>
      <c r="E5601" s="3563" t="s">
        <v>9824</v>
      </c>
      <c r="F5601" s="3563" t="s">
        <v>4797</v>
      </c>
      <c r="G5601" s="3564">
        <v>109.36</v>
      </c>
      <c r="H5601" s="3564">
        <v>88.44</v>
      </c>
      <c r="I5601" s="3564">
        <v>20.92</v>
      </c>
      <c r="J5601" s="3565">
        <v>1134959</v>
      </c>
      <c r="K5601" s="3565">
        <v>10378.19</v>
      </c>
      <c r="L5601" s="3565">
        <v>12833.1</v>
      </c>
      <c r="M5601" s="3565">
        <v>0</v>
      </c>
      <c r="N5601" s="3565">
        <v>0</v>
      </c>
      <c r="O5601" s="3563" t="s">
        <v>3453</v>
      </c>
    </row>
    <row r="5602" spans="1:15">
      <c r="A5602" s="3563" t="s">
        <v>9831</v>
      </c>
      <c r="B5602" s="3563" t="s">
        <v>4196</v>
      </c>
      <c r="C5602" s="3563" t="s">
        <v>4197</v>
      </c>
      <c r="D5602" s="3563" t="s">
        <v>6429</v>
      </c>
      <c r="E5602" s="3563" t="s">
        <v>9824</v>
      </c>
      <c r="F5602" s="3563" t="s">
        <v>4797</v>
      </c>
      <c r="G5602" s="3564">
        <v>100.93</v>
      </c>
      <c r="H5602" s="3564">
        <v>81.62</v>
      </c>
      <c r="I5602" s="3564">
        <v>19.309999999999999</v>
      </c>
      <c r="J5602" s="3565">
        <v>1036735</v>
      </c>
      <c r="K5602" s="3565">
        <v>10271.82</v>
      </c>
      <c r="L5602" s="3565">
        <v>12701.97</v>
      </c>
      <c r="M5602" s="3565">
        <v>0</v>
      </c>
      <c r="N5602" s="3565">
        <v>0</v>
      </c>
      <c r="O5602" s="3563" t="s">
        <v>3453</v>
      </c>
    </row>
    <row r="5603" spans="1:15">
      <c r="A5603" s="3563" t="s">
        <v>9832</v>
      </c>
      <c r="B5603" s="3563" t="s">
        <v>4196</v>
      </c>
      <c r="C5603" s="3563" t="s">
        <v>4197</v>
      </c>
      <c r="D5603" s="3563" t="s">
        <v>6429</v>
      </c>
      <c r="E5603" s="3563" t="s">
        <v>9824</v>
      </c>
      <c r="F5603" s="3563" t="s">
        <v>4797</v>
      </c>
      <c r="G5603" s="3564">
        <v>100.93</v>
      </c>
      <c r="H5603" s="3564">
        <v>81.62</v>
      </c>
      <c r="I5603" s="3564">
        <v>19.309999999999999</v>
      </c>
      <c r="J5603" s="3565">
        <v>1036735</v>
      </c>
      <c r="K5603" s="3565">
        <v>10271.82</v>
      </c>
      <c r="L5603" s="3565">
        <v>12701.97</v>
      </c>
      <c r="M5603" s="3565">
        <v>0</v>
      </c>
      <c r="N5603" s="3565">
        <v>0</v>
      </c>
      <c r="O5603" s="3563" t="s">
        <v>3453</v>
      </c>
    </row>
    <row r="5604" spans="1:15">
      <c r="A5604" s="3563" t="s">
        <v>9833</v>
      </c>
      <c r="B5604" s="3563" t="s">
        <v>4196</v>
      </c>
      <c r="C5604" s="3563" t="s">
        <v>4197</v>
      </c>
      <c r="D5604" s="3563" t="s">
        <v>6429</v>
      </c>
      <c r="E5604" s="3563" t="s">
        <v>9824</v>
      </c>
      <c r="F5604" s="3563" t="s">
        <v>4797</v>
      </c>
      <c r="G5604" s="3564">
        <v>123.69</v>
      </c>
      <c r="H5604" s="3564">
        <v>100.03</v>
      </c>
      <c r="I5604" s="3564">
        <v>23.66</v>
      </c>
      <c r="J5604" s="3565">
        <v>1290258</v>
      </c>
      <c r="K5604" s="3565">
        <v>10431.379999999999</v>
      </c>
      <c r="L5604" s="3565">
        <v>12898.71</v>
      </c>
      <c r="M5604" s="3565">
        <v>0</v>
      </c>
      <c r="N5604" s="3565">
        <v>0</v>
      </c>
      <c r="O5604" s="3563" t="s">
        <v>3453</v>
      </c>
    </row>
    <row r="5605" spans="1:15">
      <c r="A5605" s="3563" t="s">
        <v>9834</v>
      </c>
      <c r="B5605" s="3563" t="s">
        <v>4196</v>
      </c>
      <c r="C5605" s="3563" t="s">
        <v>4197</v>
      </c>
      <c r="D5605" s="3563" t="s">
        <v>6429</v>
      </c>
      <c r="E5605" s="3563" t="s">
        <v>9824</v>
      </c>
      <c r="F5605" s="3563" t="s">
        <v>4797</v>
      </c>
      <c r="G5605" s="3564">
        <v>100.93</v>
      </c>
      <c r="H5605" s="3564">
        <v>81.62</v>
      </c>
      <c r="I5605" s="3564">
        <v>19.309999999999999</v>
      </c>
      <c r="J5605" s="3565">
        <v>1086125</v>
      </c>
      <c r="K5605" s="3565">
        <v>10761.17</v>
      </c>
      <c r="L5605" s="3565">
        <v>13307.09</v>
      </c>
      <c r="M5605" s="3565">
        <v>0</v>
      </c>
      <c r="N5605" s="3565">
        <v>0</v>
      </c>
      <c r="O5605" s="3563" t="s">
        <v>3453</v>
      </c>
    </row>
    <row r="5606" spans="1:15">
      <c r="A5606" s="3563" t="s">
        <v>9835</v>
      </c>
      <c r="B5606" s="3563" t="s">
        <v>4196</v>
      </c>
      <c r="C5606" s="3563" t="s">
        <v>4197</v>
      </c>
      <c r="D5606" s="3563" t="s">
        <v>6429</v>
      </c>
      <c r="E5606" s="3563" t="s">
        <v>9824</v>
      </c>
      <c r="F5606" s="3563" t="s">
        <v>4797</v>
      </c>
      <c r="G5606" s="3564">
        <v>100.93</v>
      </c>
      <c r="H5606" s="3564">
        <v>81.62</v>
      </c>
      <c r="I5606" s="3564">
        <v>19.309999999999999</v>
      </c>
      <c r="J5606" s="3565">
        <v>1086125</v>
      </c>
      <c r="K5606" s="3565">
        <v>10761.17</v>
      </c>
      <c r="L5606" s="3565">
        <v>13307.09</v>
      </c>
      <c r="M5606" s="3565">
        <v>0</v>
      </c>
      <c r="N5606" s="3565">
        <v>0</v>
      </c>
      <c r="O5606" s="3563" t="s">
        <v>3453</v>
      </c>
    </row>
    <row r="5607" spans="1:15">
      <c r="A5607" s="3563" t="s">
        <v>9836</v>
      </c>
      <c r="B5607" s="3563" t="s">
        <v>4196</v>
      </c>
      <c r="C5607" s="3563" t="s">
        <v>4197</v>
      </c>
      <c r="D5607" s="3563" t="s">
        <v>6429</v>
      </c>
      <c r="E5607" s="3563" t="s">
        <v>9824</v>
      </c>
      <c r="F5607" s="3563" t="s">
        <v>4797</v>
      </c>
      <c r="G5607" s="3564">
        <v>109.36</v>
      </c>
      <c r="H5607" s="3564">
        <v>88.44</v>
      </c>
      <c r="I5607" s="3564">
        <v>20.92</v>
      </c>
      <c r="J5607" s="3565">
        <v>1136123</v>
      </c>
      <c r="K5607" s="3565">
        <v>10388.84</v>
      </c>
      <c r="L5607" s="3565">
        <v>12846.26</v>
      </c>
      <c r="M5607" s="3565">
        <v>0</v>
      </c>
      <c r="N5607" s="3565">
        <v>0</v>
      </c>
      <c r="O5607" s="3563" t="s">
        <v>3453</v>
      </c>
    </row>
    <row r="5608" spans="1:15">
      <c r="A5608" s="3563" t="s">
        <v>9837</v>
      </c>
      <c r="B5608" s="3563" t="s">
        <v>4196</v>
      </c>
      <c r="C5608" s="3563" t="s">
        <v>4197</v>
      </c>
      <c r="D5608" s="3563" t="s">
        <v>6429</v>
      </c>
      <c r="E5608" s="3563" t="s">
        <v>9824</v>
      </c>
      <c r="F5608" s="3563" t="s">
        <v>4797</v>
      </c>
      <c r="G5608" s="3564">
        <v>100.93</v>
      </c>
      <c r="H5608" s="3564">
        <v>81.62</v>
      </c>
      <c r="I5608" s="3564">
        <v>19.309999999999999</v>
      </c>
      <c r="J5608" s="3565">
        <v>1037808</v>
      </c>
      <c r="K5608" s="3565">
        <v>10282.450000000001</v>
      </c>
      <c r="L5608" s="3565">
        <v>12715.12</v>
      </c>
      <c r="M5608" s="3565">
        <v>0</v>
      </c>
      <c r="N5608" s="3565">
        <v>0</v>
      </c>
      <c r="O5608" s="3563" t="s">
        <v>3453</v>
      </c>
    </row>
    <row r="5609" spans="1:15">
      <c r="A5609" s="3563" t="s">
        <v>9838</v>
      </c>
      <c r="B5609" s="3563" t="s">
        <v>4196</v>
      </c>
      <c r="C5609" s="3563" t="s">
        <v>4197</v>
      </c>
      <c r="D5609" s="3563" t="s">
        <v>6429</v>
      </c>
      <c r="E5609" s="3563" t="s">
        <v>9824</v>
      </c>
      <c r="F5609" s="3563" t="s">
        <v>4797</v>
      </c>
      <c r="G5609" s="3564">
        <v>100.93</v>
      </c>
      <c r="H5609" s="3564">
        <v>81.62</v>
      </c>
      <c r="I5609" s="3564">
        <v>19.309999999999999</v>
      </c>
      <c r="J5609" s="3565">
        <v>1037808</v>
      </c>
      <c r="K5609" s="3565">
        <v>10282.450000000001</v>
      </c>
      <c r="L5609" s="3565">
        <v>12715.12</v>
      </c>
      <c r="M5609" s="3565">
        <v>0</v>
      </c>
      <c r="N5609" s="3565">
        <v>0</v>
      </c>
      <c r="O5609" s="3563" t="s">
        <v>3453</v>
      </c>
    </row>
    <row r="5610" spans="1:15">
      <c r="A5610" s="3563" t="s">
        <v>9839</v>
      </c>
      <c r="B5610" s="3563" t="s">
        <v>4196</v>
      </c>
      <c r="C5610" s="3563" t="s">
        <v>4197</v>
      </c>
      <c r="D5610" s="3563" t="s">
        <v>6429</v>
      </c>
      <c r="E5610" s="3563" t="s">
        <v>9824</v>
      </c>
      <c r="F5610" s="3563" t="s">
        <v>4797</v>
      </c>
      <c r="G5610" s="3564">
        <v>123.69</v>
      </c>
      <c r="H5610" s="3564">
        <v>100.03</v>
      </c>
      <c r="I5610" s="3564">
        <v>23.66</v>
      </c>
      <c r="J5610" s="3565">
        <v>1291574</v>
      </c>
      <c r="K5610" s="3565">
        <v>10442.02</v>
      </c>
      <c r="L5610" s="3565">
        <v>12911.87</v>
      </c>
      <c r="M5610" s="3565">
        <v>0</v>
      </c>
      <c r="N5610" s="3565">
        <v>0</v>
      </c>
      <c r="O5610" s="3563" t="s">
        <v>3453</v>
      </c>
    </row>
    <row r="5611" spans="1:15">
      <c r="A5611" s="3563" t="s">
        <v>9840</v>
      </c>
      <c r="B5611" s="3563" t="s">
        <v>4196</v>
      </c>
      <c r="C5611" s="3563" t="s">
        <v>4197</v>
      </c>
      <c r="D5611" s="3563" t="s">
        <v>6429</v>
      </c>
      <c r="E5611" s="3563" t="s">
        <v>9824</v>
      </c>
      <c r="F5611" s="3563" t="s">
        <v>4797</v>
      </c>
      <c r="G5611" s="3564">
        <v>100.93</v>
      </c>
      <c r="H5611" s="3564">
        <v>81.62</v>
      </c>
      <c r="I5611" s="3564">
        <v>19.309999999999999</v>
      </c>
      <c r="J5611" s="3565">
        <v>1087199</v>
      </c>
      <c r="K5611" s="3565">
        <v>10771.81</v>
      </c>
      <c r="L5611" s="3565">
        <v>13320.25</v>
      </c>
      <c r="M5611" s="3565">
        <v>0</v>
      </c>
      <c r="N5611" s="3565">
        <v>0</v>
      </c>
      <c r="O5611" s="3563" t="s">
        <v>3453</v>
      </c>
    </row>
    <row r="5612" spans="1:15">
      <c r="A5612" s="3563" t="s">
        <v>9841</v>
      </c>
      <c r="B5612" s="3563" t="s">
        <v>4196</v>
      </c>
      <c r="C5612" s="3563" t="s">
        <v>4197</v>
      </c>
      <c r="D5612" s="3563" t="s">
        <v>6429</v>
      </c>
      <c r="E5612" s="3563" t="s">
        <v>9824</v>
      </c>
      <c r="F5612" s="3563" t="s">
        <v>4797</v>
      </c>
      <c r="G5612" s="3564">
        <v>100.93</v>
      </c>
      <c r="H5612" s="3564">
        <v>81.62</v>
      </c>
      <c r="I5612" s="3564">
        <v>19.309999999999999</v>
      </c>
      <c r="J5612" s="3565">
        <v>1087199</v>
      </c>
      <c r="K5612" s="3565">
        <v>10771.81</v>
      </c>
      <c r="L5612" s="3565">
        <v>13320.25</v>
      </c>
      <c r="M5612" s="3565">
        <v>0</v>
      </c>
      <c r="N5612" s="3565">
        <v>0</v>
      </c>
      <c r="O5612" s="3563" t="s">
        <v>3453</v>
      </c>
    </row>
    <row r="5613" spans="1:15">
      <c r="A5613" s="3563" t="s">
        <v>9842</v>
      </c>
      <c r="B5613" s="3563" t="s">
        <v>4196</v>
      </c>
      <c r="C5613" s="3563" t="s">
        <v>4197</v>
      </c>
      <c r="D5613" s="3563" t="s">
        <v>6429</v>
      </c>
      <c r="E5613" s="3563" t="s">
        <v>9824</v>
      </c>
      <c r="F5613" s="3563" t="s">
        <v>4797</v>
      </c>
      <c r="G5613" s="3564">
        <v>109.36</v>
      </c>
      <c r="H5613" s="3564">
        <v>88.44</v>
      </c>
      <c r="I5613" s="3564">
        <v>20.92</v>
      </c>
      <c r="J5613" s="3565">
        <v>1137287</v>
      </c>
      <c r="K5613" s="3565">
        <v>10399.48</v>
      </c>
      <c r="L5613" s="3565">
        <v>12859.42</v>
      </c>
      <c r="M5613" s="3565">
        <v>0</v>
      </c>
      <c r="N5613" s="3565">
        <v>0</v>
      </c>
      <c r="O5613" s="3563" t="s">
        <v>3453</v>
      </c>
    </row>
    <row r="5614" spans="1:15">
      <c r="A5614" s="3563" t="s">
        <v>9843</v>
      </c>
      <c r="B5614" s="3563" t="s">
        <v>4196</v>
      </c>
      <c r="C5614" s="3563" t="s">
        <v>4197</v>
      </c>
      <c r="D5614" s="3563" t="s">
        <v>6429</v>
      </c>
      <c r="E5614" s="3563" t="s">
        <v>9824</v>
      </c>
      <c r="F5614" s="3563" t="s">
        <v>4797</v>
      </c>
      <c r="G5614" s="3564">
        <v>100.93</v>
      </c>
      <c r="H5614" s="3564">
        <v>81.62</v>
      </c>
      <c r="I5614" s="3564">
        <v>19.309999999999999</v>
      </c>
      <c r="J5614" s="3565">
        <v>1038881</v>
      </c>
      <c r="K5614" s="3565">
        <v>10293.08</v>
      </c>
      <c r="L5614" s="3565">
        <v>12728.27</v>
      </c>
      <c r="M5614" s="3565">
        <v>0</v>
      </c>
      <c r="N5614" s="3565">
        <v>0</v>
      </c>
      <c r="O5614" s="3563" t="s">
        <v>3453</v>
      </c>
    </row>
    <row r="5615" spans="1:15">
      <c r="A5615" s="3563" t="s">
        <v>9844</v>
      </c>
      <c r="B5615" s="3563" t="s">
        <v>4196</v>
      </c>
      <c r="C5615" s="3563" t="s">
        <v>4197</v>
      </c>
      <c r="D5615" s="3563" t="s">
        <v>6429</v>
      </c>
      <c r="E5615" s="3563" t="s">
        <v>9824</v>
      </c>
      <c r="F5615" s="3563" t="s">
        <v>4797</v>
      </c>
      <c r="G5615" s="3564">
        <v>100.93</v>
      </c>
      <c r="H5615" s="3564">
        <v>81.62</v>
      </c>
      <c r="I5615" s="3564">
        <v>19.309999999999999</v>
      </c>
      <c r="J5615" s="3565">
        <v>1038881</v>
      </c>
      <c r="K5615" s="3565">
        <v>10293.08</v>
      </c>
      <c r="L5615" s="3565">
        <v>12728.27</v>
      </c>
      <c r="M5615" s="3565">
        <v>0</v>
      </c>
      <c r="N5615" s="3565">
        <v>0</v>
      </c>
      <c r="O5615" s="3563" t="s">
        <v>3453</v>
      </c>
    </row>
    <row r="5616" spans="1:15">
      <c r="A5616" s="3563" t="s">
        <v>9845</v>
      </c>
      <c r="B5616" s="3563" t="s">
        <v>4196</v>
      </c>
      <c r="C5616" s="3563" t="s">
        <v>4197</v>
      </c>
      <c r="D5616" s="3563" t="s">
        <v>6429</v>
      </c>
      <c r="E5616" s="3563" t="s">
        <v>9824</v>
      </c>
      <c r="F5616" s="3563" t="s">
        <v>4797</v>
      </c>
      <c r="G5616" s="3564">
        <v>123.69</v>
      </c>
      <c r="H5616" s="3564">
        <v>100.03</v>
      </c>
      <c r="I5616" s="3564">
        <v>23.66</v>
      </c>
      <c r="J5616" s="3565">
        <v>1292890</v>
      </c>
      <c r="K5616" s="3565">
        <v>10452.66</v>
      </c>
      <c r="L5616" s="3565">
        <v>12925.02</v>
      </c>
      <c r="M5616" s="3565">
        <v>0</v>
      </c>
      <c r="N5616" s="3565">
        <v>0</v>
      </c>
      <c r="O5616" s="3563" t="s">
        <v>3453</v>
      </c>
    </row>
    <row r="5617" spans="1:15">
      <c r="A5617" s="3563" t="s">
        <v>9846</v>
      </c>
      <c r="B5617" s="3563" t="s">
        <v>4196</v>
      </c>
      <c r="C5617" s="3563" t="s">
        <v>4197</v>
      </c>
      <c r="D5617" s="3563" t="s">
        <v>6429</v>
      </c>
      <c r="E5617" s="3563" t="s">
        <v>9824</v>
      </c>
      <c r="F5617" s="3563" t="s">
        <v>4797</v>
      </c>
      <c r="G5617" s="3564">
        <v>100.93</v>
      </c>
      <c r="H5617" s="3564">
        <v>81.62</v>
      </c>
      <c r="I5617" s="3564">
        <v>19.309999999999999</v>
      </c>
      <c r="J5617" s="3565">
        <v>1088273</v>
      </c>
      <c r="K5617" s="3565">
        <v>10782.45</v>
      </c>
      <c r="L5617" s="3565">
        <v>13333.41</v>
      </c>
      <c r="M5617" s="3565">
        <v>0</v>
      </c>
      <c r="N5617" s="3565">
        <v>0</v>
      </c>
      <c r="O5617" s="3563" t="s">
        <v>3453</v>
      </c>
    </row>
    <row r="5618" spans="1:15">
      <c r="A5618" s="3563" t="s">
        <v>9847</v>
      </c>
      <c r="B5618" s="3563" t="s">
        <v>4196</v>
      </c>
      <c r="C5618" s="3563" t="s">
        <v>4197</v>
      </c>
      <c r="D5618" s="3563" t="s">
        <v>6429</v>
      </c>
      <c r="E5618" s="3563" t="s">
        <v>9824</v>
      </c>
      <c r="F5618" s="3563" t="s">
        <v>4797</v>
      </c>
      <c r="G5618" s="3564">
        <v>100.93</v>
      </c>
      <c r="H5618" s="3564">
        <v>81.62</v>
      </c>
      <c r="I5618" s="3564">
        <v>19.309999999999999</v>
      </c>
      <c r="J5618" s="3565">
        <v>1088273</v>
      </c>
      <c r="K5618" s="3565">
        <v>10782.45</v>
      </c>
      <c r="L5618" s="3565">
        <v>13333.41</v>
      </c>
      <c r="M5618" s="3565">
        <v>0</v>
      </c>
      <c r="N5618" s="3565">
        <v>0</v>
      </c>
      <c r="O5618" s="3563" t="s">
        <v>3453</v>
      </c>
    </row>
    <row r="5619" spans="1:15">
      <c r="A5619" s="3563" t="s">
        <v>9848</v>
      </c>
      <c r="B5619" s="3563" t="s">
        <v>4196</v>
      </c>
      <c r="C5619" s="3563" t="s">
        <v>4197</v>
      </c>
      <c r="D5619" s="3563" t="s">
        <v>6429</v>
      </c>
      <c r="E5619" s="3563" t="s">
        <v>9824</v>
      </c>
      <c r="F5619" s="3563" t="s">
        <v>4797</v>
      </c>
      <c r="G5619" s="3564">
        <v>109.36</v>
      </c>
      <c r="H5619" s="3564">
        <v>88.44</v>
      </c>
      <c r="I5619" s="3564">
        <v>20.92</v>
      </c>
      <c r="J5619" s="3565">
        <v>1138449</v>
      </c>
      <c r="K5619" s="3565">
        <v>10410.1</v>
      </c>
      <c r="L5619" s="3565">
        <v>12872.56</v>
      </c>
      <c r="M5619" s="3565">
        <v>0</v>
      </c>
      <c r="N5619" s="3565">
        <v>0</v>
      </c>
      <c r="O5619" s="3563" t="s">
        <v>3453</v>
      </c>
    </row>
    <row r="5620" spans="1:15">
      <c r="A5620" s="3563" t="s">
        <v>9849</v>
      </c>
      <c r="B5620" s="3563" t="s">
        <v>4196</v>
      </c>
      <c r="C5620" s="3563" t="s">
        <v>4197</v>
      </c>
      <c r="D5620" s="3563" t="s">
        <v>6429</v>
      </c>
      <c r="E5620" s="3563" t="s">
        <v>9824</v>
      </c>
      <c r="F5620" s="3563" t="s">
        <v>4797</v>
      </c>
      <c r="G5620" s="3564">
        <v>100.93</v>
      </c>
      <c r="H5620" s="3564">
        <v>81.62</v>
      </c>
      <c r="I5620" s="3564">
        <v>19.309999999999999</v>
      </c>
      <c r="J5620" s="3565">
        <v>1039956</v>
      </c>
      <c r="K5620" s="3565">
        <v>10303.74</v>
      </c>
      <c r="L5620" s="3565">
        <v>12741.44</v>
      </c>
      <c r="M5620" s="3565">
        <v>0</v>
      </c>
      <c r="N5620" s="3565">
        <v>0</v>
      </c>
      <c r="O5620" s="3563" t="s">
        <v>3453</v>
      </c>
    </row>
    <row r="5621" spans="1:15">
      <c r="A5621" s="3563" t="s">
        <v>9850</v>
      </c>
      <c r="B5621" s="3563" t="s">
        <v>4196</v>
      </c>
      <c r="C5621" s="3563" t="s">
        <v>4197</v>
      </c>
      <c r="D5621" s="3563" t="s">
        <v>6429</v>
      </c>
      <c r="E5621" s="3563" t="s">
        <v>9824</v>
      </c>
      <c r="F5621" s="3563" t="s">
        <v>4797</v>
      </c>
      <c r="G5621" s="3564">
        <v>100.93</v>
      </c>
      <c r="H5621" s="3564">
        <v>81.62</v>
      </c>
      <c r="I5621" s="3564">
        <v>19.309999999999999</v>
      </c>
      <c r="J5621" s="3565">
        <v>1039956</v>
      </c>
      <c r="K5621" s="3565">
        <v>10303.74</v>
      </c>
      <c r="L5621" s="3565">
        <v>12741.44</v>
      </c>
      <c r="M5621" s="3565">
        <v>0</v>
      </c>
      <c r="N5621" s="3565">
        <v>0</v>
      </c>
      <c r="O5621" s="3563" t="s">
        <v>3453</v>
      </c>
    </row>
    <row r="5622" spans="1:15">
      <c r="A5622" s="3563" t="s">
        <v>9851</v>
      </c>
      <c r="B5622" s="3563" t="s">
        <v>4196</v>
      </c>
      <c r="C5622" s="3563" t="s">
        <v>4197</v>
      </c>
      <c r="D5622" s="3563" t="s">
        <v>6429</v>
      </c>
      <c r="E5622" s="3563" t="s">
        <v>9824</v>
      </c>
      <c r="F5622" s="3563" t="s">
        <v>4797</v>
      </c>
      <c r="G5622" s="3564">
        <v>123.69</v>
      </c>
      <c r="H5622" s="3564">
        <v>100.03</v>
      </c>
      <c r="I5622" s="3564">
        <v>23.66</v>
      </c>
      <c r="J5622" s="3565">
        <v>1294206</v>
      </c>
      <c r="K5622" s="3565">
        <v>10463.299999999999</v>
      </c>
      <c r="L5622" s="3565">
        <v>12938.18</v>
      </c>
      <c r="M5622" s="3565">
        <v>0</v>
      </c>
      <c r="N5622" s="3565">
        <v>0</v>
      </c>
      <c r="O5622" s="3563" t="s">
        <v>3453</v>
      </c>
    </row>
    <row r="5623" spans="1:15">
      <c r="A5623" s="3563" t="s">
        <v>9852</v>
      </c>
      <c r="B5623" s="3563" t="s">
        <v>4196</v>
      </c>
      <c r="C5623" s="3563" t="s">
        <v>4197</v>
      </c>
      <c r="D5623" s="3563" t="s">
        <v>6429</v>
      </c>
      <c r="E5623" s="3563" t="s">
        <v>9824</v>
      </c>
      <c r="F5623" s="3563" t="s">
        <v>4797</v>
      </c>
      <c r="G5623" s="3564">
        <v>100.93</v>
      </c>
      <c r="H5623" s="3564">
        <v>81.62</v>
      </c>
      <c r="I5623" s="3564">
        <v>19.309999999999999</v>
      </c>
      <c r="J5623" s="3565">
        <v>1078609</v>
      </c>
      <c r="K5623" s="3565">
        <v>10686.7</v>
      </c>
      <c r="L5623" s="3565">
        <v>13215.01</v>
      </c>
      <c r="M5623" s="3565">
        <v>0</v>
      </c>
      <c r="N5623" s="3565">
        <v>0</v>
      </c>
      <c r="O5623" s="3563" t="s">
        <v>3453</v>
      </c>
    </row>
    <row r="5624" spans="1:15">
      <c r="A5624" s="3563" t="s">
        <v>9853</v>
      </c>
      <c r="B5624" s="3563" t="s">
        <v>4196</v>
      </c>
      <c r="C5624" s="3563" t="s">
        <v>4197</v>
      </c>
      <c r="D5624" s="3563" t="s">
        <v>6429</v>
      </c>
      <c r="E5624" s="3563" t="s">
        <v>9824</v>
      </c>
      <c r="F5624" s="3563" t="s">
        <v>4797</v>
      </c>
      <c r="G5624" s="3564">
        <v>100.93</v>
      </c>
      <c r="H5624" s="3564">
        <v>81.62</v>
      </c>
      <c r="I5624" s="3564">
        <v>19.309999999999999</v>
      </c>
      <c r="J5624" s="3565">
        <v>1078609</v>
      </c>
      <c r="K5624" s="3565">
        <v>10686.7</v>
      </c>
      <c r="L5624" s="3565">
        <v>13215.01</v>
      </c>
      <c r="M5624" s="3565">
        <v>0</v>
      </c>
      <c r="N5624" s="3565">
        <v>0</v>
      </c>
      <c r="O5624" s="3563" t="s">
        <v>3453</v>
      </c>
    </row>
    <row r="5625" spans="1:15">
      <c r="A5625" s="3563" t="s">
        <v>9854</v>
      </c>
      <c r="B5625" s="3563" t="s">
        <v>4196</v>
      </c>
      <c r="C5625" s="3563" t="s">
        <v>4197</v>
      </c>
      <c r="D5625" s="3563" t="s">
        <v>6429</v>
      </c>
      <c r="E5625" s="3563" t="s">
        <v>9824</v>
      </c>
      <c r="F5625" s="3563" t="s">
        <v>4797</v>
      </c>
      <c r="G5625" s="3564">
        <v>109.36</v>
      </c>
      <c r="H5625" s="3564">
        <v>88.44</v>
      </c>
      <c r="I5625" s="3564">
        <v>20.92</v>
      </c>
      <c r="J5625" s="3565">
        <v>1127979</v>
      </c>
      <c r="K5625" s="3565">
        <v>10314.370000000001</v>
      </c>
      <c r="L5625" s="3565">
        <v>12754.17</v>
      </c>
      <c r="M5625" s="3565">
        <v>0</v>
      </c>
      <c r="N5625" s="3565">
        <v>0</v>
      </c>
      <c r="O5625" s="3563" t="s">
        <v>3453</v>
      </c>
    </row>
    <row r="5626" spans="1:15">
      <c r="A5626" s="3563" t="s">
        <v>9855</v>
      </c>
      <c r="B5626" s="3563" t="s">
        <v>4196</v>
      </c>
      <c r="C5626" s="3563" t="s">
        <v>4197</v>
      </c>
      <c r="D5626" s="3563" t="s">
        <v>6429</v>
      </c>
      <c r="E5626" s="3563" t="s">
        <v>9824</v>
      </c>
      <c r="F5626" s="3563" t="s">
        <v>4797</v>
      </c>
      <c r="G5626" s="3564">
        <v>100.93</v>
      </c>
      <c r="H5626" s="3564">
        <v>81.62</v>
      </c>
      <c r="I5626" s="3564">
        <v>19.309999999999999</v>
      </c>
      <c r="J5626" s="3565">
        <v>1030292</v>
      </c>
      <c r="K5626" s="3565">
        <v>10207.99</v>
      </c>
      <c r="L5626" s="3565">
        <v>12623.03</v>
      </c>
      <c r="M5626" s="3565">
        <v>0</v>
      </c>
      <c r="N5626" s="3565">
        <v>0</v>
      </c>
      <c r="O5626" s="3563" t="s">
        <v>3453</v>
      </c>
    </row>
    <row r="5627" spans="1:15">
      <c r="A5627" s="3563" t="s">
        <v>9856</v>
      </c>
      <c r="B5627" s="3563" t="s">
        <v>4196</v>
      </c>
      <c r="C5627" s="3563" t="s">
        <v>4197</v>
      </c>
      <c r="D5627" s="3563" t="s">
        <v>6429</v>
      </c>
      <c r="E5627" s="3563" t="s">
        <v>9824</v>
      </c>
      <c r="F5627" s="3563" t="s">
        <v>4797</v>
      </c>
      <c r="G5627" s="3564">
        <v>100.93</v>
      </c>
      <c r="H5627" s="3564">
        <v>81.62</v>
      </c>
      <c r="I5627" s="3564">
        <v>19.309999999999999</v>
      </c>
      <c r="J5627" s="3565">
        <v>1030292</v>
      </c>
      <c r="K5627" s="3565">
        <v>10207.99</v>
      </c>
      <c r="L5627" s="3565">
        <v>12623.03</v>
      </c>
      <c r="M5627" s="3565">
        <v>0</v>
      </c>
      <c r="N5627" s="3565">
        <v>0</v>
      </c>
      <c r="O5627" s="3563" t="s">
        <v>3453</v>
      </c>
    </row>
    <row r="5628" spans="1:15">
      <c r="A5628" s="3563" t="s">
        <v>9857</v>
      </c>
      <c r="B5628" s="3563" t="s">
        <v>4196</v>
      </c>
      <c r="C5628" s="3563" t="s">
        <v>4197</v>
      </c>
      <c r="D5628" s="3563" t="s">
        <v>6429</v>
      </c>
      <c r="E5628" s="3563" t="s">
        <v>9824</v>
      </c>
      <c r="F5628" s="3563" t="s">
        <v>4797</v>
      </c>
      <c r="G5628" s="3564">
        <v>123.69</v>
      </c>
      <c r="H5628" s="3564">
        <v>100.03</v>
      </c>
      <c r="I5628" s="3564">
        <v>23.66</v>
      </c>
      <c r="J5628" s="3565">
        <v>1282363</v>
      </c>
      <c r="K5628" s="3565">
        <v>10367.56</v>
      </c>
      <c r="L5628" s="3565">
        <v>12819.78</v>
      </c>
      <c r="M5628" s="3565">
        <v>0</v>
      </c>
      <c r="N5628" s="3565">
        <v>0</v>
      </c>
      <c r="O5628" s="3563" t="s">
        <v>3453</v>
      </c>
    </row>
    <row r="5629" spans="1:15">
      <c r="A5629" s="3563" t="s">
        <v>9858</v>
      </c>
      <c r="B5629" s="3563" t="s">
        <v>4196</v>
      </c>
      <c r="C5629" s="3563" t="s">
        <v>4197</v>
      </c>
      <c r="D5629" s="3563" t="s">
        <v>6429</v>
      </c>
      <c r="E5629" s="3563" t="s">
        <v>9824</v>
      </c>
      <c r="F5629" s="3563" t="s">
        <v>4797</v>
      </c>
      <c r="G5629" s="3564">
        <v>100.93</v>
      </c>
      <c r="H5629" s="3564">
        <v>81.62</v>
      </c>
      <c r="I5629" s="3564">
        <v>19.309999999999999</v>
      </c>
      <c r="J5629" s="3565">
        <v>1090421</v>
      </c>
      <c r="K5629" s="3565">
        <v>10803.74</v>
      </c>
      <c r="L5629" s="3565">
        <v>13359.73</v>
      </c>
      <c r="M5629" s="3565">
        <v>0</v>
      </c>
      <c r="N5629" s="3565">
        <v>0</v>
      </c>
      <c r="O5629" s="3563" t="s">
        <v>3453</v>
      </c>
    </row>
    <row r="5630" spans="1:15">
      <c r="A5630" s="3563" t="s">
        <v>9859</v>
      </c>
      <c r="B5630" s="3563" t="s">
        <v>4196</v>
      </c>
      <c r="C5630" s="3563" t="s">
        <v>4197</v>
      </c>
      <c r="D5630" s="3563" t="s">
        <v>6429</v>
      </c>
      <c r="E5630" s="3563" t="s">
        <v>9824</v>
      </c>
      <c r="F5630" s="3563" t="s">
        <v>4797</v>
      </c>
      <c r="G5630" s="3564">
        <v>100.93</v>
      </c>
      <c r="H5630" s="3564">
        <v>81.62</v>
      </c>
      <c r="I5630" s="3564">
        <v>19.309999999999999</v>
      </c>
      <c r="J5630" s="3565">
        <v>1090421</v>
      </c>
      <c r="K5630" s="3565">
        <v>10803.74</v>
      </c>
      <c r="L5630" s="3565">
        <v>13359.73</v>
      </c>
      <c r="M5630" s="3565">
        <v>0</v>
      </c>
      <c r="N5630" s="3565">
        <v>0</v>
      </c>
      <c r="O5630" s="3563" t="s">
        <v>3453</v>
      </c>
    </row>
    <row r="5631" spans="1:15">
      <c r="A5631" s="3563" t="s">
        <v>9860</v>
      </c>
      <c r="B5631" s="3563" t="s">
        <v>4196</v>
      </c>
      <c r="C5631" s="3563" t="s">
        <v>4197</v>
      </c>
      <c r="D5631" s="3563" t="s">
        <v>6429</v>
      </c>
      <c r="E5631" s="3563" t="s">
        <v>9824</v>
      </c>
      <c r="F5631" s="3563" t="s">
        <v>4797</v>
      </c>
      <c r="G5631" s="3564">
        <v>109.36</v>
      </c>
      <c r="H5631" s="3564">
        <v>88.44</v>
      </c>
      <c r="I5631" s="3564">
        <v>20.92</v>
      </c>
      <c r="J5631" s="3565">
        <v>1140776</v>
      </c>
      <c r="K5631" s="3565">
        <v>10431.379999999999</v>
      </c>
      <c r="L5631" s="3565">
        <v>12898.87</v>
      </c>
      <c r="M5631" s="3565">
        <v>0</v>
      </c>
      <c r="N5631" s="3565">
        <v>0</v>
      </c>
      <c r="O5631" s="3563" t="s">
        <v>3453</v>
      </c>
    </row>
    <row r="5632" spans="1:15">
      <c r="A5632" s="3563" t="s">
        <v>9861</v>
      </c>
      <c r="B5632" s="3563" t="s">
        <v>4196</v>
      </c>
      <c r="C5632" s="3563" t="s">
        <v>4197</v>
      </c>
      <c r="D5632" s="3563" t="s">
        <v>6429</v>
      </c>
      <c r="E5632" s="3563" t="s">
        <v>9824</v>
      </c>
      <c r="F5632" s="3563" t="s">
        <v>4797</v>
      </c>
      <c r="G5632" s="3564">
        <v>100.93</v>
      </c>
      <c r="H5632" s="3564">
        <v>81.62</v>
      </c>
      <c r="I5632" s="3564">
        <v>19.309999999999999</v>
      </c>
      <c r="J5632" s="3565">
        <v>1042103</v>
      </c>
      <c r="K5632" s="3565">
        <v>10325.01</v>
      </c>
      <c r="L5632" s="3565">
        <v>12767.74</v>
      </c>
      <c r="M5632" s="3565">
        <v>0</v>
      </c>
      <c r="N5632" s="3565">
        <v>0</v>
      </c>
      <c r="O5632" s="3563" t="s">
        <v>3453</v>
      </c>
    </row>
    <row r="5633" spans="1:15">
      <c r="A5633" s="3563" t="s">
        <v>9862</v>
      </c>
      <c r="B5633" s="3563" t="s">
        <v>4196</v>
      </c>
      <c r="C5633" s="3563" t="s">
        <v>4197</v>
      </c>
      <c r="D5633" s="3563" t="s">
        <v>6429</v>
      </c>
      <c r="E5633" s="3563" t="s">
        <v>9824</v>
      </c>
      <c r="F5633" s="3563" t="s">
        <v>4797</v>
      </c>
      <c r="G5633" s="3564">
        <v>100.93</v>
      </c>
      <c r="H5633" s="3564">
        <v>81.62</v>
      </c>
      <c r="I5633" s="3564">
        <v>19.309999999999999</v>
      </c>
      <c r="J5633" s="3565">
        <v>1042103</v>
      </c>
      <c r="K5633" s="3565">
        <v>10325.01</v>
      </c>
      <c r="L5633" s="3565">
        <v>12767.74</v>
      </c>
      <c r="M5633" s="3565">
        <v>0</v>
      </c>
      <c r="N5633" s="3565">
        <v>0</v>
      </c>
      <c r="O5633" s="3563" t="s">
        <v>3453</v>
      </c>
    </row>
    <row r="5634" spans="1:15">
      <c r="A5634" s="3563" t="s">
        <v>9863</v>
      </c>
      <c r="B5634" s="3563" t="s">
        <v>4196</v>
      </c>
      <c r="C5634" s="3563" t="s">
        <v>4197</v>
      </c>
      <c r="D5634" s="3563" t="s">
        <v>6429</v>
      </c>
      <c r="E5634" s="3563" t="s">
        <v>9824</v>
      </c>
      <c r="F5634" s="3563" t="s">
        <v>4797</v>
      </c>
      <c r="G5634" s="3564">
        <v>123.69</v>
      </c>
      <c r="H5634" s="3564">
        <v>100.03</v>
      </c>
      <c r="I5634" s="3564">
        <v>23.66</v>
      </c>
      <c r="J5634" s="3565">
        <v>1296838</v>
      </c>
      <c r="K5634" s="3565">
        <v>10484.58</v>
      </c>
      <c r="L5634" s="3565">
        <v>12964.49</v>
      </c>
      <c r="M5634" s="3565">
        <v>0</v>
      </c>
      <c r="N5634" s="3565">
        <v>0</v>
      </c>
      <c r="O5634" s="3563" t="s">
        <v>3453</v>
      </c>
    </row>
    <row r="5635" spans="1:15">
      <c r="A5635" s="3563" t="s">
        <v>9864</v>
      </c>
      <c r="B5635" s="3563" t="s">
        <v>4196</v>
      </c>
      <c r="C5635" s="3563" t="s">
        <v>4197</v>
      </c>
      <c r="D5635" s="3563" t="s">
        <v>6429</v>
      </c>
      <c r="E5635" s="3563" t="s">
        <v>9824</v>
      </c>
      <c r="F5635" s="3563" t="s">
        <v>4797</v>
      </c>
      <c r="G5635" s="3564">
        <v>100.93</v>
      </c>
      <c r="H5635" s="3564">
        <v>81.62</v>
      </c>
      <c r="I5635" s="3564">
        <v>19.309999999999999</v>
      </c>
      <c r="J5635" s="3565">
        <v>1089346</v>
      </c>
      <c r="K5635" s="3565">
        <v>10793.08</v>
      </c>
      <c r="L5635" s="3565">
        <v>13346.56</v>
      </c>
      <c r="M5635" s="3565">
        <v>0</v>
      </c>
      <c r="N5635" s="3565">
        <v>0</v>
      </c>
      <c r="O5635" s="3563" t="s">
        <v>3453</v>
      </c>
    </row>
    <row r="5636" spans="1:15">
      <c r="A5636" s="3563" t="s">
        <v>9865</v>
      </c>
      <c r="B5636" s="3563" t="s">
        <v>4196</v>
      </c>
      <c r="C5636" s="3563" t="s">
        <v>4197</v>
      </c>
      <c r="D5636" s="3563" t="s">
        <v>6429</v>
      </c>
      <c r="E5636" s="3563" t="s">
        <v>9824</v>
      </c>
      <c r="F5636" s="3563" t="s">
        <v>4797</v>
      </c>
      <c r="G5636" s="3564">
        <v>100.93</v>
      </c>
      <c r="H5636" s="3564">
        <v>81.62</v>
      </c>
      <c r="I5636" s="3564">
        <v>19.309999999999999</v>
      </c>
      <c r="J5636" s="3565">
        <v>1089346</v>
      </c>
      <c r="K5636" s="3565">
        <v>10793.08</v>
      </c>
      <c r="L5636" s="3565">
        <v>13346.56</v>
      </c>
      <c r="M5636" s="3565">
        <v>0</v>
      </c>
      <c r="N5636" s="3565">
        <v>0</v>
      </c>
      <c r="O5636" s="3563" t="s">
        <v>3453</v>
      </c>
    </row>
    <row r="5637" spans="1:15">
      <c r="A5637" s="3563" t="s">
        <v>9866</v>
      </c>
      <c r="B5637" s="3563" t="s">
        <v>4196</v>
      </c>
      <c r="C5637" s="3563" t="s">
        <v>4197</v>
      </c>
      <c r="D5637" s="3563" t="s">
        <v>6429</v>
      </c>
      <c r="E5637" s="3563" t="s">
        <v>9824</v>
      </c>
      <c r="F5637" s="3563" t="s">
        <v>4797</v>
      </c>
      <c r="G5637" s="3564">
        <v>109.36</v>
      </c>
      <c r="H5637" s="3564">
        <v>88.44</v>
      </c>
      <c r="I5637" s="3564">
        <v>20.92</v>
      </c>
      <c r="J5637" s="3565">
        <v>1139613</v>
      </c>
      <c r="K5637" s="3565">
        <v>10420.75</v>
      </c>
      <c r="L5637" s="3565">
        <v>12885.72</v>
      </c>
      <c r="M5637" s="3565">
        <v>0</v>
      </c>
      <c r="N5637" s="3565">
        <v>0</v>
      </c>
      <c r="O5637" s="3563" t="s">
        <v>3453</v>
      </c>
    </row>
    <row r="5638" spans="1:15">
      <c r="A5638" s="3563" t="s">
        <v>9867</v>
      </c>
      <c r="B5638" s="3563" t="s">
        <v>4196</v>
      </c>
      <c r="C5638" s="3563" t="s">
        <v>4197</v>
      </c>
      <c r="D5638" s="3563" t="s">
        <v>6429</v>
      </c>
      <c r="E5638" s="3563" t="s">
        <v>9824</v>
      </c>
      <c r="F5638" s="3563" t="s">
        <v>4797</v>
      </c>
      <c r="G5638" s="3564">
        <v>100.93</v>
      </c>
      <c r="H5638" s="3564">
        <v>81.62</v>
      </c>
      <c r="I5638" s="3564">
        <v>19.309999999999999</v>
      </c>
      <c r="J5638" s="3565">
        <v>1041029</v>
      </c>
      <c r="K5638" s="3565">
        <v>10314.370000000001</v>
      </c>
      <c r="L5638" s="3565">
        <v>12754.58</v>
      </c>
      <c r="M5638" s="3565">
        <v>0</v>
      </c>
      <c r="N5638" s="3565">
        <v>0</v>
      </c>
      <c r="O5638" s="3563" t="s">
        <v>3453</v>
      </c>
    </row>
    <row r="5639" spans="1:15">
      <c r="A5639" s="3563" t="s">
        <v>9868</v>
      </c>
      <c r="B5639" s="3563" t="s">
        <v>4196</v>
      </c>
      <c r="C5639" s="3563" t="s">
        <v>4197</v>
      </c>
      <c r="D5639" s="3563" t="s">
        <v>6429</v>
      </c>
      <c r="E5639" s="3563" t="s">
        <v>9824</v>
      </c>
      <c r="F5639" s="3563" t="s">
        <v>4797</v>
      </c>
      <c r="G5639" s="3564">
        <v>100.93</v>
      </c>
      <c r="H5639" s="3564">
        <v>81.62</v>
      </c>
      <c r="I5639" s="3564">
        <v>19.309999999999999</v>
      </c>
      <c r="J5639" s="3565">
        <v>1041029</v>
      </c>
      <c r="K5639" s="3565">
        <v>10314.370000000001</v>
      </c>
      <c r="L5639" s="3565">
        <v>12754.58</v>
      </c>
      <c r="M5639" s="3565">
        <v>0</v>
      </c>
      <c r="N5639" s="3565">
        <v>0</v>
      </c>
      <c r="O5639" s="3563" t="s">
        <v>3453</v>
      </c>
    </row>
    <row r="5640" spans="1:15">
      <c r="A5640" s="3563" t="s">
        <v>9869</v>
      </c>
      <c r="B5640" s="3563" t="s">
        <v>4196</v>
      </c>
      <c r="C5640" s="3563" t="s">
        <v>4197</v>
      </c>
      <c r="D5640" s="3563" t="s">
        <v>6429</v>
      </c>
      <c r="E5640" s="3563" t="s">
        <v>9824</v>
      </c>
      <c r="F5640" s="3563" t="s">
        <v>4797</v>
      </c>
      <c r="G5640" s="3564">
        <v>123.69</v>
      </c>
      <c r="H5640" s="3564">
        <v>100.03</v>
      </c>
      <c r="I5640" s="3564">
        <v>23.66</v>
      </c>
      <c r="J5640" s="3565">
        <v>1295522</v>
      </c>
      <c r="K5640" s="3565">
        <v>10473.94</v>
      </c>
      <c r="L5640" s="3565">
        <v>12951.33</v>
      </c>
      <c r="M5640" s="3565">
        <v>0</v>
      </c>
      <c r="N5640" s="3565">
        <v>0</v>
      </c>
      <c r="O5640" s="3563" t="s">
        <v>3453</v>
      </c>
    </row>
    <row r="5641" spans="1:15">
      <c r="A5641" s="3563" t="s">
        <v>9870</v>
      </c>
      <c r="B5641" s="3563" t="s">
        <v>4196</v>
      </c>
      <c r="C5641" s="3563" t="s">
        <v>4197</v>
      </c>
      <c r="D5641" s="3563" t="s">
        <v>6429</v>
      </c>
      <c r="E5641" s="3563" t="s">
        <v>9824</v>
      </c>
      <c r="F5641" s="3563" t="s">
        <v>4797</v>
      </c>
      <c r="G5641" s="3564">
        <v>100.93</v>
      </c>
      <c r="H5641" s="3564">
        <v>81.62</v>
      </c>
      <c r="I5641" s="3564">
        <v>19.309999999999999</v>
      </c>
      <c r="J5641" s="3565">
        <v>1088273</v>
      </c>
      <c r="K5641" s="3565">
        <v>10782.45</v>
      </c>
      <c r="L5641" s="3565">
        <v>13333.41</v>
      </c>
      <c r="M5641" s="3565">
        <v>0</v>
      </c>
      <c r="N5641" s="3565">
        <v>0</v>
      </c>
      <c r="O5641" s="3563" t="s">
        <v>3453</v>
      </c>
    </row>
    <row r="5642" spans="1:15">
      <c r="A5642" s="3563" t="s">
        <v>9871</v>
      </c>
      <c r="B5642" s="3563" t="s">
        <v>4196</v>
      </c>
      <c r="C5642" s="3563" t="s">
        <v>4197</v>
      </c>
      <c r="D5642" s="3563" t="s">
        <v>6429</v>
      </c>
      <c r="E5642" s="3563" t="s">
        <v>9824</v>
      </c>
      <c r="F5642" s="3563" t="s">
        <v>4797</v>
      </c>
      <c r="G5642" s="3564">
        <v>100.93</v>
      </c>
      <c r="H5642" s="3564">
        <v>81.62</v>
      </c>
      <c r="I5642" s="3564">
        <v>19.309999999999999</v>
      </c>
      <c r="J5642" s="3565">
        <v>1088273</v>
      </c>
      <c r="K5642" s="3565">
        <v>10782.45</v>
      </c>
      <c r="L5642" s="3565">
        <v>13333.41</v>
      </c>
      <c r="M5642" s="3565">
        <v>0</v>
      </c>
      <c r="N5642" s="3565">
        <v>0</v>
      </c>
      <c r="O5642" s="3563" t="s">
        <v>3453</v>
      </c>
    </row>
    <row r="5643" spans="1:15">
      <c r="A5643" s="3563" t="s">
        <v>9872</v>
      </c>
      <c r="B5643" s="3563" t="s">
        <v>4196</v>
      </c>
      <c r="C5643" s="3563" t="s">
        <v>4197</v>
      </c>
      <c r="D5643" s="3563" t="s">
        <v>6429</v>
      </c>
      <c r="E5643" s="3563" t="s">
        <v>9824</v>
      </c>
      <c r="F5643" s="3563" t="s">
        <v>4797</v>
      </c>
      <c r="G5643" s="3564">
        <v>109.36</v>
      </c>
      <c r="H5643" s="3564">
        <v>88.44</v>
      </c>
      <c r="I5643" s="3564">
        <v>20.92</v>
      </c>
      <c r="J5643" s="3565">
        <v>1138449</v>
      </c>
      <c r="K5643" s="3565">
        <v>10410.1</v>
      </c>
      <c r="L5643" s="3565">
        <v>12872.56</v>
      </c>
      <c r="M5643" s="3565">
        <v>0</v>
      </c>
      <c r="N5643" s="3565">
        <v>0</v>
      </c>
      <c r="O5643" s="3563" t="s">
        <v>3453</v>
      </c>
    </row>
    <row r="5644" spans="1:15">
      <c r="A5644" s="3563" t="s">
        <v>9873</v>
      </c>
      <c r="B5644" s="3563" t="s">
        <v>4196</v>
      </c>
      <c r="C5644" s="3563" t="s">
        <v>4197</v>
      </c>
      <c r="D5644" s="3563" t="s">
        <v>6429</v>
      </c>
      <c r="E5644" s="3563" t="s">
        <v>9824</v>
      </c>
      <c r="F5644" s="3563" t="s">
        <v>4797</v>
      </c>
      <c r="G5644" s="3564">
        <v>100.93</v>
      </c>
      <c r="H5644" s="3564">
        <v>81.62</v>
      </c>
      <c r="I5644" s="3564">
        <v>19.309999999999999</v>
      </c>
      <c r="J5644" s="3565">
        <v>1039956</v>
      </c>
      <c r="K5644" s="3565">
        <v>10303.74</v>
      </c>
      <c r="L5644" s="3565">
        <v>12741.44</v>
      </c>
      <c r="M5644" s="3565">
        <v>0</v>
      </c>
      <c r="N5644" s="3565">
        <v>0</v>
      </c>
      <c r="O5644" s="3563" t="s">
        <v>3453</v>
      </c>
    </row>
    <row r="5645" spans="1:15">
      <c r="A5645" s="3563" t="s">
        <v>9874</v>
      </c>
      <c r="B5645" s="3563" t="s">
        <v>4196</v>
      </c>
      <c r="C5645" s="3563" t="s">
        <v>4197</v>
      </c>
      <c r="D5645" s="3563" t="s">
        <v>6429</v>
      </c>
      <c r="E5645" s="3563" t="s">
        <v>9824</v>
      </c>
      <c r="F5645" s="3563" t="s">
        <v>4797</v>
      </c>
      <c r="G5645" s="3564">
        <v>100.93</v>
      </c>
      <c r="H5645" s="3564">
        <v>81.62</v>
      </c>
      <c r="I5645" s="3564">
        <v>19.309999999999999</v>
      </c>
      <c r="J5645" s="3565">
        <v>1039956</v>
      </c>
      <c r="K5645" s="3565">
        <v>10303.74</v>
      </c>
      <c r="L5645" s="3565">
        <v>12741.44</v>
      </c>
      <c r="M5645" s="3565">
        <v>0</v>
      </c>
      <c r="N5645" s="3565">
        <v>0</v>
      </c>
      <c r="O5645" s="3563" t="s">
        <v>3453</v>
      </c>
    </row>
    <row r="5646" spans="1:15">
      <c r="A5646" s="3563" t="s">
        <v>9875</v>
      </c>
      <c r="B5646" s="3563" t="s">
        <v>4196</v>
      </c>
      <c r="C5646" s="3563" t="s">
        <v>4197</v>
      </c>
      <c r="D5646" s="3563" t="s">
        <v>6429</v>
      </c>
      <c r="E5646" s="3563" t="s">
        <v>9824</v>
      </c>
      <c r="F5646" s="3563" t="s">
        <v>4797</v>
      </c>
      <c r="G5646" s="3564">
        <v>123.69</v>
      </c>
      <c r="H5646" s="3564">
        <v>100.03</v>
      </c>
      <c r="I5646" s="3564">
        <v>23.66</v>
      </c>
      <c r="J5646" s="3565">
        <v>1294206</v>
      </c>
      <c r="K5646" s="3565">
        <v>10463.299999999999</v>
      </c>
      <c r="L5646" s="3565">
        <v>12938.18</v>
      </c>
      <c r="M5646" s="3565">
        <v>0</v>
      </c>
      <c r="N5646" s="3565">
        <v>0</v>
      </c>
      <c r="O5646" s="3563" t="s">
        <v>3453</v>
      </c>
    </row>
    <row r="5647" spans="1:15">
      <c r="A5647" s="3563" t="s">
        <v>9876</v>
      </c>
      <c r="B5647" s="3563" t="s">
        <v>4196</v>
      </c>
      <c r="C5647" s="3563" t="s">
        <v>4197</v>
      </c>
      <c r="D5647" s="3563" t="s">
        <v>6429</v>
      </c>
      <c r="E5647" s="3563" t="s">
        <v>9824</v>
      </c>
      <c r="F5647" s="3563" t="s">
        <v>4797</v>
      </c>
      <c r="G5647" s="3564">
        <v>100.93</v>
      </c>
      <c r="H5647" s="3564">
        <v>81.62</v>
      </c>
      <c r="I5647" s="3564">
        <v>19.309999999999999</v>
      </c>
      <c r="J5647" s="3565">
        <v>1076462</v>
      </c>
      <c r="K5647" s="3565">
        <v>10665.43</v>
      </c>
      <c r="L5647" s="3565">
        <v>13188.7</v>
      </c>
      <c r="M5647" s="3565">
        <v>0</v>
      </c>
      <c r="N5647" s="3565">
        <v>0</v>
      </c>
      <c r="O5647" s="3563" t="s">
        <v>3453</v>
      </c>
    </row>
    <row r="5648" spans="1:15">
      <c r="A5648" s="3563" t="s">
        <v>9877</v>
      </c>
      <c r="B5648" s="3563" t="s">
        <v>4196</v>
      </c>
      <c r="C5648" s="3563" t="s">
        <v>4197</v>
      </c>
      <c r="D5648" s="3563" t="s">
        <v>6429</v>
      </c>
      <c r="E5648" s="3563" t="s">
        <v>9824</v>
      </c>
      <c r="F5648" s="3563" t="s">
        <v>4797</v>
      </c>
      <c r="G5648" s="3564">
        <v>100.93</v>
      </c>
      <c r="H5648" s="3564">
        <v>81.62</v>
      </c>
      <c r="I5648" s="3564">
        <v>19.309999999999999</v>
      </c>
      <c r="J5648" s="3565">
        <v>1076462</v>
      </c>
      <c r="K5648" s="3565">
        <v>10665.43</v>
      </c>
      <c r="L5648" s="3565">
        <v>13188.7</v>
      </c>
      <c r="M5648" s="3565">
        <v>0</v>
      </c>
      <c r="N5648" s="3565">
        <v>0</v>
      </c>
      <c r="O5648" s="3563" t="s">
        <v>3453</v>
      </c>
    </row>
    <row r="5649" spans="1:15">
      <c r="A5649" s="3563" t="s">
        <v>9878</v>
      </c>
      <c r="B5649" s="3563" t="s">
        <v>4196</v>
      </c>
      <c r="C5649" s="3563" t="s">
        <v>4197</v>
      </c>
      <c r="D5649" s="3563" t="s">
        <v>6429</v>
      </c>
      <c r="E5649" s="3563" t="s">
        <v>9824</v>
      </c>
      <c r="F5649" s="3563" t="s">
        <v>4797</v>
      </c>
      <c r="G5649" s="3564">
        <v>109.36</v>
      </c>
      <c r="H5649" s="3564">
        <v>88.44</v>
      </c>
      <c r="I5649" s="3564">
        <v>20.92</v>
      </c>
      <c r="J5649" s="3565">
        <v>1125653</v>
      </c>
      <c r="K5649" s="3565">
        <v>10293.1</v>
      </c>
      <c r="L5649" s="3565">
        <v>12727.87</v>
      </c>
      <c r="M5649" s="3565">
        <v>0</v>
      </c>
      <c r="N5649" s="3565">
        <v>0</v>
      </c>
      <c r="O5649" s="3563" t="s">
        <v>3453</v>
      </c>
    </row>
    <row r="5650" spans="1:15">
      <c r="A5650" s="3563" t="s">
        <v>9879</v>
      </c>
      <c r="B5650" s="3563" t="s">
        <v>4196</v>
      </c>
      <c r="C5650" s="3563" t="s">
        <v>4197</v>
      </c>
      <c r="D5650" s="3563" t="s">
        <v>6429</v>
      </c>
      <c r="E5650" s="3563" t="s">
        <v>9824</v>
      </c>
      <c r="F5650" s="3563" t="s">
        <v>4797</v>
      </c>
      <c r="G5650" s="3564">
        <v>100.93</v>
      </c>
      <c r="H5650" s="3564">
        <v>81.62</v>
      </c>
      <c r="I5650" s="3564">
        <v>19.309999999999999</v>
      </c>
      <c r="J5650" s="3565">
        <v>1028144</v>
      </c>
      <c r="K5650" s="3565">
        <v>10186.700000000001</v>
      </c>
      <c r="L5650" s="3565">
        <v>12596.72</v>
      </c>
      <c r="M5650" s="3565">
        <v>0</v>
      </c>
      <c r="N5650" s="3565">
        <v>0</v>
      </c>
      <c r="O5650" s="3563" t="s">
        <v>3453</v>
      </c>
    </row>
    <row r="5651" spans="1:15">
      <c r="A5651" s="3563" t="s">
        <v>9880</v>
      </c>
      <c r="B5651" s="3563" t="s">
        <v>4196</v>
      </c>
      <c r="C5651" s="3563" t="s">
        <v>4197</v>
      </c>
      <c r="D5651" s="3563" t="s">
        <v>6429</v>
      </c>
      <c r="E5651" s="3563" t="s">
        <v>9824</v>
      </c>
      <c r="F5651" s="3563" t="s">
        <v>4797</v>
      </c>
      <c r="G5651" s="3564">
        <v>100.93</v>
      </c>
      <c r="H5651" s="3564">
        <v>81.62</v>
      </c>
      <c r="I5651" s="3564">
        <v>19.309999999999999</v>
      </c>
      <c r="J5651" s="3565">
        <v>1028144</v>
      </c>
      <c r="K5651" s="3565">
        <v>10186.700000000001</v>
      </c>
      <c r="L5651" s="3565">
        <v>12596.72</v>
      </c>
      <c r="M5651" s="3565">
        <v>0</v>
      </c>
      <c r="N5651" s="3565">
        <v>0</v>
      </c>
      <c r="O5651" s="3563" t="s">
        <v>3453</v>
      </c>
    </row>
    <row r="5652" spans="1:15">
      <c r="A5652" s="3563" t="s">
        <v>9881</v>
      </c>
      <c r="B5652" s="3563" t="s">
        <v>4196</v>
      </c>
      <c r="C5652" s="3563" t="s">
        <v>4197</v>
      </c>
      <c r="D5652" s="3563" t="s">
        <v>6429</v>
      </c>
      <c r="E5652" s="3563" t="s">
        <v>9824</v>
      </c>
      <c r="F5652" s="3563" t="s">
        <v>4797</v>
      </c>
      <c r="G5652" s="3564">
        <v>123.69</v>
      </c>
      <c r="H5652" s="3564">
        <v>100.03</v>
      </c>
      <c r="I5652" s="3564">
        <v>23.66</v>
      </c>
      <c r="J5652" s="3565">
        <v>1279731</v>
      </c>
      <c r="K5652" s="3565">
        <v>10346.280000000001</v>
      </c>
      <c r="L5652" s="3565">
        <v>12793.47</v>
      </c>
      <c r="M5652" s="3565">
        <v>0</v>
      </c>
      <c r="N5652" s="3565">
        <v>0</v>
      </c>
      <c r="O5652" s="3563" t="s">
        <v>3453</v>
      </c>
    </row>
    <row r="5653" spans="1:15">
      <c r="A5653" s="3563" t="s">
        <v>9882</v>
      </c>
      <c r="B5653" s="3563" t="s">
        <v>4196</v>
      </c>
      <c r="C5653" s="3563" t="s">
        <v>4197</v>
      </c>
      <c r="D5653" s="3563" t="s">
        <v>6429</v>
      </c>
      <c r="E5653" s="3563" t="s">
        <v>9824</v>
      </c>
      <c r="F5653" s="3563" t="s">
        <v>4797</v>
      </c>
      <c r="G5653" s="3564">
        <v>100.93</v>
      </c>
      <c r="H5653" s="3564">
        <v>81.62</v>
      </c>
      <c r="I5653" s="3564">
        <v>19.309999999999999</v>
      </c>
      <c r="J5653" s="3565">
        <v>1086125</v>
      </c>
      <c r="K5653" s="3565">
        <v>10761.17</v>
      </c>
      <c r="L5653" s="3565">
        <v>13307.09</v>
      </c>
      <c r="M5653" s="3565">
        <v>0</v>
      </c>
      <c r="N5653" s="3565">
        <v>0</v>
      </c>
      <c r="O5653" s="3563" t="s">
        <v>3453</v>
      </c>
    </row>
    <row r="5654" spans="1:15">
      <c r="A5654" s="3563" t="s">
        <v>9883</v>
      </c>
      <c r="B5654" s="3563" t="s">
        <v>4196</v>
      </c>
      <c r="C5654" s="3563" t="s">
        <v>4197</v>
      </c>
      <c r="D5654" s="3563" t="s">
        <v>6429</v>
      </c>
      <c r="E5654" s="3563" t="s">
        <v>9824</v>
      </c>
      <c r="F5654" s="3563" t="s">
        <v>4797</v>
      </c>
      <c r="G5654" s="3564">
        <v>100.93</v>
      </c>
      <c r="H5654" s="3564">
        <v>81.62</v>
      </c>
      <c r="I5654" s="3564">
        <v>19.309999999999999</v>
      </c>
      <c r="J5654" s="3565">
        <v>1086125</v>
      </c>
      <c r="K5654" s="3565">
        <v>10761.17</v>
      </c>
      <c r="L5654" s="3565">
        <v>13307.09</v>
      </c>
      <c r="M5654" s="3565">
        <v>0</v>
      </c>
      <c r="N5654" s="3565">
        <v>0</v>
      </c>
      <c r="O5654" s="3563" t="s">
        <v>3453</v>
      </c>
    </row>
    <row r="5655" spans="1:15">
      <c r="A5655" s="3563" t="s">
        <v>9884</v>
      </c>
      <c r="B5655" s="3563" t="s">
        <v>4196</v>
      </c>
      <c r="C5655" s="3563" t="s">
        <v>4197</v>
      </c>
      <c r="D5655" s="3563" t="s">
        <v>6429</v>
      </c>
      <c r="E5655" s="3563" t="s">
        <v>9824</v>
      </c>
      <c r="F5655" s="3563" t="s">
        <v>4797</v>
      </c>
      <c r="G5655" s="3564">
        <v>109.36</v>
      </c>
      <c r="H5655" s="3564">
        <v>88.44</v>
      </c>
      <c r="I5655" s="3564">
        <v>20.92</v>
      </c>
      <c r="J5655" s="3565">
        <v>1136123</v>
      </c>
      <c r="K5655" s="3565">
        <v>10388.84</v>
      </c>
      <c r="L5655" s="3565">
        <v>12846.26</v>
      </c>
      <c r="M5655" s="3565">
        <v>0</v>
      </c>
      <c r="N5655" s="3565">
        <v>0</v>
      </c>
      <c r="O5655" s="3563" t="s">
        <v>3453</v>
      </c>
    </row>
    <row r="5656" spans="1:15">
      <c r="A5656" s="3563" t="s">
        <v>9885</v>
      </c>
      <c r="B5656" s="3563" t="s">
        <v>4196</v>
      </c>
      <c r="C5656" s="3563" t="s">
        <v>4197</v>
      </c>
      <c r="D5656" s="3563" t="s">
        <v>6429</v>
      </c>
      <c r="E5656" s="3563" t="s">
        <v>9824</v>
      </c>
      <c r="F5656" s="3563" t="s">
        <v>4797</v>
      </c>
      <c r="G5656" s="3564">
        <v>100.93</v>
      </c>
      <c r="H5656" s="3564">
        <v>81.62</v>
      </c>
      <c r="I5656" s="3564">
        <v>19.309999999999999</v>
      </c>
      <c r="J5656" s="3565">
        <v>1037808</v>
      </c>
      <c r="K5656" s="3565">
        <v>10282.450000000001</v>
      </c>
      <c r="L5656" s="3565">
        <v>12715.12</v>
      </c>
      <c r="M5656" s="3565">
        <v>0</v>
      </c>
      <c r="N5656" s="3565">
        <v>0</v>
      </c>
      <c r="O5656" s="3563" t="s">
        <v>3453</v>
      </c>
    </row>
    <row r="5657" spans="1:15">
      <c r="A5657" s="3563" t="s">
        <v>9886</v>
      </c>
      <c r="B5657" s="3563" t="s">
        <v>4196</v>
      </c>
      <c r="C5657" s="3563" t="s">
        <v>4197</v>
      </c>
      <c r="D5657" s="3563" t="s">
        <v>6429</v>
      </c>
      <c r="E5657" s="3563" t="s">
        <v>9824</v>
      </c>
      <c r="F5657" s="3563" t="s">
        <v>4797</v>
      </c>
      <c r="G5657" s="3564">
        <v>100.93</v>
      </c>
      <c r="H5657" s="3564">
        <v>81.62</v>
      </c>
      <c r="I5657" s="3564">
        <v>19.309999999999999</v>
      </c>
      <c r="J5657" s="3565">
        <v>1037808</v>
      </c>
      <c r="K5657" s="3565">
        <v>10282.450000000001</v>
      </c>
      <c r="L5657" s="3565">
        <v>12715.12</v>
      </c>
      <c r="M5657" s="3565">
        <v>0</v>
      </c>
      <c r="N5657" s="3565">
        <v>0</v>
      </c>
      <c r="O5657" s="3563" t="s">
        <v>3453</v>
      </c>
    </row>
    <row r="5658" spans="1:15">
      <c r="A5658" s="3563" t="s">
        <v>9887</v>
      </c>
      <c r="B5658" s="3563" t="s">
        <v>4196</v>
      </c>
      <c r="C5658" s="3563" t="s">
        <v>4197</v>
      </c>
      <c r="D5658" s="3563" t="s">
        <v>6429</v>
      </c>
      <c r="E5658" s="3563" t="s">
        <v>9824</v>
      </c>
      <c r="F5658" s="3563" t="s">
        <v>4797</v>
      </c>
      <c r="G5658" s="3564">
        <v>123.69</v>
      </c>
      <c r="H5658" s="3564">
        <v>100.03</v>
      </c>
      <c r="I5658" s="3564">
        <v>23.66</v>
      </c>
      <c r="J5658" s="3565">
        <v>1291574</v>
      </c>
      <c r="K5658" s="3565">
        <v>10442.02</v>
      </c>
      <c r="L5658" s="3565">
        <v>12911.87</v>
      </c>
      <c r="M5658" s="3565">
        <v>0</v>
      </c>
      <c r="N5658" s="3565">
        <v>0</v>
      </c>
      <c r="O5658" s="3563" t="s">
        <v>3453</v>
      </c>
    </row>
    <row r="5659" spans="1:15">
      <c r="A5659" s="3563" t="s">
        <v>9888</v>
      </c>
      <c r="B5659" s="3563" t="s">
        <v>4196</v>
      </c>
      <c r="C5659" s="3563" t="s">
        <v>4197</v>
      </c>
      <c r="D5659" s="3563" t="s">
        <v>6429</v>
      </c>
      <c r="E5659" s="3563" t="s">
        <v>9824</v>
      </c>
      <c r="F5659" s="3563" t="s">
        <v>4797</v>
      </c>
      <c r="G5659" s="3564">
        <v>102.48</v>
      </c>
      <c r="H5659" s="3564">
        <v>81.62</v>
      </c>
      <c r="I5659" s="3564">
        <v>20.86</v>
      </c>
      <c r="J5659" s="3565">
        <v>1057016</v>
      </c>
      <c r="K5659" s="3565">
        <v>10314.36</v>
      </c>
      <c r="L5659" s="3565">
        <v>12950.45</v>
      </c>
      <c r="M5659" s="3565">
        <v>0</v>
      </c>
      <c r="N5659" s="3565">
        <v>0</v>
      </c>
      <c r="O5659" s="3563" t="s">
        <v>3453</v>
      </c>
    </row>
    <row r="5660" spans="1:15">
      <c r="A5660" s="3563" t="s">
        <v>9889</v>
      </c>
      <c r="B5660" s="3563" t="s">
        <v>4196</v>
      </c>
      <c r="C5660" s="3563" t="s">
        <v>4197</v>
      </c>
      <c r="D5660" s="3563" t="s">
        <v>6429</v>
      </c>
      <c r="E5660" s="3563" t="s">
        <v>9824</v>
      </c>
      <c r="F5660" s="3563" t="s">
        <v>4797</v>
      </c>
      <c r="G5660" s="3564">
        <v>102.48</v>
      </c>
      <c r="H5660" s="3564">
        <v>81.62</v>
      </c>
      <c r="I5660" s="3564">
        <v>20.86</v>
      </c>
      <c r="J5660" s="3565">
        <v>1057016</v>
      </c>
      <c r="K5660" s="3565">
        <v>10314.36</v>
      </c>
      <c r="L5660" s="3565">
        <v>12950.45</v>
      </c>
      <c r="M5660" s="3565">
        <v>0</v>
      </c>
      <c r="N5660" s="3565">
        <v>0</v>
      </c>
      <c r="O5660" s="3563" t="s">
        <v>3453</v>
      </c>
    </row>
    <row r="5661" spans="1:15">
      <c r="A5661" s="3563" t="s">
        <v>9890</v>
      </c>
      <c r="B5661" s="3563" t="s">
        <v>4196</v>
      </c>
      <c r="C5661" s="3563" t="s">
        <v>4197</v>
      </c>
      <c r="D5661" s="3563" t="s">
        <v>6429</v>
      </c>
      <c r="E5661" s="3563" t="s">
        <v>9824</v>
      </c>
      <c r="F5661" s="3563" t="s">
        <v>4797</v>
      </c>
      <c r="G5661" s="3564">
        <v>102.48</v>
      </c>
      <c r="H5661" s="3564">
        <v>81.62</v>
      </c>
      <c r="I5661" s="3564">
        <v>20.86</v>
      </c>
      <c r="J5661" s="3565">
        <v>1009047</v>
      </c>
      <c r="K5661" s="3565">
        <v>9846.2800000000007</v>
      </c>
      <c r="L5661" s="3565">
        <v>12362.74</v>
      </c>
      <c r="M5661" s="3565">
        <v>0</v>
      </c>
      <c r="N5661" s="3565">
        <v>0</v>
      </c>
      <c r="O5661" s="3563" t="s">
        <v>3453</v>
      </c>
    </row>
    <row r="5662" spans="1:15">
      <c r="A5662" s="3563" t="s">
        <v>9891</v>
      </c>
      <c r="B5662" s="3563" t="s">
        <v>4196</v>
      </c>
      <c r="C5662" s="3563" t="s">
        <v>4197</v>
      </c>
      <c r="D5662" s="3563" t="s">
        <v>6429</v>
      </c>
      <c r="E5662" s="3563" t="s">
        <v>9824</v>
      </c>
      <c r="F5662" s="3563" t="s">
        <v>4797</v>
      </c>
      <c r="G5662" s="3564">
        <v>102.48</v>
      </c>
      <c r="H5662" s="3564">
        <v>81.62</v>
      </c>
      <c r="I5662" s="3564">
        <v>20.86</v>
      </c>
      <c r="J5662" s="3565">
        <v>1009047</v>
      </c>
      <c r="K5662" s="3565">
        <v>9846.2800000000007</v>
      </c>
      <c r="L5662" s="3565">
        <v>12362.74</v>
      </c>
      <c r="M5662" s="3565">
        <v>0</v>
      </c>
      <c r="N5662" s="3565">
        <v>0</v>
      </c>
      <c r="O5662" s="3563" t="s">
        <v>3453</v>
      </c>
    </row>
    <row r="5663" spans="1:15">
      <c r="A5663" s="3563" t="s">
        <v>9892</v>
      </c>
      <c r="B5663" s="3563" t="s">
        <v>4196</v>
      </c>
      <c r="C5663" s="3563" t="s">
        <v>4197</v>
      </c>
      <c r="D5663" s="3563" t="s">
        <v>6429</v>
      </c>
      <c r="E5663" s="3563" t="s">
        <v>9824</v>
      </c>
      <c r="F5663" s="3563" t="s">
        <v>4797</v>
      </c>
      <c r="G5663" s="3564">
        <v>125.6</v>
      </c>
      <c r="H5663" s="3564">
        <v>100.03</v>
      </c>
      <c r="I5663" s="3564">
        <v>25.57</v>
      </c>
      <c r="J5663" s="3565">
        <v>1255399</v>
      </c>
      <c r="K5663" s="3565">
        <v>9995.2099999999991</v>
      </c>
      <c r="L5663" s="3565">
        <v>12550.22</v>
      </c>
      <c r="M5663" s="3565">
        <v>0</v>
      </c>
      <c r="N5663" s="3565">
        <v>0</v>
      </c>
      <c r="O5663" s="3563" t="s">
        <v>3453</v>
      </c>
    </row>
    <row r="5664" spans="1:15">
      <c r="A5664" s="3563" t="s">
        <v>9893</v>
      </c>
      <c r="B5664" s="3563" t="s">
        <v>4196</v>
      </c>
      <c r="C5664" s="3563" t="s">
        <v>4197</v>
      </c>
      <c r="D5664" s="3563" t="s">
        <v>6429</v>
      </c>
      <c r="E5664" s="3563" t="s">
        <v>9824</v>
      </c>
      <c r="F5664" s="3563" t="s">
        <v>4797</v>
      </c>
      <c r="G5664" s="3564">
        <v>100.93</v>
      </c>
      <c r="H5664" s="3564">
        <v>81.62</v>
      </c>
      <c r="I5664" s="3564">
        <v>19.309999999999999</v>
      </c>
      <c r="J5664" s="3565">
        <v>1085052</v>
      </c>
      <c r="K5664" s="3565">
        <v>10750.54</v>
      </c>
      <c r="L5664" s="3565">
        <v>13293.95</v>
      </c>
      <c r="M5664" s="3565">
        <v>0</v>
      </c>
      <c r="N5664" s="3565">
        <v>0</v>
      </c>
      <c r="O5664" s="3563" t="s">
        <v>3453</v>
      </c>
    </row>
    <row r="5665" spans="1:15">
      <c r="A5665" s="3563" t="s">
        <v>9894</v>
      </c>
      <c r="B5665" s="3563" t="s">
        <v>4196</v>
      </c>
      <c r="C5665" s="3563" t="s">
        <v>4197</v>
      </c>
      <c r="D5665" s="3563" t="s">
        <v>6429</v>
      </c>
      <c r="E5665" s="3563" t="s">
        <v>9824</v>
      </c>
      <c r="F5665" s="3563" t="s">
        <v>4797</v>
      </c>
      <c r="G5665" s="3564">
        <v>100.93</v>
      </c>
      <c r="H5665" s="3564">
        <v>81.62</v>
      </c>
      <c r="I5665" s="3564">
        <v>19.309999999999999</v>
      </c>
      <c r="J5665" s="3565">
        <v>1085052</v>
      </c>
      <c r="K5665" s="3565">
        <v>10750.54</v>
      </c>
      <c r="L5665" s="3565">
        <v>13293.95</v>
      </c>
      <c r="M5665" s="3565">
        <v>0</v>
      </c>
      <c r="N5665" s="3565">
        <v>0</v>
      </c>
      <c r="O5665" s="3563" t="s">
        <v>3453</v>
      </c>
    </row>
    <row r="5666" spans="1:15">
      <c r="A5666" s="3563" t="s">
        <v>9895</v>
      </c>
      <c r="B5666" s="3563" t="s">
        <v>4196</v>
      </c>
      <c r="C5666" s="3563" t="s">
        <v>4197</v>
      </c>
      <c r="D5666" s="3563" t="s">
        <v>6429</v>
      </c>
      <c r="E5666" s="3563" t="s">
        <v>9824</v>
      </c>
      <c r="F5666" s="3563" t="s">
        <v>4797</v>
      </c>
      <c r="G5666" s="3564">
        <v>109.36</v>
      </c>
      <c r="H5666" s="3564">
        <v>88.44</v>
      </c>
      <c r="I5666" s="3564">
        <v>20.92</v>
      </c>
      <c r="J5666" s="3565">
        <v>1134959</v>
      </c>
      <c r="K5666" s="3565">
        <v>10378.19</v>
      </c>
      <c r="L5666" s="3565">
        <v>12833.1</v>
      </c>
      <c r="M5666" s="3565">
        <v>0</v>
      </c>
      <c r="N5666" s="3565">
        <v>0</v>
      </c>
      <c r="O5666" s="3563" t="s">
        <v>3453</v>
      </c>
    </row>
    <row r="5667" spans="1:15">
      <c r="A5667" s="3563" t="s">
        <v>9896</v>
      </c>
      <c r="B5667" s="3563" t="s">
        <v>4196</v>
      </c>
      <c r="C5667" s="3563" t="s">
        <v>4197</v>
      </c>
      <c r="D5667" s="3563" t="s">
        <v>6429</v>
      </c>
      <c r="E5667" s="3563" t="s">
        <v>9824</v>
      </c>
      <c r="F5667" s="3563" t="s">
        <v>4797</v>
      </c>
      <c r="G5667" s="3564">
        <v>100.93</v>
      </c>
      <c r="H5667" s="3564">
        <v>81.62</v>
      </c>
      <c r="I5667" s="3564">
        <v>19.309999999999999</v>
      </c>
      <c r="J5667" s="3565">
        <v>1036735</v>
      </c>
      <c r="K5667" s="3565">
        <v>10271.82</v>
      </c>
      <c r="L5667" s="3565">
        <v>12701.97</v>
      </c>
      <c r="M5667" s="3565">
        <v>0</v>
      </c>
      <c r="N5667" s="3565">
        <v>0</v>
      </c>
      <c r="O5667" s="3563" t="s">
        <v>3453</v>
      </c>
    </row>
    <row r="5668" spans="1:15">
      <c r="A5668" s="3563" t="s">
        <v>9897</v>
      </c>
      <c r="B5668" s="3563" t="s">
        <v>4196</v>
      </c>
      <c r="C5668" s="3563" t="s">
        <v>4197</v>
      </c>
      <c r="D5668" s="3563" t="s">
        <v>6429</v>
      </c>
      <c r="E5668" s="3563" t="s">
        <v>9824</v>
      </c>
      <c r="F5668" s="3563" t="s">
        <v>4797</v>
      </c>
      <c r="G5668" s="3564">
        <v>100.93</v>
      </c>
      <c r="H5668" s="3564">
        <v>81.62</v>
      </c>
      <c r="I5668" s="3564">
        <v>19.309999999999999</v>
      </c>
      <c r="J5668" s="3565">
        <v>1036735</v>
      </c>
      <c r="K5668" s="3565">
        <v>10271.82</v>
      </c>
      <c r="L5668" s="3565">
        <v>12701.97</v>
      </c>
      <c r="M5668" s="3565">
        <v>0</v>
      </c>
      <c r="N5668" s="3565">
        <v>0</v>
      </c>
      <c r="O5668" s="3563" t="s">
        <v>3453</v>
      </c>
    </row>
    <row r="5669" spans="1:15">
      <c r="A5669" s="3563" t="s">
        <v>9898</v>
      </c>
      <c r="B5669" s="3563" t="s">
        <v>4196</v>
      </c>
      <c r="C5669" s="3563" t="s">
        <v>4197</v>
      </c>
      <c r="D5669" s="3563" t="s">
        <v>6429</v>
      </c>
      <c r="E5669" s="3563" t="s">
        <v>9824</v>
      </c>
      <c r="F5669" s="3563" t="s">
        <v>4797</v>
      </c>
      <c r="G5669" s="3564">
        <v>123.69</v>
      </c>
      <c r="H5669" s="3564">
        <v>100.03</v>
      </c>
      <c r="I5669" s="3564">
        <v>23.66</v>
      </c>
      <c r="J5669" s="3565">
        <v>1290258</v>
      </c>
      <c r="K5669" s="3565">
        <v>10431.379999999999</v>
      </c>
      <c r="L5669" s="3565">
        <v>12898.71</v>
      </c>
      <c r="M5669" s="3565">
        <v>0</v>
      </c>
      <c r="N5669" s="3565">
        <v>0</v>
      </c>
      <c r="O5669" s="3563" t="s">
        <v>3453</v>
      </c>
    </row>
    <row r="5670" spans="1:15">
      <c r="A5670" s="3563" t="s">
        <v>9899</v>
      </c>
      <c r="B5670" s="3563" t="s">
        <v>4196</v>
      </c>
      <c r="C5670" s="3563" t="s">
        <v>4197</v>
      </c>
      <c r="D5670" s="3563" t="s">
        <v>6429</v>
      </c>
      <c r="E5670" s="3563" t="s">
        <v>9824</v>
      </c>
      <c r="F5670" s="3563" t="s">
        <v>4797</v>
      </c>
      <c r="G5670" s="3564">
        <v>100.93</v>
      </c>
      <c r="H5670" s="3564">
        <v>81.62</v>
      </c>
      <c r="I5670" s="3564">
        <v>19.309999999999999</v>
      </c>
      <c r="J5670" s="3565">
        <v>1083978</v>
      </c>
      <c r="K5670" s="3565">
        <v>10739.9</v>
      </c>
      <c r="L5670" s="3565">
        <v>13280.79</v>
      </c>
      <c r="M5670" s="3565">
        <v>0</v>
      </c>
      <c r="N5670" s="3565">
        <v>0</v>
      </c>
      <c r="O5670" s="3563" t="s">
        <v>3453</v>
      </c>
    </row>
    <row r="5671" spans="1:15">
      <c r="A5671" s="3563" t="s">
        <v>9900</v>
      </c>
      <c r="B5671" s="3563" t="s">
        <v>4196</v>
      </c>
      <c r="C5671" s="3563" t="s">
        <v>4197</v>
      </c>
      <c r="D5671" s="3563" t="s">
        <v>6429</v>
      </c>
      <c r="E5671" s="3563" t="s">
        <v>9824</v>
      </c>
      <c r="F5671" s="3563" t="s">
        <v>4797</v>
      </c>
      <c r="G5671" s="3564">
        <v>100.93</v>
      </c>
      <c r="H5671" s="3564">
        <v>81.62</v>
      </c>
      <c r="I5671" s="3564">
        <v>19.309999999999999</v>
      </c>
      <c r="J5671" s="3565">
        <v>1083978</v>
      </c>
      <c r="K5671" s="3565">
        <v>10739.9</v>
      </c>
      <c r="L5671" s="3565">
        <v>13280.79</v>
      </c>
      <c r="M5671" s="3565">
        <v>0</v>
      </c>
      <c r="N5671" s="3565">
        <v>0</v>
      </c>
      <c r="O5671" s="3563" t="s">
        <v>3453</v>
      </c>
    </row>
    <row r="5672" spans="1:15">
      <c r="A5672" s="3563" t="s">
        <v>9901</v>
      </c>
      <c r="B5672" s="3563" t="s">
        <v>4196</v>
      </c>
      <c r="C5672" s="3563" t="s">
        <v>4197</v>
      </c>
      <c r="D5672" s="3563" t="s">
        <v>6429</v>
      </c>
      <c r="E5672" s="3563" t="s">
        <v>9824</v>
      </c>
      <c r="F5672" s="3563" t="s">
        <v>4797</v>
      </c>
      <c r="G5672" s="3564">
        <v>109.36</v>
      </c>
      <c r="H5672" s="3564">
        <v>88.44</v>
      </c>
      <c r="I5672" s="3564">
        <v>20.92</v>
      </c>
      <c r="J5672" s="3565">
        <v>1133796</v>
      </c>
      <c r="K5672" s="3565">
        <v>10367.56</v>
      </c>
      <c r="L5672" s="3565">
        <v>12819.95</v>
      </c>
      <c r="M5672" s="3565">
        <v>0</v>
      </c>
      <c r="N5672" s="3565">
        <v>0</v>
      </c>
      <c r="O5672" s="3563" t="s">
        <v>3453</v>
      </c>
    </row>
    <row r="5673" spans="1:15">
      <c r="A5673" s="3563" t="s">
        <v>9902</v>
      </c>
      <c r="B5673" s="3563" t="s">
        <v>4196</v>
      </c>
      <c r="C5673" s="3563" t="s">
        <v>4197</v>
      </c>
      <c r="D5673" s="3563" t="s">
        <v>6429</v>
      </c>
      <c r="E5673" s="3563" t="s">
        <v>9824</v>
      </c>
      <c r="F5673" s="3563" t="s">
        <v>4797</v>
      </c>
      <c r="G5673" s="3564">
        <v>100.93</v>
      </c>
      <c r="H5673" s="3564">
        <v>81.62</v>
      </c>
      <c r="I5673" s="3564">
        <v>19.309999999999999</v>
      </c>
      <c r="J5673" s="3565">
        <v>1057135</v>
      </c>
      <c r="K5673" s="3565">
        <v>10473.94</v>
      </c>
      <c r="L5673" s="3565">
        <v>12951.91</v>
      </c>
      <c r="M5673" s="3565">
        <v>0</v>
      </c>
      <c r="N5673" s="3565">
        <v>0</v>
      </c>
      <c r="O5673" s="3563" t="s">
        <v>3453</v>
      </c>
    </row>
    <row r="5674" spans="1:15">
      <c r="A5674" s="3563" t="s">
        <v>9903</v>
      </c>
      <c r="B5674" s="3563" t="s">
        <v>4196</v>
      </c>
      <c r="C5674" s="3563" t="s">
        <v>4197</v>
      </c>
      <c r="D5674" s="3563" t="s">
        <v>6429</v>
      </c>
      <c r="E5674" s="3563" t="s">
        <v>9824</v>
      </c>
      <c r="F5674" s="3563" t="s">
        <v>4797</v>
      </c>
      <c r="G5674" s="3564">
        <v>100.93</v>
      </c>
      <c r="H5674" s="3564">
        <v>81.62</v>
      </c>
      <c r="I5674" s="3564">
        <v>19.309999999999999</v>
      </c>
      <c r="J5674" s="3565">
        <v>1035660</v>
      </c>
      <c r="K5674" s="3565">
        <v>10261.17</v>
      </c>
      <c r="L5674" s="3565">
        <v>12688.8</v>
      </c>
      <c r="M5674" s="3565">
        <v>0</v>
      </c>
      <c r="N5674" s="3565">
        <v>0</v>
      </c>
      <c r="O5674" s="3563" t="s">
        <v>3453</v>
      </c>
    </row>
    <row r="5675" spans="1:15">
      <c r="A5675" s="3563" t="s">
        <v>9904</v>
      </c>
      <c r="B5675" s="3563" t="s">
        <v>4196</v>
      </c>
      <c r="C5675" s="3563" t="s">
        <v>4197</v>
      </c>
      <c r="D5675" s="3563" t="s">
        <v>6429</v>
      </c>
      <c r="E5675" s="3563" t="s">
        <v>9824</v>
      </c>
      <c r="F5675" s="3563" t="s">
        <v>4797</v>
      </c>
      <c r="G5675" s="3564">
        <v>123.69</v>
      </c>
      <c r="H5675" s="3564">
        <v>100.03</v>
      </c>
      <c r="I5675" s="3564">
        <v>23.66</v>
      </c>
      <c r="J5675" s="3565">
        <v>1288942</v>
      </c>
      <c r="K5675" s="3565">
        <v>10420.75</v>
      </c>
      <c r="L5675" s="3565">
        <v>12885.55</v>
      </c>
      <c r="M5675" s="3565">
        <v>0</v>
      </c>
      <c r="N5675" s="3565">
        <v>0</v>
      </c>
      <c r="O5675" s="3563" t="s">
        <v>3453</v>
      </c>
    </row>
    <row r="5676" spans="1:15">
      <c r="A5676" s="3563" t="s">
        <v>9905</v>
      </c>
      <c r="B5676" s="3563" t="s">
        <v>4196</v>
      </c>
      <c r="C5676" s="3563" t="s">
        <v>4197</v>
      </c>
      <c r="D5676" s="3563" t="s">
        <v>6429</v>
      </c>
      <c r="E5676" s="3563" t="s">
        <v>9824</v>
      </c>
      <c r="F5676" s="3563" t="s">
        <v>4797</v>
      </c>
      <c r="G5676" s="3564">
        <v>100.93</v>
      </c>
      <c r="H5676" s="3564">
        <v>81.62</v>
      </c>
      <c r="I5676" s="3564">
        <v>19.309999999999999</v>
      </c>
      <c r="J5676" s="3565">
        <v>1082905</v>
      </c>
      <c r="K5676" s="3565">
        <v>10729.27</v>
      </c>
      <c r="L5676" s="3565">
        <v>13267.64</v>
      </c>
      <c r="M5676" s="3565">
        <v>0</v>
      </c>
      <c r="N5676" s="3565">
        <v>0</v>
      </c>
      <c r="O5676" s="3563" t="s">
        <v>3453</v>
      </c>
    </row>
    <row r="5677" spans="1:15">
      <c r="A5677" s="3563" t="s">
        <v>9906</v>
      </c>
      <c r="B5677" s="3563" t="s">
        <v>4196</v>
      </c>
      <c r="C5677" s="3563" t="s">
        <v>4197</v>
      </c>
      <c r="D5677" s="3563" t="s">
        <v>6429</v>
      </c>
      <c r="E5677" s="3563" t="s">
        <v>9824</v>
      </c>
      <c r="F5677" s="3563" t="s">
        <v>4797</v>
      </c>
      <c r="G5677" s="3564">
        <v>100.93</v>
      </c>
      <c r="H5677" s="3564">
        <v>81.62</v>
      </c>
      <c r="I5677" s="3564">
        <v>19.309999999999999</v>
      </c>
      <c r="J5677" s="3565">
        <v>1082905</v>
      </c>
      <c r="K5677" s="3565">
        <v>10729.27</v>
      </c>
      <c r="L5677" s="3565">
        <v>13267.64</v>
      </c>
      <c r="M5677" s="3565">
        <v>0</v>
      </c>
      <c r="N5677" s="3565">
        <v>0</v>
      </c>
      <c r="O5677" s="3563" t="s">
        <v>3453</v>
      </c>
    </row>
    <row r="5678" spans="1:15">
      <c r="A5678" s="3563" t="s">
        <v>9907</v>
      </c>
      <c r="B5678" s="3563" t="s">
        <v>4196</v>
      </c>
      <c r="C5678" s="3563" t="s">
        <v>4197</v>
      </c>
      <c r="D5678" s="3563" t="s">
        <v>6429</v>
      </c>
      <c r="E5678" s="3563" t="s">
        <v>9824</v>
      </c>
      <c r="F5678" s="3563" t="s">
        <v>4797</v>
      </c>
      <c r="G5678" s="3564">
        <v>109.36</v>
      </c>
      <c r="H5678" s="3564">
        <v>88.44</v>
      </c>
      <c r="I5678" s="3564">
        <v>20.92</v>
      </c>
      <c r="J5678" s="3565">
        <v>1132632</v>
      </c>
      <c r="K5678" s="3565">
        <v>10356.91</v>
      </c>
      <c r="L5678" s="3565">
        <v>12806.78</v>
      </c>
      <c r="M5678" s="3565">
        <v>0</v>
      </c>
      <c r="N5678" s="3565">
        <v>0</v>
      </c>
      <c r="O5678" s="3563" t="s">
        <v>3453</v>
      </c>
    </row>
    <row r="5679" spans="1:15">
      <c r="A5679" s="3563" t="s">
        <v>9908</v>
      </c>
      <c r="B5679" s="3563" t="s">
        <v>4196</v>
      </c>
      <c r="C5679" s="3563" t="s">
        <v>4197</v>
      </c>
      <c r="D5679" s="3563" t="s">
        <v>6429</v>
      </c>
      <c r="E5679" s="3563" t="s">
        <v>9824</v>
      </c>
      <c r="F5679" s="3563" t="s">
        <v>4797</v>
      </c>
      <c r="G5679" s="3564">
        <v>100.93</v>
      </c>
      <c r="H5679" s="3564">
        <v>81.62</v>
      </c>
      <c r="I5679" s="3564">
        <v>19.309999999999999</v>
      </c>
      <c r="J5679" s="3565">
        <v>1056061</v>
      </c>
      <c r="K5679" s="3565">
        <v>10463.299999999999</v>
      </c>
      <c r="L5679" s="3565">
        <v>12938.75</v>
      </c>
      <c r="M5679" s="3565">
        <v>0</v>
      </c>
      <c r="N5679" s="3565">
        <v>0</v>
      </c>
      <c r="O5679" s="3563" t="s">
        <v>3453</v>
      </c>
    </row>
    <row r="5680" spans="1:15">
      <c r="A5680" s="3563" t="s">
        <v>9909</v>
      </c>
      <c r="B5680" s="3563" t="s">
        <v>4196</v>
      </c>
      <c r="C5680" s="3563" t="s">
        <v>4197</v>
      </c>
      <c r="D5680" s="3563" t="s">
        <v>6429</v>
      </c>
      <c r="E5680" s="3563" t="s">
        <v>9824</v>
      </c>
      <c r="F5680" s="3563" t="s">
        <v>4797</v>
      </c>
      <c r="G5680" s="3564">
        <v>100.93</v>
      </c>
      <c r="H5680" s="3564">
        <v>81.62</v>
      </c>
      <c r="I5680" s="3564">
        <v>19.309999999999999</v>
      </c>
      <c r="J5680" s="3565">
        <v>1034587</v>
      </c>
      <c r="K5680" s="3565">
        <v>10250.540000000001</v>
      </c>
      <c r="L5680" s="3565">
        <v>12675.66</v>
      </c>
      <c r="M5680" s="3565">
        <v>0</v>
      </c>
      <c r="N5680" s="3565">
        <v>0</v>
      </c>
      <c r="O5680" s="3563" t="s">
        <v>3453</v>
      </c>
    </row>
    <row r="5681" spans="1:15">
      <c r="A5681" s="3563" t="s">
        <v>9910</v>
      </c>
      <c r="B5681" s="3563" t="s">
        <v>4196</v>
      </c>
      <c r="C5681" s="3563" t="s">
        <v>4197</v>
      </c>
      <c r="D5681" s="3563" t="s">
        <v>6429</v>
      </c>
      <c r="E5681" s="3563" t="s">
        <v>9824</v>
      </c>
      <c r="F5681" s="3563" t="s">
        <v>4797</v>
      </c>
      <c r="G5681" s="3564">
        <v>123.69</v>
      </c>
      <c r="H5681" s="3564">
        <v>100.03</v>
      </c>
      <c r="I5681" s="3564">
        <v>23.66</v>
      </c>
      <c r="J5681" s="3565">
        <v>1287626</v>
      </c>
      <c r="K5681" s="3565">
        <v>10410.11</v>
      </c>
      <c r="L5681" s="3565">
        <v>12872.4</v>
      </c>
      <c r="M5681" s="3565">
        <v>0</v>
      </c>
      <c r="N5681" s="3565">
        <v>0</v>
      </c>
      <c r="O5681" s="3563" t="s">
        <v>3453</v>
      </c>
    </row>
    <row r="5682" spans="1:15">
      <c r="A5682" s="3563" t="s">
        <v>9911</v>
      </c>
      <c r="B5682" s="3563" t="s">
        <v>4196</v>
      </c>
      <c r="C5682" s="3563" t="s">
        <v>4197</v>
      </c>
      <c r="D5682" s="3563" t="s">
        <v>6429</v>
      </c>
      <c r="E5682" s="3563" t="s">
        <v>9824</v>
      </c>
      <c r="F5682" s="3563" t="s">
        <v>4797</v>
      </c>
      <c r="G5682" s="3564">
        <v>100.93</v>
      </c>
      <c r="H5682" s="3564">
        <v>81.62</v>
      </c>
      <c r="I5682" s="3564">
        <v>19.309999999999999</v>
      </c>
      <c r="J5682" s="3565">
        <v>1081830</v>
      </c>
      <c r="K5682" s="3565">
        <v>10718.62</v>
      </c>
      <c r="L5682" s="3565">
        <v>13254.47</v>
      </c>
      <c r="M5682" s="3565">
        <v>0</v>
      </c>
      <c r="N5682" s="3565">
        <v>0</v>
      </c>
      <c r="O5682" s="3563" t="s">
        <v>3453</v>
      </c>
    </row>
    <row r="5683" spans="1:15">
      <c r="A5683" s="3563" t="s">
        <v>9912</v>
      </c>
      <c r="B5683" s="3563" t="s">
        <v>4196</v>
      </c>
      <c r="C5683" s="3563" t="s">
        <v>4197</v>
      </c>
      <c r="D5683" s="3563" t="s">
        <v>6429</v>
      </c>
      <c r="E5683" s="3563" t="s">
        <v>9824</v>
      </c>
      <c r="F5683" s="3563" t="s">
        <v>4797</v>
      </c>
      <c r="G5683" s="3564">
        <v>100.93</v>
      </c>
      <c r="H5683" s="3564">
        <v>81.62</v>
      </c>
      <c r="I5683" s="3564">
        <v>19.309999999999999</v>
      </c>
      <c r="J5683" s="3565">
        <v>1081830</v>
      </c>
      <c r="K5683" s="3565">
        <v>10718.62</v>
      </c>
      <c r="L5683" s="3565">
        <v>13254.47</v>
      </c>
      <c r="M5683" s="3565">
        <v>0</v>
      </c>
      <c r="N5683" s="3565">
        <v>0</v>
      </c>
      <c r="O5683" s="3563" t="s">
        <v>3453</v>
      </c>
    </row>
    <row r="5684" spans="1:15">
      <c r="A5684" s="3563" t="s">
        <v>9913</v>
      </c>
      <c r="B5684" s="3563" t="s">
        <v>4196</v>
      </c>
      <c r="C5684" s="3563" t="s">
        <v>4197</v>
      </c>
      <c r="D5684" s="3563" t="s">
        <v>6429</v>
      </c>
      <c r="E5684" s="3563" t="s">
        <v>9824</v>
      </c>
      <c r="F5684" s="3563" t="s">
        <v>4797</v>
      </c>
      <c r="G5684" s="3564">
        <v>109.36</v>
      </c>
      <c r="H5684" s="3564">
        <v>88.44</v>
      </c>
      <c r="I5684" s="3564">
        <v>20.92</v>
      </c>
      <c r="J5684" s="3565">
        <v>1131470</v>
      </c>
      <c r="K5684" s="3565">
        <v>10346.290000000001</v>
      </c>
      <c r="L5684" s="3565">
        <v>12793.65</v>
      </c>
      <c r="M5684" s="3565">
        <v>0</v>
      </c>
      <c r="N5684" s="3565">
        <v>0</v>
      </c>
      <c r="O5684" s="3563" t="s">
        <v>3453</v>
      </c>
    </row>
    <row r="5685" spans="1:15">
      <c r="A5685" s="3563" t="s">
        <v>9914</v>
      </c>
      <c r="B5685" s="3563" t="s">
        <v>4196</v>
      </c>
      <c r="C5685" s="3563" t="s">
        <v>4197</v>
      </c>
      <c r="D5685" s="3563" t="s">
        <v>6429</v>
      </c>
      <c r="E5685" s="3563" t="s">
        <v>9824</v>
      </c>
      <c r="F5685" s="3563" t="s">
        <v>4797</v>
      </c>
      <c r="G5685" s="3564">
        <v>100.93</v>
      </c>
      <c r="H5685" s="3564">
        <v>81.62</v>
      </c>
      <c r="I5685" s="3564">
        <v>19.309999999999999</v>
      </c>
      <c r="J5685" s="3565">
        <v>1054988</v>
      </c>
      <c r="K5685" s="3565">
        <v>10452.67</v>
      </c>
      <c r="L5685" s="3565">
        <v>12925.61</v>
      </c>
      <c r="M5685" s="3565">
        <v>0</v>
      </c>
      <c r="N5685" s="3565">
        <v>0</v>
      </c>
      <c r="O5685" s="3563" t="s">
        <v>3453</v>
      </c>
    </row>
    <row r="5686" spans="1:15">
      <c r="A5686" s="3563" t="s">
        <v>9915</v>
      </c>
      <c r="B5686" s="3563" t="s">
        <v>4196</v>
      </c>
      <c r="C5686" s="3563" t="s">
        <v>4197</v>
      </c>
      <c r="D5686" s="3563" t="s">
        <v>6429</v>
      </c>
      <c r="E5686" s="3563" t="s">
        <v>9824</v>
      </c>
      <c r="F5686" s="3563" t="s">
        <v>4797</v>
      </c>
      <c r="G5686" s="3564">
        <v>100.93</v>
      </c>
      <c r="H5686" s="3564">
        <v>81.62</v>
      </c>
      <c r="I5686" s="3564">
        <v>19.309999999999999</v>
      </c>
      <c r="J5686" s="3565">
        <v>1033513</v>
      </c>
      <c r="K5686" s="3565">
        <v>10239.9</v>
      </c>
      <c r="L5686" s="3565">
        <v>12662.5</v>
      </c>
      <c r="M5686" s="3565">
        <v>0</v>
      </c>
      <c r="N5686" s="3565">
        <v>0</v>
      </c>
      <c r="O5686" s="3563" t="s">
        <v>3453</v>
      </c>
    </row>
    <row r="5687" spans="1:15">
      <c r="A5687" s="3563" t="s">
        <v>9916</v>
      </c>
      <c r="B5687" s="3563" t="s">
        <v>4196</v>
      </c>
      <c r="C5687" s="3563" t="s">
        <v>4197</v>
      </c>
      <c r="D5687" s="3563" t="s">
        <v>6429</v>
      </c>
      <c r="E5687" s="3563" t="s">
        <v>9824</v>
      </c>
      <c r="F5687" s="3563" t="s">
        <v>4797</v>
      </c>
      <c r="G5687" s="3564">
        <v>123.69</v>
      </c>
      <c r="H5687" s="3564">
        <v>100.03</v>
      </c>
      <c r="I5687" s="3564">
        <v>23.66</v>
      </c>
      <c r="J5687" s="3565">
        <v>1286311</v>
      </c>
      <c r="K5687" s="3565">
        <v>10399.469999999999</v>
      </c>
      <c r="L5687" s="3565">
        <v>12859.25</v>
      </c>
      <c r="M5687" s="3565">
        <v>0</v>
      </c>
      <c r="N5687" s="3565">
        <v>0</v>
      </c>
      <c r="O5687" s="3563" t="s">
        <v>3453</v>
      </c>
    </row>
    <row r="5688" spans="1:15">
      <c r="A5688" s="3563" t="s">
        <v>9917</v>
      </c>
      <c r="B5688" s="3563" t="s">
        <v>4196</v>
      </c>
      <c r="C5688" s="3563" t="s">
        <v>4197</v>
      </c>
      <c r="D5688" s="3563" t="s">
        <v>6429</v>
      </c>
      <c r="E5688" s="3563" t="s">
        <v>9824</v>
      </c>
      <c r="F5688" s="3563" t="s">
        <v>4797</v>
      </c>
      <c r="G5688" s="3564">
        <v>100.93</v>
      </c>
      <c r="H5688" s="3564">
        <v>81.62</v>
      </c>
      <c r="I5688" s="3564">
        <v>19.309999999999999</v>
      </c>
      <c r="J5688" s="3565">
        <v>1080757</v>
      </c>
      <c r="K5688" s="3565">
        <v>10707.99</v>
      </c>
      <c r="L5688" s="3565">
        <v>13241.33</v>
      </c>
      <c r="M5688" s="3565">
        <v>0</v>
      </c>
      <c r="N5688" s="3565">
        <v>0</v>
      </c>
      <c r="O5688" s="3563" t="s">
        <v>3453</v>
      </c>
    </row>
    <row r="5689" spans="1:15">
      <c r="A5689" s="3563" t="s">
        <v>9918</v>
      </c>
      <c r="B5689" s="3563" t="s">
        <v>4196</v>
      </c>
      <c r="C5689" s="3563" t="s">
        <v>4197</v>
      </c>
      <c r="D5689" s="3563" t="s">
        <v>6429</v>
      </c>
      <c r="E5689" s="3563" t="s">
        <v>9824</v>
      </c>
      <c r="F5689" s="3563" t="s">
        <v>4797</v>
      </c>
      <c r="G5689" s="3564">
        <v>100.93</v>
      </c>
      <c r="H5689" s="3564">
        <v>81.62</v>
      </c>
      <c r="I5689" s="3564">
        <v>19.309999999999999</v>
      </c>
      <c r="J5689" s="3565">
        <v>1080757</v>
      </c>
      <c r="K5689" s="3565">
        <v>10707.99</v>
      </c>
      <c r="L5689" s="3565">
        <v>13241.33</v>
      </c>
      <c r="M5689" s="3565">
        <v>0</v>
      </c>
      <c r="N5689" s="3565">
        <v>0</v>
      </c>
      <c r="O5689" s="3563" t="s">
        <v>3453</v>
      </c>
    </row>
    <row r="5690" spans="1:15">
      <c r="A5690" s="3563" t="s">
        <v>9919</v>
      </c>
      <c r="B5690" s="3563" t="s">
        <v>4196</v>
      </c>
      <c r="C5690" s="3563" t="s">
        <v>4197</v>
      </c>
      <c r="D5690" s="3563" t="s">
        <v>6429</v>
      </c>
      <c r="E5690" s="3563" t="s">
        <v>9824</v>
      </c>
      <c r="F5690" s="3563" t="s">
        <v>4797</v>
      </c>
      <c r="G5690" s="3564">
        <v>109.36</v>
      </c>
      <c r="H5690" s="3564">
        <v>88.44</v>
      </c>
      <c r="I5690" s="3564">
        <v>20.92</v>
      </c>
      <c r="J5690" s="3565">
        <v>1130306</v>
      </c>
      <c r="K5690" s="3565">
        <v>10335.64</v>
      </c>
      <c r="L5690" s="3565">
        <v>12780.48</v>
      </c>
      <c r="M5690" s="3565">
        <v>0</v>
      </c>
      <c r="N5690" s="3565">
        <v>0</v>
      </c>
      <c r="O5690" s="3563" t="s">
        <v>3453</v>
      </c>
    </row>
    <row r="5691" spans="1:15">
      <c r="A5691" s="3563" t="s">
        <v>9920</v>
      </c>
      <c r="B5691" s="3563" t="s">
        <v>4196</v>
      </c>
      <c r="C5691" s="3563" t="s">
        <v>4197</v>
      </c>
      <c r="D5691" s="3563" t="s">
        <v>6429</v>
      </c>
      <c r="E5691" s="3563" t="s">
        <v>9824</v>
      </c>
      <c r="F5691" s="3563" t="s">
        <v>4797</v>
      </c>
      <c r="G5691" s="3564">
        <v>100.93</v>
      </c>
      <c r="H5691" s="3564">
        <v>81.62</v>
      </c>
      <c r="I5691" s="3564">
        <v>19.309999999999999</v>
      </c>
      <c r="J5691" s="3565">
        <v>1053913</v>
      </c>
      <c r="K5691" s="3565">
        <v>10442.02</v>
      </c>
      <c r="L5691" s="3565">
        <v>12912.44</v>
      </c>
      <c r="M5691" s="3565">
        <v>0</v>
      </c>
      <c r="N5691" s="3565">
        <v>0</v>
      </c>
      <c r="O5691" s="3563" t="s">
        <v>3453</v>
      </c>
    </row>
    <row r="5692" spans="1:15">
      <c r="A5692" s="3563" t="s">
        <v>9921</v>
      </c>
      <c r="B5692" s="3563" t="s">
        <v>4196</v>
      </c>
      <c r="C5692" s="3563" t="s">
        <v>4197</v>
      </c>
      <c r="D5692" s="3563" t="s">
        <v>6429</v>
      </c>
      <c r="E5692" s="3563" t="s">
        <v>9824</v>
      </c>
      <c r="F5692" s="3563" t="s">
        <v>4797</v>
      </c>
      <c r="G5692" s="3564">
        <v>100.93</v>
      </c>
      <c r="H5692" s="3564">
        <v>81.62</v>
      </c>
      <c r="I5692" s="3564">
        <v>19.309999999999999</v>
      </c>
      <c r="J5692" s="3565">
        <v>1032439</v>
      </c>
      <c r="K5692" s="3565">
        <v>10229.26</v>
      </c>
      <c r="L5692" s="3565">
        <v>12649.34</v>
      </c>
      <c r="M5692" s="3565">
        <v>0</v>
      </c>
      <c r="N5692" s="3565">
        <v>0</v>
      </c>
      <c r="O5692" s="3563" t="s">
        <v>3453</v>
      </c>
    </row>
    <row r="5693" spans="1:15">
      <c r="A5693" s="3563" t="s">
        <v>9922</v>
      </c>
      <c r="B5693" s="3563" t="s">
        <v>4196</v>
      </c>
      <c r="C5693" s="3563" t="s">
        <v>4197</v>
      </c>
      <c r="D5693" s="3563" t="s">
        <v>6429</v>
      </c>
      <c r="E5693" s="3563" t="s">
        <v>9824</v>
      </c>
      <c r="F5693" s="3563" t="s">
        <v>4797</v>
      </c>
      <c r="G5693" s="3564">
        <v>123.69</v>
      </c>
      <c r="H5693" s="3564">
        <v>100.03</v>
      </c>
      <c r="I5693" s="3564">
        <v>23.66</v>
      </c>
      <c r="J5693" s="3565">
        <v>1284995</v>
      </c>
      <c r="K5693" s="3565">
        <v>10388.83</v>
      </c>
      <c r="L5693" s="3565">
        <v>12846.1</v>
      </c>
      <c r="M5693" s="3565">
        <v>0</v>
      </c>
      <c r="N5693" s="3565">
        <v>0</v>
      </c>
      <c r="O5693" s="3563" t="s">
        <v>3453</v>
      </c>
    </row>
    <row r="5694" spans="1:15">
      <c r="A5694" s="3563" t="s">
        <v>9923</v>
      </c>
      <c r="B5694" s="3563" t="s">
        <v>4196</v>
      </c>
      <c r="C5694" s="3563" t="s">
        <v>4197</v>
      </c>
      <c r="D5694" s="3563" t="s">
        <v>6429</v>
      </c>
      <c r="E5694" s="3563" t="s">
        <v>9824</v>
      </c>
      <c r="F5694" s="3563" t="s">
        <v>4797</v>
      </c>
      <c r="G5694" s="3564">
        <v>100.93</v>
      </c>
      <c r="H5694" s="3564">
        <v>81.62</v>
      </c>
      <c r="I5694" s="3564">
        <v>19.309999999999999</v>
      </c>
      <c r="J5694" s="3565">
        <v>1079683</v>
      </c>
      <c r="K5694" s="3565">
        <v>10697.34</v>
      </c>
      <c r="L5694" s="3565">
        <v>13228.17</v>
      </c>
      <c r="M5694" s="3565">
        <v>0</v>
      </c>
      <c r="N5694" s="3565">
        <v>0</v>
      </c>
      <c r="O5694" s="3563" t="s">
        <v>3453</v>
      </c>
    </row>
    <row r="5695" spans="1:15">
      <c r="A5695" s="3563" t="s">
        <v>9924</v>
      </c>
      <c r="B5695" s="3563" t="s">
        <v>4196</v>
      </c>
      <c r="C5695" s="3563" t="s">
        <v>4197</v>
      </c>
      <c r="D5695" s="3563" t="s">
        <v>6429</v>
      </c>
      <c r="E5695" s="3563" t="s">
        <v>9824</v>
      </c>
      <c r="F5695" s="3563" t="s">
        <v>4797</v>
      </c>
      <c r="G5695" s="3564">
        <v>100.93</v>
      </c>
      <c r="H5695" s="3564">
        <v>81.62</v>
      </c>
      <c r="I5695" s="3564">
        <v>19.309999999999999</v>
      </c>
      <c r="J5695" s="3565">
        <v>1079683</v>
      </c>
      <c r="K5695" s="3565">
        <v>10697.34</v>
      </c>
      <c r="L5695" s="3565">
        <v>13228.17</v>
      </c>
      <c r="M5695" s="3565">
        <v>0</v>
      </c>
      <c r="N5695" s="3565">
        <v>0</v>
      </c>
      <c r="O5695" s="3563" t="s">
        <v>3453</v>
      </c>
    </row>
    <row r="5696" spans="1:15">
      <c r="A5696" s="3563" t="s">
        <v>9925</v>
      </c>
      <c r="B5696" s="3563" t="s">
        <v>4196</v>
      </c>
      <c r="C5696" s="3563" t="s">
        <v>4197</v>
      </c>
      <c r="D5696" s="3563" t="s">
        <v>6429</v>
      </c>
      <c r="E5696" s="3563" t="s">
        <v>9824</v>
      </c>
      <c r="F5696" s="3563" t="s">
        <v>4797</v>
      </c>
      <c r="G5696" s="3564">
        <v>109.36</v>
      </c>
      <c r="H5696" s="3564">
        <v>88.44</v>
      </c>
      <c r="I5696" s="3564">
        <v>20.92</v>
      </c>
      <c r="J5696" s="3565">
        <v>1129142</v>
      </c>
      <c r="K5696" s="3565">
        <v>10325</v>
      </c>
      <c r="L5696" s="3565">
        <v>12767.32</v>
      </c>
      <c r="M5696" s="3565">
        <v>0</v>
      </c>
      <c r="N5696" s="3565">
        <v>0</v>
      </c>
      <c r="O5696" s="3563" t="s">
        <v>3453</v>
      </c>
    </row>
    <row r="5697" spans="1:15">
      <c r="A5697" s="3563" t="s">
        <v>9926</v>
      </c>
      <c r="B5697" s="3563" t="s">
        <v>4196</v>
      </c>
      <c r="C5697" s="3563" t="s">
        <v>4197</v>
      </c>
      <c r="D5697" s="3563" t="s">
        <v>6429</v>
      </c>
      <c r="E5697" s="3563" t="s">
        <v>9824</v>
      </c>
      <c r="F5697" s="3563" t="s">
        <v>4797</v>
      </c>
      <c r="G5697" s="3564">
        <v>100.93</v>
      </c>
      <c r="H5697" s="3564">
        <v>81.62</v>
      </c>
      <c r="I5697" s="3564">
        <v>19.309999999999999</v>
      </c>
      <c r="J5697" s="3565">
        <v>1052840</v>
      </c>
      <c r="K5697" s="3565">
        <v>10431.39</v>
      </c>
      <c r="L5697" s="3565">
        <v>12899.29</v>
      </c>
      <c r="M5697" s="3565">
        <v>0</v>
      </c>
      <c r="N5697" s="3565">
        <v>0</v>
      </c>
      <c r="O5697" s="3563" t="s">
        <v>3453</v>
      </c>
    </row>
    <row r="5698" spans="1:15">
      <c r="A5698" s="3563" t="s">
        <v>9927</v>
      </c>
      <c r="B5698" s="3563" t="s">
        <v>4196</v>
      </c>
      <c r="C5698" s="3563" t="s">
        <v>4197</v>
      </c>
      <c r="D5698" s="3563" t="s">
        <v>6429</v>
      </c>
      <c r="E5698" s="3563" t="s">
        <v>9824</v>
      </c>
      <c r="F5698" s="3563" t="s">
        <v>4797</v>
      </c>
      <c r="G5698" s="3564">
        <v>100.93</v>
      </c>
      <c r="H5698" s="3564">
        <v>81.62</v>
      </c>
      <c r="I5698" s="3564">
        <v>19.309999999999999</v>
      </c>
      <c r="J5698" s="3565">
        <v>1031365</v>
      </c>
      <c r="K5698" s="3565">
        <v>10218.620000000001</v>
      </c>
      <c r="L5698" s="3565">
        <v>12636.18</v>
      </c>
      <c r="M5698" s="3565">
        <v>0</v>
      </c>
      <c r="N5698" s="3565">
        <v>0</v>
      </c>
      <c r="O5698" s="3563" t="s">
        <v>3453</v>
      </c>
    </row>
    <row r="5699" spans="1:15">
      <c r="A5699" s="3563" t="s">
        <v>9928</v>
      </c>
      <c r="B5699" s="3563" t="s">
        <v>4196</v>
      </c>
      <c r="C5699" s="3563" t="s">
        <v>4197</v>
      </c>
      <c r="D5699" s="3563" t="s">
        <v>6429</v>
      </c>
      <c r="E5699" s="3563" t="s">
        <v>9824</v>
      </c>
      <c r="F5699" s="3563" t="s">
        <v>4797</v>
      </c>
      <c r="G5699" s="3564">
        <v>123.69</v>
      </c>
      <c r="H5699" s="3564">
        <v>100.03</v>
      </c>
      <c r="I5699" s="3564">
        <v>23.66</v>
      </c>
      <c r="J5699" s="3565">
        <v>1283679</v>
      </c>
      <c r="K5699" s="3565">
        <v>10378.200000000001</v>
      </c>
      <c r="L5699" s="3565">
        <v>12832.94</v>
      </c>
      <c r="M5699" s="3565">
        <v>0</v>
      </c>
      <c r="N5699" s="3565">
        <v>0</v>
      </c>
      <c r="O5699" s="3563" t="s">
        <v>3453</v>
      </c>
    </row>
    <row r="5700" spans="1:15">
      <c r="A5700" s="3563" t="s">
        <v>9929</v>
      </c>
      <c r="B5700" s="3563" t="s">
        <v>4196</v>
      </c>
      <c r="C5700" s="3563" t="s">
        <v>4197</v>
      </c>
      <c r="D5700" s="3563" t="s">
        <v>6429</v>
      </c>
      <c r="E5700" s="3563" t="s">
        <v>9824</v>
      </c>
      <c r="F5700" s="3563" t="s">
        <v>4797</v>
      </c>
      <c r="G5700" s="3564">
        <v>100.93</v>
      </c>
      <c r="H5700" s="3564">
        <v>81.62</v>
      </c>
      <c r="I5700" s="3564">
        <v>19.309999999999999</v>
      </c>
      <c r="J5700" s="3565">
        <v>1046397</v>
      </c>
      <c r="K5700" s="3565">
        <v>10367.549999999999</v>
      </c>
      <c r="L5700" s="3565">
        <v>12820.35</v>
      </c>
      <c r="M5700" s="3565">
        <v>0</v>
      </c>
      <c r="N5700" s="3565">
        <v>0</v>
      </c>
      <c r="O5700" s="3563" t="s">
        <v>3453</v>
      </c>
    </row>
    <row r="5701" spans="1:15">
      <c r="A5701" s="3563" t="s">
        <v>9930</v>
      </c>
      <c r="B5701" s="3563" t="s">
        <v>4196</v>
      </c>
      <c r="C5701" s="3563" t="s">
        <v>4197</v>
      </c>
      <c r="D5701" s="3563" t="s">
        <v>6429</v>
      </c>
      <c r="E5701" s="3563" t="s">
        <v>9824</v>
      </c>
      <c r="F5701" s="3563" t="s">
        <v>4797</v>
      </c>
      <c r="G5701" s="3564">
        <v>100.93</v>
      </c>
      <c r="H5701" s="3564">
        <v>81.62</v>
      </c>
      <c r="I5701" s="3564">
        <v>19.309999999999999</v>
      </c>
      <c r="J5701" s="3565">
        <v>1046397</v>
      </c>
      <c r="K5701" s="3565">
        <v>10367.549999999999</v>
      </c>
      <c r="L5701" s="3565">
        <v>12820.35</v>
      </c>
      <c r="M5701" s="3565">
        <v>0</v>
      </c>
      <c r="N5701" s="3565">
        <v>0</v>
      </c>
      <c r="O5701" s="3563" t="s">
        <v>3453</v>
      </c>
    </row>
    <row r="5702" spans="1:15">
      <c r="A5702" s="3563" t="s">
        <v>9931</v>
      </c>
      <c r="B5702" s="3563" t="s">
        <v>4196</v>
      </c>
      <c r="C5702" s="3563" t="s">
        <v>4197</v>
      </c>
      <c r="D5702" s="3563" t="s">
        <v>6429</v>
      </c>
      <c r="E5702" s="3563" t="s">
        <v>9824</v>
      </c>
      <c r="F5702" s="3563" t="s">
        <v>4797</v>
      </c>
      <c r="G5702" s="3564">
        <v>109.36</v>
      </c>
      <c r="H5702" s="3564">
        <v>88.44</v>
      </c>
      <c r="I5702" s="3564">
        <v>20.92</v>
      </c>
      <c r="J5702" s="3565">
        <v>1093077</v>
      </c>
      <c r="K5702" s="3565">
        <v>9995.2199999999993</v>
      </c>
      <c r="L5702" s="3565">
        <v>12359.53</v>
      </c>
      <c r="M5702" s="3565">
        <v>0</v>
      </c>
      <c r="N5702" s="3565">
        <v>0</v>
      </c>
      <c r="O5702" s="3563" t="s">
        <v>3453</v>
      </c>
    </row>
    <row r="5703" spans="1:15">
      <c r="A5703" s="3563" t="s">
        <v>9932</v>
      </c>
      <c r="B5703" s="3563" t="s">
        <v>4196</v>
      </c>
      <c r="C5703" s="3563" t="s">
        <v>4197</v>
      </c>
      <c r="D5703" s="3563" t="s">
        <v>6429</v>
      </c>
      <c r="E5703" s="3563" t="s">
        <v>9824</v>
      </c>
      <c r="F5703" s="3563" t="s">
        <v>4797</v>
      </c>
      <c r="G5703" s="3564">
        <v>100.93</v>
      </c>
      <c r="H5703" s="3564">
        <v>81.62</v>
      </c>
      <c r="I5703" s="3564">
        <v>19.309999999999999</v>
      </c>
      <c r="J5703" s="3565">
        <v>1019555</v>
      </c>
      <c r="K5703" s="3565">
        <v>10101.61</v>
      </c>
      <c r="L5703" s="3565">
        <v>12491.48</v>
      </c>
      <c r="M5703" s="3565">
        <v>0</v>
      </c>
      <c r="N5703" s="3565">
        <v>0</v>
      </c>
      <c r="O5703" s="3563" t="s">
        <v>3453</v>
      </c>
    </row>
    <row r="5704" spans="1:15">
      <c r="A5704" s="3563" t="s">
        <v>9933</v>
      </c>
      <c r="B5704" s="3563" t="s">
        <v>4196</v>
      </c>
      <c r="C5704" s="3563" t="s">
        <v>4197</v>
      </c>
      <c r="D5704" s="3563" t="s">
        <v>6429</v>
      </c>
      <c r="E5704" s="3563" t="s">
        <v>9824</v>
      </c>
      <c r="F5704" s="3563" t="s">
        <v>4797</v>
      </c>
      <c r="G5704" s="3564">
        <v>100.93</v>
      </c>
      <c r="H5704" s="3564">
        <v>81.62</v>
      </c>
      <c r="I5704" s="3564">
        <v>19.309999999999999</v>
      </c>
      <c r="J5704" s="3565">
        <v>1019555</v>
      </c>
      <c r="K5704" s="3565">
        <v>10101.61</v>
      </c>
      <c r="L5704" s="3565">
        <v>12491.48</v>
      </c>
      <c r="M5704" s="3565">
        <v>0</v>
      </c>
      <c r="N5704" s="3565">
        <v>0</v>
      </c>
      <c r="O5704" s="3563" t="s">
        <v>3453</v>
      </c>
    </row>
    <row r="5705" spans="1:15">
      <c r="A5705" s="3563" t="s">
        <v>9934</v>
      </c>
      <c r="B5705" s="3563" t="s">
        <v>4196</v>
      </c>
      <c r="C5705" s="3563" t="s">
        <v>4197</v>
      </c>
      <c r="D5705" s="3563" t="s">
        <v>6429</v>
      </c>
      <c r="E5705" s="3563" t="s">
        <v>9824</v>
      </c>
      <c r="F5705" s="3563" t="s">
        <v>4797</v>
      </c>
      <c r="G5705" s="3564">
        <v>123.69</v>
      </c>
      <c r="H5705" s="3564">
        <v>100.03</v>
      </c>
      <c r="I5705" s="3564">
        <v>23.66</v>
      </c>
      <c r="J5705" s="3565">
        <v>1242888</v>
      </c>
      <c r="K5705" s="3565">
        <v>10048.41</v>
      </c>
      <c r="L5705" s="3565">
        <v>12425.15</v>
      </c>
      <c r="M5705" s="3565">
        <v>0</v>
      </c>
      <c r="N5705" s="3565">
        <v>0</v>
      </c>
      <c r="O5705" s="3563" t="s">
        <v>3453</v>
      </c>
    </row>
    <row r="5706" spans="1:15">
      <c r="A5706" s="3563" t="s">
        <v>9935</v>
      </c>
      <c r="B5706" s="3563" t="s">
        <v>4196</v>
      </c>
      <c r="C5706" s="3563" t="s">
        <v>4197</v>
      </c>
      <c r="D5706" s="3563" t="s">
        <v>6429</v>
      </c>
      <c r="E5706" s="3563" t="s">
        <v>9824</v>
      </c>
      <c r="F5706" s="3563" t="s">
        <v>4797</v>
      </c>
      <c r="G5706" s="3564">
        <v>100.93</v>
      </c>
      <c r="H5706" s="3564">
        <v>81.62</v>
      </c>
      <c r="I5706" s="3564">
        <v>19.309999999999999</v>
      </c>
      <c r="J5706" s="3565">
        <v>1053913</v>
      </c>
      <c r="K5706" s="3565">
        <v>10442.02</v>
      </c>
      <c r="L5706" s="3565">
        <v>12912.44</v>
      </c>
      <c r="M5706" s="3565">
        <v>0</v>
      </c>
      <c r="N5706" s="3565">
        <v>0</v>
      </c>
      <c r="O5706" s="3563" t="s">
        <v>3453</v>
      </c>
    </row>
    <row r="5707" spans="1:15">
      <c r="A5707" s="3563" t="s">
        <v>9936</v>
      </c>
      <c r="B5707" s="3563" t="s">
        <v>4196</v>
      </c>
      <c r="C5707" s="3563" t="s">
        <v>4197</v>
      </c>
      <c r="D5707" s="3563" t="s">
        <v>6429</v>
      </c>
      <c r="E5707" s="3563" t="s">
        <v>9824</v>
      </c>
      <c r="F5707" s="3563" t="s">
        <v>4797</v>
      </c>
      <c r="G5707" s="3564">
        <v>100.93</v>
      </c>
      <c r="H5707" s="3564">
        <v>81.62</v>
      </c>
      <c r="I5707" s="3564">
        <v>19.309999999999999</v>
      </c>
      <c r="J5707" s="3565">
        <v>1053913</v>
      </c>
      <c r="K5707" s="3565">
        <v>10442.02</v>
      </c>
      <c r="L5707" s="3565">
        <v>12912.44</v>
      </c>
      <c r="M5707" s="3565">
        <v>0</v>
      </c>
      <c r="N5707" s="3565">
        <v>0</v>
      </c>
      <c r="O5707" s="3563" t="s">
        <v>3453</v>
      </c>
    </row>
    <row r="5708" spans="1:15">
      <c r="A5708" s="3563" t="s">
        <v>9937</v>
      </c>
      <c r="B5708" s="3563" t="s">
        <v>4196</v>
      </c>
      <c r="C5708" s="3563" t="s">
        <v>4197</v>
      </c>
      <c r="D5708" s="3563" t="s">
        <v>6429</v>
      </c>
      <c r="E5708" s="3563" t="s">
        <v>9824</v>
      </c>
      <c r="F5708" s="3563" t="s">
        <v>4797</v>
      </c>
      <c r="G5708" s="3564">
        <v>109.36</v>
      </c>
      <c r="H5708" s="3564">
        <v>88.44</v>
      </c>
      <c r="I5708" s="3564">
        <v>20.92</v>
      </c>
      <c r="J5708" s="3565">
        <v>1077953</v>
      </c>
      <c r="K5708" s="3565">
        <v>9856.92</v>
      </c>
      <c r="L5708" s="3565">
        <v>12188.52</v>
      </c>
      <c r="M5708" s="3565">
        <v>0</v>
      </c>
      <c r="N5708" s="3565">
        <v>0</v>
      </c>
      <c r="O5708" s="3563" t="s">
        <v>3453</v>
      </c>
    </row>
    <row r="5709" spans="1:15">
      <c r="A5709" s="3563" t="s">
        <v>9938</v>
      </c>
      <c r="B5709" s="3563" t="s">
        <v>4196</v>
      </c>
      <c r="C5709" s="3563" t="s">
        <v>4197</v>
      </c>
      <c r="D5709" s="3563" t="s">
        <v>6429</v>
      </c>
      <c r="E5709" s="3563" t="s">
        <v>9824</v>
      </c>
      <c r="F5709" s="3563" t="s">
        <v>4797</v>
      </c>
      <c r="G5709" s="3564">
        <v>100.93</v>
      </c>
      <c r="H5709" s="3564">
        <v>81.62</v>
      </c>
      <c r="I5709" s="3564">
        <v>19.309999999999999</v>
      </c>
      <c r="J5709" s="3565">
        <v>1005596</v>
      </c>
      <c r="K5709" s="3565">
        <v>9963.2999999999993</v>
      </c>
      <c r="L5709" s="3565">
        <v>12320.46</v>
      </c>
      <c r="M5709" s="3565">
        <v>0</v>
      </c>
      <c r="N5709" s="3565">
        <v>0</v>
      </c>
      <c r="O5709" s="3563" t="s">
        <v>3453</v>
      </c>
    </row>
    <row r="5710" spans="1:15">
      <c r="A5710" s="3563" t="s">
        <v>9939</v>
      </c>
      <c r="B5710" s="3563" t="s">
        <v>4196</v>
      </c>
      <c r="C5710" s="3563" t="s">
        <v>4197</v>
      </c>
      <c r="D5710" s="3563" t="s">
        <v>6429</v>
      </c>
      <c r="E5710" s="3563" t="s">
        <v>9824</v>
      </c>
      <c r="F5710" s="3563" t="s">
        <v>4797</v>
      </c>
      <c r="G5710" s="3564">
        <v>100.93</v>
      </c>
      <c r="H5710" s="3564">
        <v>81.62</v>
      </c>
      <c r="I5710" s="3564">
        <v>19.309999999999999</v>
      </c>
      <c r="J5710" s="3565">
        <v>1005596</v>
      </c>
      <c r="K5710" s="3565">
        <v>9963.2999999999993</v>
      </c>
      <c r="L5710" s="3565">
        <v>12320.46</v>
      </c>
      <c r="M5710" s="3565">
        <v>0</v>
      </c>
      <c r="N5710" s="3565">
        <v>0</v>
      </c>
      <c r="O5710" s="3563" t="s">
        <v>3453</v>
      </c>
    </row>
    <row r="5711" spans="1:15">
      <c r="A5711" s="3563" t="s">
        <v>9940</v>
      </c>
      <c r="B5711" s="3563" t="s">
        <v>4196</v>
      </c>
      <c r="C5711" s="3563" t="s">
        <v>4197</v>
      </c>
      <c r="D5711" s="3563" t="s">
        <v>6429</v>
      </c>
      <c r="E5711" s="3563" t="s">
        <v>9824</v>
      </c>
      <c r="F5711" s="3563" t="s">
        <v>4797</v>
      </c>
      <c r="G5711" s="3564">
        <v>123.69</v>
      </c>
      <c r="H5711" s="3564">
        <v>100.03</v>
      </c>
      <c r="I5711" s="3564">
        <v>23.66</v>
      </c>
      <c r="J5711" s="3565">
        <v>1225781</v>
      </c>
      <c r="K5711" s="3565">
        <v>9910.11</v>
      </c>
      <c r="L5711" s="3565">
        <v>12254.13</v>
      </c>
      <c r="M5711" s="3565">
        <v>0</v>
      </c>
      <c r="N5711" s="3565">
        <v>0</v>
      </c>
      <c r="O5711" s="3563" t="s">
        <v>3453</v>
      </c>
    </row>
    <row r="5712" spans="1:15">
      <c r="A5712" s="3563" t="s">
        <v>9941</v>
      </c>
      <c r="B5712" s="3563" t="s">
        <v>4196</v>
      </c>
      <c r="C5712" s="3563" t="s">
        <v>4197</v>
      </c>
      <c r="D5712" s="3563" t="s">
        <v>6429</v>
      </c>
      <c r="E5712" s="3563" t="s">
        <v>9824</v>
      </c>
      <c r="F5712" s="3563" t="s">
        <v>4797</v>
      </c>
      <c r="G5712" s="3564">
        <v>100.93</v>
      </c>
      <c r="H5712" s="3564">
        <v>81.62</v>
      </c>
      <c r="I5712" s="3564">
        <v>19.309999999999999</v>
      </c>
      <c r="J5712" s="3565">
        <v>1066798</v>
      </c>
      <c r="K5712" s="3565">
        <v>10569.68</v>
      </c>
      <c r="L5712" s="3565">
        <v>13070.3</v>
      </c>
      <c r="M5712" s="3565">
        <v>0</v>
      </c>
      <c r="N5712" s="3565">
        <v>0</v>
      </c>
      <c r="O5712" s="3563" t="s">
        <v>3453</v>
      </c>
    </row>
    <row r="5713" spans="1:15">
      <c r="A5713" s="3563" t="s">
        <v>9942</v>
      </c>
      <c r="B5713" s="3563" t="s">
        <v>4196</v>
      </c>
      <c r="C5713" s="3563" t="s">
        <v>4197</v>
      </c>
      <c r="D5713" s="3563" t="s">
        <v>6429</v>
      </c>
      <c r="E5713" s="3563" t="s">
        <v>9824</v>
      </c>
      <c r="F5713" s="3563" t="s">
        <v>4797</v>
      </c>
      <c r="G5713" s="3564">
        <v>100.93</v>
      </c>
      <c r="H5713" s="3564">
        <v>81.62</v>
      </c>
      <c r="I5713" s="3564">
        <v>19.309999999999999</v>
      </c>
      <c r="J5713" s="3565">
        <v>1066798</v>
      </c>
      <c r="K5713" s="3565">
        <v>10569.68</v>
      </c>
      <c r="L5713" s="3565">
        <v>13070.3</v>
      </c>
      <c r="M5713" s="3565">
        <v>0</v>
      </c>
      <c r="N5713" s="3565">
        <v>0</v>
      </c>
      <c r="O5713" s="3563" t="s">
        <v>3453</v>
      </c>
    </row>
    <row r="5714" spans="1:15">
      <c r="A5714" s="3563" t="s">
        <v>9943</v>
      </c>
      <c r="B5714" s="3563" t="s">
        <v>4196</v>
      </c>
      <c r="C5714" s="3563" t="s">
        <v>4197</v>
      </c>
      <c r="D5714" s="3563" t="s">
        <v>6429</v>
      </c>
      <c r="E5714" s="3563" t="s">
        <v>9824</v>
      </c>
      <c r="F5714" s="3563" t="s">
        <v>4797</v>
      </c>
      <c r="G5714" s="3564">
        <v>109.36</v>
      </c>
      <c r="H5714" s="3564">
        <v>88.44</v>
      </c>
      <c r="I5714" s="3564">
        <v>20.92</v>
      </c>
      <c r="J5714" s="3565">
        <v>1115181</v>
      </c>
      <c r="K5714" s="3565">
        <v>10197.34</v>
      </c>
      <c r="L5714" s="3565">
        <v>12609.46</v>
      </c>
      <c r="M5714" s="3565">
        <v>0</v>
      </c>
      <c r="N5714" s="3565">
        <v>0</v>
      </c>
      <c r="O5714" s="3563" t="s">
        <v>3453</v>
      </c>
    </row>
    <row r="5715" spans="1:15">
      <c r="A5715" s="3563" t="s">
        <v>9944</v>
      </c>
      <c r="B5715" s="3563" t="s">
        <v>4196</v>
      </c>
      <c r="C5715" s="3563" t="s">
        <v>4197</v>
      </c>
      <c r="D5715" s="3563" t="s">
        <v>6429</v>
      </c>
      <c r="E5715" s="3563" t="s">
        <v>9824</v>
      </c>
      <c r="F5715" s="3563" t="s">
        <v>4797</v>
      </c>
      <c r="G5715" s="3564">
        <v>100.93</v>
      </c>
      <c r="H5715" s="3564">
        <v>81.62</v>
      </c>
      <c r="I5715" s="3564">
        <v>19.309999999999999</v>
      </c>
      <c r="J5715" s="3565">
        <v>1018481</v>
      </c>
      <c r="K5715" s="3565">
        <v>10090.959999999999</v>
      </c>
      <c r="L5715" s="3565">
        <v>12478.33</v>
      </c>
      <c r="M5715" s="3565">
        <v>0</v>
      </c>
      <c r="N5715" s="3565">
        <v>0</v>
      </c>
      <c r="O5715" s="3563" t="s">
        <v>3453</v>
      </c>
    </row>
    <row r="5716" spans="1:15">
      <c r="A5716" s="3563" t="s">
        <v>9945</v>
      </c>
      <c r="B5716" s="3563" t="s">
        <v>4196</v>
      </c>
      <c r="C5716" s="3563" t="s">
        <v>4197</v>
      </c>
      <c r="D5716" s="3563" t="s">
        <v>6429</v>
      </c>
      <c r="E5716" s="3563" t="s">
        <v>9824</v>
      </c>
      <c r="F5716" s="3563" t="s">
        <v>4797</v>
      </c>
      <c r="G5716" s="3564">
        <v>100.93</v>
      </c>
      <c r="H5716" s="3564">
        <v>81.62</v>
      </c>
      <c r="I5716" s="3564">
        <v>19.309999999999999</v>
      </c>
      <c r="J5716" s="3565">
        <v>1018481</v>
      </c>
      <c r="K5716" s="3565">
        <v>10090.959999999999</v>
      </c>
      <c r="L5716" s="3565">
        <v>12478.33</v>
      </c>
      <c r="M5716" s="3565">
        <v>0</v>
      </c>
      <c r="N5716" s="3565">
        <v>0</v>
      </c>
      <c r="O5716" s="3563" t="s">
        <v>3453</v>
      </c>
    </row>
    <row r="5717" spans="1:15">
      <c r="A5717" s="3563" t="s">
        <v>9946</v>
      </c>
      <c r="B5717" s="3563" t="s">
        <v>4196</v>
      </c>
      <c r="C5717" s="3563" t="s">
        <v>4197</v>
      </c>
      <c r="D5717" s="3563" t="s">
        <v>6429</v>
      </c>
      <c r="E5717" s="3563" t="s">
        <v>9824</v>
      </c>
      <c r="F5717" s="3563" t="s">
        <v>4797</v>
      </c>
      <c r="G5717" s="3564">
        <v>123.69</v>
      </c>
      <c r="H5717" s="3564">
        <v>100.03</v>
      </c>
      <c r="I5717" s="3564">
        <v>23.66</v>
      </c>
      <c r="J5717" s="3565">
        <v>1241572</v>
      </c>
      <c r="K5717" s="3565">
        <v>10037.77</v>
      </c>
      <c r="L5717" s="3565">
        <v>12412</v>
      </c>
      <c r="M5717" s="3565">
        <v>0</v>
      </c>
      <c r="N5717" s="3565">
        <v>0</v>
      </c>
      <c r="O5717" s="3563" t="s">
        <v>3453</v>
      </c>
    </row>
    <row r="5718" spans="1:15">
      <c r="A5718" s="3563" t="s">
        <v>9947</v>
      </c>
      <c r="B5718" s="3563" t="s">
        <v>4196</v>
      </c>
      <c r="C5718" s="3563" t="s">
        <v>4197</v>
      </c>
      <c r="D5718" s="3563" t="s">
        <v>6429</v>
      </c>
      <c r="E5718" s="3563" t="s">
        <v>9824</v>
      </c>
      <c r="F5718" s="3563" t="s">
        <v>4797</v>
      </c>
      <c r="G5718" s="3564">
        <v>100.93</v>
      </c>
      <c r="H5718" s="3564">
        <v>81.62</v>
      </c>
      <c r="I5718" s="3564">
        <v>19.309999999999999</v>
      </c>
      <c r="J5718" s="3565">
        <v>1079683</v>
      </c>
      <c r="K5718" s="3565">
        <v>10697.34</v>
      </c>
      <c r="L5718" s="3565">
        <v>13228.17</v>
      </c>
      <c r="M5718" s="3565">
        <v>0</v>
      </c>
      <c r="N5718" s="3565">
        <v>0</v>
      </c>
      <c r="O5718" s="3563" t="s">
        <v>3453</v>
      </c>
    </row>
    <row r="5719" spans="1:15">
      <c r="A5719" s="3563" t="s">
        <v>9948</v>
      </c>
      <c r="B5719" s="3563" t="s">
        <v>4196</v>
      </c>
      <c r="C5719" s="3563" t="s">
        <v>4197</v>
      </c>
      <c r="D5719" s="3563" t="s">
        <v>6429</v>
      </c>
      <c r="E5719" s="3563" t="s">
        <v>9824</v>
      </c>
      <c r="F5719" s="3563" t="s">
        <v>4797</v>
      </c>
      <c r="G5719" s="3564">
        <v>100.93</v>
      </c>
      <c r="H5719" s="3564">
        <v>81.62</v>
      </c>
      <c r="I5719" s="3564">
        <v>19.309999999999999</v>
      </c>
      <c r="J5719" s="3565">
        <v>1079683</v>
      </c>
      <c r="K5719" s="3565">
        <v>10697.34</v>
      </c>
      <c r="L5719" s="3565">
        <v>13228.17</v>
      </c>
      <c r="M5719" s="3565">
        <v>0</v>
      </c>
      <c r="N5719" s="3565">
        <v>0</v>
      </c>
      <c r="O5719" s="3563" t="s">
        <v>3453</v>
      </c>
    </row>
    <row r="5720" spans="1:15">
      <c r="A5720" s="3563" t="s">
        <v>9949</v>
      </c>
      <c r="B5720" s="3563" t="s">
        <v>4196</v>
      </c>
      <c r="C5720" s="3563" t="s">
        <v>4197</v>
      </c>
      <c r="D5720" s="3563" t="s">
        <v>6429</v>
      </c>
      <c r="E5720" s="3563" t="s">
        <v>9824</v>
      </c>
      <c r="F5720" s="3563" t="s">
        <v>4797</v>
      </c>
      <c r="G5720" s="3564">
        <v>109.36</v>
      </c>
      <c r="H5720" s="3564">
        <v>88.44</v>
      </c>
      <c r="I5720" s="3564">
        <v>20.92</v>
      </c>
      <c r="J5720" s="3565">
        <v>1129142</v>
      </c>
      <c r="K5720" s="3565">
        <v>10325</v>
      </c>
      <c r="L5720" s="3565">
        <v>12767.32</v>
      </c>
      <c r="M5720" s="3565">
        <v>0</v>
      </c>
      <c r="N5720" s="3565">
        <v>0</v>
      </c>
      <c r="O5720" s="3563" t="s">
        <v>3453</v>
      </c>
    </row>
    <row r="5721" spans="1:15">
      <c r="A5721" s="3563" t="s">
        <v>9950</v>
      </c>
      <c r="B5721" s="3563" t="s">
        <v>4196</v>
      </c>
      <c r="C5721" s="3563" t="s">
        <v>4197</v>
      </c>
      <c r="D5721" s="3563" t="s">
        <v>6429</v>
      </c>
      <c r="E5721" s="3563" t="s">
        <v>9824</v>
      </c>
      <c r="F5721" s="3563" t="s">
        <v>4797</v>
      </c>
      <c r="G5721" s="3564">
        <v>100.93</v>
      </c>
      <c r="H5721" s="3564">
        <v>81.62</v>
      </c>
      <c r="I5721" s="3564">
        <v>19.309999999999999</v>
      </c>
      <c r="J5721" s="3565">
        <v>1031365</v>
      </c>
      <c r="K5721" s="3565">
        <v>10218.620000000001</v>
      </c>
      <c r="L5721" s="3565">
        <v>12636.18</v>
      </c>
      <c r="M5721" s="3565">
        <v>0</v>
      </c>
      <c r="N5721" s="3565">
        <v>0</v>
      </c>
      <c r="O5721" s="3563" t="s">
        <v>3453</v>
      </c>
    </row>
    <row r="5722" spans="1:15">
      <c r="A5722" s="3563" t="s">
        <v>9951</v>
      </c>
      <c r="B5722" s="3563" t="s">
        <v>4196</v>
      </c>
      <c r="C5722" s="3563" t="s">
        <v>4197</v>
      </c>
      <c r="D5722" s="3563" t="s">
        <v>6429</v>
      </c>
      <c r="E5722" s="3563" t="s">
        <v>9824</v>
      </c>
      <c r="F5722" s="3563" t="s">
        <v>4797</v>
      </c>
      <c r="G5722" s="3564">
        <v>100.93</v>
      </c>
      <c r="H5722" s="3564">
        <v>81.62</v>
      </c>
      <c r="I5722" s="3564">
        <v>19.309999999999999</v>
      </c>
      <c r="J5722" s="3565">
        <v>1031365</v>
      </c>
      <c r="K5722" s="3565">
        <v>10218.620000000001</v>
      </c>
      <c r="L5722" s="3565">
        <v>12636.18</v>
      </c>
      <c r="M5722" s="3565">
        <v>0</v>
      </c>
      <c r="N5722" s="3565">
        <v>0</v>
      </c>
      <c r="O5722" s="3563" t="s">
        <v>3453</v>
      </c>
    </row>
    <row r="5723" spans="1:15">
      <c r="A5723" s="3563" t="s">
        <v>9952</v>
      </c>
      <c r="B5723" s="3563" t="s">
        <v>4196</v>
      </c>
      <c r="C5723" s="3563" t="s">
        <v>4197</v>
      </c>
      <c r="D5723" s="3563" t="s">
        <v>6429</v>
      </c>
      <c r="E5723" s="3563" t="s">
        <v>9824</v>
      </c>
      <c r="F5723" s="3563" t="s">
        <v>4797</v>
      </c>
      <c r="G5723" s="3564">
        <v>123.69</v>
      </c>
      <c r="H5723" s="3564">
        <v>100.03</v>
      </c>
      <c r="I5723" s="3564">
        <v>23.66</v>
      </c>
      <c r="J5723" s="3565">
        <v>1257362</v>
      </c>
      <c r="K5723" s="3565">
        <v>10165.43</v>
      </c>
      <c r="L5723" s="3565">
        <v>12569.85</v>
      </c>
      <c r="M5723" s="3565">
        <v>0</v>
      </c>
      <c r="N5723" s="3565">
        <v>0</v>
      </c>
      <c r="O5723" s="3563" t="s">
        <v>3453</v>
      </c>
    </row>
    <row r="5724" spans="1:15">
      <c r="A5724" s="3563" t="s">
        <v>9953</v>
      </c>
      <c r="B5724" s="3563" t="s">
        <v>4196</v>
      </c>
      <c r="C5724" s="3563" t="s">
        <v>4197</v>
      </c>
      <c r="D5724" s="3563" t="s">
        <v>6429</v>
      </c>
      <c r="E5724" s="3563" t="s">
        <v>9824</v>
      </c>
      <c r="F5724" s="3563" t="s">
        <v>4797</v>
      </c>
      <c r="G5724" s="3564">
        <v>100.93</v>
      </c>
      <c r="H5724" s="3564">
        <v>81.62</v>
      </c>
      <c r="I5724" s="3564">
        <v>19.309999999999999</v>
      </c>
      <c r="J5724" s="3565">
        <v>1080757</v>
      </c>
      <c r="K5724" s="3565">
        <v>10707.99</v>
      </c>
      <c r="L5724" s="3565">
        <v>13241.33</v>
      </c>
      <c r="M5724" s="3565">
        <v>0</v>
      </c>
      <c r="N5724" s="3565">
        <v>0</v>
      </c>
      <c r="O5724" s="3563" t="s">
        <v>3453</v>
      </c>
    </row>
    <row r="5725" spans="1:15">
      <c r="A5725" s="3563" t="s">
        <v>9954</v>
      </c>
      <c r="B5725" s="3563" t="s">
        <v>4196</v>
      </c>
      <c r="C5725" s="3563" t="s">
        <v>4197</v>
      </c>
      <c r="D5725" s="3563" t="s">
        <v>6429</v>
      </c>
      <c r="E5725" s="3563" t="s">
        <v>9824</v>
      </c>
      <c r="F5725" s="3563" t="s">
        <v>4797</v>
      </c>
      <c r="G5725" s="3564">
        <v>100.93</v>
      </c>
      <c r="H5725" s="3564">
        <v>81.62</v>
      </c>
      <c r="I5725" s="3564">
        <v>19.309999999999999</v>
      </c>
      <c r="J5725" s="3565">
        <v>1080757</v>
      </c>
      <c r="K5725" s="3565">
        <v>10707.99</v>
      </c>
      <c r="L5725" s="3565">
        <v>13241.33</v>
      </c>
      <c r="M5725" s="3565">
        <v>0</v>
      </c>
      <c r="N5725" s="3565">
        <v>0</v>
      </c>
      <c r="O5725" s="3563" t="s">
        <v>3453</v>
      </c>
    </row>
    <row r="5726" spans="1:15">
      <c r="A5726" s="3563" t="s">
        <v>9955</v>
      </c>
      <c r="B5726" s="3563" t="s">
        <v>4196</v>
      </c>
      <c r="C5726" s="3563" t="s">
        <v>4197</v>
      </c>
      <c r="D5726" s="3563" t="s">
        <v>6429</v>
      </c>
      <c r="E5726" s="3563" t="s">
        <v>9824</v>
      </c>
      <c r="F5726" s="3563" t="s">
        <v>4797</v>
      </c>
      <c r="G5726" s="3564">
        <v>109.36</v>
      </c>
      <c r="H5726" s="3564">
        <v>88.44</v>
      </c>
      <c r="I5726" s="3564">
        <v>20.92</v>
      </c>
      <c r="J5726" s="3565">
        <v>1130306</v>
      </c>
      <c r="K5726" s="3565">
        <v>10335.64</v>
      </c>
      <c r="L5726" s="3565">
        <v>12780.48</v>
      </c>
      <c r="M5726" s="3565">
        <v>0</v>
      </c>
      <c r="N5726" s="3565">
        <v>0</v>
      </c>
      <c r="O5726" s="3563" t="s">
        <v>3453</v>
      </c>
    </row>
    <row r="5727" spans="1:15">
      <c r="A5727" s="3563" t="s">
        <v>9956</v>
      </c>
      <c r="B5727" s="3563" t="s">
        <v>4196</v>
      </c>
      <c r="C5727" s="3563" t="s">
        <v>4197</v>
      </c>
      <c r="D5727" s="3563" t="s">
        <v>6429</v>
      </c>
      <c r="E5727" s="3563" t="s">
        <v>9824</v>
      </c>
      <c r="F5727" s="3563" t="s">
        <v>4797</v>
      </c>
      <c r="G5727" s="3564">
        <v>100.93</v>
      </c>
      <c r="H5727" s="3564">
        <v>81.62</v>
      </c>
      <c r="I5727" s="3564">
        <v>19.309999999999999</v>
      </c>
      <c r="J5727" s="3565">
        <v>1032439</v>
      </c>
      <c r="K5727" s="3565">
        <v>10229.26</v>
      </c>
      <c r="L5727" s="3565">
        <v>12649.34</v>
      </c>
      <c r="M5727" s="3565">
        <v>0</v>
      </c>
      <c r="N5727" s="3565">
        <v>0</v>
      </c>
      <c r="O5727" s="3563" t="s">
        <v>3453</v>
      </c>
    </row>
    <row r="5728" spans="1:15">
      <c r="A5728" s="3563" t="s">
        <v>9957</v>
      </c>
      <c r="B5728" s="3563" t="s">
        <v>4196</v>
      </c>
      <c r="C5728" s="3563" t="s">
        <v>4197</v>
      </c>
      <c r="D5728" s="3563" t="s">
        <v>6429</v>
      </c>
      <c r="E5728" s="3563" t="s">
        <v>9824</v>
      </c>
      <c r="F5728" s="3563" t="s">
        <v>4797</v>
      </c>
      <c r="G5728" s="3564">
        <v>100.93</v>
      </c>
      <c r="H5728" s="3564">
        <v>81.62</v>
      </c>
      <c r="I5728" s="3564">
        <v>19.309999999999999</v>
      </c>
      <c r="J5728" s="3565">
        <v>1032439</v>
      </c>
      <c r="K5728" s="3565">
        <v>10229.26</v>
      </c>
      <c r="L5728" s="3565">
        <v>12649.34</v>
      </c>
      <c r="M5728" s="3565">
        <v>0</v>
      </c>
      <c r="N5728" s="3565">
        <v>0</v>
      </c>
      <c r="O5728" s="3563" t="s">
        <v>3453</v>
      </c>
    </row>
    <row r="5729" spans="1:15">
      <c r="A5729" s="3563" t="s">
        <v>9958</v>
      </c>
      <c r="B5729" s="3563" t="s">
        <v>4196</v>
      </c>
      <c r="C5729" s="3563" t="s">
        <v>4197</v>
      </c>
      <c r="D5729" s="3563" t="s">
        <v>6429</v>
      </c>
      <c r="E5729" s="3563" t="s">
        <v>9824</v>
      </c>
      <c r="F5729" s="3563" t="s">
        <v>4797</v>
      </c>
      <c r="G5729" s="3564">
        <v>123.69</v>
      </c>
      <c r="H5729" s="3564">
        <v>100.03</v>
      </c>
      <c r="I5729" s="3564">
        <v>23.66</v>
      </c>
      <c r="J5729" s="3565">
        <v>1258678</v>
      </c>
      <c r="K5729" s="3565">
        <v>10176.07</v>
      </c>
      <c r="L5729" s="3565">
        <v>12583.01</v>
      </c>
      <c r="M5729" s="3565">
        <v>0</v>
      </c>
      <c r="N5729" s="3565">
        <v>0</v>
      </c>
      <c r="O5729" s="3563" t="s">
        <v>3453</v>
      </c>
    </row>
    <row r="5730" spans="1:15">
      <c r="A5730" s="3563" t="s">
        <v>9959</v>
      </c>
      <c r="B5730" s="3563" t="s">
        <v>4196</v>
      </c>
      <c r="C5730" s="3563" t="s">
        <v>4197</v>
      </c>
      <c r="D5730" s="3563" t="s">
        <v>6429</v>
      </c>
      <c r="E5730" s="3563" t="s">
        <v>9824</v>
      </c>
      <c r="F5730" s="3563" t="s">
        <v>4797</v>
      </c>
      <c r="G5730" s="3564">
        <v>100.93</v>
      </c>
      <c r="H5730" s="3564">
        <v>81.62</v>
      </c>
      <c r="I5730" s="3564">
        <v>19.309999999999999</v>
      </c>
      <c r="J5730" s="3565">
        <v>1081830</v>
      </c>
      <c r="K5730" s="3565">
        <v>10718.62</v>
      </c>
      <c r="L5730" s="3565">
        <v>13254.47</v>
      </c>
      <c r="M5730" s="3565">
        <v>0</v>
      </c>
      <c r="N5730" s="3565">
        <v>0</v>
      </c>
      <c r="O5730" s="3563" t="s">
        <v>3453</v>
      </c>
    </row>
    <row r="5731" spans="1:15">
      <c r="A5731" s="3563" t="s">
        <v>9960</v>
      </c>
      <c r="B5731" s="3563" t="s">
        <v>4196</v>
      </c>
      <c r="C5731" s="3563" t="s">
        <v>4197</v>
      </c>
      <c r="D5731" s="3563" t="s">
        <v>6429</v>
      </c>
      <c r="E5731" s="3563" t="s">
        <v>9824</v>
      </c>
      <c r="F5731" s="3563" t="s">
        <v>4797</v>
      </c>
      <c r="G5731" s="3564">
        <v>100.93</v>
      </c>
      <c r="H5731" s="3564">
        <v>81.62</v>
      </c>
      <c r="I5731" s="3564">
        <v>19.309999999999999</v>
      </c>
      <c r="J5731" s="3565">
        <v>1081830</v>
      </c>
      <c r="K5731" s="3565">
        <v>10718.62</v>
      </c>
      <c r="L5731" s="3565">
        <v>13254.47</v>
      </c>
      <c r="M5731" s="3565">
        <v>0</v>
      </c>
      <c r="N5731" s="3565">
        <v>0</v>
      </c>
      <c r="O5731" s="3563" t="s">
        <v>3453</v>
      </c>
    </row>
    <row r="5732" spans="1:15">
      <c r="A5732" s="3563" t="s">
        <v>9961</v>
      </c>
      <c r="B5732" s="3563" t="s">
        <v>4196</v>
      </c>
      <c r="C5732" s="3563" t="s">
        <v>4197</v>
      </c>
      <c r="D5732" s="3563" t="s">
        <v>6429</v>
      </c>
      <c r="E5732" s="3563" t="s">
        <v>9824</v>
      </c>
      <c r="F5732" s="3563" t="s">
        <v>4797</v>
      </c>
      <c r="G5732" s="3564">
        <v>109.36</v>
      </c>
      <c r="H5732" s="3564">
        <v>88.44</v>
      </c>
      <c r="I5732" s="3564">
        <v>20.92</v>
      </c>
      <c r="J5732" s="3565">
        <v>1131470</v>
      </c>
      <c r="K5732" s="3565">
        <v>10346.290000000001</v>
      </c>
      <c r="L5732" s="3565">
        <v>12793.65</v>
      </c>
      <c r="M5732" s="3565">
        <v>0</v>
      </c>
      <c r="N5732" s="3565">
        <v>0</v>
      </c>
      <c r="O5732" s="3563" t="s">
        <v>3453</v>
      </c>
    </row>
    <row r="5733" spans="1:15">
      <c r="A5733" s="3563" t="s">
        <v>9962</v>
      </c>
      <c r="B5733" s="3563" t="s">
        <v>4196</v>
      </c>
      <c r="C5733" s="3563" t="s">
        <v>4197</v>
      </c>
      <c r="D5733" s="3563" t="s">
        <v>6429</v>
      </c>
      <c r="E5733" s="3563" t="s">
        <v>9824</v>
      </c>
      <c r="F5733" s="3563" t="s">
        <v>4797</v>
      </c>
      <c r="G5733" s="3564">
        <v>100.93</v>
      </c>
      <c r="H5733" s="3564">
        <v>81.62</v>
      </c>
      <c r="I5733" s="3564">
        <v>19.309999999999999</v>
      </c>
      <c r="J5733" s="3565">
        <v>1033513</v>
      </c>
      <c r="K5733" s="3565">
        <v>10239.9</v>
      </c>
      <c r="L5733" s="3565">
        <v>12662.5</v>
      </c>
      <c r="M5733" s="3565">
        <v>0</v>
      </c>
      <c r="N5733" s="3565">
        <v>0</v>
      </c>
      <c r="O5733" s="3563" t="s">
        <v>3453</v>
      </c>
    </row>
    <row r="5734" spans="1:15">
      <c r="A5734" s="3563" t="s">
        <v>9963</v>
      </c>
      <c r="B5734" s="3563" t="s">
        <v>4196</v>
      </c>
      <c r="C5734" s="3563" t="s">
        <v>4197</v>
      </c>
      <c r="D5734" s="3563" t="s">
        <v>6429</v>
      </c>
      <c r="E5734" s="3563" t="s">
        <v>9824</v>
      </c>
      <c r="F5734" s="3563" t="s">
        <v>4797</v>
      </c>
      <c r="G5734" s="3564">
        <v>100.93</v>
      </c>
      <c r="H5734" s="3564">
        <v>81.62</v>
      </c>
      <c r="I5734" s="3564">
        <v>19.309999999999999</v>
      </c>
      <c r="J5734" s="3565">
        <v>1033513</v>
      </c>
      <c r="K5734" s="3565">
        <v>10239.9</v>
      </c>
      <c r="L5734" s="3565">
        <v>12662.5</v>
      </c>
      <c r="M5734" s="3565">
        <v>0</v>
      </c>
      <c r="N5734" s="3565">
        <v>0</v>
      </c>
      <c r="O5734" s="3563" t="s">
        <v>3453</v>
      </c>
    </row>
    <row r="5735" spans="1:15">
      <c r="A5735" s="3563" t="s">
        <v>9964</v>
      </c>
      <c r="B5735" s="3563" t="s">
        <v>4196</v>
      </c>
      <c r="C5735" s="3563" t="s">
        <v>4197</v>
      </c>
      <c r="D5735" s="3563" t="s">
        <v>6429</v>
      </c>
      <c r="E5735" s="3563" t="s">
        <v>9824</v>
      </c>
      <c r="F5735" s="3563" t="s">
        <v>4797</v>
      </c>
      <c r="G5735" s="3564">
        <v>123.69</v>
      </c>
      <c r="H5735" s="3564">
        <v>100.03</v>
      </c>
      <c r="I5735" s="3564">
        <v>23.66</v>
      </c>
      <c r="J5735" s="3565">
        <v>1286311</v>
      </c>
      <c r="K5735" s="3565">
        <v>10399.469999999999</v>
      </c>
      <c r="L5735" s="3565">
        <v>12859.25</v>
      </c>
      <c r="M5735" s="3565">
        <v>0</v>
      </c>
      <c r="N5735" s="3565">
        <v>0</v>
      </c>
      <c r="O5735" s="3563" t="s">
        <v>3453</v>
      </c>
    </row>
    <row r="5736" spans="1:15">
      <c r="A5736" s="3563" t="s">
        <v>9965</v>
      </c>
      <c r="B5736" s="3563" t="s">
        <v>4196</v>
      </c>
      <c r="C5736" s="3563" t="s">
        <v>4197</v>
      </c>
      <c r="D5736" s="3563" t="s">
        <v>6429</v>
      </c>
      <c r="E5736" s="3563" t="s">
        <v>9824</v>
      </c>
      <c r="F5736" s="3563" t="s">
        <v>4797</v>
      </c>
      <c r="G5736" s="3564">
        <v>100.93</v>
      </c>
      <c r="H5736" s="3564">
        <v>81.62</v>
      </c>
      <c r="I5736" s="3564">
        <v>19.309999999999999</v>
      </c>
      <c r="J5736" s="3565">
        <v>1082905</v>
      </c>
      <c r="K5736" s="3565">
        <v>10729.27</v>
      </c>
      <c r="L5736" s="3565">
        <v>13267.64</v>
      </c>
      <c r="M5736" s="3565">
        <v>0</v>
      </c>
      <c r="N5736" s="3565">
        <v>0</v>
      </c>
      <c r="O5736" s="3563" t="s">
        <v>3453</v>
      </c>
    </row>
    <row r="5737" spans="1:15">
      <c r="A5737" s="3563" t="s">
        <v>9966</v>
      </c>
      <c r="B5737" s="3563" t="s">
        <v>4196</v>
      </c>
      <c r="C5737" s="3563" t="s">
        <v>4197</v>
      </c>
      <c r="D5737" s="3563" t="s">
        <v>6429</v>
      </c>
      <c r="E5737" s="3563" t="s">
        <v>9824</v>
      </c>
      <c r="F5737" s="3563" t="s">
        <v>4797</v>
      </c>
      <c r="G5737" s="3564">
        <v>100.93</v>
      </c>
      <c r="H5737" s="3564">
        <v>81.62</v>
      </c>
      <c r="I5737" s="3564">
        <v>19.309999999999999</v>
      </c>
      <c r="J5737" s="3565">
        <v>1082905</v>
      </c>
      <c r="K5737" s="3565">
        <v>10729.27</v>
      </c>
      <c r="L5737" s="3565">
        <v>13267.64</v>
      </c>
      <c r="M5737" s="3565">
        <v>0</v>
      </c>
      <c r="N5737" s="3565">
        <v>0</v>
      </c>
      <c r="O5737" s="3563" t="s">
        <v>3453</v>
      </c>
    </row>
    <row r="5738" spans="1:15">
      <c r="A5738" s="3563" t="s">
        <v>9967</v>
      </c>
      <c r="B5738" s="3563" t="s">
        <v>4196</v>
      </c>
      <c r="C5738" s="3563" t="s">
        <v>4197</v>
      </c>
      <c r="D5738" s="3563" t="s">
        <v>6429</v>
      </c>
      <c r="E5738" s="3563" t="s">
        <v>9824</v>
      </c>
      <c r="F5738" s="3563" t="s">
        <v>4797</v>
      </c>
      <c r="G5738" s="3564">
        <v>109.36</v>
      </c>
      <c r="H5738" s="3564">
        <v>88.44</v>
      </c>
      <c r="I5738" s="3564">
        <v>20.92</v>
      </c>
      <c r="J5738" s="3565">
        <v>1132632</v>
      </c>
      <c r="K5738" s="3565">
        <v>10356.91</v>
      </c>
      <c r="L5738" s="3565">
        <v>12806.78</v>
      </c>
      <c r="M5738" s="3565">
        <v>0</v>
      </c>
      <c r="N5738" s="3565">
        <v>0</v>
      </c>
      <c r="O5738" s="3563" t="s">
        <v>3453</v>
      </c>
    </row>
    <row r="5739" spans="1:15">
      <c r="A5739" s="3563" t="s">
        <v>9968</v>
      </c>
      <c r="B5739" s="3563" t="s">
        <v>4196</v>
      </c>
      <c r="C5739" s="3563" t="s">
        <v>4197</v>
      </c>
      <c r="D5739" s="3563" t="s">
        <v>6429</v>
      </c>
      <c r="E5739" s="3563" t="s">
        <v>9824</v>
      </c>
      <c r="F5739" s="3563" t="s">
        <v>4797</v>
      </c>
      <c r="G5739" s="3564">
        <v>100.93</v>
      </c>
      <c r="H5739" s="3564">
        <v>81.62</v>
      </c>
      <c r="I5739" s="3564">
        <v>19.309999999999999</v>
      </c>
      <c r="J5739" s="3565">
        <v>1034587</v>
      </c>
      <c r="K5739" s="3565">
        <v>10250.540000000001</v>
      </c>
      <c r="L5739" s="3565">
        <v>12675.66</v>
      </c>
      <c r="M5739" s="3565">
        <v>0</v>
      </c>
      <c r="N5739" s="3565">
        <v>0</v>
      </c>
      <c r="O5739" s="3563" t="s">
        <v>3453</v>
      </c>
    </row>
    <row r="5740" spans="1:15">
      <c r="A5740" s="3563" t="s">
        <v>9969</v>
      </c>
      <c r="B5740" s="3563" t="s">
        <v>4196</v>
      </c>
      <c r="C5740" s="3563" t="s">
        <v>4197</v>
      </c>
      <c r="D5740" s="3563" t="s">
        <v>6429</v>
      </c>
      <c r="E5740" s="3563" t="s">
        <v>9824</v>
      </c>
      <c r="F5740" s="3563" t="s">
        <v>4797</v>
      </c>
      <c r="G5740" s="3564">
        <v>100.93</v>
      </c>
      <c r="H5740" s="3564">
        <v>81.62</v>
      </c>
      <c r="I5740" s="3564">
        <v>19.309999999999999</v>
      </c>
      <c r="J5740" s="3565">
        <v>1034587</v>
      </c>
      <c r="K5740" s="3565">
        <v>10250.540000000001</v>
      </c>
      <c r="L5740" s="3565">
        <v>12675.66</v>
      </c>
      <c r="M5740" s="3565">
        <v>0</v>
      </c>
      <c r="N5740" s="3565">
        <v>0</v>
      </c>
      <c r="O5740" s="3563" t="s">
        <v>3453</v>
      </c>
    </row>
    <row r="5741" spans="1:15">
      <c r="A5741" s="3563" t="s">
        <v>9970</v>
      </c>
      <c r="B5741" s="3563" t="s">
        <v>4196</v>
      </c>
      <c r="C5741" s="3563" t="s">
        <v>4197</v>
      </c>
      <c r="D5741" s="3563" t="s">
        <v>6429</v>
      </c>
      <c r="E5741" s="3563" t="s">
        <v>9824</v>
      </c>
      <c r="F5741" s="3563" t="s">
        <v>4797</v>
      </c>
      <c r="G5741" s="3564">
        <v>123.69</v>
      </c>
      <c r="H5741" s="3564">
        <v>100.03</v>
      </c>
      <c r="I5741" s="3564">
        <v>23.66</v>
      </c>
      <c r="J5741" s="3565">
        <v>1287626</v>
      </c>
      <c r="K5741" s="3565">
        <v>10410.11</v>
      </c>
      <c r="L5741" s="3565">
        <v>12872.4</v>
      </c>
      <c r="M5741" s="3565">
        <v>0</v>
      </c>
      <c r="N5741" s="3565">
        <v>0</v>
      </c>
      <c r="O5741" s="3563" t="s">
        <v>3453</v>
      </c>
    </row>
    <row r="5742" spans="1:15">
      <c r="A5742" s="3563" t="s">
        <v>9971</v>
      </c>
      <c r="B5742" s="3563" t="s">
        <v>4196</v>
      </c>
      <c r="C5742" s="3563" t="s">
        <v>4197</v>
      </c>
      <c r="D5742" s="3563" t="s">
        <v>6429</v>
      </c>
      <c r="E5742" s="3563" t="s">
        <v>9824</v>
      </c>
      <c r="F5742" s="3563" t="s">
        <v>4797</v>
      </c>
      <c r="G5742" s="3564">
        <v>100.93</v>
      </c>
      <c r="H5742" s="3564">
        <v>81.62</v>
      </c>
      <c r="I5742" s="3564">
        <v>19.309999999999999</v>
      </c>
      <c r="J5742" s="3565">
        <v>1083978</v>
      </c>
      <c r="K5742" s="3565">
        <v>10739.9</v>
      </c>
      <c r="L5742" s="3565">
        <v>13280.79</v>
      </c>
      <c r="M5742" s="3565">
        <v>0</v>
      </c>
      <c r="N5742" s="3565">
        <v>0</v>
      </c>
      <c r="O5742" s="3563" t="s">
        <v>3453</v>
      </c>
    </row>
    <row r="5743" spans="1:15">
      <c r="A5743" s="3563" t="s">
        <v>9972</v>
      </c>
      <c r="B5743" s="3563" t="s">
        <v>4196</v>
      </c>
      <c r="C5743" s="3563" t="s">
        <v>4197</v>
      </c>
      <c r="D5743" s="3563" t="s">
        <v>6429</v>
      </c>
      <c r="E5743" s="3563" t="s">
        <v>9824</v>
      </c>
      <c r="F5743" s="3563" t="s">
        <v>4797</v>
      </c>
      <c r="G5743" s="3564">
        <v>100.93</v>
      </c>
      <c r="H5743" s="3564">
        <v>81.62</v>
      </c>
      <c r="I5743" s="3564">
        <v>19.309999999999999</v>
      </c>
      <c r="J5743" s="3565">
        <v>1083978</v>
      </c>
      <c r="K5743" s="3565">
        <v>10739.9</v>
      </c>
      <c r="L5743" s="3565">
        <v>13280.79</v>
      </c>
      <c r="M5743" s="3565">
        <v>0</v>
      </c>
      <c r="N5743" s="3565">
        <v>0</v>
      </c>
      <c r="O5743" s="3563" t="s">
        <v>3453</v>
      </c>
    </row>
    <row r="5744" spans="1:15">
      <c r="A5744" s="3563" t="s">
        <v>9973</v>
      </c>
      <c r="B5744" s="3563" t="s">
        <v>4196</v>
      </c>
      <c r="C5744" s="3563" t="s">
        <v>4197</v>
      </c>
      <c r="D5744" s="3563" t="s">
        <v>6429</v>
      </c>
      <c r="E5744" s="3563" t="s">
        <v>9824</v>
      </c>
      <c r="F5744" s="3563" t="s">
        <v>4797</v>
      </c>
      <c r="G5744" s="3564">
        <v>109.36</v>
      </c>
      <c r="H5744" s="3564">
        <v>88.44</v>
      </c>
      <c r="I5744" s="3564">
        <v>20.92</v>
      </c>
      <c r="J5744" s="3565">
        <v>1133796</v>
      </c>
      <c r="K5744" s="3565">
        <v>10367.56</v>
      </c>
      <c r="L5744" s="3565">
        <v>12819.95</v>
      </c>
      <c r="M5744" s="3565">
        <v>0</v>
      </c>
      <c r="N5744" s="3565">
        <v>0</v>
      </c>
      <c r="O5744" s="3563" t="s">
        <v>3453</v>
      </c>
    </row>
    <row r="5745" spans="1:15">
      <c r="A5745" s="3563" t="s">
        <v>9974</v>
      </c>
      <c r="B5745" s="3563" t="s">
        <v>4196</v>
      </c>
      <c r="C5745" s="3563" t="s">
        <v>4197</v>
      </c>
      <c r="D5745" s="3563" t="s">
        <v>6429</v>
      </c>
      <c r="E5745" s="3563" t="s">
        <v>9824</v>
      </c>
      <c r="F5745" s="3563" t="s">
        <v>4797</v>
      </c>
      <c r="G5745" s="3564">
        <v>100.93</v>
      </c>
      <c r="H5745" s="3564">
        <v>81.62</v>
      </c>
      <c r="I5745" s="3564">
        <v>19.309999999999999</v>
      </c>
      <c r="J5745" s="3565">
        <v>1035660</v>
      </c>
      <c r="K5745" s="3565">
        <v>10261.17</v>
      </c>
      <c r="L5745" s="3565">
        <v>12688.8</v>
      </c>
      <c r="M5745" s="3565">
        <v>0</v>
      </c>
      <c r="N5745" s="3565">
        <v>0</v>
      </c>
      <c r="O5745" s="3563" t="s">
        <v>3453</v>
      </c>
    </row>
    <row r="5746" spans="1:15">
      <c r="A5746" s="3563" t="s">
        <v>9975</v>
      </c>
      <c r="B5746" s="3563" t="s">
        <v>4196</v>
      </c>
      <c r="C5746" s="3563" t="s">
        <v>4197</v>
      </c>
      <c r="D5746" s="3563" t="s">
        <v>6429</v>
      </c>
      <c r="E5746" s="3563" t="s">
        <v>9824</v>
      </c>
      <c r="F5746" s="3563" t="s">
        <v>4797</v>
      </c>
      <c r="G5746" s="3564">
        <v>100.93</v>
      </c>
      <c r="H5746" s="3564">
        <v>81.62</v>
      </c>
      <c r="I5746" s="3564">
        <v>19.309999999999999</v>
      </c>
      <c r="J5746" s="3565">
        <v>1035660</v>
      </c>
      <c r="K5746" s="3565">
        <v>10261.17</v>
      </c>
      <c r="L5746" s="3565">
        <v>12688.8</v>
      </c>
      <c r="M5746" s="3565">
        <v>0</v>
      </c>
      <c r="N5746" s="3565">
        <v>0</v>
      </c>
      <c r="O5746" s="3563" t="s">
        <v>3453</v>
      </c>
    </row>
    <row r="5747" spans="1:15">
      <c r="A5747" s="3563" t="s">
        <v>9976</v>
      </c>
      <c r="B5747" s="3563" t="s">
        <v>4196</v>
      </c>
      <c r="C5747" s="3563" t="s">
        <v>4197</v>
      </c>
      <c r="D5747" s="3563" t="s">
        <v>6429</v>
      </c>
      <c r="E5747" s="3563" t="s">
        <v>9824</v>
      </c>
      <c r="F5747" s="3563" t="s">
        <v>4797</v>
      </c>
      <c r="G5747" s="3564">
        <v>123.69</v>
      </c>
      <c r="H5747" s="3564">
        <v>100.03</v>
      </c>
      <c r="I5747" s="3564">
        <v>23.66</v>
      </c>
      <c r="J5747" s="3565">
        <v>1288942</v>
      </c>
      <c r="K5747" s="3565">
        <v>10420.75</v>
      </c>
      <c r="L5747" s="3565">
        <v>12885.55</v>
      </c>
      <c r="M5747" s="3565">
        <v>0</v>
      </c>
      <c r="N5747" s="3565">
        <v>0</v>
      </c>
      <c r="O5747" s="3563" t="s">
        <v>3453</v>
      </c>
    </row>
    <row r="5748" spans="1:15">
      <c r="A5748" s="3563" t="s">
        <v>9977</v>
      </c>
      <c r="B5748" s="3563" t="s">
        <v>4196</v>
      </c>
      <c r="C5748" s="3563" t="s">
        <v>4197</v>
      </c>
      <c r="D5748" s="3563" t="s">
        <v>6429</v>
      </c>
      <c r="E5748" s="3563" t="s">
        <v>9978</v>
      </c>
      <c r="F5748" s="3563" t="s">
        <v>4949</v>
      </c>
      <c r="G5748" s="3564">
        <v>142.15</v>
      </c>
      <c r="H5748" s="3564">
        <v>119.17</v>
      </c>
      <c r="I5748" s="3564">
        <v>22.98</v>
      </c>
      <c r="J5748" s="3565">
        <v>1926135</v>
      </c>
      <c r="K5748" s="3565">
        <v>13550.02</v>
      </c>
      <c r="L5748" s="3565">
        <v>16162.92</v>
      </c>
      <c r="M5748" s="3565">
        <v>0</v>
      </c>
      <c r="N5748" s="3565">
        <v>0</v>
      </c>
      <c r="O5748" s="3563" t="s">
        <v>3453</v>
      </c>
    </row>
    <row r="5749" spans="1:15">
      <c r="A5749" s="3563" t="s">
        <v>9979</v>
      </c>
      <c r="B5749" s="3563" t="s">
        <v>4196</v>
      </c>
      <c r="C5749" s="3563" t="s">
        <v>4197</v>
      </c>
      <c r="D5749" s="3563" t="s">
        <v>6429</v>
      </c>
      <c r="E5749" s="3563" t="s">
        <v>9978</v>
      </c>
      <c r="F5749" s="3563" t="s">
        <v>4949</v>
      </c>
      <c r="G5749" s="3564">
        <v>142.15</v>
      </c>
      <c r="H5749" s="3564">
        <v>119.17</v>
      </c>
      <c r="I5749" s="3564">
        <v>22.98</v>
      </c>
      <c r="J5749" s="3565">
        <v>1984257</v>
      </c>
      <c r="K5749" s="3565">
        <v>13958.9</v>
      </c>
      <c r="L5749" s="3565">
        <v>16650.64</v>
      </c>
      <c r="M5749" s="3565">
        <v>0</v>
      </c>
      <c r="N5749" s="3565">
        <v>0</v>
      </c>
      <c r="O5749" s="3563" t="s">
        <v>3453</v>
      </c>
    </row>
    <row r="5750" spans="1:15">
      <c r="A5750" s="3563" t="s">
        <v>9980</v>
      </c>
      <c r="B5750" s="3563" t="s">
        <v>4196</v>
      </c>
      <c r="C5750" s="3563" t="s">
        <v>4197</v>
      </c>
      <c r="D5750" s="3563" t="s">
        <v>6429</v>
      </c>
      <c r="E5750" s="3563" t="s">
        <v>9978</v>
      </c>
      <c r="F5750" s="3563" t="s">
        <v>4949</v>
      </c>
      <c r="G5750" s="3564">
        <v>112.01</v>
      </c>
      <c r="H5750" s="3564">
        <v>91.75</v>
      </c>
      <c r="I5750" s="3564">
        <v>20.260000000000002</v>
      </c>
      <c r="J5750" s="3565">
        <v>1595402</v>
      </c>
      <c r="K5750" s="3565">
        <v>14243.39</v>
      </c>
      <c r="L5750" s="3565">
        <v>17388.580000000002</v>
      </c>
      <c r="M5750" s="3565">
        <v>0</v>
      </c>
      <c r="N5750" s="3565">
        <v>0</v>
      </c>
      <c r="O5750" s="3563" t="s">
        <v>3453</v>
      </c>
    </row>
    <row r="5751" spans="1:15">
      <c r="A5751" s="3563" t="s">
        <v>9981</v>
      </c>
      <c r="B5751" s="3563" t="s">
        <v>4196</v>
      </c>
      <c r="C5751" s="3563" t="s">
        <v>4197</v>
      </c>
      <c r="D5751" s="3563" t="s">
        <v>6429</v>
      </c>
      <c r="E5751" s="3563" t="s">
        <v>9978</v>
      </c>
      <c r="F5751" s="3563" t="s">
        <v>4949</v>
      </c>
      <c r="G5751" s="3564">
        <v>112.01</v>
      </c>
      <c r="H5751" s="3564">
        <v>91.75</v>
      </c>
      <c r="I5751" s="3564">
        <v>20.260000000000002</v>
      </c>
      <c r="J5751" s="3565">
        <v>1654981</v>
      </c>
      <c r="K5751" s="3565">
        <v>14775.3</v>
      </c>
      <c r="L5751" s="3565">
        <v>18037.939999999999</v>
      </c>
      <c r="M5751" s="3565">
        <v>0</v>
      </c>
      <c r="N5751" s="3565">
        <v>0</v>
      </c>
      <c r="O5751" s="3563" t="s">
        <v>3453</v>
      </c>
    </row>
    <row r="5752" spans="1:15">
      <c r="A5752" s="3563" t="s">
        <v>9982</v>
      </c>
      <c r="B5752" s="3563" t="s">
        <v>4196</v>
      </c>
      <c r="C5752" s="3563" t="s">
        <v>4197</v>
      </c>
      <c r="D5752" s="3563" t="s">
        <v>6429</v>
      </c>
      <c r="E5752" s="3563" t="s">
        <v>9978</v>
      </c>
      <c r="F5752" s="3563" t="s">
        <v>4949</v>
      </c>
      <c r="G5752" s="3564">
        <v>142.15</v>
      </c>
      <c r="H5752" s="3564">
        <v>119.17</v>
      </c>
      <c r="I5752" s="3564">
        <v>22.98</v>
      </c>
      <c r="J5752" s="3565">
        <v>2216916</v>
      </c>
      <c r="K5752" s="3565">
        <v>15595.61</v>
      </c>
      <c r="L5752" s="3565">
        <v>18602.97</v>
      </c>
      <c r="M5752" s="3565">
        <v>0</v>
      </c>
      <c r="N5752" s="3565">
        <v>0</v>
      </c>
      <c r="O5752" s="3563" t="s">
        <v>3453</v>
      </c>
    </row>
    <row r="5753" spans="1:15">
      <c r="A5753" s="3563" t="s">
        <v>9983</v>
      </c>
      <c r="B5753" s="3563" t="s">
        <v>4196</v>
      </c>
      <c r="C5753" s="3563" t="s">
        <v>4197</v>
      </c>
      <c r="D5753" s="3563" t="s">
        <v>6429</v>
      </c>
      <c r="E5753" s="3563" t="s">
        <v>9978</v>
      </c>
      <c r="F5753" s="3563" t="s">
        <v>4949</v>
      </c>
      <c r="G5753" s="3564">
        <v>142.15</v>
      </c>
      <c r="H5753" s="3564">
        <v>119.17</v>
      </c>
      <c r="I5753" s="3564">
        <v>22.98</v>
      </c>
      <c r="J5753" s="3565">
        <v>1926103</v>
      </c>
      <c r="K5753" s="3565">
        <v>13549.79</v>
      </c>
      <c r="L5753" s="3565">
        <v>16162.65</v>
      </c>
      <c r="M5753" s="3565">
        <v>0</v>
      </c>
      <c r="N5753" s="3565">
        <v>0</v>
      </c>
      <c r="O5753" s="3563" t="s">
        <v>3453</v>
      </c>
    </row>
    <row r="5754" spans="1:15">
      <c r="A5754" s="3563" t="s">
        <v>9984</v>
      </c>
      <c r="B5754" s="3563" t="s">
        <v>4196</v>
      </c>
      <c r="C5754" s="3563" t="s">
        <v>4197</v>
      </c>
      <c r="D5754" s="3563" t="s">
        <v>6429</v>
      </c>
      <c r="E5754" s="3563" t="s">
        <v>9978</v>
      </c>
      <c r="F5754" s="3563" t="s">
        <v>4949</v>
      </c>
      <c r="G5754" s="3564">
        <v>112.01</v>
      </c>
      <c r="H5754" s="3564">
        <v>91.75</v>
      </c>
      <c r="I5754" s="3564">
        <v>20.260000000000002</v>
      </c>
      <c r="J5754" s="3565">
        <v>1654981</v>
      </c>
      <c r="K5754" s="3565">
        <v>14775.3</v>
      </c>
      <c r="L5754" s="3565">
        <v>18037.939999999999</v>
      </c>
      <c r="M5754" s="3565">
        <v>0</v>
      </c>
      <c r="N5754" s="3565">
        <v>0</v>
      </c>
      <c r="O5754" s="3563" t="s">
        <v>3453</v>
      </c>
    </row>
    <row r="5755" spans="1:15">
      <c r="A5755" s="3563" t="s">
        <v>9985</v>
      </c>
      <c r="B5755" s="3563" t="s">
        <v>4196</v>
      </c>
      <c r="C5755" s="3563" t="s">
        <v>4197</v>
      </c>
      <c r="D5755" s="3563" t="s">
        <v>6429</v>
      </c>
      <c r="E5755" s="3563" t="s">
        <v>9978</v>
      </c>
      <c r="F5755" s="3563" t="s">
        <v>4949</v>
      </c>
      <c r="G5755" s="3564">
        <v>112.01</v>
      </c>
      <c r="H5755" s="3564">
        <v>91.75</v>
      </c>
      <c r="I5755" s="3564">
        <v>20.260000000000002</v>
      </c>
      <c r="J5755" s="3565">
        <v>1595402</v>
      </c>
      <c r="K5755" s="3565">
        <v>14243.39</v>
      </c>
      <c r="L5755" s="3565">
        <v>17388.580000000002</v>
      </c>
      <c r="M5755" s="3565">
        <v>0</v>
      </c>
      <c r="N5755" s="3565">
        <v>0</v>
      </c>
      <c r="O5755" s="3563" t="s">
        <v>3453</v>
      </c>
    </row>
    <row r="5756" spans="1:15">
      <c r="A5756" s="3563" t="s">
        <v>9986</v>
      </c>
      <c r="B5756" s="3563" t="s">
        <v>4196</v>
      </c>
      <c r="C5756" s="3563" t="s">
        <v>4197</v>
      </c>
      <c r="D5756" s="3563" t="s">
        <v>6429</v>
      </c>
      <c r="E5756" s="3563" t="s">
        <v>9987</v>
      </c>
      <c r="F5756" s="3563" t="s">
        <v>4949</v>
      </c>
      <c r="G5756" s="3564">
        <v>142.15</v>
      </c>
      <c r="H5756" s="3564">
        <v>119.17</v>
      </c>
      <c r="I5756" s="3564">
        <v>22.98</v>
      </c>
      <c r="J5756" s="3565">
        <v>1865645</v>
      </c>
      <c r="K5756" s="3565">
        <v>13124.48</v>
      </c>
      <c r="L5756" s="3565">
        <v>15655.32</v>
      </c>
      <c r="M5756" s="3565">
        <v>0</v>
      </c>
      <c r="N5756" s="3565">
        <v>0</v>
      </c>
      <c r="O5756" s="3563" t="s">
        <v>3453</v>
      </c>
    </row>
    <row r="5757" spans="1:15">
      <c r="A5757" s="3563" t="s">
        <v>9988</v>
      </c>
      <c r="B5757" s="3563" t="s">
        <v>4196</v>
      </c>
      <c r="C5757" s="3563" t="s">
        <v>4197</v>
      </c>
      <c r="D5757" s="3563" t="s">
        <v>6429</v>
      </c>
      <c r="E5757" s="3563" t="s">
        <v>9987</v>
      </c>
      <c r="F5757" s="3563" t="s">
        <v>4949</v>
      </c>
      <c r="G5757" s="3564">
        <v>142.15</v>
      </c>
      <c r="H5757" s="3564">
        <v>119.17</v>
      </c>
      <c r="I5757" s="3564">
        <v>22.98</v>
      </c>
      <c r="J5757" s="3565">
        <v>2156299</v>
      </c>
      <c r="K5757" s="3565">
        <v>15169.18</v>
      </c>
      <c r="L5757" s="3565">
        <v>18094.310000000001</v>
      </c>
      <c r="M5757" s="3565">
        <v>0</v>
      </c>
      <c r="N5757" s="3565">
        <v>0</v>
      </c>
      <c r="O5757" s="3563" t="s">
        <v>3453</v>
      </c>
    </row>
    <row r="5758" spans="1:15">
      <c r="A5758" s="3563" t="s">
        <v>9989</v>
      </c>
      <c r="B5758" s="3563" t="s">
        <v>4196</v>
      </c>
      <c r="C5758" s="3563" t="s">
        <v>4197</v>
      </c>
      <c r="D5758" s="3563" t="s">
        <v>6429</v>
      </c>
      <c r="E5758" s="3563" t="s">
        <v>9987</v>
      </c>
      <c r="F5758" s="3563" t="s">
        <v>4949</v>
      </c>
      <c r="G5758" s="3564">
        <v>112.01</v>
      </c>
      <c r="H5758" s="3564">
        <v>91.75</v>
      </c>
      <c r="I5758" s="3564">
        <v>20.260000000000002</v>
      </c>
      <c r="J5758" s="3565">
        <v>1547738</v>
      </c>
      <c r="K5758" s="3565">
        <v>13817.86</v>
      </c>
      <c r="L5758" s="3565">
        <v>16869.080000000002</v>
      </c>
      <c r="M5758" s="3565">
        <v>0</v>
      </c>
      <c r="N5758" s="3565">
        <v>0</v>
      </c>
      <c r="O5758" s="3563" t="s">
        <v>3453</v>
      </c>
    </row>
    <row r="5759" spans="1:15">
      <c r="A5759" s="3563" t="s">
        <v>9990</v>
      </c>
      <c r="B5759" s="3563" t="s">
        <v>4196</v>
      </c>
      <c r="C5759" s="3563" t="s">
        <v>4197</v>
      </c>
      <c r="D5759" s="3563" t="s">
        <v>6429</v>
      </c>
      <c r="E5759" s="3563" t="s">
        <v>9987</v>
      </c>
      <c r="F5759" s="3563" t="s">
        <v>4949</v>
      </c>
      <c r="G5759" s="3564">
        <v>112.01</v>
      </c>
      <c r="H5759" s="3564">
        <v>91.75</v>
      </c>
      <c r="I5759" s="3564">
        <v>20.260000000000002</v>
      </c>
      <c r="J5759" s="3565">
        <v>1607318</v>
      </c>
      <c r="K5759" s="3565">
        <v>14349.77</v>
      </c>
      <c r="L5759" s="3565">
        <v>17518.45</v>
      </c>
      <c r="M5759" s="3565">
        <v>0</v>
      </c>
      <c r="N5759" s="3565">
        <v>0</v>
      </c>
      <c r="O5759" s="3563" t="s">
        <v>3453</v>
      </c>
    </row>
    <row r="5760" spans="1:15">
      <c r="A5760" s="3563" t="s">
        <v>9991</v>
      </c>
      <c r="B5760" s="3563" t="s">
        <v>4196</v>
      </c>
      <c r="C5760" s="3563" t="s">
        <v>4197</v>
      </c>
      <c r="D5760" s="3563" t="s">
        <v>6429</v>
      </c>
      <c r="E5760" s="3563" t="s">
        <v>9987</v>
      </c>
      <c r="F5760" s="3563" t="s">
        <v>4949</v>
      </c>
      <c r="G5760" s="3564">
        <v>142.15</v>
      </c>
      <c r="H5760" s="3564">
        <v>119.17</v>
      </c>
      <c r="I5760" s="3564">
        <v>22.98</v>
      </c>
      <c r="J5760" s="3565">
        <v>1872283</v>
      </c>
      <c r="K5760" s="3565">
        <v>13171.18</v>
      </c>
      <c r="L5760" s="3565">
        <v>15711.03</v>
      </c>
      <c r="M5760" s="3565">
        <v>0</v>
      </c>
      <c r="N5760" s="3565">
        <v>0</v>
      </c>
      <c r="O5760" s="3563" t="s">
        <v>3453</v>
      </c>
    </row>
    <row r="5761" spans="1:15">
      <c r="A5761" s="3563" t="s">
        <v>9992</v>
      </c>
      <c r="B5761" s="3563" t="s">
        <v>4196</v>
      </c>
      <c r="C5761" s="3563" t="s">
        <v>4197</v>
      </c>
      <c r="D5761" s="3563" t="s">
        <v>6429</v>
      </c>
      <c r="E5761" s="3563" t="s">
        <v>9987</v>
      </c>
      <c r="F5761" s="3563" t="s">
        <v>4949</v>
      </c>
      <c r="G5761" s="3564">
        <v>142.15</v>
      </c>
      <c r="H5761" s="3564">
        <v>119.17</v>
      </c>
      <c r="I5761" s="3564">
        <v>22.98</v>
      </c>
      <c r="J5761" s="3565">
        <v>1865645</v>
      </c>
      <c r="K5761" s="3565">
        <v>13124.48</v>
      </c>
      <c r="L5761" s="3565">
        <v>15655.32</v>
      </c>
      <c r="M5761" s="3565">
        <v>0</v>
      </c>
      <c r="N5761" s="3565">
        <v>0</v>
      </c>
      <c r="O5761" s="3563" t="s">
        <v>3453</v>
      </c>
    </row>
    <row r="5762" spans="1:15">
      <c r="A5762" s="3563" t="s">
        <v>9993</v>
      </c>
      <c r="B5762" s="3563" t="s">
        <v>4196</v>
      </c>
      <c r="C5762" s="3563" t="s">
        <v>4197</v>
      </c>
      <c r="D5762" s="3563" t="s">
        <v>6429</v>
      </c>
      <c r="E5762" s="3563" t="s">
        <v>9987</v>
      </c>
      <c r="F5762" s="3563" t="s">
        <v>4949</v>
      </c>
      <c r="G5762" s="3564">
        <v>112.01</v>
      </c>
      <c r="H5762" s="3564">
        <v>91.75</v>
      </c>
      <c r="I5762" s="3564">
        <v>20.260000000000002</v>
      </c>
      <c r="J5762" s="3565">
        <v>1547738</v>
      </c>
      <c r="K5762" s="3565">
        <v>13817.86</v>
      </c>
      <c r="L5762" s="3565">
        <v>16869.080000000002</v>
      </c>
      <c r="M5762" s="3565">
        <v>0</v>
      </c>
      <c r="N5762" s="3565">
        <v>0</v>
      </c>
      <c r="O5762" s="3563" t="s">
        <v>3453</v>
      </c>
    </row>
    <row r="5763" spans="1:15">
      <c r="A5763" s="3563" t="s">
        <v>9994</v>
      </c>
      <c r="B5763" s="3563" t="s">
        <v>4196</v>
      </c>
      <c r="C5763" s="3563" t="s">
        <v>4197</v>
      </c>
      <c r="D5763" s="3563" t="s">
        <v>6429</v>
      </c>
      <c r="E5763" s="3563" t="s">
        <v>9987</v>
      </c>
      <c r="F5763" s="3563" t="s">
        <v>4949</v>
      </c>
      <c r="G5763" s="3564">
        <v>112.01</v>
      </c>
      <c r="H5763" s="3564">
        <v>91.75</v>
      </c>
      <c r="I5763" s="3564">
        <v>20.260000000000002</v>
      </c>
      <c r="J5763" s="3565">
        <v>1547738</v>
      </c>
      <c r="K5763" s="3565">
        <v>13817.86</v>
      </c>
      <c r="L5763" s="3565">
        <v>16869.080000000002</v>
      </c>
      <c r="M5763" s="3565">
        <v>0</v>
      </c>
      <c r="N5763" s="3565">
        <v>0</v>
      </c>
      <c r="O5763" s="3563" t="s">
        <v>3453</v>
      </c>
    </row>
    <row r="5764" spans="1:15">
      <c r="A5764" s="3563" t="s">
        <v>9995</v>
      </c>
      <c r="B5764" s="3563" t="s">
        <v>4196</v>
      </c>
      <c r="C5764" s="3563" t="s">
        <v>4197</v>
      </c>
      <c r="D5764" s="3563" t="s">
        <v>6429</v>
      </c>
      <c r="E5764" s="3563" t="s">
        <v>9987</v>
      </c>
      <c r="F5764" s="3563" t="s">
        <v>4949</v>
      </c>
      <c r="G5764" s="3564">
        <v>142.15</v>
      </c>
      <c r="H5764" s="3564">
        <v>119.17</v>
      </c>
      <c r="I5764" s="3564">
        <v>22.98</v>
      </c>
      <c r="J5764" s="3565">
        <v>1865645</v>
      </c>
      <c r="K5764" s="3565">
        <v>13124.48</v>
      </c>
      <c r="L5764" s="3565">
        <v>15655.32</v>
      </c>
      <c r="M5764" s="3565">
        <v>0</v>
      </c>
      <c r="N5764" s="3565">
        <v>0</v>
      </c>
      <c r="O5764" s="3563" t="s">
        <v>3453</v>
      </c>
    </row>
    <row r="5765" spans="1:15">
      <c r="A5765" s="3563" t="s">
        <v>9996</v>
      </c>
      <c r="B5765" s="3563" t="s">
        <v>4196</v>
      </c>
      <c r="C5765" s="3563" t="s">
        <v>4197</v>
      </c>
      <c r="D5765" s="3563" t="s">
        <v>6429</v>
      </c>
      <c r="E5765" s="3563" t="s">
        <v>9987</v>
      </c>
      <c r="F5765" s="3563" t="s">
        <v>4949</v>
      </c>
      <c r="G5765" s="3564">
        <v>142.15</v>
      </c>
      <c r="H5765" s="3564">
        <v>119.17</v>
      </c>
      <c r="I5765" s="3564">
        <v>22.98</v>
      </c>
      <c r="J5765" s="3565">
        <v>1872635</v>
      </c>
      <c r="K5765" s="3565">
        <v>13173.65</v>
      </c>
      <c r="L5765" s="3565">
        <v>15713.98</v>
      </c>
      <c r="M5765" s="3565">
        <v>0</v>
      </c>
      <c r="N5765" s="3565">
        <v>0</v>
      </c>
      <c r="O5765" s="3563" t="s">
        <v>3453</v>
      </c>
    </row>
    <row r="5766" spans="1:15">
      <c r="A5766" s="3563" t="s">
        <v>9997</v>
      </c>
      <c r="B5766" s="3563" t="s">
        <v>4196</v>
      </c>
      <c r="C5766" s="3563" t="s">
        <v>4197</v>
      </c>
      <c r="D5766" s="3563" t="s">
        <v>6429</v>
      </c>
      <c r="E5766" s="3563" t="s">
        <v>9987</v>
      </c>
      <c r="F5766" s="3563" t="s">
        <v>4949</v>
      </c>
      <c r="G5766" s="3564">
        <v>112.01</v>
      </c>
      <c r="H5766" s="3564">
        <v>91.75</v>
      </c>
      <c r="I5766" s="3564">
        <v>20.260000000000002</v>
      </c>
      <c r="J5766" s="3565">
        <v>1547738</v>
      </c>
      <c r="K5766" s="3565">
        <v>13817.86</v>
      </c>
      <c r="L5766" s="3565">
        <v>16869.080000000002</v>
      </c>
      <c r="M5766" s="3565">
        <v>0</v>
      </c>
      <c r="N5766" s="3565">
        <v>0</v>
      </c>
      <c r="O5766" s="3563" t="s">
        <v>3453</v>
      </c>
    </row>
    <row r="5767" spans="1:15">
      <c r="A5767" s="3563" t="s">
        <v>9998</v>
      </c>
      <c r="B5767" s="3563" t="s">
        <v>4196</v>
      </c>
      <c r="C5767" s="3563" t="s">
        <v>4197</v>
      </c>
      <c r="D5767" s="3563" t="s">
        <v>6429</v>
      </c>
      <c r="E5767" s="3563" t="s">
        <v>9987</v>
      </c>
      <c r="F5767" s="3563" t="s">
        <v>4949</v>
      </c>
      <c r="G5767" s="3564">
        <v>112.01</v>
      </c>
      <c r="H5767" s="3564">
        <v>91.75</v>
      </c>
      <c r="I5767" s="3564">
        <v>20.260000000000002</v>
      </c>
      <c r="J5767" s="3565">
        <v>1547738</v>
      </c>
      <c r="K5767" s="3565">
        <v>13817.86</v>
      </c>
      <c r="L5767" s="3565">
        <v>16869.080000000002</v>
      </c>
      <c r="M5767" s="3565">
        <v>0</v>
      </c>
      <c r="N5767" s="3565">
        <v>0</v>
      </c>
      <c r="O5767" s="3563" t="s">
        <v>3453</v>
      </c>
    </row>
    <row r="5768" spans="1:15">
      <c r="A5768" s="3563" t="s">
        <v>9999</v>
      </c>
      <c r="B5768" s="3563" t="s">
        <v>4196</v>
      </c>
      <c r="C5768" s="3563" t="s">
        <v>4197</v>
      </c>
      <c r="D5768" s="3563" t="s">
        <v>6429</v>
      </c>
      <c r="E5768" s="3563" t="s">
        <v>9987</v>
      </c>
      <c r="F5768" s="3563" t="s">
        <v>4949</v>
      </c>
      <c r="G5768" s="3564">
        <v>142.15</v>
      </c>
      <c r="H5768" s="3564">
        <v>119.17</v>
      </c>
      <c r="I5768" s="3564">
        <v>22.98</v>
      </c>
      <c r="J5768" s="3565">
        <v>2280640</v>
      </c>
      <c r="K5768" s="3565">
        <v>16043.9</v>
      </c>
      <c r="L5768" s="3565">
        <v>19137.7</v>
      </c>
      <c r="M5768" s="3565">
        <v>0</v>
      </c>
      <c r="N5768" s="3565">
        <v>0</v>
      </c>
      <c r="O5768" s="3563" t="s">
        <v>3453</v>
      </c>
    </row>
    <row r="5769" spans="1:15">
      <c r="A5769" s="3563" t="s">
        <v>10000</v>
      </c>
      <c r="B5769" s="3563" t="s">
        <v>4196</v>
      </c>
      <c r="C5769" s="3563" t="s">
        <v>4197</v>
      </c>
      <c r="D5769" s="3563" t="s">
        <v>6429</v>
      </c>
      <c r="E5769" s="3563" t="s">
        <v>9987</v>
      </c>
      <c r="F5769" s="3563" t="s">
        <v>4949</v>
      </c>
      <c r="G5769" s="3564">
        <v>142.15</v>
      </c>
      <c r="H5769" s="3564">
        <v>119.17</v>
      </c>
      <c r="I5769" s="3564">
        <v>22.98</v>
      </c>
      <c r="J5769" s="3565">
        <v>1865645</v>
      </c>
      <c r="K5769" s="3565">
        <v>13124.48</v>
      </c>
      <c r="L5769" s="3565">
        <v>15655.32</v>
      </c>
      <c r="M5769" s="3565">
        <v>0</v>
      </c>
      <c r="N5769" s="3565">
        <v>0</v>
      </c>
      <c r="O5769" s="3563" t="s">
        <v>3453</v>
      </c>
    </row>
    <row r="5770" spans="1:15">
      <c r="A5770" s="3563" t="s">
        <v>10001</v>
      </c>
      <c r="B5770" s="3563" t="s">
        <v>4196</v>
      </c>
      <c r="C5770" s="3563" t="s">
        <v>4197</v>
      </c>
      <c r="D5770" s="3563" t="s">
        <v>6429</v>
      </c>
      <c r="E5770" s="3563" t="s">
        <v>9987</v>
      </c>
      <c r="F5770" s="3563" t="s">
        <v>4949</v>
      </c>
      <c r="G5770" s="3564">
        <v>112.01</v>
      </c>
      <c r="H5770" s="3564">
        <v>91.75</v>
      </c>
      <c r="I5770" s="3564">
        <v>20.260000000000002</v>
      </c>
      <c r="J5770" s="3565">
        <v>1607318</v>
      </c>
      <c r="K5770" s="3565">
        <v>14349.77</v>
      </c>
      <c r="L5770" s="3565">
        <v>17518.45</v>
      </c>
      <c r="M5770" s="3565">
        <v>0</v>
      </c>
      <c r="N5770" s="3565">
        <v>0</v>
      </c>
      <c r="O5770" s="3563" t="s">
        <v>3453</v>
      </c>
    </row>
    <row r="5771" spans="1:15">
      <c r="A5771" s="3563" t="s">
        <v>10002</v>
      </c>
      <c r="B5771" s="3563" t="s">
        <v>4196</v>
      </c>
      <c r="C5771" s="3563" t="s">
        <v>4197</v>
      </c>
      <c r="D5771" s="3563" t="s">
        <v>6429</v>
      </c>
      <c r="E5771" s="3563" t="s">
        <v>9987</v>
      </c>
      <c r="F5771" s="3563" t="s">
        <v>4949</v>
      </c>
      <c r="G5771" s="3564">
        <v>112.01</v>
      </c>
      <c r="H5771" s="3564">
        <v>91.75</v>
      </c>
      <c r="I5771" s="3564">
        <v>20.260000000000002</v>
      </c>
      <c r="J5771" s="3565">
        <v>1547738</v>
      </c>
      <c r="K5771" s="3565">
        <v>13817.86</v>
      </c>
      <c r="L5771" s="3565">
        <v>16869.080000000002</v>
      </c>
      <c r="M5771" s="3565">
        <v>0</v>
      </c>
      <c r="N5771" s="3565">
        <v>0</v>
      </c>
      <c r="O5771" s="3563" t="s">
        <v>3453</v>
      </c>
    </row>
    <row r="5772" spans="1:15">
      <c r="A5772" s="3563" t="s">
        <v>10003</v>
      </c>
      <c r="B5772" s="3563" t="s">
        <v>4196</v>
      </c>
      <c r="C5772" s="3563" t="s">
        <v>4197</v>
      </c>
      <c r="D5772" s="3563" t="s">
        <v>6429</v>
      </c>
      <c r="E5772" s="3563" t="s">
        <v>10004</v>
      </c>
      <c r="F5772" s="3563" t="s">
        <v>4949</v>
      </c>
      <c r="G5772" s="3564">
        <v>141.97999999999999</v>
      </c>
      <c r="H5772" s="3564">
        <v>119.17</v>
      </c>
      <c r="I5772" s="3564">
        <v>22.81</v>
      </c>
      <c r="J5772" s="3565">
        <v>1987326</v>
      </c>
      <c r="K5772" s="3565">
        <v>13997.22</v>
      </c>
      <c r="L5772" s="3565">
        <v>16676.400000000001</v>
      </c>
      <c r="M5772" s="3565">
        <v>0</v>
      </c>
      <c r="N5772" s="3565">
        <v>0</v>
      </c>
      <c r="O5772" s="3563" t="s">
        <v>3453</v>
      </c>
    </row>
    <row r="5773" spans="1:15">
      <c r="A5773" s="3563" t="s">
        <v>10005</v>
      </c>
      <c r="B5773" s="3563" t="s">
        <v>4196</v>
      </c>
      <c r="C5773" s="3563" t="s">
        <v>4197</v>
      </c>
      <c r="D5773" s="3563" t="s">
        <v>6429</v>
      </c>
      <c r="E5773" s="3563" t="s">
        <v>10004</v>
      </c>
      <c r="F5773" s="3563" t="s">
        <v>4949</v>
      </c>
      <c r="G5773" s="3564">
        <v>141.97999999999999</v>
      </c>
      <c r="H5773" s="3564">
        <v>119.17</v>
      </c>
      <c r="I5773" s="3564">
        <v>22.81</v>
      </c>
      <c r="J5773" s="3565">
        <v>2282422</v>
      </c>
      <c r="K5773" s="3565">
        <v>16075.66</v>
      </c>
      <c r="L5773" s="3565">
        <v>19152.66</v>
      </c>
      <c r="M5773" s="3565">
        <v>0</v>
      </c>
      <c r="N5773" s="3565">
        <v>0</v>
      </c>
      <c r="O5773" s="3563" t="s">
        <v>3453</v>
      </c>
    </row>
    <row r="5774" spans="1:15">
      <c r="A5774" s="3563" t="s">
        <v>10006</v>
      </c>
      <c r="B5774" s="3563" t="s">
        <v>4196</v>
      </c>
      <c r="C5774" s="3563" t="s">
        <v>4197</v>
      </c>
      <c r="D5774" s="3563" t="s">
        <v>6429</v>
      </c>
      <c r="E5774" s="3563" t="s">
        <v>10004</v>
      </c>
      <c r="F5774" s="3563" t="s">
        <v>4949</v>
      </c>
      <c r="G5774" s="3564">
        <v>111.88</v>
      </c>
      <c r="H5774" s="3564">
        <v>91.75</v>
      </c>
      <c r="I5774" s="3564">
        <v>20.13</v>
      </c>
      <c r="J5774" s="3565">
        <v>1689320</v>
      </c>
      <c r="K5774" s="3565">
        <v>15099.39</v>
      </c>
      <c r="L5774" s="3565">
        <v>18412.21</v>
      </c>
      <c r="M5774" s="3565">
        <v>0</v>
      </c>
      <c r="N5774" s="3565">
        <v>0</v>
      </c>
      <c r="O5774" s="3563" t="s">
        <v>3453</v>
      </c>
    </row>
    <row r="5775" spans="1:15">
      <c r="A5775" s="3563" t="s">
        <v>10007</v>
      </c>
      <c r="B5775" s="3563" t="s">
        <v>4196</v>
      </c>
      <c r="C5775" s="3563" t="s">
        <v>4197</v>
      </c>
      <c r="D5775" s="3563" t="s">
        <v>6429</v>
      </c>
      <c r="E5775" s="3563" t="s">
        <v>10004</v>
      </c>
      <c r="F5775" s="3563" t="s">
        <v>4949</v>
      </c>
      <c r="G5775" s="3564">
        <v>111.88</v>
      </c>
      <c r="H5775" s="3564">
        <v>91.75</v>
      </c>
      <c r="I5775" s="3564">
        <v>20.13</v>
      </c>
      <c r="J5775" s="3565">
        <v>1748830</v>
      </c>
      <c r="K5775" s="3565">
        <v>15631.3</v>
      </c>
      <c r="L5775" s="3565">
        <v>19060.82</v>
      </c>
      <c r="M5775" s="3565">
        <v>0</v>
      </c>
      <c r="N5775" s="3565">
        <v>0</v>
      </c>
      <c r="O5775" s="3563" t="s">
        <v>3453</v>
      </c>
    </row>
    <row r="5776" spans="1:15">
      <c r="A5776" s="3563" t="s">
        <v>10008</v>
      </c>
      <c r="B5776" s="3563" t="s">
        <v>4196</v>
      </c>
      <c r="C5776" s="3563" t="s">
        <v>4197</v>
      </c>
      <c r="D5776" s="3563" t="s">
        <v>6429</v>
      </c>
      <c r="E5776" s="3563" t="s">
        <v>10004</v>
      </c>
      <c r="F5776" s="3563" t="s">
        <v>4949</v>
      </c>
      <c r="G5776" s="3564">
        <v>141.97999999999999</v>
      </c>
      <c r="H5776" s="3564">
        <v>119.17</v>
      </c>
      <c r="I5776" s="3564">
        <v>22.81</v>
      </c>
      <c r="J5776" s="3565">
        <v>1987773</v>
      </c>
      <c r="K5776" s="3565">
        <v>14000.37</v>
      </c>
      <c r="L5776" s="3565">
        <v>16680.150000000001</v>
      </c>
      <c r="M5776" s="3565">
        <v>0</v>
      </c>
      <c r="N5776" s="3565">
        <v>0</v>
      </c>
      <c r="O5776" s="3563" t="s">
        <v>3453</v>
      </c>
    </row>
    <row r="5777" spans="1:15">
      <c r="A5777" s="3563" t="s">
        <v>10009</v>
      </c>
      <c r="B5777" s="3563" t="s">
        <v>4196</v>
      </c>
      <c r="C5777" s="3563" t="s">
        <v>4197</v>
      </c>
      <c r="D5777" s="3563" t="s">
        <v>6429</v>
      </c>
      <c r="E5777" s="3563" t="s">
        <v>10004</v>
      </c>
      <c r="F5777" s="3563" t="s">
        <v>4949</v>
      </c>
      <c r="G5777" s="3564">
        <v>141.97999999999999</v>
      </c>
      <c r="H5777" s="3564">
        <v>119.17</v>
      </c>
      <c r="I5777" s="3564">
        <v>22.81</v>
      </c>
      <c r="J5777" s="3565">
        <v>1988443</v>
      </c>
      <c r="K5777" s="3565">
        <v>14005.09</v>
      </c>
      <c r="L5777" s="3565">
        <v>16685.77</v>
      </c>
      <c r="M5777" s="3565">
        <v>0</v>
      </c>
      <c r="N5777" s="3565">
        <v>0</v>
      </c>
      <c r="O5777" s="3563" t="s">
        <v>3453</v>
      </c>
    </row>
    <row r="5778" spans="1:15">
      <c r="A5778" s="3563" t="s">
        <v>10010</v>
      </c>
      <c r="B5778" s="3563" t="s">
        <v>4196</v>
      </c>
      <c r="C5778" s="3563" t="s">
        <v>4197</v>
      </c>
      <c r="D5778" s="3563" t="s">
        <v>6429</v>
      </c>
      <c r="E5778" s="3563" t="s">
        <v>10004</v>
      </c>
      <c r="F5778" s="3563" t="s">
        <v>4949</v>
      </c>
      <c r="G5778" s="3564">
        <v>111.88</v>
      </c>
      <c r="H5778" s="3564">
        <v>91.75</v>
      </c>
      <c r="I5778" s="3564">
        <v>20.13</v>
      </c>
      <c r="J5778" s="3565">
        <v>1689320</v>
      </c>
      <c r="K5778" s="3565">
        <v>15099.39</v>
      </c>
      <c r="L5778" s="3565">
        <v>18412.21</v>
      </c>
      <c r="M5778" s="3565">
        <v>0</v>
      </c>
      <c r="N5778" s="3565">
        <v>0</v>
      </c>
      <c r="O5778" s="3563" t="s">
        <v>3453</v>
      </c>
    </row>
    <row r="5779" spans="1:15">
      <c r="A5779" s="3563" t="s">
        <v>10011</v>
      </c>
      <c r="B5779" s="3563" t="s">
        <v>4196</v>
      </c>
      <c r="C5779" s="3563" t="s">
        <v>4197</v>
      </c>
      <c r="D5779" s="3563" t="s">
        <v>6429</v>
      </c>
      <c r="E5779" s="3563" t="s">
        <v>10004</v>
      </c>
      <c r="F5779" s="3563" t="s">
        <v>4949</v>
      </c>
      <c r="G5779" s="3564">
        <v>111.88</v>
      </c>
      <c r="H5779" s="3564">
        <v>91.75</v>
      </c>
      <c r="I5779" s="3564">
        <v>20.13</v>
      </c>
      <c r="J5779" s="3565">
        <v>1689320</v>
      </c>
      <c r="K5779" s="3565">
        <v>15099.39</v>
      </c>
      <c r="L5779" s="3565">
        <v>18412.21</v>
      </c>
      <c r="M5779" s="3565">
        <v>0</v>
      </c>
      <c r="N5779" s="3565">
        <v>0</v>
      </c>
      <c r="O5779" s="3563" t="s">
        <v>3453</v>
      </c>
    </row>
    <row r="5780" spans="1:15">
      <c r="A5780" s="3563" t="s">
        <v>10012</v>
      </c>
      <c r="B5780" s="3563" t="s">
        <v>4196</v>
      </c>
      <c r="C5780" s="3563" t="s">
        <v>4197</v>
      </c>
      <c r="D5780" s="3563" t="s">
        <v>6429</v>
      </c>
      <c r="E5780" s="3563" t="s">
        <v>10004</v>
      </c>
      <c r="F5780" s="3563" t="s">
        <v>4949</v>
      </c>
      <c r="G5780" s="3564">
        <v>141.97999999999999</v>
      </c>
      <c r="H5780" s="3564">
        <v>119.17</v>
      </c>
      <c r="I5780" s="3564">
        <v>22.81</v>
      </c>
      <c r="J5780" s="3565">
        <v>2252996</v>
      </c>
      <c r="K5780" s="3565">
        <v>15868.4</v>
      </c>
      <c r="L5780" s="3565">
        <v>18905.73</v>
      </c>
      <c r="M5780" s="3565">
        <v>0</v>
      </c>
      <c r="N5780" s="3565">
        <v>0</v>
      </c>
      <c r="O5780" s="3563" t="s">
        <v>3453</v>
      </c>
    </row>
    <row r="5781" spans="1:15">
      <c r="A5781" s="3563" t="s">
        <v>10013</v>
      </c>
      <c r="B5781" s="3563" t="s">
        <v>4196</v>
      </c>
      <c r="C5781" s="3563" t="s">
        <v>4197</v>
      </c>
      <c r="D5781" s="3563" t="s">
        <v>6429</v>
      </c>
      <c r="E5781" s="3563" t="s">
        <v>10004</v>
      </c>
      <c r="F5781" s="3563" t="s">
        <v>4949</v>
      </c>
      <c r="G5781" s="3564">
        <v>141.97999999999999</v>
      </c>
      <c r="H5781" s="3564">
        <v>119.17</v>
      </c>
      <c r="I5781" s="3564">
        <v>22.81</v>
      </c>
      <c r="J5781" s="3565">
        <v>1988124</v>
      </c>
      <c r="K5781" s="3565">
        <v>14002.85</v>
      </c>
      <c r="L5781" s="3565">
        <v>16683.09</v>
      </c>
      <c r="M5781" s="3565">
        <v>0</v>
      </c>
      <c r="N5781" s="3565">
        <v>0</v>
      </c>
      <c r="O5781" s="3563" t="s">
        <v>3453</v>
      </c>
    </row>
    <row r="5782" spans="1:15">
      <c r="A5782" s="3563" t="s">
        <v>10014</v>
      </c>
      <c r="B5782" s="3563" t="s">
        <v>4196</v>
      </c>
      <c r="C5782" s="3563" t="s">
        <v>4197</v>
      </c>
      <c r="D5782" s="3563" t="s">
        <v>6429</v>
      </c>
      <c r="E5782" s="3563" t="s">
        <v>10004</v>
      </c>
      <c r="F5782" s="3563" t="s">
        <v>4949</v>
      </c>
      <c r="G5782" s="3564">
        <v>111.88</v>
      </c>
      <c r="H5782" s="3564">
        <v>91.75</v>
      </c>
      <c r="I5782" s="3564">
        <v>20.13</v>
      </c>
      <c r="J5782" s="3565">
        <v>1748830</v>
      </c>
      <c r="K5782" s="3565">
        <v>15631.3</v>
      </c>
      <c r="L5782" s="3565">
        <v>19060.82</v>
      </c>
      <c r="M5782" s="3565">
        <v>0</v>
      </c>
      <c r="N5782" s="3565">
        <v>0</v>
      </c>
      <c r="O5782" s="3563" t="s">
        <v>3453</v>
      </c>
    </row>
    <row r="5783" spans="1:15">
      <c r="A5783" s="3563" t="s">
        <v>10015</v>
      </c>
      <c r="B5783" s="3563" t="s">
        <v>4196</v>
      </c>
      <c r="C5783" s="3563" t="s">
        <v>4197</v>
      </c>
      <c r="D5783" s="3563" t="s">
        <v>6429</v>
      </c>
      <c r="E5783" s="3563" t="s">
        <v>10004</v>
      </c>
      <c r="F5783" s="3563" t="s">
        <v>4949</v>
      </c>
      <c r="G5783" s="3564">
        <v>111.88</v>
      </c>
      <c r="H5783" s="3564">
        <v>91.75</v>
      </c>
      <c r="I5783" s="3564">
        <v>20.13</v>
      </c>
      <c r="J5783" s="3565">
        <v>1689320</v>
      </c>
      <c r="K5783" s="3565">
        <v>15099.39</v>
      </c>
      <c r="L5783" s="3565">
        <v>18412.21</v>
      </c>
      <c r="M5783" s="3565">
        <v>0</v>
      </c>
      <c r="N5783" s="3565">
        <v>0</v>
      </c>
      <c r="O5783" s="3563" t="s">
        <v>3453</v>
      </c>
    </row>
    <row r="5784" spans="1:15">
      <c r="A5784" s="3563" t="s">
        <v>10016</v>
      </c>
      <c r="B5784" s="3563" t="s">
        <v>4196</v>
      </c>
      <c r="C5784" s="3563" t="s">
        <v>4197</v>
      </c>
      <c r="D5784" s="3563" t="s">
        <v>6429</v>
      </c>
      <c r="E5784" s="3563" t="s">
        <v>10017</v>
      </c>
      <c r="F5784" s="3563" t="s">
        <v>4949</v>
      </c>
      <c r="G5784" s="3564">
        <v>142.15</v>
      </c>
      <c r="H5784" s="3564">
        <v>119.17</v>
      </c>
      <c r="I5784" s="3564">
        <v>22.98</v>
      </c>
      <c r="J5784" s="3565">
        <v>1863640</v>
      </c>
      <c r="K5784" s="3565">
        <v>13110.38</v>
      </c>
      <c r="L5784" s="3565">
        <v>15638.5</v>
      </c>
      <c r="M5784" s="3565">
        <v>0</v>
      </c>
      <c r="N5784" s="3565">
        <v>0</v>
      </c>
      <c r="O5784" s="3563" t="s">
        <v>3453</v>
      </c>
    </row>
    <row r="5785" spans="1:15">
      <c r="A5785" s="3563" t="s">
        <v>10018</v>
      </c>
      <c r="B5785" s="3563" t="s">
        <v>4196</v>
      </c>
      <c r="C5785" s="3563" t="s">
        <v>4197</v>
      </c>
      <c r="D5785" s="3563" t="s">
        <v>6429</v>
      </c>
      <c r="E5785" s="3563" t="s">
        <v>10017</v>
      </c>
      <c r="F5785" s="3563" t="s">
        <v>4949</v>
      </c>
      <c r="G5785" s="3564">
        <v>142.15</v>
      </c>
      <c r="H5785" s="3564">
        <v>119.17</v>
      </c>
      <c r="I5785" s="3564">
        <v>22.98</v>
      </c>
      <c r="J5785" s="3565">
        <v>2104539</v>
      </c>
      <c r="K5785" s="3565">
        <v>14805.06</v>
      </c>
      <c r="L5785" s="3565">
        <v>17659.97</v>
      </c>
      <c r="M5785" s="3565">
        <v>0</v>
      </c>
      <c r="N5785" s="3565">
        <v>0</v>
      </c>
      <c r="O5785" s="3563" t="s">
        <v>3453</v>
      </c>
    </row>
    <row r="5786" spans="1:15">
      <c r="A5786" s="3563" t="s">
        <v>10019</v>
      </c>
      <c r="B5786" s="3563" t="s">
        <v>4196</v>
      </c>
      <c r="C5786" s="3563" t="s">
        <v>4197</v>
      </c>
      <c r="D5786" s="3563" t="s">
        <v>6429</v>
      </c>
      <c r="E5786" s="3563" t="s">
        <v>10017</v>
      </c>
      <c r="F5786" s="3563" t="s">
        <v>4949</v>
      </c>
      <c r="G5786" s="3564">
        <v>112.01</v>
      </c>
      <c r="H5786" s="3564">
        <v>91.75</v>
      </c>
      <c r="I5786" s="3564">
        <v>20.260000000000002</v>
      </c>
      <c r="J5786" s="3565">
        <v>1607318</v>
      </c>
      <c r="K5786" s="3565">
        <v>14349.77</v>
      </c>
      <c r="L5786" s="3565">
        <v>17518.45</v>
      </c>
      <c r="M5786" s="3565">
        <v>0</v>
      </c>
      <c r="N5786" s="3565">
        <v>0</v>
      </c>
      <c r="O5786" s="3563" t="s">
        <v>3453</v>
      </c>
    </row>
    <row r="5787" spans="1:15">
      <c r="A5787" s="3563" t="s">
        <v>10020</v>
      </c>
      <c r="B5787" s="3563" t="s">
        <v>4196</v>
      </c>
      <c r="C5787" s="3563" t="s">
        <v>4197</v>
      </c>
      <c r="D5787" s="3563" t="s">
        <v>6429</v>
      </c>
      <c r="E5787" s="3563" t="s">
        <v>10017</v>
      </c>
      <c r="F5787" s="3563" t="s">
        <v>4949</v>
      </c>
      <c r="G5787" s="3564">
        <v>112.01</v>
      </c>
      <c r="H5787" s="3564">
        <v>91.75</v>
      </c>
      <c r="I5787" s="3564">
        <v>20.260000000000002</v>
      </c>
      <c r="J5787" s="3565">
        <v>1666897</v>
      </c>
      <c r="K5787" s="3565">
        <v>14881.68</v>
      </c>
      <c r="L5787" s="3565">
        <v>18167.810000000001</v>
      </c>
      <c r="M5787" s="3565">
        <v>0</v>
      </c>
      <c r="N5787" s="3565">
        <v>0</v>
      </c>
      <c r="O5787" s="3563" t="s">
        <v>3453</v>
      </c>
    </row>
    <row r="5788" spans="1:15">
      <c r="A5788" s="3563" t="s">
        <v>10021</v>
      </c>
      <c r="B5788" s="3563" t="s">
        <v>4196</v>
      </c>
      <c r="C5788" s="3563" t="s">
        <v>4197</v>
      </c>
      <c r="D5788" s="3563" t="s">
        <v>6429</v>
      </c>
      <c r="E5788" s="3563" t="s">
        <v>10017</v>
      </c>
      <c r="F5788" s="3563" t="s">
        <v>4949</v>
      </c>
      <c r="G5788" s="3564">
        <v>142.15</v>
      </c>
      <c r="H5788" s="3564">
        <v>119.17</v>
      </c>
      <c r="I5788" s="3564">
        <v>22.98</v>
      </c>
      <c r="J5788" s="3565">
        <v>1859076</v>
      </c>
      <c r="K5788" s="3565">
        <v>13078.27</v>
      </c>
      <c r="L5788" s="3565">
        <v>15600.2</v>
      </c>
      <c r="M5788" s="3565">
        <v>0</v>
      </c>
      <c r="N5788" s="3565">
        <v>0</v>
      </c>
      <c r="O5788" s="3563" t="s">
        <v>3453</v>
      </c>
    </row>
    <row r="5789" spans="1:15">
      <c r="A5789" s="3563" t="s">
        <v>10022</v>
      </c>
      <c r="B5789" s="3563" t="s">
        <v>4196</v>
      </c>
      <c r="C5789" s="3563" t="s">
        <v>4197</v>
      </c>
      <c r="D5789" s="3563" t="s">
        <v>6429</v>
      </c>
      <c r="E5789" s="3563" t="s">
        <v>10017</v>
      </c>
      <c r="F5789" s="3563" t="s">
        <v>4949</v>
      </c>
      <c r="G5789" s="3564">
        <v>142.15</v>
      </c>
      <c r="H5789" s="3564">
        <v>119.17</v>
      </c>
      <c r="I5789" s="3564">
        <v>22.98</v>
      </c>
      <c r="J5789" s="3565">
        <v>1863640</v>
      </c>
      <c r="K5789" s="3565">
        <v>13110.38</v>
      </c>
      <c r="L5789" s="3565">
        <v>15638.5</v>
      </c>
      <c r="M5789" s="3565">
        <v>0</v>
      </c>
      <c r="N5789" s="3565">
        <v>0</v>
      </c>
      <c r="O5789" s="3563" t="s">
        <v>3453</v>
      </c>
    </row>
    <row r="5790" spans="1:15">
      <c r="A5790" s="3563" t="s">
        <v>10023</v>
      </c>
      <c r="B5790" s="3563" t="s">
        <v>4196</v>
      </c>
      <c r="C5790" s="3563" t="s">
        <v>4197</v>
      </c>
      <c r="D5790" s="3563" t="s">
        <v>6429</v>
      </c>
      <c r="E5790" s="3563" t="s">
        <v>10017</v>
      </c>
      <c r="F5790" s="3563" t="s">
        <v>4949</v>
      </c>
      <c r="G5790" s="3564">
        <v>112.01</v>
      </c>
      <c r="H5790" s="3564">
        <v>91.75</v>
      </c>
      <c r="I5790" s="3564">
        <v>20.260000000000002</v>
      </c>
      <c r="J5790" s="3565">
        <v>1607318</v>
      </c>
      <c r="K5790" s="3565">
        <v>14349.77</v>
      </c>
      <c r="L5790" s="3565">
        <v>17518.45</v>
      </c>
      <c r="M5790" s="3565">
        <v>0</v>
      </c>
      <c r="N5790" s="3565">
        <v>0</v>
      </c>
      <c r="O5790" s="3563" t="s">
        <v>3453</v>
      </c>
    </row>
    <row r="5791" spans="1:15">
      <c r="A5791" s="3563" t="s">
        <v>10024</v>
      </c>
      <c r="B5791" s="3563" t="s">
        <v>4196</v>
      </c>
      <c r="C5791" s="3563" t="s">
        <v>4197</v>
      </c>
      <c r="D5791" s="3563" t="s">
        <v>6429</v>
      </c>
      <c r="E5791" s="3563" t="s">
        <v>10017</v>
      </c>
      <c r="F5791" s="3563" t="s">
        <v>4949</v>
      </c>
      <c r="G5791" s="3564">
        <v>112.01</v>
      </c>
      <c r="H5791" s="3564">
        <v>91.75</v>
      </c>
      <c r="I5791" s="3564">
        <v>20.260000000000002</v>
      </c>
      <c r="J5791" s="3565">
        <v>1607318</v>
      </c>
      <c r="K5791" s="3565">
        <v>14349.77</v>
      </c>
      <c r="L5791" s="3565">
        <v>17518.45</v>
      </c>
      <c r="M5791" s="3565">
        <v>0</v>
      </c>
      <c r="N5791" s="3565">
        <v>0</v>
      </c>
      <c r="O5791" s="3563" t="s">
        <v>3453</v>
      </c>
    </row>
    <row r="5792" spans="1:15">
      <c r="A5792" s="3563" t="s">
        <v>10025</v>
      </c>
      <c r="B5792" s="3563" t="s">
        <v>4196</v>
      </c>
      <c r="C5792" s="3563" t="s">
        <v>4197</v>
      </c>
      <c r="D5792" s="3563" t="s">
        <v>6429</v>
      </c>
      <c r="E5792" s="3563" t="s">
        <v>10017</v>
      </c>
      <c r="F5792" s="3563" t="s">
        <v>4949</v>
      </c>
      <c r="G5792" s="3564">
        <v>142.15</v>
      </c>
      <c r="H5792" s="3564">
        <v>119.17</v>
      </c>
      <c r="I5792" s="3564">
        <v>22.98</v>
      </c>
      <c r="J5792" s="3565">
        <v>1863640</v>
      </c>
      <c r="K5792" s="3565">
        <v>13110.38</v>
      </c>
      <c r="L5792" s="3565">
        <v>15638.5</v>
      </c>
      <c r="M5792" s="3565">
        <v>0</v>
      </c>
      <c r="N5792" s="3565">
        <v>0</v>
      </c>
      <c r="O5792" s="3563" t="s">
        <v>3453</v>
      </c>
    </row>
    <row r="5793" spans="1:15">
      <c r="A5793" s="3563" t="s">
        <v>10026</v>
      </c>
      <c r="B5793" s="3563" t="s">
        <v>4196</v>
      </c>
      <c r="C5793" s="3563" t="s">
        <v>4197</v>
      </c>
      <c r="D5793" s="3563" t="s">
        <v>6429</v>
      </c>
      <c r="E5793" s="3563" t="s">
        <v>10017</v>
      </c>
      <c r="F5793" s="3563" t="s">
        <v>4949</v>
      </c>
      <c r="G5793" s="3564">
        <v>142.15</v>
      </c>
      <c r="H5793" s="3564">
        <v>119.17</v>
      </c>
      <c r="I5793" s="3564">
        <v>22.98</v>
      </c>
      <c r="J5793" s="3565">
        <v>1859268</v>
      </c>
      <c r="K5793" s="3565">
        <v>13079.62</v>
      </c>
      <c r="L5793" s="3565">
        <v>15601.81</v>
      </c>
      <c r="M5793" s="3565">
        <v>0</v>
      </c>
      <c r="N5793" s="3565">
        <v>0</v>
      </c>
      <c r="O5793" s="3563" t="s">
        <v>3453</v>
      </c>
    </row>
    <row r="5794" spans="1:15">
      <c r="A5794" s="3563" t="s">
        <v>10027</v>
      </c>
      <c r="B5794" s="3563" t="s">
        <v>4196</v>
      </c>
      <c r="C5794" s="3563" t="s">
        <v>4197</v>
      </c>
      <c r="D5794" s="3563" t="s">
        <v>6429</v>
      </c>
      <c r="E5794" s="3563" t="s">
        <v>10017</v>
      </c>
      <c r="F5794" s="3563" t="s">
        <v>4949</v>
      </c>
      <c r="G5794" s="3564">
        <v>112.01</v>
      </c>
      <c r="H5794" s="3564">
        <v>91.75</v>
      </c>
      <c r="I5794" s="3564">
        <v>20.260000000000002</v>
      </c>
      <c r="J5794" s="3565">
        <v>1607318</v>
      </c>
      <c r="K5794" s="3565">
        <v>14349.77</v>
      </c>
      <c r="L5794" s="3565">
        <v>17518.45</v>
      </c>
      <c r="M5794" s="3565">
        <v>0</v>
      </c>
      <c r="N5794" s="3565">
        <v>0</v>
      </c>
      <c r="O5794" s="3563" t="s">
        <v>3453</v>
      </c>
    </row>
    <row r="5795" spans="1:15">
      <c r="A5795" s="3563" t="s">
        <v>10028</v>
      </c>
      <c r="B5795" s="3563" t="s">
        <v>4196</v>
      </c>
      <c r="C5795" s="3563" t="s">
        <v>4197</v>
      </c>
      <c r="D5795" s="3563" t="s">
        <v>6429</v>
      </c>
      <c r="E5795" s="3563" t="s">
        <v>10017</v>
      </c>
      <c r="F5795" s="3563" t="s">
        <v>4949</v>
      </c>
      <c r="G5795" s="3564">
        <v>112.01</v>
      </c>
      <c r="H5795" s="3564">
        <v>91.75</v>
      </c>
      <c r="I5795" s="3564">
        <v>20.260000000000002</v>
      </c>
      <c r="J5795" s="3565">
        <v>1607318</v>
      </c>
      <c r="K5795" s="3565">
        <v>14349.77</v>
      </c>
      <c r="L5795" s="3565">
        <v>17518.45</v>
      </c>
      <c r="M5795" s="3565">
        <v>0</v>
      </c>
      <c r="N5795" s="3565">
        <v>0</v>
      </c>
      <c r="O5795" s="3563" t="s">
        <v>3453</v>
      </c>
    </row>
    <row r="5796" spans="1:15">
      <c r="A5796" s="3563" t="s">
        <v>10029</v>
      </c>
      <c r="B5796" s="3563" t="s">
        <v>4196</v>
      </c>
      <c r="C5796" s="3563" t="s">
        <v>4197</v>
      </c>
      <c r="D5796" s="3563" t="s">
        <v>6429</v>
      </c>
      <c r="E5796" s="3563" t="s">
        <v>10017</v>
      </c>
      <c r="F5796" s="3563" t="s">
        <v>4949</v>
      </c>
      <c r="G5796" s="3564">
        <v>142.15</v>
      </c>
      <c r="H5796" s="3564">
        <v>119.17</v>
      </c>
      <c r="I5796" s="3564">
        <v>22.98</v>
      </c>
      <c r="J5796" s="3565">
        <v>1952400</v>
      </c>
      <c r="K5796" s="3565">
        <v>13734.79</v>
      </c>
      <c r="L5796" s="3565">
        <v>16383.32</v>
      </c>
      <c r="M5796" s="3565">
        <v>0</v>
      </c>
      <c r="N5796" s="3565">
        <v>0</v>
      </c>
      <c r="O5796" s="3563" t="s">
        <v>3453</v>
      </c>
    </row>
    <row r="5797" spans="1:15">
      <c r="A5797" s="3563" t="s">
        <v>10030</v>
      </c>
      <c r="B5797" s="3563" t="s">
        <v>4196</v>
      </c>
      <c r="C5797" s="3563" t="s">
        <v>4197</v>
      </c>
      <c r="D5797" s="3563" t="s">
        <v>6429</v>
      </c>
      <c r="E5797" s="3563" t="s">
        <v>10017</v>
      </c>
      <c r="F5797" s="3563" t="s">
        <v>4949</v>
      </c>
      <c r="G5797" s="3564">
        <v>142.15</v>
      </c>
      <c r="H5797" s="3564">
        <v>119.17</v>
      </c>
      <c r="I5797" s="3564">
        <v>22.98</v>
      </c>
      <c r="J5797" s="3565">
        <v>1863640</v>
      </c>
      <c r="K5797" s="3565">
        <v>13110.38</v>
      </c>
      <c r="L5797" s="3565">
        <v>15638.5</v>
      </c>
      <c r="M5797" s="3565">
        <v>0</v>
      </c>
      <c r="N5797" s="3565">
        <v>0</v>
      </c>
      <c r="O5797" s="3563" t="s">
        <v>3453</v>
      </c>
    </row>
    <row r="5798" spans="1:15">
      <c r="A5798" s="3563" t="s">
        <v>10031</v>
      </c>
      <c r="B5798" s="3563" t="s">
        <v>4196</v>
      </c>
      <c r="C5798" s="3563" t="s">
        <v>4197</v>
      </c>
      <c r="D5798" s="3563" t="s">
        <v>6429</v>
      </c>
      <c r="E5798" s="3563" t="s">
        <v>10017</v>
      </c>
      <c r="F5798" s="3563" t="s">
        <v>4949</v>
      </c>
      <c r="G5798" s="3564">
        <v>112.01</v>
      </c>
      <c r="H5798" s="3564">
        <v>91.75</v>
      </c>
      <c r="I5798" s="3564">
        <v>20.260000000000002</v>
      </c>
      <c r="J5798" s="3565">
        <v>1666897</v>
      </c>
      <c r="K5798" s="3565">
        <v>14881.68</v>
      </c>
      <c r="L5798" s="3565">
        <v>18167.810000000001</v>
      </c>
      <c r="M5798" s="3565">
        <v>0</v>
      </c>
      <c r="N5798" s="3565">
        <v>0</v>
      </c>
      <c r="O5798" s="3563" t="s">
        <v>3453</v>
      </c>
    </row>
    <row r="5799" spans="1:15">
      <c r="A5799" s="3563" t="s">
        <v>10032</v>
      </c>
      <c r="B5799" s="3563" t="s">
        <v>4196</v>
      </c>
      <c r="C5799" s="3563" t="s">
        <v>4197</v>
      </c>
      <c r="D5799" s="3563" t="s">
        <v>6429</v>
      </c>
      <c r="E5799" s="3563" t="s">
        <v>10017</v>
      </c>
      <c r="F5799" s="3563" t="s">
        <v>4949</v>
      </c>
      <c r="G5799" s="3564">
        <v>112.01</v>
      </c>
      <c r="H5799" s="3564">
        <v>91.75</v>
      </c>
      <c r="I5799" s="3564">
        <v>20.260000000000002</v>
      </c>
      <c r="J5799" s="3565">
        <v>1607318</v>
      </c>
      <c r="K5799" s="3565">
        <v>14349.77</v>
      </c>
      <c r="L5799" s="3565">
        <v>17518.45</v>
      </c>
      <c r="M5799" s="3565">
        <v>0</v>
      </c>
      <c r="N5799" s="3565">
        <v>0</v>
      </c>
      <c r="O5799" s="3563" t="s">
        <v>3453</v>
      </c>
    </row>
    <row r="5800" spans="1:15">
      <c r="A5800" s="3563" t="s">
        <v>10033</v>
      </c>
      <c r="B5800" s="3563" t="s">
        <v>4196</v>
      </c>
      <c r="C5800" s="3563" t="s">
        <v>4197</v>
      </c>
      <c r="D5800" s="3563" t="s">
        <v>6429</v>
      </c>
      <c r="E5800" s="3563" t="s">
        <v>10034</v>
      </c>
      <c r="F5800" s="3563" t="s">
        <v>4949</v>
      </c>
      <c r="G5800" s="3564">
        <v>142.15</v>
      </c>
      <c r="H5800" s="3564">
        <v>119.17</v>
      </c>
      <c r="I5800" s="3564">
        <v>22.98</v>
      </c>
      <c r="J5800" s="3565">
        <v>1924129</v>
      </c>
      <c r="K5800" s="3565">
        <v>13535.91</v>
      </c>
      <c r="L5800" s="3565">
        <v>16146.09</v>
      </c>
      <c r="M5800" s="3565">
        <v>0</v>
      </c>
      <c r="N5800" s="3565">
        <v>0</v>
      </c>
      <c r="O5800" s="3563" t="s">
        <v>3453</v>
      </c>
    </row>
    <row r="5801" spans="1:15">
      <c r="A5801" s="3563" t="s">
        <v>10035</v>
      </c>
      <c r="B5801" s="3563" t="s">
        <v>4196</v>
      </c>
      <c r="C5801" s="3563" t="s">
        <v>4197</v>
      </c>
      <c r="D5801" s="3563" t="s">
        <v>6429</v>
      </c>
      <c r="E5801" s="3563" t="s">
        <v>10034</v>
      </c>
      <c r="F5801" s="3563" t="s">
        <v>4949</v>
      </c>
      <c r="G5801" s="3564">
        <v>142.15</v>
      </c>
      <c r="H5801" s="3564">
        <v>119.17</v>
      </c>
      <c r="I5801" s="3564">
        <v>22.98</v>
      </c>
      <c r="J5801" s="3565">
        <v>2158358</v>
      </c>
      <c r="K5801" s="3565">
        <v>15183.67</v>
      </c>
      <c r="L5801" s="3565">
        <v>18111.59</v>
      </c>
      <c r="M5801" s="3565">
        <v>0</v>
      </c>
      <c r="N5801" s="3565">
        <v>0</v>
      </c>
      <c r="O5801" s="3563" t="s">
        <v>3453</v>
      </c>
    </row>
    <row r="5802" spans="1:15">
      <c r="A5802" s="3563" t="s">
        <v>10036</v>
      </c>
      <c r="B5802" s="3563" t="s">
        <v>4196</v>
      </c>
      <c r="C5802" s="3563" t="s">
        <v>4197</v>
      </c>
      <c r="D5802" s="3563" t="s">
        <v>6429</v>
      </c>
      <c r="E5802" s="3563" t="s">
        <v>10034</v>
      </c>
      <c r="F5802" s="3563" t="s">
        <v>4949</v>
      </c>
      <c r="G5802" s="3564">
        <v>112.01</v>
      </c>
      <c r="H5802" s="3564">
        <v>91.75</v>
      </c>
      <c r="I5802" s="3564">
        <v>20.260000000000002</v>
      </c>
      <c r="J5802" s="3565">
        <v>1654981</v>
      </c>
      <c r="K5802" s="3565">
        <v>14775.3</v>
      </c>
      <c r="L5802" s="3565">
        <v>18037.939999999999</v>
      </c>
      <c r="M5802" s="3565">
        <v>0</v>
      </c>
      <c r="N5802" s="3565">
        <v>0</v>
      </c>
      <c r="O5802" s="3563" t="s">
        <v>3453</v>
      </c>
    </row>
    <row r="5803" spans="1:15">
      <c r="A5803" s="3563" t="s">
        <v>10037</v>
      </c>
      <c r="B5803" s="3563" t="s">
        <v>4196</v>
      </c>
      <c r="C5803" s="3563" t="s">
        <v>4197</v>
      </c>
      <c r="D5803" s="3563" t="s">
        <v>6429</v>
      </c>
      <c r="E5803" s="3563" t="s">
        <v>10034</v>
      </c>
      <c r="F5803" s="3563" t="s">
        <v>4949</v>
      </c>
      <c r="G5803" s="3564">
        <v>112.01</v>
      </c>
      <c r="H5803" s="3564">
        <v>91.75</v>
      </c>
      <c r="I5803" s="3564">
        <v>20.260000000000002</v>
      </c>
      <c r="J5803" s="3565">
        <v>1714561</v>
      </c>
      <c r="K5803" s="3565">
        <v>15307.21</v>
      </c>
      <c r="L5803" s="3565">
        <v>18687.310000000001</v>
      </c>
      <c r="M5803" s="3565">
        <v>0</v>
      </c>
      <c r="N5803" s="3565">
        <v>0</v>
      </c>
      <c r="O5803" s="3563" t="s">
        <v>3453</v>
      </c>
    </row>
    <row r="5804" spans="1:15">
      <c r="A5804" s="3563" t="s">
        <v>10038</v>
      </c>
      <c r="B5804" s="3563" t="s">
        <v>4196</v>
      </c>
      <c r="C5804" s="3563" t="s">
        <v>4197</v>
      </c>
      <c r="D5804" s="3563" t="s">
        <v>6429</v>
      </c>
      <c r="E5804" s="3563" t="s">
        <v>10034</v>
      </c>
      <c r="F5804" s="3563" t="s">
        <v>4949</v>
      </c>
      <c r="G5804" s="3564">
        <v>142.15</v>
      </c>
      <c r="H5804" s="3564">
        <v>119.17</v>
      </c>
      <c r="I5804" s="3564">
        <v>22.98</v>
      </c>
      <c r="J5804" s="3565">
        <v>2165252</v>
      </c>
      <c r="K5804" s="3565">
        <v>15232.16</v>
      </c>
      <c r="L5804" s="3565">
        <v>18169.439999999999</v>
      </c>
      <c r="M5804" s="3565">
        <v>0</v>
      </c>
      <c r="N5804" s="3565">
        <v>0</v>
      </c>
      <c r="O5804" s="3563" t="s">
        <v>3453</v>
      </c>
    </row>
    <row r="5805" spans="1:15">
      <c r="A5805" s="3563" t="s">
        <v>10039</v>
      </c>
      <c r="B5805" s="3563" t="s">
        <v>4196</v>
      </c>
      <c r="C5805" s="3563" t="s">
        <v>4197</v>
      </c>
      <c r="D5805" s="3563" t="s">
        <v>6429</v>
      </c>
      <c r="E5805" s="3563" t="s">
        <v>10034</v>
      </c>
      <c r="F5805" s="3563" t="s">
        <v>4949</v>
      </c>
      <c r="G5805" s="3564">
        <v>142.15</v>
      </c>
      <c r="H5805" s="3564">
        <v>119.17</v>
      </c>
      <c r="I5805" s="3564">
        <v>22.98</v>
      </c>
      <c r="J5805" s="3565">
        <v>1924129</v>
      </c>
      <c r="K5805" s="3565">
        <v>13535.91</v>
      </c>
      <c r="L5805" s="3565">
        <v>16146.09</v>
      </c>
      <c r="M5805" s="3565">
        <v>0</v>
      </c>
      <c r="N5805" s="3565">
        <v>0</v>
      </c>
      <c r="O5805" s="3563" t="s">
        <v>3453</v>
      </c>
    </row>
    <row r="5806" spans="1:15">
      <c r="A5806" s="3563" t="s">
        <v>10040</v>
      </c>
      <c r="B5806" s="3563" t="s">
        <v>4196</v>
      </c>
      <c r="C5806" s="3563" t="s">
        <v>4197</v>
      </c>
      <c r="D5806" s="3563" t="s">
        <v>6429</v>
      </c>
      <c r="E5806" s="3563" t="s">
        <v>10034</v>
      </c>
      <c r="F5806" s="3563" t="s">
        <v>4949</v>
      </c>
      <c r="G5806" s="3564">
        <v>112.01</v>
      </c>
      <c r="H5806" s="3564">
        <v>91.75</v>
      </c>
      <c r="I5806" s="3564">
        <v>20.260000000000002</v>
      </c>
      <c r="J5806" s="3565">
        <v>1714561</v>
      </c>
      <c r="K5806" s="3565">
        <v>15307.21</v>
      </c>
      <c r="L5806" s="3565">
        <v>18687.310000000001</v>
      </c>
      <c r="M5806" s="3565">
        <v>0</v>
      </c>
      <c r="N5806" s="3565">
        <v>0</v>
      </c>
      <c r="O5806" s="3563" t="s">
        <v>3453</v>
      </c>
    </row>
    <row r="5807" spans="1:15">
      <c r="A5807" s="3563" t="s">
        <v>10041</v>
      </c>
      <c r="B5807" s="3563" t="s">
        <v>4196</v>
      </c>
      <c r="C5807" s="3563" t="s">
        <v>4197</v>
      </c>
      <c r="D5807" s="3563" t="s">
        <v>6429</v>
      </c>
      <c r="E5807" s="3563" t="s">
        <v>10034</v>
      </c>
      <c r="F5807" s="3563" t="s">
        <v>4949</v>
      </c>
      <c r="G5807" s="3564">
        <v>112.01</v>
      </c>
      <c r="H5807" s="3564">
        <v>91.75</v>
      </c>
      <c r="I5807" s="3564">
        <v>20.260000000000002</v>
      </c>
      <c r="J5807" s="3565">
        <v>1654981</v>
      </c>
      <c r="K5807" s="3565">
        <v>14775.3</v>
      </c>
      <c r="L5807" s="3565">
        <v>18037.939999999999</v>
      </c>
      <c r="M5807" s="3565">
        <v>0</v>
      </c>
      <c r="N5807" s="3565">
        <v>0</v>
      </c>
      <c r="O5807" s="3563" t="s">
        <v>3453</v>
      </c>
    </row>
    <row r="5808" spans="1:15">
      <c r="A5808" s="3563" t="s">
        <v>10042</v>
      </c>
      <c r="B5808" s="3563" t="s">
        <v>4196</v>
      </c>
      <c r="C5808" s="3563" t="s">
        <v>4197</v>
      </c>
      <c r="D5808" s="3563" t="s">
        <v>6429</v>
      </c>
      <c r="E5808" s="3563" t="s">
        <v>10043</v>
      </c>
      <c r="F5808" s="3563" t="s">
        <v>4949</v>
      </c>
      <c r="G5808" s="3564">
        <v>141.97999999999999</v>
      </c>
      <c r="H5808" s="3564">
        <v>119.17</v>
      </c>
      <c r="I5808" s="3564">
        <v>22.81</v>
      </c>
      <c r="J5808" s="3565">
        <v>1862400</v>
      </c>
      <c r="K5808" s="3565">
        <v>13117.34</v>
      </c>
      <c r="L5808" s="3565">
        <v>15628.09</v>
      </c>
      <c r="M5808" s="3565">
        <v>0</v>
      </c>
      <c r="N5808" s="3565">
        <v>0</v>
      </c>
      <c r="O5808" s="3563" t="s">
        <v>3453</v>
      </c>
    </row>
    <row r="5809" spans="1:15">
      <c r="A5809" s="3563" t="s">
        <v>10044</v>
      </c>
      <c r="B5809" s="3563" t="s">
        <v>4196</v>
      </c>
      <c r="C5809" s="3563" t="s">
        <v>4197</v>
      </c>
      <c r="D5809" s="3563" t="s">
        <v>6429</v>
      </c>
      <c r="E5809" s="3563" t="s">
        <v>10043</v>
      </c>
      <c r="F5809" s="3563" t="s">
        <v>4949</v>
      </c>
      <c r="G5809" s="3564">
        <v>141.97999999999999</v>
      </c>
      <c r="H5809" s="3564">
        <v>119.17</v>
      </c>
      <c r="I5809" s="3564">
        <v>22.81</v>
      </c>
      <c r="J5809" s="3565">
        <v>2083613</v>
      </c>
      <c r="K5809" s="3565">
        <v>14675.4</v>
      </c>
      <c r="L5809" s="3565">
        <v>17484.38</v>
      </c>
      <c r="M5809" s="3565">
        <v>0</v>
      </c>
      <c r="N5809" s="3565">
        <v>0</v>
      </c>
      <c r="O5809" s="3563" t="s">
        <v>3453</v>
      </c>
    </row>
    <row r="5810" spans="1:15">
      <c r="A5810" s="3563" t="s">
        <v>10045</v>
      </c>
      <c r="B5810" s="3563" t="s">
        <v>4196</v>
      </c>
      <c r="C5810" s="3563" t="s">
        <v>4197</v>
      </c>
      <c r="D5810" s="3563" t="s">
        <v>6429</v>
      </c>
      <c r="E5810" s="3563" t="s">
        <v>10043</v>
      </c>
      <c r="F5810" s="3563" t="s">
        <v>4949</v>
      </c>
      <c r="G5810" s="3564">
        <v>111.88</v>
      </c>
      <c r="H5810" s="3564">
        <v>91.75</v>
      </c>
      <c r="I5810" s="3564">
        <v>20.13</v>
      </c>
      <c r="J5810" s="3565">
        <v>1629809</v>
      </c>
      <c r="K5810" s="3565">
        <v>14567.47</v>
      </c>
      <c r="L5810" s="3565">
        <v>17763.59</v>
      </c>
      <c r="M5810" s="3565">
        <v>0</v>
      </c>
      <c r="N5810" s="3565">
        <v>0</v>
      </c>
      <c r="O5810" s="3563" t="s">
        <v>3453</v>
      </c>
    </row>
    <row r="5811" spans="1:15">
      <c r="A5811" s="3563" t="s">
        <v>10046</v>
      </c>
      <c r="B5811" s="3563" t="s">
        <v>4196</v>
      </c>
      <c r="C5811" s="3563" t="s">
        <v>4197</v>
      </c>
      <c r="D5811" s="3563" t="s">
        <v>6429</v>
      </c>
      <c r="E5811" s="3563" t="s">
        <v>10043</v>
      </c>
      <c r="F5811" s="3563" t="s">
        <v>4949</v>
      </c>
      <c r="G5811" s="3564">
        <v>111.88</v>
      </c>
      <c r="H5811" s="3564">
        <v>91.75</v>
      </c>
      <c r="I5811" s="3564">
        <v>20.13</v>
      </c>
      <c r="J5811" s="3565">
        <v>1689320</v>
      </c>
      <c r="K5811" s="3565">
        <v>15099.39</v>
      </c>
      <c r="L5811" s="3565">
        <v>18412.21</v>
      </c>
      <c r="M5811" s="3565">
        <v>0</v>
      </c>
      <c r="N5811" s="3565">
        <v>0</v>
      </c>
      <c r="O5811" s="3563" t="s">
        <v>3453</v>
      </c>
    </row>
    <row r="5812" spans="1:15">
      <c r="A5812" s="3563" t="s">
        <v>10047</v>
      </c>
      <c r="B5812" s="3563" t="s">
        <v>4196</v>
      </c>
      <c r="C5812" s="3563" t="s">
        <v>4197</v>
      </c>
      <c r="D5812" s="3563" t="s">
        <v>6429</v>
      </c>
      <c r="E5812" s="3563" t="s">
        <v>10043</v>
      </c>
      <c r="F5812" s="3563" t="s">
        <v>4949</v>
      </c>
      <c r="G5812" s="3564">
        <v>141.97999999999999</v>
      </c>
      <c r="H5812" s="3564">
        <v>119.17</v>
      </c>
      <c r="I5812" s="3564">
        <v>22.81</v>
      </c>
      <c r="J5812" s="3565">
        <v>1862113</v>
      </c>
      <c r="K5812" s="3565">
        <v>13115.32</v>
      </c>
      <c r="L5812" s="3565">
        <v>15625.69</v>
      </c>
      <c r="M5812" s="3565">
        <v>0</v>
      </c>
      <c r="N5812" s="3565">
        <v>0</v>
      </c>
      <c r="O5812" s="3563" t="s">
        <v>3453</v>
      </c>
    </row>
    <row r="5813" spans="1:15">
      <c r="A5813" s="3563" t="s">
        <v>10048</v>
      </c>
      <c r="B5813" s="3563" t="s">
        <v>4196</v>
      </c>
      <c r="C5813" s="3563" t="s">
        <v>4197</v>
      </c>
      <c r="D5813" s="3563" t="s">
        <v>6429</v>
      </c>
      <c r="E5813" s="3563" t="s">
        <v>10043</v>
      </c>
      <c r="F5813" s="3563" t="s">
        <v>4949</v>
      </c>
      <c r="G5813" s="3564">
        <v>141.97999999999999</v>
      </c>
      <c r="H5813" s="3564">
        <v>119.17</v>
      </c>
      <c r="I5813" s="3564">
        <v>22.81</v>
      </c>
      <c r="J5813" s="3565">
        <v>1863166</v>
      </c>
      <c r="K5813" s="3565">
        <v>13122.74</v>
      </c>
      <c r="L5813" s="3565">
        <v>15634.52</v>
      </c>
      <c r="M5813" s="3565">
        <v>0</v>
      </c>
      <c r="N5813" s="3565">
        <v>0</v>
      </c>
      <c r="O5813" s="3563" t="s">
        <v>3453</v>
      </c>
    </row>
    <row r="5814" spans="1:15">
      <c r="A5814" s="3563" t="s">
        <v>10049</v>
      </c>
      <c r="B5814" s="3563" t="s">
        <v>4196</v>
      </c>
      <c r="C5814" s="3563" t="s">
        <v>4197</v>
      </c>
      <c r="D5814" s="3563" t="s">
        <v>6429</v>
      </c>
      <c r="E5814" s="3563" t="s">
        <v>10043</v>
      </c>
      <c r="F5814" s="3563" t="s">
        <v>4949</v>
      </c>
      <c r="G5814" s="3564">
        <v>111.88</v>
      </c>
      <c r="H5814" s="3564">
        <v>91.75</v>
      </c>
      <c r="I5814" s="3564">
        <v>20.13</v>
      </c>
      <c r="J5814" s="3565">
        <v>1629809</v>
      </c>
      <c r="K5814" s="3565">
        <v>14567.47</v>
      </c>
      <c r="L5814" s="3565">
        <v>17763.59</v>
      </c>
      <c r="M5814" s="3565">
        <v>0</v>
      </c>
      <c r="N5814" s="3565">
        <v>0</v>
      </c>
      <c r="O5814" s="3563" t="s">
        <v>3453</v>
      </c>
    </row>
    <row r="5815" spans="1:15">
      <c r="A5815" s="3563" t="s">
        <v>10050</v>
      </c>
      <c r="B5815" s="3563" t="s">
        <v>4196</v>
      </c>
      <c r="C5815" s="3563" t="s">
        <v>4197</v>
      </c>
      <c r="D5815" s="3563" t="s">
        <v>6429</v>
      </c>
      <c r="E5815" s="3563" t="s">
        <v>10043</v>
      </c>
      <c r="F5815" s="3563" t="s">
        <v>4949</v>
      </c>
      <c r="G5815" s="3564">
        <v>111.88</v>
      </c>
      <c r="H5815" s="3564">
        <v>91.75</v>
      </c>
      <c r="I5815" s="3564">
        <v>20.13</v>
      </c>
      <c r="J5815" s="3565">
        <v>1629809</v>
      </c>
      <c r="K5815" s="3565">
        <v>14567.47</v>
      </c>
      <c r="L5815" s="3565">
        <v>17763.59</v>
      </c>
      <c r="M5815" s="3565">
        <v>0</v>
      </c>
      <c r="N5815" s="3565">
        <v>0</v>
      </c>
      <c r="O5815" s="3563" t="s">
        <v>3453</v>
      </c>
    </row>
    <row r="5816" spans="1:15">
      <c r="A5816" s="3563" t="s">
        <v>10051</v>
      </c>
      <c r="B5816" s="3563" t="s">
        <v>4196</v>
      </c>
      <c r="C5816" s="3563" t="s">
        <v>4197</v>
      </c>
      <c r="D5816" s="3563" t="s">
        <v>6429</v>
      </c>
      <c r="E5816" s="3563" t="s">
        <v>10043</v>
      </c>
      <c r="F5816" s="3563" t="s">
        <v>4949</v>
      </c>
      <c r="G5816" s="3564">
        <v>141.97999999999999</v>
      </c>
      <c r="H5816" s="3564">
        <v>119.17</v>
      </c>
      <c r="I5816" s="3564">
        <v>22.81</v>
      </c>
      <c r="J5816" s="3565">
        <v>2089390</v>
      </c>
      <c r="K5816" s="3565">
        <v>14716.09</v>
      </c>
      <c r="L5816" s="3565">
        <v>17532.849999999999</v>
      </c>
      <c r="M5816" s="3565">
        <v>0</v>
      </c>
      <c r="N5816" s="3565">
        <v>0</v>
      </c>
      <c r="O5816" s="3563" t="s">
        <v>3453</v>
      </c>
    </row>
    <row r="5817" spans="1:15">
      <c r="A5817" s="3563" t="s">
        <v>10052</v>
      </c>
      <c r="B5817" s="3563" t="s">
        <v>4196</v>
      </c>
      <c r="C5817" s="3563" t="s">
        <v>4197</v>
      </c>
      <c r="D5817" s="3563" t="s">
        <v>6429</v>
      </c>
      <c r="E5817" s="3563" t="s">
        <v>10043</v>
      </c>
      <c r="F5817" s="3563" t="s">
        <v>4949</v>
      </c>
      <c r="G5817" s="3564">
        <v>141.97999999999999</v>
      </c>
      <c r="H5817" s="3564">
        <v>119.17</v>
      </c>
      <c r="I5817" s="3564">
        <v>22.81</v>
      </c>
      <c r="J5817" s="3565">
        <v>1862113</v>
      </c>
      <c r="K5817" s="3565">
        <v>13115.32</v>
      </c>
      <c r="L5817" s="3565">
        <v>15625.69</v>
      </c>
      <c r="M5817" s="3565">
        <v>0</v>
      </c>
      <c r="N5817" s="3565">
        <v>0</v>
      </c>
      <c r="O5817" s="3563" t="s">
        <v>3453</v>
      </c>
    </row>
    <row r="5818" spans="1:15">
      <c r="A5818" s="3563" t="s">
        <v>10053</v>
      </c>
      <c r="B5818" s="3563" t="s">
        <v>4196</v>
      </c>
      <c r="C5818" s="3563" t="s">
        <v>4197</v>
      </c>
      <c r="D5818" s="3563" t="s">
        <v>6429</v>
      </c>
      <c r="E5818" s="3563" t="s">
        <v>10043</v>
      </c>
      <c r="F5818" s="3563" t="s">
        <v>4949</v>
      </c>
      <c r="G5818" s="3564">
        <v>111.88</v>
      </c>
      <c r="H5818" s="3564">
        <v>91.75</v>
      </c>
      <c r="I5818" s="3564">
        <v>20.13</v>
      </c>
      <c r="J5818" s="3565">
        <v>1689320</v>
      </c>
      <c r="K5818" s="3565">
        <v>15099.39</v>
      </c>
      <c r="L5818" s="3565">
        <v>18412.21</v>
      </c>
      <c r="M5818" s="3565">
        <v>0</v>
      </c>
      <c r="N5818" s="3565">
        <v>0</v>
      </c>
      <c r="O5818" s="3563" t="s">
        <v>3453</v>
      </c>
    </row>
    <row r="5819" spans="1:15">
      <c r="A5819" s="3563" t="s">
        <v>10054</v>
      </c>
      <c r="B5819" s="3563" t="s">
        <v>4196</v>
      </c>
      <c r="C5819" s="3563" t="s">
        <v>4197</v>
      </c>
      <c r="D5819" s="3563" t="s">
        <v>6429</v>
      </c>
      <c r="E5819" s="3563" t="s">
        <v>10043</v>
      </c>
      <c r="F5819" s="3563" t="s">
        <v>4949</v>
      </c>
      <c r="G5819" s="3564">
        <v>111.88</v>
      </c>
      <c r="H5819" s="3564">
        <v>91.75</v>
      </c>
      <c r="I5819" s="3564">
        <v>20.13</v>
      </c>
      <c r="J5819" s="3565">
        <v>1629809</v>
      </c>
      <c r="K5819" s="3565">
        <v>14567.47</v>
      </c>
      <c r="L5819" s="3565">
        <v>17763.59</v>
      </c>
      <c r="M5819" s="3565">
        <v>0</v>
      </c>
      <c r="N5819" s="3565">
        <v>0</v>
      </c>
      <c r="O5819" s="3563" t="s">
        <v>3453</v>
      </c>
    </row>
    <row r="5820" spans="1:15">
      <c r="A5820" s="3563" t="s">
        <v>10055</v>
      </c>
      <c r="B5820" s="3563" t="s">
        <v>4196</v>
      </c>
      <c r="C5820" s="3563" t="s">
        <v>4197</v>
      </c>
      <c r="D5820" s="3563" t="s">
        <v>6429</v>
      </c>
      <c r="E5820" s="3563" t="s">
        <v>10056</v>
      </c>
      <c r="F5820" s="3563" t="s">
        <v>4949</v>
      </c>
      <c r="G5820" s="3564">
        <v>142.15</v>
      </c>
      <c r="H5820" s="3564">
        <v>119.17</v>
      </c>
      <c r="I5820" s="3564">
        <v>22.98</v>
      </c>
      <c r="J5820" s="3565">
        <v>1833672</v>
      </c>
      <c r="K5820" s="3565">
        <v>12899.56</v>
      </c>
      <c r="L5820" s="3565">
        <v>15387.03</v>
      </c>
      <c r="M5820" s="3565">
        <v>0</v>
      </c>
      <c r="N5820" s="3565">
        <v>0</v>
      </c>
      <c r="O5820" s="3563" t="s">
        <v>3453</v>
      </c>
    </row>
    <row r="5821" spans="1:15">
      <c r="A5821" s="3563" t="s">
        <v>10057</v>
      </c>
      <c r="B5821" s="3563" t="s">
        <v>4196</v>
      </c>
      <c r="C5821" s="3563" t="s">
        <v>4197</v>
      </c>
      <c r="D5821" s="3563" t="s">
        <v>6429</v>
      </c>
      <c r="E5821" s="3563" t="s">
        <v>10056</v>
      </c>
      <c r="F5821" s="3563" t="s">
        <v>4949</v>
      </c>
      <c r="G5821" s="3564">
        <v>142.15</v>
      </c>
      <c r="H5821" s="3564">
        <v>119.17</v>
      </c>
      <c r="I5821" s="3564">
        <v>22.98</v>
      </c>
      <c r="J5821" s="3565">
        <v>2061996</v>
      </c>
      <c r="K5821" s="3565">
        <v>14505.78</v>
      </c>
      <c r="L5821" s="3565">
        <v>17302.98</v>
      </c>
      <c r="M5821" s="3565">
        <v>0</v>
      </c>
      <c r="N5821" s="3565">
        <v>0</v>
      </c>
      <c r="O5821" s="3563" t="s">
        <v>3453</v>
      </c>
    </row>
    <row r="5822" spans="1:15">
      <c r="A5822" s="3563" t="s">
        <v>10058</v>
      </c>
      <c r="B5822" s="3563" t="s">
        <v>4196</v>
      </c>
      <c r="C5822" s="3563" t="s">
        <v>4197</v>
      </c>
      <c r="D5822" s="3563" t="s">
        <v>6429</v>
      </c>
      <c r="E5822" s="3563" t="s">
        <v>10056</v>
      </c>
      <c r="F5822" s="3563" t="s">
        <v>4949</v>
      </c>
      <c r="G5822" s="3564">
        <v>112.01</v>
      </c>
      <c r="H5822" s="3564">
        <v>91.75</v>
      </c>
      <c r="I5822" s="3564">
        <v>20.260000000000002</v>
      </c>
      <c r="J5822" s="3565">
        <v>1607318</v>
      </c>
      <c r="K5822" s="3565">
        <v>14349.77</v>
      </c>
      <c r="L5822" s="3565">
        <v>17518.45</v>
      </c>
      <c r="M5822" s="3565">
        <v>0</v>
      </c>
      <c r="N5822" s="3565">
        <v>0</v>
      </c>
      <c r="O5822" s="3563" t="s">
        <v>3453</v>
      </c>
    </row>
    <row r="5823" spans="1:15">
      <c r="A5823" s="3563" t="s">
        <v>10059</v>
      </c>
      <c r="B5823" s="3563" t="s">
        <v>4196</v>
      </c>
      <c r="C5823" s="3563" t="s">
        <v>4197</v>
      </c>
      <c r="D5823" s="3563" t="s">
        <v>6429</v>
      </c>
      <c r="E5823" s="3563" t="s">
        <v>10056</v>
      </c>
      <c r="F5823" s="3563" t="s">
        <v>4949</v>
      </c>
      <c r="G5823" s="3564">
        <v>112.01</v>
      </c>
      <c r="H5823" s="3564">
        <v>91.75</v>
      </c>
      <c r="I5823" s="3564">
        <v>20.260000000000002</v>
      </c>
      <c r="J5823" s="3565">
        <v>1666897</v>
      </c>
      <c r="K5823" s="3565">
        <v>14881.68</v>
      </c>
      <c r="L5823" s="3565">
        <v>18167.810000000001</v>
      </c>
      <c r="M5823" s="3565">
        <v>0</v>
      </c>
      <c r="N5823" s="3565">
        <v>0</v>
      </c>
      <c r="O5823" s="3563" t="s">
        <v>3453</v>
      </c>
    </row>
    <row r="5824" spans="1:15">
      <c r="A5824" s="3563" t="s">
        <v>10060</v>
      </c>
      <c r="B5824" s="3563" t="s">
        <v>4196</v>
      </c>
      <c r="C5824" s="3563" t="s">
        <v>4197</v>
      </c>
      <c r="D5824" s="3563" t="s">
        <v>6429</v>
      </c>
      <c r="E5824" s="3563" t="s">
        <v>10056</v>
      </c>
      <c r="F5824" s="3563" t="s">
        <v>4949</v>
      </c>
      <c r="G5824" s="3564">
        <v>142.15</v>
      </c>
      <c r="H5824" s="3564">
        <v>119.17</v>
      </c>
      <c r="I5824" s="3564">
        <v>22.98</v>
      </c>
      <c r="J5824" s="3565">
        <v>1827927</v>
      </c>
      <c r="K5824" s="3565">
        <v>12859.14</v>
      </c>
      <c r="L5824" s="3565">
        <v>15338.82</v>
      </c>
      <c r="M5824" s="3565">
        <v>0</v>
      </c>
      <c r="N5824" s="3565">
        <v>0</v>
      </c>
      <c r="O5824" s="3563" t="s">
        <v>3453</v>
      </c>
    </row>
    <row r="5825" spans="1:15">
      <c r="A5825" s="3563" t="s">
        <v>10061</v>
      </c>
      <c r="B5825" s="3563" t="s">
        <v>4196</v>
      </c>
      <c r="C5825" s="3563" t="s">
        <v>4197</v>
      </c>
      <c r="D5825" s="3563" t="s">
        <v>6429</v>
      </c>
      <c r="E5825" s="3563" t="s">
        <v>10056</v>
      </c>
      <c r="F5825" s="3563" t="s">
        <v>4949</v>
      </c>
      <c r="G5825" s="3564">
        <v>142.15</v>
      </c>
      <c r="H5825" s="3564">
        <v>119.17</v>
      </c>
      <c r="I5825" s="3564">
        <v>22.98</v>
      </c>
      <c r="J5825" s="3565">
        <v>1832650</v>
      </c>
      <c r="K5825" s="3565">
        <v>12892.37</v>
      </c>
      <c r="L5825" s="3565">
        <v>15378.45</v>
      </c>
      <c r="M5825" s="3565">
        <v>0</v>
      </c>
      <c r="N5825" s="3565">
        <v>0</v>
      </c>
      <c r="O5825" s="3563" t="s">
        <v>3453</v>
      </c>
    </row>
    <row r="5826" spans="1:15">
      <c r="A5826" s="3563" t="s">
        <v>10062</v>
      </c>
      <c r="B5826" s="3563" t="s">
        <v>4196</v>
      </c>
      <c r="C5826" s="3563" t="s">
        <v>4197</v>
      </c>
      <c r="D5826" s="3563" t="s">
        <v>6429</v>
      </c>
      <c r="E5826" s="3563" t="s">
        <v>10056</v>
      </c>
      <c r="F5826" s="3563" t="s">
        <v>4949</v>
      </c>
      <c r="G5826" s="3564">
        <v>112.01</v>
      </c>
      <c r="H5826" s="3564">
        <v>91.75</v>
      </c>
      <c r="I5826" s="3564">
        <v>20.260000000000002</v>
      </c>
      <c r="J5826" s="3565">
        <v>1607318</v>
      </c>
      <c r="K5826" s="3565">
        <v>14349.77</v>
      </c>
      <c r="L5826" s="3565">
        <v>17518.45</v>
      </c>
      <c r="M5826" s="3565">
        <v>0</v>
      </c>
      <c r="N5826" s="3565">
        <v>0</v>
      </c>
      <c r="O5826" s="3563" t="s">
        <v>3453</v>
      </c>
    </row>
    <row r="5827" spans="1:15">
      <c r="A5827" s="3563" t="s">
        <v>10063</v>
      </c>
      <c r="B5827" s="3563" t="s">
        <v>4196</v>
      </c>
      <c r="C5827" s="3563" t="s">
        <v>4197</v>
      </c>
      <c r="D5827" s="3563" t="s">
        <v>6429</v>
      </c>
      <c r="E5827" s="3563" t="s">
        <v>10056</v>
      </c>
      <c r="F5827" s="3563" t="s">
        <v>4949</v>
      </c>
      <c r="G5827" s="3564">
        <v>112.01</v>
      </c>
      <c r="H5827" s="3564">
        <v>91.75</v>
      </c>
      <c r="I5827" s="3564">
        <v>20.260000000000002</v>
      </c>
      <c r="J5827" s="3565">
        <v>1607318</v>
      </c>
      <c r="K5827" s="3565">
        <v>14349.77</v>
      </c>
      <c r="L5827" s="3565">
        <v>17518.45</v>
      </c>
      <c r="M5827" s="3565">
        <v>0</v>
      </c>
      <c r="N5827" s="3565">
        <v>0</v>
      </c>
      <c r="O5827" s="3563" t="s">
        <v>3453</v>
      </c>
    </row>
    <row r="5828" spans="1:15">
      <c r="A5828" s="3563" t="s">
        <v>10064</v>
      </c>
      <c r="B5828" s="3563" t="s">
        <v>4196</v>
      </c>
      <c r="C5828" s="3563" t="s">
        <v>4197</v>
      </c>
      <c r="D5828" s="3563" t="s">
        <v>6429</v>
      </c>
      <c r="E5828" s="3563" t="s">
        <v>10056</v>
      </c>
      <c r="F5828" s="3563" t="s">
        <v>4949</v>
      </c>
      <c r="G5828" s="3564">
        <v>142.15</v>
      </c>
      <c r="H5828" s="3564">
        <v>119.17</v>
      </c>
      <c r="I5828" s="3564">
        <v>22.98</v>
      </c>
      <c r="J5828" s="3565">
        <v>1833672</v>
      </c>
      <c r="K5828" s="3565">
        <v>12899.56</v>
      </c>
      <c r="L5828" s="3565">
        <v>15387.03</v>
      </c>
      <c r="M5828" s="3565">
        <v>0</v>
      </c>
      <c r="N5828" s="3565">
        <v>0</v>
      </c>
      <c r="O5828" s="3563" t="s">
        <v>3453</v>
      </c>
    </row>
    <row r="5829" spans="1:15">
      <c r="A5829" s="3563" t="s">
        <v>10065</v>
      </c>
      <c r="B5829" s="3563" t="s">
        <v>4196</v>
      </c>
      <c r="C5829" s="3563" t="s">
        <v>4197</v>
      </c>
      <c r="D5829" s="3563" t="s">
        <v>6429</v>
      </c>
      <c r="E5829" s="3563" t="s">
        <v>10056</v>
      </c>
      <c r="F5829" s="3563" t="s">
        <v>4949</v>
      </c>
      <c r="G5829" s="3564">
        <v>142.15</v>
      </c>
      <c r="H5829" s="3564">
        <v>119.17</v>
      </c>
      <c r="I5829" s="3564">
        <v>22.98</v>
      </c>
      <c r="J5829" s="3565">
        <v>1828214</v>
      </c>
      <c r="K5829" s="3565">
        <v>12861.16</v>
      </c>
      <c r="L5829" s="3565">
        <v>15341.23</v>
      </c>
      <c r="M5829" s="3565">
        <v>0</v>
      </c>
      <c r="N5829" s="3565">
        <v>0</v>
      </c>
      <c r="O5829" s="3563" t="s">
        <v>3453</v>
      </c>
    </row>
    <row r="5830" spans="1:15">
      <c r="A5830" s="3563" t="s">
        <v>10066</v>
      </c>
      <c r="B5830" s="3563" t="s">
        <v>4196</v>
      </c>
      <c r="C5830" s="3563" t="s">
        <v>4197</v>
      </c>
      <c r="D5830" s="3563" t="s">
        <v>6429</v>
      </c>
      <c r="E5830" s="3563" t="s">
        <v>10056</v>
      </c>
      <c r="F5830" s="3563" t="s">
        <v>4949</v>
      </c>
      <c r="G5830" s="3564">
        <v>112.01</v>
      </c>
      <c r="H5830" s="3564">
        <v>91.75</v>
      </c>
      <c r="I5830" s="3564">
        <v>20.260000000000002</v>
      </c>
      <c r="J5830" s="3565">
        <v>1607318</v>
      </c>
      <c r="K5830" s="3565">
        <v>14349.77</v>
      </c>
      <c r="L5830" s="3565">
        <v>17518.45</v>
      </c>
      <c r="M5830" s="3565">
        <v>0</v>
      </c>
      <c r="N5830" s="3565">
        <v>0</v>
      </c>
      <c r="O5830" s="3563" t="s">
        <v>3453</v>
      </c>
    </row>
    <row r="5831" spans="1:15">
      <c r="A5831" s="3563" t="s">
        <v>10067</v>
      </c>
      <c r="B5831" s="3563" t="s">
        <v>4196</v>
      </c>
      <c r="C5831" s="3563" t="s">
        <v>4197</v>
      </c>
      <c r="D5831" s="3563" t="s">
        <v>6429</v>
      </c>
      <c r="E5831" s="3563" t="s">
        <v>10056</v>
      </c>
      <c r="F5831" s="3563" t="s">
        <v>4949</v>
      </c>
      <c r="G5831" s="3564">
        <v>112.01</v>
      </c>
      <c r="H5831" s="3564">
        <v>91.75</v>
      </c>
      <c r="I5831" s="3564">
        <v>20.260000000000002</v>
      </c>
      <c r="J5831" s="3565">
        <v>1607318</v>
      </c>
      <c r="K5831" s="3565">
        <v>14349.77</v>
      </c>
      <c r="L5831" s="3565">
        <v>17518.45</v>
      </c>
      <c r="M5831" s="3565">
        <v>0</v>
      </c>
      <c r="N5831" s="3565">
        <v>0</v>
      </c>
      <c r="O5831" s="3563" t="s">
        <v>3453</v>
      </c>
    </row>
    <row r="5832" spans="1:15">
      <c r="A5832" s="3563" t="s">
        <v>10068</v>
      </c>
      <c r="B5832" s="3563" t="s">
        <v>4196</v>
      </c>
      <c r="C5832" s="3563" t="s">
        <v>4197</v>
      </c>
      <c r="D5832" s="3563" t="s">
        <v>6429</v>
      </c>
      <c r="E5832" s="3563" t="s">
        <v>10056</v>
      </c>
      <c r="F5832" s="3563" t="s">
        <v>4949</v>
      </c>
      <c r="G5832" s="3564">
        <v>142.15</v>
      </c>
      <c r="H5832" s="3564">
        <v>119.17</v>
      </c>
      <c r="I5832" s="3564">
        <v>22.98</v>
      </c>
      <c r="J5832" s="3565">
        <v>1933060</v>
      </c>
      <c r="K5832" s="3565">
        <v>13598.73</v>
      </c>
      <c r="L5832" s="3565">
        <v>16221.03</v>
      </c>
      <c r="M5832" s="3565">
        <v>0</v>
      </c>
      <c r="N5832" s="3565">
        <v>0</v>
      </c>
      <c r="O5832" s="3563" t="s">
        <v>3453</v>
      </c>
    </row>
    <row r="5833" spans="1:15">
      <c r="A5833" s="3563" t="s">
        <v>10069</v>
      </c>
      <c r="B5833" s="3563" t="s">
        <v>4196</v>
      </c>
      <c r="C5833" s="3563" t="s">
        <v>4197</v>
      </c>
      <c r="D5833" s="3563" t="s">
        <v>6429</v>
      </c>
      <c r="E5833" s="3563" t="s">
        <v>10056</v>
      </c>
      <c r="F5833" s="3563" t="s">
        <v>4949</v>
      </c>
      <c r="G5833" s="3564">
        <v>142.15</v>
      </c>
      <c r="H5833" s="3564">
        <v>119.17</v>
      </c>
      <c r="I5833" s="3564">
        <v>22.98</v>
      </c>
      <c r="J5833" s="3565">
        <v>1833672</v>
      </c>
      <c r="K5833" s="3565">
        <v>12899.56</v>
      </c>
      <c r="L5833" s="3565">
        <v>15387.03</v>
      </c>
      <c r="M5833" s="3565">
        <v>0</v>
      </c>
      <c r="N5833" s="3565">
        <v>0</v>
      </c>
      <c r="O5833" s="3563" t="s">
        <v>3453</v>
      </c>
    </row>
    <row r="5834" spans="1:15">
      <c r="A5834" s="3563" t="s">
        <v>10070</v>
      </c>
      <c r="B5834" s="3563" t="s">
        <v>4196</v>
      </c>
      <c r="C5834" s="3563" t="s">
        <v>4197</v>
      </c>
      <c r="D5834" s="3563" t="s">
        <v>6429</v>
      </c>
      <c r="E5834" s="3563" t="s">
        <v>10056</v>
      </c>
      <c r="F5834" s="3563" t="s">
        <v>4949</v>
      </c>
      <c r="G5834" s="3564">
        <v>112.01</v>
      </c>
      <c r="H5834" s="3564">
        <v>91.75</v>
      </c>
      <c r="I5834" s="3564">
        <v>20.260000000000002</v>
      </c>
      <c r="J5834" s="3565">
        <v>1666897</v>
      </c>
      <c r="K5834" s="3565">
        <v>14881.68</v>
      </c>
      <c r="L5834" s="3565">
        <v>18167.810000000001</v>
      </c>
      <c r="M5834" s="3565">
        <v>0</v>
      </c>
      <c r="N5834" s="3565">
        <v>0</v>
      </c>
      <c r="O5834" s="3563" t="s">
        <v>3453</v>
      </c>
    </row>
    <row r="5835" spans="1:15">
      <c r="A5835" s="3563" t="s">
        <v>10071</v>
      </c>
      <c r="B5835" s="3563" t="s">
        <v>4196</v>
      </c>
      <c r="C5835" s="3563" t="s">
        <v>4197</v>
      </c>
      <c r="D5835" s="3563" t="s">
        <v>6429</v>
      </c>
      <c r="E5835" s="3563" t="s">
        <v>10056</v>
      </c>
      <c r="F5835" s="3563" t="s">
        <v>4949</v>
      </c>
      <c r="G5835" s="3564">
        <v>112.01</v>
      </c>
      <c r="H5835" s="3564">
        <v>91.75</v>
      </c>
      <c r="I5835" s="3564">
        <v>20.260000000000002</v>
      </c>
      <c r="J5835" s="3565">
        <v>1607318</v>
      </c>
      <c r="K5835" s="3565">
        <v>14349.77</v>
      </c>
      <c r="L5835" s="3565">
        <v>17518.45</v>
      </c>
      <c r="M5835" s="3565">
        <v>0</v>
      </c>
      <c r="N5835" s="3565">
        <v>0</v>
      </c>
      <c r="O5835" s="3563" t="s">
        <v>3453</v>
      </c>
    </row>
    <row r="5836" spans="1:15">
      <c r="A5836" s="3563" t="s">
        <v>10072</v>
      </c>
      <c r="B5836" s="3563" t="s">
        <v>4196</v>
      </c>
      <c r="C5836" s="3563" t="s">
        <v>4197</v>
      </c>
      <c r="D5836" s="3563" t="s">
        <v>6429</v>
      </c>
      <c r="E5836" s="3563" t="s">
        <v>10073</v>
      </c>
      <c r="F5836" s="3563" t="s">
        <v>4949</v>
      </c>
      <c r="G5836" s="3564">
        <v>141.97999999999999</v>
      </c>
      <c r="H5836" s="3564">
        <v>119.17</v>
      </c>
      <c r="I5836" s="3564">
        <v>22.81</v>
      </c>
      <c r="J5836" s="3565">
        <v>1862400</v>
      </c>
      <c r="K5836" s="3565">
        <v>13117.34</v>
      </c>
      <c r="L5836" s="3565">
        <v>15628.09</v>
      </c>
      <c r="M5836" s="3565">
        <v>0</v>
      </c>
      <c r="N5836" s="3565">
        <v>0</v>
      </c>
      <c r="O5836" s="3563" t="s">
        <v>3453</v>
      </c>
    </row>
    <row r="5837" spans="1:15">
      <c r="A5837" s="3563" t="s">
        <v>10074</v>
      </c>
      <c r="B5837" s="3563" t="s">
        <v>4196</v>
      </c>
      <c r="C5837" s="3563" t="s">
        <v>4197</v>
      </c>
      <c r="D5837" s="3563" t="s">
        <v>6429</v>
      </c>
      <c r="E5837" s="3563" t="s">
        <v>10073</v>
      </c>
      <c r="F5837" s="3563" t="s">
        <v>4949</v>
      </c>
      <c r="G5837" s="3564">
        <v>141.97999999999999</v>
      </c>
      <c r="H5837" s="3564">
        <v>119.17</v>
      </c>
      <c r="I5837" s="3564">
        <v>22.81</v>
      </c>
      <c r="J5837" s="3565">
        <v>2083390</v>
      </c>
      <c r="K5837" s="3565">
        <v>14673.83</v>
      </c>
      <c r="L5837" s="3565">
        <v>17482.5</v>
      </c>
      <c r="M5837" s="3565">
        <v>0</v>
      </c>
      <c r="N5837" s="3565">
        <v>0</v>
      </c>
      <c r="O5837" s="3563" t="s">
        <v>3453</v>
      </c>
    </row>
    <row r="5838" spans="1:15">
      <c r="A5838" s="3563" t="s">
        <v>10075</v>
      </c>
      <c r="B5838" s="3563" t="s">
        <v>4196</v>
      </c>
      <c r="C5838" s="3563" t="s">
        <v>4197</v>
      </c>
      <c r="D5838" s="3563" t="s">
        <v>6429</v>
      </c>
      <c r="E5838" s="3563" t="s">
        <v>10073</v>
      </c>
      <c r="F5838" s="3563" t="s">
        <v>4949</v>
      </c>
      <c r="G5838" s="3564">
        <v>111.88</v>
      </c>
      <c r="H5838" s="3564">
        <v>91.75</v>
      </c>
      <c r="I5838" s="3564">
        <v>20.13</v>
      </c>
      <c r="J5838" s="3565">
        <v>1629809</v>
      </c>
      <c r="K5838" s="3565">
        <v>14567.47</v>
      </c>
      <c r="L5838" s="3565">
        <v>17763.59</v>
      </c>
      <c r="M5838" s="3565">
        <v>0</v>
      </c>
      <c r="N5838" s="3565">
        <v>0</v>
      </c>
      <c r="O5838" s="3563" t="s">
        <v>3453</v>
      </c>
    </row>
    <row r="5839" spans="1:15">
      <c r="A5839" s="3563" t="s">
        <v>10076</v>
      </c>
      <c r="B5839" s="3563" t="s">
        <v>4196</v>
      </c>
      <c r="C5839" s="3563" t="s">
        <v>4197</v>
      </c>
      <c r="D5839" s="3563" t="s">
        <v>6429</v>
      </c>
      <c r="E5839" s="3563" t="s">
        <v>10073</v>
      </c>
      <c r="F5839" s="3563" t="s">
        <v>4949</v>
      </c>
      <c r="G5839" s="3564">
        <v>111.88</v>
      </c>
      <c r="H5839" s="3564">
        <v>91.75</v>
      </c>
      <c r="I5839" s="3564">
        <v>20.13</v>
      </c>
      <c r="J5839" s="3565">
        <v>1689320</v>
      </c>
      <c r="K5839" s="3565">
        <v>15099.39</v>
      </c>
      <c r="L5839" s="3565">
        <v>18412.21</v>
      </c>
      <c r="M5839" s="3565">
        <v>0</v>
      </c>
      <c r="N5839" s="3565">
        <v>0</v>
      </c>
      <c r="O5839" s="3563" t="s">
        <v>3453</v>
      </c>
    </row>
    <row r="5840" spans="1:15">
      <c r="A5840" s="3563" t="s">
        <v>10077</v>
      </c>
      <c r="B5840" s="3563" t="s">
        <v>4196</v>
      </c>
      <c r="C5840" s="3563" t="s">
        <v>4197</v>
      </c>
      <c r="D5840" s="3563" t="s">
        <v>6429</v>
      </c>
      <c r="E5840" s="3563" t="s">
        <v>10073</v>
      </c>
      <c r="F5840" s="3563" t="s">
        <v>4949</v>
      </c>
      <c r="G5840" s="3564">
        <v>141.97999999999999</v>
      </c>
      <c r="H5840" s="3564">
        <v>119.17</v>
      </c>
      <c r="I5840" s="3564">
        <v>22.81</v>
      </c>
      <c r="J5840" s="3565">
        <v>1862081</v>
      </c>
      <c r="K5840" s="3565">
        <v>13115.09</v>
      </c>
      <c r="L5840" s="3565">
        <v>15625.42</v>
      </c>
      <c r="M5840" s="3565">
        <v>0</v>
      </c>
      <c r="N5840" s="3565">
        <v>0</v>
      </c>
      <c r="O5840" s="3563" t="s">
        <v>3453</v>
      </c>
    </row>
    <row r="5841" spans="1:15">
      <c r="A5841" s="3563" t="s">
        <v>10078</v>
      </c>
      <c r="B5841" s="3563" t="s">
        <v>4196</v>
      </c>
      <c r="C5841" s="3563" t="s">
        <v>4197</v>
      </c>
      <c r="D5841" s="3563" t="s">
        <v>6429</v>
      </c>
      <c r="E5841" s="3563" t="s">
        <v>10073</v>
      </c>
      <c r="F5841" s="3563" t="s">
        <v>4949</v>
      </c>
      <c r="G5841" s="3564">
        <v>141.97999999999999</v>
      </c>
      <c r="H5841" s="3564">
        <v>119.17</v>
      </c>
      <c r="I5841" s="3564">
        <v>22.81</v>
      </c>
      <c r="J5841" s="3565">
        <v>1863166</v>
      </c>
      <c r="K5841" s="3565">
        <v>13122.74</v>
      </c>
      <c r="L5841" s="3565">
        <v>15634.52</v>
      </c>
      <c r="M5841" s="3565">
        <v>0</v>
      </c>
      <c r="N5841" s="3565">
        <v>0</v>
      </c>
      <c r="O5841" s="3563" t="s">
        <v>3453</v>
      </c>
    </row>
    <row r="5842" spans="1:15">
      <c r="A5842" s="3563" t="s">
        <v>10079</v>
      </c>
      <c r="B5842" s="3563" t="s">
        <v>4196</v>
      </c>
      <c r="C5842" s="3563" t="s">
        <v>4197</v>
      </c>
      <c r="D5842" s="3563" t="s">
        <v>6429</v>
      </c>
      <c r="E5842" s="3563" t="s">
        <v>10073</v>
      </c>
      <c r="F5842" s="3563" t="s">
        <v>4949</v>
      </c>
      <c r="G5842" s="3564">
        <v>111.88</v>
      </c>
      <c r="H5842" s="3564">
        <v>91.75</v>
      </c>
      <c r="I5842" s="3564">
        <v>20.13</v>
      </c>
      <c r="J5842" s="3565">
        <v>1629809</v>
      </c>
      <c r="K5842" s="3565">
        <v>14567.47</v>
      </c>
      <c r="L5842" s="3565">
        <v>17763.59</v>
      </c>
      <c r="M5842" s="3565">
        <v>0</v>
      </c>
      <c r="N5842" s="3565">
        <v>0</v>
      </c>
      <c r="O5842" s="3563" t="s">
        <v>3453</v>
      </c>
    </row>
    <row r="5843" spans="1:15">
      <c r="A5843" s="3563" t="s">
        <v>10080</v>
      </c>
      <c r="B5843" s="3563" t="s">
        <v>4196</v>
      </c>
      <c r="C5843" s="3563" t="s">
        <v>4197</v>
      </c>
      <c r="D5843" s="3563" t="s">
        <v>6429</v>
      </c>
      <c r="E5843" s="3563" t="s">
        <v>10073</v>
      </c>
      <c r="F5843" s="3563" t="s">
        <v>4949</v>
      </c>
      <c r="G5843" s="3564">
        <v>111.88</v>
      </c>
      <c r="H5843" s="3564">
        <v>91.75</v>
      </c>
      <c r="I5843" s="3564">
        <v>20.13</v>
      </c>
      <c r="J5843" s="3565">
        <v>1629809</v>
      </c>
      <c r="K5843" s="3565">
        <v>14567.47</v>
      </c>
      <c r="L5843" s="3565">
        <v>17763.59</v>
      </c>
      <c r="M5843" s="3565">
        <v>0</v>
      </c>
      <c r="N5843" s="3565">
        <v>0</v>
      </c>
      <c r="O5843" s="3563" t="s">
        <v>3453</v>
      </c>
    </row>
    <row r="5844" spans="1:15">
      <c r="A5844" s="3563" t="s">
        <v>10081</v>
      </c>
      <c r="B5844" s="3563" t="s">
        <v>4196</v>
      </c>
      <c r="C5844" s="3563" t="s">
        <v>4197</v>
      </c>
      <c r="D5844" s="3563" t="s">
        <v>6429</v>
      </c>
      <c r="E5844" s="3563" t="s">
        <v>10073</v>
      </c>
      <c r="F5844" s="3563" t="s">
        <v>4949</v>
      </c>
      <c r="G5844" s="3564">
        <v>141.97999999999999</v>
      </c>
      <c r="H5844" s="3564">
        <v>119.17</v>
      </c>
      <c r="I5844" s="3564">
        <v>22.81</v>
      </c>
      <c r="J5844" s="3565">
        <v>2087954</v>
      </c>
      <c r="K5844" s="3565">
        <v>14705.97</v>
      </c>
      <c r="L5844" s="3565">
        <v>17520.8</v>
      </c>
      <c r="M5844" s="3565">
        <v>0</v>
      </c>
      <c r="N5844" s="3565">
        <v>0</v>
      </c>
      <c r="O5844" s="3563" t="s">
        <v>3453</v>
      </c>
    </row>
    <row r="5845" spans="1:15">
      <c r="A5845" s="3563" t="s">
        <v>10082</v>
      </c>
      <c r="B5845" s="3563" t="s">
        <v>4196</v>
      </c>
      <c r="C5845" s="3563" t="s">
        <v>4197</v>
      </c>
      <c r="D5845" s="3563" t="s">
        <v>6429</v>
      </c>
      <c r="E5845" s="3563" t="s">
        <v>10073</v>
      </c>
      <c r="F5845" s="3563" t="s">
        <v>4949</v>
      </c>
      <c r="G5845" s="3564">
        <v>141.97999999999999</v>
      </c>
      <c r="H5845" s="3564">
        <v>119.17</v>
      </c>
      <c r="I5845" s="3564">
        <v>22.81</v>
      </c>
      <c r="J5845" s="3565">
        <v>1862081</v>
      </c>
      <c r="K5845" s="3565">
        <v>13115.09</v>
      </c>
      <c r="L5845" s="3565">
        <v>15625.42</v>
      </c>
      <c r="M5845" s="3565">
        <v>0</v>
      </c>
      <c r="N5845" s="3565">
        <v>0</v>
      </c>
      <c r="O5845" s="3563" t="s">
        <v>3453</v>
      </c>
    </row>
    <row r="5846" spans="1:15">
      <c r="A5846" s="3563" t="s">
        <v>10083</v>
      </c>
      <c r="B5846" s="3563" t="s">
        <v>4196</v>
      </c>
      <c r="C5846" s="3563" t="s">
        <v>4197</v>
      </c>
      <c r="D5846" s="3563" t="s">
        <v>6429</v>
      </c>
      <c r="E5846" s="3563" t="s">
        <v>10073</v>
      </c>
      <c r="F5846" s="3563" t="s">
        <v>4949</v>
      </c>
      <c r="G5846" s="3564">
        <v>111.88</v>
      </c>
      <c r="H5846" s="3564">
        <v>91.75</v>
      </c>
      <c r="I5846" s="3564">
        <v>20.13</v>
      </c>
      <c r="J5846" s="3565">
        <v>1689320</v>
      </c>
      <c r="K5846" s="3565">
        <v>15099.39</v>
      </c>
      <c r="L5846" s="3565">
        <v>18412.21</v>
      </c>
      <c r="M5846" s="3565">
        <v>0</v>
      </c>
      <c r="N5846" s="3565">
        <v>0</v>
      </c>
      <c r="O5846" s="3563" t="s">
        <v>3453</v>
      </c>
    </row>
    <row r="5847" spans="1:15">
      <c r="A5847" s="3563" t="s">
        <v>10084</v>
      </c>
      <c r="B5847" s="3563" t="s">
        <v>4196</v>
      </c>
      <c r="C5847" s="3563" t="s">
        <v>4197</v>
      </c>
      <c r="D5847" s="3563" t="s">
        <v>6429</v>
      </c>
      <c r="E5847" s="3563" t="s">
        <v>10073</v>
      </c>
      <c r="F5847" s="3563" t="s">
        <v>4949</v>
      </c>
      <c r="G5847" s="3564">
        <v>111.88</v>
      </c>
      <c r="H5847" s="3564">
        <v>91.75</v>
      </c>
      <c r="I5847" s="3564">
        <v>20.13</v>
      </c>
      <c r="J5847" s="3565">
        <v>1629809</v>
      </c>
      <c r="K5847" s="3565">
        <v>14567.47</v>
      </c>
      <c r="L5847" s="3565">
        <v>17763.59</v>
      </c>
      <c r="M5847" s="3565">
        <v>0</v>
      </c>
      <c r="N5847" s="3565">
        <v>0</v>
      </c>
      <c r="O5847" s="3563" t="s">
        <v>3453</v>
      </c>
    </row>
    <row r="5848" spans="1:15">
      <c r="A5848" s="3563" t="s">
        <v>10085</v>
      </c>
      <c r="B5848" s="3563" t="s">
        <v>4196</v>
      </c>
      <c r="C5848" s="3563" t="s">
        <v>4197</v>
      </c>
      <c r="D5848" s="3563" t="s">
        <v>6429</v>
      </c>
      <c r="E5848" s="3563" t="s">
        <v>10086</v>
      </c>
      <c r="F5848" s="3563" t="s">
        <v>4949</v>
      </c>
      <c r="G5848" s="3564">
        <v>142.15</v>
      </c>
      <c r="H5848" s="3564">
        <v>119.17</v>
      </c>
      <c r="I5848" s="3564">
        <v>22.98</v>
      </c>
      <c r="J5848" s="3565">
        <v>1833672</v>
      </c>
      <c r="K5848" s="3565">
        <v>12899.56</v>
      </c>
      <c r="L5848" s="3565">
        <v>15387.03</v>
      </c>
      <c r="M5848" s="3565">
        <v>0</v>
      </c>
      <c r="N5848" s="3565">
        <v>0</v>
      </c>
      <c r="O5848" s="3563" t="s">
        <v>3453</v>
      </c>
    </row>
    <row r="5849" spans="1:15">
      <c r="A5849" s="3563" t="s">
        <v>10087</v>
      </c>
      <c r="B5849" s="3563" t="s">
        <v>4196</v>
      </c>
      <c r="C5849" s="3563" t="s">
        <v>4197</v>
      </c>
      <c r="D5849" s="3563" t="s">
        <v>6429</v>
      </c>
      <c r="E5849" s="3563" t="s">
        <v>10086</v>
      </c>
      <c r="F5849" s="3563" t="s">
        <v>4949</v>
      </c>
      <c r="G5849" s="3564">
        <v>142.15</v>
      </c>
      <c r="H5849" s="3564">
        <v>119.17</v>
      </c>
      <c r="I5849" s="3564">
        <v>22.98</v>
      </c>
      <c r="J5849" s="3565">
        <v>2059922</v>
      </c>
      <c r="K5849" s="3565">
        <v>14491.19</v>
      </c>
      <c r="L5849" s="3565">
        <v>17285.580000000002</v>
      </c>
      <c r="M5849" s="3565">
        <v>0</v>
      </c>
      <c r="N5849" s="3565">
        <v>0</v>
      </c>
      <c r="O5849" s="3563" t="s">
        <v>3453</v>
      </c>
    </row>
    <row r="5850" spans="1:15">
      <c r="A5850" s="3563" t="s">
        <v>10088</v>
      </c>
      <c r="B5850" s="3563" t="s">
        <v>4196</v>
      </c>
      <c r="C5850" s="3563" t="s">
        <v>4197</v>
      </c>
      <c r="D5850" s="3563" t="s">
        <v>6429</v>
      </c>
      <c r="E5850" s="3563" t="s">
        <v>10086</v>
      </c>
      <c r="F5850" s="3563" t="s">
        <v>4949</v>
      </c>
      <c r="G5850" s="3564">
        <v>112.01</v>
      </c>
      <c r="H5850" s="3564">
        <v>91.75</v>
      </c>
      <c r="I5850" s="3564">
        <v>20.260000000000002</v>
      </c>
      <c r="J5850" s="3565">
        <v>1607318</v>
      </c>
      <c r="K5850" s="3565">
        <v>14349.77</v>
      </c>
      <c r="L5850" s="3565">
        <v>17518.45</v>
      </c>
      <c r="M5850" s="3565">
        <v>0</v>
      </c>
      <c r="N5850" s="3565">
        <v>0</v>
      </c>
      <c r="O5850" s="3563" t="s">
        <v>3453</v>
      </c>
    </row>
    <row r="5851" spans="1:15">
      <c r="A5851" s="3563" t="s">
        <v>10089</v>
      </c>
      <c r="B5851" s="3563" t="s">
        <v>4196</v>
      </c>
      <c r="C5851" s="3563" t="s">
        <v>4197</v>
      </c>
      <c r="D5851" s="3563" t="s">
        <v>6429</v>
      </c>
      <c r="E5851" s="3563" t="s">
        <v>10086</v>
      </c>
      <c r="F5851" s="3563" t="s">
        <v>4949</v>
      </c>
      <c r="G5851" s="3564">
        <v>112.01</v>
      </c>
      <c r="H5851" s="3564">
        <v>91.75</v>
      </c>
      <c r="I5851" s="3564">
        <v>20.260000000000002</v>
      </c>
      <c r="J5851" s="3565">
        <v>1666897</v>
      </c>
      <c r="K5851" s="3565">
        <v>14881.68</v>
      </c>
      <c r="L5851" s="3565">
        <v>18167.810000000001</v>
      </c>
      <c r="M5851" s="3565">
        <v>0</v>
      </c>
      <c r="N5851" s="3565">
        <v>0</v>
      </c>
      <c r="O5851" s="3563" t="s">
        <v>3453</v>
      </c>
    </row>
    <row r="5852" spans="1:15">
      <c r="A5852" s="3563" t="s">
        <v>10090</v>
      </c>
      <c r="B5852" s="3563" t="s">
        <v>4196</v>
      </c>
      <c r="C5852" s="3563" t="s">
        <v>4197</v>
      </c>
      <c r="D5852" s="3563" t="s">
        <v>6429</v>
      </c>
      <c r="E5852" s="3563" t="s">
        <v>10086</v>
      </c>
      <c r="F5852" s="3563" t="s">
        <v>4949</v>
      </c>
      <c r="G5852" s="3564">
        <v>142.15</v>
      </c>
      <c r="H5852" s="3564">
        <v>119.17</v>
      </c>
      <c r="I5852" s="3564">
        <v>22.98</v>
      </c>
      <c r="J5852" s="3565">
        <v>1838172</v>
      </c>
      <c r="K5852" s="3565">
        <v>12931.21</v>
      </c>
      <c r="L5852" s="3565">
        <v>15424.79</v>
      </c>
      <c r="M5852" s="3565">
        <v>0</v>
      </c>
      <c r="N5852" s="3565">
        <v>0</v>
      </c>
      <c r="O5852" s="3563" t="s">
        <v>3453</v>
      </c>
    </row>
    <row r="5853" spans="1:15">
      <c r="A5853" s="3563" t="s">
        <v>10091</v>
      </c>
      <c r="B5853" s="3563" t="s">
        <v>4196</v>
      </c>
      <c r="C5853" s="3563" t="s">
        <v>4197</v>
      </c>
      <c r="D5853" s="3563" t="s">
        <v>6429</v>
      </c>
      <c r="E5853" s="3563" t="s">
        <v>10086</v>
      </c>
      <c r="F5853" s="3563" t="s">
        <v>4949</v>
      </c>
      <c r="G5853" s="3564">
        <v>142.15</v>
      </c>
      <c r="H5853" s="3564">
        <v>119.17</v>
      </c>
      <c r="I5853" s="3564">
        <v>22.98</v>
      </c>
      <c r="J5853" s="3565">
        <v>1833672</v>
      </c>
      <c r="K5853" s="3565">
        <v>12899.56</v>
      </c>
      <c r="L5853" s="3565">
        <v>15387.03</v>
      </c>
      <c r="M5853" s="3565">
        <v>0</v>
      </c>
      <c r="N5853" s="3565">
        <v>0</v>
      </c>
      <c r="O5853" s="3563" t="s">
        <v>3453</v>
      </c>
    </row>
    <row r="5854" spans="1:15">
      <c r="A5854" s="3563" t="s">
        <v>10092</v>
      </c>
      <c r="B5854" s="3563" t="s">
        <v>4196</v>
      </c>
      <c r="C5854" s="3563" t="s">
        <v>4197</v>
      </c>
      <c r="D5854" s="3563" t="s">
        <v>6429</v>
      </c>
      <c r="E5854" s="3563" t="s">
        <v>10086</v>
      </c>
      <c r="F5854" s="3563" t="s">
        <v>4949</v>
      </c>
      <c r="G5854" s="3564">
        <v>112.01</v>
      </c>
      <c r="H5854" s="3564">
        <v>91.75</v>
      </c>
      <c r="I5854" s="3564">
        <v>20.260000000000002</v>
      </c>
      <c r="J5854" s="3565">
        <v>1607318</v>
      </c>
      <c r="K5854" s="3565">
        <v>14349.77</v>
      </c>
      <c r="L5854" s="3565">
        <v>17518.45</v>
      </c>
      <c r="M5854" s="3565">
        <v>0</v>
      </c>
      <c r="N5854" s="3565">
        <v>0</v>
      </c>
      <c r="O5854" s="3563" t="s">
        <v>3453</v>
      </c>
    </row>
    <row r="5855" spans="1:15">
      <c r="A5855" s="3563" t="s">
        <v>10093</v>
      </c>
      <c r="B5855" s="3563" t="s">
        <v>4196</v>
      </c>
      <c r="C5855" s="3563" t="s">
        <v>4197</v>
      </c>
      <c r="D5855" s="3563" t="s">
        <v>6429</v>
      </c>
      <c r="E5855" s="3563" t="s">
        <v>10086</v>
      </c>
      <c r="F5855" s="3563" t="s">
        <v>4949</v>
      </c>
      <c r="G5855" s="3564">
        <v>112.01</v>
      </c>
      <c r="H5855" s="3564">
        <v>91.75</v>
      </c>
      <c r="I5855" s="3564">
        <v>20.260000000000002</v>
      </c>
      <c r="J5855" s="3565">
        <v>1607318</v>
      </c>
      <c r="K5855" s="3565">
        <v>14349.77</v>
      </c>
      <c r="L5855" s="3565">
        <v>17518.45</v>
      </c>
      <c r="M5855" s="3565">
        <v>0</v>
      </c>
      <c r="N5855" s="3565">
        <v>0</v>
      </c>
      <c r="O5855" s="3563" t="s">
        <v>3453</v>
      </c>
    </row>
    <row r="5856" spans="1:15">
      <c r="A5856" s="3563" t="s">
        <v>10094</v>
      </c>
      <c r="B5856" s="3563" t="s">
        <v>4196</v>
      </c>
      <c r="C5856" s="3563" t="s">
        <v>4197</v>
      </c>
      <c r="D5856" s="3563" t="s">
        <v>6429</v>
      </c>
      <c r="E5856" s="3563" t="s">
        <v>10086</v>
      </c>
      <c r="F5856" s="3563" t="s">
        <v>4949</v>
      </c>
      <c r="G5856" s="3564">
        <v>142.15</v>
      </c>
      <c r="H5856" s="3564">
        <v>119.17</v>
      </c>
      <c r="I5856" s="3564">
        <v>22.98</v>
      </c>
      <c r="J5856" s="3565">
        <v>1833672</v>
      </c>
      <c r="K5856" s="3565">
        <v>12899.56</v>
      </c>
      <c r="L5856" s="3565">
        <v>15387.03</v>
      </c>
      <c r="M5856" s="3565">
        <v>0</v>
      </c>
      <c r="N5856" s="3565">
        <v>0</v>
      </c>
      <c r="O5856" s="3563" t="s">
        <v>3453</v>
      </c>
    </row>
    <row r="5857" spans="1:15">
      <c r="A5857" s="3563" t="s">
        <v>10095</v>
      </c>
      <c r="B5857" s="3563" t="s">
        <v>4196</v>
      </c>
      <c r="C5857" s="3563" t="s">
        <v>4197</v>
      </c>
      <c r="D5857" s="3563" t="s">
        <v>6429</v>
      </c>
      <c r="E5857" s="3563" t="s">
        <v>10086</v>
      </c>
      <c r="F5857" s="3563" t="s">
        <v>4949</v>
      </c>
      <c r="G5857" s="3564">
        <v>142.15</v>
      </c>
      <c r="H5857" s="3564">
        <v>119.17</v>
      </c>
      <c r="I5857" s="3564">
        <v>22.98</v>
      </c>
      <c r="J5857" s="3565">
        <v>1838587</v>
      </c>
      <c r="K5857" s="3565">
        <v>12934.13</v>
      </c>
      <c r="L5857" s="3565">
        <v>15428.27</v>
      </c>
      <c r="M5857" s="3565">
        <v>0</v>
      </c>
      <c r="N5857" s="3565">
        <v>0</v>
      </c>
      <c r="O5857" s="3563" t="s">
        <v>3453</v>
      </c>
    </row>
    <row r="5858" spans="1:15">
      <c r="A5858" s="3563" t="s">
        <v>10096</v>
      </c>
      <c r="B5858" s="3563" t="s">
        <v>4196</v>
      </c>
      <c r="C5858" s="3563" t="s">
        <v>4197</v>
      </c>
      <c r="D5858" s="3563" t="s">
        <v>6429</v>
      </c>
      <c r="E5858" s="3563" t="s">
        <v>10086</v>
      </c>
      <c r="F5858" s="3563" t="s">
        <v>4949</v>
      </c>
      <c r="G5858" s="3564">
        <v>112.01</v>
      </c>
      <c r="H5858" s="3564">
        <v>91.75</v>
      </c>
      <c r="I5858" s="3564">
        <v>20.260000000000002</v>
      </c>
      <c r="J5858" s="3565">
        <v>1607318</v>
      </c>
      <c r="K5858" s="3565">
        <v>14349.77</v>
      </c>
      <c r="L5858" s="3565">
        <v>17518.45</v>
      </c>
      <c r="M5858" s="3565">
        <v>0</v>
      </c>
      <c r="N5858" s="3565">
        <v>0</v>
      </c>
      <c r="O5858" s="3563" t="s">
        <v>3453</v>
      </c>
    </row>
    <row r="5859" spans="1:15">
      <c r="A5859" s="3563" t="s">
        <v>10097</v>
      </c>
      <c r="B5859" s="3563" t="s">
        <v>4196</v>
      </c>
      <c r="C5859" s="3563" t="s">
        <v>4197</v>
      </c>
      <c r="D5859" s="3563" t="s">
        <v>6429</v>
      </c>
      <c r="E5859" s="3563" t="s">
        <v>10086</v>
      </c>
      <c r="F5859" s="3563" t="s">
        <v>4949</v>
      </c>
      <c r="G5859" s="3564">
        <v>112.01</v>
      </c>
      <c r="H5859" s="3564">
        <v>91.75</v>
      </c>
      <c r="I5859" s="3564">
        <v>20.260000000000002</v>
      </c>
      <c r="J5859" s="3565">
        <v>1607318</v>
      </c>
      <c r="K5859" s="3565">
        <v>14349.77</v>
      </c>
      <c r="L5859" s="3565">
        <v>17518.45</v>
      </c>
      <c r="M5859" s="3565">
        <v>0</v>
      </c>
      <c r="N5859" s="3565">
        <v>0</v>
      </c>
      <c r="O5859" s="3563" t="s">
        <v>3453</v>
      </c>
    </row>
    <row r="5860" spans="1:15">
      <c r="A5860" s="3563" t="s">
        <v>10098</v>
      </c>
      <c r="B5860" s="3563" t="s">
        <v>4196</v>
      </c>
      <c r="C5860" s="3563" t="s">
        <v>4197</v>
      </c>
      <c r="D5860" s="3563" t="s">
        <v>6429</v>
      </c>
      <c r="E5860" s="3563" t="s">
        <v>10086</v>
      </c>
      <c r="F5860" s="3563" t="s">
        <v>4949</v>
      </c>
      <c r="G5860" s="3564">
        <v>142.15</v>
      </c>
      <c r="H5860" s="3564">
        <v>119.17</v>
      </c>
      <c r="I5860" s="3564">
        <v>22.98</v>
      </c>
      <c r="J5860" s="3565">
        <v>1933028</v>
      </c>
      <c r="K5860" s="3565">
        <v>13598.51</v>
      </c>
      <c r="L5860" s="3565">
        <v>16220.76</v>
      </c>
      <c r="M5860" s="3565">
        <v>0</v>
      </c>
      <c r="N5860" s="3565">
        <v>0</v>
      </c>
      <c r="O5860" s="3563" t="s">
        <v>3453</v>
      </c>
    </row>
    <row r="5861" spans="1:15">
      <c r="A5861" s="3563" t="s">
        <v>10099</v>
      </c>
      <c r="B5861" s="3563" t="s">
        <v>4196</v>
      </c>
      <c r="C5861" s="3563" t="s">
        <v>4197</v>
      </c>
      <c r="D5861" s="3563" t="s">
        <v>6429</v>
      </c>
      <c r="E5861" s="3563" t="s">
        <v>10086</v>
      </c>
      <c r="F5861" s="3563" t="s">
        <v>4949</v>
      </c>
      <c r="G5861" s="3564">
        <v>142.15</v>
      </c>
      <c r="H5861" s="3564">
        <v>119.17</v>
      </c>
      <c r="I5861" s="3564">
        <v>22.98</v>
      </c>
      <c r="J5861" s="3565">
        <v>1833672</v>
      </c>
      <c r="K5861" s="3565">
        <v>12899.56</v>
      </c>
      <c r="L5861" s="3565">
        <v>15387.03</v>
      </c>
      <c r="M5861" s="3565">
        <v>0</v>
      </c>
      <c r="N5861" s="3565">
        <v>0</v>
      </c>
      <c r="O5861" s="3563" t="s">
        <v>3453</v>
      </c>
    </row>
    <row r="5862" spans="1:15">
      <c r="A5862" s="3563" t="s">
        <v>10100</v>
      </c>
      <c r="B5862" s="3563" t="s">
        <v>4196</v>
      </c>
      <c r="C5862" s="3563" t="s">
        <v>4197</v>
      </c>
      <c r="D5862" s="3563" t="s">
        <v>6429</v>
      </c>
      <c r="E5862" s="3563" t="s">
        <v>10086</v>
      </c>
      <c r="F5862" s="3563" t="s">
        <v>4949</v>
      </c>
      <c r="G5862" s="3564">
        <v>112.01</v>
      </c>
      <c r="H5862" s="3564">
        <v>91.75</v>
      </c>
      <c r="I5862" s="3564">
        <v>20.260000000000002</v>
      </c>
      <c r="J5862" s="3565">
        <v>1666897</v>
      </c>
      <c r="K5862" s="3565">
        <v>14881.68</v>
      </c>
      <c r="L5862" s="3565">
        <v>18167.810000000001</v>
      </c>
      <c r="M5862" s="3565">
        <v>0</v>
      </c>
      <c r="N5862" s="3565">
        <v>0</v>
      </c>
      <c r="O5862" s="3563" t="s">
        <v>3453</v>
      </c>
    </row>
    <row r="5863" spans="1:15">
      <c r="A5863" s="3563" t="s">
        <v>10101</v>
      </c>
      <c r="B5863" s="3563" t="s">
        <v>4196</v>
      </c>
      <c r="C5863" s="3563" t="s">
        <v>4197</v>
      </c>
      <c r="D5863" s="3563" t="s">
        <v>6429</v>
      </c>
      <c r="E5863" s="3563" t="s">
        <v>10086</v>
      </c>
      <c r="F5863" s="3563" t="s">
        <v>4949</v>
      </c>
      <c r="G5863" s="3564">
        <v>112.01</v>
      </c>
      <c r="H5863" s="3564">
        <v>91.75</v>
      </c>
      <c r="I5863" s="3564">
        <v>20.260000000000002</v>
      </c>
      <c r="J5863" s="3565">
        <v>1607318</v>
      </c>
      <c r="K5863" s="3565">
        <v>14349.77</v>
      </c>
      <c r="L5863" s="3565">
        <v>17518.45</v>
      </c>
      <c r="M5863" s="3565">
        <v>0</v>
      </c>
      <c r="N5863" s="3565">
        <v>0</v>
      </c>
      <c r="O5863" s="3563" t="s">
        <v>3453</v>
      </c>
    </row>
    <row r="5864" spans="1:15">
      <c r="A5864" s="3563" t="s">
        <v>10102</v>
      </c>
      <c r="B5864" s="3563" t="s">
        <v>4196</v>
      </c>
      <c r="C5864" s="3563" t="s">
        <v>4197</v>
      </c>
      <c r="D5864" s="3563" t="s">
        <v>6429</v>
      </c>
      <c r="E5864" s="3563" t="s">
        <v>10103</v>
      </c>
      <c r="F5864" s="3563" t="s">
        <v>4949</v>
      </c>
      <c r="G5864" s="3564">
        <v>141.97999999999999</v>
      </c>
      <c r="H5864" s="3564">
        <v>119.17</v>
      </c>
      <c r="I5864" s="3564">
        <v>22.81</v>
      </c>
      <c r="J5864" s="3565">
        <v>1989879</v>
      </c>
      <c r="K5864" s="3565">
        <v>14015.21</v>
      </c>
      <c r="L5864" s="3565">
        <v>16697.82</v>
      </c>
      <c r="M5864" s="3565">
        <v>0</v>
      </c>
      <c r="N5864" s="3565">
        <v>0</v>
      </c>
      <c r="O5864" s="3563" t="s">
        <v>3453</v>
      </c>
    </row>
    <row r="5865" spans="1:15">
      <c r="A5865" s="3563" t="s">
        <v>10104</v>
      </c>
      <c r="B5865" s="3563" t="s">
        <v>4196</v>
      </c>
      <c r="C5865" s="3563" t="s">
        <v>4197</v>
      </c>
      <c r="D5865" s="3563" t="s">
        <v>6429</v>
      </c>
      <c r="E5865" s="3563" t="s">
        <v>10103</v>
      </c>
      <c r="F5865" s="3563" t="s">
        <v>4949</v>
      </c>
      <c r="G5865" s="3564">
        <v>141.97999999999999</v>
      </c>
      <c r="H5865" s="3564">
        <v>119.17</v>
      </c>
      <c r="I5865" s="3564">
        <v>22.81</v>
      </c>
      <c r="J5865" s="3565">
        <v>2237039</v>
      </c>
      <c r="K5865" s="3565">
        <v>15756.01</v>
      </c>
      <c r="L5865" s="3565">
        <v>18771.830000000002</v>
      </c>
      <c r="M5865" s="3565">
        <v>0</v>
      </c>
      <c r="N5865" s="3565">
        <v>0</v>
      </c>
      <c r="O5865" s="3563" t="s">
        <v>3453</v>
      </c>
    </row>
    <row r="5866" spans="1:15">
      <c r="A5866" s="3563" t="s">
        <v>10105</v>
      </c>
      <c r="B5866" s="3563" t="s">
        <v>4196</v>
      </c>
      <c r="C5866" s="3563" t="s">
        <v>4197</v>
      </c>
      <c r="D5866" s="3563" t="s">
        <v>6429</v>
      </c>
      <c r="E5866" s="3563" t="s">
        <v>10103</v>
      </c>
      <c r="F5866" s="3563" t="s">
        <v>4949</v>
      </c>
      <c r="G5866" s="3564">
        <v>111.88</v>
      </c>
      <c r="H5866" s="3564">
        <v>91.75</v>
      </c>
      <c r="I5866" s="3564">
        <v>20.13</v>
      </c>
      <c r="J5866" s="3565">
        <v>1689320</v>
      </c>
      <c r="K5866" s="3565">
        <v>15099.39</v>
      </c>
      <c r="L5866" s="3565">
        <v>18412.21</v>
      </c>
      <c r="M5866" s="3565">
        <v>0</v>
      </c>
      <c r="N5866" s="3565">
        <v>0</v>
      </c>
      <c r="O5866" s="3563" t="s">
        <v>3453</v>
      </c>
    </row>
    <row r="5867" spans="1:15">
      <c r="A5867" s="3563" t="s">
        <v>10106</v>
      </c>
      <c r="B5867" s="3563" t="s">
        <v>4196</v>
      </c>
      <c r="C5867" s="3563" t="s">
        <v>4197</v>
      </c>
      <c r="D5867" s="3563" t="s">
        <v>6429</v>
      </c>
      <c r="E5867" s="3563" t="s">
        <v>10103</v>
      </c>
      <c r="F5867" s="3563" t="s">
        <v>4949</v>
      </c>
      <c r="G5867" s="3564">
        <v>111.88</v>
      </c>
      <c r="H5867" s="3564">
        <v>91.75</v>
      </c>
      <c r="I5867" s="3564">
        <v>20.13</v>
      </c>
      <c r="J5867" s="3565">
        <v>1748830</v>
      </c>
      <c r="K5867" s="3565">
        <v>15631.3</v>
      </c>
      <c r="L5867" s="3565">
        <v>19060.82</v>
      </c>
      <c r="M5867" s="3565">
        <v>0</v>
      </c>
      <c r="N5867" s="3565">
        <v>0</v>
      </c>
      <c r="O5867" s="3563" t="s">
        <v>3453</v>
      </c>
    </row>
    <row r="5868" spans="1:15">
      <c r="A5868" s="3563" t="s">
        <v>10107</v>
      </c>
      <c r="B5868" s="3563" t="s">
        <v>4196</v>
      </c>
      <c r="C5868" s="3563" t="s">
        <v>4197</v>
      </c>
      <c r="D5868" s="3563" t="s">
        <v>6429</v>
      </c>
      <c r="E5868" s="3563" t="s">
        <v>10103</v>
      </c>
      <c r="F5868" s="3563" t="s">
        <v>4949</v>
      </c>
      <c r="G5868" s="3564">
        <v>141.97999999999999</v>
      </c>
      <c r="H5868" s="3564">
        <v>119.17</v>
      </c>
      <c r="I5868" s="3564">
        <v>22.81</v>
      </c>
      <c r="J5868" s="3565">
        <v>1990358</v>
      </c>
      <c r="K5868" s="3565">
        <v>14018.58</v>
      </c>
      <c r="L5868" s="3565">
        <v>16701.84</v>
      </c>
      <c r="M5868" s="3565">
        <v>0</v>
      </c>
      <c r="N5868" s="3565">
        <v>0</v>
      </c>
      <c r="O5868" s="3563" t="s">
        <v>3453</v>
      </c>
    </row>
    <row r="5869" spans="1:15">
      <c r="A5869" s="3563" t="s">
        <v>10108</v>
      </c>
      <c r="B5869" s="3563" t="s">
        <v>4196</v>
      </c>
      <c r="C5869" s="3563" t="s">
        <v>4197</v>
      </c>
      <c r="D5869" s="3563" t="s">
        <v>6429</v>
      </c>
      <c r="E5869" s="3563" t="s">
        <v>10103</v>
      </c>
      <c r="F5869" s="3563" t="s">
        <v>4949</v>
      </c>
      <c r="G5869" s="3564">
        <v>141.97999999999999</v>
      </c>
      <c r="H5869" s="3564">
        <v>119.17</v>
      </c>
      <c r="I5869" s="3564">
        <v>22.81</v>
      </c>
      <c r="J5869" s="3565">
        <v>1990996</v>
      </c>
      <c r="K5869" s="3565">
        <v>14023.07</v>
      </c>
      <c r="L5869" s="3565">
        <v>16707.189999999999</v>
      </c>
      <c r="M5869" s="3565">
        <v>0</v>
      </c>
      <c r="N5869" s="3565">
        <v>0</v>
      </c>
      <c r="O5869" s="3563" t="s">
        <v>3453</v>
      </c>
    </row>
    <row r="5870" spans="1:15">
      <c r="A5870" s="3563" t="s">
        <v>10109</v>
      </c>
      <c r="B5870" s="3563" t="s">
        <v>4196</v>
      </c>
      <c r="C5870" s="3563" t="s">
        <v>4197</v>
      </c>
      <c r="D5870" s="3563" t="s">
        <v>6429</v>
      </c>
      <c r="E5870" s="3563" t="s">
        <v>10103</v>
      </c>
      <c r="F5870" s="3563" t="s">
        <v>4949</v>
      </c>
      <c r="G5870" s="3564">
        <v>111.88</v>
      </c>
      <c r="H5870" s="3564">
        <v>91.75</v>
      </c>
      <c r="I5870" s="3564">
        <v>20.13</v>
      </c>
      <c r="J5870" s="3565">
        <v>1689320</v>
      </c>
      <c r="K5870" s="3565">
        <v>15099.39</v>
      </c>
      <c r="L5870" s="3565">
        <v>18412.21</v>
      </c>
      <c r="M5870" s="3565">
        <v>0</v>
      </c>
      <c r="N5870" s="3565">
        <v>0</v>
      </c>
      <c r="O5870" s="3563" t="s">
        <v>3453</v>
      </c>
    </row>
    <row r="5871" spans="1:15">
      <c r="A5871" s="3563" t="s">
        <v>10110</v>
      </c>
      <c r="B5871" s="3563" t="s">
        <v>4196</v>
      </c>
      <c r="C5871" s="3563" t="s">
        <v>4197</v>
      </c>
      <c r="D5871" s="3563" t="s">
        <v>6429</v>
      </c>
      <c r="E5871" s="3563" t="s">
        <v>10103</v>
      </c>
      <c r="F5871" s="3563" t="s">
        <v>4949</v>
      </c>
      <c r="G5871" s="3564">
        <v>111.88</v>
      </c>
      <c r="H5871" s="3564">
        <v>91.75</v>
      </c>
      <c r="I5871" s="3564">
        <v>20.13</v>
      </c>
      <c r="J5871" s="3565">
        <v>1689320</v>
      </c>
      <c r="K5871" s="3565">
        <v>15099.39</v>
      </c>
      <c r="L5871" s="3565">
        <v>18412.21</v>
      </c>
      <c r="M5871" s="3565">
        <v>0</v>
      </c>
      <c r="N5871" s="3565">
        <v>0</v>
      </c>
      <c r="O5871" s="3563" t="s">
        <v>3453</v>
      </c>
    </row>
    <row r="5872" spans="1:15">
      <c r="A5872" s="3563" t="s">
        <v>10111</v>
      </c>
      <c r="B5872" s="3563" t="s">
        <v>4196</v>
      </c>
      <c r="C5872" s="3563" t="s">
        <v>4197</v>
      </c>
      <c r="D5872" s="3563" t="s">
        <v>6429</v>
      </c>
      <c r="E5872" s="3563" t="s">
        <v>10103</v>
      </c>
      <c r="F5872" s="3563" t="s">
        <v>4949</v>
      </c>
      <c r="G5872" s="3564">
        <v>141.97999999999999</v>
      </c>
      <c r="H5872" s="3564">
        <v>119.17</v>
      </c>
      <c r="I5872" s="3564">
        <v>22.81</v>
      </c>
      <c r="J5872" s="3565">
        <v>2202092</v>
      </c>
      <c r="K5872" s="3565">
        <v>15509.87</v>
      </c>
      <c r="L5872" s="3565">
        <v>18478.580000000002</v>
      </c>
      <c r="M5872" s="3565">
        <v>0</v>
      </c>
      <c r="N5872" s="3565">
        <v>0</v>
      </c>
      <c r="O5872" s="3563" t="s">
        <v>3453</v>
      </c>
    </row>
    <row r="5873" spans="1:15">
      <c r="A5873" s="3563" t="s">
        <v>10112</v>
      </c>
      <c r="B5873" s="3563" t="s">
        <v>4196</v>
      </c>
      <c r="C5873" s="3563" t="s">
        <v>4197</v>
      </c>
      <c r="D5873" s="3563" t="s">
        <v>6429</v>
      </c>
      <c r="E5873" s="3563" t="s">
        <v>10103</v>
      </c>
      <c r="F5873" s="3563" t="s">
        <v>4949</v>
      </c>
      <c r="G5873" s="3564">
        <v>141.97999999999999</v>
      </c>
      <c r="H5873" s="3564">
        <v>119.17</v>
      </c>
      <c r="I5873" s="3564">
        <v>22.81</v>
      </c>
      <c r="J5873" s="3565">
        <v>1990709</v>
      </c>
      <c r="K5873" s="3565">
        <v>14021.05</v>
      </c>
      <c r="L5873" s="3565">
        <v>16704.78</v>
      </c>
      <c r="M5873" s="3565">
        <v>0</v>
      </c>
      <c r="N5873" s="3565">
        <v>0</v>
      </c>
      <c r="O5873" s="3563" t="s">
        <v>3453</v>
      </c>
    </row>
    <row r="5874" spans="1:15">
      <c r="A5874" s="3563" t="s">
        <v>10113</v>
      </c>
      <c r="B5874" s="3563" t="s">
        <v>4196</v>
      </c>
      <c r="C5874" s="3563" t="s">
        <v>4197</v>
      </c>
      <c r="D5874" s="3563" t="s">
        <v>6429</v>
      </c>
      <c r="E5874" s="3563" t="s">
        <v>10103</v>
      </c>
      <c r="F5874" s="3563" t="s">
        <v>4949</v>
      </c>
      <c r="G5874" s="3564">
        <v>111.88</v>
      </c>
      <c r="H5874" s="3564">
        <v>91.75</v>
      </c>
      <c r="I5874" s="3564">
        <v>20.13</v>
      </c>
      <c r="J5874" s="3565">
        <v>1748830</v>
      </c>
      <c r="K5874" s="3565">
        <v>15631.3</v>
      </c>
      <c r="L5874" s="3565">
        <v>19060.82</v>
      </c>
      <c r="M5874" s="3565">
        <v>0</v>
      </c>
      <c r="N5874" s="3565">
        <v>0</v>
      </c>
      <c r="O5874" s="3563" t="s">
        <v>3453</v>
      </c>
    </row>
    <row r="5875" spans="1:15">
      <c r="A5875" s="3563" t="s">
        <v>10114</v>
      </c>
      <c r="B5875" s="3563" t="s">
        <v>4196</v>
      </c>
      <c r="C5875" s="3563" t="s">
        <v>4197</v>
      </c>
      <c r="D5875" s="3563" t="s">
        <v>6429</v>
      </c>
      <c r="E5875" s="3563" t="s">
        <v>10103</v>
      </c>
      <c r="F5875" s="3563" t="s">
        <v>4949</v>
      </c>
      <c r="G5875" s="3564">
        <v>111.88</v>
      </c>
      <c r="H5875" s="3564">
        <v>91.75</v>
      </c>
      <c r="I5875" s="3564">
        <v>20.13</v>
      </c>
      <c r="J5875" s="3565">
        <v>1689320</v>
      </c>
      <c r="K5875" s="3565">
        <v>15099.39</v>
      </c>
      <c r="L5875" s="3565">
        <v>18412.21</v>
      </c>
      <c r="M5875" s="3565">
        <v>0</v>
      </c>
      <c r="N5875" s="3565">
        <v>0</v>
      </c>
      <c r="O5875" s="3563" t="s">
        <v>3453</v>
      </c>
    </row>
    <row r="5876" spans="1:15">
      <c r="A5876" s="3563" t="s">
        <v>10115</v>
      </c>
      <c r="B5876" s="3563" t="s">
        <v>4196</v>
      </c>
      <c r="C5876" s="3563" t="s">
        <v>4197</v>
      </c>
      <c r="D5876" s="3563" t="s">
        <v>6429</v>
      </c>
      <c r="E5876" s="3563" t="s">
        <v>10116</v>
      </c>
      <c r="F5876" s="3563" t="s">
        <v>4949</v>
      </c>
      <c r="G5876" s="3564">
        <v>142.15</v>
      </c>
      <c r="H5876" s="3564">
        <v>119.17</v>
      </c>
      <c r="I5876" s="3564">
        <v>22.98</v>
      </c>
      <c r="J5876" s="3565">
        <v>1855980</v>
      </c>
      <c r="K5876" s="3565">
        <v>13056.49</v>
      </c>
      <c r="L5876" s="3565">
        <v>15574.22</v>
      </c>
      <c r="M5876" s="3565">
        <v>0</v>
      </c>
      <c r="N5876" s="3565">
        <v>0</v>
      </c>
      <c r="O5876" s="3563" t="s">
        <v>3453</v>
      </c>
    </row>
    <row r="5877" spans="1:15">
      <c r="A5877" s="3563" t="s">
        <v>10117</v>
      </c>
      <c r="B5877" s="3563" t="s">
        <v>4196</v>
      </c>
      <c r="C5877" s="3563" t="s">
        <v>4197</v>
      </c>
      <c r="D5877" s="3563" t="s">
        <v>6429</v>
      </c>
      <c r="E5877" s="3563" t="s">
        <v>10116</v>
      </c>
      <c r="F5877" s="3563" t="s">
        <v>4949</v>
      </c>
      <c r="G5877" s="3564">
        <v>142.15</v>
      </c>
      <c r="H5877" s="3564">
        <v>119.17</v>
      </c>
      <c r="I5877" s="3564">
        <v>22.98</v>
      </c>
      <c r="J5877" s="3565">
        <v>2099720</v>
      </c>
      <c r="K5877" s="3565">
        <v>14771.16</v>
      </c>
      <c r="L5877" s="3565">
        <v>17619.54</v>
      </c>
      <c r="M5877" s="3565">
        <v>0</v>
      </c>
      <c r="N5877" s="3565">
        <v>0</v>
      </c>
      <c r="O5877" s="3563" t="s">
        <v>3453</v>
      </c>
    </row>
    <row r="5878" spans="1:15">
      <c r="A5878" s="3563" t="s">
        <v>10118</v>
      </c>
      <c r="B5878" s="3563" t="s">
        <v>4196</v>
      </c>
      <c r="C5878" s="3563" t="s">
        <v>4197</v>
      </c>
      <c r="D5878" s="3563" t="s">
        <v>6429</v>
      </c>
      <c r="E5878" s="3563" t="s">
        <v>10116</v>
      </c>
      <c r="F5878" s="3563" t="s">
        <v>4949</v>
      </c>
      <c r="G5878" s="3564">
        <v>112.01</v>
      </c>
      <c r="H5878" s="3564">
        <v>91.75</v>
      </c>
      <c r="I5878" s="3564">
        <v>20.260000000000002</v>
      </c>
      <c r="J5878" s="3565">
        <v>1607318</v>
      </c>
      <c r="K5878" s="3565">
        <v>14349.77</v>
      </c>
      <c r="L5878" s="3565">
        <v>17518.45</v>
      </c>
      <c r="M5878" s="3565">
        <v>0</v>
      </c>
      <c r="N5878" s="3565">
        <v>0</v>
      </c>
      <c r="O5878" s="3563" t="s">
        <v>3453</v>
      </c>
    </row>
    <row r="5879" spans="1:15">
      <c r="A5879" s="3563" t="s">
        <v>10119</v>
      </c>
      <c r="B5879" s="3563" t="s">
        <v>4196</v>
      </c>
      <c r="C5879" s="3563" t="s">
        <v>4197</v>
      </c>
      <c r="D5879" s="3563" t="s">
        <v>6429</v>
      </c>
      <c r="E5879" s="3563" t="s">
        <v>10116</v>
      </c>
      <c r="F5879" s="3563" t="s">
        <v>4949</v>
      </c>
      <c r="G5879" s="3564">
        <v>112.01</v>
      </c>
      <c r="H5879" s="3564">
        <v>91.75</v>
      </c>
      <c r="I5879" s="3564">
        <v>20.260000000000002</v>
      </c>
      <c r="J5879" s="3565">
        <v>1666897</v>
      </c>
      <c r="K5879" s="3565">
        <v>14881.68</v>
      </c>
      <c r="L5879" s="3565">
        <v>18167.810000000001</v>
      </c>
      <c r="M5879" s="3565">
        <v>0</v>
      </c>
      <c r="N5879" s="3565">
        <v>0</v>
      </c>
      <c r="O5879" s="3563" t="s">
        <v>3453</v>
      </c>
    </row>
    <row r="5880" spans="1:15">
      <c r="A5880" s="3563" t="s">
        <v>10120</v>
      </c>
      <c r="B5880" s="3563" t="s">
        <v>4196</v>
      </c>
      <c r="C5880" s="3563" t="s">
        <v>4197</v>
      </c>
      <c r="D5880" s="3563" t="s">
        <v>6429</v>
      </c>
      <c r="E5880" s="3563" t="s">
        <v>10116</v>
      </c>
      <c r="F5880" s="3563" t="s">
        <v>4949</v>
      </c>
      <c r="G5880" s="3564">
        <v>142.15</v>
      </c>
      <c r="H5880" s="3564">
        <v>119.17</v>
      </c>
      <c r="I5880" s="3564">
        <v>22.98</v>
      </c>
      <c r="J5880" s="3565">
        <v>1860959</v>
      </c>
      <c r="K5880" s="3565">
        <v>13091.52</v>
      </c>
      <c r="L5880" s="3565">
        <v>15616</v>
      </c>
      <c r="M5880" s="3565">
        <v>0</v>
      </c>
      <c r="N5880" s="3565">
        <v>0</v>
      </c>
      <c r="O5880" s="3563" t="s">
        <v>3453</v>
      </c>
    </row>
    <row r="5881" spans="1:15">
      <c r="A5881" s="3563" t="s">
        <v>10121</v>
      </c>
      <c r="B5881" s="3563" t="s">
        <v>4196</v>
      </c>
      <c r="C5881" s="3563" t="s">
        <v>4197</v>
      </c>
      <c r="D5881" s="3563" t="s">
        <v>6429</v>
      </c>
      <c r="E5881" s="3563" t="s">
        <v>10116</v>
      </c>
      <c r="F5881" s="3563" t="s">
        <v>4949</v>
      </c>
      <c r="G5881" s="3564">
        <v>142.15</v>
      </c>
      <c r="H5881" s="3564">
        <v>119.17</v>
      </c>
      <c r="I5881" s="3564">
        <v>22.98</v>
      </c>
      <c r="J5881" s="3565">
        <v>1855980</v>
      </c>
      <c r="K5881" s="3565">
        <v>13056.49</v>
      </c>
      <c r="L5881" s="3565">
        <v>15574.22</v>
      </c>
      <c r="M5881" s="3565">
        <v>0</v>
      </c>
      <c r="N5881" s="3565">
        <v>0</v>
      </c>
      <c r="O5881" s="3563" t="s">
        <v>3453</v>
      </c>
    </row>
    <row r="5882" spans="1:15">
      <c r="A5882" s="3563" t="s">
        <v>10122</v>
      </c>
      <c r="B5882" s="3563" t="s">
        <v>4196</v>
      </c>
      <c r="C5882" s="3563" t="s">
        <v>4197</v>
      </c>
      <c r="D5882" s="3563" t="s">
        <v>6429</v>
      </c>
      <c r="E5882" s="3563" t="s">
        <v>10116</v>
      </c>
      <c r="F5882" s="3563" t="s">
        <v>4949</v>
      </c>
      <c r="G5882" s="3564">
        <v>112.01</v>
      </c>
      <c r="H5882" s="3564">
        <v>91.75</v>
      </c>
      <c r="I5882" s="3564">
        <v>20.260000000000002</v>
      </c>
      <c r="J5882" s="3565">
        <v>1607318</v>
      </c>
      <c r="K5882" s="3565">
        <v>14349.77</v>
      </c>
      <c r="L5882" s="3565">
        <v>17518.45</v>
      </c>
      <c r="M5882" s="3565">
        <v>0</v>
      </c>
      <c r="N5882" s="3565">
        <v>0</v>
      </c>
      <c r="O5882" s="3563" t="s">
        <v>3453</v>
      </c>
    </row>
    <row r="5883" spans="1:15">
      <c r="A5883" s="3563" t="s">
        <v>10123</v>
      </c>
      <c r="B5883" s="3563" t="s">
        <v>4196</v>
      </c>
      <c r="C5883" s="3563" t="s">
        <v>4197</v>
      </c>
      <c r="D5883" s="3563" t="s">
        <v>6429</v>
      </c>
      <c r="E5883" s="3563" t="s">
        <v>10116</v>
      </c>
      <c r="F5883" s="3563" t="s">
        <v>4949</v>
      </c>
      <c r="G5883" s="3564">
        <v>112.01</v>
      </c>
      <c r="H5883" s="3564">
        <v>91.75</v>
      </c>
      <c r="I5883" s="3564">
        <v>20.260000000000002</v>
      </c>
      <c r="J5883" s="3565">
        <v>1607318</v>
      </c>
      <c r="K5883" s="3565">
        <v>14349.77</v>
      </c>
      <c r="L5883" s="3565">
        <v>17518.45</v>
      </c>
      <c r="M5883" s="3565">
        <v>0</v>
      </c>
      <c r="N5883" s="3565">
        <v>0</v>
      </c>
      <c r="O5883" s="3563" t="s">
        <v>3453</v>
      </c>
    </row>
    <row r="5884" spans="1:15">
      <c r="A5884" s="3563" t="s">
        <v>10124</v>
      </c>
      <c r="B5884" s="3563" t="s">
        <v>4196</v>
      </c>
      <c r="C5884" s="3563" t="s">
        <v>4197</v>
      </c>
      <c r="D5884" s="3563" t="s">
        <v>6429</v>
      </c>
      <c r="E5884" s="3563" t="s">
        <v>10116</v>
      </c>
      <c r="F5884" s="3563" t="s">
        <v>4949</v>
      </c>
      <c r="G5884" s="3564">
        <v>142.15</v>
      </c>
      <c r="H5884" s="3564">
        <v>119.17</v>
      </c>
      <c r="I5884" s="3564">
        <v>22.98</v>
      </c>
      <c r="J5884" s="3565">
        <v>1855980</v>
      </c>
      <c r="K5884" s="3565">
        <v>13056.49</v>
      </c>
      <c r="L5884" s="3565">
        <v>15574.22</v>
      </c>
      <c r="M5884" s="3565">
        <v>0</v>
      </c>
      <c r="N5884" s="3565">
        <v>0</v>
      </c>
      <c r="O5884" s="3563" t="s">
        <v>3453</v>
      </c>
    </row>
    <row r="5885" spans="1:15">
      <c r="A5885" s="3563" t="s">
        <v>10125</v>
      </c>
      <c r="B5885" s="3563" t="s">
        <v>4196</v>
      </c>
      <c r="C5885" s="3563" t="s">
        <v>4197</v>
      </c>
      <c r="D5885" s="3563" t="s">
        <v>6429</v>
      </c>
      <c r="E5885" s="3563" t="s">
        <v>10116</v>
      </c>
      <c r="F5885" s="3563" t="s">
        <v>4949</v>
      </c>
      <c r="G5885" s="3564">
        <v>142.15</v>
      </c>
      <c r="H5885" s="3564">
        <v>119.17</v>
      </c>
      <c r="I5885" s="3564">
        <v>22.98</v>
      </c>
      <c r="J5885" s="3565">
        <v>1861310</v>
      </c>
      <c r="K5885" s="3565">
        <v>13093.99</v>
      </c>
      <c r="L5885" s="3565">
        <v>15618.95</v>
      </c>
      <c r="M5885" s="3565">
        <v>0</v>
      </c>
      <c r="N5885" s="3565">
        <v>0</v>
      </c>
      <c r="O5885" s="3563" t="s">
        <v>3453</v>
      </c>
    </row>
    <row r="5886" spans="1:15">
      <c r="A5886" s="3563" t="s">
        <v>10126</v>
      </c>
      <c r="B5886" s="3563" t="s">
        <v>4196</v>
      </c>
      <c r="C5886" s="3563" t="s">
        <v>4197</v>
      </c>
      <c r="D5886" s="3563" t="s">
        <v>6429</v>
      </c>
      <c r="E5886" s="3563" t="s">
        <v>10116</v>
      </c>
      <c r="F5886" s="3563" t="s">
        <v>4949</v>
      </c>
      <c r="G5886" s="3564">
        <v>112.01</v>
      </c>
      <c r="H5886" s="3564">
        <v>91.75</v>
      </c>
      <c r="I5886" s="3564">
        <v>20.260000000000002</v>
      </c>
      <c r="J5886" s="3565">
        <v>1607318</v>
      </c>
      <c r="K5886" s="3565">
        <v>14349.77</v>
      </c>
      <c r="L5886" s="3565">
        <v>17518.45</v>
      </c>
      <c r="M5886" s="3565">
        <v>0</v>
      </c>
      <c r="N5886" s="3565">
        <v>0</v>
      </c>
      <c r="O5886" s="3563" t="s">
        <v>3453</v>
      </c>
    </row>
    <row r="5887" spans="1:15">
      <c r="A5887" s="3563" t="s">
        <v>10127</v>
      </c>
      <c r="B5887" s="3563" t="s">
        <v>4196</v>
      </c>
      <c r="C5887" s="3563" t="s">
        <v>4197</v>
      </c>
      <c r="D5887" s="3563" t="s">
        <v>6429</v>
      </c>
      <c r="E5887" s="3563" t="s">
        <v>10116</v>
      </c>
      <c r="F5887" s="3563" t="s">
        <v>4949</v>
      </c>
      <c r="G5887" s="3564">
        <v>112.01</v>
      </c>
      <c r="H5887" s="3564">
        <v>91.75</v>
      </c>
      <c r="I5887" s="3564">
        <v>20.260000000000002</v>
      </c>
      <c r="J5887" s="3565">
        <v>1607318</v>
      </c>
      <c r="K5887" s="3565">
        <v>14349.77</v>
      </c>
      <c r="L5887" s="3565">
        <v>17518.45</v>
      </c>
      <c r="M5887" s="3565">
        <v>0</v>
      </c>
      <c r="N5887" s="3565">
        <v>0</v>
      </c>
      <c r="O5887" s="3563" t="s">
        <v>3453</v>
      </c>
    </row>
    <row r="5888" spans="1:15">
      <c r="A5888" s="3563" t="s">
        <v>10128</v>
      </c>
      <c r="B5888" s="3563" t="s">
        <v>4196</v>
      </c>
      <c r="C5888" s="3563" t="s">
        <v>4197</v>
      </c>
      <c r="D5888" s="3563" t="s">
        <v>6429</v>
      </c>
      <c r="E5888" s="3563" t="s">
        <v>10116</v>
      </c>
      <c r="F5888" s="3563" t="s">
        <v>4949</v>
      </c>
      <c r="G5888" s="3564">
        <v>142.15</v>
      </c>
      <c r="H5888" s="3564">
        <v>119.17</v>
      </c>
      <c r="I5888" s="3564">
        <v>22.98</v>
      </c>
      <c r="J5888" s="3565">
        <v>1958241</v>
      </c>
      <c r="K5888" s="3565">
        <v>13775.88</v>
      </c>
      <c r="L5888" s="3565">
        <v>16432.330000000002</v>
      </c>
      <c r="M5888" s="3565">
        <v>0</v>
      </c>
      <c r="N5888" s="3565">
        <v>0</v>
      </c>
      <c r="O5888" s="3563" t="s">
        <v>3453</v>
      </c>
    </row>
    <row r="5889" spans="1:15">
      <c r="A5889" s="3563" t="s">
        <v>10129</v>
      </c>
      <c r="B5889" s="3563" t="s">
        <v>4196</v>
      </c>
      <c r="C5889" s="3563" t="s">
        <v>4197</v>
      </c>
      <c r="D5889" s="3563" t="s">
        <v>6429</v>
      </c>
      <c r="E5889" s="3563" t="s">
        <v>10116</v>
      </c>
      <c r="F5889" s="3563" t="s">
        <v>4949</v>
      </c>
      <c r="G5889" s="3564">
        <v>142.15</v>
      </c>
      <c r="H5889" s="3564">
        <v>119.17</v>
      </c>
      <c r="I5889" s="3564">
        <v>22.98</v>
      </c>
      <c r="J5889" s="3565">
        <v>1855980</v>
      </c>
      <c r="K5889" s="3565">
        <v>13056.49</v>
      </c>
      <c r="L5889" s="3565">
        <v>15574.22</v>
      </c>
      <c r="M5889" s="3565">
        <v>0</v>
      </c>
      <c r="N5889" s="3565">
        <v>0</v>
      </c>
      <c r="O5889" s="3563" t="s">
        <v>3453</v>
      </c>
    </row>
    <row r="5890" spans="1:15">
      <c r="A5890" s="3563" t="s">
        <v>10130</v>
      </c>
      <c r="B5890" s="3563" t="s">
        <v>4196</v>
      </c>
      <c r="C5890" s="3563" t="s">
        <v>4197</v>
      </c>
      <c r="D5890" s="3563" t="s">
        <v>6429</v>
      </c>
      <c r="E5890" s="3563" t="s">
        <v>10116</v>
      </c>
      <c r="F5890" s="3563" t="s">
        <v>4949</v>
      </c>
      <c r="G5890" s="3564">
        <v>112.01</v>
      </c>
      <c r="H5890" s="3564">
        <v>91.75</v>
      </c>
      <c r="I5890" s="3564">
        <v>20.260000000000002</v>
      </c>
      <c r="J5890" s="3565">
        <v>1666897</v>
      </c>
      <c r="K5890" s="3565">
        <v>14881.68</v>
      </c>
      <c r="L5890" s="3565">
        <v>18167.810000000001</v>
      </c>
      <c r="M5890" s="3565">
        <v>0</v>
      </c>
      <c r="N5890" s="3565">
        <v>0</v>
      </c>
      <c r="O5890" s="3563" t="s">
        <v>3453</v>
      </c>
    </row>
    <row r="5891" spans="1:15">
      <c r="A5891" s="3563" t="s">
        <v>10131</v>
      </c>
      <c r="B5891" s="3563" t="s">
        <v>4196</v>
      </c>
      <c r="C5891" s="3563" t="s">
        <v>4197</v>
      </c>
      <c r="D5891" s="3563" t="s">
        <v>6429</v>
      </c>
      <c r="E5891" s="3563" t="s">
        <v>10116</v>
      </c>
      <c r="F5891" s="3563" t="s">
        <v>4949</v>
      </c>
      <c r="G5891" s="3564">
        <v>112.01</v>
      </c>
      <c r="H5891" s="3564">
        <v>91.75</v>
      </c>
      <c r="I5891" s="3564">
        <v>20.260000000000002</v>
      </c>
      <c r="J5891" s="3565">
        <v>1607318</v>
      </c>
      <c r="K5891" s="3565">
        <v>14349.77</v>
      </c>
      <c r="L5891" s="3565">
        <v>17518.45</v>
      </c>
      <c r="M5891" s="3565">
        <v>0</v>
      </c>
      <c r="N5891" s="3565">
        <v>0</v>
      </c>
      <c r="O5891" s="3563" t="s">
        <v>3453</v>
      </c>
    </row>
    <row r="5892" spans="1:15">
      <c r="A5892" s="3563" t="s">
        <v>10132</v>
      </c>
      <c r="B5892" s="3563" t="s">
        <v>4196</v>
      </c>
      <c r="C5892" s="3563" t="s">
        <v>4197</v>
      </c>
      <c r="D5892" s="3563" t="s">
        <v>6429</v>
      </c>
      <c r="E5892" s="3563" t="s">
        <v>10133</v>
      </c>
      <c r="F5892" s="3563" t="s">
        <v>4949</v>
      </c>
      <c r="G5892" s="3564">
        <v>142.15</v>
      </c>
      <c r="H5892" s="3564">
        <v>119.17</v>
      </c>
      <c r="I5892" s="3564">
        <v>22.98</v>
      </c>
      <c r="J5892" s="3565">
        <v>1855980</v>
      </c>
      <c r="K5892" s="3565">
        <v>13056.49</v>
      </c>
      <c r="L5892" s="3565">
        <v>15574.22</v>
      </c>
      <c r="M5892" s="3565">
        <v>0</v>
      </c>
      <c r="N5892" s="3565">
        <v>0</v>
      </c>
      <c r="O5892" s="3563" t="s">
        <v>3453</v>
      </c>
    </row>
    <row r="5893" spans="1:15">
      <c r="A5893" s="3563" t="s">
        <v>10134</v>
      </c>
      <c r="B5893" s="3563" t="s">
        <v>4196</v>
      </c>
      <c r="C5893" s="3563" t="s">
        <v>4197</v>
      </c>
      <c r="D5893" s="3563" t="s">
        <v>6429</v>
      </c>
      <c r="E5893" s="3563" t="s">
        <v>10133</v>
      </c>
      <c r="F5893" s="3563" t="s">
        <v>4949</v>
      </c>
      <c r="G5893" s="3564">
        <v>142.15</v>
      </c>
      <c r="H5893" s="3564">
        <v>119.17</v>
      </c>
      <c r="I5893" s="3564">
        <v>22.98</v>
      </c>
      <c r="J5893" s="3565">
        <v>2087145</v>
      </c>
      <c r="K5893" s="3565">
        <v>14682.69</v>
      </c>
      <c r="L5893" s="3565">
        <v>17514.009999999998</v>
      </c>
      <c r="M5893" s="3565">
        <v>0</v>
      </c>
      <c r="N5893" s="3565">
        <v>0</v>
      </c>
      <c r="O5893" s="3563" t="s">
        <v>3453</v>
      </c>
    </row>
    <row r="5894" spans="1:15">
      <c r="A5894" s="3563" t="s">
        <v>10135</v>
      </c>
      <c r="B5894" s="3563" t="s">
        <v>4196</v>
      </c>
      <c r="C5894" s="3563" t="s">
        <v>4197</v>
      </c>
      <c r="D5894" s="3563" t="s">
        <v>6429</v>
      </c>
      <c r="E5894" s="3563" t="s">
        <v>10133</v>
      </c>
      <c r="F5894" s="3563" t="s">
        <v>4949</v>
      </c>
      <c r="G5894" s="3564">
        <v>112.01</v>
      </c>
      <c r="H5894" s="3564">
        <v>91.75</v>
      </c>
      <c r="I5894" s="3564">
        <v>20.260000000000002</v>
      </c>
      <c r="J5894" s="3565">
        <v>1607318</v>
      </c>
      <c r="K5894" s="3565">
        <v>14349.77</v>
      </c>
      <c r="L5894" s="3565">
        <v>17518.45</v>
      </c>
      <c r="M5894" s="3565">
        <v>0</v>
      </c>
      <c r="N5894" s="3565">
        <v>0</v>
      </c>
      <c r="O5894" s="3563" t="s">
        <v>3453</v>
      </c>
    </row>
    <row r="5895" spans="1:15">
      <c r="A5895" s="3563" t="s">
        <v>10136</v>
      </c>
      <c r="B5895" s="3563" t="s">
        <v>4196</v>
      </c>
      <c r="C5895" s="3563" t="s">
        <v>4197</v>
      </c>
      <c r="D5895" s="3563" t="s">
        <v>6429</v>
      </c>
      <c r="E5895" s="3563" t="s">
        <v>10133</v>
      </c>
      <c r="F5895" s="3563" t="s">
        <v>4949</v>
      </c>
      <c r="G5895" s="3564">
        <v>112.01</v>
      </c>
      <c r="H5895" s="3564">
        <v>91.75</v>
      </c>
      <c r="I5895" s="3564">
        <v>20.260000000000002</v>
      </c>
      <c r="J5895" s="3565">
        <v>1666897</v>
      </c>
      <c r="K5895" s="3565">
        <v>14881.68</v>
      </c>
      <c r="L5895" s="3565">
        <v>18167.810000000001</v>
      </c>
      <c r="M5895" s="3565">
        <v>0</v>
      </c>
      <c r="N5895" s="3565">
        <v>0</v>
      </c>
      <c r="O5895" s="3563" t="s">
        <v>3453</v>
      </c>
    </row>
    <row r="5896" spans="1:15">
      <c r="A5896" s="3563" t="s">
        <v>10137</v>
      </c>
      <c r="B5896" s="3563" t="s">
        <v>4196</v>
      </c>
      <c r="C5896" s="3563" t="s">
        <v>4197</v>
      </c>
      <c r="D5896" s="3563" t="s">
        <v>6429</v>
      </c>
      <c r="E5896" s="3563" t="s">
        <v>10133</v>
      </c>
      <c r="F5896" s="3563" t="s">
        <v>4949</v>
      </c>
      <c r="G5896" s="3564">
        <v>142.15</v>
      </c>
      <c r="H5896" s="3564">
        <v>119.17</v>
      </c>
      <c r="I5896" s="3564">
        <v>22.98</v>
      </c>
      <c r="J5896" s="3565">
        <v>1860959</v>
      </c>
      <c r="K5896" s="3565">
        <v>13091.52</v>
      </c>
      <c r="L5896" s="3565">
        <v>15616</v>
      </c>
      <c r="M5896" s="3565">
        <v>0</v>
      </c>
      <c r="N5896" s="3565">
        <v>0</v>
      </c>
      <c r="O5896" s="3563" t="s">
        <v>3453</v>
      </c>
    </row>
    <row r="5897" spans="1:15">
      <c r="A5897" s="3563" t="s">
        <v>10138</v>
      </c>
      <c r="B5897" s="3563" t="s">
        <v>4196</v>
      </c>
      <c r="C5897" s="3563" t="s">
        <v>4197</v>
      </c>
      <c r="D5897" s="3563" t="s">
        <v>6429</v>
      </c>
      <c r="E5897" s="3563" t="s">
        <v>10133</v>
      </c>
      <c r="F5897" s="3563" t="s">
        <v>4949</v>
      </c>
      <c r="G5897" s="3564">
        <v>142.15</v>
      </c>
      <c r="H5897" s="3564">
        <v>119.17</v>
      </c>
      <c r="I5897" s="3564">
        <v>22.98</v>
      </c>
      <c r="J5897" s="3565">
        <v>1855980</v>
      </c>
      <c r="K5897" s="3565">
        <v>13056.49</v>
      </c>
      <c r="L5897" s="3565">
        <v>15574.22</v>
      </c>
      <c r="M5897" s="3565">
        <v>0</v>
      </c>
      <c r="N5897" s="3565">
        <v>0</v>
      </c>
      <c r="O5897" s="3563" t="s">
        <v>3453</v>
      </c>
    </row>
    <row r="5898" spans="1:15">
      <c r="A5898" s="3563" t="s">
        <v>10139</v>
      </c>
      <c r="B5898" s="3563" t="s">
        <v>4196</v>
      </c>
      <c r="C5898" s="3563" t="s">
        <v>4197</v>
      </c>
      <c r="D5898" s="3563" t="s">
        <v>6429</v>
      </c>
      <c r="E5898" s="3563" t="s">
        <v>10133</v>
      </c>
      <c r="F5898" s="3563" t="s">
        <v>4949</v>
      </c>
      <c r="G5898" s="3564">
        <v>112.01</v>
      </c>
      <c r="H5898" s="3564">
        <v>91.75</v>
      </c>
      <c r="I5898" s="3564">
        <v>20.260000000000002</v>
      </c>
      <c r="J5898" s="3565">
        <v>1607318</v>
      </c>
      <c r="K5898" s="3565">
        <v>14349.77</v>
      </c>
      <c r="L5898" s="3565">
        <v>17518.45</v>
      </c>
      <c r="M5898" s="3565">
        <v>0</v>
      </c>
      <c r="N5898" s="3565">
        <v>0</v>
      </c>
      <c r="O5898" s="3563" t="s">
        <v>3453</v>
      </c>
    </row>
    <row r="5899" spans="1:15">
      <c r="A5899" s="3563" t="s">
        <v>10140</v>
      </c>
      <c r="B5899" s="3563" t="s">
        <v>4196</v>
      </c>
      <c r="C5899" s="3563" t="s">
        <v>4197</v>
      </c>
      <c r="D5899" s="3563" t="s">
        <v>6429</v>
      </c>
      <c r="E5899" s="3563" t="s">
        <v>10133</v>
      </c>
      <c r="F5899" s="3563" t="s">
        <v>4949</v>
      </c>
      <c r="G5899" s="3564">
        <v>112.01</v>
      </c>
      <c r="H5899" s="3564">
        <v>91.75</v>
      </c>
      <c r="I5899" s="3564">
        <v>20.260000000000002</v>
      </c>
      <c r="J5899" s="3565">
        <v>1607318</v>
      </c>
      <c r="K5899" s="3565">
        <v>14349.77</v>
      </c>
      <c r="L5899" s="3565">
        <v>17518.45</v>
      </c>
      <c r="M5899" s="3565">
        <v>0</v>
      </c>
      <c r="N5899" s="3565">
        <v>0</v>
      </c>
      <c r="O5899" s="3563" t="s">
        <v>3453</v>
      </c>
    </row>
    <row r="5900" spans="1:15">
      <c r="A5900" s="3563" t="s">
        <v>10141</v>
      </c>
      <c r="B5900" s="3563" t="s">
        <v>4196</v>
      </c>
      <c r="C5900" s="3563" t="s">
        <v>4197</v>
      </c>
      <c r="D5900" s="3563" t="s">
        <v>6429</v>
      </c>
      <c r="E5900" s="3563" t="s">
        <v>10133</v>
      </c>
      <c r="F5900" s="3563" t="s">
        <v>4949</v>
      </c>
      <c r="G5900" s="3564">
        <v>142.15</v>
      </c>
      <c r="H5900" s="3564">
        <v>119.17</v>
      </c>
      <c r="I5900" s="3564">
        <v>22.98</v>
      </c>
      <c r="J5900" s="3565">
        <v>1855980</v>
      </c>
      <c r="K5900" s="3565">
        <v>13056.49</v>
      </c>
      <c r="L5900" s="3565">
        <v>15574.22</v>
      </c>
      <c r="M5900" s="3565">
        <v>0</v>
      </c>
      <c r="N5900" s="3565">
        <v>0</v>
      </c>
      <c r="O5900" s="3563" t="s">
        <v>3453</v>
      </c>
    </row>
    <row r="5901" spans="1:15">
      <c r="A5901" s="3563" t="s">
        <v>10142</v>
      </c>
      <c r="B5901" s="3563" t="s">
        <v>4196</v>
      </c>
      <c r="C5901" s="3563" t="s">
        <v>4197</v>
      </c>
      <c r="D5901" s="3563" t="s">
        <v>6429</v>
      </c>
      <c r="E5901" s="3563" t="s">
        <v>10133</v>
      </c>
      <c r="F5901" s="3563" t="s">
        <v>4949</v>
      </c>
      <c r="G5901" s="3564">
        <v>142.15</v>
      </c>
      <c r="H5901" s="3564">
        <v>119.17</v>
      </c>
      <c r="I5901" s="3564">
        <v>22.98</v>
      </c>
      <c r="J5901" s="3565">
        <v>1861310</v>
      </c>
      <c r="K5901" s="3565">
        <v>13093.99</v>
      </c>
      <c r="L5901" s="3565">
        <v>15618.95</v>
      </c>
      <c r="M5901" s="3565">
        <v>0</v>
      </c>
      <c r="N5901" s="3565">
        <v>0</v>
      </c>
      <c r="O5901" s="3563" t="s">
        <v>3453</v>
      </c>
    </row>
    <row r="5902" spans="1:15">
      <c r="A5902" s="3563" t="s">
        <v>10143</v>
      </c>
      <c r="B5902" s="3563" t="s">
        <v>4196</v>
      </c>
      <c r="C5902" s="3563" t="s">
        <v>4197</v>
      </c>
      <c r="D5902" s="3563" t="s">
        <v>6429</v>
      </c>
      <c r="E5902" s="3563" t="s">
        <v>10133</v>
      </c>
      <c r="F5902" s="3563" t="s">
        <v>4949</v>
      </c>
      <c r="G5902" s="3564">
        <v>112.01</v>
      </c>
      <c r="H5902" s="3564">
        <v>91.75</v>
      </c>
      <c r="I5902" s="3564">
        <v>20.260000000000002</v>
      </c>
      <c r="J5902" s="3565">
        <v>1607318</v>
      </c>
      <c r="K5902" s="3565">
        <v>14349.77</v>
      </c>
      <c r="L5902" s="3565">
        <v>17518.45</v>
      </c>
      <c r="M5902" s="3565">
        <v>0</v>
      </c>
      <c r="N5902" s="3565">
        <v>0</v>
      </c>
      <c r="O5902" s="3563" t="s">
        <v>3453</v>
      </c>
    </row>
    <row r="5903" spans="1:15">
      <c r="A5903" s="3563" t="s">
        <v>10144</v>
      </c>
      <c r="B5903" s="3563" t="s">
        <v>4196</v>
      </c>
      <c r="C5903" s="3563" t="s">
        <v>4197</v>
      </c>
      <c r="D5903" s="3563" t="s">
        <v>6429</v>
      </c>
      <c r="E5903" s="3563" t="s">
        <v>10133</v>
      </c>
      <c r="F5903" s="3563" t="s">
        <v>4949</v>
      </c>
      <c r="G5903" s="3564">
        <v>112.01</v>
      </c>
      <c r="H5903" s="3564">
        <v>91.75</v>
      </c>
      <c r="I5903" s="3564">
        <v>20.260000000000002</v>
      </c>
      <c r="J5903" s="3565">
        <v>1607318</v>
      </c>
      <c r="K5903" s="3565">
        <v>14349.77</v>
      </c>
      <c r="L5903" s="3565">
        <v>17518.45</v>
      </c>
      <c r="M5903" s="3565">
        <v>0</v>
      </c>
      <c r="N5903" s="3565">
        <v>0</v>
      </c>
      <c r="O5903" s="3563" t="s">
        <v>3453</v>
      </c>
    </row>
    <row r="5904" spans="1:15">
      <c r="A5904" s="3563" t="s">
        <v>10145</v>
      </c>
      <c r="B5904" s="3563" t="s">
        <v>4196</v>
      </c>
      <c r="C5904" s="3563" t="s">
        <v>4197</v>
      </c>
      <c r="D5904" s="3563" t="s">
        <v>6429</v>
      </c>
      <c r="E5904" s="3563" t="s">
        <v>10133</v>
      </c>
      <c r="F5904" s="3563" t="s">
        <v>4949</v>
      </c>
      <c r="G5904" s="3564">
        <v>142.15</v>
      </c>
      <c r="H5904" s="3564">
        <v>119.17</v>
      </c>
      <c r="I5904" s="3564">
        <v>22.98</v>
      </c>
      <c r="J5904" s="3565">
        <v>2099720</v>
      </c>
      <c r="K5904" s="3565">
        <v>14771.16</v>
      </c>
      <c r="L5904" s="3565">
        <v>17619.54</v>
      </c>
      <c r="M5904" s="3565">
        <v>0</v>
      </c>
      <c r="N5904" s="3565">
        <v>0</v>
      </c>
      <c r="O5904" s="3563" t="s">
        <v>3453</v>
      </c>
    </row>
    <row r="5905" spans="1:15">
      <c r="A5905" s="3563" t="s">
        <v>10146</v>
      </c>
      <c r="B5905" s="3563" t="s">
        <v>4196</v>
      </c>
      <c r="C5905" s="3563" t="s">
        <v>4197</v>
      </c>
      <c r="D5905" s="3563" t="s">
        <v>6429</v>
      </c>
      <c r="E5905" s="3563" t="s">
        <v>10133</v>
      </c>
      <c r="F5905" s="3563" t="s">
        <v>4949</v>
      </c>
      <c r="G5905" s="3564">
        <v>142.15</v>
      </c>
      <c r="H5905" s="3564">
        <v>119.17</v>
      </c>
      <c r="I5905" s="3564">
        <v>22.98</v>
      </c>
      <c r="J5905" s="3565">
        <v>1855980</v>
      </c>
      <c r="K5905" s="3565">
        <v>13056.49</v>
      </c>
      <c r="L5905" s="3565">
        <v>15574.22</v>
      </c>
      <c r="M5905" s="3565">
        <v>0</v>
      </c>
      <c r="N5905" s="3565">
        <v>0</v>
      </c>
      <c r="O5905" s="3563" t="s">
        <v>3453</v>
      </c>
    </row>
    <row r="5906" spans="1:15">
      <c r="A5906" s="3563" t="s">
        <v>10147</v>
      </c>
      <c r="B5906" s="3563" t="s">
        <v>4196</v>
      </c>
      <c r="C5906" s="3563" t="s">
        <v>4197</v>
      </c>
      <c r="D5906" s="3563" t="s">
        <v>6429</v>
      </c>
      <c r="E5906" s="3563" t="s">
        <v>10133</v>
      </c>
      <c r="F5906" s="3563" t="s">
        <v>4949</v>
      </c>
      <c r="G5906" s="3564">
        <v>112.01</v>
      </c>
      <c r="H5906" s="3564">
        <v>91.75</v>
      </c>
      <c r="I5906" s="3564">
        <v>20.260000000000002</v>
      </c>
      <c r="J5906" s="3565">
        <v>1666897</v>
      </c>
      <c r="K5906" s="3565">
        <v>14881.68</v>
      </c>
      <c r="L5906" s="3565">
        <v>18167.810000000001</v>
      </c>
      <c r="M5906" s="3565">
        <v>0</v>
      </c>
      <c r="N5906" s="3565">
        <v>0</v>
      </c>
      <c r="O5906" s="3563" t="s">
        <v>3453</v>
      </c>
    </row>
    <row r="5907" spans="1:15">
      <c r="A5907" s="3563" t="s">
        <v>10148</v>
      </c>
      <c r="B5907" s="3563" t="s">
        <v>4196</v>
      </c>
      <c r="C5907" s="3563" t="s">
        <v>4197</v>
      </c>
      <c r="D5907" s="3563" t="s">
        <v>6429</v>
      </c>
      <c r="E5907" s="3563" t="s">
        <v>10133</v>
      </c>
      <c r="F5907" s="3563" t="s">
        <v>4949</v>
      </c>
      <c r="G5907" s="3564">
        <v>112.01</v>
      </c>
      <c r="H5907" s="3564">
        <v>91.75</v>
      </c>
      <c r="I5907" s="3564">
        <v>20.260000000000002</v>
      </c>
      <c r="J5907" s="3565">
        <v>1607318</v>
      </c>
      <c r="K5907" s="3565">
        <v>14349.77</v>
      </c>
      <c r="L5907" s="3565">
        <v>17518.45</v>
      </c>
      <c r="M5907" s="3565">
        <v>0</v>
      </c>
      <c r="N5907" s="3565">
        <v>0</v>
      </c>
      <c r="O5907" s="3563" t="s">
        <v>3453</v>
      </c>
    </row>
    <row r="5908" spans="1:15">
      <c r="A5908" s="3563" t="s">
        <v>10149</v>
      </c>
      <c r="B5908" s="3563" t="s">
        <v>4196</v>
      </c>
      <c r="C5908" s="3563" t="s">
        <v>4197</v>
      </c>
      <c r="D5908" s="3563" t="s">
        <v>6429</v>
      </c>
      <c r="E5908" s="3563" t="s">
        <v>10150</v>
      </c>
      <c r="F5908" s="3563" t="s">
        <v>4949</v>
      </c>
      <c r="G5908" s="3564">
        <v>141.97999999999999</v>
      </c>
      <c r="H5908" s="3564">
        <v>119.17</v>
      </c>
      <c r="I5908" s="3564">
        <v>22.81</v>
      </c>
      <c r="J5908" s="3565">
        <v>1884709</v>
      </c>
      <c r="K5908" s="3565">
        <v>13274.47</v>
      </c>
      <c r="L5908" s="3565">
        <v>15815.3</v>
      </c>
      <c r="M5908" s="3565">
        <v>0</v>
      </c>
      <c r="N5908" s="3565">
        <v>0</v>
      </c>
      <c r="O5908" s="3563" t="s">
        <v>3453</v>
      </c>
    </row>
    <row r="5909" spans="1:15">
      <c r="A5909" s="3563" t="s">
        <v>10151</v>
      </c>
      <c r="B5909" s="3563" t="s">
        <v>4196</v>
      </c>
      <c r="C5909" s="3563" t="s">
        <v>4197</v>
      </c>
      <c r="D5909" s="3563" t="s">
        <v>6429</v>
      </c>
      <c r="E5909" s="3563" t="s">
        <v>10150</v>
      </c>
      <c r="F5909" s="3563" t="s">
        <v>4949</v>
      </c>
      <c r="G5909" s="3564">
        <v>141.97999999999999</v>
      </c>
      <c r="H5909" s="3564">
        <v>119.17</v>
      </c>
      <c r="I5909" s="3564">
        <v>22.81</v>
      </c>
      <c r="J5909" s="3565">
        <v>2115049</v>
      </c>
      <c r="K5909" s="3565">
        <v>14896.81</v>
      </c>
      <c r="L5909" s="3565">
        <v>17748.169999999998</v>
      </c>
      <c r="M5909" s="3565">
        <v>0</v>
      </c>
      <c r="N5909" s="3565">
        <v>0</v>
      </c>
      <c r="O5909" s="3563" t="s">
        <v>3453</v>
      </c>
    </row>
    <row r="5910" spans="1:15">
      <c r="A5910" s="3563" t="s">
        <v>10152</v>
      </c>
      <c r="B5910" s="3563" t="s">
        <v>4196</v>
      </c>
      <c r="C5910" s="3563" t="s">
        <v>4197</v>
      </c>
      <c r="D5910" s="3563" t="s">
        <v>6429</v>
      </c>
      <c r="E5910" s="3563" t="s">
        <v>10150</v>
      </c>
      <c r="F5910" s="3563" t="s">
        <v>4949</v>
      </c>
      <c r="G5910" s="3564">
        <v>111.88</v>
      </c>
      <c r="H5910" s="3564">
        <v>91.75</v>
      </c>
      <c r="I5910" s="3564">
        <v>20.13</v>
      </c>
      <c r="J5910" s="3565">
        <v>1629809</v>
      </c>
      <c r="K5910" s="3565">
        <v>14567.47</v>
      </c>
      <c r="L5910" s="3565">
        <v>17763.59</v>
      </c>
      <c r="M5910" s="3565">
        <v>0</v>
      </c>
      <c r="N5910" s="3565">
        <v>0</v>
      </c>
      <c r="O5910" s="3563" t="s">
        <v>3453</v>
      </c>
    </row>
    <row r="5911" spans="1:15">
      <c r="A5911" s="3563" t="s">
        <v>10153</v>
      </c>
      <c r="B5911" s="3563" t="s">
        <v>4196</v>
      </c>
      <c r="C5911" s="3563" t="s">
        <v>4197</v>
      </c>
      <c r="D5911" s="3563" t="s">
        <v>6429</v>
      </c>
      <c r="E5911" s="3563" t="s">
        <v>10150</v>
      </c>
      <c r="F5911" s="3563" t="s">
        <v>4949</v>
      </c>
      <c r="G5911" s="3564">
        <v>111.88</v>
      </c>
      <c r="H5911" s="3564">
        <v>91.75</v>
      </c>
      <c r="I5911" s="3564">
        <v>20.13</v>
      </c>
      <c r="J5911" s="3565">
        <v>1689320</v>
      </c>
      <c r="K5911" s="3565">
        <v>15099.39</v>
      </c>
      <c r="L5911" s="3565">
        <v>18412.21</v>
      </c>
      <c r="M5911" s="3565">
        <v>0</v>
      </c>
      <c r="N5911" s="3565">
        <v>0</v>
      </c>
      <c r="O5911" s="3563" t="s">
        <v>3453</v>
      </c>
    </row>
    <row r="5912" spans="1:15">
      <c r="A5912" s="3563" t="s">
        <v>10154</v>
      </c>
      <c r="B5912" s="3563" t="s">
        <v>4196</v>
      </c>
      <c r="C5912" s="3563" t="s">
        <v>4197</v>
      </c>
      <c r="D5912" s="3563" t="s">
        <v>6429</v>
      </c>
      <c r="E5912" s="3563" t="s">
        <v>10150</v>
      </c>
      <c r="F5912" s="3563" t="s">
        <v>4949</v>
      </c>
      <c r="G5912" s="3564">
        <v>141.97999999999999</v>
      </c>
      <c r="H5912" s="3564">
        <v>119.17</v>
      </c>
      <c r="I5912" s="3564">
        <v>22.81</v>
      </c>
      <c r="J5912" s="3565">
        <v>1884454</v>
      </c>
      <c r="K5912" s="3565">
        <v>13272.67</v>
      </c>
      <c r="L5912" s="3565">
        <v>15813.16</v>
      </c>
      <c r="M5912" s="3565">
        <v>0</v>
      </c>
      <c r="N5912" s="3565">
        <v>0</v>
      </c>
      <c r="O5912" s="3563" t="s">
        <v>3453</v>
      </c>
    </row>
    <row r="5913" spans="1:15">
      <c r="A5913" s="3563" t="s">
        <v>10155</v>
      </c>
      <c r="B5913" s="3563" t="s">
        <v>4196</v>
      </c>
      <c r="C5913" s="3563" t="s">
        <v>4197</v>
      </c>
      <c r="D5913" s="3563" t="s">
        <v>6429</v>
      </c>
      <c r="E5913" s="3563" t="s">
        <v>10150</v>
      </c>
      <c r="F5913" s="3563" t="s">
        <v>4949</v>
      </c>
      <c r="G5913" s="3564">
        <v>141.97999999999999</v>
      </c>
      <c r="H5913" s="3564">
        <v>119.17</v>
      </c>
      <c r="I5913" s="3564">
        <v>22.81</v>
      </c>
      <c r="J5913" s="3565">
        <v>1885475</v>
      </c>
      <c r="K5913" s="3565">
        <v>13279.86</v>
      </c>
      <c r="L5913" s="3565">
        <v>15821.73</v>
      </c>
      <c r="M5913" s="3565">
        <v>0</v>
      </c>
      <c r="N5913" s="3565">
        <v>0</v>
      </c>
      <c r="O5913" s="3563" t="s">
        <v>3453</v>
      </c>
    </row>
    <row r="5914" spans="1:15">
      <c r="A5914" s="3563" t="s">
        <v>10156</v>
      </c>
      <c r="B5914" s="3563" t="s">
        <v>4196</v>
      </c>
      <c r="C5914" s="3563" t="s">
        <v>4197</v>
      </c>
      <c r="D5914" s="3563" t="s">
        <v>6429</v>
      </c>
      <c r="E5914" s="3563" t="s">
        <v>10150</v>
      </c>
      <c r="F5914" s="3563" t="s">
        <v>4949</v>
      </c>
      <c r="G5914" s="3564">
        <v>111.88</v>
      </c>
      <c r="H5914" s="3564">
        <v>91.75</v>
      </c>
      <c r="I5914" s="3564">
        <v>20.13</v>
      </c>
      <c r="J5914" s="3565">
        <v>1629809</v>
      </c>
      <c r="K5914" s="3565">
        <v>14567.47</v>
      </c>
      <c r="L5914" s="3565">
        <v>17763.59</v>
      </c>
      <c r="M5914" s="3565">
        <v>0</v>
      </c>
      <c r="N5914" s="3565">
        <v>0</v>
      </c>
      <c r="O5914" s="3563" t="s">
        <v>3453</v>
      </c>
    </row>
    <row r="5915" spans="1:15">
      <c r="A5915" s="3563" t="s">
        <v>10157</v>
      </c>
      <c r="B5915" s="3563" t="s">
        <v>4196</v>
      </c>
      <c r="C5915" s="3563" t="s">
        <v>4197</v>
      </c>
      <c r="D5915" s="3563" t="s">
        <v>6429</v>
      </c>
      <c r="E5915" s="3563" t="s">
        <v>10150</v>
      </c>
      <c r="F5915" s="3563" t="s">
        <v>4949</v>
      </c>
      <c r="G5915" s="3564">
        <v>111.88</v>
      </c>
      <c r="H5915" s="3564">
        <v>91.75</v>
      </c>
      <c r="I5915" s="3564">
        <v>20.13</v>
      </c>
      <c r="J5915" s="3565">
        <v>1629809</v>
      </c>
      <c r="K5915" s="3565">
        <v>14567.47</v>
      </c>
      <c r="L5915" s="3565">
        <v>17763.59</v>
      </c>
      <c r="M5915" s="3565">
        <v>0</v>
      </c>
      <c r="N5915" s="3565">
        <v>0</v>
      </c>
      <c r="O5915" s="3563" t="s">
        <v>3453</v>
      </c>
    </row>
    <row r="5916" spans="1:15">
      <c r="A5916" s="3563" t="s">
        <v>10158</v>
      </c>
      <c r="B5916" s="3563" t="s">
        <v>4196</v>
      </c>
      <c r="C5916" s="3563" t="s">
        <v>4197</v>
      </c>
      <c r="D5916" s="3563" t="s">
        <v>6429</v>
      </c>
      <c r="E5916" s="3563" t="s">
        <v>10150</v>
      </c>
      <c r="F5916" s="3563" t="s">
        <v>4949</v>
      </c>
      <c r="G5916" s="3564">
        <v>141.97999999999999</v>
      </c>
      <c r="H5916" s="3564">
        <v>119.17</v>
      </c>
      <c r="I5916" s="3564">
        <v>22.81</v>
      </c>
      <c r="J5916" s="3565">
        <v>1986305</v>
      </c>
      <c r="K5916" s="3565">
        <v>13990.03</v>
      </c>
      <c r="L5916" s="3565">
        <v>16667.830000000002</v>
      </c>
      <c r="M5916" s="3565">
        <v>0</v>
      </c>
      <c r="N5916" s="3565">
        <v>0</v>
      </c>
      <c r="O5916" s="3563" t="s">
        <v>3453</v>
      </c>
    </row>
    <row r="5917" spans="1:15">
      <c r="A5917" s="3563" t="s">
        <v>10159</v>
      </c>
      <c r="B5917" s="3563" t="s">
        <v>4196</v>
      </c>
      <c r="C5917" s="3563" t="s">
        <v>4197</v>
      </c>
      <c r="D5917" s="3563" t="s">
        <v>6429</v>
      </c>
      <c r="E5917" s="3563" t="s">
        <v>10150</v>
      </c>
      <c r="F5917" s="3563" t="s">
        <v>4949</v>
      </c>
      <c r="G5917" s="3564">
        <v>141.97999999999999</v>
      </c>
      <c r="H5917" s="3564">
        <v>119.17</v>
      </c>
      <c r="I5917" s="3564">
        <v>22.81</v>
      </c>
      <c r="J5917" s="3565">
        <v>1884454</v>
      </c>
      <c r="K5917" s="3565">
        <v>13272.67</v>
      </c>
      <c r="L5917" s="3565">
        <v>15813.16</v>
      </c>
      <c r="M5917" s="3565">
        <v>0</v>
      </c>
      <c r="N5917" s="3565">
        <v>0</v>
      </c>
      <c r="O5917" s="3563" t="s">
        <v>3453</v>
      </c>
    </row>
    <row r="5918" spans="1:15">
      <c r="A5918" s="3563" t="s">
        <v>10160</v>
      </c>
      <c r="B5918" s="3563" t="s">
        <v>4196</v>
      </c>
      <c r="C5918" s="3563" t="s">
        <v>4197</v>
      </c>
      <c r="D5918" s="3563" t="s">
        <v>6429</v>
      </c>
      <c r="E5918" s="3563" t="s">
        <v>10150</v>
      </c>
      <c r="F5918" s="3563" t="s">
        <v>4949</v>
      </c>
      <c r="G5918" s="3564">
        <v>111.88</v>
      </c>
      <c r="H5918" s="3564">
        <v>91.75</v>
      </c>
      <c r="I5918" s="3564">
        <v>20.13</v>
      </c>
      <c r="J5918" s="3565">
        <v>1689320</v>
      </c>
      <c r="K5918" s="3565">
        <v>15099.39</v>
      </c>
      <c r="L5918" s="3565">
        <v>18412.21</v>
      </c>
      <c r="M5918" s="3565">
        <v>0</v>
      </c>
      <c r="N5918" s="3565">
        <v>0</v>
      </c>
      <c r="O5918" s="3563" t="s">
        <v>3453</v>
      </c>
    </row>
    <row r="5919" spans="1:15">
      <c r="A5919" s="3563" t="s">
        <v>10161</v>
      </c>
      <c r="B5919" s="3563" t="s">
        <v>4196</v>
      </c>
      <c r="C5919" s="3563" t="s">
        <v>4197</v>
      </c>
      <c r="D5919" s="3563" t="s">
        <v>6429</v>
      </c>
      <c r="E5919" s="3563" t="s">
        <v>10150</v>
      </c>
      <c r="F5919" s="3563" t="s">
        <v>4949</v>
      </c>
      <c r="G5919" s="3564">
        <v>111.88</v>
      </c>
      <c r="H5919" s="3564">
        <v>91.75</v>
      </c>
      <c r="I5919" s="3564">
        <v>20.13</v>
      </c>
      <c r="J5919" s="3565">
        <v>1629809</v>
      </c>
      <c r="K5919" s="3565">
        <v>14567.47</v>
      </c>
      <c r="L5919" s="3565">
        <v>17763.59</v>
      </c>
      <c r="M5919" s="3565">
        <v>0</v>
      </c>
      <c r="N5919" s="3565">
        <v>0</v>
      </c>
      <c r="O5919" s="3563" t="s">
        <v>3453</v>
      </c>
    </row>
    <row r="5920" spans="1:15">
      <c r="A5920" s="3563" t="s">
        <v>10162</v>
      </c>
      <c r="B5920" s="3563" t="s">
        <v>4196</v>
      </c>
      <c r="C5920" s="3563" t="s">
        <v>4197</v>
      </c>
      <c r="D5920" s="3563" t="s">
        <v>6429</v>
      </c>
      <c r="E5920" s="3563" t="s">
        <v>10163</v>
      </c>
      <c r="F5920" s="3563" t="s">
        <v>4949</v>
      </c>
      <c r="G5920" s="3564">
        <v>141.97999999999999</v>
      </c>
      <c r="H5920" s="3564">
        <v>119.17</v>
      </c>
      <c r="I5920" s="3564">
        <v>22.81</v>
      </c>
      <c r="J5920" s="3565">
        <v>1992464</v>
      </c>
      <c r="K5920" s="3565">
        <v>14033.41</v>
      </c>
      <c r="L5920" s="3565">
        <v>16719.509999999998</v>
      </c>
      <c r="M5920" s="3565">
        <v>0</v>
      </c>
      <c r="N5920" s="3565">
        <v>0</v>
      </c>
      <c r="O5920" s="3563" t="s">
        <v>3453</v>
      </c>
    </row>
    <row r="5921" spans="1:15">
      <c r="A5921" s="3563" t="s">
        <v>10164</v>
      </c>
      <c r="B5921" s="3563" t="s">
        <v>4196</v>
      </c>
      <c r="C5921" s="3563" t="s">
        <v>4197</v>
      </c>
      <c r="D5921" s="3563" t="s">
        <v>6429</v>
      </c>
      <c r="E5921" s="3563" t="s">
        <v>10163</v>
      </c>
      <c r="F5921" s="3563" t="s">
        <v>4949</v>
      </c>
      <c r="G5921" s="3564">
        <v>141.97999999999999</v>
      </c>
      <c r="H5921" s="3564">
        <v>119.17</v>
      </c>
      <c r="I5921" s="3564">
        <v>22.81</v>
      </c>
      <c r="J5921" s="3565">
        <v>2186198</v>
      </c>
      <c r="K5921" s="3565">
        <v>15397.93</v>
      </c>
      <c r="L5921" s="3565">
        <v>18345.2</v>
      </c>
      <c r="M5921" s="3565">
        <v>0</v>
      </c>
      <c r="N5921" s="3565">
        <v>0</v>
      </c>
      <c r="O5921" s="3563" t="s">
        <v>3453</v>
      </c>
    </row>
    <row r="5922" spans="1:15">
      <c r="A5922" s="3563" t="s">
        <v>10165</v>
      </c>
      <c r="B5922" s="3563" t="s">
        <v>4196</v>
      </c>
      <c r="C5922" s="3563" t="s">
        <v>4197</v>
      </c>
      <c r="D5922" s="3563" t="s">
        <v>6429</v>
      </c>
      <c r="E5922" s="3563" t="s">
        <v>10163</v>
      </c>
      <c r="F5922" s="3563" t="s">
        <v>4949</v>
      </c>
      <c r="G5922" s="3564">
        <v>111.88</v>
      </c>
      <c r="H5922" s="3564">
        <v>91.75</v>
      </c>
      <c r="I5922" s="3564">
        <v>20.13</v>
      </c>
      <c r="J5922" s="3565">
        <v>1689320</v>
      </c>
      <c r="K5922" s="3565">
        <v>15099.39</v>
      </c>
      <c r="L5922" s="3565">
        <v>18412.21</v>
      </c>
      <c r="M5922" s="3565">
        <v>0</v>
      </c>
      <c r="N5922" s="3565">
        <v>0</v>
      </c>
      <c r="O5922" s="3563" t="s">
        <v>3453</v>
      </c>
    </row>
    <row r="5923" spans="1:15">
      <c r="A5923" s="3563" t="s">
        <v>10166</v>
      </c>
      <c r="B5923" s="3563" t="s">
        <v>4196</v>
      </c>
      <c r="C5923" s="3563" t="s">
        <v>4197</v>
      </c>
      <c r="D5923" s="3563" t="s">
        <v>6429</v>
      </c>
      <c r="E5923" s="3563" t="s">
        <v>10163</v>
      </c>
      <c r="F5923" s="3563" t="s">
        <v>4949</v>
      </c>
      <c r="G5923" s="3564">
        <v>111.88</v>
      </c>
      <c r="H5923" s="3564">
        <v>91.75</v>
      </c>
      <c r="I5923" s="3564">
        <v>20.13</v>
      </c>
      <c r="J5923" s="3565">
        <v>1748830</v>
      </c>
      <c r="K5923" s="3565">
        <v>15631.3</v>
      </c>
      <c r="L5923" s="3565">
        <v>19060.82</v>
      </c>
      <c r="M5923" s="3565">
        <v>0</v>
      </c>
      <c r="N5923" s="3565">
        <v>0</v>
      </c>
      <c r="O5923" s="3563" t="s">
        <v>3453</v>
      </c>
    </row>
    <row r="5924" spans="1:15">
      <c r="A5924" s="3563" t="s">
        <v>10167</v>
      </c>
      <c r="B5924" s="3563" t="s">
        <v>4196</v>
      </c>
      <c r="C5924" s="3563" t="s">
        <v>4197</v>
      </c>
      <c r="D5924" s="3563" t="s">
        <v>6429</v>
      </c>
      <c r="E5924" s="3563" t="s">
        <v>10163</v>
      </c>
      <c r="F5924" s="3563" t="s">
        <v>4949</v>
      </c>
      <c r="G5924" s="3564">
        <v>141.97999999999999</v>
      </c>
      <c r="H5924" s="3564">
        <v>119.17</v>
      </c>
      <c r="I5924" s="3564">
        <v>22.81</v>
      </c>
      <c r="J5924" s="3565">
        <v>1992911</v>
      </c>
      <c r="K5924" s="3565">
        <v>14036.56</v>
      </c>
      <c r="L5924" s="3565">
        <v>16723.259999999998</v>
      </c>
      <c r="M5924" s="3565">
        <v>0</v>
      </c>
      <c r="N5924" s="3565">
        <v>0</v>
      </c>
      <c r="O5924" s="3563" t="s">
        <v>3453</v>
      </c>
    </row>
    <row r="5925" spans="1:15">
      <c r="A5925" s="3563" t="s">
        <v>10168</v>
      </c>
      <c r="B5925" s="3563" t="s">
        <v>4196</v>
      </c>
      <c r="C5925" s="3563" t="s">
        <v>4197</v>
      </c>
      <c r="D5925" s="3563" t="s">
        <v>6429</v>
      </c>
      <c r="E5925" s="3563" t="s">
        <v>10163</v>
      </c>
      <c r="F5925" s="3563" t="s">
        <v>4949</v>
      </c>
      <c r="G5925" s="3564">
        <v>141.97999999999999</v>
      </c>
      <c r="H5925" s="3564">
        <v>119.17</v>
      </c>
      <c r="I5925" s="3564">
        <v>22.81</v>
      </c>
      <c r="J5925" s="3565">
        <v>1993581</v>
      </c>
      <c r="K5925" s="3565">
        <v>14041.28</v>
      </c>
      <c r="L5925" s="3565">
        <v>16728.88</v>
      </c>
      <c r="M5925" s="3565">
        <v>0</v>
      </c>
      <c r="N5925" s="3565">
        <v>0</v>
      </c>
      <c r="O5925" s="3563" t="s">
        <v>3453</v>
      </c>
    </row>
    <row r="5926" spans="1:15">
      <c r="A5926" s="3563" t="s">
        <v>10169</v>
      </c>
      <c r="B5926" s="3563" t="s">
        <v>4196</v>
      </c>
      <c r="C5926" s="3563" t="s">
        <v>4197</v>
      </c>
      <c r="D5926" s="3563" t="s">
        <v>6429</v>
      </c>
      <c r="E5926" s="3563" t="s">
        <v>10163</v>
      </c>
      <c r="F5926" s="3563" t="s">
        <v>4949</v>
      </c>
      <c r="G5926" s="3564">
        <v>111.88</v>
      </c>
      <c r="H5926" s="3564">
        <v>91.75</v>
      </c>
      <c r="I5926" s="3564">
        <v>20.13</v>
      </c>
      <c r="J5926" s="3565">
        <v>1689320</v>
      </c>
      <c r="K5926" s="3565">
        <v>15099.39</v>
      </c>
      <c r="L5926" s="3565">
        <v>18412.21</v>
      </c>
      <c r="M5926" s="3565">
        <v>0</v>
      </c>
      <c r="N5926" s="3565">
        <v>0</v>
      </c>
      <c r="O5926" s="3563" t="s">
        <v>3453</v>
      </c>
    </row>
    <row r="5927" spans="1:15">
      <c r="A5927" s="3563" t="s">
        <v>10170</v>
      </c>
      <c r="B5927" s="3563" t="s">
        <v>4196</v>
      </c>
      <c r="C5927" s="3563" t="s">
        <v>4197</v>
      </c>
      <c r="D5927" s="3563" t="s">
        <v>6429</v>
      </c>
      <c r="E5927" s="3563" t="s">
        <v>10163</v>
      </c>
      <c r="F5927" s="3563" t="s">
        <v>4949</v>
      </c>
      <c r="G5927" s="3564">
        <v>111.88</v>
      </c>
      <c r="H5927" s="3564">
        <v>91.75</v>
      </c>
      <c r="I5927" s="3564">
        <v>20.13</v>
      </c>
      <c r="J5927" s="3565">
        <v>1689320</v>
      </c>
      <c r="K5927" s="3565">
        <v>15099.39</v>
      </c>
      <c r="L5927" s="3565">
        <v>18412.21</v>
      </c>
      <c r="M5927" s="3565">
        <v>0</v>
      </c>
      <c r="N5927" s="3565">
        <v>0</v>
      </c>
      <c r="O5927" s="3563" t="s">
        <v>3453</v>
      </c>
    </row>
    <row r="5928" spans="1:15">
      <c r="A5928" s="3563" t="s">
        <v>10171</v>
      </c>
      <c r="B5928" s="3563" t="s">
        <v>4196</v>
      </c>
      <c r="C5928" s="3563" t="s">
        <v>4197</v>
      </c>
      <c r="D5928" s="3563" t="s">
        <v>6429</v>
      </c>
      <c r="E5928" s="3563" t="s">
        <v>10163</v>
      </c>
      <c r="F5928" s="3563" t="s">
        <v>4949</v>
      </c>
      <c r="G5928" s="3564">
        <v>141.97999999999999</v>
      </c>
      <c r="H5928" s="3564">
        <v>119.17</v>
      </c>
      <c r="I5928" s="3564">
        <v>22.81</v>
      </c>
      <c r="J5928" s="3565">
        <v>2050018</v>
      </c>
      <c r="K5928" s="3565">
        <v>14438.78</v>
      </c>
      <c r="L5928" s="3565">
        <v>17202.47</v>
      </c>
      <c r="M5928" s="3565">
        <v>0</v>
      </c>
      <c r="N5928" s="3565">
        <v>0</v>
      </c>
      <c r="O5928" s="3563" t="s">
        <v>3453</v>
      </c>
    </row>
    <row r="5929" spans="1:15">
      <c r="A5929" s="3563" t="s">
        <v>10172</v>
      </c>
      <c r="B5929" s="3563" t="s">
        <v>4196</v>
      </c>
      <c r="C5929" s="3563" t="s">
        <v>4197</v>
      </c>
      <c r="D5929" s="3563" t="s">
        <v>6429</v>
      </c>
      <c r="E5929" s="3563" t="s">
        <v>10163</v>
      </c>
      <c r="F5929" s="3563" t="s">
        <v>4949</v>
      </c>
      <c r="G5929" s="3564">
        <v>141.97999999999999</v>
      </c>
      <c r="H5929" s="3564">
        <v>119.17</v>
      </c>
      <c r="I5929" s="3564">
        <v>22.81</v>
      </c>
      <c r="J5929" s="3565">
        <v>1993262</v>
      </c>
      <c r="K5929" s="3565">
        <v>14039.03</v>
      </c>
      <c r="L5929" s="3565">
        <v>16726.21</v>
      </c>
      <c r="M5929" s="3565">
        <v>0</v>
      </c>
      <c r="N5929" s="3565">
        <v>0</v>
      </c>
      <c r="O5929" s="3563" t="s">
        <v>3453</v>
      </c>
    </row>
    <row r="5930" spans="1:15">
      <c r="A5930" s="3563" t="s">
        <v>10173</v>
      </c>
      <c r="B5930" s="3563" t="s">
        <v>4196</v>
      </c>
      <c r="C5930" s="3563" t="s">
        <v>4197</v>
      </c>
      <c r="D5930" s="3563" t="s">
        <v>6429</v>
      </c>
      <c r="E5930" s="3563" t="s">
        <v>10163</v>
      </c>
      <c r="F5930" s="3563" t="s">
        <v>4949</v>
      </c>
      <c r="G5930" s="3564">
        <v>111.88</v>
      </c>
      <c r="H5930" s="3564">
        <v>91.75</v>
      </c>
      <c r="I5930" s="3564">
        <v>20.13</v>
      </c>
      <c r="J5930" s="3565">
        <v>1748830</v>
      </c>
      <c r="K5930" s="3565">
        <v>15631.3</v>
      </c>
      <c r="L5930" s="3565">
        <v>19060.82</v>
      </c>
      <c r="M5930" s="3565">
        <v>0</v>
      </c>
      <c r="N5930" s="3565">
        <v>0</v>
      </c>
      <c r="O5930" s="3563" t="s">
        <v>3453</v>
      </c>
    </row>
    <row r="5931" spans="1:15">
      <c r="A5931" s="3563" t="s">
        <v>10174</v>
      </c>
      <c r="B5931" s="3563" t="s">
        <v>4196</v>
      </c>
      <c r="C5931" s="3563" t="s">
        <v>4197</v>
      </c>
      <c r="D5931" s="3563" t="s">
        <v>6429</v>
      </c>
      <c r="E5931" s="3563" t="s">
        <v>10163</v>
      </c>
      <c r="F5931" s="3563" t="s">
        <v>4949</v>
      </c>
      <c r="G5931" s="3564">
        <v>111.88</v>
      </c>
      <c r="H5931" s="3564">
        <v>91.75</v>
      </c>
      <c r="I5931" s="3564">
        <v>20.13</v>
      </c>
      <c r="J5931" s="3565">
        <v>1689320</v>
      </c>
      <c r="K5931" s="3565">
        <v>15099.39</v>
      </c>
      <c r="L5931" s="3565">
        <v>18412.21</v>
      </c>
      <c r="M5931" s="3565">
        <v>0</v>
      </c>
      <c r="N5931" s="3565">
        <v>0</v>
      </c>
      <c r="O5931" s="3563" t="s">
        <v>3453</v>
      </c>
    </row>
    <row r="5932" spans="1:15">
      <c r="A5932" s="3563" t="s">
        <v>10175</v>
      </c>
      <c r="B5932" s="3563" t="s">
        <v>4196</v>
      </c>
      <c r="C5932" s="3563" t="s">
        <v>4197</v>
      </c>
      <c r="D5932" s="3563" t="s">
        <v>6429</v>
      </c>
      <c r="E5932" s="3563" t="s">
        <v>10176</v>
      </c>
      <c r="F5932" s="3563" t="s">
        <v>4949</v>
      </c>
      <c r="G5932" s="3564">
        <v>141.97999999999999</v>
      </c>
      <c r="H5932" s="3564">
        <v>119.17</v>
      </c>
      <c r="I5932" s="3564">
        <v>22.81</v>
      </c>
      <c r="J5932" s="3565">
        <v>1928273</v>
      </c>
      <c r="K5932" s="3565">
        <v>13581.3</v>
      </c>
      <c r="L5932" s="3565">
        <v>16180.86</v>
      </c>
      <c r="M5932" s="3565">
        <v>0</v>
      </c>
      <c r="N5932" s="3565">
        <v>0</v>
      </c>
      <c r="O5932" s="3563" t="s">
        <v>3453</v>
      </c>
    </row>
    <row r="5933" spans="1:15">
      <c r="A5933" s="3563" t="s">
        <v>10177</v>
      </c>
      <c r="B5933" s="3563" t="s">
        <v>4196</v>
      </c>
      <c r="C5933" s="3563" t="s">
        <v>4197</v>
      </c>
      <c r="D5933" s="3563" t="s">
        <v>6429</v>
      </c>
      <c r="E5933" s="3563" t="s">
        <v>10176</v>
      </c>
      <c r="F5933" s="3563" t="s">
        <v>4949</v>
      </c>
      <c r="G5933" s="3564">
        <v>141.97999999999999</v>
      </c>
      <c r="H5933" s="3564">
        <v>119.17</v>
      </c>
      <c r="I5933" s="3564">
        <v>22.81</v>
      </c>
      <c r="J5933" s="3565">
        <v>2176358</v>
      </c>
      <c r="K5933" s="3565">
        <v>15328.62</v>
      </c>
      <c r="L5933" s="3565">
        <v>18262.63</v>
      </c>
      <c r="M5933" s="3565">
        <v>0</v>
      </c>
      <c r="N5933" s="3565">
        <v>0</v>
      </c>
      <c r="O5933" s="3563" t="s">
        <v>3453</v>
      </c>
    </row>
    <row r="5934" spans="1:15">
      <c r="A5934" s="3563" t="s">
        <v>10178</v>
      </c>
      <c r="B5934" s="3563" t="s">
        <v>4196</v>
      </c>
      <c r="C5934" s="3563" t="s">
        <v>4197</v>
      </c>
      <c r="D5934" s="3563" t="s">
        <v>6429</v>
      </c>
      <c r="E5934" s="3563" t="s">
        <v>10176</v>
      </c>
      <c r="F5934" s="3563" t="s">
        <v>4949</v>
      </c>
      <c r="G5934" s="3564">
        <v>111.88</v>
      </c>
      <c r="H5934" s="3564">
        <v>91.75</v>
      </c>
      <c r="I5934" s="3564">
        <v>20.13</v>
      </c>
      <c r="J5934" s="3565">
        <v>1629809</v>
      </c>
      <c r="K5934" s="3565">
        <v>14567.47</v>
      </c>
      <c r="L5934" s="3565">
        <v>17763.59</v>
      </c>
      <c r="M5934" s="3565">
        <v>0</v>
      </c>
      <c r="N5934" s="3565">
        <v>0</v>
      </c>
      <c r="O5934" s="3563" t="s">
        <v>3453</v>
      </c>
    </row>
    <row r="5935" spans="1:15">
      <c r="A5935" s="3563" t="s">
        <v>10179</v>
      </c>
      <c r="B5935" s="3563" t="s">
        <v>4196</v>
      </c>
      <c r="C5935" s="3563" t="s">
        <v>4197</v>
      </c>
      <c r="D5935" s="3563" t="s">
        <v>6429</v>
      </c>
      <c r="E5935" s="3563" t="s">
        <v>10176</v>
      </c>
      <c r="F5935" s="3563" t="s">
        <v>4949</v>
      </c>
      <c r="G5935" s="3564">
        <v>111.88</v>
      </c>
      <c r="H5935" s="3564">
        <v>91.75</v>
      </c>
      <c r="I5935" s="3564">
        <v>20.13</v>
      </c>
      <c r="J5935" s="3565">
        <v>1689320</v>
      </c>
      <c r="K5935" s="3565">
        <v>15099.39</v>
      </c>
      <c r="L5935" s="3565">
        <v>18412.21</v>
      </c>
      <c r="M5935" s="3565">
        <v>0</v>
      </c>
      <c r="N5935" s="3565">
        <v>0</v>
      </c>
      <c r="O5935" s="3563" t="s">
        <v>3453</v>
      </c>
    </row>
    <row r="5936" spans="1:15">
      <c r="A5936" s="3563" t="s">
        <v>10180</v>
      </c>
      <c r="B5936" s="3563" t="s">
        <v>4196</v>
      </c>
      <c r="C5936" s="3563" t="s">
        <v>4197</v>
      </c>
      <c r="D5936" s="3563" t="s">
        <v>6429</v>
      </c>
      <c r="E5936" s="3563" t="s">
        <v>10176</v>
      </c>
      <c r="F5936" s="3563" t="s">
        <v>4949</v>
      </c>
      <c r="G5936" s="3564">
        <v>141.97999999999999</v>
      </c>
      <c r="H5936" s="3564">
        <v>119.17</v>
      </c>
      <c r="I5936" s="3564">
        <v>22.81</v>
      </c>
      <c r="J5936" s="3565">
        <v>1928018</v>
      </c>
      <c r="K5936" s="3565">
        <v>13579.5</v>
      </c>
      <c r="L5936" s="3565">
        <v>16178.72</v>
      </c>
      <c r="M5936" s="3565">
        <v>0</v>
      </c>
      <c r="N5936" s="3565">
        <v>0</v>
      </c>
      <c r="O5936" s="3563" t="s">
        <v>3453</v>
      </c>
    </row>
    <row r="5937" spans="1:15">
      <c r="A5937" s="3563" t="s">
        <v>10181</v>
      </c>
      <c r="B5937" s="3563" t="s">
        <v>4196</v>
      </c>
      <c r="C5937" s="3563" t="s">
        <v>4197</v>
      </c>
      <c r="D5937" s="3563" t="s">
        <v>6429</v>
      </c>
      <c r="E5937" s="3563" t="s">
        <v>10176</v>
      </c>
      <c r="F5937" s="3563" t="s">
        <v>4949</v>
      </c>
      <c r="G5937" s="3564">
        <v>141.97999999999999</v>
      </c>
      <c r="H5937" s="3564">
        <v>119.17</v>
      </c>
      <c r="I5937" s="3564">
        <v>22.81</v>
      </c>
      <c r="J5937" s="3565">
        <v>1929039</v>
      </c>
      <c r="K5937" s="3565">
        <v>13586.7</v>
      </c>
      <c r="L5937" s="3565">
        <v>16187.29</v>
      </c>
      <c r="M5937" s="3565">
        <v>0</v>
      </c>
      <c r="N5937" s="3565">
        <v>0</v>
      </c>
      <c r="O5937" s="3563" t="s">
        <v>3453</v>
      </c>
    </row>
    <row r="5938" spans="1:15">
      <c r="A5938" s="3563" t="s">
        <v>10182</v>
      </c>
      <c r="B5938" s="3563" t="s">
        <v>4196</v>
      </c>
      <c r="C5938" s="3563" t="s">
        <v>4197</v>
      </c>
      <c r="D5938" s="3563" t="s">
        <v>6429</v>
      </c>
      <c r="E5938" s="3563" t="s">
        <v>10176</v>
      </c>
      <c r="F5938" s="3563" t="s">
        <v>4949</v>
      </c>
      <c r="G5938" s="3564">
        <v>111.88</v>
      </c>
      <c r="H5938" s="3564">
        <v>91.75</v>
      </c>
      <c r="I5938" s="3564">
        <v>20.13</v>
      </c>
      <c r="J5938" s="3565">
        <v>1629809</v>
      </c>
      <c r="K5938" s="3565">
        <v>14567.47</v>
      </c>
      <c r="L5938" s="3565">
        <v>17763.59</v>
      </c>
      <c r="M5938" s="3565">
        <v>0</v>
      </c>
      <c r="N5938" s="3565">
        <v>0</v>
      </c>
      <c r="O5938" s="3563" t="s">
        <v>3453</v>
      </c>
    </row>
    <row r="5939" spans="1:15">
      <c r="A5939" s="3563" t="s">
        <v>10183</v>
      </c>
      <c r="B5939" s="3563" t="s">
        <v>4196</v>
      </c>
      <c r="C5939" s="3563" t="s">
        <v>4197</v>
      </c>
      <c r="D5939" s="3563" t="s">
        <v>6429</v>
      </c>
      <c r="E5939" s="3563" t="s">
        <v>10176</v>
      </c>
      <c r="F5939" s="3563" t="s">
        <v>4949</v>
      </c>
      <c r="G5939" s="3564">
        <v>111.88</v>
      </c>
      <c r="H5939" s="3564">
        <v>91.75</v>
      </c>
      <c r="I5939" s="3564">
        <v>20.13</v>
      </c>
      <c r="J5939" s="3565">
        <v>1629809</v>
      </c>
      <c r="K5939" s="3565">
        <v>14567.47</v>
      </c>
      <c r="L5939" s="3565">
        <v>17763.59</v>
      </c>
      <c r="M5939" s="3565">
        <v>0</v>
      </c>
      <c r="N5939" s="3565">
        <v>0</v>
      </c>
      <c r="O5939" s="3563" t="s">
        <v>3453</v>
      </c>
    </row>
    <row r="5940" spans="1:15">
      <c r="A5940" s="3563" t="s">
        <v>10184</v>
      </c>
      <c r="B5940" s="3563" t="s">
        <v>4196</v>
      </c>
      <c r="C5940" s="3563" t="s">
        <v>4197</v>
      </c>
      <c r="D5940" s="3563" t="s">
        <v>6429</v>
      </c>
      <c r="E5940" s="3563" t="s">
        <v>10176</v>
      </c>
      <c r="F5940" s="3563" t="s">
        <v>4949</v>
      </c>
      <c r="G5940" s="3564">
        <v>141.97999999999999</v>
      </c>
      <c r="H5940" s="3564">
        <v>119.17</v>
      </c>
      <c r="I5940" s="3564">
        <v>22.81</v>
      </c>
      <c r="J5940" s="3565">
        <v>1956018</v>
      </c>
      <c r="K5940" s="3565">
        <v>13776.72</v>
      </c>
      <c r="L5940" s="3565">
        <v>16413.68</v>
      </c>
      <c r="M5940" s="3565">
        <v>0</v>
      </c>
      <c r="N5940" s="3565">
        <v>0</v>
      </c>
      <c r="O5940" s="3563" t="s">
        <v>3453</v>
      </c>
    </row>
    <row r="5941" spans="1:15">
      <c r="A5941" s="3563" t="s">
        <v>10185</v>
      </c>
      <c r="B5941" s="3563" t="s">
        <v>4196</v>
      </c>
      <c r="C5941" s="3563" t="s">
        <v>4197</v>
      </c>
      <c r="D5941" s="3563" t="s">
        <v>6429</v>
      </c>
      <c r="E5941" s="3563" t="s">
        <v>10176</v>
      </c>
      <c r="F5941" s="3563" t="s">
        <v>4949</v>
      </c>
      <c r="G5941" s="3564">
        <v>141.97999999999999</v>
      </c>
      <c r="H5941" s="3564">
        <v>119.17</v>
      </c>
      <c r="I5941" s="3564">
        <v>22.81</v>
      </c>
      <c r="J5941" s="3565">
        <v>1928018</v>
      </c>
      <c r="K5941" s="3565">
        <v>13579.5</v>
      </c>
      <c r="L5941" s="3565">
        <v>16178.72</v>
      </c>
      <c r="M5941" s="3565">
        <v>0</v>
      </c>
      <c r="N5941" s="3565">
        <v>0</v>
      </c>
      <c r="O5941" s="3563" t="s">
        <v>3453</v>
      </c>
    </row>
    <row r="5942" spans="1:15">
      <c r="A5942" s="3563" t="s">
        <v>10186</v>
      </c>
      <c r="B5942" s="3563" t="s">
        <v>4196</v>
      </c>
      <c r="C5942" s="3563" t="s">
        <v>4197</v>
      </c>
      <c r="D5942" s="3563" t="s">
        <v>6429</v>
      </c>
      <c r="E5942" s="3563" t="s">
        <v>10176</v>
      </c>
      <c r="F5942" s="3563" t="s">
        <v>4949</v>
      </c>
      <c r="G5942" s="3564">
        <v>111.88</v>
      </c>
      <c r="H5942" s="3564">
        <v>91.75</v>
      </c>
      <c r="I5942" s="3564">
        <v>20.13</v>
      </c>
      <c r="J5942" s="3565">
        <v>1689320</v>
      </c>
      <c r="K5942" s="3565">
        <v>15099.39</v>
      </c>
      <c r="L5942" s="3565">
        <v>18412.21</v>
      </c>
      <c r="M5942" s="3565">
        <v>0</v>
      </c>
      <c r="N5942" s="3565">
        <v>0</v>
      </c>
      <c r="O5942" s="3563" t="s">
        <v>3453</v>
      </c>
    </row>
    <row r="5943" spans="1:15">
      <c r="A5943" s="3563" t="s">
        <v>10187</v>
      </c>
      <c r="B5943" s="3563" t="s">
        <v>4196</v>
      </c>
      <c r="C5943" s="3563" t="s">
        <v>4197</v>
      </c>
      <c r="D5943" s="3563" t="s">
        <v>6429</v>
      </c>
      <c r="E5943" s="3563" t="s">
        <v>10176</v>
      </c>
      <c r="F5943" s="3563" t="s">
        <v>4949</v>
      </c>
      <c r="G5943" s="3564">
        <v>111.88</v>
      </c>
      <c r="H5943" s="3564">
        <v>91.75</v>
      </c>
      <c r="I5943" s="3564">
        <v>20.13</v>
      </c>
      <c r="J5943" s="3565">
        <v>1629809</v>
      </c>
      <c r="K5943" s="3565">
        <v>14567.47</v>
      </c>
      <c r="L5943" s="3565">
        <v>17763.59</v>
      </c>
      <c r="M5943" s="3565">
        <v>0</v>
      </c>
      <c r="N5943" s="3565">
        <v>0</v>
      </c>
      <c r="O5943" s="3563" t="s">
        <v>3453</v>
      </c>
    </row>
    <row r="5944" spans="1:15">
      <c r="A5944" s="3563" t="s">
        <v>10188</v>
      </c>
      <c r="B5944" s="3563" t="s">
        <v>4196</v>
      </c>
      <c r="C5944" s="3563" t="s">
        <v>4197</v>
      </c>
      <c r="D5944" s="3563" t="s">
        <v>6429</v>
      </c>
      <c r="E5944" s="3563" t="s">
        <v>10189</v>
      </c>
      <c r="F5944" s="3563" t="s">
        <v>4949</v>
      </c>
      <c r="G5944" s="3564">
        <v>141.97999999999999</v>
      </c>
      <c r="H5944" s="3564">
        <v>119.17</v>
      </c>
      <c r="I5944" s="3564">
        <v>22.81</v>
      </c>
      <c r="J5944" s="3565">
        <v>1886656</v>
      </c>
      <c r="K5944" s="3565">
        <v>13288.18</v>
      </c>
      <c r="L5944" s="3565">
        <v>15831.64</v>
      </c>
      <c r="M5944" s="3565">
        <v>0</v>
      </c>
      <c r="N5944" s="3565">
        <v>0</v>
      </c>
      <c r="O5944" s="3563" t="s">
        <v>3453</v>
      </c>
    </row>
    <row r="5945" spans="1:15">
      <c r="A5945" s="3563" t="s">
        <v>10190</v>
      </c>
      <c r="B5945" s="3563" t="s">
        <v>4196</v>
      </c>
      <c r="C5945" s="3563" t="s">
        <v>4197</v>
      </c>
      <c r="D5945" s="3563" t="s">
        <v>6429</v>
      </c>
      <c r="E5945" s="3563" t="s">
        <v>10189</v>
      </c>
      <c r="F5945" s="3563" t="s">
        <v>4949</v>
      </c>
      <c r="G5945" s="3564">
        <v>141.97999999999999</v>
      </c>
      <c r="H5945" s="3564">
        <v>119.17</v>
      </c>
      <c r="I5945" s="3564">
        <v>22.81</v>
      </c>
      <c r="J5945" s="3565">
        <v>2117762</v>
      </c>
      <c r="K5945" s="3565">
        <v>14915.92</v>
      </c>
      <c r="L5945" s="3565">
        <v>17770.93</v>
      </c>
      <c r="M5945" s="3565">
        <v>0</v>
      </c>
      <c r="N5945" s="3565">
        <v>0</v>
      </c>
      <c r="O5945" s="3563" t="s">
        <v>3453</v>
      </c>
    </row>
    <row r="5946" spans="1:15">
      <c r="A5946" s="3563" t="s">
        <v>10191</v>
      </c>
      <c r="B5946" s="3563" t="s">
        <v>4196</v>
      </c>
      <c r="C5946" s="3563" t="s">
        <v>4197</v>
      </c>
      <c r="D5946" s="3563" t="s">
        <v>6429</v>
      </c>
      <c r="E5946" s="3563" t="s">
        <v>10189</v>
      </c>
      <c r="F5946" s="3563" t="s">
        <v>4949</v>
      </c>
      <c r="G5946" s="3564">
        <v>111.88</v>
      </c>
      <c r="H5946" s="3564">
        <v>91.75</v>
      </c>
      <c r="I5946" s="3564">
        <v>20.13</v>
      </c>
      <c r="J5946" s="3565">
        <v>1629809</v>
      </c>
      <c r="K5946" s="3565">
        <v>14567.47</v>
      </c>
      <c r="L5946" s="3565">
        <v>17763.59</v>
      </c>
      <c r="M5946" s="3565">
        <v>0</v>
      </c>
      <c r="N5946" s="3565">
        <v>0</v>
      </c>
      <c r="O5946" s="3563" t="s">
        <v>3453</v>
      </c>
    </row>
    <row r="5947" spans="1:15">
      <c r="A5947" s="3563" t="s">
        <v>10192</v>
      </c>
      <c r="B5947" s="3563" t="s">
        <v>4196</v>
      </c>
      <c r="C5947" s="3563" t="s">
        <v>4197</v>
      </c>
      <c r="D5947" s="3563" t="s">
        <v>6429</v>
      </c>
      <c r="E5947" s="3563" t="s">
        <v>10189</v>
      </c>
      <c r="F5947" s="3563" t="s">
        <v>4949</v>
      </c>
      <c r="G5947" s="3564">
        <v>111.88</v>
      </c>
      <c r="H5947" s="3564">
        <v>91.75</v>
      </c>
      <c r="I5947" s="3564">
        <v>20.13</v>
      </c>
      <c r="J5947" s="3565">
        <v>1689320</v>
      </c>
      <c r="K5947" s="3565">
        <v>15099.39</v>
      </c>
      <c r="L5947" s="3565">
        <v>18412.21</v>
      </c>
      <c r="M5947" s="3565">
        <v>0</v>
      </c>
      <c r="N5947" s="3565">
        <v>0</v>
      </c>
      <c r="O5947" s="3563" t="s">
        <v>3453</v>
      </c>
    </row>
    <row r="5948" spans="1:15">
      <c r="A5948" s="3563" t="s">
        <v>10193</v>
      </c>
      <c r="B5948" s="3563" t="s">
        <v>4196</v>
      </c>
      <c r="C5948" s="3563" t="s">
        <v>4197</v>
      </c>
      <c r="D5948" s="3563" t="s">
        <v>6429</v>
      </c>
      <c r="E5948" s="3563" t="s">
        <v>10189</v>
      </c>
      <c r="F5948" s="3563" t="s">
        <v>4949</v>
      </c>
      <c r="G5948" s="3564">
        <v>141.97999999999999</v>
      </c>
      <c r="H5948" s="3564">
        <v>119.17</v>
      </c>
      <c r="I5948" s="3564">
        <v>22.81</v>
      </c>
      <c r="J5948" s="3565">
        <v>1876188</v>
      </c>
      <c r="K5948" s="3565">
        <v>13214.45</v>
      </c>
      <c r="L5948" s="3565">
        <v>15743.79</v>
      </c>
      <c r="M5948" s="3565">
        <v>0</v>
      </c>
      <c r="N5948" s="3565">
        <v>0</v>
      </c>
      <c r="O5948" s="3563" t="s">
        <v>3453</v>
      </c>
    </row>
    <row r="5949" spans="1:15">
      <c r="A5949" s="3563" t="s">
        <v>10194</v>
      </c>
      <c r="B5949" s="3563" t="s">
        <v>4196</v>
      </c>
      <c r="C5949" s="3563" t="s">
        <v>4197</v>
      </c>
      <c r="D5949" s="3563" t="s">
        <v>6429</v>
      </c>
      <c r="E5949" s="3563" t="s">
        <v>10189</v>
      </c>
      <c r="F5949" s="3563" t="s">
        <v>4949</v>
      </c>
      <c r="G5949" s="3564">
        <v>141.97999999999999</v>
      </c>
      <c r="H5949" s="3564">
        <v>119.17</v>
      </c>
      <c r="I5949" s="3564">
        <v>22.81</v>
      </c>
      <c r="J5949" s="3565">
        <v>1887422</v>
      </c>
      <c r="K5949" s="3565">
        <v>13293.58</v>
      </c>
      <c r="L5949" s="3565">
        <v>15838.06</v>
      </c>
      <c r="M5949" s="3565">
        <v>0</v>
      </c>
      <c r="N5949" s="3565">
        <v>0</v>
      </c>
      <c r="O5949" s="3563" t="s">
        <v>3453</v>
      </c>
    </row>
    <row r="5950" spans="1:15">
      <c r="A5950" s="3563" t="s">
        <v>10195</v>
      </c>
      <c r="B5950" s="3563" t="s">
        <v>4196</v>
      </c>
      <c r="C5950" s="3563" t="s">
        <v>4197</v>
      </c>
      <c r="D5950" s="3563" t="s">
        <v>6429</v>
      </c>
      <c r="E5950" s="3563" t="s">
        <v>10189</v>
      </c>
      <c r="F5950" s="3563" t="s">
        <v>4949</v>
      </c>
      <c r="G5950" s="3564">
        <v>111.88</v>
      </c>
      <c r="H5950" s="3564">
        <v>91.75</v>
      </c>
      <c r="I5950" s="3564">
        <v>20.13</v>
      </c>
      <c r="J5950" s="3565">
        <v>1629809</v>
      </c>
      <c r="K5950" s="3565">
        <v>14567.47</v>
      </c>
      <c r="L5950" s="3565">
        <v>17763.59</v>
      </c>
      <c r="M5950" s="3565">
        <v>0</v>
      </c>
      <c r="N5950" s="3565">
        <v>0</v>
      </c>
      <c r="O5950" s="3563" t="s">
        <v>3453</v>
      </c>
    </row>
    <row r="5951" spans="1:15">
      <c r="A5951" s="3563" t="s">
        <v>10196</v>
      </c>
      <c r="B5951" s="3563" t="s">
        <v>4196</v>
      </c>
      <c r="C5951" s="3563" t="s">
        <v>4197</v>
      </c>
      <c r="D5951" s="3563" t="s">
        <v>6429</v>
      </c>
      <c r="E5951" s="3563" t="s">
        <v>10189</v>
      </c>
      <c r="F5951" s="3563" t="s">
        <v>4949</v>
      </c>
      <c r="G5951" s="3564">
        <v>111.88</v>
      </c>
      <c r="H5951" s="3564">
        <v>91.75</v>
      </c>
      <c r="I5951" s="3564">
        <v>20.13</v>
      </c>
      <c r="J5951" s="3565">
        <v>1629809</v>
      </c>
      <c r="K5951" s="3565">
        <v>14567.47</v>
      </c>
      <c r="L5951" s="3565">
        <v>17763.59</v>
      </c>
      <c r="M5951" s="3565">
        <v>0</v>
      </c>
      <c r="N5951" s="3565">
        <v>0</v>
      </c>
      <c r="O5951" s="3563" t="s">
        <v>3453</v>
      </c>
    </row>
    <row r="5952" spans="1:15">
      <c r="A5952" s="3563" t="s">
        <v>10197</v>
      </c>
      <c r="B5952" s="3563" t="s">
        <v>4196</v>
      </c>
      <c r="C5952" s="3563" t="s">
        <v>4197</v>
      </c>
      <c r="D5952" s="3563" t="s">
        <v>6429</v>
      </c>
      <c r="E5952" s="3563" t="s">
        <v>10189</v>
      </c>
      <c r="F5952" s="3563" t="s">
        <v>4949</v>
      </c>
      <c r="G5952" s="3564">
        <v>141.97999999999999</v>
      </c>
      <c r="H5952" s="3564">
        <v>119.17</v>
      </c>
      <c r="I5952" s="3564">
        <v>22.81</v>
      </c>
      <c r="J5952" s="3565">
        <v>2013081</v>
      </c>
      <c r="K5952" s="3565">
        <v>14178.62</v>
      </c>
      <c r="L5952" s="3565">
        <v>16892.509999999998</v>
      </c>
      <c r="M5952" s="3565">
        <v>0</v>
      </c>
      <c r="N5952" s="3565">
        <v>0</v>
      </c>
      <c r="O5952" s="3563" t="s">
        <v>3453</v>
      </c>
    </row>
    <row r="5953" spans="1:15">
      <c r="A5953" s="3563" t="s">
        <v>10198</v>
      </c>
      <c r="B5953" s="3563" t="s">
        <v>4196</v>
      </c>
      <c r="C5953" s="3563" t="s">
        <v>4197</v>
      </c>
      <c r="D5953" s="3563" t="s">
        <v>6429</v>
      </c>
      <c r="E5953" s="3563" t="s">
        <v>10189</v>
      </c>
      <c r="F5953" s="3563" t="s">
        <v>4949</v>
      </c>
      <c r="G5953" s="3564">
        <v>141.97999999999999</v>
      </c>
      <c r="H5953" s="3564">
        <v>119.17</v>
      </c>
      <c r="I5953" s="3564">
        <v>22.81</v>
      </c>
      <c r="J5953" s="3565">
        <v>1876188</v>
      </c>
      <c r="K5953" s="3565">
        <v>13214.45</v>
      </c>
      <c r="L5953" s="3565">
        <v>15743.79</v>
      </c>
      <c r="M5953" s="3565">
        <v>0</v>
      </c>
      <c r="N5953" s="3565">
        <v>0</v>
      </c>
      <c r="O5953" s="3563" t="s">
        <v>3453</v>
      </c>
    </row>
    <row r="5954" spans="1:15">
      <c r="A5954" s="3563" t="s">
        <v>10199</v>
      </c>
      <c r="B5954" s="3563" t="s">
        <v>4196</v>
      </c>
      <c r="C5954" s="3563" t="s">
        <v>4197</v>
      </c>
      <c r="D5954" s="3563" t="s">
        <v>6429</v>
      </c>
      <c r="E5954" s="3563" t="s">
        <v>10189</v>
      </c>
      <c r="F5954" s="3563" t="s">
        <v>4949</v>
      </c>
      <c r="G5954" s="3564">
        <v>111.88</v>
      </c>
      <c r="H5954" s="3564">
        <v>91.75</v>
      </c>
      <c r="I5954" s="3564">
        <v>20.13</v>
      </c>
      <c r="J5954" s="3565">
        <v>1689320</v>
      </c>
      <c r="K5954" s="3565">
        <v>15099.39</v>
      </c>
      <c r="L5954" s="3565">
        <v>18412.21</v>
      </c>
      <c r="M5954" s="3565">
        <v>0</v>
      </c>
      <c r="N5954" s="3565">
        <v>0</v>
      </c>
      <c r="O5954" s="3563" t="s">
        <v>3453</v>
      </c>
    </row>
    <row r="5955" spans="1:15">
      <c r="A5955" s="3563" t="s">
        <v>10200</v>
      </c>
      <c r="B5955" s="3563" t="s">
        <v>4196</v>
      </c>
      <c r="C5955" s="3563" t="s">
        <v>4197</v>
      </c>
      <c r="D5955" s="3563" t="s">
        <v>6429</v>
      </c>
      <c r="E5955" s="3563" t="s">
        <v>10189</v>
      </c>
      <c r="F5955" s="3563" t="s">
        <v>4949</v>
      </c>
      <c r="G5955" s="3564">
        <v>111.88</v>
      </c>
      <c r="H5955" s="3564">
        <v>91.75</v>
      </c>
      <c r="I5955" s="3564">
        <v>20.13</v>
      </c>
      <c r="J5955" s="3565">
        <v>1629809</v>
      </c>
      <c r="K5955" s="3565">
        <v>14567.47</v>
      </c>
      <c r="L5955" s="3565">
        <v>17763.59</v>
      </c>
      <c r="M5955" s="3565">
        <v>0</v>
      </c>
      <c r="N5955" s="3565">
        <v>0</v>
      </c>
      <c r="O5955" s="3563" t="s">
        <v>3453</v>
      </c>
    </row>
    <row r="5956" spans="1:15">
      <c r="A5956" s="3563" t="s">
        <v>10201</v>
      </c>
      <c r="B5956" s="3563" t="s">
        <v>4196</v>
      </c>
      <c r="C5956" s="3563" t="s">
        <v>4197</v>
      </c>
      <c r="D5956" s="3563" t="s">
        <v>6429</v>
      </c>
      <c r="E5956" s="3563" t="s">
        <v>10202</v>
      </c>
      <c r="F5956" s="3563" t="s">
        <v>4949</v>
      </c>
      <c r="G5956" s="3564">
        <v>142.15</v>
      </c>
      <c r="H5956" s="3564">
        <v>119.17</v>
      </c>
      <c r="I5956" s="3564">
        <v>22.98</v>
      </c>
      <c r="J5956" s="3565">
        <v>1962422</v>
      </c>
      <c r="K5956" s="3565">
        <v>13805.29</v>
      </c>
      <c r="L5956" s="3565">
        <v>16467.419999999998</v>
      </c>
      <c r="M5956" s="3565">
        <v>0</v>
      </c>
      <c r="N5956" s="3565">
        <v>0</v>
      </c>
      <c r="O5956" s="3563" t="s">
        <v>3453</v>
      </c>
    </row>
    <row r="5957" spans="1:15">
      <c r="A5957" s="3563" t="s">
        <v>10203</v>
      </c>
      <c r="B5957" s="3563" t="s">
        <v>4196</v>
      </c>
      <c r="C5957" s="3563" t="s">
        <v>4197</v>
      </c>
      <c r="D5957" s="3563" t="s">
        <v>6429</v>
      </c>
      <c r="E5957" s="3563" t="s">
        <v>10202</v>
      </c>
      <c r="F5957" s="3563" t="s">
        <v>4949</v>
      </c>
      <c r="G5957" s="3564">
        <v>142.15</v>
      </c>
      <c r="H5957" s="3564">
        <v>119.17</v>
      </c>
      <c r="I5957" s="3564">
        <v>22.98</v>
      </c>
      <c r="J5957" s="3565">
        <v>2014768</v>
      </c>
      <c r="K5957" s="3565">
        <v>14173.53</v>
      </c>
      <c r="L5957" s="3565">
        <v>16906.669999999998</v>
      </c>
      <c r="M5957" s="3565">
        <v>0</v>
      </c>
      <c r="N5957" s="3565">
        <v>0</v>
      </c>
      <c r="O5957" s="3563" t="s">
        <v>3453</v>
      </c>
    </row>
    <row r="5958" spans="1:15">
      <c r="A5958" s="3563" t="s">
        <v>10204</v>
      </c>
      <c r="B5958" s="3563" t="s">
        <v>4196</v>
      </c>
      <c r="C5958" s="3563" t="s">
        <v>4197</v>
      </c>
      <c r="D5958" s="3563" t="s">
        <v>6429</v>
      </c>
      <c r="E5958" s="3563" t="s">
        <v>10202</v>
      </c>
      <c r="F5958" s="3563" t="s">
        <v>4949</v>
      </c>
      <c r="G5958" s="3564">
        <v>112.01</v>
      </c>
      <c r="H5958" s="3564">
        <v>91.75</v>
      </c>
      <c r="I5958" s="3564">
        <v>20.260000000000002</v>
      </c>
      <c r="J5958" s="3565">
        <v>1666897</v>
      </c>
      <c r="K5958" s="3565">
        <v>14881.68</v>
      </c>
      <c r="L5958" s="3565">
        <v>18167.810000000001</v>
      </c>
      <c r="M5958" s="3565">
        <v>0</v>
      </c>
      <c r="N5958" s="3565">
        <v>0</v>
      </c>
      <c r="O5958" s="3563" t="s">
        <v>3453</v>
      </c>
    </row>
    <row r="5959" spans="1:15">
      <c r="A5959" s="3563" t="s">
        <v>10205</v>
      </c>
      <c r="B5959" s="3563" t="s">
        <v>4196</v>
      </c>
      <c r="C5959" s="3563" t="s">
        <v>4197</v>
      </c>
      <c r="D5959" s="3563" t="s">
        <v>6429</v>
      </c>
      <c r="E5959" s="3563" t="s">
        <v>10202</v>
      </c>
      <c r="F5959" s="3563" t="s">
        <v>4949</v>
      </c>
      <c r="G5959" s="3564">
        <v>112.01</v>
      </c>
      <c r="H5959" s="3564">
        <v>91.75</v>
      </c>
      <c r="I5959" s="3564">
        <v>20.260000000000002</v>
      </c>
      <c r="J5959" s="3565">
        <v>1726477</v>
      </c>
      <c r="K5959" s="3565">
        <v>15413.6</v>
      </c>
      <c r="L5959" s="3565">
        <v>18817.189999999999</v>
      </c>
      <c r="M5959" s="3565">
        <v>0</v>
      </c>
      <c r="N5959" s="3565">
        <v>0</v>
      </c>
      <c r="O5959" s="3563" t="s">
        <v>3453</v>
      </c>
    </row>
    <row r="5960" spans="1:15">
      <c r="A5960" s="3563" t="s">
        <v>10206</v>
      </c>
      <c r="B5960" s="3563" t="s">
        <v>4196</v>
      </c>
      <c r="C5960" s="3563" t="s">
        <v>4197</v>
      </c>
      <c r="D5960" s="3563" t="s">
        <v>6429</v>
      </c>
      <c r="E5960" s="3563" t="s">
        <v>10202</v>
      </c>
      <c r="F5960" s="3563" t="s">
        <v>4949</v>
      </c>
      <c r="G5960" s="3564">
        <v>142.15</v>
      </c>
      <c r="H5960" s="3564">
        <v>119.17</v>
      </c>
      <c r="I5960" s="3564">
        <v>22.98</v>
      </c>
      <c r="J5960" s="3565">
        <v>1968805</v>
      </c>
      <c r="K5960" s="3565">
        <v>13850.19</v>
      </c>
      <c r="L5960" s="3565">
        <v>16520.98</v>
      </c>
      <c r="M5960" s="3565">
        <v>0</v>
      </c>
      <c r="N5960" s="3565">
        <v>0</v>
      </c>
      <c r="O5960" s="3563" t="s">
        <v>3453</v>
      </c>
    </row>
    <row r="5961" spans="1:15">
      <c r="A5961" s="3563" t="s">
        <v>10207</v>
      </c>
      <c r="B5961" s="3563" t="s">
        <v>4196</v>
      </c>
      <c r="C5961" s="3563" t="s">
        <v>4197</v>
      </c>
      <c r="D5961" s="3563" t="s">
        <v>6429</v>
      </c>
      <c r="E5961" s="3563" t="s">
        <v>10202</v>
      </c>
      <c r="F5961" s="3563" t="s">
        <v>4949</v>
      </c>
      <c r="G5961" s="3564">
        <v>142.15</v>
      </c>
      <c r="H5961" s="3564">
        <v>119.17</v>
      </c>
      <c r="I5961" s="3564">
        <v>22.98</v>
      </c>
      <c r="J5961" s="3565">
        <v>1962805</v>
      </c>
      <c r="K5961" s="3565">
        <v>13807.98</v>
      </c>
      <c r="L5961" s="3565">
        <v>16470.63</v>
      </c>
      <c r="M5961" s="3565">
        <v>0</v>
      </c>
      <c r="N5961" s="3565">
        <v>0</v>
      </c>
      <c r="O5961" s="3563" t="s">
        <v>3453</v>
      </c>
    </row>
    <row r="5962" spans="1:15">
      <c r="A5962" s="3563" t="s">
        <v>10208</v>
      </c>
      <c r="B5962" s="3563" t="s">
        <v>4196</v>
      </c>
      <c r="C5962" s="3563" t="s">
        <v>4197</v>
      </c>
      <c r="D5962" s="3563" t="s">
        <v>6429</v>
      </c>
      <c r="E5962" s="3563" t="s">
        <v>10202</v>
      </c>
      <c r="F5962" s="3563" t="s">
        <v>4949</v>
      </c>
      <c r="G5962" s="3564">
        <v>112.01</v>
      </c>
      <c r="H5962" s="3564">
        <v>91.75</v>
      </c>
      <c r="I5962" s="3564">
        <v>20.260000000000002</v>
      </c>
      <c r="J5962" s="3565">
        <v>1666897</v>
      </c>
      <c r="K5962" s="3565">
        <v>14881.68</v>
      </c>
      <c r="L5962" s="3565">
        <v>18167.810000000001</v>
      </c>
      <c r="M5962" s="3565">
        <v>0</v>
      </c>
      <c r="N5962" s="3565">
        <v>0</v>
      </c>
      <c r="O5962" s="3563" t="s">
        <v>3453</v>
      </c>
    </row>
    <row r="5963" spans="1:15">
      <c r="A5963" s="3563" t="s">
        <v>10209</v>
      </c>
      <c r="B5963" s="3563" t="s">
        <v>4196</v>
      </c>
      <c r="C5963" s="3563" t="s">
        <v>4197</v>
      </c>
      <c r="D5963" s="3563" t="s">
        <v>6429</v>
      </c>
      <c r="E5963" s="3563" t="s">
        <v>10202</v>
      </c>
      <c r="F5963" s="3563" t="s">
        <v>4949</v>
      </c>
      <c r="G5963" s="3564">
        <v>112.01</v>
      </c>
      <c r="H5963" s="3564">
        <v>91.75</v>
      </c>
      <c r="I5963" s="3564">
        <v>20.260000000000002</v>
      </c>
      <c r="J5963" s="3565">
        <v>1666897</v>
      </c>
      <c r="K5963" s="3565">
        <v>14881.68</v>
      </c>
      <c r="L5963" s="3565">
        <v>18167.810000000001</v>
      </c>
      <c r="M5963" s="3565">
        <v>0</v>
      </c>
      <c r="N5963" s="3565">
        <v>0</v>
      </c>
      <c r="O5963" s="3563" t="s">
        <v>3453</v>
      </c>
    </row>
    <row r="5964" spans="1:15">
      <c r="A5964" s="3563" t="s">
        <v>10210</v>
      </c>
      <c r="B5964" s="3563" t="s">
        <v>4196</v>
      </c>
      <c r="C5964" s="3563" t="s">
        <v>4197</v>
      </c>
      <c r="D5964" s="3563" t="s">
        <v>6429</v>
      </c>
      <c r="E5964" s="3563" t="s">
        <v>10202</v>
      </c>
      <c r="F5964" s="3563" t="s">
        <v>4949</v>
      </c>
      <c r="G5964" s="3564">
        <v>142.15</v>
      </c>
      <c r="H5964" s="3564">
        <v>119.17</v>
      </c>
      <c r="I5964" s="3564">
        <v>22.98</v>
      </c>
      <c r="J5964" s="3565">
        <v>1963826</v>
      </c>
      <c r="K5964" s="3565">
        <v>13815.17</v>
      </c>
      <c r="L5964" s="3565">
        <v>16479.2</v>
      </c>
      <c r="M5964" s="3565">
        <v>0</v>
      </c>
      <c r="N5964" s="3565">
        <v>0</v>
      </c>
      <c r="O5964" s="3563" t="s">
        <v>3453</v>
      </c>
    </row>
    <row r="5965" spans="1:15">
      <c r="A5965" s="3563" t="s">
        <v>10211</v>
      </c>
      <c r="B5965" s="3563" t="s">
        <v>4196</v>
      </c>
      <c r="C5965" s="3563" t="s">
        <v>4197</v>
      </c>
      <c r="D5965" s="3563" t="s">
        <v>6429</v>
      </c>
      <c r="E5965" s="3563" t="s">
        <v>10202</v>
      </c>
      <c r="F5965" s="3563" t="s">
        <v>4949</v>
      </c>
      <c r="G5965" s="3564">
        <v>142.15</v>
      </c>
      <c r="H5965" s="3564">
        <v>119.17</v>
      </c>
      <c r="I5965" s="3564">
        <v>22.98</v>
      </c>
      <c r="J5965" s="3565">
        <v>1969443</v>
      </c>
      <c r="K5965" s="3565">
        <v>13854.68</v>
      </c>
      <c r="L5965" s="3565">
        <v>16526.330000000002</v>
      </c>
      <c r="M5965" s="3565">
        <v>0</v>
      </c>
      <c r="N5965" s="3565">
        <v>0</v>
      </c>
      <c r="O5965" s="3563" t="s">
        <v>3453</v>
      </c>
    </row>
    <row r="5966" spans="1:15">
      <c r="A5966" s="3563" t="s">
        <v>10212</v>
      </c>
      <c r="B5966" s="3563" t="s">
        <v>4196</v>
      </c>
      <c r="C5966" s="3563" t="s">
        <v>4197</v>
      </c>
      <c r="D5966" s="3563" t="s">
        <v>6429</v>
      </c>
      <c r="E5966" s="3563" t="s">
        <v>10202</v>
      </c>
      <c r="F5966" s="3563" t="s">
        <v>4949</v>
      </c>
      <c r="G5966" s="3564">
        <v>112.01</v>
      </c>
      <c r="H5966" s="3564">
        <v>91.75</v>
      </c>
      <c r="I5966" s="3564">
        <v>20.260000000000002</v>
      </c>
      <c r="J5966" s="3565">
        <v>1666897</v>
      </c>
      <c r="K5966" s="3565">
        <v>14881.68</v>
      </c>
      <c r="L5966" s="3565">
        <v>18167.810000000001</v>
      </c>
      <c r="M5966" s="3565">
        <v>0</v>
      </c>
      <c r="N5966" s="3565">
        <v>0</v>
      </c>
      <c r="O5966" s="3563" t="s">
        <v>3453</v>
      </c>
    </row>
    <row r="5967" spans="1:15">
      <c r="A5967" s="3563" t="s">
        <v>10213</v>
      </c>
      <c r="B5967" s="3563" t="s">
        <v>4196</v>
      </c>
      <c r="C5967" s="3563" t="s">
        <v>4197</v>
      </c>
      <c r="D5967" s="3563" t="s">
        <v>6429</v>
      </c>
      <c r="E5967" s="3563" t="s">
        <v>10202</v>
      </c>
      <c r="F5967" s="3563" t="s">
        <v>4949</v>
      </c>
      <c r="G5967" s="3564">
        <v>112.01</v>
      </c>
      <c r="H5967" s="3564">
        <v>91.75</v>
      </c>
      <c r="I5967" s="3564">
        <v>20.260000000000002</v>
      </c>
      <c r="J5967" s="3565">
        <v>1666897</v>
      </c>
      <c r="K5967" s="3565">
        <v>14881.68</v>
      </c>
      <c r="L5967" s="3565">
        <v>18167.810000000001</v>
      </c>
      <c r="M5967" s="3565">
        <v>0</v>
      </c>
      <c r="N5967" s="3565">
        <v>0</v>
      </c>
      <c r="O5967" s="3563" t="s">
        <v>3453</v>
      </c>
    </row>
    <row r="5968" spans="1:15">
      <c r="A5968" s="3563" t="s">
        <v>10214</v>
      </c>
      <c r="B5968" s="3563" t="s">
        <v>4196</v>
      </c>
      <c r="C5968" s="3563" t="s">
        <v>4197</v>
      </c>
      <c r="D5968" s="3563" t="s">
        <v>6429</v>
      </c>
      <c r="E5968" s="3563" t="s">
        <v>10202</v>
      </c>
      <c r="F5968" s="3563" t="s">
        <v>4949</v>
      </c>
      <c r="G5968" s="3564">
        <v>142.15</v>
      </c>
      <c r="H5968" s="3564">
        <v>119.17</v>
      </c>
      <c r="I5968" s="3564">
        <v>22.98</v>
      </c>
      <c r="J5968" s="3565">
        <v>2137416</v>
      </c>
      <c r="K5968" s="3565">
        <v>15036.34</v>
      </c>
      <c r="L5968" s="3565">
        <v>17935.86</v>
      </c>
      <c r="M5968" s="3565">
        <v>0</v>
      </c>
      <c r="N5968" s="3565">
        <v>0</v>
      </c>
      <c r="O5968" s="3563" t="s">
        <v>3453</v>
      </c>
    </row>
    <row r="5969" spans="1:15">
      <c r="A5969" s="3563" t="s">
        <v>10215</v>
      </c>
      <c r="B5969" s="3563" t="s">
        <v>4196</v>
      </c>
      <c r="C5969" s="3563" t="s">
        <v>4197</v>
      </c>
      <c r="D5969" s="3563" t="s">
        <v>6429</v>
      </c>
      <c r="E5969" s="3563" t="s">
        <v>10202</v>
      </c>
      <c r="F5969" s="3563" t="s">
        <v>4949</v>
      </c>
      <c r="G5969" s="3564">
        <v>142.15</v>
      </c>
      <c r="H5969" s="3564">
        <v>119.17</v>
      </c>
      <c r="I5969" s="3564">
        <v>22.98</v>
      </c>
      <c r="J5969" s="3565">
        <v>1964241</v>
      </c>
      <c r="K5969" s="3565">
        <v>13818.09</v>
      </c>
      <c r="L5969" s="3565">
        <v>16482.68</v>
      </c>
      <c r="M5969" s="3565">
        <v>0</v>
      </c>
      <c r="N5969" s="3565">
        <v>0</v>
      </c>
      <c r="O5969" s="3563" t="s">
        <v>3453</v>
      </c>
    </row>
    <row r="5970" spans="1:15">
      <c r="A5970" s="3563" t="s">
        <v>10216</v>
      </c>
      <c r="B5970" s="3563" t="s">
        <v>4196</v>
      </c>
      <c r="C5970" s="3563" t="s">
        <v>4197</v>
      </c>
      <c r="D5970" s="3563" t="s">
        <v>6429</v>
      </c>
      <c r="E5970" s="3563" t="s">
        <v>10202</v>
      </c>
      <c r="F5970" s="3563" t="s">
        <v>4949</v>
      </c>
      <c r="G5970" s="3564">
        <v>112.01</v>
      </c>
      <c r="H5970" s="3564">
        <v>91.75</v>
      </c>
      <c r="I5970" s="3564">
        <v>20.260000000000002</v>
      </c>
      <c r="J5970" s="3565">
        <v>1726477</v>
      </c>
      <c r="K5970" s="3565">
        <v>15413.6</v>
      </c>
      <c r="L5970" s="3565">
        <v>18817.189999999999</v>
      </c>
      <c r="M5970" s="3565">
        <v>0</v>
      </c>
      <c r="N5970" s="3565">
        <v>0</v>
      </c>
      <c r="O5970" s="3563" t="s">
        <v>3453</v>
      </c>
    </row>
    <row r="5971" spans="1:15">
      <c r="A5971" s="3563" t="s">
        <v>10217</v>
      </c>
      <c r="B5971" s="3563" t="s">
        <v>4196</v>
      </c>
      <c r="C5971" s="3563" t="s">
        <v>4197</v>
      </c>
      <c r="D5971" s="3563" t="s">
        <v>6429</v>
      </c>
      <c r="E5971" s="3563" t="s">
        <v>10202</v>
      </c>
      <c r="F5971" s="3563" t="s">
        <v>4949</v>
      </c>
      <c r="G5971" s="3564">
        <v>112.01</v>
      </c>
      <c r="H5971" s="3564">
        <v>91.75</v>
      </c>
      <c r="I5971" s="3564">
        <v>20.260000000000002</v>
      </c>
      <c r="J5971" s="3565">
        <v>1666897</v>
      </c>
      <c r="K5971" s="3565">
        <v>14881.68</v>
      </c>
      <c r="L5971" s="3565">
        <v>18167.810000000001</v>
      </c>
      <c r="M5971" s="3565">
        <v>0</v>
      </c>
      <c r="N5971" s="3565">
        <v>0</v>
      </c>
      <c r="O5971" s="3563" t="s">
        <v>3453</v>
      </c>
    </row>
    <row r="5972" spans="1:15">
      <c r="A5972" s="3563" t="s">
        <v>10218</v>
      </c>
      <c r="B5972" s="3563" t="s">
        <v>4196</v>
      </c>
      <c r="C5972" s="3563" t="s">
        <v>4197</v>
      </c>
      <c r="D5972" s="3563" t="s">
        <v>6429</v>
      </c>
      <c r="E5972" s="3563" t="s">
        <v>10219</v>
      </c>
      <c r="F5972" s="3563" t="s">
        <v>4949</v>
      </c>
      <c r="G5972" s="3564">
        <v>142.15</v>
      </c>
      <c r="H5972" s="3564">
        <v>119.17</v>
      </c>
      <c r="I5972" s="3564">
        <v>22.98</v>
      </c>
      <c r="J5972" s="3565">
        <v>1927033</v>
      </c>
      <c r="K5972" s="3565">
        <v>13556.33</v>
      </c>
      <c r="L5972" s="3565">
        <v>16170.45</v>
      </c>
      <c r="M5972" s="3565">
        <v>0</v>
      </c>
      <c r="N5972" s="3565">
        <v>0</v>
      </c>
      <c r="O5972" s="3563" t="s">
        <v>3453</v>
      </c>
    </row>
    <row r="5973" spans="1:15">
      <c r="A5973" s="3563" t="s">
        <v>10220</v>
      </c>
      <c r="B5973" s="3563" t="s">
        <v>4196</v>
      </c>
      <c r="C5973" s="3563" t="s">
        <v>4197</v>
      </c>
      <c r="D5973" s="3563" t="s">
        <v>6429</v>
      </c>
      <c r="E5973" s="3563" t="s">
        <v>10219</v>
      </c>
      <c r="F5973" s="3563" t="s">
        <v>4949</v>
      </c>
      <c r="G5973" s="3564">
        <v>142.15</v>
      </c>
      <c r="H5973" s="3564">
        <v>119.17</v>
      </c>
      <c r="I5973" s="3564">
        <v>22.98</v>
      </c>
      <c r="J5973" s="3565">
        <v>2073783</v>
      </c>
      <c r="K5973" s="3565">
        <v>14588.7</v>
      </c>
      <c r="L5973" s="3565">
        <v>17401.89</v>
      </c>
      <c r="M5973" s="3565">
        <v>0</v>
      </c>
      <c r="N5973" s="3565">
        <v>0</v>
      </c>
      <c r="O5973" s="3563" t="s">
        <v>3453</v>
      </c>
    </row>
    <row r="5974" spans="1:15">
      <c r="A5974" s="3563" t="s">
        <v>10221</v>
      </c>
      <c r="B5974" s="3563" t="s">
        <v>4196</v>
      </c>
      <c r="C5974" s="3563" t="s">
        <v>4197</v>
      </c>
      <c r="D5974" s="3563" t="s">
        <v>6429</v>
      </c>
      <c r="E5974" s="3563" t="s">
        <v>10219</v>
      </c>
      <c r="F5974" s="3563" t="s">
        <v>4949</v>
      </c>
      <c r="G5974" s="3564">
        <v>112.01</v>
      </c>
      <c r="H5974" s="3564">
        <v>91.75</v>
      </c>
      <c r="I5974" s="3564">
        <v>20.260000000000002</v>
      </c>
      <c r="J5974" s="3565">
        <v>1654981</v>
      </c>
      <c r="K5974" s="3565">
        <v>14775.3</v>
      </c>
      <c r="L5974" s="3565">
        <v>18037.939999999999</v>
      </c>
      <c r="M5974" s="3565">
        <v>0</v>
      </c>
      <c r="N5974" s="3565">
        <v>0</v>
      </c>
      <c r="O5974" s="3563" t="s">
        <v>3453</v>
      </c>
    </row>
    <row r="5975" spans="1:15">
      <c r="A5975" s="3563" t="s">
        <v>10222</v>
      </c>
      <c r="B5975" s="3563" t="s">
        <v>4196</v>
      </c>
      <c r="C5975" s="3563" t="s">
        <v>4197</v>
      </c>
      <c r="D5975" s="3563" t="s">
        <v>6429</v>
      </c>
      <c r="E5975" s="3563" t="s">
        <v>10219</v>
      </c>
      <c r="F5975" s="3563" t="s">
        <v>4949</v>
      </c>
      <c r="G5975" s="3564">
        <v>112.01</v>
      </c>
      <c r="H5975" s="3564">
        <v>91.75</v>
      </c>
      <c r="I5975" s="3564">
        <v>20.260000000000002</v>
      </c>
      <c r="J5975" s="3565">
        <v>1714561</v>
      </c>
      <c r="K5975" s="3565">
        <v>15307.21</v>
      </c>
      <c r="L5975" s="3565">
        <v>18687.310000000001</v>
      </c>
      <c r="M5975" s="3565">
        <v>0</v>
      </c>
      <c r="N5975" s="3565">
        <v>0</v>
      </c>
      <c r="O5975" s="3563" t="s">
        <v>3453</v>
      </c>
    </row>
    <row r="5976" spans="1:15">
      <c r="A5976" s="3563" t="s">
        <v>10223</v>
      </c>
      <c r="B5976" s="3563" t="s">
        <v>4196</v>
      </c>
      <c r="C5976" s="3563" t="s">
        <v>4197</v>
      </c>
      <c r="D5976" s="3563" t="s">
        <v>6429</v>
      </c>
      <c r="E5976" s="3563" t="s">
        <v>10219</v>
      </c>
      <c r="F5976" s="3563" t="s">
        <v>4949</v>
      </c>
      <c r="G5976" s="3564">
        <v>142.15</v>
      </c>
      <c r="H5976" s="3564">
        <v>119.17</v>
      </c>
      <c r="I5976" s="3564">
        <v>22.98</v>
      </c>
      <c r="J5976" s="3565">
        <v>2102794</v>
      </c>
      <c r="K5976" s="3565">
        <v>14792.78</v>
      </c>
      <c r="L5976" s="3565">
        <v>17645.330000000002</v>
      </c>
      <c r="M5976" s="3565">
        <v>0</v>
      </c>
      <c r="N5976" s="3565">
        <v>0</v>
      </c>
      <c r="O5976" s="3563" t="s">
        <v>3453</v>
      </c>
    </row>
    <row r="5977" spans="1:15">
      <c r="A5977" s="3563" t="s">
        <v>10224</v>
      </c>
      <c r="B5977" s="3563" t="s">
        <v>4196</v>
      </c>
      <c r="C5977" s="3563" t="s">
        <v>4197</v>
      </c>
      <c r="D5977" s="3563" t="s">
        <v>6429</v>
      </c>
      <c r="E5977" s="3563" t="s">
        <v>10219</v>
      </c>
      <c r="F5977" s="3563" t="s">
        <v>4949</v>
      </c>
      <c r="G5977" s="3564">
        <v>142.15</v>
      </c>
      <c r="H5977" s="3564">
        <v>119.17</v>
      </c>
      <c r="I5977" s="3564">
        <v>22.98</v>
      </c>
      <c r="J5977" s="3565">
        <v>1927033</v>
      </c>
      <c r="K5977" s="3565">
        <v>13556.33</v>
      </c>
      <c r="L5977" s="3565">
        <v>16170.45</v>
      </c>
      <c r="M5977" s="3565">
        <v>0</v>
      </c>
      <c r="N5977" s="3565">
        <v>0</v>
      </c>
      <c r="O5977" s="3563" t="s">
        <v>3453</v>
      </c>
    </row>
    <row r="5978" spans="1:15">
      <c r="A5978" s="3563" t="s">
        <v>10225</v>
      </c>
      <c r="B5978" s="3563" t="s">
        <v>4196</v>
      </c>
      <c r="C5978" s="3563" t="s">
        <v>4197</v>
      </c>
      <c r="D5978" s="3563" t="s">
        <v>6429</v>
      </c>
      <c r="E5978" s="3563" t="s">
        <v>10219</v>
      </c>
      <c r="F5978" s="3563" t="s">
        <v>4949</v>
      </c>
      <c r="G5978" s="3564">
        <v>112.01</v>
      </c>
      <c r="H5978" s="3564">
        <v>91.75</v>
      </c>
      <c r="I5978" s="3564">
        <v>20.260000000000002</v>
      </c>
      <c r="J5978" s="3565">
        <v>1714561</v>
      </c>
      <c r="K5978" s="3565">
        <v>15307.21</v>
      </c>
      <c r="L5978" s="3565">
        <v>18687.310000000001</v>
      </c>
      <c r="M5978" s="3565">
        <v>0</v>
      </c>
      <c r="N5978" s="3565">
        <v>0</v>
      </c>
      <c r="O5978" s="3563" t="s">
        <v>3453</v>
      </c>
    </row>
    <row r="5979" spans="1:15">
      <c r="A5979" s="3563" t="s">
        <v>10226</v>
      </c>
      <c r="B5979" s="3563" t="s">
        <v>4196</v>
      </c>
      <c r="C5979" s="3563" t="s">
        <v>4197</v>
      </c>
      <c r="D5979" s="3563" t="s">
        <v>6429</v>
      </c>
      <c r="E5979" s="3563" t="s">
        <v>10219</v>
      </c>
      <c r="F5979" s="3563" t="s">
        <v>4949</v>
      </c>
      <c r="G5979" s="3564">
        <v>112.01</v>
      </c>
      <c r="H5979" s="3564">
        <v>91.75</v>
      </c>
      <c r="I5979" s="3564">
        <v>20.260000000000002</v>
      </c>
      <c r="J5979" s="3565">
        <v>1654981</v>
      </c>
      <c r="K5979" s="3565">
        <v>14775.3</v>
      </c>
      <c r="L5979" s="3565">
        <v>18037.939999999999</v>
      </c>
      <c r="M5979" s="3565">
        <v>0</v>
      </c>
      <c r="N5979" s="3565">
        <v>0</v>
      </c>
      <c r="O5979" s="3563" t="s">
        <v>3453</v>
      </c>
    </row>
    <row r="5980" spans="1:15">
      <c r="A5980" s="3563" t="s">
        <v>10227</v>
      </c>
      <c r="B5980" s="3563" t="s">
        <v>4196</v>
      </c>
      <c r="C5980" s="3563" t="s">
        <v>4197</v>
      </c>
      <c r="D5980" s="3563" t="s">
        <v>10228</v>
      </c>
      <c r="E5980" s="3563" t="s">
        <v>4199</v>
      </c>
      <c r="F5980" s="3563" t="s">
        <v>4797</v>
      </c>
      <c r="G5980" s="3564">
        <v>120.73</v>
      </c>
      <c r="H5980" s="3564">
        <v>104.37</v>
      </c>
      <c r="I5980" s="3564">
        <v>16.36</v>
      </c>
      <c r="J5980" s="3565">
        <v>1214429</v>
      </c>
      <c r="K5980" s="3565">
        <v>10059.049999999999</v>
      </c>
      <c r="L5980" s="3565">
        <v>11635.81</v>
      </c>
      <c r="M5980" s="3565">
        <v>0</v>
      </c>
      <c r="N5980" s="3565">
        <v>0</v>
      </c>
      <c r="O5980" s="3563" t="s">
        <v>3453</v>
      </c>
    </row>
    <row r="5981" spans="1:15">
      <c r="A5981" s="3563" t="s">
        <v>10229</v>
      </c>
      <c r="B5981" s="3563" t="s">
        <v>4196</v>
      </c>
      <c r="C5981" s="3563" t="s">
        <v>4197</v>
      </c>
      <c r="D5981" s="3563" t="s">
        <v>10228</v>
      </c>
      <c r="E5981" s="3563" t="s">
        <v>4199</v>
      </c>
      <c r="F5981" s="3563" t="s">
        <v>4797</v>
      </c>
      <c r="G5981" s="3564">
        <v>123.63</v>
      </c>
      <c r="H5981" s="3564">
        <v>100.03</v>
      </c>
      <c r="I5981" s="3564">
        <v>23.6</v>
      </c>
      <c r="J5981" s="3565">
        <v>1329089</v>
      </c>
      <c r="K5981" s="3565">
        <v>10750.54</v>
      </c>
      <c r="L5981" s="3565">
        <v>13286.9</v>
      </c>
      <c r="M5981" s="3565">
        <v>0</v>
      </c>
      <c r="N5981" s="3565">
        <v>0</v>
      </c>
      <c r="O5981" s="3563" t="s">
        <v>3453</v>
      </c>
    </row>
    <row r="5982" spans="1:15">
      <c r="A5982" s="3563" t="s">
        <v>10230</v>
      </c>
      <c r="B5982" s="3563" t="s">
        <v>4196</v>
      </c>
      <c r="C5982" s="3563" t="s">
        <v>4197</v>
      </c>
      <c r="D5982" s="3563" t="s">
        <v>10228</v>
      </c>
      <c r="E5982" s="3563" t="s">
        <v>4199</v>
      </c>
      <c r="F5982" s="3563" t="s">
        <v>4797</v>
      </c>
      <c r="G5982" s="3564">
        <v>87.75</v>
      </c>
      <c r="H5982" s="3564">
        <v>71</v>
      </c>
      <c r="I5982" s="3564">
        <v>16.75</v>
      </c>
      <c r="J5982" s="3565">
        <v>901352</v>
      </c>
      <c r="K5982" s="3565">
        <v>10271.82</v>
      </c>
      <c r="L5982" s="3565">
        <v>12695.1</v>
      </c>
      <c r="M5982" s="3565">
        <v>0</v>
      </c>
      <c r="N5982" s="3565">
        <v>0</v>
      </c>
      <c r="O5982" s="3563" t="s">
        <v>3453</v>
      </c>
    </row>
    <row r="5983" spans="1:15">
      <c r="A5983" s="3563" t="s">
        <v>10231</v>
      </c>
      <c r="B5983" s="3563" t="s">
        <v>4196</v>
      </c>
      <c r="C5983" s="3563" t="s">
        <v>4197</v>
      </c>
      <c r="D5983" s="3563" t="s">
        <v>10228</v>
      </c>
      <c r="E5983" s="3563" t="s">
        <v>4199</v>
      </c>
      <c r="F5983" s="3563" t="s">
        <v>4797</v>
      </c>
      <c r="G5983" s="3564">
        <v>87.75</v>
      </c>
      <c r="H5983" s="3564">
        <v>71</v>
      </c>
      <c r="I5983" s="3564">
        <v>16.75</v>
      </c>
      <c r="J5983" s="3565">
        <v>901352</v>
      </c>
      <c r="K5983" s="3565">
        <v>10271.82</v>
      </c>
      <c r="L5983" s="3565">
        <v>12695.1</v>
      </c>
      <c r="M5983" s="3565">
        <v>0</v>
      </c>
      <c r="N5983" s="3565">
        <v>0</v>
      </c>
      <c r="O5983" s="3563" t="s">
        <v>3453</v>
      </c>
    </row>
    <row r="5984" spans="1:15">
      <c r="A5984" s="3563" t="s">
        <v>10232</v>
      </c>
      <c r="B5984" s="3563" t="s">
        <v>4196</v>
      </c>
      <c r="C5984" s="3563" t="s">
        <v>4197</v>
      </c>
      <c r="D5984" s="3563" t="s">
        <v>10228</v>
      </c>
      <c r="E5984" s="3563" t="s">
        <v>4199</v>
      </c>
      <c r="F5984" s="3563" t="s">
        <v>4797</v>
      </c>
      <c r="G5984" s="3564">
        <v>101.36</v>
      </c>
      <c r="H5984" s="3564">
        <v>82.01</v>
      </c>
      <c r="I5984" s="3564">
        <v>19.350000000000001</v>
      </c>
      <c r="J5984" s="3565">
        <v>1030368</v>
      </c>
      <c r="K5984" s="3565">
        <v>10165.43</v>
      </c>
      <c r="L5984" s="3565">
        <v>12563.93</v>
      </c>
      <c r="M5984" s="3565">
        <v>0</v>
      </c>
      <c r="N5984" s="3565">
        <v>0</v>
      </c>
      <c r="O5984" s="3563" t="s">
        <v>3453</v>
      </c>
    </row>
    <row r="5985" spans="1:15">
      <c r="A5985" s="3563" t="s">
        <v>10233</v>
      </c>
      <c r="B5985" s="3563" t="s">
        <v>4196</v>
      </c>
      <c r="C5985" s="3563" t="s">
        <v>4197</v>
      </c>
      <c r="D5985" s="3563" t="s">
        <v>10228</v>
      </c>
      <c r="E5985" s="3563" t="s">
        <v>4199</v>
      </c>
      <c r="F5985" s="3563" t="s">
        <v>4797</v>
      </c>
      <c r="G5985" s="3564">
        <v>101.03</v>
      </c>
      <c r="H5985" s="3564">
        <v>81.739999999999995</v>
      </c>
      <c r="I5985" s="3564">
        <v>19.29</v>
      </c>
      <c r="J5985" s="3565">
        <v>1107623</v>
      </c>
      <c r="K5985" s="3565">
        <v>10963.31</v>
      </c>
      <c r="L5985" s="3565">
        <v>13550.56</v>
      </c>
      <c r="M5985" s="3565">
        <v>0</v>
      </c>
      <c r="N5985" s="3565">
        <v>0</v>
      </c>
      <c r="O5985" s="3563" t="s">
        <v>3453</v>
      </c>
    </row>
    <row r="5986" spans="1:15">
      <c r="A5986" s="3563" t="s">
        <v>10234</v>
      </c>
      <c r="B5986" s="3563" t="s">
        <v>4196</v>
      </c>
      <c r="C5986" s="3563" t="s">
        <v>4197</v>
      </c>
      <c r="D5986" s="3563" t="s">
        <v>10228</v>
      </c>
      <c r="E5986" s="3563" t="s">
        <v>4199</v>
      </c>
      <c r="F5986" s="3563" t="s">
        <v>4797</v>
      </c>
      <c r="G5986" s="3564">
        <v>101.03</v>
      </c>
      <c r="H5986" s="3564">
        <v>81.739999999999995</v>
      </c>
      <c r="I5986" s="3564">
        <v>19.29</v>
      </c>
      <c r="J5986" s="3565">
        <v>1107623</v>
      </c>
      <c r="K5986" s="3565">
        <v>10963.31</v>
      </c>
      <c r="L5986" s="3565">
        <v>13550.56</v>
      </c>
      <c r="M5986" s="3565">
        <v>0</v>
      </c>
      <c r="N5986" s="3565">
        <v>0</v>
      </c>
      <c r="O5986" s="3563" t="s">
        <v>3453</v>
      </c>
    </row>
    <row r="5987" spans="1:15">
      <c r="A5987" s="3563" t="s">
        <v>10235</v>
      </c>
      <c r="B5987" s="3563" t="s">
        <v>4196</v>
      </c>
      <c r="C5987" s="3563" t="s">
        <v>4197</v>
      </c>
      <c r="D5987" s="3563" t="s">
        <v>10228</v>
      </c>
      <c r="E5987" s="3563" t="s">
        <v>4199</v>
      </c>
      <c r="F5987" s="3563" t="s">
        <v>4797</v>
      </c>
      <c r="G5987" s="3564">
        <v>123.63</v>
      </c>
      <c r="H5987" s="3564">
        <v>100.03</v>
      </c>
      <c r="I5987" s="3564">
        <v>23.6</v>
      </c>
      <c r="J5987" s="3565">
        <v>1330404</v>
      </c>
      <c r="K5987" s="3565">
        <v>10761.17</v>
      </c>
      <c r="L5987" s="3565">
        <v>13300.05</v>
      </c>
      <c r="M5987" s="3565">
        <v>0</v>
      </c>
      <c r="N5987" s="3565">
        <v>0</v>
      </c>
      <c r="O5987" s="3563" t="s">
        <v>3453</v>
      </c>
    </row>
    <row r="5988" spans="1:15">
      <c r="A5988" s="3563" t="s">
        <v>10236</v>
      </c>
      <c r="B5988" s="3563" t="s">
        <v>4196</v>
      </c>
      <c r="C5988" s="3563" t="s">
        <v>4197</v>
      </c>
      <c r="D5988" s="3563" t="s">
        <v>10228</v>
      </c>
      <c r="E5988" s="3563" t="s">
        <v>4199</v>
      </c>
      <c r="F5988" s="3563" t="s">
        <v>4797</v>
      </c>
      <c r="G5988" s="3564">
        <v>87.75</v>
      </c>
      <c r="H5988" s="3564">
        <v>71</v>
      </c>
      <c r="I5988" s="3564">
        <v>16.75</v>
      </c>
      <c r="J5988" s="3565">
        <v>902286</v>
      </c>
      <c r="K5988" s="3565">
        <v>10282.459999999999</v>
      </c>
      <c r="L5988" s="3565">
        <v>12708.25</v>
      </c>
      <c r="M5988" s="3565">
        <v>0</v>
      </c>
      <c r="N5988" s="3565">
        <v>0</v>
      </c>
      <c r="O5988" s="3563" t="s">
        <v>3453</v>
      </c>
    </row>
    <row r="5989" spans="1:15">
      <c r="A5989" s="3563" t="s">
        <v>10237</v>
      </c>
      <c r="B5989" s="3563" t="s">
        <v>4196</v>
      </c>
      <c r="C5989" s="3563" t="s">
        <v>4197</v>
      </c>
      <c r="D5989" s="3563" t="s">
        <v>10228</v>
      </c>
      <c r="E5989" s="3563" t="s">
        <v>4199</v>
      </c>
      <c r="F5989" s="3563" t="s">
        <v>4797</v>
      </c>
      <c r="G5989" s="3564">
        <v>87.75</v>
      </c>
      <c r="H5989" s="3564">
        <v>71</v>
      </c>
      <c r="I5989" s="3564">
        <v>16.75</v>
      </c>
      <c r="J5989" s="3565">
        <v>902286</v>
      </c>
      <c r="K5989" s="3565">
        <v>10282.459999999999</v>
      </c>
      <c r="L5989" s="3565">
        <v>12708.25</v>
      </c>
      <c r="M5989" s="3565">
        <v>0</v>
      </c>
      <c r="N5989" s="3565">
        <v>0</v>
      </c>
      <c r="O5989" s="3563" t="s">
        <v>3453</v>
      </c>
    </row>
    <row r="5990" spans="1:15">
      <c r="A5990" s="3563" t="s">
        <v>10238</v>
      </c>
      <c r="B5990" s="3563" t="s">
        <v>4196</v>
      </c>
      <c r="C5990" s="3563" t="s">
        <v>4197</v>
      </c>
      <c r="D5990" s="3563" t="s">
        <v>10228</v>
      </c>
      <c r="E5990" s="3563" t="s">
        <v>4199</v>
      </c>
      <c r="F5990" s="3563" t="s">
        <v>4797</v>
      </c>
      <c r="G5990" s="3564">
        <v>101.36</v>
      </c>
      <c r="H5990" s="3564">
        <v>82.01</v>
      </c>
      <c r="I5990" s="3564">
        <v>19.350000000000001</v>
      </c>
      <c r="J5990" s="3565">
        <v>1031446</v>
      </c>
      <c r="K5990" s="3565">
        <v>10176.07</v>
      </c>
      <c r="L5990" s="3565">
        <v>12577.08</v>
      </c>
      <c r="M5990" s="3565">
        <v>0</v>
      </c>
      <c r="N5990" s="3565">
        <v>0</v>
      </c>
      <c r="O5990" s="3563" t="s">
        <v>3453</v>
      </c>
    </row>
    <row r="5991" spans="1:15">
      <c r="A5991" s="3563" t="s">
        <v>10239</v>
      </c>
      <c r="B5991" s="3563" t="s">
        <v>4196</v>
      </c>
      <c r="C5991" s="3563" t="s">
        <v>4197</v>
      </c>
      <c r="D5991" s="3563" t="s">
        <v>10228</v>
      </c>
      <c r="E5991" s="3563" t="s">
        <v>4199</v>
      </c>
      <c r="F5991" s="3563" t="s">
        <v>4797</v>
      </c>
      <c r="G5991" s="3564">
        <v>101.03</v>
      </c>
      <c r="H5991" s="3564">
        <v>81.739999999999995</v>
      </c>
      <c r="I5991" s="3564">
        <v>19.29</v>
      </c>
      <c r="J5991" s="3565">
        <v>1108697</v>
      </c>
      <c r="K5991" s="3565">
        <v>10973.94</v>
      </c>
      <c r="L5991" s="3565">
        <v>13563.7</v>
      </c>
      <c r="M5991" s="3565">
        <v>0</v>
      </c>
      <c r="N5991" s="3565">
        <v>0</v>
      </c>
      <c r="O5991" s="3563" t="s">
        <v>3453</v>
      </c>
    </row>
    <row r="5992" spans="1:15">
      <c r="A5992" s="3563" t="s">
        <v>10240</v>
      </c>
      <c r="B5992" s="3563" t="s">
        <v>4196</v>
      </c>
      <c r="C5992" s="3563" t="s">
        <v>4197</v>
      </c>
      <c r="D5992" s="3563" t="s">
        <v>10228</v>
      </c>
      <c r="E5992" s="3563" t="s">
        <v>4199</v>
      </c>
      <c r="F5992" s="3563" t="s">
        <v>4797</v>
      </c>
      <c r="G5992" s="3564">
        <v>101.03</v>
      </c>
      <c r="H5992" s="3564">
        <v>81.739999999999995</v>
      </c>
      <c r="I5992" s="3564">
        <v>19.29</v>
      </c>
      <c r="J5992" s="3565">
        <v>1108697</v>
      </c>
      <c r="K5992" s="3565">
        <v>10973.94</v>
      </c>
      <c r="L5992" s="3565">
        <v>13563.7</v>
      </c>
      <c r="M5992" s="3565">
        <v>0</v>
      </c>
      <c r="N5992" s="3565">
        <v>0</v>
      </c>
      <c r="O5992" s="3563" t="s">
        <v>3453</v>
      </c>
    </row>
    <row r="5993" spans="1:15">
      <c r="A5993" s="3563" t="s">
        <v>10241</v>
      </c>
      <c r="B5993" s="3563" t="s">
        <v>4196</v>
      </c>
      <c r="C5993" s="3563" t="s">
        <v>4197</v>
      </c>
      <c r="D5993" s="3563" t="s">
        <v>10228</v>
      </c>
      <c r="E5993" s="3563" t="s">
        <v>4199</v>
      </c>
      <c r="F5993" s="3563" t="s">
        <v>4797</v>
      </c>
      <c r="G5993" s="3564">
        <v>123.63</v>
      </c>
      <c r="H5993" s="3564">
        <v>100.03</v>
      </c>
      <c r="I5993" s="3564">
        <v>23.6</v>
      </c>
      <c r="J5993" s="3565">
        <v>1331720</v>
      </c>
      <c r="K5993" s="3565">
        <v>10771.82</v>
      </c>
      <c r="L5993" s="3565">
        <v>13313.21</v>
      </c>
      <c r="M5993" s="3565">
        <v>0</v>
      </c>
      <c r="N5993" s="3565">
        <v>0</v>
      </c>
      <c r="O5993" s="3563" t="s">
        <v>3453</v>
      </c>
    </row>
    <row r="5994" spans="1:15">
      <c r="A5994" s="3563" t="s">
        <v>10242</v>
      </c>
      <c r="B5994" s="3563" t="s">
        <v>4196</v>
      </c>
      <c r="C5994" s="3563" t="s">
        <v>4197</v>
      </c>
      <c r="D5994" s="3563" t="s">
        <v>10228</v>
      </c>
      <c r="E5994" s="3563" t="s">
        <v>4199</v>
      </c>
      <c r="F5994" s="3563" t="s">
        <v>4797</v>
      </c>
      <c r="G5994" s="3564">
        <v>87.75</v>
      </c>
      <c r="H5994" s="3564">
        <v>71</v>
      </c>
      <c r="I5994" s="3564">
        <v>16.75</v>
      </c>
      <c r="J5994" s="3565">
        <v>903219</v>
      </c>
      <c r="K5994" s="3565">
        <v>10293.09</v>
      </c>
      <c r="L5994" s="3565">
        <v>12721.39</v>
      </c>
      <c r="M5994" s="3565">
        <v>0</v>
      </c>
      <c r="N5994" s="3565">
        <v>0</v>
      </c>
      <c r="O5994" s="3563" t="s">
        <v>3453</v>
      </c>
    </row>
    <row r="5995" spans="1:15">
      <c r="A5995" s="3563" t="s">
        <v>10243</v>
      </c>
      <c r="B5995" s="3563" t="s">
        <v>4196</v>
      </c>
      <c r="C5995" s="3563" t="s">
        <v>4197</v>
      </c>
      <c r="D5995" s="3563" t="s">
        <v>10228</v>
      </c>
      <c r="E5995" s="3563" t="s">
        <v>4199</v>
      </c>
      <c r="F5995" s="3563" t="s">
        <v>4797</v>
      </c>
      <c r="G5995" s="3564">
        <v>87.75</v>
      </c>
      <c r="H5995" s="3564">
        <v>71</v>
      </c>
      <c r="I5995" s="3564">
        <v>16.75</v>
      </c>
      <c r="J5995" s="3565">
        <v>903219</v>
      </c>
      <c r="K5995" s="3565">
        <v>10293.09</v>
      </c>
      <c r="L5995" s="3565">
        <v>12721.39</v>
      </c>
      <c r="M5995" s="3565">
        <v>0</v>
      </c>
      <c r="N5995" s="3565">
        <v>0</v>
      </c>
      <c r="O5995" s="3563" t="s">
        <v>3453</v>
      </c>
    </row>
    <row r="5996" spans="1:15">
      <c r="A5996" s="3563" t="s">
        <v>10244</v>
      </c>
      <c r="B5996" s="3563" t="s">
        <v>4196</v>
      </c>
      <c r="C5996" s="3563" t="s">
        <v>4197</v>
      </c>
      <c r="D5996" s="3563" t="s">
        <v>10228</v>
      </c>
      <c r="E5996" s="3563" t="s">
        <v>4199</v>
      </c>
      <c r="F5996" s="3563" t="s">
        <v>4797</v>
      </c>
      <c r="G5996" s="3564">
        <v>101.36</v>
      </c>
      <c r="H5996" s="3564">
        <v>82.01</v>
      </c>
      <c r="I5996" s="3564">
        <v>19.350000000000001</v>
      </c>
      <c r="J5996" s="3565">
        <v>1032525</v>
      </c>
      <c r="K5996" s="3565">
        <v>10186.709999999999</v>
      </c>
      <c r="L5996" s="3565">
        <v>12590.23</v>
      </c>
      <c r="M5996" s="3565">
        <v>0</v>
      </c>
      <c r="N5996" s="3565">
        <v>0</v>
      </c>
      <c r="O5996" s="3563" t="s">
        <v>3453</v>
      </c>
    </row>
    <row r="5997" spans="1:15">
      <c r="A5997" s="3563" t="s">
        <v>10245</v>
      </c>
      <c r="B5997" s="3563" t="s">
        <v>4196</v>
      </c>
      <c r="C5997" s="3563" t="s">
        <v>4197</v>
      </c>
      <c r="D5997" s="3563" t="s">
        <v>10228</v>
      </c>
      <c r="E5997" s="3563" t="s">
        <v>4199</v>
      </c>
      <c r="F5997" s="3563" t="s">
        <v>4797</v>
      </c>
      <c r="G5997" s="3564">
        <v>101.03</v>
      </c>
      <c r="H5997" s="3564">
        <v>81.739999999999995</v>
      </c>
      <c r="I5997" s="3564">
        <v>19.29</v>
      </c>
      <c r="J5997" s="3565">
        <v>1109772</v>
      </c>
      <c r="K5997" s="3565">
        <v>10984.58</v>
      </c>
      <c r="L5997" s="3565">
        <v>13576.85</v>
      </c>
      <c r="M5997" s="3565">
        <v>0</v>
      </c>
      <c r="N5997" s="3565">
        <v>0</v>
      </c>
      <c r="O5997" s="3563" t="s">
        <v>3453</v>
      </c>
    </row>
    <row r="5998" spans="1:15">
      <c r="A5998" s="3563" t="s">
        <v>10246</v>
      </c>
      <c r="B5998" s="3563" t="s">
        <v>4196</v>
      </c>
      <c r="C5998" s="3563" t="s">
        <v>4197</v>
      </c>
      <c r="D5998" s="3563" t="s">
        <v>10228</v>
      </c>
      <c r="E5998" s="3563" t="s">
        <v>4199</v>
      </c>
      <c r="F5998" s="3563" t="s">
        <v>4797</v>
      </c>
      <c r="G5998" s="3564">
        <v>101.03</v>
      </c>
      <c r="H5998" s="3564">
        <v>81.739999999999995</v>
      </c>
      <c r="I5998" s="3564">
        <v>19.29</v>
      </c>
      <c r="J5998" s="3565">
        <v>1109772</v>
      </c>
      <c r="K5998" s="3565">
        <v>10984.58</v>
      </c>
      <c r="L5998" s="3565">
        <v>13576.85</v>
      </c>
      <c r="M5998" s="3565">
        <v>0</v>
      </c>
      <c r="N5998" s="3565">
        <v>0</v>
      </c>
      <c r="O5998" s="3563" t="s">
        <v>3453</v>
      </c>
    </row>
    <row r="5999" spans="1:15">
      <c r="A5999" s="3563" t="s">
        <v>10247</v>
      </c>
      <c r="B5999" s="3563" t="s">
        <v>4196</v>
      </c>
      <c r="C5999" s="3563" t="s">
        <v>4197</v>
      </c>
      <c r="D5999" s="3563" t="s">
        <v>10228</v>
      </c>
      <c r="E5999" s="3563" t="s">
        <v>4199</v>
      </c>
      <c r="F5999" s="3563" t="s">
        <v>4797</v>
      </c>
      <c r="G5999" s="3564">
        <v>123.63</v>
      </c>
      <c r="H5999" s="3564">
        <v>100.03</v>
      </c>
      <c r="I5999" s="3564">
        <v>23.6</v>
      </c>
      <c r="J5999" s="3565">
        <v>1333035</v>
      </c>
      <c r="K5999" s="3565">
        <v>10782.46</v>
      </c>
      <c r="L5999" s="3565">
        <v>13326.35</v>
      </c>
      <c r="M5999" s="3565">
        <v>0</v>
      </c>
      <c r="N5999" s="3565">
        <v>0</v>
      </c>
      <c r="O5999" s="3563" t="s">
        <v>3453</v>
      </c>
    </row>
    <row r="6000" spans="1:15">
      <c r="A6000" s="3563" t="s">
        <v>10248</v>
      </c>
      <c r="B6000" s="3563" t="s">
        <v>4196</v>
      </c>
      <c r="C6000" s="3563" t="s">
        <v>4197</v>
      </c>
      <c r="D6000" s="3563" t="s">
        <v>10228</v>
      </c>
      <c r="E6000" s="3563" t="s">
        <v>4199</v>
      </c>
      <c r="F6000" s="3563" t="s">
        <v>4797</v>
      </c>
      <c r="G6000" s="3564">
        <v>87.75</v>
      </c>
      <c r="H6000" s="3564">
        <v>71</v>
      </c>
      <c r="I6000" s="3564">
        <v>16.75</v>
      </c>
      <c r="J6000" s="3565">
        <v>904153</v>
      </c>
      <c r="K6000" s="3565">
        <v>10303.74</v>
      </c>
      <c r="L6000" s="3565">
        <v>12734.55</v>
      </c>
      <c r="M6000" s="3565">
        <v>0</v>
      </c>
      <c r="N6000" s="3565">
        <v>0</v>
      </c>
      <c r="O6000" s="3563" t="s">
        <v>3453</v>
      </c>
    </row>
    <row r="6001" spans="1:15">
      <c r="A6001" s="3563" t="s">
        <v>10249</v>
      </c>
      <c r="B6001" s="3563" t="s">
        <v>4196</v>
      </c>
      <c r="C6001" s="3563" t="s">
        <v>4197</v>
      </c>
      <c r="D6001" s="3563" t="s">
        <v>10228</v>
      </c>
      <c r="E6001" s="3563" t="s">
        <v>4199</v>
      </c>
      <c r="F6001" s="3563" t="s">
        <v>4797</v>
      </c>
      <c r="G6001" s="3564">
        <v>87.75</v>
      </c>
      <c r="H6001" s="3564">
        <v>71</v>
      </c>
      <c r="I6001" s="3564">
        <v>16.75</v>
      </c>
      <c r="J6001" s="3565">
        <v>904153</v>
      </c>
      <c r="K6001" s="3565">
        <v>10303.74</v>
      </c>
      <c r="L6001" s="3565">
        <v>12734.55</v>
      </c>
      <c r="M6001" s="3565">
        <v>0</v>
      </c>
      <c r="N6001" s="3565">
        <v>0</v>
      </c>
      <c r="O6001" s="3563" t="s">
        <v>3453</v>
      </c>
    </row>
    <row r="6002" spans="1:15">
      <c r="A6002" s="3563" t="s">
        <v>10250</v>
      </c>
      <c r="B6002" s="3563" t="s">
        <v>4196</v>
      </c>
      <c r="C6002" s="3563" t="s">
        <v>4197</v>
      </c>
      <c r="D6002" s="3563" t="s">
        <v>10228</v>
      </c>
      <c r="E6002" s="3563" t="s">
        <v>4199</v>
      </c>
      <c r="F6002" s="3563" t="s">
        <v>4797</v>
      </c>
      <c r="G6002" s="3564">
        <v>101.36</v>
      </c>
      <c r="H6002" s="3564">
        <v>82.01</v>
      </c>
      <c r="I6002" s="3564">
        <v>19.350000000000001</v>
      </c>
      <c r="J6002" s="3565">
        <v>1033603</v>
      </c>
      <c r="K6002" s="3565">
        <v>10197.35</v>
      </c>
      <c r="L6002" s="3565">
        <v>12603.38</v>
      </c>
      <c r="M6002" s="3565">
        <v>0</v>
      </c>
      <c r="N6002" s="3565">
        <v>0</v>
      </c>
      <c r="O6002" s="3563" t="s">
        <v>3453</v>
      </c>
    </row>
    <row r="6003" spans="1:15">
      <c r="A6003" s="3563" t="s">
        <v>10251</v>
      </c>
      <c r="B6003" s="3563" t="s">
        <v>4196</v>
      </c>
      <c r="C6003" s="3563" t="s">
        <v>4197</v>
      </c>
      <c r="D6003" s="3563" t="s">
        <v>10228</v>
      </c>
      <c r="E6003" s="3563" t="s">
        <v>4199</v>
      </c>
      <c r="F6003" s="3563" t="s">
        <v>4797</v>
      </c>
      <c r="G6003" s="3564">
        <v>101.03</v>
      </c>
      <c r="H6003" s="3564">
        <v>81.739999999999995</v>
      </c>
      <c r="I6003" s="3564">
        <v>19.29</v>
      </c>
      <c r="J6003" s="3565">
        <v>1110847</v>
      </c>
      <c r="K6003" s="3565">
        <v>10995.22</v>
      </c>
      <c r="L6003" s="3565">
        <v>13590</v>
      </c>
      <c r="M6003" s="3565">
        <v>0</v>
      </c>
      <c r="N6003" s="3565">
        <v>0</v>
      </c>
      <c r="O6003" s="3563" t="s">
        <v>3453</v>
      </c>
    </row>
    <row r="6004" spans="1:15">
      <c r="A6004" s="3563" t="s">
        <v>10252</v>
      </c>
      <c r="B6004" s="3563" t="s">
        <v>4196</v>
      </c>
      <c r="C6004" s="3563" t="s">
        <v>4197</v>
      </c>
      <c r="D6004" s="3563" t="s">
        <v>10228</v>
      </c>
      <c r="E6004" s="3563" t="s">
        <v>4199</v>
      </c>
      <c r="F6004" s="3563" t="s">
        <v>4797</v>
      </c>
      <c r="G6004" s="3564">
        <v>101.03</v>
      </c>
      <c r="H6004" s="3564">
        <v>81.739999999999995</v>
      </c>
      <c r="I6004" s="3564">
        <v>19.29</v>
      </c>
      <c r="J6004" s="3565">
        <v>1110847</v>
      </c>
      <c r="K6004" s="3565">
        <v>10995.22</v>
      </c>
      <c r="L6004" s="3565">
        <v>13590</v>
      </c>
      <c r="M6004" s="3565">
        <v>0</v>
      </c>
      <c r="N6004" s="3565">
        <v>0</v>
      </c>
      <c r="O6004" s="3563" t="s">
        <v>3453</v>
      </c>
    </row>
    <row r="6005" spans="1:15">
      <c r="A6005" s="3563" t="s">
        <v>10253</v>
      </c>
      <c r="B6005" s="3563" t="s">
        <v>4196</v>
      </c>
      <c r="C6005" s="3563" t="s">
        <v>4197</v>
      </c>
      <c r="D6005" s="3563" t="s">
        <v>10228</v>
      </c>
      <c r="E6005" s="3563" t="s">
        <v>4199</v>
      </c>
      <c r="F6005" s="3563" t="s">
        <v>4797</v>
      </c>
      <c r="G6005" s="3564">
        <v>123.63</v>
      </c>
      <c r="H6005" s="3564">
        <v>100.03</v>
      </c>
      <c r="I6005" s="3564">
        <v>23.6</v>
      </c>
      <c r="J6005" s="3565">
        <v>1321197</v>
      </c>
      <c r="K6005" s="3565">
        <v>10686.7</v>
      </c>
      <c r="L6005" s="3565">
        <v>13208.01</v>
      </c>
      <c r="M6005" s="3565">
        <v>0</v>
      </c>
      <c r="N6005" s="3565">
        <v>0</v>
      </c>
      <c r="O6005" s="3563" t="s">
        <v>3453</v>
      </c>
    </row>
    <row r="6006" spans="1:15">
      <c r="A6006" s="3563" t="s">
        <v>10254</v>
      </c>
      <c r="B6006" s="3563" t="s">
        <v>4196</v>
      </c>
      <c r="C6006" s="3563" t="s">
        <v>4197</v>
      </c>
      <c r="D6006" s="3563" t="s">
        <v>10228</v>
      </c>
      <c r="E6006" s="3563" t="s">
        <v>4199</v>
      </c>
      <c r="F6006" s="3563" t="s">
        <v>4797</v>
      </c>
      <c r="G6006" s="3564">
        <v>87.75</v>
      </c>
      <c r="H6006" s="3564">
        <v>71</v>
      </c>
      <c r="I6006" s="3564">
        <v>16.75</v>
      </c>
      <c r="J6006" s="3565">
        <v>895750</v>
      </c>
      <c r="K6006" s="3565">
        <v>10207.98</v>
      </c>
      <c r="L6006" s="3565">
        <v>12616.2</v>
      </c>
      <c r="M6006" s="3565">
        <v>0</v>
      </c>
      <c r="N6006" s="3565">
        <v>0</v>
      </c>
      <c r="O6006" s="3563" t="s">
        <v>3453</v>
      </c>
    </row>
    <row r="6007" spans="1:15">
      <c r="A6007" s="3563" t="s">
        <v>10255</v>
      </c>
      <c r="B6007" s="3563" t="s">
        <v>4196</v>
      </c>
      <c r="C6007" s="3563" t="s">
        <v>4197</v>
      </c>
      <c r="D6007" s="3563" t="s">
        <v>10228</v>
      </c>
      <c r="E6007" s="3563" t="s">
        <v>4199</v>
      </c>
      <c r="F6007" s="3563" t="s">
        <v>4797</v>
      </c>
      <c r="G6007" s="3564">
        <v>87.75</v>
      </c>
      <c r="H6007" s="3564">
        <v>71</v>
      </c>
      <c r="I6007" s="3564">
        <v>16.75</v>
      </c>
      <c r="J6007" s="3565">
        <v>895750</v>
      </c>
      <c r="K6007" s="3565">
        <v>10207.98</v>
      </c>
      <c r="L6007" s="3565">
        <v>12616.2</v>
      </c>
      <c r="M6007" s="3565">
        <v>0</v>
      </c>
      <c r="N6007" s="3565">
        <v>0</v>
      </c>
      <c r="O6007" s="3563" t="s">
        <v>3453</v>
      </c>
    </row>
    <row r="6008" spans="1:15">
      <c r="A6008" s="3563" t="s">
        <v>10256</v>
      </c>
      <c r="B6008" s="3563" t="s">
        <v>4196</v>
      </c>
      <c r="C6008" s="3563" t="s">
        <v>4197</v>
      </c>
      <c r="D6008" s="3563" t="s">
        <v>10228</v>
      </c>
      <c r="E6008" s="3563" t="s">
        <v>4199</v>
      </c>
      <c r="F6008" s="3563" t="s">
        <v>4797</v>
      </c>
      <c r="G6008" s="3564">
        <v>101.36</v>
      </c>
      <c r="H6008" s="3564">
        <v>82.01</v>
      </c>
      <c r="I6008" s="3564">
        <v>19.350000000000001</v>
      </c>
      <c r="J6008" s="3565">
        <v>1023898</v>
      </c>
      <c r="K6008" s="3565">
        <v>10101.6</v>
      </c>
      <c r="L6008" s="3565">
        <v>12485.04</v>
      </c>
      <c r="M6008" s="3565">
        <v>0</v>
      </c>
      <c r="N6008" s="3565">
        <v>0</v>
      </c>
      <c r="O6008" s="3563" t="s">
        <v>3453</v>
      </c>
    </row>
    <row r="6009" spans="1:15">
      <c r="A6009" s="3563" t="s">
        <v>10257</v>
      </c>
      <c r="B6009" s="3563" t="s">
        <v>4196</v>
      </c>
      <c r="C6009" s="3563" t="s">
        <v>4197</v>
      </c>
      <c r="D6009" s="3563" t="s">
        <v>10228</v>
      </c>
      <c r="E6009" s="3563" t="s">
        <v>4199</v>
      </c>
      <c r="F6009" s="3563" t="s">
        <v>4797</v>
      </c>
      <c r="G6009" s="3564">
        <v>101.03</v>
      </c>
      <c r="H6009" s="3564">
        <v>81.739999999999995</v>
      </c>
      <c r="I6009" s="3564">
        <v>19.29</v>
      </c>
      <c r="J6009" s="3565">
        <v>1101174</v>
      </c>
      <c r="K6009" s="3565">
        <v>10899.48</v>
      </c>
      <c r="L6009" s="3565">
        <v>13471.67</v>
      </c>
      <c r="M6009" s="3565">
        <v>0</v>
      </c>
      <c r="N6009" s="3565">
        <v>0</v>
      </c>
      <c r="O6009" s="3563" t="s">
        <v>3453</v>
      </c>
    </row>
    <row r="6010" spans="1:15">
      <c r="A6010" s="3563" t="s">
        <v>10258</v>
      </c>
      <c r="B6010" s="3563" t="s">
        <v>4196</v>
      </c>
      <c r="C6010" s="3563" t="s">
        <v>4197</v>
      </c>
      <c r="D6010" s="3563" t="s">
        <v>10228</v>
      </c>
      <c r="E6010" s="3563" t="s">
        <v>4199</v>
      </c>
      <c r="F6010" s="3563" t="s">
        <v>4797</v>
      </c>
      <c r="G6010" s="3564">
        <v>101.03</v>
      </c>
      <c r="H6010" s="3564">
        <v>81.739999999999995</v>
      </c>
      <c r="I6010" s="3564">
        <v>19.29</v>
      </c>
      <c r="J6010" s="3565">
        <v>1101174</v>
      </c>
      <c r="K6010" s="3565">
        <v>10899.48</v>
      </c>
      <c r="L6010" s="3565">
        <v>13471.67</v>
      </c>
      <c r="M6010" s="3565">
        <v>0</v>
      </c>
      <c r="N6010" s="3565">
        <v>0</v>
      </c>
      <c r="O6010" s="3563" t="s">
        <v>3453</v>
      </c>
    </row>
    <row r="6011" spans="1:15">
      <c r="A6011" s="3563" t="s">
        <v>10259</v>
      </c>
      <c r="B6011" s="3563" t="s">
        <v>4196</v>
      </c>
      <c r="C6011" s="3563" t="s">
        <v>4197</v>
      </c>
      <c r="D6011" s="3563" t="s">
        <v>10228</v>
      </c>
      <c r="E6011" s="3563" t="s">
        <v>4199</v>
      </c>
      <c r="F6011" s="3563" t="s">
        <v>4797</v>
      </c>
      <c r="G6011" s="3564">
        <v>123.63</v>
      </c>
      <c r="H6011" s="3564">
        <v>100.03</v>
      </c>
      <c r="I6011" s="3564">
        <v>23.6</v>
      </c>
      <c r="J6011" s="3565">
        <v>1335664</v>
      </c>
      <c r="K6011" s="3565">
        <v>10803.72</v>
      </c>
      <c r="L6011" s="3565">
        <v>13352.63</v>
      </c>
      <c r="M6011" s="3565">
        <v>0</v>
      </c>
      <c r="N6011" s="3565">
        <v>0</v>
      </c>
      <c r="O6011" s="3563" t="s">
        <v>3453</v>
      </c>
    </row>
    <row r="6012" spans="1:15">
      <c r="A6012" s="3563" t="s">
        <v>10260</v>
      </c>
      <c r="B6012" s="3563" t="s">
        <v>4196</v>
      </c>
      <c r="C6012" s="3563" t="s">
        <v>4197</v>
      </c>
      <c r="D6012" s="3563" t="s">
        <v>10228</v>
      </c>
      <c r="E6012" s="3563" t="s">
        <v>4199</v>
      </c>
      <c r="F6012" s="3563" t="s">
        <v>4797</v>
      </c>
      <c r="G6012" s="3564">
        <v>87.75</v>
      </c>
      <c r="H6012" s="3564">
        <v>71</v>
      </c>
      <c r="I6012" s="3564">
        <v>16.75</v>
      </c>
      <c r="J6012" s="3565">
        <v>906020</v>
      </c>
      <c r="K6012" s="3565">
        <v>10325.01</v>
      </c>
      <c r="L6012" s="3565">
        <v>12760.85</v>
      </c>
      <c r="M6012" s="3565">
        <v>0</v>
      </c>
      <c r="N6012" s="3565">
        <v>0</v>
      </c>
      <c r="O6012" s="3563" t="s">
        <v>3453</v>
      </c>
    </row>
    <row r="6013" spans="1:15">
      <c r="A6013" s="3563" t="s">
        <v>10261</v>
      </c>
      <c r="B6013" s="3563" t="s">
        <v>4196</v>
      </c>
      <c r="C6013" s="3563" t="s">
        <v>4197</v>
      </c>
      <c r="D6013" s="3563" t="s">
        <v>10228</v>
      </c>
      <c r="E6013" s="3563" t="s">
        <v>4199</v>
      </c>
      <c r="F6013" s="3563" t="s">
        <v>4797</v>
      </c>
      <c r="G6013" s="3564">
        <v>87.75</v>
      </c>
      <c r="H6013" s="3564">
        <v>71</v>
      </c>
      <c r="I6013" s="3564">
        <v>16.75</v>
      </c>
      <c r="J6013" s="3565">
        <v>906020</v>
      </c>
      <c r="K6013" s="3565">
        <v>10325.01</v>
      </c>
      <c r="L6013" s="3565">
        <v>12760.85</v>
      </c>
      <c r="M6013" s="3565">
        <v>0</v>
      </c>
      <c r="N6013" s="3565">
        <v>0</v>
      </c>
      <c r="O6013" s="3563" t="s">
        <v>3453</v>
      </c>
    </row>
    <row r="6014" spans="1:15">
      <c r="A6014" s="3563" t="s">
        <v>10262</v>
      </c>
      <c r="B6014" s="3563" t="s">
        <v>4196</v>
      </c>
      <c r="C6014" s="3563" t="s">
        <v>4197</v>
      </c>
      <c r="D6014" s="3563" t="s">
        <v>10228</v>
      </c>
      <c r="E6014" s="3563" t="s">
        <v>4199</v>
      </c>
      <c r="F6014" s="3563" t="s">
        <v>4797</v>
      </c>
      <c r="G6014" s="3564">
        <v>101.36</v>
      </c>
      <c r="H6014" s="3564">
        <v>82.01</v>
      </c>
      <c r="I6014" s="3564">
        <v>19.350000000000001</v>
      </c>
      <c r="J6014" s="3565">
        <v>1035759</v>
      </c>
      <c r="K6014" s="3565">
        <v>10218.620000000001</v>
      </c>
      <c r="L6014" s="3565">
        <v>12629.67</v>
      </c>
      <c r="M6014" s="3565">
        <v>0</v>
      </c>
      <c r="N6014" s="3565">
        <v>0</v>
      </c>
      <c r="O6014" s="3563" t="s">
        <v>3453</v>
      </c>
    </row>
    <row r="6015" spans="1:15">
      <c r="A6015" s="3563" t="s">
        <v>10263</v>
      </c>
      <c r="B6015" s="3563" t="s">
        <v>4196</v>
      </c>
      <c r="C6015" s="3563" t="s">
        <v>4197</v>
      </c>
      <c r="D6015" s="3563" t="s">
        <v>10228</v>
      </c>
      <c r="E6015" s="3563" t="s">
        <v>4199</v>
      </c>
      <c r="F6015" s="3563" t="s">
        <v>4797</v>
      </c>
      <c r="G6015" s="3564">
        <v>101.03</v>
      </c>
      <c r="H6015" s="3564">
        <v>81.739999999999995</v>
      </c>
      <c r="I6015" s="3564">
        <v>19.29</v>
      </c>
      <c r="J6015" s="3565">
        <v>1112996</v>
      </c>
      <c r="K6015" s="3565">
        <v>11016.49</v>
      </c>
      <c r="L6015" s="3565">
        <v>13616.3</v>
      </c>
      <c r="M6015" s="3565">
        <v>0</v>
      </c>
      <c r="N6015" s="3565">
        <v>0</v>
      </c>
      <c r="O6015" s="3563" t="s">
        <v>3453</v>
      </c>
    </row>
    <row r="6016" spans="1:15">
      <c r="A6016" s="3563" t="s">
        <v>10264</v>
      </c>
      <c r="B6016" s="3563" t="s">
        <v>4196</v>
      </c>
      <c r="C6016" s="3563" t="s">
        <v>4197</v>
      </c>
      <c r="D6016" s="3563" t="s">
        <v>10228</v>
      </c>
      <c r="E6016" s="3563" t="s">
        <v>4199</v>
      </c>
      <c r="F6016" s="3563" t="s">
        <v>4797</v>
      </c>
      <c r="G6016" s="3564">
        <v>101.03</v>
      </c>
      <c r="H6016" s="3564">
        <v>81.739999999999995</v>
      </c>
      <c r="I6016" s="3564">
        <v>19.29</v>
      </c>
      <c r="J6016" s="3565">
        <v>1112996</v>
      </c>
      <c r="K6016" s="3565">
        <v>11016.49</v>
      </c>
      <c r="L6016" s="3565">
        <v>13616.3</v>
      </c>
      <c r="M6016" s="3565">
        <v>0</v>
      </c>
      <c r="N6016" s="3565">
        <v>0</v>
      </c>
      <c r="O6016" s="3563" t="s">
        <v>3453</v>
      </c>
    </row>
    <row r="6017" spans="1:15">
      <c r="A6017" s="3563" t="s">
        <v>10265</v>
      </c>
      <c r="B6017" s="3563" t="s">
        <v>4196</v>
      </c>
      <c r="C6017" s="3563" t="s">
        <v>4197</v>
      </c>
      <c r="D6017" s="3563" t="s">
        <v>10228</v>
      </c>
      <c r="E6017" s="3563" t="s">
        <v>4199</v>
      </c>
      <c r="F6017" s="3563" t="s">
        <v>4797</v>
      </c>
      <c r="G6017" s="3564">
        <v>123.63</v>
      </c>
      <c r="H6017" s="3564">
        <v>100.03</v>
      </c>
      <c r="I6017" s="3564">
        <v>23.6</v>
      </c>
      <c r="J6017" s="3565">
        <v>1334349</v>
      </c>
      <c r="K6017" s="3565">
        <v>10793.08</v>
      </c>
      <c r="L6017" s="3565">
        <v>13339.49</v>
      </c>
      <c r="M6017" s="3565">
        <v>0</v>
      </c>
      <c r="N6017" s="3565">
        <v>0</v>
      </c>
      <c r="O6017" s="3563" t="s">
        <v>3453</v>
      </c>
    </row>
    <row r="6018" spans="1:15">
      <c r="A6018" s="3563" t="s">
        <v>10266</v>
      </c>
      <c r="B6018" s="3563" t="s">
        <v>4196</v>
      </c>
      <c r="C6018" s="3563" t="s">
        <v>4197</v>
      </c>
      <c r="D6018" s="3563" t="s">
        <v>10228</v>
      </c>
      <c r="E6018" s="3563" t="s">
        <v>4199</v>
      </c>
      <c r="F6018" s="3563" t="s">
        <v>4797</v>
      </c>
      <c r="G6018" s="3564">
        <v>87.75</v>
      </c>
      <c r="H6018" s="3564">
        <v>71</v>
      </c>
      <c r="I6018" s="3564">
        <v>16.75</v>
      </c>
      <c r="J6018" s="3565">
        <v>905086</v>
      </c>
      <c r="K6018" s="3565">
        <v>10314.370000000001</v>
      </c>
      <c r="L6018" s="3565">
        <v>12747.69</v>
      </c>
      <c r="M6018" s="3565">
        <v>0</v>
      </c>
      <c r="N6018" s="3565">
        <v>0</v>
      </c>
      <c r="O6018" s="3563" t="s">
        <v>3453</v>
      </c>
    </row>
    <row r="6019" spans="1:15">
      <c r="A6019" s="3563" t="s">
        <v>10267</v>
      </c>
      <c r="B6019" s="3563" t="s">
        <v>4196</v>
      </c>
      <c r="C6019" s="3563" t="s">
        <v>4197</v>
      </c>
      <c r="D6019" s="3563" t="s">
        <v>10228</v>
      </c>
      <c r="E6019" s="3563" t="s">
        <v>4199</v>
      </c>
      <c r="F6019" s="3563" t="s">
        <v>4797</v>
      </c>
      <c r="G6019" s="3564">
        <v>87.75</v>
      </c>
      <c r="H6019" s="3564">
        <v>71</v>
      </c>
      <c r="I6019" s="3564">
        <v>16.75</v>
      </c>
      <c r="J6019" s="3565">
        <v>905086</v>
      </c>
      <c r="K6019" s="3565">
        <v>10314.370000000001</v>
      </c>
      <c r="L6019" s="3565">
        <v>12747.69</v>
      </c>
      <c r="M6019" s="3565">
        <v>0</v>
      </c>
      <c r="N6019" s="3565">
        <v>0</v>
      </c>
      <c r="O6019" s="3563" t="s">
        <v>3453</v>
      </c>
    </row>
    <row r="6020" spans="1:15">
      <c r="A6020" s="3563" t="s">
        <v>10268</v>
      </c>
      <c r="B6020" s="3563" t="s">
        <v>4196</v>
      </c>
      <c r="C6020" s="3563" t="s">
        <v>4197</v>
      </c>
      <c r="D6020" s="3563" t="s">
        <v>10228</v>
      </c>
      <c r="E6020" s="3563" t="s">
        <v>4199</v>
      </c>
      <c r="F6020" s="3563" t="s">
        <v>4797</v>
      </c>
      <c r="G6020" s="3564">
        <v>101.36</v>
      </c>
      <c r="H6020" s="3564">
        <v>82.01</v>
      </c>
      <c r="I6020" s="3564">
        <v>19.350000000000001</v>
      </c>
      <c r="J6020" s="3565">
        <v>1034681</v>
      </c>
      <c r="K6020" s="3565">
        <v>10207.98</v>
      </c>
      <c r="L6020" s="3565">
        <v>12616.52</v>
      </c>
      <c r="M6020" s="3565">
        <v>0</v>
      </c>
      <c r="N6020" s="3565">
        <v>0</v>
      </c>
      <c r="O6020" s="3563" t="s">
        <v>3453</v>
      </c>
    </row>
    <row r="6021" spans="1:15">
      <c r="A6021" s="3563" t="s">
        <v>10269</v>
      </c>
      <c r="B6021" s="3563" t="s">
        <v>4196</v>
      </c>
      <c r="C6021" s="3563" t="s">
        <v>4197</v>
      </c>
      <c r="D6021" s="3563" t="s">
        <v>10228</v>
      </c>
      <c r="E6021" s="3563" t="s">
        <v>4199</v>
      </c>
      <c r="F6021" s="3563" t="s">
        <v>4797</v>
      </c>
      <c r="G6021" s="3564">
        <v>101.03</v>
      </c>
      <c r="H6021" s="3564">
        <v>81.739999999999995</v>
      </c>
      <c r="I6021" s="3564">
        <v>19.29</v>
      </c>
      <c r="J6021" s="3565">
        <v>1111922</v>
      </c>
      <c r="K6021" s="3565">
        <v>11005.86</v>
      </c>
      <c r="L6021" s="3565">
        <v>13603.16</v>
      </c>
      <c r="M6021" s="3565">
        <v>0</v>
      </c>
      <c r="N6021" s="3565">
        <v>0</v>
      </c>
      <c r="O6021" s="3563" t="s">
        <v>3453</v>
      </c>
    </row>
    <row r="6022" spans="1:15">
      <c r="A6022" s="3563" t="s">
        <v>10270</v>
      </c>
      <c r="B6022" s="3563" t="s">
        <v>4196</v>
      </c>
      <c r="C6022" s="3563" t="s">
        <v>4197</v>
      </c>
      <c r="D6022" s="3563" t="s">
        <v>10228</v>
      </c>
      <c r="E6022" s="3563" t="s">
        <v>4199</v>
      </c>
      <c r="F6022" s="3563" t="s">
        <v>4797</v>
      </c>
      <c r="G6022" s="3564">
        <v>101.03</v>
      </c>
      <c r="H6022" s="3564">
        <v>81.739999999999995</v>
      </c>
      <c r="I6022" s="3564">
        <v>19.29</v>
      </c>
      <c r="J6022" s="3565">
        <v>1111922</v>
      </c>
      <c r="K6022" s="3565">
        <v>11005.86</v>
      </c>
      <c r="L6022" s="3565">
        <v>13603.16</v>
      </c>
      <c r="M6022" s="3565">
        <v>0</v>
      </c>
      <c r="N6022" s="3565">
        <v>0</v>
      </c>
      <c r="O6022" s="3563" t="s">
        <v>3453</v>
      </c>
    </row>
    <row r="6023" spans="1:15">
      <c r="A6023" s="3563" t="s">
        <v>10271</v>
      </c>
      <c r="B6023" s="3563" t="s">
        <v>4196</v>
      </c>
      <c r="C6023" s="3563" t="s">
        <v>4197</v>
      </c>
      <c r="D6023" s="3563" t="s">
        <v>10228</v>
      </c>
      <c r="E6023" s="3563" t="s">
        <v>4199</v>
      </c>
      <c r="F6023" s="3563" t="s">
        <v>4797</v>
      </c>
      <c r="G6023" s="3564">
        <v>123.63</v>
      </c>
      <c r="H6023" s="3564">
        <v>100.03</v>
      </c>
      <c r="I6023" s="3564">
        <v>23.6</v>
      </c>
      <c r="J6023" s="3565">
        <v>1333035</v>
      </c>
      <c r="K6023" s="3565">
        <v>10782.46</v>
      </c>
      <c r="L6023" s="3565">
        <v>13326.35</v>
      </c>
      <c r="M6023" s="3565">
        <v>0</v>
      </c>
      <c r="N6023" s="3565">
        <v>0</v>
      </c>
      <c r="O6023" s="3563" t="s">
        <v>3453</v>
      </c>
    </row>
    <row r="6024" spans="1:15">
      <c r="A6024" s="3563" t="s">
        <v>10272</v>
      </c>
      <c r="B6024" s="3563" t="s">
        <v>4196</v>
      </c>
      <c r="C6024" s="3563" t="s">
        <v>4197</v>
      </c>
      <c r="D6024" s="3563" t="s">
        <v>10228</v>
      </c>
      <c r="E6024" s="3563" t="s">
        <v>4199</v>
      </c>
      <c r="F6024" s="3563" t="s">
        <v>4797</v>
      </c>
      <c r="G6024" s="3564">
        <v>87.75</v>
      </c>
      <c r="H6024" s="3564">
        <v>71</v>
      </c>
      <c r="I6024" s="3564">
        <v>16.75</v>
      </c>
      <c r="J6024" s="3565">
        <v>904153</v>
      </c>
      <c r="K6024" s="3565">
        <v>10303.74</v>
      </c>
      <c r="L6024" s="3565">
        <v>12734.55</v>
      </c>
      <c r="M6024" s="3565">
        <v>0</v>
      </c>
      <c r="N6024" s="3565">
        <v>0</v>
      </c>
      <c r="O6024" s="3563" t="s">
        <v>3453</v>
      </c>
    </row>
    <row r="6025" spans="1:15">
      <c r="A6025" s="3563" t="s">
        <v>10273</v>
      </c>
      <c r="B6025" s="3563" t="s">
        <v>4196</v>
      </c>
      <c r="C6025" s="3563" t="s">
        <v>4197</v>
      </c>
      <c r="D6025" s="3563" t="s">
        <v>10228</v>
      </c>
      <c r="E6025" s="3563" t="s">
        <v>4199</v>
      </c>
      <c r="F6025" s="3563" t="s">
        <v>4797</v>
      </c>
      <c r="G6025" s="3564">
        <v>87.75</v>
      </c>
      <c r="H6025" s="3564">
        <v>71</v>
      </c>
      <c r="I6025" s="3564">
        <v>16.75</v>
      </c>
      <c r="J6025" s="3565">
        <v>904153</v>
      </c>
      <c r="K6025" s="3565">
        <v>10303.74</v>
      </c>
      <c r="L6025" s="3565">
        <v>12734.55</v>
      </c>
      <c r="M6025" s="3565">
        <v>0</v>
      </c>
      <c r="N6025" s="3565">
        <v>0</v>
      </c>
      <c r="O6025" s="3563" t="s">
        <v>3453</v>
      </c>
    </row>
    <row r="6026" spans="1:15">
      <c r="A6026" s="3563" t="s">
        <v>10274</v>
      </c>
      <c r="B6026" s="3563" t="s">
        <v>4196</v>
      </c>
      <c r="C6026" s="3563" t="s">
        <v>4197</v>
      </c>
      <c r="D6026" s="3563" t="s">
        <v>10228</v>
      </c>
      <c r="E6026" s="3563" t="s">
        <v>4199</v>
      </c>
      <c r="F6026" s="3563" t="s">
        <v>4797</v>
      </c>
      <c r="G6026" s="3564">
        <v>101.36</v>
      </c>
      <c r="H6026" s="3564">
        <v>82.01</v>
      </c>
      <c r="I6026" s="3564">
        <v>19.350000000000001</v>
      </c>
      <c r="J6026" s="3565">
        <v>1033603</v>
      </c>
      <c r="K6026" s="3565">
        <v>10197.35</v>
      </c>
      <c r="L6026" s="3565">
        <v>12603.38</v>
      </c>
      <c r="M6026" s="3565">
        <v>0</v>
      </c>
      <c r="N6026" s="3565">
        <v>0</v>
      </c>
      <c r="O6026" s="3563" t="s">
        <v>3453</v>
      </c>
    </row>
    <row r="6027" spans="1:15">
      <c r="A6027" s="3563" t="s">
        <v>10275</v>
      </c>
      <c r="B6027" s="3563" t="s">
        <v>4196</v>
      </c>
      <c r="C6027" s="3563" t="s">
        <v>4197</v>
      </c>
      <c r="D6027" s="3563" t="s">
        <v>10228</v>
      </c>
      <c r="E6027" s="3563" t="s">
        <v>4199</v>
      </c>
      <c r="F6027" s="3563" t="s">
        <v>4797</v>
      </c>
      <c r="G6027" s="3564">
        <v>101.03</v>
      </c>
      <c r="H6027" s="3564">
        <v>81.739999999999995</v>
      </c>
      <c r="I6027" s="3564">
        <v>19.29</v>
      </c>
      <c r="J6027" s="3565">
        <v>1110847</v>
      </c>
      <c r="K6027" s="3565">
        <v>10995.22</v>
      </c>
      <c r="L6027" s="3565">
        <v>13590</v>
      </c>
      <c r="M6027" s="3565">
        <v>0</v>
      </c>
      <c r="N6027" s="3565">
        <v>0</v>
      </c>
      <c r="O6027" s="3563" t="s">
        <v>3453</v>
      </c>
    </row>
    <row r="6028" spans="1:15">
      <c r="A6028" s="3563" t="s">
        <v>10276</v>
      </c>
      <c r="B6028" s="3563" t="s">
        <v>4196</v>
      </c>
      <c r="C6028" s="3563" t="s">
        <v>4197</v>
      </c>
      <c r="D6028" s="3563" t="s">
        <v>10228</v>
      </c>
      <c r="E6028" s="3563" t="s">
        <v>4199</v>
      </c>
      <c r="F6028" s="3563" t="s">
        <v>4797</v>
      </c>
      <c r="G6028" s="3564">
        <v>101.03</v>
      </c>
      <c r="H6028" s="3564">
        <v>81.739999999999995</v>
      </c>
      <c r="I6028" s="3564">
        <v>19.29</v>
      </c>
      <c r="J6028" s="3565">
        <v>1110847</v>
      </c>
      <c r="K6028" s="3565">
        <v>10995.22</v>
      </c>
      <c r="L6028" s="3565">
        <v>13590</v>
      </c>
      <c r="M6028" s="3565">
        <v>0</v>
      </c>
      <c r="N6028" s="3565">
        <v>0</v>
      </c>
      <c r="O6028" s="3563" t="s">
        <v>3453</v>
      </c>
    </row>
    <row r="6029" spans="1:15">
      <c r="A6029" s="3563" t="s">
        <v>10277</v>
      </c>
      <c r="B6029" s="3563" t="s">
        <v>4196</v>
      </c>
      <c r="C6029" s="3563" t="s">
        <v>4197</v>
      </c>
      <c r="D6029" s="3563" t="s">
        <v>10228</v>
      </c>
      <c r="E6029" s="3563" t="s">
        <v>4199</v>
      </c>
      <c r="F6029" s="3563" t="s">
        <v>4797</v>
      </c>
      <c r="G6029" s="3564">
        <v>123.63</v>
      </c>
      <c r="H6029" s="3564">
        <v>100.03</v>
      </c>
      <c r="I6029" s="3564">
        <v>23.6</v>
      </c>
      <c r="J6029" s="3565">
        <v>1318568</v>
      </c>
      <c r="K6029" s="3565">
        <v>10665.44</v>
      </c>
      <c r="L6029" s="3565">
        <v>13181.73</v>
      </c>
      <c r="M6029" s="3565">
        <v>0</v>
      </c>
      <c r="N6029" s="3565">
        <v>0</v>
      </c>
      <c r="O6029" s="3563" t="s">
        <v>3453</v>
      </c>
    </row>
    <row r="6030" spans="1:15">
      <c r="A6030" s="3563" t="s">
        <v>10278</v>
      </c>
      <c r="B6030" s="3563" t="s">
        <v>4196</v>
      </c>
      <c r="C6030" s="3563" t="s">
        <v>4197</v>
      </c>
      <c r="D6030" s="3563" t="s">
        <v>10228</v>
      </c>
      <c r="E6030" s="3563" t="s">
        <v>4199</v>
      </c>
      <c r="F6030" s="3563" t="s">
        <v>4797</v>
      </c>
      <c r="G6030" s="3564">
        <v>87.75</v>
      </c>
      <c r="H6030" s="3564">
        <v>71</v>
      </c>
      <c r="I6030" s="3564">
        <v>16.75</v>
      </c>
      <c r="J6030" s="3565">
        <v>893883</v>
      </c>
      <c r="K6030" s="3565">
        <v>10186.700000000001</v>
      </c>
      <c r="L6030" s="3565">
        <v>12589.9</v>
      </c>
      <c r="M6030" s="3565">
        <v>0</v>
      </c>
      <c r="N6030" s="3565">
        <v>0</v>
      </c>
      <c r="O6030" s="3563" t="s">
        <v>3453</v>
      </c>
    </row>
    <row r="6031" spans="1:15">
      <c r="A6031" s="3563" t="s">
        <v>10279</v>
      </c>
      <c r="B6031" s="3563" t="s">
        <v>4196</v>
      </c>
      <c r="C6031" s="3563" t="s">
        <v>4197</v>
      </c>
      <c r="D6031" s="3563" t="s">
        <v>10228</v>
      </c>
      <c r="E6031" s="3563" t="s">
        <v>4199</v>
      </c>
      <c r="F6031" s="3563" t="s">
        <v>4797</v>
      </c>
      <c r="G6031" s="3564">
        <v>87.75</v>
      </c>
      <c r="H6031" s="3564">
        <v>71</v>
      </c>
      <c r="I6031" s="3564">
        <v>16.75</v>
      </c>
      <c r="J6031" s="3565">
        <v>893883</v>
      </c>
      <c r="K6031" s="3565">
        <v>10186.700000000001</v>
      </c>
      <c r="L6031" s="3565">
        <v>12589.9</v>
      </c>
      <c r="M6031" s="3565">
        <v>0</v>
      </c>
      <c r="N6031" s="3565">
        <v>0</v>
      </c>
      <c r="O6031" s="3563" t="s">
        <v>3453</v>
      </c>
    </row>
    <row r="6032" spans="1:15">
      <c r="A6032" s="3563" t="s">
        <v>10280</v>
      </c>
      <c r="B6032" s="3563" t="s">
        <v>4196</v>
      </c>
      <c r="C6032" s="3563" t="s">
        <v>4197</v>
      </c>
      <c r="D6032" s="3563" t="s">
        <v>10228</v>
      </c>
      <c r="E6032" s="3563" t="s">
        <v>4199</v>
      </c>
      <c r="F6032" s="3563" t="s">
        <v>4797</v>
      </c>
      <c r="G6032" s="3564">
        <v>101.36</v>
      </c>
      <c r="H6032" s="3564">
        <v>82.01</v>
      </c>
      <c r="I6032" s="3564">
        <v>19.350000000000001</v>
      </c>
      <c r="J6032" s="3565">
        <v>1021742</v>
      </c>
      <c r="K6032" s="3565">
        <v>10080.33</v>
      </c>
      <c r="L6032" s="3565">
        <v>12458.75</v>
      </c>
      <c r="M6032" s="3565">
        <v>0</v>
      </c>
      <c r="N6032" s="3565">
        <v>0</v>
      </c>
      <c r="O6032" s="3563" t="s">
        <v>3453</v>
      </c>
    </row>
    <row r="6033" spans="1:15">
      <c r="A6033" s="3563" t="s">
        <v>10281</v>
      </c>
      <c r="B6033" s="3563" t="s">
        <v>4196</v>
      </c>
      <c r="C6033" s="3563" t="s">
        <v>4197</v>
      </c>
      <c r="D6033" s="3563" t="s">
        <v>10228</v>
      </c>
      <c r="E6033" s="3563" t="s">
        <v>4199</v>
      </c>
      <c r="F6033" s="3563" t="s">
        <v>4797</v>
      </c>
      <c r="G6033" s="3564">
        <v>101.03</v>
      </c>
      <c r="H6033" s="3564">
        <v>81.739999999999995</v>
      </c>
      <c r="I6033" s="3564">
        <v>19.29</v>
      </c>
      <c r="J6033" s="3565">
        <v>1099024</v>
      </c>
      <c r="K6033" s="3565">
        <v>10878.19</v>
      </c>
      <c r="L6033" s="3565">
        <v>13445.36</v>
      </c>
      <c r="M6033" s="3565">
        <v>0</v>
      </c>
      <c r="N6033" s="3565">
        <v>0</v>
      </c>
      <c r="O6033" s="3563" t="s">
        <v>3453</v>
      </c>
    </row>
    <row r="6034" spans="1:15">
      <c r="A6034" s="3563" t="s">
        <v>10282</v>
      </c>
      <c r="B6034" s="3563" t="s">
        <v>4196</v>
      </c>
      <c r="C6034" s="3563" t="s">
        <v>4197</v>
      </c>
      <c r="D6034" s="3563" t="s">
        <v>10228</v>
      </c>
      <c r="E6034" s="3563" t="s">
        <v>4199</v>
      </c>
      <c r="F6034" s="3563" t="s">
        <v>4797</v>
      </c>
      <c r="G6034" s="3564">
        <v>101.03</v>
      </c>
      <c r="H6034" s="3564">
        <v>81.739999999999995</v>
      </c>
      <c r="I6034" s="3564">
        <v>19.29</v>
      </c>
      <c r="J6034" s="3565">
        <v>1099024</v>
      </c>
      <c r="K6034" s="3565">
        <v>10878.19</v>
      </c>
      <c r="L6034" s="3565">
        <v>13445.36</v>
      </c>
      <c r="M6034" s="3565">
        <v>0</v>
      </c>
      <c r="N6034" s="3565">
        <v>0</v>
      </c>
      <c r="O6034" s="3563" t="s">
        <v>3453</v>
      </c>
    </row>
    <row r="6035" spans="1:15">
      <c r="A6035" s="3563" t="s">
        <v>10283</v>
      </c>
      <c r="B6035" s="3563" t="s">
        <v>4196</v>
      </c>
      <c r="C6035" s="3563" t="s">
        <v>4197</v>
      </c>
      <c r="D6035" s="3563" t="s">
        <v>10228</v>
      </c>
      <c r="E6035" s="3563" t="s">
        <v>4199</v>
      </c>
      <c r="F6035" s="3563" t="s">
        <v>4797</v>
      </c>
      <c r="G6035" s="3564">
        <v>123.63</v>
      </c>
      <c r="H6035" s="3564">
        <v>100.03</v>
      </c>
      <c r="I6035" s="3564">
        <v>23.6</v>
      </c>
      <c r="J6035" s="3565">
        <v>1330404</v>
      </c>
      <c r="K6035" s="3565">
        <v>10761.17</v>
      </c>
      <c r="L6035" s="3565">
        <v>13300.05</v>
      </c>
      <c r="M6035" s="3565">
        <v>0</v>
      </c>
      <c r="N6035" s="3565">
        <v>0</v>
      </c>
      <c r="O6035" s="3563" t="s">
        <v>3453</v>
      </c>
    </row>
    <row r="6036" spans="1:15">
      <c r="A6036" s="3563" t="s">
        <v>10284</v>
      </c>
      <c r="B6036" s="3563" t="s">
        <v>4196</v>
      </c>
      <c r="C6036" s="3563" t="s">
        <v>4197</v>
      </c>
      <c r="D6036" s="3563" t="s">
        <v>10228</v>
      </c>
      <c r="E6036" s="3563" t="s">
        <v>4199</v>
      </c>
      <c r="F6036" s="3563" t="s">
        <v>4797</v>
      </c>
      <c r="G6036" s="3564">
        <v>87.75</v>
      </c>
      <c r="H6036" s="3564">
        <v>71</v>
      </c>
      <c r="I6036" s="3564">
        <v>16.75</v>
      </c>
      <c r="J6036" s="3565">
        <v>902286</v>
      </c>
      <c r="K6036" s="3565">
        <v>10282.459999999999</v>
      </c>
      <c r="L6036" s="3565">
        <v>12708.25</v>
      </c>
      <c r="M6036" s="3565">
        <v>0</v>
      </c>
      <c r="N6036" s="3565">
        <v>0</v>
      </c>
      <c r="O6036" s="3563" t="s">
        <v>3453</v>
      </c>
    </row>
    <row r="6037" spans="1:15">
      <c r="A6037" s="3563" t="s">
        <v>10285</v>
      </c>
      <c r="B6037" s="3563" t="s">
        <v>4196</v>
      </c>
      <c r="C6037" s="3563" t="s">
        <v>4197</v>
      </c>
      <c r="D6037" s="3563" t="s">
        <v>10228</v>
      </c>
      <c r="E6037" s="3563" t="s">
        <v>4199</v>
      </c>
      <c r="F6037" s="3563" t="s">
        <v>4797</v>
      </c>
      <c r="G6037" s="3564">
        <v>87.75</v>
      </c>
      <c r="H6037" s="3564">
        <v>71</v>
      </c>
      <c r="I6037" s="3564">
        <v>16.75</v>
      </c>
      <c r="J6037" s="3565">
        <v>902286</v>
      </c>
      <c r="K6037" s="3565">
        <v>10282.459999999999</v>
      </c>
      <c r="L6037" s="3565">
        <v>12708.25</v>
      </c>
      <c r="M6037" s="3565">
        <v>0</v>
      </c>
      <c r="N6037" s="3565">
        <v>0</v>
      </c>
      <c r="O6037" s="3563" t="s">
        <v>3453</v>
      </c>
    </row>
    <row r="6038" spans="1:15">
      <c r="A6038" s="3563" t="s">
        <v>10286</v>
      </c>
      <c r="B6038" s="3563" t="s">
        <v>4196</v>
      </c>
      <c r="C6038" s="3563" t="s">
        <v>4197</v>
      </c>
      <c r="D6038" s="3563" t="s">
        <v>10228</v>
      </c>
      <c r="E6038" s="3563" t="s">
        <v>4199</v>
      </c>
      <c r="F6038" s="3563" t="s">
        <v>4797</v>
      </c>
      <c r="G6038" s="3564">
        <v>101.36</v>
      </c>
      <c r="H6038" s="3564">
        <v>82.01</v>
      </c>
      <c r="I6038" s="3564">
        <v>19.350000000000001</v>
      </c>
      <c r="J6038" s="3565">
        <v>1031446</v>
      </c>
      <c r="K6038" s="3565">
        <v>10176.07</v>
      </c>
      <c r="L6038" s="3565">
        <v>12577.08</v>
      </c>
      <c r="M6038" s="3565">
        <v>0</v>
      </c>
      <c r="N6038" s="3565">
        <v>0</v>
      </c>
      <c r="O6038" s="3563" t="s">
        <v>3453</v>
      </c>
    </row>
    <row r="6039" spans="1:15">
      <c r="A6039" s="3563" t="s">
        <v>10287</v>
      </c>
      <c r="B6039" s="3563" t="s">
        <v>4196</v>
      </c>
      <c r="C6039" s="3563" t="s">
        <v>4197</v>
      </c>
      <c r="D6039" s="3563" t="s">
        <v>10228</v>
      </c>
      <c r="E6039" s="3563" t="s">
        <v>4199</v>
      </c>
      <c r="F6039" s="3563" t="s">
        <v>4797</v>
      </c>
      <c r="G6039" s="3564">
        <v>101.03</v>
      </c>
      <c r="H6039" s="3564">
        <v>81.739999999999995</v>
      </c>
      <c r="I6039" s="3564">
        <v>19.29</v>
      </c>
      <c r="J6039" s="3565">
        <v>1108697</v>
      </c>
      <c r="K6039" s="3565">
        <v>10973.94</v>
      </c>
      <c r="L6039" s="3565">
        <v>13563.7</v>
      </c>
      <c r="M6039" s="3565">
        <v>0</v>
      </c>
      <c r="N6039" s="3565">
        <v>0</v>
      </c>
      <c r="O6039" s="3563" t="s">
        <v>3453</v>
      </c>
    </row>
    <row r="6040" spans="1:15">
      <c r="A6040" s="3563" t="s">
        <v>10288</v>
      </c>
      <c r="B6040" s="3563" t="s">
        <v>4196</v>
      </c>
      <c r="C6040" s="3563" t="s">
        <v>4197</v>
      </c>
      <c r="D6040" s="3563" t="s">
        <v>10228</v>
      </c>
      <c r="E6040" s="3563" t="s">
        <v>4199</v>
      </c>
      <c r="F6040" s="3563" t="s">
        <v>4797</v>
      </c>
      <c r="G6040" s="3564">
        <v>101.03</v>
      </c>
      <c r="H6040" s="3564">
        <v>81.739999999999995</v>
      </c>
      <c r="I6040" s="3564">
        <v>19.29</v>
      </c>
      <c r="J6040" s="3565">
        <v>1108697</v>
      </c>
      <c r="K6040" s="3565">
        <v>10973.94</v>
      </c>
      <c r="L6040" s="3565">
        <v>13563.7</v>
      </c>
      <c r="M6040" s="3565">
        <v>0</v>
      </c>
      <c r="N6040" s="3565">
        <v>0</v>
      </c>
      <c r="O6040" s="3563" t="s">
        <v>3453</v>
      </c>
    </row>
    <row r="6041" spans="1:15">
      <c r="A6041" s="3563" t="s">
        <v>10289</v>
      </c>
      <c r="B6041" s="3563" t="s">
        <v>4196</v>
      </c>
      <c r="C6041" s="3563" t="s">
        <v>4197</v>
      </c>
      <c r="D6041" s="3563" t="s">
        <v>10228</v>
      </c>
      <c r="E6041" s="3563" t="s">
        <v>4199</v>
      </c>
      <c r="F6041" s="3563" t="s">
        <v>4797</v>
      </c>
      <c r="G6041" s="3564">
        <v>127.63</v>
      </c>
      <c r="H6041" s="3564">
        <v>100.03</v>
      </c>
      <c r="I6041" s="3564">
        <v>27.6</v>
      </c>
      <c r="J6041" s="3565">
        <v>1283836</v>
      </c>
      <c r="K6041" s="3565">
        <v>10059.049999999999</v>
      </c>
      <c r="L6041" s="3565">
        <v>12834.51</v>
      </c>
      <c r="M6041" s="3565">
        <v>0</v>
      </c>
      <c r="N6041" s="3565">
        <v>0</v>
      </c>
      <c r="O6041" s="3563" t="s">
        <v>3453</v>
      </c>
    </row>
    <row r="6042" spans="1:15">
      <c r="A6042" s="3563" t="s">
        <v>10290</v>
      </c>
      <c r="B6042" s="3563" t="s">
        <v>4196</v>
      </c>
      <c r="C6042" s="3563" t="s">
        <v>4197</v>
      </c>
      <c r="D6042" s="3563" t="s">
        <v>10228</v>
      </c>
      <c r="E6042" s="3563" t="s">
        <v>4199</v>
      </c>
      <c r="F6042" s="3563" t="s">
        <v>4797</v>
      </c>
      <c r="G6042" s="3564">
        <v>90.59</v>
      </c>
      <c r="H6042" s="3564">
        <v>71</v>
      </c>
      <c r="I6042" s="3564">
        <v>19.59</v>
      </c>
      <c r="J6042" s="3565">
        <v>911249</v>
      </c>
      <c r="K6042" s="3565">
        <v>10059.049999999999</v>
      </c>
      <c r="L6042" s="3565">
        <v>12834.49</v>
      </c>
      <c r="M6042" s="3565">
        <v>0</v>
      </c>
      <c r="N6042" s="3565">
        <v>0</v>
      </c>
      <c r="O6042" s="3563" t="s">
        <v>3453</v>
      </c>
    </row>
    <row r="6043" spans="1:15">
      <c r="A6043" s="3563" t="s">
        <v>10291</v>
      </c>
      <c r="B6043" s="3563" t="s">
        <v>4196</v>
      </c>
      <c r="C6043" s="3563" t="s">
        <v>4197</v>
      </c>
      <c r="D6043" s="3563" t="s">
        <v>10228</v>
      </c>
      <c r="E6043" s="3563" t="s">
        <v>4199</v>
      </c>
      <c r="F6043" s="3563" t="s">
        <v>4797</v>
      </c>
      <c r="G6043" s="3564">
        <v>90.59</v>
      </c>
      <c r="H6043" s="3564">
        <v>71</v>
      </c>
      <c r="I6043" s="3564">
        <v>19.59</v>
      </c>
      <c r="J6043" s="3565">
        <v>911249</v>
      </c>
      <c r="K6043" s="3565">
        <v>10059.049999999999</v>
      </c>
      <c r="L6043" s="3565">
        <v>12834.49</v>
      </c>
      <c r="M6043" s="3565">
        <v>0</v>
      </c>
      <c r="N6043" s="3565">
        <v>0</v>
      </c>
      <c r="O6043" s="3563" t="s">
        <v>3453</v>
      </c>
    </row>
    <row r="6044" spans="1:15">
      <c r="A6044" s="3563" t="s">
        <v>10292</v>
      </c>
      <c r="B6044" s="3563" t="s">
        <v>4196</v>
      </c>
      <c r="C6044" s="3563" t="s">
        <v>4197</v>
      </c>
      <c r="D6044" s="3563" t="s">
        <v>10228</v>
      </c>
      <c r="E6044" s="3563" t="s">
        <v>4199</v>
      </c>
      <c r="F6044" s="3563" t="s">
        <v>4797</v>
      </c>
      <c r="G6044" s="3564">
        <v>104.64</v>
      </c>
      <c r="H6044" s="3564">
        <v>82.01</v>
      </c>
      <c r="I6044" s="3564">
        <v>22.63</v>
      </c>
      <c r="J6044" s="3565">
        <v>1052579</v>
      </c>
      <c r="K6044" s="3565">
        <v>10059.049999999999</v>
      </c>
      <c r="L6044" s="3565">
        <v>12834.76</v>
      </c>
      <c r="M6044" s="3565">
        <v>0</v>
      </c>
      <c r="N6044" s="3565">
        <v>0</v>
      </c>
      <c r="O6044" s="3563" t="s">
        <v>3453</v>
      </c>
    </row>
    <row r="6045" spans="1:15">
      <c r="A6045" s="3563" t="s">
        <v>10293</v>
      </c>
      <c r="B6045" s="3563" t="s">
        <v>4196</v>
      </c>
      <c r="C6045" s="3563" t="s">
        <v>4197</v>
      </c>
      <c r="D6045" s="3563" t="s">
        <v>10228</v>
      </c>
      <c r="E6045" s="3563" t="s">
        <v>4199</v>
      </c>
      <c r="F6045" s="3563" t="s">
        <v>4797</v>
      </c>
      <c r="G6045" s="3564">
        <v>123.63</v>
      </c>
      <c r="H6045" s="3564">
        <v>100.03</v>
      </c>
      <c r="I6045" s="3564">
        <v>23.6</v>
      </c>
      <c r="J6045" s="3565">
        <v>1329089</v>
      </c>
      <c r="K6045" s="3565">
        <v>10750.54</v>
      </c>
      <c r="L6045" s="3565">
        <v>13286.9</v>
      </c>
      <c r="M6045" s="3565">
        <v>0</v>
      </c>
      <c r="N6045" s="3565">
        <v>0</v>
      </c>
      <c r="O6045" s="3563" t="s">
        <v>3453</v>
      </c>
    </row>
    <row r="6046" spans="1:15">
      <c r="A6046" s="3563" t="s">
        <v>10294</v>
      </c>
      <c r="B6046" s="3563" t="s">
        <v>4196</v>
      </c>
      <c r="C6046" s="3563" t="s">
        <v>4197</v>
      </c>
      <c r="D6046" s="3563" t="s">
        <v>10228</v>
      </c>
      <c r="E6046" s="3563" t="s">
        <v>4199</v>
      </c>
      <c r="F6046" s="3563" t="s">
        <v>4797</v>
      </c>
      <c r="G6046" s="3564">
        <v>87.75</v>
      </c>
      <c r="H6046" s="3564">
        <v>71</v>
      </c>
      <c r="I6046" s="3564">
        <v>16.75</v>
      </c>
      <c r="J6046" s="3565">
        <v>901352</v>
      </c>
      <c r="K6046" s="3565">
        <v>10271.82</v>
      </c>
      <c r="L6046" s="3565">
        <v>12695.1</v>
      </c>
      <c r="M6046" s="3565">
        <v>0</v>
      </c>
      <c r="N6046" s="3565">
        <v>0</v>
      </c>
      <c r="O6046" s="3563" t="s">
        <v>3453</v>
      </c>
    </row>
    <row r="6047" spans="1:15">
      <c r="A6047" s="3563" t="s">
        <v>10295</v>
      </c>
      <c r="B6047" s="3563" t="s">
        <v>4196</v>
      </c>
      <c r="C6047" s="3563" t="s">
        <v>4197</v>
      </c>
      <c r="D6047" s="3563" t="s">
        <v>10228</v>
      </c>
      <c r="E6047" s="3563" t="s">
        <v>4199</v>
      </c>
      <c r="F6047" s="3563" t="s">
        <v>4797</v>
      </c>
      <c r="G6047" s="3564">
        <v>87.75</v>
      </c>
      <c r="H6047" s="3564">
        <v>71</v>
      </c>
      <c r="I6047" s="3564">
        <v>16.75</v>
      </c>
      <c r="J6047" s="3565">
        <v>901352</v>
      </c>
      <c r="K6047" s="3565">
        <v>10271.82</v>
      </c>
      <c r="L6047" s="3565">
        <v>12695.1</v>
      </c>
      <c r="M6047" s="3565">
        <v>0</v>
      </c>
      <c r="N6047" s="3565">
        <v>0</v>
      </c>
      <c r="O6047" s="3563" t="s">
        <v>3453</v>
      </c>
    </row>
    <row r="6048" spans="1:15">
      <c r="A6048" s="3563" t="s">
        <v>10296</v>
      </c>
      <c r="B6048" s="3563" t="s">
        <v>4196</v>
      </c>
      <c r="C6048" s="3563" t="s">
        <v>4197</v>
      </c>
      <c r="D6048" s="3563" t="s">
        <v>10228</v>
      </c>
      <c r="E6048" s="3563" t="s">
        <v>4199</v>
      </c>
      <c r="F6048" s="3563" t="s">
        <v>4797</v>
      </c>
      <c r="G6048" s="3564">
        <v>101.36</v>
      </c>
      <c r="H6048" s="3564">
        <v>82.01</v>
      </c>
      <c r="I6048" s="3564">
        <v>19.350000000000001</v>
      </c>
      <c r="J6048" s="3565">
        <v>1030368</v>
      </c>
      <c r="K6048" s="3565">
        <v>10165.43</v>
      </c>
      <c r="L6048" s="3565">
        <v>12563.93</v>
      </c>
      <c r="M6048" s="3565">
        <v>0</v>
      </c>
      <c r="N6048" s="3565">
        <v>0</v>
      </c>
      <c r="O6048" s="3563" t="s">
        <v>3453</v>
      </c>
    </row>
    <row r="6049" spans="1:15">
      <c r="A6049" s="3563" t="s">
        <v>10297</v>
      </c>
      <c r="B6049" s="3563" t="s">
        <v>4196</v>
      </c>
      <c r="C6049" s="3563" t="s">
        <v>4197</v>
      </c>
      <c r="D6049" s="3563" t="s">
        <v>10228</v>
      </c>
      <c r="E6049" s="3563" t="s">
        <v>4199</v>
      </c>
      <c r="F6049" s="3563" t="s">
        <v>4797</v>
      </c>
      <c r="G6049" s="3564">
        <v>101.03</v>
      </c>
      <c r="H6049" s="3564">
        <v>81.739999999999995</v>
      </c>
      <c r="I6049" s="3564">
        <v>19.29</v>
      </c>
      <c r="J6049" s="3565">
        <v>1107623</v>
      </c>
      <c r="K6049" s="3565">
        <v>10963.31</v>
      </c>
      <c r="L6049" s="3565">
        <v>13550.56</v>
      </c>
      <c r="M6049" s="3565">
        <v>0</v>
      </c>
      <c r="N6049" s="3565">
        <v>0</v>
      </c>
      <c r="O6049" s="3563" t="s">
        <v>3453</v>
      </c>
    </row>
    <row r="6050" spans="1:15">
      <c r="A6050" s="3563" t="s">
        <v>10298</v>
      </c>
      <c r="B6050" s="3563" t="s">
        <v>4196</v>
      </c>
      <c r="C6050" s="3563" t="s">
        <v>4197</v>
      </c>
      <c r="D6050" s="3563" t="s">
        <v>10228</v>
      </c>
      <c r="E6050" s="3563" t="s">
        <v>4199</v>
      </c>
      <c r="F6050" s="3563" t="s">
        <v>4797</v>
      </c>
      <c r="G6050" s="3564">
        <v>101.03</v>
      </c>
      <c r="H6050" s="3564">
        <v>81.739999999999995</v>
      </c>
      <c r="I6050" s="3564">
        <v>19.29</v>
      </c>
      <c r="J6050" s="3565">
        <v>1107623</v>
      </c>
      <c r="K6050" s="3565">
        <v>10963.31</v>
      </c>
      <c r="L6050" s="3565">
        <v>13550.56</v>
      </c>
      <c r="M6050" s="3565">
        <v>0</v>
      </c>
      <c r="N6050" s="3565">
        <v>0</v>
      </c>
      <c r="O6050" s="3563" t="s">
        <v>3453</v>
      </c>
    </row>
    <row r="6051" spans="1:15">
      <c r="A6051" s="3563" t="s">
        <v>10299</v>
      </c>
      <c r="B6051" s="3563" t="s">
        <v>4196</v>
      </c>
      <c r="C6051" s="3563" t="s">
        <v>4197</v>
      </c>
      <c r="D6051" s="3563" t="s">
        <v>10228</v>
      </c>
      <c r="E6051" s="3563" t="s">
        <v>4199</v>
      </c>
      <c r="F6051" s="3563" t="s">
        <v>4797</v>
      </c>
      <c r="G6051" s="3564">
        <v>123.63</v>
      </c>
      <c r="H6051" s="3564">
        <v>100.03</v>
      </c>
      <c r="I6051" s="3564">
        <v>23.6</v>
      </c>
      <c r="J6051" s="3565">
        <v>1327774</v>
      </c>
      <c r="K6051" s="3565">
        <v>10739.9</v>
      </c>
      <c r="L6051" s="3565">
        <v>13273.76</v>
      </c>
      <c r="M6051" s="3565">
        <v>0</v>
      </c>
      <c r="N6051" s="3565">
        <v>0</v>
      </c>
      <c r="O6051" s="3563" t="s">
        <v>3453</v>
      </c>
    </row>
    <row r="6052" spans="1:15">
      <c r="A6052" s="3563" t="s">
        <v>10300</v>
      </c>
      <c r="B6052" s="3563" t="s">
        <v>4196</v>
      </c>
      <c r="C6052" s="3563" t="s">
        <v>4197</v>
      </c>
      <c r="D6052" s="3563" t="s">
        <v>10228</v>
      </c>
      <c r="E6052" s="3563" t="s">
        <v>4199</v>
      </c>
      <c r="F6052" s="3563" t="s">
        <v>4797</v>
      </c>
      <c r="G6052" s="3564">
        <v>87.75</v>
      </c>
      <c r="H6052" s="3564">
        <v>71</v>
      </c>
      <c r="I6052" s="3564">
        <v>16.75</v>
      </c>
      <c r="J6052" s="3565">
        <v>900419</v>
      </c>
      <c r="K6052" s="3565">
        <v>10261.19</v>
      </c>
      <c r="L6052" s="3565">
        <v>12681.96</v>
      </c>
      <c r="M6052" s="3565">
        <v>0</v>
      </c>
      <c r="N6052" s="3565">
        <v>0</v>
      </c>
      <c r="O6052" s="3563" t="s">
        <v>3453</v>
      </c>
    </row>
    <row r="6053" spans="1:15">
      <c r="A6053" s="3563" t="s">
        <v>10301</v>
      </c>
      <c r="B6053" s="3563" t="s">
        <v>4196</v>
      </c>
      <c r="C6053" s="3563" t="s">
        <v>4197</v>
      </c>
      <c r="D6053" s="3563" t="s">
        <v>10228</v>
      </c>
      <c r="E6053" s="3563" t="s">
        <v>4199</v>
      </c>
      <c r="F6053" s="3563" t="s">
        <v>4797</v>
      </c>
      <c r="G6053" s="3564">
        <v>87.75</v>
      </c>
      <c r="H6053" s="3564">
        <v>71</v>
      </c>
      <c r="I6053" s="3564">
        <v>16.75</v>
      </c>
      <c r="J6053" s="3565">
        <v>900419</v>
      </c>
      <c r="K6053" s="3565">
        <v>10261.19</v>
      </c>
      <c r="L6053" s="3565">
        <v>12681.96</v>
      </c>
      <c r="M6053" s="3565">
        <v>0</v>
      </c>
      <c r="N6053" s="3565">
        <v>0</v>
      </c>
      <c r="O6053" s="3563" t="s">
        <v>3453</v>
      </c>
    </row>
    <row r="6054" spans="1:15">
      <c r="A6054" s="3563" t="s">
        <v>10302</v>
      </c>
      <c r="B6054" s="3563" t="s">
        <v>4196</v>
      </c>
      <c r="C6054" s="3563" t="s">
        <v>4197</v>
      </c>
      <c r="D6054" s="3563" t="s">
        <v>10228</v>
      </c>
      <c r="E6054" s="3563" t="s">
        <v>4199</v>
      </c>
      <c r="F6054" s="3563" t="s">
        <v>4797</v>
      </c>
      <c r="G6054" s="3564">
        <v>101.36</v>
      </c>
      <c r="H6054" s="3564">
        <v>82.01</v>
      </c>
      <c r="I6054" s="3564">
        <v>19.350000000000001</v>
      </c>
      <c r="J6054" s="3565">
        <v>1029290</v>
      </c>
      <c r="K6054" s="3565">
        <v>10154.790000000001</v>
      </c>
      <c r="L6054" s="3565">
        <v>12550.79</v>
      </c>
      <c r="M6054" s="3565">
        <v>0</v>
      </c>
      <c r="N6054" s="3565">
        <v>0</v>
      </c>
      <c r="O6054" s="3563" t="s">
        <v>3453</v>
      </c>
    </row>
    <row r="6055" spans="1:15">
      <c r="A6055" s="3563" t="s">
        <v>10303</v>
      </c>
      <c r="B6055" s="3563" t="s">
        <v>4196</v>
      </c>
      <c r="C6055" s="3563" t="s">
        <v>4197</v>
      </c>
      <c r="D6055" s="3563" t="s">
        <v>10228</v>
      </c>
      <c r="E6055" s="3563" t="s">
        <v>4199</v>
      </c>
      <c r="F6055" s="3563" t="s">
        <v>4797</v>
      </c>
      <c r="G6055" s="3564">
        <v>101.03</v>
      </c>
      <c r="H6055" s="3564">
        <v>81.739999999999995</v>
      </c>
      <c r="I6055" s="3564">
        <v>19.29</v>
      </c>
      <c r="J6055" s="3565">
        <v>1106547</v>
      </c>
      <c r="K6055" s="3565">
        <v>10952.66</v>
      </c>
      <c r="L6055" s="3565">
        <v>13537.4</v>
      </c>
      <c r="M6055" s="3565">
        <v>0</v>
      </c>
      <c r="N6055" s="3565">
        <v>0</v>
      </c>
      <c r="O6055" s="3563" t="s">
        <v>3453</v>
      </c>
    </row>
    <row r="6056" spans="1:15">
      <c r="A6056" s="3563" t="s">
        <v>10304</v>
      </c>
      <c r="B6056" s="3563" t="s">
        <v>4196</v>
      </c>
      <c r="C6056" s="3563" t="s">
        <v>4197</v>
      </c>
      <c r="D6056" s="3563" t="s">
        <v>10228</v>
      </c>
      <c r="E6056" s="3563" t="s">
        <v>4199</v>
      </c>
      <c r="F6056" s="3563" t="s">
        <v>4797</v>
      </c>
      <c r="G6056" s="3564">
        <v>101.03</v>
      </c>
      <c r="H6056" s="3564">
        <v>81.739999999999995</v>
      </c>
      <c r="I6056" s="3564">
        <v>19.29</v>
      </c>
      <c r="J6056" s="3565">
        <v>1106547</v>
      </c>
      <c r="K6056" s="3565">
        <v>10952.66</v>
      </c>
      <c r="L6056" s="3565">
        <v>13537.4</v>
      </c>
      <c r="M6056" s="3565">
        <v>0</v>
      </c>
      <c r="N6056" s="3565">
        <v>0</v>
      </c>
      <c r="O6056" s="3563" t="s">
        <v>3453</v>
      </c>
    </row>
    <row r="6057" spans="1:15">
      <c r="A6057" s="3563" t="s">
        <v>10305</v>
      </c>
      <c r="B6057" s="3563" t="s">
        <v>4196</v>
      </c>
      <c r="C6057" s="3563" t="s">
        <v>4197</v>
      </c>
      <c r="D6057" s="3563" t="s">
        <v>10228</v>
      </c>
      <c r="E6057" s="3563" t="s">
        <v>4199</v>
      </c>
      <c r="F6057" s="3563" t="s">
        <v>4797</v>
      </c>
      <c r="G6057" s="3564">
        <v>123.63</v>
      </c>
      <c r="H6057" s="3564">
        <v>100.03</v>
      </c>
      <c r="I6057" s="3564">
        <v>23.6</v>
      </c>
      <c r="J6057" s="3565">
        <v>1287002</v>
      </c>
      <c r="K6057" s="3565">
        <v>10410.11</v>
      </c>
      <c r="L6057" s="3565">
        <v>12866.16</v>
      </c>
      <c r="M6057" s="3565">
        <v>0</v>
      </c>
      <c r="N6057" s="3565">
        <v>0</v>
      </c>
      <c r="O6057" s="3563" t="s">
        <v>3453</v>
      </c>
    </row>
    <row r="6058" spans="1:15">
      <c r="A6058" s="3563" t="s">
        <v>10306</v>
      </c>
      <c r="B6058" s="3563" t="s">
        <v>4196</v>
      </c>
      <c r="C6058" s="3563" t="s">
        <v>4197</v>
      </c>
      <c r="D6058" s="3563" t="s">
        <v>10228</v>
      </c>
      <c r="E6058" s="3563" t="s">
        <v>4199</v>
      </c>
      <c r="F6058" s="3563" t="s">
        <v>4797</v>
      </c>
      <c r="G6058" s="3564">
        <v>87.75</v>
      </c>
      <c r="H6058" s="3564">
        <v>71</v>
      </c>
      <c r="I6058" s="3564">
        <v>16.75</v>
      </c>
      <c r="J6058" s="3565">
        <v>882681</v>
      </c>
      <c r="K6058" s="3565">
        <v>10059.040000000001</v>
      </c>
      <c r="L6058" s="3565">
        <v>12432.13</v>
      </c>
      <c r="M6058" s="3565">
        <v>0</v>
      </c>
      <c r="N6058" s="3565">
        <v>0</v>
      </c>
      <c r="O6058" s="3563" t="s">
        <v>3453</v>
      </c>
    </row>
    <row r="6059" spans="1:15">
      <c r="A6059" s="3563" t="s">
        <v>10307</v>
      </c>
      <c r="B6059" s="3563" t="s">
        <v>4196</v>
      </c>
      <c r="C6059" s="3563" t="s">
        <v>4197</v>
      </c>
      <c r="D6059" s="3563" t="s">
        <v>10228</v>
      </c>
      <c r="E6059" s="3563" t="s">
        <v>4199</v>
      </c>
      <c r="F6059" s="3563" t="s">
        <v>4797</v>
      </c>
      <c r="G6059" s="3564">
        <v>87.75</v>
      </c>
      <c r="H6059" s="3564">
        <v>71</v>
      </c>
      <c r="I6059" s="3564">
        <v>16.75</v>
      </c>
      <c r="J6059" s="3565">
        <v>882681</v>
      </c>
      <c r="K6059" s="3565">
        <v>10059.040000000001</v>
      </c>
      <c r="L6059" s="3565">
        <v>12432.13</v>
      </c>
      <c r="M6059" s="3565">
        <v>0</v>
      </c>
      <c r="N6059" s="3565">
        <v>0</v>
      </c>
      <c r="O6059" s="3563" t="s">
        <v>3453</v>
      </c>
    </row>
    <row r="6060" spans="1:15">
      <c r="A6060" s="3563" t="s">
        <v>10308</v>
      </c>
      <c r="B6060" s="3563" t="s">
        <v>4196</v>
      </c>
      <c r="C6060" s="3563" t="s">
        <v>4197</v>
      </c>
      <c r="D6060" s="3563" t="s">
        <v>10228</v>
      </c>
      <c r="E6060" s="3563" t="s">
        <v>4199</v>
      </c>
      <c r="F6060" s="3563" t="s">
        <v>4797</v>
      </c>
      <c r="G6060" s="3564">
        <v>101.36</v>
      </c>
      <c r="H6060" s="3564">
        <v>82.01</v>
      </c>
      <c r="I6060" s="3564">
        <v>19.350000000000001</v>
      </c>
      <c r="J6060" s="3565">
        <v>1019585</v>
      </c>
      <c r="K6060" s="3565">
        <v>10059.049999999999</v>
      </c>
      <c r="L6060" s="3565">
        <v>12432.45</v>
      </c>
      <c r="M6060" s="3565">
        <v>0</v>
      </c>
      <c r="N6060" s="3565">
        <v>0</v>
      </c>
      <c r="O6060" s="3563" t="s">
        <v>3453</v>
      </c>
    </row>
    <row r="6061" spans="1:15">
      <c r="A6061" s="3563" t="s">
        <v>10309</v>
      </c>
      <c r="B6061" s="3563" t="s">
        <v>4196</v>
      </c>
      <c r="C6061" s="3563" t="s">
        <v>4197</v>
      </c>
      <c r="D6061" s="3563" t="s">
        <v>10228</v>
      </c>
      <c r="E6061" s="3563" t="s">
        <v>4199</v>
      </c>
      <c r="F6061" s="3563" t="s">
        <v>4797</v>
      </c>
      <c r="G6061" s="3564">
        <v>101.03</v>
      </c>
      <c r="H6061" s="3564">
        <v>81.739999999999995</v>
      </c>
      <c r="I6061" s="3564">
        <v>19.29</v>
      </c>
      <c r="J6061" s="3565">
        <v>1073229</v>
      </c>
      <c r="K6061" s="3565">
        <v>10622.87</v>
      </c>
      <c r="L6061" s="3565">
        <v>13129.79</v>
      </c>
      <c r="M6061" s="3565">
        <v>0</v>
      </c>
      <c r="N6061" s="3565">
        <v>0</v>
      </c>
      <c r="O6061" s="3563" t="s">
        <v>3453</v>
      </c>
    </row>
    <row r="6062" spans="1:15">
      <c r="A6062" s="3563" t="s">
        <v>10310</v>
      </c>
      <c r="B6062" s="3563" t="s">
        <v>4196</v>
      </c>
      <c r="C6062" s="3563" t="s">
        <v>4197</v>
      </c>
      <c r="D6062" s="3563" t="s">
        <v>10228</v>
      </c>
      <c r="E6062" s="3563" t="s">
        <v>4199</v>
      </c>
      <c r="F6062" s="3563" t="s">
        <v>4797</v>
      </c>
      <c r="G6062" s="3564">
        <v>101.03</v>
      </c>
      <c r="H6062" s="3564">
        <v>81.739999999999995</v>
      </c>
      <c r="I6062" s="3564">
        <v>19.29</v>
      </c>
      <c r="J6062" s="3565">
        <v>1073229</v>
      </c>
      <c r="K6062" s="3565">
        <v>10622.87</v>
      </c>
      <c r="L6062" s="3565">
        <v>13129.79</v>
      </c>
      <c r="M6062" s="3565">
        <v>0</v>
      </c>
      <c r="N6062" s="3565">
        <v>0</v>
      </c>
      <c r="O6062" s="3563" t="s">
        <v>3453</v>
      </c>
    </row>
    <row r="6063" spans="1:15">
      <c r="A6063" s="3563" t="s">
        <v>10311</v>
      </c>
      <c r="B6063" s="3563" t="s">
        <v>4196</v>
      </c>
      <c r="C6063" s="3563" t="s">
        <v>4197</v>
      </c>
      <c r="D6063" s="3563" t="s">
        <v>10228</v>
      </c>
      <c r="E6063" s="3563" t="s">
        <v>4199</v>
      </c>
      <c r="F6063" s="3563" t="s">
        <v>4797</v>
      </c>
      <c r="G6063" s="3564">
        <v>123.63</v>
      </c>
      <c r="H6063" s="3564">
        <v>100.03</v>
      </c>
      <c r="I6063" s="3564">
        <v>23.6</v>
      </c>
      <c r="J6063" s="3565">
        <v>1243599</v>
      </c>
      <c r="K6063" s="3565">
        <v>10059.040000000001</v>
      </c>
      <c r="L6063" s="3565">
        <v>12432.26</v>
      </c>
      <c r="M6063" s="3565">
        <v>0</v>
      </c>
      <c r="N6063" s="3565">
        <v>0</v>
      </c>
      <c r="O6063" s="3563" t="s">
        <v>3453</v>
      </c>
    </row>
    <row r="6064" spans="1:15">
      <c r="A6064" s="3563" t="s">
        <v>10312</v>
      </c>
      <c r="B6064" s="3563" t="s">
        <v>4196</v>
      </c>
      <c r="C6064" s="3563" t="s">
        <v>4197</v>
      </c>
      <c r="D6064" s="3563" t="s">
        <v>10228</v>
      </c>
      <c r="E6064" s="3563" t="s">
        <v>4199</v>
      </c>
      <c r="F6064" s="3563" t="s">
        <v>4797</v>
      </c>
      <c r="G6064" s="3564">
        <v>87.75</v>
      </c>
      <c r="H6064" s="3564">
        <v>71</v>
      </c>
      <c r="I6064" s="3564">
        <v>16.75</v>
      </c>
      <c r="J6064" s="3565">
        <v>882681</v>
      </c>
      <c r="K6064" s="3565">
        <v>10059.040000000001</v>
      </c>
      <c r="L6064" s="3565">
        <v>12432.13</v>
      </c>
      <c r="M6064" s="3565">
        <v>0</v>
      </c>
      <c r="N6064" s="3565">
        <v>0</v>
      </c>
      <c r="O6064" s="3563" t="s">
        <v>3453</v>
      </c>
    </row>
    <row r="6065" spans="1:15">
      <c r="A6065" s="3563" t="s">
        <v>10313</v>
      </c>
      <c r="B6065" s="3563" t="s">
        <v>4196</v>
      </c>
      <c r="C6065" s="3563" t="s">
        <v>4197</v>
      </c>
      <c r="D6065" s="3563" t="s">
        <v>10228</v>
      </c>
      <c r="E6065" s="3563" t="s">
        <v>4199</v>
      </c>
      <c r="F6065" s="3563" t="s">
        <v>4797</v>
      </c>
      <c r="G6065" s="3564">
        <v>87.75</v>
      </c>
      <c r="H6065" s="3564">
        <v>71</v>
      </c>
      <c r="I6065" s="3564">
        <v>16.75</v>
      </c>
      <c r="J6065" s="3565">
        <v>882681</v>
      </c>
      <c r="K6065" s="3565">
        <v>10059.040000000001</v>
      </c>
      <c r="L6065" s="3565">
        <v>12432.13</v>
      </c>
      <c r="M6065" s="3565">
        <v>0</v>
      </c>
      <c r="N6065" s="3565">
        <v>0</v>
      </c>
      <c r="O6065" s="3563" t="s">
        <v>3453</v>
      </c>
    </row>
    <row r="6066" spans="1:15">
      <c r="A6066" s="3563" t="s">
        <v>10314</v>
      </c>
      <c r="B6066" s="3563" t="s">
        <v>4196</v>
      </c>
      <c r="C6066" s="3563" t="s">
        <v>4197</v>
      </c>
      <c r="D6066" s="3563" t="s">
        <v>10228</v>
      </c>
      <c r="E6066" s="3563" t="s">
        <v>4199</v>
      </c>
      <c r="F6066" s="3563" t="s">
        <v>4797</v>
      </c>
      <c r="G6066" s="3564">
        <v>101.36</v>
      </c>
      <c r="H6066" s="3564">
        <v>82.01</v>
      </c>
      <c r="I6066" s="3564">
        <v>19.350000000000001</v>
      </c>
      <c r="J6066" s="3565">
        <v>1019585</v>
      </c>
      <c r="K6066" s="3565">
        <v>10059.049999999999</v>
      </c>
      <c r="L6066" s="3565">
        <v>12432.45</v>
      </c>
      <c r="M6066" s="3565">
        <v>0</v>
      </c>
      <c r="N6066" s="3565">
        <v>0</v>
      </c>
      <c r="O6066" s="3563" t="s">
        <v>3453</v>
      </c>
    </row>
    <row r="6067" spans="1:15">
      <c r="A6067" s="3563" t="s">
        <v>10315</v>
      </c>
      <c r="B6067" s="3563" t="s">
        <v>4196</v>
      </c>
      <c r="C6067" s="3563" t="s">
        <v>4197</v>
      </c>
      <c r="D6067" s="3563" t="s">
        <v>10228</v>
      </c>
      <c r="E6067" s="3563" t="s">
        <v>4199</v>
      </c>
      <c r="F6067" s="3563" t="s">
        <v>4797</v>
      </c>
      <c r="G6067" s="3564">
        <v>101.03</v>
      </c>
      <c r="H6067" s="3564">
        <v>81.739999999999995</v>
      </c>
      <c r="I6067" s="3564">
        <v>19.29</v>
      </c>
      <c r="J6067" s="3565">
        <v>1022714</v>
      </c>
      <c r="K6067" s="3565">
        <v>10122.870000000001</v>
      </c>
      <c r="L6067" s="3565">
        <v>12511.79</v>
      </c>
      <c r="M6067" s="3565">
        <v>0</v>
      </c>
      <c r="N6067" s="3565">
        <v>0</v>
      </c>
      <c r="O6067" s="3563" t="s">
        <v>3453</v>
      </c>
    </row>
    <row r="6068" spans="1:15">
      <c r="A6068" s="3563" t="s">
        <v>10316</v>
      </c>
      <c r="B6068" s="3563" t="s">
        <v>4196</v>
      </c>
      <c r="C6068" s="3563" t="s">
        <v>4197</v>
      </c>
      <c r="D6068" s="3563" t="s">
        <v>10228</v>
      </c>
      <c r="E6068" s="3563" t="s">
        <v>4199</v>
      </c>
      <c r="F6068" s="3563" t="s">
        <v>4797</v>
      </c>
      <c r="G6068" s="3564">
        <v>101.03</v>
      </c>
      <c r="H6068" s="3564">
        <v>81.739999999999995</v>
      </c>
      <c r="I6068" s="3564">
        <v>19.29</v>
      </c>
      <c r="J6068" s="3565">
        <v>1033462</v>
      </c>
      <c r="K6068" s="3565">
        <v>10229.26</v>
      </c>
      <c r="L6068" s="3565">
        <v>12643.28</v>
      </c>
      <c r="M6068" s="3565">
        <v>0</v>
      </c>
      <c r="N6068" s="3565">
        <v>0</v>
      </c>
      <c r="O6068" s="3563" t="s">
        <v>3453</v>
      </c>
    </row>
    <row r="6069" spans="1:15">
      <c r="A6069" s="3563" t="s">
        <v>10317</v>
      </c>
      <c r="B6069" s="3563" t="s">
        <v>4196</v>
      </c>
      <c r="C6069" s="3563" t="s">
        <v>4197</v>
      </c>
      <c r="D6069" s="3563" t="s">
        <v>10228</v>
      </c>
      <c r="E6069" s="3563" t="s">
        <v>4199</v>
      </c>
      <c r="F6069" s="3563" t="s">
        <v>4797</v>
      </c>
      <c r="G6069" s="3564">
        <v>123.63</v>
      </c>
      <c r="H6069" s="3564">
        <v>100.03</v>
      </c>
      <c r="I6069" s="3564">
        <v>23.6</v>
      </c>
      <c r="J6069" s="3565">
        <v>1254122</v>
      </c>
      <c r="K6069" s="3565">
        <v>10144.16</v>
      </c>
      <c r="L6069" s="3565">
        <v>12537.46</v>
      </c>
      <c r="M6069" s="3565">
        <v>0</v>
      </c>
      <c r="N6069" s="3565">
        <v>0</v>
      </c>
      <c r="O6069" s="3563" t="s">
        <v>3453</v>
      </c>
    </row>
    <row r="6070" spans="1:15">
      <c r="A6070" s="3563" t="s">
        <v>10318</v>
      </c>
      <c r="B6070" s="3563" t="s">
        <v>4196</v>
      </c>
      <c r="C6070" s="3563" t="s">
        <v>4197</v>
      </c>
      <c r="D6070" s="3563" t="s">
        <v>10228</v>
      </c>
      <c r="E6070" s="3563" t="s">
        <v>4199</v>
      </c>
      <c r="F6070" s="3563" t="s">
        <v>4797</v>
      </c>
      <c r="G6070" s="3564">
        <v>87.75</v>
      </c>
      <c r="H6070" s="3564">
        <v>71</v>
      </c>
      <c r="I6070" s="3564">
        <v>16.75</v>
      </c>
      <c r="J6070" s="3565">
        <v>882681</v>
      </c>
      <c r="K6070" s="3565">
        <v>10059.040000000001</v>
      </c>
      <c r="L6070" s="3565">
        <v>12432.13</v>
      </c>
      <c r="M6070" s="3565">
        <v>0</v>
      </c>
      <c r="N6070" s="3565">
        <v>0</v>
      </c>
      <c r="O6070" s="3563" t="s">
        <v>3453</v>
      </c>
    </row>
    <row r="6071" spans="1:15">
      <c r="A6071" s="3563" t="s">
        <v>10319</v>
      </c>
      <c r="B6071" s="3563" t="s">
        <v>4196</v>
      </c>
      <c r="C6071" s="3563" t="s">
        <v>4197</v>
      </c>
      <c r="D6071" s="3563" t="s">
        <v>10228</v>
      </c>
      <c r="E6071" s="3563" t="s">
        <v>4199</v>
      </c>
      <c r="F6071" s="3563" t="s">
        <v>4797</v>
      </c>
      <c r="G6071" s="3564">
        <v>87.75</v>
      </c>
      <c r="H6071" s="3564">
        <v>71</v>
      </c>
      <c r="I6071" s="3564">
        <v>16.75</v>
      </c>
      <c r="J6071" s="3565">
        <v>882681</v>
      </c>
      <c r="K6071" s="3565">
        <v>10059.040000000001</v>
      </c>
      <c r="L6071" s="3565">
        <v>12432.13</v>
      </c>
      <c r="M6071" s="3565">
        <v>0</v>
      </c>
      <c r="N6071" s="3565">
        <v>0</v>
      </c>
      <c r="O6071" s="3563" t="s">
        <v>3453</v>
      </c>
    </row>
    <row r="6072" spans="1:15">
      <c r="A6072" s="3563" t="s">
        <v>10320</v>
      </c>
      <c r="B6072" s="3563" t="s">
        <v>4196</v>
      </c>
      <c r="C6072" s="3563" t="s">
        <v>4197</v>
      </c>
      <c r="D6072" s="3563" t="s">
        <v>10228</v>
      </c>
      <c r="E6072" s="3563" t="s">
        <v>4199</v>
      </c>
      <c r="F6072" s="3563" t="s">
        <v>4797</v>
      </c>
      <c r="G6072" s="3564">
        <v>101.36</v>
      </c>
      <c r="H6072" s="3564">
        <v>82.01</v>
      </c>
      <c r="I6072" s="3564">
        <v>19.350000000000001</v>
      </c>
      <c r="J6072" s="3565">
        <v>1019585</v>
      </c>
      <c r="K6072" s="3565">
        <v>10059.049999999999</v>
      </c>
      <c r="L6072" s="3565">
        <v>12432.45</v>
      </c>
      <c r="M6072" s="3565">
        <v>0</v>
      </c>
      <c r="N6072" s="3565">
        <v>0</v>
      </c>
      <c r="O6072" s="3563" t="s">
        <v>3453</v>
      </c>
    </row>
    <row r="6073" spans="1:15">
      <c r="A6073" s="3563" t="s">
        <v>10321</v>
      </c>
      <c r="B6073" s="3563" t="s">
        <v>4196</v>
      </c>
      <c r="C6073" s="3563" t="s">
        <v>4197</v>
      </c>
      <c r="D6073" s="3563" t="s">
        <v>10228</v>
      </c>
      <c r="E6073" s="3563" t="s">
        <v>4199</v>
      </c>
      <c r="F6073" s="3563" t="s">
        <v>4797</v>
      </c>
      <c r="G6073" s="3564">
        <v>101.03</v>
      </c>
      <c r="H6073" s="3564">
        <v>81.739999999999995</v>
      </c>
      <c r="I6073" s="3564">
        <v>19.29</v>
      </c>
      <c r="J6073" s="3565">
        <v>1035612</v>
      </c>
      <c r="K6073" s="3565">
        <v>10250.540000000001</v>
      </c>
      <c r="L6073" s="3565">
        <v>12669.59</v>
      </c>
      <c r="M6073" s="3565">
        <v>0</v>
      </c>
      <c r="N6073" s="3565">
        <v>0</v>
      </c>
      <c r="O6073" s="3563" t="s">
        <v>3453</v>
      </c>
    </row>
    <row r="6074" spans="1:15">
      <c r="A6074" s="3563" t="s">
        <v>10322</v>
      </c>
      <c r="B6074" s="3563" t="s">
        <v>4196</v>
      </c>
      <c r="C6074" s="3563" t="s">
        <v>4197</v>
      </c>
      <c r="D6074" s="3563" t="s">
        <v>10228</v>
      </c>
      <c r="E6074" s="3563" t="s">
        <v>4199</v>
      </c>
      <c r="F6074" s="3563" t="s">
        <v>4797</v>
      </c>
      <c r="G6074" s="3564">
        <v>101.03</v>
      </c>
      <c r="H6074" s="3564">
        <v>81.739999999999995</v>
      </c>
      <c r="I6074" s="3564">
        <v>19.29</v>
      </c>
      <c r="J6074" s="3565">
        <v>1046360</v>
      </c>
      <c r="K6074" s="3565">
        <v>10356.92</v>
      </c>
      <c r="L6074" s="3565">
        <v>12801.08</v>
      </c>
      <c r="M6074" s="3565">
        <v>0</v>
      </c>
      <c r="N6074" s="3565">
        <v>0</v>
      </c>
      <c r="O6074" s="3563" t="s">
        <v>3453</v>
      </c>
    </row>
    <row r="6075" spans="1:15">
      <c r="A6075" s="3563" t="s">
        <v>10323</v>
      </c>
      <c r="B6075" s="3563" t="s">
        <v>4196</v>
      </c>
      <c r="C6075" s="3563" t="s">
        <v>4197</v>
      </c>
      <c r="D6075" s="3563" t="s">
        <v>10228</v>
      </c>
      <c r="E6075" s="3563" t="s">
        <v>4199</v>
      </c>
      <c r="F6075" s="3563" t="s">
        <v>4797</v>
      </c>
      <c r="G6075" s="3564">
        <v>123.63</v>
      </c>
      <c r="H6075" s="3564">
        <v>100.03</v>
      </c>
      <c r="I6075" s="3564">
        <v>23.6</v>
      </c>
      <c r="J6075" s="3565">
        <v>1269904</v>
      </c>
      <c r="K6075" s="3565">
        <v>10271.81</v>
      </c>
      <c r="L6075" s="3565">
        <v>12695.23</v>
      </c>
      <c r="M6075" s="3565">
        <v>0</v>
      </c>
      <c r="N6075" s="3565">
        <v>0</v>
      </c>
      <c r="O6075" s="3563" t="s">
        <v>3453</v>
      </c>
    </row>
    <row r="6076" spans="1:15">
      <c r="A6076" s="3563" t="s">
        <v>10324</v>
      </c>
      <c r="B6076" s="3563" t="s">
        <v>4196</v>
      </c>
      <c r="C6076" s="3563" t="s">
        <v>4197</v>
      </c>
      <c r="D6076" s="3563" t="s">
        <v>10228</v>
      </c>
      <c r="E6076" s="3563" t="s">
        <v>4199</v>
      </c>
      <c r="F6076" s="3563" t="s">
        <v>4797</v>
      </c>
      <c r="G6076" s="3564">
        <v>87.75</v>
      </c>
      <c r="H6076" s="3564">
        <v>71</v>
      </c>
      <c r="I6076" s="3564">
        <v>16.75</v>
      </c>
      <c r="J6076" s="3565">
        <v>887349</v>
      </c>
      <c r="K6076" s="3565">
        <v>10112.24</v>
      </c>
      <c r="L6076" s="3565">
        <v>12497.87</v>
      </c>
      <c r="M6076" s="3565">
        <v>0</v>
      </c>
      <c r="N6076" s="3565">
        <v>0</v>
      </c>
      <c r="O6076" s="3563" t="s">
        <v>3453</v>
      </c>
    </row>
    <row r="6077" spans="1:15">
      <c r="A6077" s="3563" t="s">
        <v>10325</v>
      </c>
      <c r="B6077" s="3563" t="s">
        <v>4196</v>
      </c>
      <c r="C6077" s="3563" t="s">
        <v>4197</v>
      </c>
      <c r="D6077" s="3563" t="s">
        <v>10228</v>
      </c>
      <c r="E6077" s="3563" t="s">
        <v>4199</v>
      </c>
      <c r="F6077" s="3563" t="s">
        <v>4797</v>
      </c>
      <c r="G6077" s="3564">
        <v>87.75</v>
      </c>
      <c r="H6077" s="3564">
        <v>71</v>
      </c>
      <c r="I6077" s="3564">
        <v>16.75</v>
      </c>
      <c r="J6077" s="3565">
        <v>882681</v>
      </c>
      <c r="K6077" s="3565">
        <v>10059.040000000001</v>
      </c>
      <c r="L6077" s="3565">
        <v>12432.13</v>
      </c>
      <c r="M6077" s="3565">
        <v>0</v>
      </c>
      <c r="N6077" s="3565">
        <v>0</v>
      </c>
      <c r="O6077" s="3563" t="s">
        <v>3453</v>
      </c>
    </row>
    <row r="6078" spans="1:15">
      <c r="A6078" s="3563" t="s">
        <v>10326</v>
      </c>
      <c r="B6078" s="3563" t="s">
        <v>4196</v>
      </c>
      <c r="C6078" s="3563" t="s">
        <v>4197</v>
      </c>
      <c r="D6078" s="3563" t="s">
        <v>10228</v>
      </c>
      <c r="E6078" s="3563" t="s">
        <v>4199</v>
      </c>
      <c r="F6078" s="3563" t="s">
        <v>4797</v>
      </c>
      <c r="G6078" s="3564">
        <v>101.36</v>
      </c>
      <c r="H6078" s="3564">
        <v>82.01</v>
      </c>
      <c r="I6078" s="3564">
        <v>19.350000000000001</v>
      </c>
      <c r="J6078" s="3565">
        <v>1019585</v>
      </c>
      <c r="K6078" s="3565">
        <v>10059.049999999999</v>
      </c>
      <c r="L6078" s="3565">
        <v>12432.45</v>
      </c>
      <c r="M6078" s="3565">
        <v>0</v>
      </c>
      <c r="N6078" s="3565">
        <v>0</v>
      </c>
      <c r="O6078" s="3563" t="s">
        <v>3453</v>
      </c>
    </row>
    <row r="6079" spans="1:15">
      <c r="A6079" s="3563" t="s">
        <v>10327</v>
      </c>
      <c r="B6079" s="3563" t="s">
        <v>4196</v>
      </c>
      <c r="C6079" s="3563" t="s">
        <v>4197</v>
      </c>
      <c r="D6079" s="3563" t="s">
        <v>10228</v>
      </c>
      <c r="E6079" s="3563" t="s">
        <v>4199</v>
      </c>
      <c r="F6079" s="3563" t="s">
        <v>4797</v>
      </c>
      <c r="G6079" s="3564">
        <v>101.03</v>
      </c>
      <c r="H6079" s="3564">
        <v>81.739999999999995</v>
      </c>
      <c r="I6079" s="3564">
        <v>19.29</v>
      </c>
      <c r="J6079" s="3565">
        <v>1048509</v>
      </c>
      <c r="K6079" s="3565">
        <v>10378.19</v>
      </c>
      <c r="L6079" s="3565">
        <v>12827.37</v>
      </c>
      <c r="M6079" s="3565">
        <v>0</v>
      </c>
      <c r="N6079" s="3565">
        <v>0</v>
      </c>
      <c r="O6079" s="3563" t="s">
        <v>3453</v>
      </c>
    </row>
    <row r="6080" spans="1:15">
      <c r="A6080" s="3563" t="s">
        <v>10328</v>
      </c>
      <c r="B6080" s="3563" t="s">
        <v>4196</v>
      </c>
      <c r="C6080" s="3563" t="s">
        <v>4197</v>
      </c>
      <c r="D6080" s="3563" t="s">
        <v>10228</v>
      </c>
      <c r="E6080" s="3563" t="s">
        <v>4199</v>
      </c>
      <c r="F6080" s="3563" t="s">
        <v>4797</v>
      </c>
      <c r="G6080" s="3564">
        <v>101.03</v>
      </c>
      <c r="H6080" s="3564">
        <v>81.739999999999995</v>
      </c>
      <c r="I6080" s="3564">
        <v>19.29</v>
      </c>
      <c r="J6080" s="3565">
        <v>1059257</v>
      </c>
      <c r="K6080" s="3565">
        <v>10484.58</v>
      </c>
      <c r="L6080" s="3565">
        <v>12958.86</v>
      </c>
      <c r="M6080" s="3565">
        <v>0</v>
      </c>
      <c r="N6080" s="3565">
        <v>0</v>
      </c>
      <c r="O6080" s="3563" t="s">
        <v>3453</v>
      </c>
    </row>
    <row r="6081" spans="1:15">
      <c r="A6081" s="3563" t="s">
        <v>10329</v>
      </c>
      <c r="B6081" s="3563" t="s">
        <v>4196</v>
      </c>
      <c r="C6081" s="3563" t="s">
        <v>4197</v>
      </c>
      <c r="D6081" s="3563" t="s">
        <v>10228</v>
      </c>
      <c r="E6081" s="3563" t="s">
        <v>4199</v>
      </c>
      <c r="F6081" s="3563" t="s">
        <v>4797</v>
      </c>
      <c r="G6081" s="3564">
        <v>123.63</v>
      </c>
      <c r="H6081" s="3564">
        <v>100.03</v>
      </c>
      <c r="I6081" s="3564">
        <v>23.6</v>
      </c>
      <c r="J6081" s="3565">
        <v>1271220</v>
      </c>
      <c r="K6081" s="3565">
        <v>10282.459999999999</v>
      </c>
      <c r="L6081" s="3565">
        <v>12708.39</v>
      </c>
      <c r="M6081" s="3565">
        <v>0</v>
      </c>
      <c r="N6081" s="3565">
        <v>0</v>
      </c>
      <c r="O6081" s="3563" t="s">
        <v>3453</v>
      </c>
    </row>
    <row r="6082" spans="1:15">
      <c r="A6082" s="3563" t="s">
        <v>10330</v>
      </c>
      <c r="B6082" s="3563" t="s">
        <v>4196</v>
      </c>
      <c r="C6082" s="3563" t="s">
        <v>4197</v>
      </c>
      <c r="D6082" s="3563" t="s">
        <v>10228</v>
      </c>
      <c r="E6082" s="3563" t="s">
        <v>4199</v>
      </c>
      <c r="F6082" s="3563" t="s">
        <v>4797</v>
      </c>
      <c r="G6082" s="3564">
        <v>87.75</v>
      </c>
      <c r="H6082" s="3564">
        <v>71</v>
      </c>
      <c r="I6082" s="3564">
        <v>16.75</v>
      </c>
      <c r="J6082" s="3565">
        <v>888282</v>
      </c>
      <c r="K6082" s="3565">
        <v>10122.870000000001</v>
      </c>
      <c r="L6082" s="3565">
        <v>12511.01</v>
      </c>
      <c r="M6082" s="3565">
        <v>0</v>
      </c>
      <c r="N6082" s="3565">
        <v>0</v>
      </c>
      <c r="O6082" s="3563" t="s">
        <v>3453</v>
      </c>
    </row>
    <row r="6083" spans="1:15">
      <c r="A6083" s="3563" t="s">
        <v>10331</v>
      </c>
      <c r="B6083" s="3563" t="s">
        <v>4196</v>
      </c>
      <c r="C6083" s="3563" t="s">
        <v>4197</v>
      </c>
      <c r="D6083" s="3563" t="s">
        <v>10228</v>
      </c>
      <c r="E6083" s="3563" t="s">
        <v>4199</v>
      </c>
      <c r="F6083" s="3563" t="s">
        <v>4797</v>
      </c>
      <c r="G6083" s="3564">
        <v>87.75</v>
      </c>
      <c r="H6083" s="3564">
        <v>71</v>
      </c>
      <c r="I6083" s="3564">
        <v>16.75</v>
      </c>
      <c r="J6083" s="3565">
        <v>882681</v>
      </c>
      <c r="K6083" s="3565">
        <v>10059.040000000001</v>
      </c>
      <c r="L6083" s="3565">
        <v>12432.13</v>
      </c>
      <c r="M6083" s="3565">
        <v>0</v>
      </c>
      <c r="N6083" s="3565">
        <v>0</v>
      </c>
      <c r="O6083" s="3563" t="s">
        <v>3453</v>
      </c>
    </row>
    <row r="6084" spans="1:15">
      <c r="A6084" s="3563" t="s">
        <v>10332</v>
      </c>
      <c r="B6084" s="3563" t="s">
        <v>4196</v>
      </c>
      <c r="C6084" s="3563" t="s">
        <v>4197</v>
      </c>
      <c r="D6084" s="3563" t="s">
        <v>10228</v>
      </c>
      <c r="E6084" s="3563" t="s">
        <v>4199</v>
      </c>
      <c r="F6084" s="3563" t="s">
        <v>4797</v>
      </c>
      <c r="G6084" s="3564">
        <v>101.36</v>
      </c>
      <c r="H6084" s="3564">
        <v>82.01</v>
      </c>
      <c r="I6084" s="3564">
        <v>19.350000000000001</v>
      </c>
      <c r="J6084" s="3565">
        <v>1019585</v>
      </c>
      <c r="K6084" s="3565">
        <v>10059.049999999999</v>
      </c>
      <c r="L6084" s="3565">
        <v>12432.45</v>
      </c>
      <c r="M6084" s="3565">
        <v>0</v>
      </c>
      <c r="N6084" s="3565">
        <v>0</v>
      </c>
      <c r="O6084" s="3563" t="s">
        <v>3453</v>
      </c>
    </row>
    <row r="6085" spans="1:15">
      <c r="A6085" s="3563" t="s">
        <v>10333</v>
      </c>
      <c r="B6085" s="3563" t="s">
        <v>4196</v>
      </c>
      <c r="C6085" s="3563" t="s">
        <v>4197</v>
      </c>
      <c r="D6085" s="3563" t="s">
        <v>10228</v>
      </c>
      <c r="E6085" s="3563" t="s">
        <v>4199</v>
      </c>
      <c r="F6085" s="3563" t="s">
        <v>4797</v>
      </c>
      <c r="G6085" s="3564">
        <v>101.03</v>
      </c>
      <c r="H6085" s="3564">
        <v>81.739999999999995</v>
      </c>
      <c r="I6085" s="3564">
        <v>19.29</v>
      </c>
      <c r="J6085" s="3565">
        <v>1049583</v>
      </c>
      <c r="K6085" s="3565">
        <v>10388.83</v>
      </c>
      <c r="L6085" s="3565">
        <v>12840.51</v>
      </c>
      <c r="M6085" s="3565">
        <v>0</v>
      </c>
      <c r="N6085" s="3565">
        <v>0</v>
      </c>
      <c r="O6085" s="3563" t="s">
        <v>3453</v>
      </c>
    </row>
    <row r="6086" spans="1:15">
      <c r="A6086" s="3563" t="s">
        <v>10334</v>
      </c>
      <c r="B6086" s="3563" t="s">
        <v>4196</v>
      </c>
      <c r="C6086" s="3563" t="s">
        <v>4197</v>
      </c>
      <c r="D6086" s="3563" t="s">
        <v>10228</v>
      </c>
      <c r="E6086" s="3563" t="s">
        <v>4199</v>
      </c>
      <c r="F6086" s="3563" t="s">
        <v>4797</v>
      </c>
      <c r="G6086" s="3564">
        <v>101.03</v>
      </c>
      <c r="H6086" s="3564">
        <v>81.739999999999995</v>
      </c>
      <c r="I6086" s="3564">
        <v>19.29</v>
      </c>
      <c r="J6086" s="3565">
        <v>1060331</v>
      </c>
      <c r="K6086" s="3565">
        <v>10495.21</v>
      </c>
      <c r="L6086" s="3565">
        <v>12972</v>
      </c>
      <c r="M6086" s="3565">
        <v>0</v>
      </c>
      <c r="N6086" s="3565">
        <v>0</v>
      </c>
      <c r="O6086" s="3563" t="s">
        <v>3453</v>
      </c>
    </row>
    <row r="6087" spans="1:15">
      <c r="A6087" s="3563" t="s">
        <v>10335</v>
      </c>
      <c r="B6087" s="3563" t="s">
        <v>4196</v>
      </c>
      <c r="C6087" s="3563" t="s">
        <v>4197</v>
      </c>
      <c r="D6087" s="3563" t="s">
        <v>10228</v>
      </c>
      <c r="E6087" s="3563" t="s">
        <v>4199</v>
      </c>
      <c r="F6087" s="3563" t="s">
        <v>4797</v>
      </c>
      <c r="G6087" s="3564">
        <v>123.63</v>
      </c>
      <c r="H6087" s="3564">
        <v>100.03</v>
      </c>
      <c r="I6087" s="3564">
        <v>23.6</v>
      </c>
      <c r="J6087" s="3565">
        <v>1325143</v>
      </c>
      <c r="K6087" s="3565">
        <v>10718.62</v>
      </c>
      <c r="L6087" s="3565">
        <v>13247.46</v>
      </c>
      <c r="M6087" s="3565">
        <v>0</v>
      </c>
      <c r="N6087" s="3565">
        <v>0</v>
      </c>
      <c r="O6087" s="3563" t="s">
        <v>3453</v>
      </c>
    </row>
    <row r="6088" spans="1:15">
      <c r="A6088" s="3563" t="s">
        <v>10336</v>
      </c>
      <c r="B6088" s="3563" t="s">
        <v>4196</v>
      </c>
      <c r="C6088" s="3563" t="s">
        <v>4197</v>
      </c>
      <c r="D6088" s="3563" t="s">
        <v>10228</v>
      </c>
      <c r="E6088" s="3563" t="s">
        <v>4199</v>
      </c>
      <c r="F6088" s="3563" t="s">
        <v>4797</v>
      </c>
      <c r="G6088" s="3564">
        <v>87.75</v>
      </c>
      <c r="H6088" s="3564">
        <v>71</v>
      </c>
      <c r="I6088" s="3564">
        <v>16.75</v>
      </c>
      <c r="J6088" s="3565">
        <v>898552</v>
      </c>
      <c r="K6088" s="3565">
        <v>10239.91</v>
      </c>
      <c r="L6088" s="3565">
        <v>12655.66</v>
      </c>
      <c r="M6088" s="3565">
        <v>0</v>
      </c>
      <c r="N6088" s="3565">
        <v>0</v>
      </c>
      <c r="O6088" s="3563" t="s">
        <v>3453</v>
      </c>
    </row>
    <row r="6089" spans="1:15">
      <c r="A6089" s="3563" t="s">
        <v>10337</v>
      </c>
      <c r="B6089" s="3563" t="s">
        <v>4196</v>
      </c>
      <c r="C6089" s="3563" t="s">
        <v>4197</v>
      </c>
      <c r="D6089" s="3563" t="s">
        <v>10228</v>
      </c>
      <c r="E6089" s="3563" t="s">
        <v>4199</v>
      </c>
      <c r="F6089" s="3563" t="s">
        <v>4797</v>
      </c>
      <c r="G6089" s="3564">
        <v>87.75</v>
      </c>
      <c r="H6089" s="3564">
        <v>71</v>
      </c>
      <c r="I6089" s="3564">
        <v>16.75</v>
      </c>
      <c r="J6089" s="3565">
        <v>898552</v>
      </c>
      <c r="K6089" s="3565">
        <v>10239.91</v>
      </c>
      <c r="L6089" s="3565">
        <v>12655.66</v>
      </c>
      <c r="M6089" s="3565">
        <v>0</v>
      </c>
      <c r="N6089" s="3565">
        <v>0</v>
      </c>
      <c r="O6089" s="3563" t="s">
        <v>3453</v>
      </c>
    </row>
    <row r="6090" spans="1:15">
      <c r="A6090" s="3563" t="s">
        <v>10338</v>
      </c>
      <c r="B6090" s="3563" t="s">
        <v>4196</v>
      </c>
      <c r="C6090" s="3563" t="s">
        <v>4197</v>
      </c>
      <c r="D6090" s="3563" t="s">
        <v>10228</v>
      </c>
      <c r="E6090" s="3563" t="s">
        <v>4199</v>
      </c>
      <c r="F6090" s="3563" t="s">
        <v>4797</v>
      </c>
      <c r="G6090" s="3564">
        <v>101.36</v>
      </c>
      <c r="H6090" s="3564">
        <v>82.01</v>
      </c>
      <c r="I6090" s="3564">
        <v>19.350000000000001</v>
      </c>
      <c r="J6090" s="3565">
        <v>1027133</v>
      </c>
      <c r="K6090" s="3565">
        <v>10133.51</v>
      </c>
      <c r="L6090" s="3565">
        <v>12524.48</v>
      </c>
      <c r="M6090" s="3565">
        <v>0</v>
      </c>
      <c r="N6090" s="3565">
        <v>0</v>
      </c>
      <c r="O6090" s="3563" t="s">
        <v>3453</v>
      </c>
    </row>
    <row r="6091" spans="1:15">
      <c r="A6091" s="3563" t="s">
        <v>10339</v>
      </c>
      <c r="B6091" s="3563" t="s">
        <v>4196</v>
      </c>
      <c r="C6091" s="3563" t="s">
        <v>4197</v>
      </c>
      <c r="D6091" s="3563" t="s">
        <v>10228</v>
      </c>
      <c r="E6091" s="3563" t="s">
        <v>4199</v>
      </c>
      <c r="F6091" s="3563" t="s">
        <v>4797</v>
      </c>
      <c r="G6091" s="3564">
        <v>101.03</v>
      </c>
      <c r="H6091" s="3564">
        <v>81.739999999999995</v>
      </c>
      <c r="I6091" s="3564">
        <v>19.29</v>
      </c>
      <c r="J6091" s="3565">
        <v>1104398</v>
      </c>
      <c r="K6091" s="3565">
        <v>10931.39</v>
      </c>
      <c r="L6091" s="3565">
        <v>13511.11</v>
      </c>
      <c r="M6091" s="3565">
        <v>0</v>
      </c>
      <c r="N6091" s="3565">
        <v>0</v>
      </c>
      <c r="O6091" s="3563" t="s">
        <v>3453</v>
      </c>
    </row>
    <row r="6092" spans="1:15">
      <c r="A6092" s="3563" t="s">
        <v>10340</v>
      </c>
      <c r="B6092" s="3563" t="s">
        <v>4196</v>
      </c>
      <c r="C6092" s="3563" t="s">
        <v>4197</v>
      </c>
      <c r="D6092" s="3563" t="s">
        <v>10228</v>
      </c>
      <c r="E6092" s="3563" t="s">
        <v>4199</v>
      </c>
      <c r="F6092" s="3563" t="s">
        <v>4797</v>
      </c>
      <c r="G6092" s="3564">
        <v>101.03</v>
      </c>
      <c r="H6092" s="3564">
        <v>81.739999999999995</v>
      </c>
      <c r="I6092" s="3564">
        <v>19.29</v>
      </c>
      <c r="J6092" s="3565">
        <v>1104398</v>
      </c>
      <c r="K6092" s="3565">
        <v>10931.39</v>
      </c>
      <c r="L6092" s="3565">
        <v>13511.11</v>
      </c>
      <c r="M6092" s="3565">
        <v>0</v>
      </c>
      <c r="N6092" s="3565">
        <v>0</v>
      </c>
      <c r="O6092" s="3563" t="s">
        <v>3453</v>
      </c>
    </row>
    <row r="6093" spans="1:15">
      <c r="A6093" s="3563" t="s">
        <v>10341</v>
      </c>
      <c r="B6093" s="3563" t="s">
        <v>4196</v>
      </c>
      <c r="C6093" s="3563" t="s">
        <v>4197</v>
      </c>
      <c r="D6093" s="3563" t="s">
        <v>10228</v>
      </c>
      <c r="E6093" s="3563" t="s">
        <v>4199</v>
      </c>
      <c r="F6093" s="3563" t="s">
        <v>4797</v>
      </c>
      <c r="G6093" s="3564">
        <v>123.63</v>
      </c>
      <c r="H6093" s="3564">
        <v>100.03</v>
      </c>
      <c r="I6093" s="3564">
        <v>23.6</v>
      </c>
      <c r="J6093" s="3565">
        <v>1326458</v>
      </c>
      <c r="K6093" s="3565">
        <v>10729.26</v>
      </c>
      <c r="L6093" s="3565">
        <v>13260.6</v>
      </c>
      <c r="M6093" s="3565">
        <v>0</v>
      </c>
      <c r="N6093" s="3565">
        <v>0</v>
      </c>
      <c r="O6093" s="3563" t="s">
        <v>3453</v>
      </c>
    </row>
    <row r="6094" spans="1:15">
      <c r="A6094" s="3563" t="s">
        <v>10342</v>
      </c>
      <c r="B6094" s="3563" t="s">
        <v>4196</v>
      </c>
      <c r="C6094" s="3563" t="s">
        <v>4197</v>
      </c>
      <c r="D6094" s="3563" t="s">
        <v>10228</v>
      </c>
      <c r="E6094" s="3563" t="s">
        <v>4199</v>
      </c>
      <c r="F6094" s="3563" t="s">
        <v>4797</v>
      </c>
      <c r="G6094" s="3564">
        <v>87.75</v>
      </c>
      <c r="H6094" s="3564">
        <v>71</v>
      </c>
      <c r="I6094" s="3564">
        <v>16.75</v>
      </c>
      <c r="J6094" s="3565">
        <v>899485</v>
      </c>
      <c r="K6094" s="3565">
        <v>10250.540000000001</v>
      </c>
      <c r="L6094" s="3565">
        <v>12668.8</v>
      </c>
      <c r="M6094" s="3565">
        <v>0</v>
      </c>
      <c r="N6094" s="3565">
        <v>0</v>
      </c>
      <c r="O6094" s="3563" t="s">
        <v>3453</v>
      </c>
    </row>
    <row r="6095" spans="1:15">
      <c r="A6095" s="3563" t="s">
        <v>10343</v>
      </c>
      <c r="B6095" s="3563" t="s">
        <v>4196</v>
      </c>
      <c r="C6095" s="3563" t="s">
        <v>4197</v>
      </c>
      <c r="D6095" s="3563" t="s">
        <v>10228</v>
      </c>
      <c r="E6095" s="3563" t="s">
        <v>4199</v>
      </c>
      <c r="F6095" s="3563" t="s">
        <v>4797</v>
      </c>
      <c r="G6095" s="3564">
        <v>87.75</v>
      </c>
      <c r="H6095" s="3564">
        <v>71</v>
      </c>
      <c r="I6095" s="3564">
        <v>16.75</v>
      </c>
      <c r="J6095" s="3565">
        <v>899485</v>
      </c>
      <c r="K6095" s="3565">
        <v>10250.540000000001</v>
      </c>
      <c r="L6095" s="3565">
        <v>12668.8</v>
      </c>
      <c r="M6095" s="3565">
        <v>0</v>
      </c>
      <c r="N6095" s="3565">
        <v>0</v>
      </c>
      <c r="O6095" s="3563" t="s">
        <v>3453</v>
      </c>
    </row>
    <row r="6096" spans="1:15">
      <c r="A6096" s="3563" t="s">
        <v>10344</v>
      </c>
      <c r="B6096" s="3563" t="s">
        <v>4196</v>
      </c>
      <c r="C6096" s="3563" t="s">
        <v>4197</v>
      </c>
      <c r="D6096" s="3563" t="s">
        <v>10228</v>
      </c>
      <c r="E6096" s="3563" t="s">
        <v>4199</v>
      </c>
      <c r="F6096" s="3563" t="s">
        <v>4797</v>
      </c>
      <c r="G6096" s="3564">
        <v>101.36</v>
      </c>
      <c r="H6096" s="3564">
        <v>82.01</v>
      </c>
      <c r="I6096" s="3564">
        <v>19.350000000000001</v>
      </c>
      <c r="J6096" s="3565">
        <v>1028211</v>
      </c>
      <c r="K6096" s="3565">
        <v>10144.15</v>
      </c>
      <c r="L6096" s="3565">
        <v>12537.63</v>
      </c>
      <c r="M6096" s="3565">
        <v>0</v>
      </c>
      <c r="N6096" s="3565">
        <v>0</v>
      </c>
      <c r="O6096" s="3563" t="s">
        <v>3453</v>
      </c>
    </row>
    <row r="6097" spans="1:15">
      <c r="A6097" s="3563" t="s">
        <v>10345</v>
      </c>
      <c r="B6097" s="3563" t="s">
        <v>4196</v>
      </c>
      <c r="C6097" s="3563" t="s">
        <v>4197</v>
      </c>
      <c r="D6097" s="3563" t="s">
        <v>10228</v>
      </c>
      <c r="E6097" s="3563" t="s">
        <v>4199</v>
      </c>
      <c r="F6097" s="3563" t="s">
        <v>4797</v>
      </c>
      <c r="G6097" s="3564">
        <v>101.03</v>
      </c>
      <c r="H6097" s="3564">
        <v>81.739999999999995</v>
      </c>
      <c r="I6097" s="3564">
        <v>19.29</v>
      </c>
      <c r="J6097" s="3565">
        <v>1105473</v>
      </c>
      <c r="K6097" s="3565">
        <v>10942.03</v>
      </c>
      <c r="L6097" s="3565">
        <v>13524.26</v>
      </c>
      <c r="M6097" s="3565">
        <v>0</v>
      </c>
      <c r="N6097" s="3565">
        <v>0</v>
      </c>
      <c r="O6097" s="3563" t="s">
        <v>3453</v>
      </c>
    </row>
    <row r="6098" spans="1:15">
      <c r="A6098" s="3563" t="s">
        <v>10346</v>
      </c>
      <c r="B6098" s="3563" t="s">
        <v>4196</v>
      </c>
      <c r="C6098" s="3563" t="s">
        <v>4197</v>
      </c>
      <c r="D6098" s="3563" t="s">
        <v>10228</v>
      </c>
      <c r="E6098" s="3563" t="s">
        <v>4199</v>
      </c>
      <c r="F6098" s="3563" t="s">
        <v>4797</v>
      </c>
      <c r="G6098" s="3564">
        <v>101.03</v>
      </c>
      <c r="H6098" s="3564">
        <v>81.739999999999995</v>
      </c>
      <c r="I6098" s="3564">
        <v>19.29</v>
      </c>
      <c r="J6098" s="3565">
        <v>1105473</v>
      </c>
      <c r="K6098" s="3565">
        <v>10942.03</v>
      </c>
      <c r="L6098" s="3565">
        <v>13524.26</v>
      </c>
      <c r="M6098" s="3565">
        <v>0</v>
      </c>
      <c r="N6098" s="3565">
        <v>0</v>
      </c>
      <c r="O6098" s="3563" t="s">
        <v>3453</v>
      </c>
    </row>
    <row r="6099" spans="1:15">
      <c r="A6099" s="3563" t="s">
        <v>10347</v>
      </c>
      <c r="B6099" s="3563" t="s">
        <v>4196</v>
      </c>
      <c r="C6099" s="3563" t="s">
        <v>4197</v>
      </c>
      <c r="D6099" s="3563" t="s">
        <v>10228</v>
      </c>
      <c r="E6099" s="3563" t="s">
        <v>4199</v>
      </c>
      <c r="F6099" s="3563" t="s">
        <v>4797</v>
      </c>
      <c r="G6099" s="3564">
        <v>123.63</v>
      </c>
      <c r="H6099" s="3564">
        <v>100.03</v>
      </c>
      <c r="I6099" s="3564">
        <v>23.6</v>
      </c>
      <c r="J6099" s="3565">
        <v>1327774</v>
      </c>
      <c r="K6099" s="3565">
        <v>10739.9</v>
      </c>
      <c r="L6099" s="3565">
        <v>13273.76</v>
      </c>
      <c r="M6099" s="3565">
        <v>0</v>
      </c>
      <c r="N6099" s="3565">
        <v>0</v>
      </c>
      <c r="O6099" s="3563" t="s">
        <v>3453</v>
      </c>
    </row>
    <row r="6100" spans="1:15">
      <c r="A6100" s="3563" t="s">
        <v>10348</v>
      </c>
      <c r="B6100" s="3563" t="s">
        <v>4196</v>
      </c>
      <c r="C6100" s="3563" t="s">
        <v>4197</v>
      </c>
      <c r="D6100" s="3563" t="s">
        <v>10228</v>
      </c>
      <c r="E6100" s="3563" t="s">
        <v>4199</v>
      </c>
      <c r="F6100" s="3563" t="s">
        <v>4797</v>
      </c>
      <c r="G6100" s="3564">
        <v>87.75</v>
      </c>
      <c r="H6100" s="3564">
        <v>71</v>
      </c>
      <c r="I6100" s="3564">
        <v>16.75</v>
      </c>
      <c r="J6100" s="3565">
        <v>900419</v>
      </c>
      <c r="K6100" s="3565">
        <v>10261.19</v>
      </c>
      <c r="L6100" s="3565">
        <v>12681.96</v>
      </c>
      <c r="M6100" s="3565">
        <v>0</v>
      </c>
      <c r="N6100" s="3565">
        <v>0</v>
      </c>
      <c r="O6100" s="3563" t="s">
        <v>3453</v>
      </c>
    </row>
    <row r="6101" spans="1:15">
      <c r="A6101" s="3563" t="s">
        <v>10349</v>
      </c>
      <c r="B6101" s="3563" t="s">
        <v>4196</v>
      </c>
      <c r="C6101" s="3563" t="s">
        <v>4197</v>
      </c>
      <c r="D6101" s="3563" t="s">
        <v>10228</v>
      </c>
      <c r="E6101" s="3563" t="s">
        <v>4199</v>
      </c>
      <c r="F6101" s="3563" t="s">
        <v>4797</v>
      </c>
      <c r="G6101" s="3564">
        <v>87.75</v>
      </c>
      <c r="H6101" s="3564">
        <v>71</v>
      </c>
      <c r="I6101" s="3564">
        <v>16.75</v>
      </c>
      <c r="J6101" s="3565">
        <v>900419</v>
      </c>
      <c r="K6101" s="3565">
        <v>10261.19</v>
      </c>
      <c r="L6101" s="3565">
        <v>12681.96</v>
      </c>
      <c r="M6101" s="3565">
        <v>0</v>
      </c>
      <c r="N6101" s="3565">
        <v>0</v>
      </c>
      <c r="O6101" s="3563" t="s">
        <v>3453</v>
      </c>
    </row>
    <row r="6102" spans="1:15">
      <c r="A6102" s="3563" t="s">
        <v>10350</v>
      </c>
      <c r="B6102" s="3563" t="s">
        <v>4196</v>
      </c>
      <c r="C6102" s="3563" t="s">
        <v>4197</v>
      </c>
      <c r="D6102" s="3563" t="s">
        <v>10228</v>
      </c>
      <c r="E6102" s="3563" t="s">
        <v>4199</v>
      </c>
      <c r="F6102" s="3563" t="s">
        <v>4797</v>
      </c>
      <c r="G6102" s="3564">
        <v>101.36</v>
      </c>
      <c r="H6102" s="3564">
        <v>82.01</v>
      </c>
      <c r="I6102" s="3564">
        <v>19.350000000000001</v>
      </c>
      <c r="J6102" s="3565">
        <v>1029290</v>
      </c>
      <c r="K6102" s="3565">
        <v>10154.790000000001</v>
      </c>
      <c r="L6102" s="3565">
        <v>12550.79</v>
      </c>
      <c r="M6102" s="3565">
        <v>0</v>
      </c>
      <c r="N6102" s="3565">
        <v>0</v>
      </c>
      <c r="O6102" s="3563" t="s">
        <v>3453</v>
      </c>
    </row>
    <row r="6103" spans="1:15">
      <c r="A6103" s="3563" t="s">
        <v>10351</v>
      </c>
      <c r="B6103" s="3563" t="s">
        <v>4196</v>
      </c>
      <c r="C6103" s="3563" t="s">
        <v>4197</v>
      </c>
      <c r="D6103" s="3563" t="s">
        <v>10228</v>
      </c>
      <c r="E6103" s="3563" t="s">
        <v>4199</v>
      </c>
      <c r="F6103" s="3563" t="s">
        <v>4797</v>
      </c>
      <c r="G6103" s="3564">
        <v>101.03</v>
      </c>
      <c r="H6103" s="3564">
        <v>81.739999999999995</v>
      </c>
      <c r="I6103" s="3564">
        <v>19.29</v>
      </c>
      <c r="J6103" s="3565">
        <v>1106547</v>
      </c>
      <c r="K6103" s="3565">
        <v>10952.66</v>
      </c>
      <c r="L6103" s="3565">
        <v>13537.4</v>
      </c>
      <c r="M6103" s="3565">
        <v>0</v>
      </c>
      <c r="N6103" s="3565">
        <v>0</v>
      </c>
      <c r="O6103" s="3563" t="s">
        <v>3453</v>
      </c>
    </row>
    <row r="6104" spans="1:15">
      <c r="A6104" s="3563" t="s">
        <v>10352</v>
      </c>
      <c r="B6104" s="3563" t="s">
        <v>4196</v>
      </c>
      <c r="C6104" s="3563" t="s">
        <v>4197</v>
      </c>
      <c r="D6104" s="3563" t="s">
        <v>10228</v>
      </c>
      <c r="E6104" s="3563" t="s">
        <v>4199</v>
      </c>
      <c r="F6104" s="3563" t="s">
        <v>4797</v>
      </c>
      <c r="G6104" s="3564">
        <v>101.03</v>
      </c>
      <c r="H6104" s="3564">
        <v>81.739999999999995</v>
      </c>
      <c r="I6104" s="3564">
        <v>19.29</v>
      </c>
      <c r="J6104" s="3565">
        <v>1106547</v>
      </c>
      <c r="K6104" s="3565">
        <v>10952.66</v>
      </c>
      <c r="L6104" s="3565">
        <v>13537.4</v>
      </c>
      <c r="M6104" s="3565">
        <v>0</v>
      </c>
      <c r="N6104" s="3565">
        <v>0</v>
      </c>
      <c r="O6104" s="3563" t="s">
        <v>3453</v>
      </c>
    </row>
    <row r="6105" spans="1:15">
      <c r="A6105" s="3563" t="s">
        <v>10353</v>
      </c>
      <c r="B6105" s="3563" t="s">
        <v>4196</v>
      </c>
      <c r="C6105" s="3563" t="s">
        <v>4197</v>
      </c>
      <c r="D6105" s="3563" t="s">
        <v>10228</v>
      </c>
      <c r="E6105" s="3563" t="s">
        <v>4378</v>
      </c>
      <c r="F6105" s="3563" t="s">
        <v>4797</v>
      </c>
      <c r="G6105" s="3564">
        <v>120.72</v>
      </c>
      <c r="H6105" s="3564">
        <v>104.37</v>
      </c>
      <c r="I6105" s="3564">
        <v>16.350000000000001</v>
      </c>
      <c r="J6105" s="3565">
        <v>1214328</v>
      </c>
      <c r="K6105" s="3565">
        <v>10059.049999999999</v>
      </c>
      <c r="L6105" s="3565">
        <v>11634.84</v>
      </c>
      <c r="M6105" s="3565">
        <v>0</v>
      </c>
      <c r="N6105" s="3565">
        <v>0</v>
      </c>
      <c r="O6105" s="3563" t="s">
        <v>3453</v>
      </c>
    </row>
    <row r="6106" spans="1:15">
      <c r="A6106" s="3563" t="s">
        <v>10354</v>
      </c>
      <c r="B6106" s="3563" t="s">
        <v>4196</v>
      </c>
      <c r="C6106" s="3563" t="s">
        <v>4197</v>
      </c>
      <c r="D6106" s="3563" t="s">
        <v>10228</v>
      </c>
      <c r="E6106" s="3563" t="s">
        <v>4378</v>
      </c>
      <c r="F6106" s="3563" t="s">
        <v>4797</v>
      </c>
      <c r="G6106" s="3564">
        <v>123.63</v>
      </c>
      <c r="H6106" s="3564">
        <v>100.03</v>
      </c>
      <c r="I6106" s="3564">
        <v>23.6</v>
      </c>
      <c r="J6106" s="3565">
        <v>1329089</v>
      </c>
      <c r="K6106" s="3565">
        <v>10750.54</v>
      </c>
      <c r="L6106" s="3565">
        <v>13286.9</v>
      </c>
      <c r="M6106" s="3565">
        <v>0</v>
      </c>
      <c r="N6106" s="3565">
        <v>0</v>
      </c>
      <c r="O6106" s="3563" t="s">
        <v>3453</v>
      </c>
    </row>
    <row r="6107" spans="1:15">
      <c r="A6107" s="3563" t="s">
        <v>10355</v>
      </c>
      <c r="B6107" s="3563" t="s">
        <v>4196</v>
      </c>
      <c r="C6107" s="3563" t="s">
        <v>4197</v>
      </c>
      <c r="D6107" s="3563" t="s">
        <v>10228</v>
      </c>
      <c r="E6107" s="3563" t="s">
        <v>4378</v>
      </c>
      <c r="F6107" s="3563" t="s">
        <v>4797</v>
      </c>
      <c r="G6107" s="3564">
        <v>87.75</v>
      </c>
      <c r="H6107" s="3564">
        <v>71</v>
      </c>
      <c r="I6107" s="3564">
        <v>16.75</v>
      </c>
      <c r="J6107" s="3565">
        <v>901352</v>
      </c>
      <c r="K6107" s="3565">
        <v>10271.82</v>
      </c>
      <c r="L6107" s="3565">
        <v>12695.1</v>
      </c>
      <c r="M6107" s="3565">
        <v>0</v>
      </c>
      <c r="N6107" s="3565">
        <v>0</v>
      </c>
      <c r="O6107" s="3563" t="s">
        <v>3453</v>
      </c>
    </row>
    <row r="6108" spans="1:15">
      <c r="A6108" s="3563" t="s">
        <v>10356</v>
      </c>
      <c r="B6108" s="3563" t="s">
        <v>4196</v>
      </c>
      <c r="C6108" s="3563" t="s">
        <v>4197</v>
      </c>
      <c r="D6108" s="3563" t="s">
        <v>10228</v>
      </c>
      <c r="E6108" s="3563" t="s">
        <v>4378</v>
      </c>
      <c r="F6108" s="3563" t="s">
        <v>4797</v>
      </c>
      <c r="G6108" s="3564">
        <v>87.75</v>
      </c>
      <c r="H6108" s="3564">
        <v>71</v>
      </c>
      <c r="I6108" s="3564">
        <v>16.75</v>
      </c>
      <c r="J6108" s="3565">
        <v>901352</v>
      </c>
      <c r="K6108" s="3565">
        <v>10271.82</v>
      </c>
      <c r="L6108" s="3565">
        <v>12695.1</v>
      </c>
      <c r="M6108" s="3565">
        <v>0</v>
      </c>
      <c r="N6108" s="3565">
        <v>0</v>
      </c>
      <c r="O6108" s="3563" t="s">
        <v>3453</v>
      </c>
    </row>
    <row r="6109" spans="1:15">
      <c r="A6109" s="3563" t="s">
        <v>10357</v>
      </c>
      <c r="B6109" s="3563" t="s">
        <v>4196</v>
      </c>
      <c r="C6109" s="3563" t="s">
        <v>4197</v>
      </c>
      <c r="D6109" s="3563" t="s">
        <v>10228</v>
      </c>
      <c r="E6109" s="3563" t="s">
        <v>4378</v>
      </c>
      <c r="F6109" s="3563" t="s">
        <v>4797</v>
      </c>
      <c r="G6109" s="3564">
        <v>101.36</v>
      </c>
      <c r="H6109" s="3564">
        <v>82.01</v>
      </c>
      <c r="I6109" s="3564">
        <v>19.350000000000001</v>
      </c>
      <c r="J6109" s="3565">
        <v>1030368</v>
      </c>
      <c r="K6109" s="3565">
        <v>10165.43</v>
      </c>
      <c r="L6109" s="3565">
        <v>12563.93</v>
      </c>
      <c r="M6109" s="3565">
        <v>0</v>
      </c>
      <c r="N6109" s="3565">
        <v>0</v>
      </c>
      <c r="O6109" s="3563" t="s">
        <v>3453</v>
      </c>
    </row>
    <row r="6110" spans="1:15">
      <c r="A6110" s="3563" t="s">
        <v>10358</v>
      </c>
      <c r="B6110" s="3563" t="s">
        <v>4196</v>
      </c>
      <c r="C6110" s="3563" t="s">
        <v>4197</v>
      </c>
      <c r="D6110" s="3563" t="s">
        <v>10228</v>
      </c>
      <c r="E6110" s="3563" t="s">
        <v>4378</v>
      </c>
      <c r="F6110" s="3563" t="s">
        <v>4797</v>
      </c>
      <c r="G6110" s="3564">
        <v>101.02</v>
      </c>
      <c r="H6110" s="3564">
        <v>81.739999999999995</v>
      </c>
      <c r="I6110" s="3564">
        <v>19.28</v>
      </c>
      <c r="J6110" s="3565">
        <v>1107513</v>
      </c>
      <c r="K6110" s="3565">
        <v>10963.3</v>
      </c>
      <c r="L6110" s="3565">
        <v>13549.22</v>
      </c>
      <c r="M6110" s="3565">
        <v>0</v>
      </c>
      <c r="N6110" s="3565">
        <v>0</v>
      </c>
      <c r="O6110" s="3563" t="s">
        <v>3453</v>
      </c>
    </row>
    <row r="6111" spans="1:15">
      <c r="A6111" s="3563" t="s">
        <v>10359</v>
      </c>
      <c r="B6111" s="3563" t="s">
        <v>4196</v>
      </c>
      <c r="C6111" s="3563" t="s">
        <v>4197</v>
      </c>
      <c r="D6111" s="3563" t="s">
        <v>10228</v>
      </c>
      <c r="E6111" s="3563" t="s">
        <v>4378</v>
      </c>
      <c r="F6111" s="3563" t="s">
        <v>4797</v>
      </c>
      <c r="G6111" s="3564">
        <v>101.02</v>
      </c>
      <c r="H6111" s="3564">
        <v>81.739999999999995</v>
      </c>
      <c r="I6111" s="3564">
        <v>19.28</v>
      </c>
      <c r="J6111" s="3565">
        <v>1107513</v>
      </c>
      <c r="K6111" s="3565">
        <v>10963.3</v>
      </c>
      <c r="L6111" s="3565">
        <v>13549.22</v>
      </c>
      <c r="M6111" s="3565">
        <v>0</v>
      </c>
      <c r="N6111" s="3565">
        <v>0</v>
      </c>
      <c r="O6111" s="3563" t="s">
        <v>3453</v>
      </c>
    </row>
    <row r="6112" spans="1:15">
      <c r="A6112" s="3563" t="s">
        <v>10360</v>
      </c>
      <c r="B6112" s="3563" t="s">
        <v>4196</v>
      </c>
      <c r="C6112" s="3563" t="s">
        <v>4197</v>
      </c>
      <c r="D6112" s="3563" t="s">
        <v>10228</v>
      </c>
      <c r="E6112" s="3563" t="s">
        <v>4378</v>
      </c>
      <c r="F6112" s="3563" t="s">
        <v>4797</v>
      </c>
      <c r="G6112" s="3564">
        <v>123.63</v>
      </c>
      <c r="H6112" s="3564">
        <v>100.03</v>
      </c>
      <c r="I6112" s="3564">
        <v>23.6</v>
      </c>
      <c r="J6112" s="3565">
        <v>1330404</v>
      </c>
      <c r="K6112" s="3565">
        <v>10761.17</v>
      </c>
      <c r="L6112" s="3565">
        <v>13300.05</v>
      </c>
      <c r="M6112" s="3565">
        <v>0</v>
      </c>
      <c r="N6112" s="3565">
        <v>0</v>
      </c>
      <c r="O6112" s="3563" t="s">
        <v>3453</v>
      </c>
    </row>
    <row r="6113" spans="1:15">
      <c r="A6113" s="3563" t="s">
        <v>10361</v>
      </c>
      <c r="B6113" s="3563" t="s">
        <v>4196</v>
      </c>
      <c r="C6113" s="3563" t="s">
        <v>4197</v>
      </c>
      <c r="D6113" s="3563" t="s">
        <v>10228</v>
      </c>
      <c r="E6113" s="3563" t="s">
        <v>4378</v>
      </c>
      <c r="F6113" s="3563" t="s">
        <v>4797</v>
      </c>
      <c r="G6113" s="3564">
        <v>87.75</v>
      </c>
      <c r="H6113" s="3564">
        <v>71</v>
      </c>
      <c r="I6113" s="3564">
        <v>16.75</v>
      </c>
      <c r="J6113" s="3565">
        <v>902286</v>
      </c>
      <c r="K6113" s="3565">
        <v>10282.459999999999</v>
      </c>
      <c r="L6113" s="3565">
        <v>12708.25</v>
      </c>
      <c r="M6113" s="3565">
        <v>0</v>
      </c>
      <c r="N6113" s="3565">
        <v>0</v>
      </c>
      <c r="O6113" s="3563" t="s">
        <v>3453</v>
      </c>
    </row>
    <row r="6114" spans="1:15">
      <c r="A6114" s="3563" t="s">
        <v>10362</v>
      </c>
      <c r="B6114" s="3563" t="s">
        <v>4196</v>
      </c>
      <c r="C6114" s="3563" t="s">
        <v>4197</v>
      </c>
      <c r="D6114" s="3563" t="s">
        <v>10228</v>
      </c>
      <c r="E6114" s="3563" t="s">
        <v>4378</v>
      </c>
      <c r="F6114" s="3563" t="s">
        <v>4797</v>
      </c>
      <c r="G6114" s="3564">
        <v>87.75</v>
      </c>
      <c r="H6114" s="3564">
        <v>71</v>
      </c>
      <c r="I6114" s="3564">
        <v>16.75</v>
      </c>
      <c r="J6114" s="3565">
        <v>902286</v>
      </c>
      <c r="K6114" s="3565">
        <v>10282.459999999999</v>
      </c>
      <c r="L6114" s="3565">
        <v>12708.25</v>
      </c>
      <c r="M6114" s="3565">
        <v>0</v>
      </c>
      <c r="N6114" s="3565">
        <v>0</v>
      </c>
      <c r="O6114" s="3563" t="s">
        <v>3453</v>
      </c>
    </row>
    <row r="6115" spans="1:15">
      <c r="A6115" s="3563" t="s">
        <v>10363</v>
      </c>
      <c r="B6115" s="3563" t="s">
        <v>4196</v>
      </c>
      <c r="C6115" s="3563" t="s">
        <v>4197</v>
      </c>
      <c r="D6115" s="3563" t="s">
        <v>10228</v>
      </c>
      <c r="E6115" s="3563" t="s">
        <v>4378</v>
      </c>
      <c r="F6115" s="3563" t="s">
        <v>4797</v>
      </c>
      <c r="G6115" s="3564">
        <v>101.36</v>
      </c>
      <c r="H6115" s="3564">
        <v>82.01</v>
      </c>
      <c r="I6115" s="3564">
        <v>19.350000000000001</v>
      </c>
      <c r="J6115" s="3565">
        <v>1031446</v>
      </c>
      <c r="K6115" s="3565">
        <v>10176.07</v>
      </c>
      <c r="L6115" s="3565">
        <v>12577.08</v>
      </c>
      <c r="M6115" s="3565">
        <v>0</v>
      </c>
      <c r="N6115" s="3565">
        <v>0</v>
      </c>
      <c r="O6115" s="3563" t="s">
        <v>3453</v>
      </c>
    </row>
    <row r="6116" spans="1:15">
      <c r="A6116" s="3563" t="s">
        <v>10364</v>
      </c>
      <c r="B6116" s="3563" t="s">
        <v>4196</v>
      </c>
      <c r="C6116" s="3563" t="s">
        <v>4197</v>
      </c>
      <c r="D6116" s="3563" t="s">
        <v>10228</v>
      </c>
      <c r="E6116" s="3563" t="s">
        <v>4378</v>
      </c>
      <c r="F6116" s="3563" t="s">
        <v>4797</v>
      </c>
      <c r="G6116" s="3564">
        <v>101.02</v>
      </c>
      <c r="H6116" s="3564">
        <v>81.739999999999995</v>
      </c>
      <c r="I6116" s="3564">
        <v>19.28</v>
      </c>
      <c r="J6116" s="3565">
        <v>1108588</v>
      </c>
      <c r="K6116" s="3565">
        <v>10973.95</v>
      </c>
      <c r="L6116" s="3565">
        <v>13562.37</v>
      </c>
      <c r="M6116" s="3565">
        <v>0</v>
      </c>
      <c r="N6116" s="3565">
        <v>0</v>
      </c>
      <c r="O6116" s="3563" t="s">
        <v>3453</v>
      </c>
    </row>
    <row r="6117" spans="1:15">
      <c r="A6117" s="3563" t="s">
        <v>10365</v>
      </c>
      <c r="B6117" s="3563" t="s">
        <v>4196</v>
      </c>
      <c r="C6117" s="3563" t="s">
        <v>4197</v>
      </c>
      <c r="D6117" s="3563" t="s">
        <v>10228</v>
      </c>
      <c r="E6117" s="3563" t="s">
        <v>4378</v>
      </c>
      <c r="F6117" s="3563" t="s">
        <v>4797</v>
      </c>
      <c r="G6117" s="3564">
        <v>101.02</v>
      </c>
      <c r="H6117" s="3564">
        <v>81.739999999999995</v>
      </c>
      <c r="I6117" s="3564">
        <v>19.28</v>
      </c>
      <c r="J6117" s="3565">
        <v>1108588</v>
      </c>
      <c r="K6117" s="3565">
        <v>10973.95</v>
      </c>
      <c r="L6117" s="3565">
        <v>13562.37</v>
      </c>
      <c r="M6117" s="3565">
        <v>0</v>
      </c>
      <c r="N6117" s="3565">
        <v>0</v>
      </c>
      <c r="O6117" s="3563" t="s">
        <v>3453</v>
      </c>
    </row>
    <row r="6118" spans="1:15">
      <c r="A6118" s="3563" t="s">
        <v>10366</v>
      </c>
      <c r="B6118" s="3563" t="s">
        <v>4196</v>
      </c>
      <c r="C6118" s="3563" t="s">
        <v>4197</v>
      </c>
      <c r="D6118" s="3563" t="s">
        <v>10228</v>
      </c>
      <c r="E6118" s="3563" t="s">
        <v>4378</v>
      </c>
      <c r="F6118" s="3563" t="s">
        <v>4797</v>
      </c>
      <c r="G6118" s="3564">
        <v>123.63</v>
      </c>
      <c r="H6118" s="3564">
        <v>100.03</v>
      </c>
      <c r="I6118" s="3564">
        <v>23.6</v>
      </c>
      <c r="J6118" s="3565">
        <v>1331720</v>
      </c>
      <c r="K6118" s="3565">
        <v>10771.82</v>
      </c>
      <c r="L6118" s="3565">
        <v>13313.21</v>
      </c>
      <c r="M6118" s="3565">
        <v>0</v>
      </c>
      <c r="N6118" s="3565">
        <v>0</v>
      </c>
      <c r="O6118" s="3563" t="s">
        <v>3453</v>
      </c>
    </row>
    <row r="6119" spans="1:15">
      <c r="A6119" s="3563" t="s">
        <v>10367</v>
      </c>
      <c r="B6119" s="3563" t="s">
        <v>4196</v>
      </c>
      <c r="C6119" s="3563" t="s">
        <v>4197</v>
      </c>
      <c r="D6119" s="3563" t="s">
        <v>10228</v>
      </c>
      <c r="E6119" s="3563" t="s">
        <v>4378</v>
      </c>
      <c r="F6119" s="3563" t="s">
        <v>4797</v>
      </c>
      <c r="G6119" s="3564">
        <v>87.75</v>
      </c>
      <c r="H6119" s="3564">
        <v>71</v>
      </c>
      <c r="I6119" s="3564">
        <v>16.75</v>
      </c>
      <c r="J6119" s="3565">
        <v>903219</v>
      </c>
      <c r="K6119" s="3565">
        <v>10293.09</v>
      </c>
      <c r="L6119" s="3565">
        <v>12721.39</v>
      </c>
      <c r="M6119" s="3565">
        <v>0</v>
      </c>
      <c r="N6119" s="3565">
        <v>0</v>
      </c>
      <c r="O6119" s="3563" t="s">
        <v>3453</v>
      </c>
    </row>
    <row r="6120" spans="1:15">
      <c r="A6120" s="3563" t="s">
        <v>10368</v>
      </c>
      <c r="B6120" s="3563" t="s">
        <v>4196</v>
      </c>
      <c r="C6120" s="3563" t="s">
        <v>4197</v>
      </c>
      <c r="D6120" s="3563" t="s">
        <v>10228</v>
      </c>
      <c r="E6120" s="3563" t="s">
        <v>4378</v>
      </c>
      <c r="F6120" s="3563" t="s">
        <v>4797</v>
      </c>
      <c r="G6120" s="3564">
        <v>87.75</v>
      </c>
      <c r="H6120" s="3564">
        <v>71</v>
      </c>
      <c r="I6120" s="3564">
        <v>16.75</v>
      </c>
      <c r="J6120" s="3565">
        <v>903219</v>
      </c>
      <c r="K6120" s="3565">
        <v>10293.09</v>
      </c>
      <c r="L6120" s="3565">
        <v>12721.39</v>
      </c>
      <c r="M6120" s="3565">
        <v>0</v>
      </c>
      <c r="N6120" s="3565">
        <v>0</v>
      </c>
      <c r="O6120" s="3563" t="s">
        <v>3453</v>
      </c>
    </row>
    <row r="6121" spans="1:15">
      <c r="A6121" s="3563" t="s">
        <v>10369</v>
      </c>
      <c r="B6121" s="3563" t="s">
        <v>4196</v>
      </c>
      <c r="C6121" s="3563" t="s">
        <v>4197</v>
      </c>
      <c r="D6121" s="3563" t="s">
        <v>10228</v>
      </c>
      <c r="E6121" s="3563" t="s">
        <v>4378</v>
      </c>
      <c r="F6121" s="3563" t="s">
        <v>4797</v>
      </c>
      <c r="G6121" s="3564">
        <v>101.36</v>
      </c>
      <c r="H6121" s="3564">
        <v>82.01</v>
      </c>
      <c r="I6121" s="3564">
        <v>19.350000000000001</v>
      </c>
      <c r="J6121" s="3565">
        <v>1032525</v>
      </c>
      <c r="K6121" s="3565">
        <v>10186.709999999999</v>
      </c>
      <c r="L6121" s="3565">
        <v>12590.23</v>
      </c>
      <c r="M6121" s="3565">
        <v>0</v>
      </c>
      <c r="N6121" s="3565">
        <v>0</v>
      </c>
      <c r="O6121" s="3563" t="s">
        <v>3453</v>
      </c>
    </row>
    <row r="6122" spans="1:15">
      <c r="A6122" s="3563" t="s">
        <v>10370</v>
      </c>
      <c r="B6122" s="3563" t="s">
        <v>4196</v>
      </c>
      <c r="C6122" s="3563" t="s">
        <v>4197</v>
      </c>
      <c r="D6122" s="3563" t="s">
        <v>10228</v>
      </c>
      <c r="E6122" s="3563" t="s">
        <v>4378</v>
      </c>
      <c r="F6122" s="3563" t="s">
        <v>4797</v>
      </c>
      <c r="G6122" s="3564">
        <v>101.02</v>
      </c>
      <c r="H6122" s="3564">
        <v>81.739999999999995</v>
      </c>
      <c r="I6122" s="3564">
        <v>19.28</v>
      </c>
      <c r="J6122" s="3565">
        <v>1109662</v>
      </c>
      <c r="K6122" s="3565">
        <v>10984.58</v>
      </c>
      <c r="L6122" s="3565">
        <v>13575.51</v>
      </c>
      <c r="M6122" s="3565">
        <v>0</v>
      </c>
      <c r="N6122" s="3565">
        <v>0</v>
      </c>
      <c r="O6122" s="3563" t="s">
        <v>3453</v>
      </c>
    </row>
    <row r="6123" spans="1:15">
      <c r="A6123" s="3563" t="s">
        <v>10371</v>
      </c>
      <c r="B6123" s="3563" t="s">
        <v>4196</v>
      </c>
      <c r="C6123" s="3563" t="s">
        <v>4197</v>
      </c>
      <c r="D6123" s="3563" t="s">
        <v>10228</v>
      </c>
      <c r="E6123" s="3563" t="s">
        <v>4378</v>
      </c>
      <c r="F6123" s="3563" t="s">
        <v>4797</v>
      </c>
      <c r="G6123" s="3564">
        <v>101.02</v>
      </c>
      <c r="H6123" s="3564">
        <v>81.739999999999995</v>
      </c>
      <c r="I6123" s="3564">
        <v>19.28</v>
      </c>
      <c r="J6123" s="3565">
        <v>1109662</v>
      </c>
      <c r="K6123" s="3565">
        <v>10984.58</v>
      </c>
      <c r="L6123" s="3565">
        <v>13575.51</v>
      </c>
      <c r="M6123" s="3565">
        <v>0</v>
      </c>
      <c r="N6123" s="3565">
        <v>0</v>
      </c>
      <c r="O6123" s="3563" t="s">
        <v>3453</v>
      </c>
    </row>
    <row r="6124" spans="1:15">
      <c r="A6124" s="3563" t="s">
        <v>10372</v>
      </c>
      <c r="B6124" s="3563" t="s">
        <v>4196</v>
      </c>
      <c r="C6124" s="3563" t="s">
        <v>4197</v>
      </c>
      <c r="D6124" s="3563" t="s">
        <v>10228</v>
      </c>
      <c r="E6124" s="3563" t="s">
        <v>4378</v>
      </c>
      <c r="F6124" s="3563" t="s">
        <v>4797</v>
      </c>
      <c r="G6124" s="3564">
        <v>123.63</v>
      </c>
      <c r="H6124" s="3564">
        <v>100.03</v>
      </c>
      <c r="I6124" s="3564">
        <v>23.6</v>
      </c>
      <c r="J6124" s="3565">
        <v>1333035</v>
      </c>
      <c r="K6124" s="3565">
        <v>10782.46</v>
      </c>
      <c r="L6124" s="3565">
        <v>13326.35</v>
      </c>
      <c r="M6124" s="3565">
        <v>0</v>
      </c>
      <c r="N6124" s="3565">
        <v>0</v>
      </c>
      <c r="O6124" s="3563" t="s">
        <v>3453</v>
      </c>
    </row>
    <row r="6125" spans="1:15">
      <c r="A6125" s="3563" t="s">
        <v>10373</v>
      </c>
      <c r="B6125" s="3563" t="s">
        <v>4196</v>
      </c>
      <c r="C6125" s="3563" t="s">
        <v>4197</v>
      </c>
      <c r="D6125" s="3563" t="s">
        <v>10228</v>
      </c>
      <c r="E6125" s="3563" t="s">
        <v>4378</v>
      </c>
      <c r="F6125" s="3563" t="s">
        <v>4797</v>
      </c>
      <c r="G6125" s="3564">
        <v>87.75</v>
      </c>
      <c r="H6125" s="3564">
        <v>71</v>
      </c>
      <c r="I6125" s="3564">
        <v>16.75</v>
      </c>
      <c r="J6125" s="3565">
        <v>904153</v>
      </c>
      <c r="K6125" s="3565">
        <v>10303.74</v>
      </c>
      <c r="L6125" s="3565">
        <v>12734.55</v>
      </c>
      <c r="M6125" s="3565">
        <v>0</v>
      </c>
      <c r="N6125" s="3565">
        <v>0</v>
      </c>
      <c r="O6125" s="3563" t="s">
        <v>3453</v>
      </c>
    </row>
    <row r="6126" spans="1:15">
      <c r="A6126" s="3563" t="s">
        <v>10374</v>
      </c>
      <c r="B6126" s="3563" t="s">
        <v>4196</v>
      </c>
      <c r="C6126" s="3563" t="s">
        <v>4197</v>
      </c>
      <c r="D6126" s="3563" t="s">
        <v>10228</v>
      </c>
      <c r="E6126" s="3563" t="s">
        <v>4378</v>
      </c>
      <c r="F6126" s="3563" t="s">
        <v>4797</v>
      </c>
      <c r="G6126" s="3564">
        <v>87.75</v>
      </c>
      <c r="H6126" s="3564">
        <v>71</v>
      </c>
      <c r="I6126" s="3564">
        <v>16.75</v>
      </c>
      <c r="J6126" s="3565">
        <v>904153</v>
      </c>
      <c r="K6126" s="3565">
        <v>10303.74</v>
      </c>
      <c r="L6126" s="3565">
        <v>12734.55</v>
      </c>
      <c r="M6126" s="3565">
        <v>0</v>
      </c>
      <c r="N6126" s="3565">
        <v>0</v>
      </c>
      <c r="O6126" s="3563" t="s">
        <v>3453</v>
      </c>
    </row>
    <row r="6127" spans="1:15">
      <c r="A6127" s="3563" t="s">
        <v>10375</v>
      </c>
      <c r="B6127" s="3563" t="s">
        <v>4196</v>
      </c>
      <c r="C6127" s="3563" t="s">
        <v>4197</v>
      </c>
      <c r="D6127" s="3563" t="s">
        <v>10228</v>
      </c>
      <c r="E6127" s="3563" t="s">
        <v>4378</v>
      </c>
      <c r="F6127" s="3563" t="s">
        <v>4797</v>
      </c>
      <c r="G6127" s="3564">
        <v>101.36</v>
      </c>
      <c r="H6127" s="3564">
        <v>82.01</v>
      </c>
      <c r="I6127" s="3564">
        <v>19.350000000000001</v>
      </c>
      <c r="J6127" s="3565">
        <v>1033603</v>
      </c>
      <c r="K6127" s="3565">
        <v>10197.35</v>
      </c>
      <c r="L6127" s="3565">
        <v>12603.38</v>
      </c>
      <c r="M6127" s="3565">
        <v>0</v>
      </c>
      <c r="N6127" s="3565">
        <v>0</v>
      </c>
      <c r="O6127" s="3563" t="s">
        <v>3453</v>
      </c>
    </row>
    <row r="6128" spans="1:15">
      <c r="A6128" s="3563" t="s">
        <v>10376</v>
      </c>
      <c r="B6128" s="3563" t="s">
        <v>4196</v>
      </c>
      <c r="C6128" s="3563" t="s">
        <v>4197</v>
      </c>
      <c r="D6128" s="3563" t="s">
        <v>10228</v>
      </c>
      <c r="E6128" s="3563" t="s">
        <v>4378</v>
      </c>
      <c r="F6128" s="3563" t="s">
        <v>4797</v>
      </c>
      <c r="G6128" s="3564">
        <v>101.02</v>
      </c>
      <c r="H6128" s="3564">
        <v>81.739999999999995</v>
      </c>
      <c r="I6128" s="3564">
        <v>19.28</v>
      </c>
      <c r="J6128" s="3565">
        <v>1110737</v>
      </c>
      <c r="K6128" s="3565">
        <v>10995.22</v>
      </c>
      <c r="L6128" s="3565">
        <v>13588.66</v>
      </c>
      <c r="M6128" s="3565">
        <v>0</v>
      </c>
      <c r="N6128" s="3565">
        <v>0</v>
      </c>
      <c r="O6128" s="3563" t="s">
        <v>3453</v>
      </c>
    </row>
    <row r="6129" spans="1:15">
      <c r="A6129" s="3563" t="s">
        <v>10377</v>
      </c>
      <c r="B6129" s="3563" t="s">
        <v>4196</v>
      </c>
      <c r="C6129" s="3563" t="s">
        <v>4197</v>
      </c>
      <c r="D6129" s="3563" t="s">
        <v>10228</v>
      </c>
      <c r="E6129" s="3563" t="s">
        <v>4378</v>
      </c>
      <c r="F6129" s="3563" t="s">
        <v>4797</v>
      </c>
      <c r="G6129" s="3564">
        <v>101.02</v>
      </c>
      <c r="H6129" s="3564">
        <v>81.739999999999995</v>
      </c>
      <c r="I6129" s="3564">
        <v>19.28</v>
      </c>
      <c r="J6129" s="3565">
        <v>1110737</v>
      </c>
      <c r="K6129" s="3565">
        <v>10995.22</v>
      </c>
      <c r="L6129" s="3565">
        <v>13588.66</v>
      </c>
      <c r="M6129" s="3565">
        <v>0</v>
      </c>
      <c r="N6129" s="3565">
        <v>0</v>
      </c>
      <c r="O6129" s="3563" t="s">
        <v>3453</v>
      </c>
    </row>
    <row r="6130" spans="1:15">
      <c r="A6130" s="3563" t="s">
        <v>10378</v>
      </c>
      <c r="B6130" s="3563" t="s">
        <v>4196</v>
      </c>
      <c r="C6130" s="3563" t="s">
        <v>4197</v>
      </c>
      <c r="D6130" s="3563" t="s">
        <v>10228</v>
      </c>
      <c r="E6130" s="3563" t="s">
        <v>4378</v>
      </c>
      <c r="F6130" s="3563" t="s">
        <v>4797</v>
      </c>
      <c r="G6130" s="3564">
        <v>123.63</v>
      </c>
      <c r="H6130" s="3564">
        <v>100.03</v>
      </c>
      <c r="I6130" s="3564">
        <v>23.6</v>
      </c>
      <c r="J6130" s="3565">
        <v>1321197</v>
      </c>
      <c r="K6130" s="3565">
        <v>10686.7</v>
      </c>
      <c r="L6130" s="3565">
        <v>13208.01</v>
      </c>
      <c r="M6130" s="3565">
        <v>0</v>
      </c>
      <c r="N6130" s="3565">
        <v>0</v>
      </c>
      <c r="O6130" s="3563" t="s">
        <v>3453</v>
      </c>
    </row>
    <row r="6131" spans="1:15">
      <c r="A6131" s="3563" t="s">
        <v>10379</v>
      </c>
      <c r="B6131" s="3563" t="s">
        <v>4196</v>
      </c>
      <c r="C6131" s="3563" t="s">
        <v>4197</v>
      </c>
      <c r="D6131" s="3563" t="s">
        <v>10228</v>
      </c>
      <c r="E6131" s="3563" t="s">
        <v>4378</v>
      </c>
      <c r="F6131" s="3563" t="s">
        <v>4797</v>
      </c>
      <c r="G6131" s="3564">
        <v>87.75</v>
      </c>
      <c r="H6131" s="3564">
        <v>71</v>
      </c>
      <c r="I6131" s="3564">
        <v>16.75</v>
      </c>
      <c r="J6131" s="3565">
        <v>895750</v>
      </c>
      <c r="K6131" s="3565">
        <v>10207.98</v>
      </c>
      <c r="L6131" s="3565">
        <v>12616.2</v>
      </c>
      <c r="M6131" s="3565">
        <v>0</v>
      </c>
      <c r="N6131" s="3565">
        <v>0</v>
      </c>
      <c r="O6131" s="3563" t="s">
        <v>3453</v>
      </c>
    </row>
    <row r="6132" spans="1:15">
      <c r="A6132" s="3563" t="s">
        <v>10380</v>
      </c>
      <c r="B6132" s="3563" t="s">
        <v>4196</v>
      </c>
      <c r="C6132" s="3563" t="s">
        <v>4197</v>
      </c>
      <c r="D6132" s="3563" t="s">
        <v>10228</v>
      </c>
      <c r="E6132" s="3563" t="s">
        <v>4378</v>
      </c>
      <c r="F6132" s="3563" t="s">
        <v>4797</v>
      </c>
      <c r="G6132" s="3564">
        <v>87.75</v>
      </c>
      <c r="H6132" s="3564">
        <v>71</v>
      </c>
      <c r="I6132" s="3564">
        <v>16.75</v>
      </c>
      <c r="J6132" s="3565">
        <v>895750</v>
      </c>
      <c r="K6132" s="3565">
        <v>10207.98</v>
      </c>
      <c r="L6132" s="3565">
        <v>12616.2</v>
      </c>
      <c r="M6132" s="3565">
        <v>0</v>
      </c>
      <c r="N6132" s="3565">
        <v>0</v>
      </c>
      <c r="O6132" s="3563" t="s">
        <v>3453</v>
      </c>
    </row>
    <row r="6133" spans="1:15">
      <c r="A6133" s="3563" t="s">
        <v>10381</v>
      </c>
      <c r="B6133" s="3563" t="s">
        <v>4196</v>
      </c>
      <c r="C6133" s="3563" t="s">
        <v>4197</v>
      </c>
      <c r="D6133" s="3563" t="s">
        <v>10228</v>
      </c>
      <c r="E6133" s="3563" t="s">
        <v>4378</v>
      </c>
      <c r="F6133" s="3563" t="s">
        <v>4797</v>
      </c>
      <c r="G6133" s="3564">
        <v>101.36</v>
      </c>
      <c r="H6133" s="3564">
        <v>82.01</v>
      </c>
      <c r="I6133" s="3564">
        <v>19.350000000000001</v>
      </c>
      <c r="J6133" s="3565">
        <v>1023898</v>
      </c>
      <c r="K6133" s="3565">
        <v>10101.6</v>
      </c>
      <c r="L6133" s="3565">
        <v>12485.04</v>
      </c>
      <c r="M6133" s="3565">
        <v>0</v>
      </c>
      <c r="N6133" s="3565">
        <v>0</v>
      </c>
      <c r="O6133" s="3563" t="s">
        <v>3453</v>
      </c>
    </row>
    <row r="6134" spans="1:15">
      <c r="A6134" s="3563" t="s">
        <v>10382</v>
      </c>
      <c r="B6134" s="3563" t="s">
        <v>4196</v>
      </c>
      <c r="C6134" s="3563" t="s">
        <v>4197</v>
      </c>
      <c r="D6134" s="3563" t="s">
        <v>10228</v>
      </c>
      <c r="E6134" s="3563" t="s">
        <v>4378</v>
      </c>
      <c r="F6134" s="3563" t="s">
        <v>4797</v>
      </c>
      <c r="G6134" s="3564">
        <v>101.02</v>
      </c>
      <c r="H6134" s="3564">
        <v>81.739999999999995</v>
      </c>
      <c r="I6134" s="3564">
        <v>19.28</v>
      </c>
      <c r="J6134" s="3565">
        <v>1101064</v>
      </c>
      <c r="K6134" s="3565">
        <v>10899.47</v>
      </c>
      <c r="L6134" s="3565">
        <v>13470.32</v>
      </c>
      <c r="M6134" s="3565">
        <v>0</v>
      </c>
      <c r="N6134" s="3565">
        <v>0</v>
      </c>
      <c r="O6134" s="3563" t="s">
        <v>3453</v>
      </c>
    </row>
    <row r="6135" spans="1:15">
      <c r="A6135" s="3563" t="s">
        <v>10383</v>
      </c>
      <c r="B6135" s="3563" t="s">
        <v>4196</v>
      </c>
      <c r="C6135" s="3563" t="s">
        <v>4197</v>
      </c>
      <c r="D6135" s="3563" t="s">
        <v>10228</v>
      </c>
      <c r="E6135" s="3563" t="s">
        <v>4378</v>
      </c>
      <c r="F6135" s="3563" t="s">
        <v>4797</v>
      </c>
      <c r="G6135" s="3564">
        <v>101.02</v>
      </c>
      <c r="H6135" s="3564">
        <v>81.739999999999995</v>
      </c>
      <c r="I6135" s="3564">
        <v>19.28</v>
      </c>
      <c r="J6135" s="3565">
        <v>1101064</v>
      </c>
      <c r="K6135" s="3565">
        <v>10899.47</v>
      </c>
      <c r="L6135" s="3565">
        <v>13470.32</v>
      </c>
      <c r="M6135" s="3565">
        <v>0</v>
      </c>
      <c r="N6135" s="3565">
        <v>0</v>
      </c>
      <c r="O6135" s="3563" t="s">
        <v>3453</v>
      </c>
    </row>
    <row r="6136" spans="1:15">
      <c r="A6136" s="3563" t="s">
        <v>10384</v>
      </c>
      <c r="B6136" s="3563" t="s">
        <v>4196</v>
      </c>
      <c r="C6136" s="3563" t="s">
        <v>4197</v>
      </c>
      <c r="D6136" s="3563" t="s">
        <v>10228</v>
      </c>
      <c r="E6136" s="3563" t="s">
        <v>4378</v>
      </c>
      <c r="F6136" s="3563" t="s">
        <v>4797</v>
      </c>
      <c r="G6136" s="3564">
        <v>123.63</v>
      </c>
      <c r="H6136" s="3564">
        <v>100.03</v>
      </c>
      <c r="I6136" s="3564">
        <v>23.6</v>
      </c>
      <c r="J6136" s="3565">
        <v>1335664</v>
      </c>
      <c r="K6136" s="3565">
        <v>10803.72</v>
      </c>
      <c r="L6136" s="3565">
        <v>13352.63</v>
      </c>
      <c r="M6136" s="3565">
        <v>0</v>
      </c>
      <c r="N6136" s="3565">
        <v>0</v>
      </c>
      <c r="O6136" s="3563" t="s">
        <v>3453</v>
      </c>
    </row>
    <row r="6137" spans="1:15">
      <c r="A6137" s="3563" t="s">
        <v>10385</v>
      </c>
      <c r="B6137" s="3563" t="s">
        <v>4196</v>
      </c>
      <c r="C6137" s="3563" t="s">
        <v>4197</v>
      </c>
      <c r="D6137" s="3563" t="s">
        <v>10228</v>
      </c>
      <c r="E6137" s="3563" t="s">
        <v>4378</v>
      </c>
      <c r="F6137" s="3563" t="s">
        <v>4797</v>
      </c>
      <c r="G6137" s="3564">
        <v>87.75</v>
      </c>
      <c r="H6137" s="3564">
        <v>71</v>
      </c>
      <c r="I6137" s="3564">
        <v>16.75</v>
      </c>
      <c r="J6137" s="3565">
        <v>906020</v>
      </c>
      <c r="K6137" s="3565">
        <v>10325.01</v>
      </c>
      <c r="L6137" s="3565">
        <v>12760.85</v>
      </c>
      <c r="M6137" s="3565">
        <v>0</v>
      </c>
      <c r="N6137" s="3565">
        <v>0</v>
      </c>
      <c r="O6137" s="3563" t="s">
        <v>3453</v>
      </c>
    </row>
    <row r="6138" spans="1:15">
      <c r="A6138" s="3563" t="s">
        <v>10386</v>
      </c>
      <c r="B6138" s="3563" t="s">
        <v>4196</v>
      </c>
      <c r="C6138" s="3563" t="s">
        <v>4197</v>
      </c>
      <c r="D6138" s="3563" t="s">
        <v>10228</v>
      </c>
      <c r="E6138" s="3563" t="s">
        <v>4378</v>
      </c>
      <c r="F6138" s="3563" t="s">
        <v>4797</v>
      </c>
      <c r="G6138" s="3564">
        <v>87.75</v>
      </c>
      <c r="H6138" s="3564">
        <v>71</v>
      </c>
      <c r="I6138" s="3564">
        <v>16.75</v>
      </c>
      <c r="J6138" s="3565">
        <v>906020</v>
      </c>
      <c r="K6138" s="3565">
        <v>10325.01</v>
      </c>
      <c r="L6138" s="3565">
        <v>12760.85</v>
      </c>
      <c r="M6138" s="3565">
        <v>0</v>
      </c>
      <c r="N6138" s="3565">
        <v>0</v>
      </c>
      <c r="O6138" s="3563" t="s">
        <v>3453</v>
      </c>
    </row>
    <row r="6139" spans="1:15">
      <c r="A6139" s="3563" t="s">
        <v>10387</v>
      </c>
      <c r="B6139" s="3563" t="s">
        <v>4196</v>
      </c>
      <c r="C6139" s="3563" t="s">
        <v>4197</v>
      </c>
      <c r="D6139" s="3563" t="s">
        <v>10228</v>
      </c>
      <c r="E6139" s="3563" t="s">
        <v>4378</v>
      </c>
      <c r="F6139" s="3563" t="s">
        <v>4797</v>
      </c>
      <c r="G6139" s="3564">
        <v>101.36</v>
      </c>
      <c r="H6139" s="3564">
        <v>82.01</v>
      </c>
      <c r="I6139" s="3564">
        <v>19.350000000000001</v>
      </c>
      <c r="J6139" s="3565">
        <v>1035759</v>
      </c>
      <c r="K6139" s="3565">
        <v>10218.620000000001</v>
      </c>
      <c r="L6139" s="3565">
        <v>12629.67</v>
      </c>
      <c r="M6139" s="3565">
        <v>0</v>
      </c>
      <c r="N6139" s="3565">
        <v>0</v>
      </c>
      <c r="O6139" s="3563" t="s">
        <v>3453</v>
      </c>
    </row>
    <row r="6140" spans="1:15">
      <c r="A6140" s="3563" t="s">
        <v>10388</v>
      </c>
      <c r="B6140" s="3563" t="s">
        <v>4196</v>
      </c>
      <c r="C6140" s="3563" t="s">
        <v>4197</v>
      </c>
      <c r="D6140" s="3563" t="s">
        <v>10228</v>
      </c>
      <c r="E6140" s="3563" t="s">
        <v>4378</v>
      </c>
      <c r="F6140" s="3563" t="s">
        <v>4797</v>
      </c>
      <c r="G6140" s="3564">
        <v>101.02</v>
      </c>
      <c r="H6140" s="3564">
        <v>81.739999999999995</v>
      </c>
      <c r="I6140" s="3564">
        <v>19.28</v>
      </c>
      <c r="J6140" s="3565">
        <v>1112887</v>
      </c>
      <c r="K6140" s="3565">
        <v>11016.5</v>
      </c>
      <c r="L6140" s="3565">
        <v>13614.96</v>
      </c>
      <c r="M6140" s="3565">
        <v>0</v>
      </c>
      <c r="N6140" s="3565">
        <v>0</v>
      </c>
      <c r="O6140" s="3563" t="s">
        <v>3453</v>
      </c>
    </row>
    <row r="6141" spans="1:15">
      <c r="A6141" s="3563" t="s">
        <v>10389</v>
      </c>
      <c r="B6141" s="3563" t="s">
        <v>4196</v>
      </c>
      <c r="C6141" s="3563" t="s">
        <v>4197</v>
      </c>
      <c r="D6141" s="3563" t="s">
        <v>10228</v>
      </c>
      <c r="E6141" s="3563" t="s">
        <v>4378</v>
      </c>
      <c r="F6141" s="3563" t="s">
        <v>4797</v>
      </c>
      <c r="G6141" s="3564">
        <v>101.02</v>
      </c>
      <c r="H6141" s="3564">
        <v>81.739999999999995</v>
      </c>
      <c r="I6141" s="3564">
        <v>19.28</v>
      </c>
      <c r="J6141" s="3565">
        <v>1112887</v>
      </c>
      <c r="K6141" s="3565">
        <v>11016.5</v>
      </c>
      <c r="L6141" s="3565">
        <v>13614.96</v>
      </c>
      <c r="M6141" s="3565">
        <v>0</v>
      </c>
      <c r="N6141" s="3565">
        <v>0</v>
      </c>
      <c r="O6141" s="3563" t="s">
        <v>3453</v>
      </c>
    </row>
    <row r="6142" spans="1:15">
      <c r="A6142" s="3563" t="s">
        <v>10390</v>
      </c>
      <c r="B6142" s="3563" t="s">
        <v>4196</v>
      </c>
      <c r="C6142" s="3563" t="s">
        <v>4197</v>
      </c>
      <c r="D6142" s="3563" t="s">
        <v>10228</v>
      </c>
      <c r="E6142" s="3563" t="s">
        <v>4378</v>
      </c>
      <c r="F6142" s="3563" t="s">
        <v>4797</v>
      </c>
      <c r="G6142" s="3564">
        <v>123.63</v>
      </c>
      <c r="H6142" s="3564">
        <v>100.03</v>
      </c>
      <c r="I6142" s="3564">
        <v>23.6</v>
      </c>
      <c r="J6142" s="3565">
        <v>1334349</v>
      </c>
      <c r="K6142" s="3565">
        <v>10793.08</v>
      </c>
      <c r="L6142" s="3565">
        <v>13339.49</v>
      </c>
      <c r="M6142" s="3565">
        <v>0</v>
      </c>
      <c r="N6142" s="3565">
        <v>0</v>
      </c>
      <c r="O6142" s="3563" t="s">
        <v>3453</v>
      </c>
    </row>
    <row r="6143" spans="1:15">
      <c r="A6143" s="3563" t="s">
        <v>10391</v>
      </c>
      <c r="B6143" s="3563" t="s">
        <v>4196</v>
      </c>
      <c r="C6143" s="3563" t="s">
        <v>4197</v>
      </c>
      <c r="D6143" s="3563" t="s">
        <v>10228</v>
      </c>
      <c r="E6143" s="3563" t="s">
        <v>4378</v>
      </c>
      <c r="F6143" s="3563" t="s">
        <v>4797</v>
      </c>
      <c r="G6143" s="3564">
        <v>87.75</v>
      </c>
      <c r="H6143" s="3564">
        <v>71</v>
      </c>
      <c r="I6143" s="3564">
        <v>16.75</v>
      </c>
      <c r="J6143" s="3565">
        <v>905086</v>
      </c>
      <c r="K6143" s="3565">
        <v>10314.370000000001</v>
      </c>
      <c r="L6143" s="3565">
        <v>12747.69</v>
      </c>
      <c r="M6143" s="3565">
        <v>0</v>
      </c>
      <c r="N6143" s="3565">
        <v>0</v>
      </c>
      <c r="O6143" s="3563" t="s">
        <v>3453</v>
      </c>
    </row>
    <row r="6144" spans="1:15">
      <c r="A6144" s="3563" t="s">
        <v>10392</v>
      </c>
      <c r="B6144" s="3563" t="s">
        <v>4196</v>
      </c>
      <c r="C6144" s="3563" t="s">
        <v>4197</v>
      </c>
      <c r="D6144" s="3563" t="s">
        <v>10228</v>
      </c>
      <c r="E6144" s="3563" t="s">
        <v>4378</v>
      </c>
      <c r="F6144" s="3563" t="s">
        <v>4797</v>
      </c>
      <c r="G6144" s="3564">
        <v>87.75</v>
      </c>
      <c r="H6144" s="3564">
        <v>71</v>
      </c>
      <c r="I6144" s="3564">
        <v>16.75</v>
      </c>
      <c r="J6144" s="3565">
        <v>905086</v>
      </c>
      <c r="K6144" s="3565">
        <v>10314.370000000001</v>
      </c>
      <c r="L6144" s="3565">
        <v>12747.69</v>
      </c>
      <c r="M6144" s="3565">
        <v>0</v>
      </c>
      <c r="N6144" s="3565">
        <v>0</v>
      </c>
      <c r="O6144" s="3563" t="s">
        <v>3453</v>
      </c>
    </row>
    <row r="6145" spans="1:15">
      <c r="A6145" s="3563" t="s">
        <v>10393</v>
      </c>
      <c r="B6145" s="3563" t="s">
        <v>4196</v>
      </c>
      <c r="C6145" s="3563" t="s">
        <v>4197</v>
      </c>
      <c r="D6145" s="3563" t="s">
        <v>10228</v>
      </c>
      <c r="E6145" s="3563" t="s">
        <v>4378</v>
      </c>
      <c r="F6145" s="3563" t="s">
        <v>4797</v>
      </c>
      <c r="G6145" s="3564">
        <v>101.36</v>
      </c>
      <c r="H6145" s="3564">
        <v>82.01</v>
      </c>
      <c r="I6145" s="3564">
        <v>19.350000000000001</v>
      </c>
      <c r="J6145" s="3565">
        <v>1034681</v>
      </c>
      <c r="K6145" s="3565">
        <v>10207.98</v>
      </c>
      <c r="L6145" s="3565">
        <v>12616.52</v>
      </c>
      <c r="M6145" s="3565">
        <v>0</v>
      </c>
      <c r="N6145" s="3565">
        <v>0</v>
      </c>
      <c r="O6145" s="3563" t="s">
        <v>3453</v>
      </c>
    </row>
    <row r="6146" spans="1:15">
      <c r="A6146" s="3563" t="s">
        <v>10394</v>
      </c>
      <c r="B6146" s="3563" t="s">
        <v>4196</v>
      </c>
      <c r="C6146" s="3563" t="s">
        <v>4197</v>
      </c>
      <c r="D6146" s="3563" t="s">
        <v>10228</v>
      </c>
      <c r="E6146" s="3563" t="s">
        <v>4378</v>
      </c>
      <c r="F6146" s="3563" t="s">
        <v>4797</v>
      </c>
      <c r="G6146" s="3564">
        <v>101.02</v>
      </c>
      <c r="H6146" s="3564">
        <v>81.739999999999995</v>
      </c>
      <c r="I6146" s="3564">
        <v>19.28</v>
      </c>
      <c r="J6146" s="3565">
        <v>1111811</v>
      </c>
      <c r="K6146" s="3565">
        <v>11005.85</v>
      </c>
      <c r="L6146" s="3565">
        <v>13601.8</v>
      </c>
      <c r="M6146" s="3565">
        <v>0</v>
      </c>
      <c r="N6146" s="3565">
        <v>0</v>
      </c>
      <c r="O6146" s="3563" t="s">
        <v>3453</v>
      </c>
    </row>
    <row r="6147" spans="1:15">
      <c r="A6147" s="3563" t="s">
        <v>10395</v>
      </c>
      <c r="B6147" s="3563" t="s">
        <v>4196</v>
      </c>
      <c r="C6147" s="3563" t="s">
        <v>4197</v>
      </c>
      <c r="D6147" s="3563" t="s">
        <v>10228</v>
      </c>
      <c r="E6147" s="3563" t="s">
        <v>4378</v>
      </c>
      <c r="F6147" s="3563" t="s">
        <v>4797</v>
      </c>
      <c r="G6147" s="3564">
        <v>101.02</v>
      </c>
      <c r="H6147" s="3564">
        <v>81.739999999999995</v>
      </c>
      <c r="I6147" s="3564">
        <v>19.28</v>
      </c>
      <c r="J6147" s="3565">
        <v>1111811</v>
      </c>
      <c r="K6147" s="3565">
        <v>11005.85</v>
      </c>
      <c r="L6147" s="3565">
        <v>13601.8</v>
      </c>
      <c r="M6147" s="3565">
        <v>0</v>
      </c>
      <c r="N6147" s="3565">
        <v>0</v>
      </c>
      <c r="O6147" s="3563" t="s">
        <v>3453</v>
      </c>
    </row>
    <row r="6148" spans="1:15">
      <c r="A6148" s="3563" t="s">
        <v>10396</v>
      </c>
      <c r="B6148" s="3563" t="s">
        <v>4196</v>
      </c>
      <c r="C6148" s="3563" t="s">
        <v>4197</v>
      </c>
      <c r="D6148" s="3563" t="s">
        <v>10228</v>
      </c>
      <c r="E6148" s="3563" t="s">
        <v>4378</v>
      </c>
      <c r="F6148" s="3563" t="s">
        <v>4797</v>
      </c>
      <c r="G6148" s="3564">
        <v>123.63</v>
      </c>
      <c r="H6148" s="3564">
        <v>100.03</v>
      </c>
      <c r="I6148" s="3564">
        <v>23.6</v>
      </c>
      <c r="J6148" s="3565">
        <v>1333035</v>
      </c>
      <c r="K6148" s="3565">
        <v>10782.46</v>
      </c>
      <c r="L6148" s="3565">
        <v>13326.35</v>
      </c>
      <c r="M6148" s="3565">
        <v>0</v>
      </c>
      <c r="N6148" s="3565">
        <v>0</v>
      </c>
      <c r="O6148" s="3563" t="s">
        <v>3453</v>
      </c>
    </row>
    <row r="6149" spans="1:15">
      <c r="A6149" s="3563" t="s">
        <v>10397</v>
      </c>
      <c r="B6149" s="3563" t="s">
        <v>4196</v>
      </c>
      <c r="C6149" s="3563" t="s">
        <v>4197</v>
      </c>
      <c r="D6149" s="3563" t="s">
        <v>10228</v>
      </c>
      <c r="E6149" s="3563" t="s">
        <v>4378</v>
      </c>
      <c r="F6149" s="3563" t="s">
        <v>4797</v>
      </c>
      <c r="G6149" s="3564">
        <v>87.75</v>
      </c>
      <c r="H6149" s="3564">
        <v>71</v>
      </c>
      <c r="I6149" s="3564">
        <v>16.75</v>
      </c>
      <c r="J6149" s="3565">
        <v>904153</v>
      </c>
      <c r="K6149" s="3565">
        <v>10303.74</v>
      </c>
      <c r="L6149" s="3565">
        <v>12734.55</v>
      </c>
      <c r="M6149" s="3565">
        <v>0</v>
      </c>
      <c r="N6149" s="3565">
        <v>0</v>
      </c>
      <c r="O6149" s="3563" t="s">
        <v>3453</v>
      </c>
    </row>
    <row r="6150" spans="1:15">
      <c r="A6150" s="3563" t="s">
        <v>10398</v>
      </c>
      <c r="B6150" s="3563" t="s">
        <v>4196</v>
      </c>
      <c r="C6150" s="3563" t="s">
        <v>4197</v>
      </c>
      <c r="D6150" s="3563" t="s">
        <v>10228</v>
      </c>
      <c r="E6150" s="3563" t="s">
        <v>4378</v>
      </c>
      <c r="F6150" s="3563" t="s">
        <v>4797</v>
      </c>
      <c r="G6150" s="3564">
        <v>87.75</v>
      </c>
      <c r="H6150" s="3564">
        <v>71</v>
      </c>
      <c r="I6150" s="3564">
        <v>16.75</v>
      </c>
      <c r="J6150" s="3565">
        <v>904153</v>
      </c>
      <c r="K6150" s="3565">
        <v>10303.74</v>
      </c>
      <c r="L6150" s="3565">
        <v>12734.55</v>
      </c>
      <c r="M6150" s="3565">
        <v>0</v>
      </c>
      <c r="N6150" s="3565">
        <v>0</v>
      </c>
      <c r="O6150" s="3563" t="s">
        <v>3453</v>
      </c>
    </row>
    <row r="6151" spans="1:15">
      <c r="A6151" s="3563" t="s">
        <v>10399</v>
      </c>
      <c r="B6151" s="3563" t="s">
        <v>4196</v>
      </c>
      <c r="C6151" s="3563" t="s">
        <v>4197</v>
      </c>
      <c r="D6151" s="3563" t="s">
        <v>10228</v>
      </c>
      <c r="E6151" s="3563" t="s">
        <v>4378</v>
      </c>
      <c r="F6151" s="3563" t="s">
        <v>4797</v>
      </c>
      <c r="G6151" s="3564">
        <v>101.36</v>
      </c>
      <c r="H6151" s="3564">
        <v>82.01</v>
      </c>
      <c r="I6151" s="3564">
        <v>19.350000000000001</v>
      </c>
      <c r="J6151" s="3565">
        <v>1033603</v>
      </c>
      <c r="K6151" s="3565">
        <v>10197.35</v>
      </c>
      <c r="L6151" s="3565">
        <v>12603.38</v>
      </c>
      <c r="M6151" s="3565">
        <v>0</v>
      </c>
      <c r="N6151" s="3565">
        <v>0</v>
      </c>
      <c r="O6151" s="3563" t="s">
        <v>3453</v>
      </c>
    </row>
    <row r="6152" spans="1:15">
      <c r="A6152" s="3563" t="s">
        <v>10400</v>
      </c>
      <c r="B6152" s="3563" t="s">
        <v>4196</v>
      </c>
      <c r="C6152" s="3563" t="s">
        <v>4197</v>
      </c>
      <c r="D6152" s="3563" t="s">
        <v>10228</v>
      </c>
      <c r="E6152" s="3563" t="s">
        <v>4378</v>
      </c>
      <c r="F6152" s="3563" t="s">
        <v>4797</v>
      </c>
      <c r="G6152" s="3564">
        <v>101.02</v>
      </c>
      <c r="H6152" s="3564">
        <v>81.739999999999995</v>
      </c>
      <c r="I6152" s="3564">
        <v>19.28</v>
      </c>
      <c r="J6152" s="3565">
        <v>1110737</v>
      </c>
      <c r="K6152" s="3565">
        <v>10995.22</v>
      </c>
      <c r="L6152" s="3565">
        <v>13588.66</v>
      </c>
      <c r="M6152" s="3565">
        <v>0</v>
      </c>
      <c r="N6152" s="3565">
        <v>0</v>
      </c>
      <c r="O6152" s="3563" t="s">
        <v>3453</v>
      </c>
    </row>
    <row r="6153" spans="1:15">
      <c r="A6153" s="3563" t="s">
        <v>10401</v>
      </c>
      <c r="B6153" s="3563" t="s">
        <v>4196</v>
      </c>
      <c r="C6153" s="3563" t="s">
        <v>4197</v>
      </c>
      <c r="D6153" s="3563" t="s">
        <v>10228</v>
      </c>
      <c r="E6153" s="3563" t="s">
        <v>4378</v>
      </c>
      <c r="F6153" s="3563" t="s">
        <v>4797</v>
      </c>
      <c r="G6153" s="3564">
        <v>101.02</v>
      </c>
      <c r="H6153" s="3564">
        <v>81.739999999999995</v>
      </c>
      <c r="I6153" s="3564">
        <v>19.28</v>
      </c>
      <c r="J6153" s="3565">
        <v>1110737</v>
      </c>
      <c r="K6153" s="3565">
        <v>10995.22</v>
      </c>
      <c r="L6153" s="3565">
        <v>13588.66</v>
      </c>
      <c r="M6153" s="3565">
        <v>0</v>
      </c>
      <c r="N6153" s="3565">
        <v>0</v>
      </c>
      <c r="O6153" s="3563" t="s">
        <v>3453</v>
      </c>
    </row>
    <row r="6154" spans="1:15">
      <c r="A6154" s="3563" t="s">
        <v>10402</v>
      </c>
      <c r="B6154" s="3563" t="s">
        <v>4196</v>
      </c>
      <c r="C6154" s="3563" t="s">
        <v>4197</v>
      </c>
      <c r="D6154" s="3563" t="s">
        <v>10228</v>
      </c>
      <c r="E6154" s="3563" t="s">
        <v>4378</v>
      </c>
      <c r="F6154" s="3563" t="s">
        <v>4797</v>
      </c>
      <c r="G6154" s="3564">
        <v>123.63</v>
      </c>
      <c r="H6154" s="3564">
        <v>100.03</v>
      </c>
      <c r="I6154" s="3564">
        <v>23.6</v>
      </c>
      <c r="J6154" s="3565">
        <v>1318568</v>
      </c>
      <c r="K6154" s="3565">
        <v>10665.44</v>
      </c>
      <c r="L6154" s="3565">
        <v>13181.73</v>
      </c>
      <c r="M6154" s="3565">
        <v>0</v>
      </c>
      <c r="N6154" s="3565">
        <v>0</v>
      </c>
      <c r="O6154" s="3563" t="s">
        <v>3453</v>
      </c>
    </row>
    <row r="6155" spans="1:15">
      <c r="A6155" s="3563" t="s">
        <v>10403</v>
      </c>
      <c r="B6155" s="3563" t="s">
        <v>4196</v>
      </c>
      <c r="C6155" s="3563" t="s">
        <v>4197</v>
      </c>
      <c r="D6155" s="3563" t="s">
        <v>10228</v>
      </c>
      <c r="E6155" s="3563" t="s">
        <v>4378</v>
      </c>
      <c r="F6155" s="3563" t="s">
        <v>4797</v>
      </c>
      <c r="G6155" s="3564">
        <v>87.75</v>
      </c>
      <c r="H6155" s="3564">
        <v>71</v>
      </c>
      <c r="I6155" s="3564">
        <v>16.75</v>
      </c>
      <c r="J6155" s="3565">
        <v>893883</v>
      </c>
      <c r="K6155" s="3565">
        <v>10186.700000000001</v>
      </c>
      <c r="L6155" s="3565">
        <v>12589.9</v>
      </c>
      <c r="M6155" s="3565">
        <v>0</v>
      </c>
      <c r="N6155" s="3565">
        <v>0</v>
      </c>
      <c r="O6155" s="3563" t="s">
        <v>3453</v>
      </c>
    </row>
    <row r="6156" spans="1:15">
      <c r="A6156" s="3563" t="s">
        <v>10404</v>
      </c>
      <c r="B6156" s="3563" t="s">
        <v>4196</v>
      </c>
      <c r="C6156" s="3563" t="s">
        <v>4197</v>
      </c>
      <c r="D6156" s="3563" t="s">
        <v>10228</v>
      </c>
      <c r="E6156" s="3563" t="s">
        <v>4378</v>
      </c>
      <c r="F6156" s="3563" t="s">
        <v>4797</v>
      </c>
      <c r="G6156" s="3564">
        <v>87.75</v>
      </c>
      <c r="H6156" s="3564">
        <v>71</v>
      </c>
      <c r="I6156" s="3564">
        <v>16.75</v>
      </c>
      <c r="J6156" s="3565">
        <v>893883</v>
      </c>
      <c r="K6156" s="3565">
        <v>10186.700000000001</v>
      </c>
      <c r="L6156" s="3565">
        <v>12589.9</v>
      </c>
      <c r="M6156" s="3565">
        <v>0</v>
      </c>
      <c r="N6156" s="3565">
        <v>0</v>
      </c>
      <c r="O6156" s="3563" t="s">
        <v>3453</v>
      </c>
    </row>
    <row r="6157" spans="1:15">
      <c r="A6157" s="3563" t="s">
        <v>10405</v>
      </c>
      <c r="B6157" s="3563" t="s">
        <v>4196</v>
      </c>
      <c r="C6157" s="3563" t="s">
        <v>4197</v>
      </c>
      <c r="D6157" s="3563" t="s">
        <v>10228</v>
      </c>
      <c r="E6157" s="3563" t="s">
        <v>4378</v>
      </c>
      <c r="F6157" s="3563" t="s">
        <v>4797</v>
      </c>
      <c r="G6157" s="3564">
        <v>101.36</v>
      </c>
      <c r="H6157" s="3564">
        <v>82.01</v>
      </c>
      <c r="I6157" s="3564">
        <v>19.350000000000001</v>
      </c>
      <c r="J6157" s="3565">
        <v>1021742</v>
      </c>
      <c r="K6157" s="3565">
        <v>10080.33</v>
      </c>
      <c r="L6157" s="3565">
        <v>12458.75</v>
      </c>
      <c r="M6157" s="3565">
        <v>0</v>
      </c>
      <c r="N6157" s="3565">
        <v>0</v>
      </c>
      <c r="O6157" s="3563" t="s">
        <v>3453</v>
      </c>
    </row>
    <row r="6158" spans="1:15">
      <c r="A6158" s="3563" t="s">
        <v>10406</v>
      </c>
      <c r="B6158" s="3563" t="s">
        <v>4196</v>
      </c>
      <c r="C6158" s="3563" t="s">
        <v>4197</v>
      </c>
      <c r="D6158" s="3563" t="s">
        <v>10228</v>
      </c>
      <c r="E6158" s="3563" t="s">
        <v>4378</v>
      </c>
      <c r="F6158" s="3563" t="s">
        <v>4797</v>
      </c>
      <c r="G6158" s="3564">
        <v>101.02</v>
      </c>
      <c r="H6158" s="3564">
        <v>81.739999999999995</v>
      </c>
      <c r="I6158" s="3564">
        <v>19.28</v>
      </c>
      <c r="J6158" s="3565">
        <v>1098915</v>
      </c>
      <c r="K6158" s="3565">
        <v>10878.19</v>
      </c>
      <c r="L6158" s="3565">
        <v>13444.03</v>
      </c>
      <c r="M6158" s="3565">
        <v>0</v>
      </c>
      <c r="N6158" s="3565">
        <v>0</v>
      </c>
      <c r="O6158" s="3563" t="s">
        <v>3453</v>
      </c>
    </row>
    <row r="6159" spans="1:15">
      <c r="A6159" s="3563" t="s">
        <v>10407</v>
      </c>
      <c r="B6159" s="3563" t="s">
        <v>4196</v>
      </c>
      <c r="C6159" s="3563" t="s">
        <v>4197</v>
      </c>
      <c r="D6159" s="3563" t="s">
        <v>10228</v>
      </c>
      <c r="E6159" s="3563" t="s">
        <v>4378</v>
      </c>
      <c r="F6159" s="3563" t="s">
        <v>4797</v>
      </c>
      <c r="G6159" s="3564">
        <v>101.02</v>
      </c>
      <c r="H6159" s="3564">
        <v>81.739999999999995</v>
      </c>
      <c r="I6159" s="3564">
        <v>19.28</v>
      </c>
      <c r="J6159" s="3565">
        <v>1098915</v>
      </c>
      <c r="K6159" s="3565">
        <v>10878.19</v>
      </c>
      <c r="L6159" s="3565">
        <v>13444.03</v>
      </c>
      <c r="M6159" s="3565">
        <v>0</v>
      </c>
      <c r="N6159" s="3565">
        <v>0</v>
      </c>
      <c r="O6159" s="3563" t="s">
        <v>3453</v>
      </c>
    </row>
    <row r="6160" spans="1:15">
      <c r="A6160" s="3563" t="s">
        <v>10408</v>
      </c>
      <c r="B6160" s="3563" t="s">
        <v>4196</v>
      </c>
      <c r="C6160" s="3563" t="s">
        <v>4197</v>
      </c>
      <c r="D6160" s="3563" t="s">
        <v>10228</v>
      </c>
      <c r="E6160" s="3563" t="s">
        <v>4378</v>
      </c>
      <c r="F6160" s="3563" t="s">
        <v>4797</v>
      </c>
      <c r="G6160" s="3564">
        <v>123.63</v>
      </c>
      <c r="H6160" s="3564">
        <v>100.03</v>
      </c>
      <c r="I6160" s="3564">
        <v>23.6</v>
      </c>
      <c r="J6160" s="3565">
        <v>1330404</v>
      </c>
      <c r="K6160" s="3565">
        <v>10761.17</v>
      </c>
      <c r="L6160" s="3565">
        <v>13300.05</v>
      </c>
      <c r="M6160" s="3565">
        <v>0</v>
      </c>
      <c r="N6160" s="3565">
        <v>0</v>
      </c>
      <c r="O6160" s="3563" t="s">
        <v>3453</v>
      </c>
    </row>
    <row r="6161" spans="1:15">
      <c r="A6161" s="3563" t="s">
        <v>10409</v>
      </c>
      <c r="B6161" s="3563" t="s">
        <v>4196</v>
      </c>
      <c r="C6161" s="3563" t="s">
        <v>4197</v>
      </c>
      <c r="D6161" s="3563" t="s">
        <v>10228</v>
      </c>
      <c r="E6161" s="3563" t="s">
        <v>4378</v>
      </c>
      <c r="F6161" s="3563" t="s">
        <v>4797</v>
      </c>
      <c r="G6161" s="3564">
        <v>87.75</v>
      </c>
      <c r="H6161" s="3564">
        <v>71</v>
      </c>
      <c r="I6161" s="3564">
        <v>16.75</v>
      </c>
      <c r="J6161" s="3565">
        <v>902286</v>
      </c>
      <c r="K6161" s="3565">
        <v>10282.459999999999</v>
      </c>
      <c r="L6161" s="3565">
        <v>12708.25</v>
      </c>
      <c r="M6161" s="3565">
        <v>0</v>
      </c>
      <c r="N6161" s="3565">
        <v>0</v>
      </c>
      <c r="O6161" s="3563" t="s">
        <v>3453</v>
      </c>
    </row>
    <row r="6162" spans="1:15">
      <c r="A6162" s="3563" t="s">
        <v>10410</v>
      </c>
      <c r="B6162" s="3563" t="s">
        <v>4196</v>
      </c>
      <c r="C6162" s="3563" t="s">
        <v>4197</v>
      </c>
      <c r="D6162" s="3563" t="s">
        <v>10228</v>
      </c>
      <c r="E6162" s="3563" t="s">
        <v>4378</v>
      </c>
      <c r="F6162" s="3563" t="s">
        <v>4797</v>
      </c>
      <c r="G6162" s="3564">
        <v>87.75</v>
      </c>
      <c r="H6162" s="3564">
        <v>71</v>
      </c>
      <c r="I6162" s="3564">
        <v>16.75</v>
      </c>
      <c r="J6162" s="3565">
        <v>902286</v>
      </c>
      <c r="K6162" s="3565">
        <v>10282.459999999999</v>
      </c>
      <c r="L6162" s="3565">
        <v>12708.25</v>
      </c>
      <c r="M6162" s="3565">
        <v>0</v>
      </c>
      <c r="N6162" s="3565">
        <v>0</v>
      </c>
      <c r="O6162" s="3563" t="s">
        <v>3453</v>
      </c>
    </row>
    <row r="6163" spans="1:15">
      <c r="A6163" s="3563" t="s">
        <v>10411</v>
      </c>
      <c r="B6163" s="3563" t="s">
        <v>4196</v>
      </c>
      <c r="C6163" s="3563" t="s">
        <v>4197</v>
      </c>
      <c r="D6163" s="3563" t="s">
        <v>10228</v>
      </c>
      <c r="E6163" s="3563" t="s">
        <v>4378</v>
      </c>
      <c r="F6163" s="3563" t="s">
        <v>4797</v>
      </c>
      <c r="G6163" s="3564">
        <v>101.36</v>
      </c>
      <c r="H6163" s="3564">
        <v>82.01</v>
      </c>
      <c r="I6163" s="3564">
        <v>19.350000000000001</v>
      </c>
      <c r="J6163" s="3565">
        <v>1031446</v>
      </c>
      <c r="K6163" s="3565">
        <v>10176.07</v>
      </c>
      <c r="L6163" s="3565">
        <v>12577.08</v>
      </c>
      <c r="M6163" s="3565">
        <v>0</v>
      </c>
      <c r="N6163" s="3565">
        <v>0</v>
      </c>
      <c r="O6163" s="3563" t="s">
        <v>3453</v>
      </c>
    </row>
    <row r="6164" spans="1:15">
      <c r="A6164" s="3563" t="s">
        <v>10412</v>
      </c>
      <c r="B6164" s="3563" t="s">
        <v>4196</v>
      </c>
      <c r="C6164" s="3563" t="s">
        <v>4197</v>
      </c>
      <c r="D6164" s="3563" t="s">
        <v>10228</v>
      </c>
      <c r="E6164" s="3563" t="s">
        <v>4378</v>
      </c>
      <c r="F6164" s="3563" t="s">
        <v>4797</v>
      </c>
      <c r="G6164" s="3564">
        <v>101.02</v>
      </c>
      <c r="H6164" s="3564">
        <v>81.739999999999995</v>
      </c>
      <c r="I6164" s="3564">
        <v>19.28</v>
      </c>
      <c r="J6164" s="3565">
        <v>1108588</v>
      </c>
      <c r="K6164" s="3565">
        <v>10973.95</v>
      </c>
      <c r="L6164" s="3565">
        <v>13562.37</v>
      </c>
      <c r="M6164" s="3565">
        <v>0</v>
      </c>
      <c r="N6164" s="3565">
        <v>0</v>
      </c>
      <c r="O6164" s="3563" t="s">
        <v>3453</v>
      </c>
    </row>
    <row r="6165" spans="1:15">
      <c r="A6165" s="3563" t="s">
        <v>10413</v>
      </c>
      <c r="B6165" s="3563" t="s">
        <v>4196</v>
      </c>
      <c r="C6165" s="3563" t="s">
        <v>4197</v>
      </c>
      <c r="D6165" s="3563" t="s">
        <v>10228</v>
      </c>
      <c r="E6165" s="3563" t="s">
        <v>4378</v>
      </c>
      <c r="F6165" s="3563" t="s">
        <v>4797</v>
      </c>
      <c r="G6165" s="3564">
        <v>101.02</v>
      </c>
      <c r="H6165" s="3564">
        <v>81.739999999999995</v>
      </c>
      <c r="I6165" s="3564">
        <v>19.28</v>
      </c>
      <c r="J6165" s="3565">
        <v>1108588</v>
      </c>
      <c r="K6165" s="3565">
        <v>10973.95</v>
      </c>
      <c r="L6165" s="3565">
        <v>13562.37</v>
      </c>
      <c r="M6165" s="3565">
        <v>0</v>
      </c>
      <c r="N6165" s="3565">
        <v>0</v>
      </c>
      <c r="O6165" s="3563" t="s">
        <v>3453</v>
      </c>
    </row>
    <row r="6166" spans="1:15">
      <c r="A6166" s="3563" t="s">
        <v>10414</v>
      </c>
      <c r="B6166" s="3563" t="s">
        <v>4196</v>
      </c>
      <c r="C6166" s="3563" t="s">
        <v>4197</v>
      </c>
      <c r="D6166" s="3563" t="s">
        <v>10228</v>
      </c>
      <c r="E6166" s="3563" t="s">
        <v>4378</v>
      </c>
      <c r="F6166" s="3563" t="s">
        <v>4797</v>
      </c>
      <c r="G6166" s="3564">
        <v>127.63</v>
      </c>
      <c r="H6166" s="3564">
        <v>100.03</v>
      </c>
      <c r="I6166" s="3564">
        <v>27.6</v>
      </c>
      <c r="J6166" s="3565">
        <v>1283836</v>
      </c>
      <c r="K6166" s="3565">
        <v>10059.049999999999</v>
      </c>
      <c r="L6166" s="3565">
        <v>12834.51</v>
      </c>
      <c r="M6166" s="3565">
        <v>0</v>
      </c>
      <c r="N6166" s="3565">
        <v>0</v>
      </c>
      <c r="O6166" s="3563" t="s">
        <v>3453</v>
      </c>
    </row>
    <row r="6167" spans="1:15">
      <c r="A6167" s="3563" t="s">
        <v>10415</v>
      </c>
      <c r="B6167" s="3563" t="s">
        <v>4196</v>
      </c>
      <c r="C6167" s="3563" t="s">
        <v>4197</v>
      </c>
      <c r="D6167" s="3563" t="s">
        <v>10228</v>
      </c>
      <c r="E6167" s="3563" t="s">
        <v>4378</v>
      </c>
      <c r="F6167" s="3563" t="s">
        <v>4797</v>
      </c>
      <c r="G6167" s="3564">
        <v>90.59</v>
      </c>
      <c r="H6167" s="3564">
        <v>71</v>
      </c>
      <c r="I6167" s="3564">
        <v>19.59</v>
      </c>
      <c r="J6167" s="3565">
        <v>911249</v>
      </c>
      <c r="K6167" s="3565">
        <v>10059.049999999999</v>
      </c>
      <c r="L6167" s="3565">
        <v>12834.49</v>
      </c>
      <c r="M6167" s="3565">
        <v>0</v>
      </c>
      <c r="N6167" s="3565">
        <v>0</v>
      </c>
      <c r="O6167" s="3563" t="s">
        <v>3453</v>
      </c>
    </row>
    <row r="6168" spans="1:15">
      <c r="A6168" s="3563" t="s">
        <v>10416</v>
      </c>
      <c r="B6168" s="3563" t="s">
        <v>4196</v>
      </c>
      <c r="C6168" s="3563" t="s">
        <v>4197</v>
      </c>
      <c r="D6168" s="3563" t="s">
        <v>10228</v>
      </c>
      <c r="E6168" s="3563" t="s">
        <v>4378</v>
      </c>
      <c r="F6168" s="3563" t="s">
        <v>4797</v>
      </c>
      <c r="G6168" s="3564">
        <v>90.59</v>
      </c>
      <c r="H6168" s="3564">
        <v>71</v>
      </c>
      <c r="I6168" s="3564">
        <v>19.59</v>
      </c>
      <c r="J6168" s="3565">
        <v>911249</v>
      </c>
      <c r="K6168" s="3565">
        <v>10059.049999999999</v>
      </c>
      <c r="L6168" s="3565">
        <v>12834.49</v>
      </c>
      <c r="M6168" s="3565">
        <v>0</v>
      </c>
      <c r="N6168" s="3565">
        <v>0</v>
      </c>
      <c r="O6168" s="3563" t="s">
        <v>3453</v>
      </c>
    </row>
    <row r="6169" spans="1:15">
      <c r="A6169" s="3563" t="s">
        <v>10417</v>
      </c>
      <c r="B6169" s="3563" t="s">
        <v>4196</v>
      </c>
      <c r="C6169" s="3563" t="s">
        <v>4197</v>
      </c>
      <c r="D6169" s="3563" t="s">
        <v>10228</v>
      </c>
      <c r="E6169" s="3563" t="s">
        <v>4378</v>
      </c>
      <c r="F6169" s="3563" t="s">
        <v>4797</v>
      </c>
      <c r="G6169" s="3564">
        <v>104.64</v>
      </c>
      <c r="H6169" s="3564">
        <v>82.01</v>
      </c>
      <c r="I6169" s="3564">
        <v>22.63</v>
      </c>
      <c r="J6169" s="3565">
        <v>1052579</v>
      </c>
      <c r="K6169" s="3565">
        <v>10059.049999999999</v>
      </c>
      <c r="L6169" s="3565">
        <v>12834.76</v>
      </c>
      <c r="M6169" s="3565">
        <v>0</v>
      </c>
      <c r="N6169" s="3565">
        <v>0</v>
      </c>
      <c r="O6169" s="3563" t="s">
        <v>3453</v>
      </c>
    </row>
    <row r="6170" spans="1:15">
      <c r="A6170" s="3563" t="s">
        <v>10418</v>
      </c>
      <c r="B6170" s="3563" t="s">
        <v>4196</v>
      </c>
      <c r="C6170" s="3563" t="s">
        <v>4197</v>
      </c>
      <c r="D6170" s="3563" t="s">
        <v>10228</v>
      </c>
      <c r="E6170" s="3563" t="s">
        <v>4378</v>
      </c>
      <c r="F6170" s="3563" t="s">
        <v>4797</v>
      </c>
      <c r="G6170" s="3564">
        <v>123.63</v>
      </c>
      <c r="H6170" s="3564">
        <v>100.03</v>
      </c>
      <c r="I6170" s="3564">
        <v>23.6</v>
      </c>
      <c r="J6170" s="3565">
        <v>1329089</v>
      </c>
      <c r="K6170" s="3565">
        <v>10750.54</v>
      </c>
      <c r="L6170" s="3565">
        <v>13286.9</v>
      </c>
      <c r="M6170" s="3565">
        <v>0</v>
      </c>
      <c r="N6170" s="3565">
        <v>0</v>
      </c>
      <c r="O6170" s="3563" t="s">
        <v>3453</v>
      </c>
    </row>
    <row r="6171" spans="1:15">
      <c r="A6171" s="3563" t="s">
        <v>10419</v>
      </c>
      <c r="B6171" s="3563" t="s">
        <v>4196</v>
      </c>
      <c r="C6171" s="3563" t="s">
        <v>4197</v>
      </c>
      <c r="D6171" s="3563" t="s">
        <v>10228</v>
      </c>
      <c r="E6171" s="3563" t="s">
        <v>4378</v>
      </c>
      <c r="F6171" s="3563" t="s">
        <v>4797</v>
      </c>
      <c r="G6171" s="3564">
        <v>87.75</v>
      </c>
      <c r="H6171" s="3564">
        <v>71</v>
      </c>
      <c r="I6171" s="3564">
        <v>16.75</v>
      </c>
      <c r="J6171" s="3565">
        <v>901352</v>
      </c>
      <c r="K6171" s="3565">
        <v>10271.82</v>
      </c>
      <c r="L6171" s="3565">
        <v>12695.1</v>
      </c>
      <c r="M6171" s="3565">
        <v>0</v>
      </c>
      <c r="N6171" s="3565">
        <v>0</v>
      </c>
      <c r="O6171" s="3563" t="s">
        <v>3453</v>
      </c>
    </row>
    <row r="6172" spans="1:15">
      <c r="A6172" s="3563" t="s">
        <v>10420</v>
      </c>
      <c r="B6172" s="3563" t="s">
        <v>4196</v>
      </c>
      <c r="C6172" s="3563" t="s">
        <v>4197</v>
      </c>
      <c r="D6172" s="3563" t="s">
        <v>10228</v>
      </c>
      <c r="E6172" s="3563" t="s">
        <v>4378</v>
      </c>
      <c r="F6172" s="3563" t="s">
        <v>4797</v>
      </c>
      <c r="G6172" s="3564">
        <v>87.75</v>
      </c>
      <c r="H6172" s="3564">
        <v>71</v>
      </c>
      <c r="I6172" s="3564">
        <v>16.75</v>
      </c>
      <c r="J6172" s="3565">
        <v>901352</v>
      </c>
      <c r="K6172" s="3565">
        <v>10271.82</v>
      </c>
      <c r="L6172" s="3565">
        <v>12695.1</v>
      </c>
      <c r="M6172" s="3565">
        <v>0</v>
      </c>
      <c r="N6172" s="3565">
        <v>0</v>
      </c>
      <c r="O6172" s="3563" t="s">
        <v>3453</v>
      </c>
    </row>
    <row r="6173" spans="1:15">
      <c r="A6173" s="3563" t="s">
        <v>10421</v>
      </c>
      <c r="B6173" s="3563" t="s">
        <v>4196</v>
      </c>
      <c r="C6173" s="3563" t="s">
        <v>4197</v>
      </c>
      <c r="D6173" s="3563" t="s">
        <v>10228</v>
      </c>
      <c r="E6173" s="3563" t="s">
        <v>4378</v>
      </c>
      <c r="F6173" s="3563" t="s">
        <v>4797</v>
      </c>
      <c r="G6173" s="3564">
        <v>101.36</v>
      </c>
      <c r="H6173" s="3564">
        <v>82.01</v>
      </c>
      <c r="I6173" s="3564">
        <v>19.350000000000001</v>
      </c>
      <c r="J6173" s="3565">
        <v>1030368</v>
      </c>
      <c r="K6173" s="3565">
        <v>10165.43</v>
      </c>
      <c r="L6173" s="3565">
        <v>12563.93</v>
      </c>
      <c r="M6173" s="3565">
        <v>0</v>
      </c>
      <c r="N6173" s="3565">
        <v>0</v>
      </c>
      <c r="O6173" s="3563" t="s">
        <v>3453</v>
      </c>
    </row>
    <row r="6174" spans="1:15">
      <c r="A6174" s="3563" t="s">
        <v>10422</v>
      </c>
      <c r="B6174" s="3563" t="s">
        <v>4196</v>
      </c>
      <c r="C6174" s="3563" t="s">
        <v>4197</v>
      </c>
      <c r="D6174" s="3563" t="s">
        <v>10228</v>
      </c>
      <c r="E6174" s="3563" t="s">
        <v>4378</v>
      </c>
      <c r="F6174" s="3563" t="s">
        <v>4797</v>
      </c>
      <c r="G6174" s="3564">
        <v>101.02</v>
      </c>
      <c r="H6174" s="3564">
        <v>81.739999999999995</v>
      </c>
      <c r="I6174" s="3564">
        <v>19.28</v>
      </c>
      <c r="J6174" s="3565">
        <v>1107513</v>
      </c>
      <c r="K6174" s="3565">
        <v>10963.3</v>
      </c>
      <c r="L6174" s="3565">
        <v>13549.22</v>
      </c>
      <c r="M6174" s="3565">
        <v>0</v>
      </c>
      <c r="N6174" s="3565">
        <v>0</v>
      </c>
      <c r="O6174" s="3563" t="s">
        <v>3453</v>
      </c>
    </row>
    <row r="6175" spans="1:15">
      <c r="A6175" s="3563" t="s">
        <v>10423</v>
      </c>
      <c r="B6175" s="3563" t="s">
        <v>4196</v>
      </c>
      <c r="C6175" s="3563" t="s">
        <v>4197</v>
      </c>
      <c r="D6175" s="3563" t="s">
        <v>10228</v>
      </c>
      <c r="E6175" s="3563" t="s">
        <v>4378</v>
      </c>
      <c r="F6175" s="3563" t="s">
        <v>4797</v>
      </c>
      <c r="G6175" s="3564">
        <v>101.02</v>
      </c>
      <c r="H6175" s="3564">
        <v>81.739999999999995</v>
      </c>
      <c r="I6175" s="3564">
        <v>19.28</v>
      </c>
      <c r="J6175" s="3565">
        <v>1107513</v>
      </c>
      <c r="K6175" s="3565">
        <v>10963.3</v>
      </c>
      <c r="L6175" s="3565">
        <v>13549.22</v>
      </c>
      <c r="M6175" s="3565">
        <v>0</v>
      </c>
      <c r="N6175" s="3565">
        <v>0</v>
      </c>
      <c r="O6175" s="3563" t="s">
        <v>3453</v>
      </c>
    </row>
    <row r="6176" spans="1:15">
      <c r="A6176" s="3563" t="s">
        <v>10424</v>
      </c>
      <c r="B6176" s="3563" t="s">
        <v>4196</v>
      </c>
      <c r="C6176" s="3563" t="s">
        <v>4197</v>
      </c>
      <c r="D6176" s="3563" t="s">
        <v>10228</v>
      </c>
      <c r="E6176" s="3563" t="s">
        <v>4378</v>
      </c>
      <c r="F6176" s="3563" t="s">
        <v>4797</v>
      </c>
      <c r="G6176" s="3564">
        <v>123.63</v>
      </c>
      <c r="H6176" s="3564">
        <v>100.03</v>
      </c>
      <c r="I6176" s="3564">
        <v>23.6</v>
      </c>
      <c r="J6176" s="3565">
        <v>1327774</v>
      </c>
      <c r="K6176" s="3565">
        <v>10739.9</v>
      </c>
      <c r="L6176" s="3565">
        <v>13273.76</v>
      </c>
      <c r="M6176" s="3565">
        <v>0</v>
      </c>
      <c r="N6176" s="3565">
        <v>0</v>
      </c>
      <c r="O6176" s="3563" t="s">
        <v>3453</v>
      </c>
    </row>
    <row r="6177" spans="1:15">
      <c r="A6177" s="3563" t="s">
        <v>10425</v>
      </c>
      <c r="B6177" s="3563" t="s">
        <v>4196</v>
      </c>
      <c r="C6177" s="3563" t="s">
        <v>4197</v>
      </c>
      <c r="D6177" s="3563" t="s">
        <v>10228</v>
      </c>
      <c r="E6177" s="3563" t="s">
        <v>4378</v>
      </c>
      <c r="F6177" s="3563" t="s">
        <v>4797</v>
      </c>
      <c r="G6177" s="3564">
        <v>87.75</v>
      </c>
      <c r="H6177" s="3564">
        <v>71</v>
      </c>
      <c r="I6177" s="3564">
        <v>16.75</v>
      </c>
      <c r="J6177" s="3565">
        <v>900419</v>
      </c>
      <c r="K6177" s="3565">
        <v>10261.19</v>
      </c>
      <c r="L6177" s="3565">
        <v>12681.96</v>
      </c>
      <c r="M6177" s="3565">
        <v>0</v>
      </c>
      <c r="N6177" s="3565">
        <v>0</v>
      </c>
      <c r="O6177" s="3563" t="s">
        <v>3453</v>
      </c>
    </row>
    <row r="6178" spans="1:15">
      <c r="A6178" s="3563" t="s">
        <v>10426</v>
      </c>
      <c r="B6178" s="3563" t="s">
        <v>4196</v>
      </c>
      <c r="C6178" s="3563" t="s">
        <v>4197</v>
      </c>
      <c r="D6178" s="3563" t="s">
        <v>10228</v>
      </c>
      <c r="E6178" s="3563" t="s">
        <v>4378</v>
      </c>
      <c r="F6178" s="3563" t="s">
        <v>4797</v>
      </c>
      <c r="G6178" s="3564">
        <v>87.75</v>
      </c>
      <c r="H6178" s="3564">
        <v>71</v>
      </c>
      <c r="I6178" s="3564">
        <v>16.75</v>
      </c>
      <c r="J6178" s="3565">
        <v>900419</v>
      </c>
      <c r="K6178" s="3565">
        <v>10261.19</v>
      </c>
      <c r="L6178" s="3565">
        <v>12681.96</v>
      </c>
      <c r="M6178" s="3565">
        <v>0</v>
      </c>
      <c r="N6178" s="3565">
        <v>0</v>
      </c>
      <c r="O6178" s="3563" t="s">
        <v>3453</v>
      </c>
    </row>
    <row r="6179" spans="1:15">
      <c r="A6179" s="3563" t="s">
        <v>10427</v>
      </c>
      <c r="B6179" s="3563" t="s">
        <v>4196</v>
      </c>
      <c r="C6179" s="3563" t="s">
        <v>4197</v>
      </c>
      <c r="D6179" s="3563" t="s">
        <v>10228</v>
      </c>
      <c r="E6179" s="3563" t="s">
        <v>4378</v>
      </c>
      <c r="F6179" s="3563" t="s">
        <v>4797</v>
      </c>
      <c r="G6179" s="3564">
        <v>101.36</v>
      </c>
      <c r="H6179" s="3564">
        <v>82.01</v>
      </c>
      <c r="I6179" s="3564">
        <v>19.350000000000001</v>
      </c>
      <c r="J6179" s="3565">
        <v>1029290</v>
      </c>
      <c r="K6179" s="3565">
        <v>10154.790000000001</v>
      </c>
      <c r="L6179" s="3565">
        <v>12550.79</v>
      </c>
      <c r="M6179" s="3565">
        <v>0</v>
      </c>
      <c r="N6179" s="3565">
        <v>0</v>
      </c>
      <c r="O6179" s="3563" t="s">
        <v>3453</v>
      </c>
    </row>
    <row r="6180" spans="1:15">
      <c r="A6180" s="3563" t="s">
        <v>10428</v>
      </c>
      <c r="B6180" s="3563" t="s">
        <v>4196</v>
      </c>
      <c r="C6180" s="3563" t="s">
        <v>4197</v>
      </c>
      <c r="D6180" s="3563" t="s">
        <v>10228</v>
      </c>
      <c r="E6180" s="3563" t="s">
        <v>4378</v>
      </c>
      <c r="F6180" s="3563" t="s">
        <v>4797</v>
      </c>
      <c r="G6180" s="3564">
        <v>101.02</v>
      </c>
      <c r="H6180" s="3564">
        <v>81.739999999999995</v>
      </c>
      <c r="I6180" s="3564">
        <v>19.28</v>
      </c>
      <c r="J6180" s="3565">
        <v>1106438</v>
      </c>
      <c r="K6180" s="3565">
        <v>10952.66</v>
      </c>
      <c r="L6180" s="3565">
        <v>13536.07</v>
      </c>
      <c r="M6180" s="3565">
        <v>0</v>
      </c>
      <c r="N6180" s="3565">
        <v>0</v>
      </c>
      <c r="O6180" s="3563" t="s">
        <v>3453</v>
      </c>
    </row>
    <row r="6181" spans="1:15">
      <c r="A6181" s="3563" t="s">
        <v>10429</v>
      </c>
      <c r="B6181" s="3563" t="s">
        <v>4196</v>
      </c>
      <c r="C6181" s="3563" t="s">
        <v>4197</v>
      </c>
      <c r="D6181" s="3563" t="s">
        <v>10228</v>
      </c>
      <c r="E6181" s="3563" t="s">
        <v>4378</v>
      </c>
      <c r="F6181" s="3563" t="s">
        <v>4797</v>
      </c>
      <c r="G6181" s="3564">
        <v>101.02</v>
      </c>
      <c r="H6181" s="3564">
        <v>81.739999999999995</v>
      </c>
      <c r="I6181" s="3564">
        <v>19.28</v>
      </c>
      <c r="J6181" s="3565">
        <v>1106438</v>
      </c>
      <c r="K6181" s="3565">
        <v>10952.66</v>
      </c>
      <c r="L6181" s="3565">
        <v>13536.07</v>
      </c>
      <c r="M6181" s="3565">
        <v>0</v>
      </c>
      <c r="N6181" s="3565">
        <v>0</v>
      </c>
      <c r="O6181" s="3563" t="s">
        <v>3453</v>
      </c>
    </row>
    <row r="6182" spans="1:15">
      <c r="A6182" s="3563" t="s">
        <v>10430</v>
      </c>
      <c r="B6182" s="3563" t="s">
        <v>4196</v>
      </c>
      <c r="C6182" s="3563" t="s">
        <v>4197</v>
      </c>
      <c r="D6182" s="3563" t="s">
        <v>10228</v>
      </c>
      <c r="E6182" s="3563" t="s">
        <v>4378</v>
      </c>
      <c r="F6182" s="3563" t="s">
        <v>4797</v>
      </c>
      <c r="G6182" s="3564">
        <v>123.63</v>
      </c>
      <c r="H6182" s="3564">
        <v>100.03</v>
      </c>
      <c r="I6182" s="3564">
        <v>23.6</v>
      </c>
      <c r="J6182" s="3565">
        <v>1287002</v>
      </c>
      <c r="K6182" s="3565">
        <v>10410.11</v>
      </c>
      <c r="L6182" s="3565">
        <v>12866.16</v>
      </c>
      <c r="M6182" s="3565">
        <v>0</v>
      </c>
      <c r="N6182" s="3565">
        <v>0</v>
      </c>
      <c r="O6182" s="3563" t="s">
        <v>3453</v>
      </c>
    </row>
    <row r="6183" spans="1:15">
      <c r="A6183" s="3563" t="s">
        <v>10431</v>
      </c>
      <c r="B6183" s="3563" t="s">
        <v>4196</v>
      </c>
      <c r="C6183" s="3563" t="s">
        <v>4197</v>
      </c>
      <c r="D6183" s="3563" t="s">
        <v>10228</v>
      </c>
      <c r="E6183" s="3563" t="s">
        <v>4378</v>
      </c>
      <c r="F6183" s="3563" t="s">
        <v>4797</v>
      </c>
      <c r="G6183" s="3564">
        <v>87.75</v>
      </c>
      <c r="H6183" s="3564">
        <v>71</v>
      </c>
      <c r="I6183" s="3564">
        <v>16.75</v>
      </c>
      <c r="J6183" s="3565">
        <v>882681</v>
      </c>
      <c r="K6183" s="3565">
        <v>10059.040000000001</v>
      </c>
      <c r="L6183" s="3565">
        <v>12432.13</v>
      </c>
      <c r="M6183" s="3565">
        <v>0</v>
      </c>
      <c r="N6183" s="3565">
        <v>0</v>
      </c>
      <c r="O6183" s="3563" t="s">
        <v>3453</v>
      </c>
    </row>
    <row r="6184" spans="1:15">
      <c r="A6184" s="3563" t="s">
        <v>10432</v>
      </c>
      <c r="B6184" s="3563" t="s">
        <v>4196</v>
      </c>
      <c r="C6184" s="3563" t="s">
        <v>4197</v>
      </c>
      <c r="D6184" s="3563" t="s">
        <v>10228</v>
      </c>
      <c r="E6184" s="3563" t="s">
        <v>4378</v>
      </c>
      <c r="F6184" s="3563" t="s">
        <v>4797</v>
      </c>
      <c r="G6184" s="3564">
        <v>87.75</v>
      </c>
      <c r="H6184" s="3564">
        <v>71</v>
      </c>
      <c r="I6184" s="3564">
        <v>16.75</v>
      </c>
      <c r="J6184" s="3565">
        <v>882681</v>
      </c>
      <c r="K6184" s="3565">
        <v>10059.040000000001</v>
      </c>
      <c r="L6184" s="3565">
        <v>12432.13</v>
      </c>
      <c r="M6184" s="3565">
        <v>0</v>
      </c>
      <c r="N6184" s="3565">
        <v>0</v>
      </c>
      <c r="O6184" s="3563" t="s">
        <v>3453</v>
      </c>
    </row>
    <row r="6185" spans="1:15">
      <c r="A6185" s="3563" t="s">
        <v>10433</v>
      </c>
      <c r="B6185" s="3563" t="s">
        <v>4196</v>
      </c>
      <c r="C6185" s="3563" t="s">
        <v>4197</v>
      </c>
      <c r="D6185" s="3563" t="s">
        <v>10228</v>
      </c>
      <c r="E6185" s="3563" t="s">
        <v>4378</v>
      </c>
      <c r="F6185" s="3563" t="s">
        <v>4797</v>
      </c>
      <c r="G6185" s="3564">
        <v>101.36</v>
      </c>
      <c r="H6185" s="3564">
        <v>82.01</v>
      </c>
      <c r="I6185" s="3564">
        <v>19.350000000000001</v>
      </c>
      <c r="J6185" s="3565">
        <v>1019585</v>
      </c>
      <c r="K6185" s="3565">
        <v>10059.049999999999</v>
      </c>
      <c r="L6185" s="3565">
        <v>12432.45</v>
      </c>
      <c r="M6185" s="3565">
        <v>0</v>
      </c>
      <c r="N6185" s="3565">
        <v>0</v>
      </c>
      <c r="O6185" s="3563" t="s">
        <v>3453</v>
      </c>
    </row>
    <row r="6186" spans="1:15">
      <c r="A6186" s="3563" t="s">
        <v>10434</v>
      </c>
      <c r="B6186" s="3563" t="s">
        <v>4196</v>
      </c>
      <c r="C6186" s="3563" t="s">
        <v>4197</v>
      </c>
      <c r="D6186" s="3563" t="s">
        <v>10228</v>
      </c>
      <c r="E6186" s="3563" t="s">
        <v>4378</v>
      </c>
      <c r="F6186" s="3563" t="s">
        <v>4797</v>
      </c>
      <c r="G6186" s="3564">
        <v>101.02</v>
      </c>
      <c r="H6186" s="3564">
        <v>81.739999999999995</v>
      </c>
      <c r="I6186" s="3564">
        <v>19.28</v>
      </c>
      <c r="J6186" s="3565">
        <v>1073123</v>
      </c>
      <c r="K6186" s="3565">
        <v>10622.88</v>
      </c>
      <c r="L6186" s="3565">
        <v>13128.49</v>
      </c>
      <c r="M6186" s="3565">
        <v>0</v>
      </c>
      <c r="N6186" s="3565">
        <v>0</v>
      </c>
      <c r="O6186" s="3563" t="s">
        <v>3453</v>
      </c>
    </row>
    <row r="6187" spans="1:15">
      <c r="A6187" s="3563" t="s">
        <v>10435</v>
      </c>
      <c r="B6187" s="3563" t="s">
        <v>4196</v>
      </c>
      <c r="C6187" s="3563" t="s">
        <v>4197</v>
      </c>
      <c r="D6187" s="3563" t="s">
        <v>10228</v>
      </c>
      <c r="E6187" s="3563" t="s">
        <v>4378</v>
      </c>
      <c r="F6187" s="3563" t="s">
        <v>4797</v>
      </c>
      <c r="G6187" s="3564">
        <v>101.02</v>
      </c>
      <c r="H6187" s="3564">
        <v>81.739999999999995</v>
      </c>
      <c r="I6187" s="3564">
        <v>19.28</v>
      </c>
      <c r="J6187" s="3565">
        <v>1073123</v>
      </c>
      <c r="K6187" s="3565">
        <v>10622.88</v>
      </c>
      <c r="L6187" s="3565">
        <v>13128.49</v>
      </c>
      <c r="M6187" s="3565">
        <v>0</v>
      </c>
      <c r="N6187" s="3565">
        <v>0</v>
      </c>
      <c r="O6187" s="3563" t="s">
        <v>3453</v>
      </c>
    </row>
    <row r="6188" spans="1:15">
      <c r="A6188" s="3563" t="s">
        <v>10436</v>
      </c>
      <c r="B6188" s="3563" t="s">
        <v>4196</v>
      </c>
      <c r="C6188" s="3563" t="s">
        <v>4197</v>
      </c>
      <c r="D6188" s="3563" t="s">
        <v>10228</v>
      </c>
      <c r="E6188" s="3563" t="s">
        <v>4378</v>
      </c>
      <c r="F6188" s="3563" t="s">
        <v>4797</v>
      </c>
      <c r="G6188" s="3564">
        <v>123.63</v>
      </c>
      <c r="H6188" s="3564">
        <v>100.03</v>
      </c>
      <c r="I6188" s="3564">
        <v>23.6</v>
      </c>
      <c r="J6188" s="3565">
        <v>1243599</v>
      </c>
      <c r="K6188" s="3565">
        <v>10059.040000000001</v>
      </c>
      <c r="L6188" s="3565">
        <v>12432.26</v>
      </c>
      <c r="M6188" s="3565">
        <v>0</v>
      </c>
      <c r="N6188" s="3565">
        <v>0</v>
      </c>
      <c r="O6188" s="3563" t="s">
        <v>3453</v>
      </c>
    </row>
    <row r="6189" spans="1:15">
      <c r="A6189" s="3563" t="s">
        <v>10437</v>
      </c>
      <c r="B6189" s="3563" t="s">
        <v>4196</v>
      </c>
      <c r="C6189" s="3563" t="s">
        <v>4197</v>
      </c>
      <c r="D6189" s="3563" t="s">
        <v>10228</v>
      </c>
      <c r="E6189" s="3563" t="s">
        <v>4378</v>
      </c>
      <c r="F6189" s="3563" t="s">
        <v>4797</v>
      </c>
      <c r="G6189" s="3564">
        <v>87.75</v>
      </c>
      <c r="H6189" s="3564">
        <v>71</v>
      </c>
      <c r="I6189" s="3564">
        <v>16.75</v>
      </c>
      <c r="J6189" s="3565">
        <v>882681</v>
      </c>
      <c r="K6189" s="3565">
        <v>10059.040000000001</v>
      </c>
      <c r="L6189" s="3565">
        <v>12432.13</v>
      </c>
      <c r="M6189" s="3565">
        <v>0</v>
      </c>
      <c r="N6189" s="3565">
        <v>0</v>
      </c>
      <c r="O6189" s="3563" t="s">
        <v>3453</v>
      </c>
    </row>
    <row r="6190" spans="1:15">
      <c r="A6190" s="3563" t="s">
        <v>10438</v>
      </c>
      <c r="B6190" s="3563" t="s">
        <v>4196</v>
      </c>
      <c r="C6190" s="3563" t="s">
        <v>4197</v>
      </c>
      <c r="D6190" s="3563" t="s">
        <v>10228</v>
      </c>
      <c r="E6190" s="3563" t="s">
        <v>4378</v>
      </c>
      <c r="F6190" s="3563" t="s">
        <v>4797</v>
      </c>
      <c r="G6190" s="3564">
        <v>87.75</v>
      </c>
      <c r="H6190" s="3564">
        <v>71</v>
      </c>
      <c r="I6190" s="3564">
        <v>16.75</v>
      </c>
      <c r="J6190" s="3565">
        <v>882681</v>
      </c>
      <c r="K6190" s="3565">
        <v>10059.040000000001</v>
      </c>
      <c r="L6190" s="3565">
        <v>12432.13</v>
      </c>
      <c r="M6190" s="3565">
        <v>0</v>
      </c>
      <c r="N6190" s="3565">
        <v>0</v>
      </c>
      <c r="O6190" s="3563" t="s">
        <v>3453</v>
      </c>
    </row>
    <row r="6191" spans="1:15">
      <c r="A6191" s="3563" t="s">
        <v>10439</v>
      </c>
      <c r="B6191" s="3563" t="s">
        <v>4196</v>
      </c>
      <c r="C6191" s="3563" t="s">
        <v>4197</v>
      </c>
      <c r="D6191" s="3563" t="s">
        <v>10228</v>
      </c>
      <c r="E6191" s="3563" t="s">
        <v>4378</v>
      </c>
      <c r="F6191" s="3563" t="s">
        <v>4797</v>
      </c>
      <c r="G6191" s="3564">
        <v>101.36</v>
      </c>
      <c r="H6191" s="3564">
        <v>82.01</v>
      </c>
      <c r="I6191" s="3564">
        <v>19.350000000000001</v>
      </c>
      <c r="J6191" s="3565">
        <v>1019585</v>
      </c>
      <c r="K6191" s="3565">
        <v>10059.049999999999</v>
      </c>
      <c r="L6191" s="3565">
        <v>12432.45</v>
      </c>
      <c r="M6191" s="3565">
        <v>0</v>
      </c>
      <c r="N6191" s="3565">
        <v>0</v>
      </c>
      <c r="O6191" s="3563" t="s">
        <v>3453</v>
      </c>
    </row>
    <row r="6192" spans="1:15">
      <c r="A6192" s="3563" t="s">
        <v>10440</v>
      </c>
      <c r="B6192" s="3563" t="s">
        <v>4196</v>
      </c>
      <c r="C6192" s="3563" t="s">
        <v>4197</v>
      </c>
      <c r="D6192" s="3563" t="s">
        <v>10228</v>
      </c>
      <c r="E6192" s="3563" t="s">
        <v>4378</v>
      </c>
      <c r="F6192" s="3563" t="s">
        <v>4797</v>
      </c>
      <c r="G6192" s="3564">
        <v>101.02</v>
      </c>
      <c r="H6192" s="3564">
        <v>81.739999999999995</v>
      </c>
      <c r="I6192" s="3564">
        <v>19.28</v>
      </c>
      <c r="J6192" s="3565">
        <v>1033360</v>
      </c>
      <c r="K6192" s="3565">
        <v>10229.26</v>
      </c>
      <c r="L6192" s="3565">
        <v>12642.04</v>
      </c>
      <c r="M6192" s="3565">
        <v>0</v>
      </c>
      <c r="N6192" s="3565">
        <v>0</v>
      </c>
      <c r="O6192" s="3563" t="s">
        <v>3453</v>
      </c>
    </row>
    <row r="6193" spans="1:15">
      <c r="A6193" s="3563" t="s">
        <v>10441</v>
      </c>
      <c r="B6193" s="3563" t="s">
        <v>4196</v>
      </c>
      <c r="C6193" s="3563" t="s">
        <v>4197</v>
      </c>
      <c r="D6193" s="3563" t="s">
        <v>10228</v>
      </c>
      <c r="E6193" s="3563" t="s">
        <v>4378</v>
      </c>
      <c r="F6193" s="3563" t="s">
        <v>4797</v>
      </c>
      <c r="G6193" s="3564">
        <v>101.02</v>
      </c>
      <c r="H6193" s="3564">
        <v>81.739999999999995</v>
      </c>
      <c r="I6193" s="3564">
        <v>19.28</v>
      </c>
      <c r="J6193" s="3565">
        <v>1022613</v>
      </c>
      <c r="K6193" s="3565">
        <v>10122.879999999999</v>
      </c>
      <c r="L6193" s="3565">
        <v>12510.56</v>
      </c>
      <c r="M6193" s="3565">
        <v>0</v>
      </c>
      <c r="N6193" s="3565">
        <v>0</v>
      </c>
      <c r="O6193" s="3563" t="s">
        <v>3453</v>
      </c>
    </row>
    <row r="6194" spans="1:15">
      <c r="A6194" s="3563" t="s">
        <v>10442</v>
      </c>
      <c r="B6194" s="3563" t="s">
        <v>4196</v>
      </c>
      <c r="C6194" s="3563" t="s">
        <v>4197</v>
      </c>
      <c r="D6194" s="3563" t="s">
        <v>10228</v>
      </c>
      <c r="E6194" s="3563" t="s">
        <v>4378</v>
      </c>
      <c r="F6194" s="3563" t="s">
        <v>4797</v>
      </c>
      <c r="G6194" s="3564">
        <v>123.63</v>
      </c>
      <c r="H6194" s="3564">
        <v>100.03</v>
      </c>
      <c r="I6194" s="3564">
        <v>23.6</v>
      </c>
      <c r="J6194" s="3565">
        <v>1243599</v>
      </c>
      <c r="K6194" s="3565">
        <v>10059.040000000001</v>
      </c>
      <c r="L6194" s="3565">
        <v>12432.26</v>
      </c>
      <c r="M6194" s="3565">
        <v>0</v>
      </c>
      <c r="N6194" s="3565">
        <v>0</v>
      </c>
      <c r="O6194" s="3563" t="s">
        <v>3453</v>
      </c>
    </row>
    <row r="6195" spans="1:15">
      <c r="A6195" s="3563" t="s">
        <v>10443</v>
      </c>
      <c r="B6195" s="3563" t="s">
        <v>4196</v>
      </c>
      <c r="C6195" s="3563" t="s">
        <v>4197</v>
      </c>
      <c r="D6195" s="3563" t="s">
        <v>10228</v>
      </c>
      <c r="E6195" s="3563" t="s">
        <v>4378</v>
      </c>
      <c r="F6195" s="3563" t="s">
        <v>4797</v>
      </c>
      <c r="G6195" s="3564">
        <v>87.75</v>
      </c>
      <c r="H6195" s="3564">
        <v>71</v>
      </c>
      <c r="I6195" s="3564">
        <v>16.75</v>
      </c>
      <c r="J6195" s="3565">
        <v>882681</v>
      </c>
      <c r="K6195" s="3565">
        <v>10059.040000000001</v>
      </c>
      <c r="L6195" s="3565">
        <v>12432.13</v>
      </c>
      <c r="M6195" s="3565">
        <v>0</v>
      </c>
      <c r="N6195" s="3565">
        <v>0</v>
      </c>
      <c r="O6195" s="3563" t="s">
        <v>3453</v>
      </c>
    </row>
    <row r="6196" spans="1:15">
      <c r="A6196" s="3563" t="s">
        <v>10444</v>
      </c>
      <c r="B6196" s="3563" t="s">
        <v>4196</v>
      </c>
      <c r="C6196" s="3563" t="s">
        <v>4197</v>
      </c>
      <c r="D6196" s="3563" t="s">
        <v>10228</v>
      </c>
      <c r="E6196" s="3563" t="s">
        <v>4378</v>
      </c>
      <c r="F6196" s="3563" t="s">
        <v>4797</v>
      </c>
      <c r="G6196" s="3564">
        <v>87.75</v>
      </c>
      <c r="H6196" s="3564">
        <v>71</v>
      </c>
      <c r="I6196" s="3564">
        <v>16.75</v>
      </c>
      <c r="J6196" s="3565">
        <v>882681</v>
      </c>
      <c r="K6196" s="3565">
        <v>10059.040000000001</v>
      </c>
      <c r="L6196" s="3565">
        <v>12432.13</v>
      </c>
      <c r="M6196" s="3565">
        <v>0</v>
      </c>
      <c r="N6196" s="3565">
        <v>0</v>
      </c>
      <c r="O6196" s="3563" t="s">
        <v>3453</v>
      </c>
    </row>
    <row r="6197" spans="1:15">
      <c r="A6197" s="3563" t="s">
        <v>10445</v>
      </c>
      <c r="B6197" s="3563" t="s">
        <v>4196</v>
      </c>
      <c r="C6197" s="3563" t="s">
        <v>4197</v>
      </c>
      <c r="D6197" s="3563" t="s">
        <v>10228</v>
      </c>
      <c r="E6197" s="3563" t="s">
        <v>4378</v>
      </c>
      <c r="F6197" s="3563" t="s">
        <v>4797</v>
      </c>
      <c r="G6197" s="3564">
        <v>101.36</v>
      </c>
      <c r="H6197" s="3564">
        <v>82.01</v>
      </c>
      <c r="I6197" s="3564">
        <v>19.350000000000001</v>
      </c>
      <c r="J6197" s="3565">
        <v>1019585</v>
      </c>
      <c r="K6197" s="3565">
        <v>10059.049999999999</v>
      </c>
      <c r="L6197" s="3565">
        <v>12432.45</v>
      </c>
      <c r="M6197" s="3565">
        <v>0</v>
      </c>
      <c r="N6197" s="3565">
        <v>0</v>
      </c>
      <c r="O6197" s="3563" t="s">
        <v>3453</v>
      </c>
    </row>
    <row r="6198" spans="1:15">
      <c r="A6198" s="3563" t="s">
        <v>10446</v>
      </c>
      <c r="B6198" s="3563" t="s">
        <v>4196</v>
      </c>
      <c r="C6198" s="3563" t="s">
        <v>4197</v>
      </c>
      <c r="D6198" s="3563" t="s">
        <v>10228</v>
      </c>
      <c r="E6198" s="3563" t="s">
        <v>4378</v>
      </c>
      <c r="F6198" s="3563" t="s">
        <v>4797</v>
      </c>
      <c r="G6198" s="3564">
        <v>101.02</v>
      </c>
      <c r="H6198" s="3564">
        <v>81.739999999999995</v>
      </c>
      <c r="I6198" s="3564">
        <v>19.28</v>
      </c>
      <c r="J6198" s="3565">
        <v>1046256</v>
      </c>
      <c r="K6198" s="3565">
        <v>10356.92</v>
      </c>
      <c r="L6198" s="3565">
        <v>12799.8</v>
      </c>
      <c r="M6198" s="3565">
        <v>0</v>
      </c>
      <c r="N6198" s="3565">
        <v>0</v>
      </c>
      <c r="O6198" s="3563" t="s">
        <v>3453</v>
      </c>
    </row>
    <row r="6199" spans="1:15">
      <c r="A6199" s="3563" t="s">
        <v>10447</v>
      </c>
      <c r="B6199" s="3563" t="s">
        <v>4196</v>
      </c>
      <c r="C6199" s="3563" t="s">
        <v>4197</v>
      </c>
      <c r="D6199" s="3563" t="s">
        <v>10228</v>
      </c>
      <c r="E6199" s="3563" t="s">
        <v>4378</v>
      </c>
      <c r="F6199" s="3563" t="s">
        <v>4797</v>
      </c>
      <c r="G6199" s="3564">
        <v>101.02</v>
      </c>
      <c r="H6199" s="3564">
        <v>81.739999999999995</v>
      </c>
      <c r="I6199" s="3564">
        <v>19.28</v>
      </c>
      <c r="J6199" s="3565">
        <v>1035509</v>
      </c>
      <c r="K6199" s="3565">
        <v>10250.530000000001</v>
      </c>
      <c r="L6199" s="3565">
        <v>12668.33</v>
      </c>
      <c r="M6199" s="3565">
        <v>0</v>
      </c>
      <c r="N6199" s="3565">
        <v>0</v>
      </c>
      <c r="O6199" s="3563" t="s">
        <v>3453</v>
      </c>
    </row>
    <row r="6200" spans="1:15">
      <c r="A6200" s="3563" t="s">
        <v>10448</v>
      </c>
      <c r="B6200" s="3563" t="s">
        <v>4196</v>
      </c>
      <c r="C6200" s="3563" t="s">
        <v>4197</v>
      </c>
      <c r="D6200" s="3563" t="s">
        <v>10228</v>
      </c>
      <c r="E6200" s="3563" t="s">
        <v>4378</v>
      </c>
      <c r="F6200" s="3563" t="s">
        <v>4797</v>
      </c>
      <c r="G6200" s="3564">
        <v>123.63</v>
      </c>
      <c r="H6200" s="3564">
        <v>100.03</v>
      </c>
      <c r="I6200" s="3564">
        <v>23.6</v>
      </c>
      <c r="J6200" s="3565">
        <v>1256752</v>
      </c>
      <c r="K6200" s="3565">
        <v>10165.43</v>
      </c>
      <c r="L6200" s="3565">
        <v>12563.75</v>
      </c>
      <c r="M6200" s="3565">
        <v>0</v>
      </c>
      <c r="N6200" s="3565">
        <v>0</v>
      </c>
      <c r="O6200" s="3563" t="s">
        <v>3453</v>
      </c>
    </row>
    <row r="6201" spans="1:15">
      <c r="A6201" s="3563" t="s">
        <v>10449</v>
      </c>
      <c r="B6201" s="3563" t="s">
        <v>4196</v>
      </c>
      <c r="C6201" s="3563" t="s">
        <v>4197</v>
      </c>
      <c r="D6201" s="3563" t="s">
        <v>10228</v>
      </c>
      <c r="E6201" s="3563" t="s">
        <v>4378</v>
      </c>
      <c r="F6201" s="3563" t="s">
        <v>4797</v>
      </c>
      <c r="G6201" s="3564">
        <v>87.75</v>
      </c>
      <c r="H6201" s="3564">
        <v>71</v>
      </c>
      <c r="I6201" s="3564">
        <v>16.75</v>
      </c>
      <c r="J6201" s="3565">
        <v>882681</v>
      </c>
      <c r="K6201" s="3565">
        <v>10059.040000000001</v>
      </c>
      <c r="L6201" s="3565">
        <v>12432.13</v>
      </c>
      <c r="M6201" s="3565">
        <v>0</v>
      </c>
      <c r="N6201" s="3565">
        <v>0</v>
      </c>
      <c r="O6201" s="3563" t="s">
        <v>3453</v>
      </c>
    </row>
    <row r="6202" spans="1:15">
      <c r="A6202" s="3563" t="s">
        <v>10450</v>
      </c>
      <c r="B6202" s="3563" t="s">
        <v>4196</v>
      </c>
      <c r="C6202" s="3563" t="s">
        <v>4197</v>
      </c>
      <c r="D6202" s="3563" t="s">
        <v>10228</v>
      </c>
      <c r="E6202" s="3563" t="s">
        <v>4378</v>
      </c>
      <c r="F6202" s="3563" t="s">
        <v>4797</v>
      </c>
      <c r="G6202" s="3564">
        <v>87.75</v>
      </c>
      <c r="H6202" s="3564">
        <v>71</v>
      </c>
      <c r="I6202" s="3564">
        <v>16.75</v>
      </c>
      <c r="J6202" s="3565">
        <v>887349</v>
      </c>
      <c r="K6202" s="3565">
        <v>10112.24</v>
      </c>
      <c r="L6202" s="3565">
        <v>12497.87</v>
      </c>
      <c r="M6202" s="3565">
        <v>0</v>
      </c>
      <c r="N6202" s="3565">
        <v>0</v>
      </c>
      <c r="O6202" s="3563" t="s">
        <v>3453</v>
      </c>
    </row>
    <row r="6203" spans="1:15">
      <c r="A6203" s="3563" t="s">
        <v>10451</v>
      </c>
      <c r="B6203" s="3563" t="s">
        <v>4196</v>
      </c>
      <c r="C6203" s="3563" t="s">
        <v>4197</v>
      </c>
      <c r="D6203" s="3563" t="s">
        <v>10228</v>
      </c>
      <c r="E6203" s="3563" t="s">
        <v>4378</v>
      </c>
      <c r="F6203" s="3563" t="s">
        <v>4797</v>
      </c>
      <c r="G6203" s="3564">
        <v>101.36</v>
      </c>
      <c r="H6203" s="3564">
        <v>82.01</v>
      </c>
      <c r="I6203" s="3564">
        <v>19.350000000000001</v>
      </c>
      <c r="J6203" s="3565">
        <v>1019585</v>
      </c>
      <c r="K6203" s="3565">
        <v>10059.049999999999</v>
      </c>
      <c r="L6203" s="3565">
        <v>12432.45</v>
      </c>
      <c r="M6203" s="3565">
        <v>0</v>
      </c>
      <c r="N6203" s="3565">
        <v>0</v>
      </c>
      <c r="O6203" s="3563" t="s">
        <v>3453</v>
      </c>
    </row>
    <row r="6204" spans="1:15">
      <c r="A6204" s="3563" t="s">
        <v>10452</v>
      </c>
      <c r="B6204" s="3563" t="s">
        <v>4196</v>
      </c>
      <c r="C6204" s="3563" t="s">
        <v>4197</v>
      </c>
      <c r="D6204" s="3563" t="s">
        <v>10228</v>
      </c>
      <c r="E6204" s="3563" t="s">
        <v>4378</v>
      </c>
      <c r="F6204" s="3563" t="s">
        <v>4797</v>
      </c>
      <c r="G6204" s="3564">
        <v>101.02</v>
      </c>
      <c r="H6204" s="3564">
        <v>81.739999999999995</v>
      </c>
      <c r="I6204" s="3564">
        <v>19.28</v>
      </c>
      <c r="J6204" s="3565">
        <v>1059153</v>
      </c>
      <c r="K6204" s="3565">
        <v>10484.59</v>
      </c>
      <c r="L6204" s="3565">
        <v>12957.59</v>
      </c>
      <c r="M6204" s="3565">
        <v>0</v>
      </c>
      <c r="N6204" s="3565">
        <v>0</v>
      </c>
      <c r="O6204" s="3563" t="s">
        <v>3453</v>
      </c>
    </row>
    <row r="6205" spans="1:15">
      <c r="A6205" s="3563" t="s">
        <v>10453</v>
      </c>
      <c r="B6205" s="3563" t="s">
        <v>4196</v>
      </c>
      <c r="C6205" s="3563" t="s">
        <v>4197</v>
      </c>
      <c r="D6205" s="3563" t="s">
        <v>10228</v>
      </c>
      <c r="E6205" s="3563" t="s">
        <v>4378</v>
      </c>
      <c r="F6205" s="3563" t="s">
        <v>4797</v>
      </c>
      <c r="G6205" s="3564">
        <v>101.02</v>
      </c>
      <c r="H6205" s="3564">
        <v>81.739999999999995</v>
      </c>
      <c r="I6205" s="3564">
        <v>19.28</v>
      </c>
      <c r="J6205" s="3565">
        <v>1048406</v>
      </c>
      <c r="K6205" s="3565">
        <v>10378.200000000001</v>
      </c>
      <c r="L6205" s="3565">
        <v>12826.11</v>
      </c>
      <c r="M6205" s="3565">
        <v>0</v>
      </c>
      <c r="N6205" s="3565">
        <v>0</v>
      </c>
      <c r="O6205" s="3563" t="s">
        <v>3453</v>
      </c>
    </row>
    <row r="6206" spans="1:15">
      <c r="A6206" s="3563" t="s">
        <v>10454</v>
      </c>
      <c r="B6206" s="3563" t="s">
        <v>4196</v>
      </c>
      <c r="C6206" s="3563" t="s">
        <v>4197</v>
      </c>
      <c r="D6206" s="3563" t="s">
        <v>10228</v>
      </c>
      <c r="E6206" s="3563" t="s">
        <v>4378</v>
      </c>
      <c r="F6206" s="3563" t="s">
        <v>4797</v>
      </c>
      <c r="G6206" s="3564">
        <v>123.63</v>
      </c>
      <c r="H6206" s="3564">
        <v>100.03</v>
      </c>
      <c r="I6206" s="3564">
        <v>23.6</v>
      </c>
      <c r="J6206" s="3565">
        <v>1258068</v>
      </c>
      <c r="K6206" s="3565">
        <v>10176.07</v>
      </c>
      <c r="L6206" s="3565">
        <v>12576.91</v>
      </c>
      <c r="M6206" s="3565">
        <v>0</v>
      </c>
      <c r="N6206" s="3565">
        <v>0</v>
      </c>
      <c r="O6206" s="3563" t="s">
        <v>3453</v>
      </c>
    </row>
    <row r="6207" spans="1:15">
      <c r="A6207" s="3563" t="s">
        <v>10455</v>
      </c>
      <c r="B6207" s="3563" t="s">
        <v>4196</v>
      </c>
      <c r="C6207" s="3563" t="s">
        <v>4197</v>
      </c>
      <c r="D6207" s="3563" t="s">
        <v>10228</v>
      </c>
      <c r="E6207" s="3563" t="s">
        <v>4378</v>
      </c>
      <c r="F6207" s="3563" t="s">
        <v>4797</v>
      </c>
      <c r="G6207" s="3564">
        <v>87.75</v>
      </c>
      <c r="H6207" s="3564">
        <v>71</v>
      </c>
      <c r="I6207" s="3564">
        <v>16.75</v>
      </c>
      <c r="J6207" s="3565">
        <v>882681</v>
      </c>
      <c r="K6207" s="3565">
        <v>10059.040000000001</v>
      </c>
      <c r="L6207" s="3565">
        <v>12432.13</v>
      </c>
      <c r="M6207" s="3565">
        <v>0</v>
      </c>
      <c r="N6207" s="3565">
        <v>0</v>
      </c>
      <c r="O6207" s="3563" t="s">
        <v>3453</v>
      </c>
    </row>
    <row r="6208" spans="1:15">
      <c r="A6208" s="3563" t="s">
        <v>10456</v>
      </c>
      <c r="B6208" s="3563" t="s">
        <v>4196</v>
      </c>
      <c r="C6208" s="3563" t="s">
        <v>4197</v>
      </c>
      <c r="D6208" s="3563" t="s">
        <v>10228</v>
      </c>
      <c r="E6208" s="3563" t="s">
        <v>4378</v>
      </c>
      <c r="F6208" s="3563" t="s">
        <v>4797</v>
      </c>
      <c r="G6208" s="3564">
        <v>87.75</v>
      </c>
      <c r="H6208" s="3564">
        <v>71</v>
      </c>
      <c r="I6208" s="3564">
        <v>16.75</v>
      </c>
      <c r="J6208" s="3565">
        <v>888282</v>
      </c>
      <c r="K6208" s="3565">
        <v>10122.870000000001</v>
      </c>
      <c r="L6208" s="3565">
        <v>12511.01</v>
      </c>
      <c r="M6208" s="3565">
        <v>0</v>
      </c>
      <c r="N6208" s="3565">
        <v>0</v>
      </c>
      <c r="O6208" s="3563" t="s">
        <v>3453</v>
      </c>
    </row>
    <row r="6209" spans="1:15">
      <c r="A6209" s="3563" t="s">
        <v>10457</v>
      </c>
      <c r="B6209" s="3563" t="s">
        <v>4196</v>
      </c>
      <c r="C6209" s="3563" t="s">
        <v>4197</v>
      </c>
      <c r="D6209" s="3563" t="s">
        <v>10228</v>
      </c>
      <c r="E6209" s="3563" t="s">
        <v>4378</v>
      </c>
      <c r="F6209" s="3563" t="s">
        <v>4797</v>
      </c>
      <c r="G6209" s="3564">
        <v>101.36</v>
      </c>
      <c r="H6209" s="3564">
        <v>82.01</v>
      </c>
      <c r="I6209" s="3564">
        <v>19.350000000000001</v>
      </c>
      <c r="J6209" s="3565">
        <v>1019585</v>
      </c>
      <c r="K6209" s="3565">
        <v>10059.049999999999</v>
      </c>
      <c r="L6209" s="3565">
        <v>12432.45</v>
      </c>
      <c r="M6209" s="3565">
        <v>0</v>
      </c>
      <c r="N6209" s="3565">
        <v>0</v>
      </c>
      <c r="O6209" s="3563" t="s">
        <v>3453</v>
      </c>
    </row>
    <row r="6210" spans="1:15">
      <c r="A6210" s="3563" t="s">
        <v>10458</v>
      </c>
      <c r="B6210" s="3563" t="s">
        <v>4196</v>
      </c>
      <c r="C6210" s="3563" t="s">
        <v>4197</v>
      </c>
      <c r="D6210" s="3563" t="s">
        <v>10228</v>
      </c>
      <c r="E6210" s="3563" t="s">
        <v>4378</v>
      </c>
      <c r="F6210" s="3563" t="s">
        <v>4797</v>
      </c>
      <c r="G6210" s="3564">
        <v>101.02</v>
      </c>
      <c r="H6210" s="3564">
        <v>81.739999999999995</v>
      </c>
      <c r="I6210" s="3564">
        <v>19.28</v>
      </c>
      <c r="J6210" s="3565">
        <v>1060227</v>
      </c>
      <c r="K6210" s="3565">
        <v>10495.22</v>
      </c>
      <c r="L6210" s="3565">
        <v>12970.72</v>
      </c>
      <c r="M6210" s="3565">
        <v>0</v>
      </c>
      <c r="N6210" s="3565">
        <v>0</v>
      </c>
      <c r="O6210" s="3563" t="s">
        <v>3453</v>
      </c>
    </row>
    <row r="6211" spans="1:15">
      <c r="A6211" s="3563" t="s">
        <v>10459</v>
      </c>
      <c r="B6211" s="3563" t="s">
        <v>4196</v>
      </c>
      <c r="C6211" s="3563" t="s">
        <v>4197</v>
      </c>
      <c r="D6211" s="3563" t="s">
        <v>10228</v>
      </c>
      <c r="E6211" s="3563" t="s">
        <v>4378</v>
      </c>
      <c r="F6211" s="3563" t="s">
        <v>4797</v>
      </c>
      <c r="G6211" s="3564">
        <v>101.02</v>
      </c>
      <c r="H6211" s="3564">
        <v>81.739999999999995</v>
      </c>
      <c r="I6211" s="3564">
        <v>19.28</v>
      </c>
      <c r="J6211" s="3565">
        <v>1049480</v>
      </c>
      <c r="K6211" s="3565">
        <v>10388.83</v>
      </c>
      <c r="L6211" s="3565">
        <v>12839.25</v>
      </c>
      <c r="M6211" s="3565">
        <v>0</v>
      </c>
      <c r="N6211" s="3565">
        <v>0</v>
      </c>
      <c r="O6211" s="3563" t="s">
        <v>3453</v>
      </c>
    </row>
    <row r="6212" spans="1:15">
      <c r="A6212" s="3563" t="s">
        <v>10460</v>
      </c>
      <c r="B6212" s="3563" t="s">
        <v>4196</v>
      </c>
      <c r="C6212" s="3563" t="s">
        <v>4197</v>
      </c>
      <c r="D6212" s="3563" t="s">
        <v>10228</v>
      </c>
      <c r="E6212" s="3563" t="s">
        <v>4378</v>
      </c>
      <c r="F6212" s="3563" t="s">
        <v>4797</v>
      </c>
      <c r="G6212" s="3564">
        <v>123.63</v>
      </c>
      <c r="H6212" s="3564">
        <v>100.03</v>
      </c>
      <c r="I6212" s="3564">
        <v>23.6</v>
      </c>
      <c r="J6212" s="3565">
        <v>1325143</v>
      </c>
      <c r="K6212" s="3565">
        <v>10718.62</v>
      </c>
      <c r="L6212" s="3565">
        <v>13247.46</v>
      </c>
      <c r="M6212" s="3565">
        <v>0</v>
      </c>
      <c r="N6212" s="3565">
        <v>0</v>
      </c>
      <c r="O6212" s="3563" t="s">
        <v>3453</v>
      </c>
    </row>
    <row r="6213" spans="1:15">
      <c r="A6213" s="3563" t="s">
        <v>10461</v>
      </c>
      <c r="B6213" s="3563" t="s">
        <v>4196</v>
      </c>
      <c r="C6213" s="3563" t="s">
        <v>4197</v>
      </c>
      <c r="D6213" s="3563" t="s">
        <v>10228</v>
      </c>
      <c r="E6213" s="3563" t="s">
        <v>4378</v>
      </c>
      <c r="F6213" s="3563" t="s">
        <v>4797</v>
      </c>
      <c r="G6213" s="3564">
        <v>87.75</v>
      </c>
      <c r="H6213" s="3564">
        <v>71</v>
      </c>
      <c r="I6213" s="3564">
        <v>16.75</v>
      </c>
      <c r="J6213" s="3565">
        <v>898552</v>
      </c>
      <c r="K6213" s="3565">
        <v>10239.91</v>
      </c>
      <c r="L6213" s="3565">
        <v>12655.66</v>
      </c>
      <c r="M6213" s="3565">
        <v>0</v>
      </c>
      <c r="N6213" s="3565">
        <v>0</v>
      </c>
      <c r="O6213" s="3563" t="s">
        <v>3453</v>
      </c>
    </row>
    <row r="6214" spans="1:15">
      <c r="A6214" s="3563" t="s">
        <v>10462</v>
      </c>
      <c r="B6214" s="3563" t="s">
        <v>4196</v>
      </c>
      <c r="C6214" s="3563" t="s">
        <v>4197</v>
      </c>
      <c r="D6214" s="3563" t="s">
        <v>10228</v>
      </c>
      <c r="E6214" s="3563" t="s">
        <v>4378</v>
      </c>
      <c r="F6214" s="3563" t="s">
        <v>4797</v>
      </c>
      <c r="G6214" s="3564">
        <v>87.75</v>
      </c>
      <c r="H6214" s="3564">
        <v>71</v>
      </c>
      <c r="I6214" s="3564">
        <v>16.75</v>
      </c>
      <c r="J6214" s="3565">
        <v>898552</v>
      </c>
      <c r="K6214" s="3565">
        <v>10239.91</v>
      </c>
      <c r="L6214" s="3565">
        <v>12655.66</v>
      </c>
      <c r="M6214" s="3565">
        <v>0</v>
      </c>
      <c r="N6214" s="3565">
        <v>0</v>
      </c>
      <c r="O6214" s="3563" t="s">
        <v>3453</v>
      </c>
    </row>
    <row r="6215" spans="1:15">
      <c r="A6215" s="3563" t="s">
        <v>10463</v>
      </c>
      <c r="B6215" s="3563" t="s">
        <v>4196</v>
      </c>
      <c r="C6215" s="3563" t="s">
        <v>4197</v>
      </c>
      <c r="D6215" s="3563" t="s">
        <v>10228</v>
      </c>
      <c r="E6215" s="3563" t="s">
        <v>4378</v>
      </c>
      <c r="F6215" s="3563" t="s">
        <v>4797</v>
      </c>
      <c r="G6215" s="3564">
        <v>101.36</v>
      </c>
      <c r="H6215" s="3564">
        <v>82.01</v>
      </c>
      <c r="I6215" s="3564">
        <v>19.350000000000001</v>
      </c>
      <c r="J6215" s="3565">
        <v>1027133</v>
      </c>
      <c r="K6215" s="3565">
        <v>10133.51</v>
      </c>
      <c r="L6215" s="3565">
        <v>12524.48</v>
      </c>
      <c r="M6215" s="3565">
        <v>0</v>
      </c>
      <c r="N6215" s="3565">
        <v>0</v>
      </c>
      <c r="O6215" s="3563" t="s">
        <v>3453</v>
      </c>
    </row>
    <row r="6216" spans="1:15">
      <c r="A6216" s="3563" t="s">
        <v>10464</v>
      </c>
      <c r="B6216" s="3563" t="s">
        <v>4196</v>
      </c>
      <c r="C6216" s="3563" t="s">
        <v>4197</v>
      </c>
      <c r="D6216" s="3563" t="s">
        <v>10228</v>
      </c>
      <c r="E6216" s="3563" t="s">
        <v>4378</v>
      </c>
      <c r="F6216" s="3563" t="s">
        <v>4797</v>
      </c>
      <c r="G6216" s="3564">
        <v>101.02</v>
      </c>
      <c r="H6216" s="3564">
        <v>81.739999999999995</v>
      </c>
      <c r="I6216" s="3564">
        <v>19.28</v>
      </c>
      <c r="J6216" s="3565">
        <v>1104289</v>
      </c>
      <c r="K6216" s="3565">
        <v>10931.39</v>
      </c>
      <c r="L6216" s="3565">
        <v>13509.77</v>
      </c>
      <c r="M6216" s="3565">
        <v>0</v>
      </c>
      <c r="N6216" s="3565">
        <v>0</v>
      </c>
      <c r="O6216" s="3563" t="s">
        <v>3453</v>
      </c>
    </row>
    <row r="6217" spans="1:15">
      <c r="A6217" s="3563" t="s">
        <v>10465</v>
      </c>
      <c r="B6217" s="3563" t="s">
        <v>4196</v>
      </c>
      <c r="C6217" s="3563" t="s">
        <v>4197</v>
      </c>
      <c r="D6217" s="3563" t="s">
        <v>10228</v>
      </c>
      <c r="E6217" s="3563" t="s">
        <v>4378</v>
      </c>
      <c r="F6217" s="3563" t="s">
        <v>4797</v>
      </c>
      <c r="G6217" s="3564">
        <v>101.02</v>
      </c>
      <c r="H6217" s="3564">
        <v>81.739999999999995</v>
      </c>
      <c r="I6217" s="3564">
        <v>19.28</v>
      </c>
      <c r="J6217" s="3565">
        <v>1104289</v>
      </c>
      <c r="K6217" s="3565">
        <v>10931.39</v>
      </c>
      <c r="L6217" s="3565">
        <v>13509.77</v>
      </c>
      <c r="M6217" s="3565">
        <v>0</v>
      </c>
      <c r="N6217" s="3565">
        <v>0</v>
      </c>
      <c r="O6217" s="3563" t="s">
        <v>3453</v>
      </c>
    </row>
    <row r="6218" spans="1:15">
      <c r="A6218" s="3563" t="s">
        <v>10466</v>
      </c>
      <c r="B6218" s="3563" t="s">
        <v>4196</v>
      </c>
      <c r="C6218" s="3563" t="s">
        <v>4197</v>
      </c>
      <c r="D6218" s="3563" t="s">
        <v>10228</v>
      </c>
      <c r="E6218" s="3563" t="s">
        <v>4378</v>
      </c>
      <c r="F6218" s="3563" t="s">
        <v>4797</v>
      </c>
      <c r="G6218" s="3564">
        <v>123.63</v>
      </c>
      <c r="H6218" s="3564">
        <v>100.03</v>
      </c>
      <c r="I6218" s="3564">
        <v>23.6</v>
      </c>
      <c r="J6218" s="3565">
        <v>1326458</v>
      </c>
      <c r="K6218" s="3565">
        <v>10729.26</v>
      </c>
      <c r="L6218" s="3565">
        <v>13260.6</v>
      </c>
      <c r="M6218" s="3565">
        <v>0</v>
      </c>
      <c r="N6218" s="3565">
        <v>0</v>
      </c>
      <c r="O6218" s="3563" t="s">
        <v>3453</v>
      </c>
    </row>
    <row r="6219" spans="1:15">
      <c r="A6219" s="3563" t="s">
        <v>10467</v>
      </c>
      <c r="B6219" s="3563" t="s">
        <v>4196</v>
      </c>
      <c r="C6219" s="3563" t="s">
        <v>4197</v>
      </c>
      <c r="D6219" s="3563" t="s">
        <v>10228</v>
      </c>
      <c r="E6219" s="3563" t="s">
        <v>4378</v>
      </c>
      <c r="F6219" s="3563" t="s">
        <v>4797</v>
      </c>
      <c r="G6219" s="3564">
        <v>87.75</v>
      </c>
      <c r="H6219" s="3564">
        <v>71</v>
      </c>
      <c r="I6219" s="3564">
        <v>16.75</v>
      </c>
      <c r="J6219" s="3565">
        <v>899485</v>
      </c>
      <c r="K6219" s="3565">
        <v>10250.540000000001</v>
      </c>
      <c r="L6219" s="3565">
        <v>12668.8</v>
      </c>
      <c r="M6219" s="3565">
        <v>0</v>
      </c>
      <c r="N6219" s="3565">
        <v>0</v>
      </c>
      <c r="O6219" s="3563" t="s">
        <v>3453</v>
      </c>
    </row>
    <row r="6220" spans="1:15">
      <c r="A6220" s="3563" t="s">
        <v>10468</v>
      </c>
      <c r="B6220" s="3563" t="s">
        <v>4196</v>
      </c>
      <c r="C6220" s="3563" t="s">
        <v>4197</v>
      </c>
      <c r="D6220" s="3563" t="s">
        <v>10228</v>
      </c>
      <c r="E6220" s="3563" t="s">
        <v>4378</v>
      </c>
      <c r="F6220" s="3563" t="s">
        <v>4797</v>
      </c>
      <c r="G6220" s="3564">
        <v>87.75</v>
      </c>
      <c r="H6220" s="3564">
        <v>71</v>
      </c>
      <c r="I6220" s="3564">
        <v>16.75</v>
      </c>
      <c r="J6220" s="3565">
        <v>899485</v>
      </c>
      <c r="K6220" s="3565">
        <v>10250.540000000001</v>
      </c>
      <c r="L6220" s="3565">
        <v>12668.8</v>
      </c>
      <c r="M6220" s="3565">
        <v>0</v>
      </c>
      <c r="N6220" s="3565">
        <v>0</v>
      </c>
      <c r="O6220" s="3563" t="s">
        <v>3453</v>
      </c>
    </row>
    <row r="6221" spans="1:15">
      <c r="A6221" s="3563" t="s">
        <v>10469</v>
      </c>
      <c r="B6221" s="3563" t="s">
        <v>4196</v>
      </c>
      <c r="C6221" s="3563" t="s">
        <v>4197</v>
      </c>
      <c r="D6221" s="3563" t="s">
        <v>10228</v>
      </c>
      <c r="E6221" s="3563" t="s">
        <v>4378</v>
      </c>
      <c r="F6221" s="3563" t="s">
        <v>4797</v>
      </c>
      <c r="G6221" s="3564">
        <v>101.36</v>
      </c>
      <c r="H6221" s="3564">
        <v>82.01</v>
      </c>
      <c r="I6221" s="3564">
        <v>19.350000000000001</v>
      </c>
      <c r="J6221" s="3565">
        <v>1028211</v>
      </c>
      <c r="K6221" s="3565">
        <v>10144.15</v>
      </c>
      <c r="L6221" s="3565">
        <v>12537.63</v>
      </c>
      <c r="M6221" s="3565">
        <v>0</v>
      </c>
      <c r="N6221" s="3565">
        <v>0</v>
      </c>
      <c r="O6221" s="3563" t="s">
        <v>3453</v>
      </c>
    </row>
    <row r="6222" spans="1:15">
      <c r="A6222" s="3563" t="s">
        <v>10470</v>
      </c>
      <c r="B6222" s="3563" t="s">
        <v>4196</v>
      </c>
      <c r="C6222" s="3563" t="s">
        <v>4197</v>
      </c>
      <c r="D6222" s="3563" t="s">
        <v>10228</v>
      </c>
      <c r="E6222" s="3563" t="s">
        <v>4378</v>
      </c>
      <c r="F6222" s="3563" t="s">
        <v>4797</v>
      </c>
      <c r="G6222" s="3564">
        <v>101.02</v>
      </c>
      <c r="H6222" s="3564">
        <v>81.739999999999995</v>
      </c>
      <c r="I6222" s="3564">
        <v>19.28</v>
      </c>
      <c r="J6222" s="3565">
        <v>1105363</v>
      </c>
      <c r="K6222" s="3565">
        <v>10942.02</v>
      </c>
      <c r="L6222" s="3565">
        <v>13522.91</v>
      </c>
      <c r="M6222" s="3565">
        <v>0</v>
      </c>
      <c r="N6222" s="3565">
        <v>0</v>
      </c>
      <c r="O6222" s="3563" t="s">
        <v>3453</v>
      </c>
    </row>
    <row r="6223" spans="1:15">
      <c r="A6223" s="3563" t="s">
        <v>10471</v>
      </c>
      <c r="B6223" s="3563" t="s">
        <v>4196</v>
      </c>
      <c r="C6223" s="3563" t="s">
        <v>4197</v>
      </c>
      <c r="D6223" s="3563" t="s">
        <v>10228</v>
      </c>
      <c r="E6223" s="3563" t="s">
        <v>4378</v>
      </c>
      <c r="F6223" s="3563" t="s">
        <v>4797</v>
      </c>
      <c r="G6223" s="3564">
        <v>101.02</v>
      </c>
      <c r="H6223" s="3564">
        <v>81.739999999999995</v>
      </c>
      <c r="I6223" s="3564">
        <v>19.28</v>
      </c>
      <c r="J6223" s="3565">
        <v>1105363</v>
      </c>
      <c r="K6223" s="3565">
        <v>10942.02</v>
      </c>
      <c r="L6223" s="3565">
        <v>13522.91</v>
      </c>
      <c r="M6223" s="3565">
        <v>0</v>
      </c>
      <c r="N6223" s="3565">
        <v>0</v>
      </c>
      <c r="O6223" s="3563" t="s">
        <v>3453</v>
      </c>
    </row>
    <row r="6224" spans="1:15">
      <c r="A6224" s="3563" t="s">
        <v>10472</v>
      </c>
      <c r="B6224" s="3563" t="s">
        <v>4196</v>
      </c>
      <c r="C6224" s="3563" t="s">
        <v>4197</v>
      </c>
      <c r="D6224" s="3563" t="s">
        <v>10228</v>
      </c>
      <c r="E6224" s="3563" t="s">
        <v>4378</v>
      </c>
      <c r="F6224" s="3563" t="s">
        <v>4797</v>
      </c>
      <c r="G6224" s="3564">
        <v>123.63</v>
      </c>
      <c r="H6224" s="3564">
        <v>100.03</v>
      </c>
      <c r="I6224" s="3564">
        <v>23.6</v>
      </c>
      <c r="J6224" s="3565">
        <v>1327774</v>
      </c>
      <c r="K6224" s="3565">
        <v>10739.9</v>
      </c>
      <c r="L6224" s="3565">
        <v>13273.76</v>
      </c>
      <c r="M6224" s="3565">
        <v>0</v>
      </c>
      <c r="N6224" s="3565">
        <v>0</v>
      </c>
      <c r="O6224" s="3563" t="s">
        <v>3453</v>
      </c>
    </row>
    <row r="6225" spans="1:15">
      <c r="A6225" s="3563" t="s">
        <v>10473</v>
      </c>
      <c r="B6225" s="3563" t="s">
        <v>4196</v>
      </c>
      <c r="C6225" s="3563" t="s">
        <v>4197</v>
      </c>
      <c r="D6225" s="3563" t="s">
        <v>10228</v>
      </c>
      <c r="E6225" s="3563" t="s">
        <v>4378</v>
      </c>
      <c r="F6225" s="3563" t="s">
        <v>4797</v>
      </c>
      <c r="G6225" s="3564">
        <v>87.75</v>
      </c>
      <c r="H6225" s="3564">
        <v>71</v>
      </c>
      <c r="I6225" s="3564">
        <v>16.75</v>
      </c>
      <c r="J6225" s="3565">
        <v>900419</v>
      </c>
      <c r="K6225" s="3565">
        <v>10261.19</v>
      </c>
      <c r="L6225" s="3565">
        <v>12681.96</v>
      </c>
      <c r="M6225" s="3565">
        <v>0</v>
      </c>
      <c r="N6225" s="3565">
        <v>0</v>
      </c>
      <c r="O6225" s="3563" t="s">
        <v>3453</v>
      </c>
    </row>
    <row r="6226" spans="1:15">
      <c r="A6226" s="3563" t="s">
        <v>10474</v>
      </c>
      <c r="B6226" s="3563" t="s">
        <v>4196</v>
      </c>
      <c r="C6226" s="3563" t="s">
        <v>4197</v>
      </c>
      <c r="D6226" s="3563" t="s">
        <v>10228</v>
      </c>
      <c r="E6226" s="3563" t="s">
        <v>4378</v>
      </c>
      <c r="F6226" s="3563" t="s">
        <v>4797</v>
      </c>
      <c r="G6226" s="3564">
        <v>87.75</v>
      </c>
      <c r="H6226" s="3564">
        <v>71</v>
      </c>
      <c r="I6226" s="3564">
        <v>16.75</v>
      </c>
      <c r="J6226" s="3565">
        <v>900419</v>
      </c>
      <c r="K6226" s="3565">
        <v>10261.19</v>
      </c>
      <c r="L6226" s="3565">
        <v>12681.96</v>
      </c>
      <c r="M6226" s="3565">
        <v>0</v>
      </c>
      <c r="N6226" s="3565">
        <v>0</v>
      </c>
      <c r="O6226" s="3563" t="s">
        <v>3453</v>
      </c>
    </row>
    <row r="6227" spans="1:15">
      <c r="A6227" s="3563" t="s">
        <v>10475</v>
      </c>
      <c r="B6227" s="3563" t="s">
        <v>4196</v>
      </c>
      <c r="C6227" s="3563" t="s">
        <v>4197</v>
      </c>
      <c r="D6227" s="3563" t="s">
        <v>10228</v>
      </c>
      <c r="E6227" s="3563" t="s">
        <v>4378</v>
      </c>
      <c r="F6227" s="3563" t="s">
        <v>4797</v>
      </c>
      <c r="G6227" s="3564">
        <v>101.36</v>
      </c>
      <c r="H6227" s="3564">
        <v>82.01</v>
      </c>
      <c r="I6227" s="3564">
        <v>19.350000000000001</v>
      </c>
      <c r="J6227" s="3565">
        <v>1029290</v>
      </c>
      <c r="K6227" s="3565">
        <v>10154.790000000001</v>
      </c>
      <c r="L6227" s="3565">
        <v>12550.79</v>
      </c>
      <c r="M6227" s="3565">
        <v>0</v>
      </c>
      <c r="N6227" s="3565">
        <v>0</v>
      </c>
      <c r="O6227" s="3563" t="s">
        <v>3453</v>
      </c>
    </row>
    <row r="6228" spans="1:15">
      <c r="A6228" s="3563" t="s">
        <v>10476</v>
      </c>
      <c r="B6228" s="3563" t="s">
        <v>4196</v>
      </c>
      <c r="C6228" s="3563" t="s">
        <v>4197</v>
      </c>
      <c r="D6228" s="3563" t="s">
        <v>10228</v>
      </c>
      <c r="E6228" s="3563" t="s">
        <v>4378</v>
      </c>
      <c r="F6228" s="3563" t="s">
        <v>4797</v>
      </c>
      <c r="G6228" s="3564">
        <v>101.02</v>
      </c>
      <c r="H6228" s="3564">
        <v>81.739999999999995</v>
      </c>
      <c r="I6228" s="3564">
        <v>19.28</v>
      </c>
      <c r="J6228" s="3565">
        <v>1106438</v>
      </c>
      <c r="K6228" s="3565">
        <v>10952.66</v>
      </c>
      <c r="L6228" s="3565">
        <v>13536.07</v>
      </c>
      <c r="M6228" s="3565">
        <v>0</v>
      </c>
      <c r="N6228" s="3565">
        <v>0</v>
      </c>
      <c r="O6228" s="3563" t="s">
        <v>3453</v>
      </c>
    </row>
    <row r="6229" spans="1:15">
      <c r="A6229" s="3563" t="s">
        <v>10477</v>
      </c>
      <c r="B6229" s="3563" t="s">
        <v>4196</v>
      </c>
      <c r="C6229" s="3563" t="s">
        <v>4197</v>
      </c>
      <c r="D6229" s="3563" t="s">
        <v>10228</v>
      </c>
      <c r="E6229" s="3563" t="s">
        <v>4378</v>
      </c>
      <c r="F6229" s="3563" t="s">
        <v>4797</v>
      </c>
      <c r="G6229" s="3564">
        <v>101.02</v>
      </c>
      <c r="H6229" s="3564">
        <v>81.739999999999995</v>
      </c>
      <c r="I6229" s="3564">
        <v>19.28</v>
      </c>
      <c r="J6229" s="3565">
        <v>1106438</v>
      </c>
      <c r="K6229" s="3565">
        <v>10952.66</v>
      </c>
      <c r="L6229" s="3565">
        <v>13536.07</v>
      </c>
      <c r="M6229" s="3565">
        <v>0</v>
      </c>
      <c r="N6229" s="3565">
        <v>0</v>
      </c>
      <c r="O6229" s="3563" t="s">
        <v>3453</v>
      </c>
    </row>
    <row r="6230" spans="1:15">
      <c r="A6230" s="3563" t="s">
        <v>10478</v>
      </c>
      <c r="B6230" s="3563" t="s">
        <v>4196</v>
      </c>
      <c r="C6230" s="3563" t="s">
        <v>4197</v>
      </c>
      <c r="D6230" s="3563" t="s">
        <v>10228</v>
      </c>
      <c r="E6230" s="3563" t="s">
        <v>4297</v>
      </c>
      <c r="F6230" s="3563" t="s">
        <v>4797</v>
      </c>
      <c r="G6230" s="3564">
        <v>120.72</v>
      </c>
      <c r="H6230" s="3564">
        <v>104.37</v>
      </c>
      <c r="I6230" s="3564">
        <v>16.350000000000001</v>
      </c>
      <c r="J6230" s="3565">
        <v>1214328</v>
      </c>
      <c r="K6230" s="3565">
        <v>10059.049999999999</v>
      </c>
      <c r="L6230" s="3565">
        <v>11634.84</v>
      </c>
      <c r="M6230" s="3565">
        <v>0</v>
      </c>
      <c r="N6230" s="3565">
        <v>0</v>
      </c>
      <c r="O6230" s="3563" t="s">
        <v>3453</v>
      </c>
    </row>
    <row r="6231" spans="1:15">
      <c r="A6231" s="3563" t="s">
        <v>10479</v>
      </c>
      <c r="B6231" s="3563" t="s">
        <v>4196</v>
      </c>
      <c r="C6231" s="3563" t="s">
        <v>4197</v>
      </c>
      <c r="D6231" s="3563" t="s">
        <v>10228</v>
      </c>
      <c r="E6231" s="3563" t="s">
        <v>4297</v>
      </c>
      <c r="F6231" s="3563" t="s">
        <v>4797</v>
      </c>
      <c r="G6231" s="3564">
        <v>123.63</v>
      </c>
      <c r="H6231" s="3564">
        <v>100.03</v>
      </c>
      <c r="I6231" s="3564">
        <v>23.6</v>
      </c>
      <c r="J6231" s="3565">
        <v>1329089</v>
      </c>
      <c r="K6231" s="3565">
        <v>10750.54</v>
      </c>
      <c r="L6231" s="3565">
        <v>13286.9</v>
      </c>
      <c r="M6231" s="3565">
        <v>0</v>
      </c>
      <c r="N6231" s="3565">
        <v>0</v>
      </c>
      <c r="O6231" s="3563" t="s">
        <v>3453</v>
      </c>
    </row>
    <row r="6232" spans="1:15">
      <c r="A6232" s="3563" t="s">
        <v>10480</v>
      </c>
      <c r="B6232" s="3563" t="s">
        <v>4196</v>
      </c>
      <c r="C6232" s="3563" t="s">
        <v>4197</v>
      </c>
      <c r="D6232" s="3563" t="s">
        <v>10228</v>
      </c>
      <c r="E6232" s="3563" t="s">
        <v>4297</v>
      </c>
      <c r="F6232" s="3563" t="s">
        <v>4797</v>
      </c>
      <c r="G6232" s="3564">
        <v>87.75</v>
      </c>
      <c r="H6232" s="3564">
        <v>71</v>
      </c>
      <c r="I6232" s="3564">
        <v>16.75</v>
      </c>
      <c r="J6232" s="3565">
        <v>901352</v>
      </c>
      <c r="K6232" s="3565">
        <v>10271.82</v>
      </c>
      <c r="L6232" s="3565">
        <v>12695.1</v>
      </c>
      <c r="M6232" s="3565">
        <v>0</v>
      </c>
      <c r="N6232" s="3565">
        <v>0</v>
      </c>
      <c r="O6232" s="3563" t="s">
        <v>3453</v>
      </c>
    </row>
    <row r="6233" spans="1:15">
      <c r="A6233" s="3563" t="s">
        <v>10481</v>
      </c>
      <c r="B6233" s="3563" t="s">
        <v>4196</v>
      </c>
      <c r="C6233" s="3563" t="s">
        <v>4197</v>
      </c>
      <c r="D6233" s="3563" t="s">
        <v>10228</v>
      </c>
      <c r="E6233" s="3563" t="s">
        <v>4297</v>
      </c>
      <c r="F6233" s="3563" t="s">
        <v>4797</v>
      </c>
      <c r="G6233" s="3564">
        <v>87.75</v>
      </c>
      <c r="H6233" s="3564">
        <v>71</v>
      </c>
      <c r="I6233" s="3564">
        <v>16.75</v>
      </c>
      <c r="J6233" s="3565">
        <v>901352</v>
      </c>
      <c r="K6233" s="3565">
        <v>10271.82</v>
      </c>
      <c r="L6233" s="3565">
        <v>12695.1</v>
      </c>
      <c r="M6233" s="3565">
        <v>0</v>
      </c>
      <c r="N6233" s="3565">
        <v>0</v>
      </c>
      <c r="O6233" s="3563" t="s">
        <v>3453</v>
      </c>
    </row>
    <row r="6234" spans="1:15">
      <c r="A6234" s="3563" t="s">
        <v>10482</v>
      </c>
      <c r="B6234" s="3563" t="s">
        <v>4196</v>
      </c>
      <c r="C6234" s="3563" t="s">
        <v>4197</v>
      </c>
      <c r="D6234" s="3563" t="s">
        <v>10228</v>
      </c>
      <c r="E6234" s="3563" t="s">
        <v>4297</v>
      </c>
      <c r="F6234" s="3563" t="s">
        <v>4797</v>
      </c>
      <c r="G6234" s="3564">
        <v>101.36</v>
      </c>
      <c r="H6234" s="3564">
        <v>82.01</v>
      </c>
      <c r="I6234" s="3564">
        <v>19.350000000000001</v>
      </c>
      <c r="J6234" s="3565">
        <v>1030368</v>
      </c>
      <c r="K6234" s="3565">
        <v>10165.43</v>
      </c>
      <c r="L6234" s="3565">
        <v>12563.93</v>
      </c>
      <c r="M6234" s="3565">
        <v>0</v>
      </c>
      <c r="N6234" s="3565">
        <v>0</v>
      </c>
      <c r="O6234" s="3563" t="s">
        <v>3453</v>
      </c>
    </row>
    <row r="6235" spans="1:15">
      <c r="A6235" s="3563" t="s">
        <v>10483</v>
      </c>
      <c r="B6235" s="3563" t="s">
        <v>4196</v>
      </c>
      <c r="C6235" s="3563" t="s">
        <v>4197</v>
      </c>
      <c r="D6235" s="3563" t="s">
        <v>10228</v>
      </c>
      <c r="E6235" s="3563" t="s">
        <v>4297</v>
      </c>
      <c r="F6235" s="3563" t="s">
        <v>4797</v>
      </c>
      <c r="G6235" s="3564">
        <v>101.02</v>
      </c>
      <c r="H6235" s="3564">
        <v>81.739999999999995</v>
      </c>
      <c r="I6235" s="3564">
        <v>19.28</v>
      </c>
      <c r="J6235" s="3565">
        <v>1107513</v>
      </c>
      <c r="K6235" s="3565">
        <v>10963.3</v>
      </c>
      <c r="L6235" s="3565">
        <v>13549.22</v>
      </c>
      <c r="M6235" s="3565">
        <v>0</v>
      </c>
      <c r="N6235" s="3565">
        <v>0</v>
      </c>
      <c r="O6235" s="3563" t="s">
        <v>3453</v>
      </c>
    </row>
    <row r="6236" spans="1:15">
      <c r="A6236" s="3563" t="s">
        <v>10484</v>
      </c>
      <c r="B6236" s="3563" t="s">
        <v>4196</v>
      </c>
      <c r="C6236" s="3563" t="s">
        <v>4197</v>
      </c>
      <c r="D6236" s="3563" t="s">
        <v>10228</v>
      </c>
      <c r="E6236" s="3563" t="s">
        <v>4297</v>
      </c>
      <c r="F6236" s="3563" t="s">
        <v>4797</v>
      </c>
      <c r="G6236" s="3564">
        <v>101.02</v>
      </c>
      <c r="H6236" s="3564">
        <v>81.739999999999995</v>
      </c>
      <c r="I6236" s="3564">
        <v>19.28</v>
      </c>
      <c r="J6236" s="3565">
        <v>1107513</v>
      </c>
      <c r="K6236" s="3565">
        <v>10963.3</v>
      </c>
      <c r="L6236" s="3565">
        <v>13549.22</v>
      </c>
      <c r="M6236" s="3565">
        <v>0</v>
      </c>
      <c r="N6236" s="3565">
        <v>0</v>
      </c>
      <c r="O6236" s="3563" t="s">
        <v>3453</v>
      </c>
    </row>
    <row r="6237" spans="1:15">
      <c r="A6237" s="3563" t="s">
        <v>10485</v>
      </c>
      <c r="B6237" s="3563" t="s">
        <v>4196</v>
      </c>
      <c r="C6237" s="3563" t="s">
        <v>4197</v>
      </c>
      <c r="D6237" s="3563" t="s">
        <v>10228</v>
      </c>
      <c r="E6237" s="3563" t="s">
        <v>4297</v>
      </c>
      <c r="F6237" s="3563" t="s">
        <v>4797</v>
      </c>
      <c r="G6237" s="3564">
        <v>123.63</v>
      </c>
      <c r="H6237" s="3564">
        <v>100.03</v>
      </c>
      <c r="I6237" s="3564">
        <v>23.6</v>
      </c>
      <c r="J6237" s="3565">
        <v>1330404</v>
      </c>
      <c r="K6237" s="3565">
        <v>10761.17</v>
      </c>
      <c r="L6237" s="3565">
        <v>13300.05</v>
      </c>
      <c r="M6237" s="3565">
        <v>0</v>
      </c>
      <c r="N6237" s="3565">
        <v>0</v>
      </c>
      <c r="O6237" s="3563" t="s">
        <v>3453</v>
      </c>
    </row>
    <row r="6238" spans="1:15">
      <c r="A6238" s="3563" t="s">
        <v>10486</v>
      </c>
      <c r="B6238" s="3563" t="s">
        <v>4196</v>
      </c>
      <c r="C6238" s="3563" t="s">
        <v>4197</v>
      </c>
      <c r="D6238" s="3563" t="s">
        <v>10228</v>
      </c>
      <c r="E6238" s="3563" t="s">
        <v>4297</v>
      </c>
      <c r="F6238" s="3563" t="s">
        <v>4797</v>
      </c>
      <c r="G6238" s="3564">
        <v>87.75</v>
      </c>
      <c r="H6238" s="3564">
        <v>71</v>
      </c>
      <c r="I6238" s="3564">
        <v>16.75</v>
      </c>
      <c r="J6238" s="3565">
        <v>902286</v>
      </c>
      <c r="K6238" s="3565">
        <v>10282.459999999999</v>
      </c>
      <c r="L6238" s="3565">
        <v>12708.25</v>
      </c>
      <c r="M6238" s="3565">
        <v>0</v>
      </c>
      <c r="N6238" s="3565">
        <v>0</v>
      </c>
      <c r="O6238" s="3563" t="s">
        <v>3453</v>
      </c>
    </row>
    <row r="6239" spans="1:15">
      <c r="A6239" s="3563" t="s">
        <v>10487</v>
      </c>
      <c r="B6239" s="3563" t="s">
        <v>4196</v>
      </c>
      <c r="C6239" s="3563" t="s">
        <v>4197</v>
      </c>
      <c r="D6239" s="3563" t="s">
        <v>10228</v>
      </c>
      <c r="E6239" s="3563" t="s">
        <v>4297</v>
      </c>
      <c r="F6239" s="3563" t="s">
        <v>4797</v>
      </c>
      <c r="G6239" s="3564">
        <v>87.75</v>
      </c>
      <c r="H6239" s="3564">
        <v>71</v>
      </c>
      <c r="I6239" s="3564">
        <v>16.75</v>
      </c>
      <c r="J6239" s="3565">
        <v>902286</v>
      </c>
      <c r="K6239" s="3565">
        <v>10282.459999999999</v>
      </c>
      <c r="L6239" s="3565">
        <v>12708.25</v>
      </c>
      <c r="M6239" s="3565">
        <v>0</v>
      </c>
      <c r="N6239" s="3565">
        <v>0</v>
      </c>
      <c r="O6239" s="3563" t="s">
        <v>3453</v>
      </c>
    </row>
    <row r="6240" spans="1:15">
      <c r="A6240" s="3563" t="s">
        <v>10488</v>
      </c>
      <c r="B6240" s="3563" t="s">
        <v>4196</v>
      </c>
      <c r="C6240" s="3563" t="s">
        <v>4197</v>
      </c>
      <c r="D6240" s="3563" t="s">
        <v>10228</v>
      </c>
      <c r="E6240" s="3563" t="s">
        <v>4297</v>
      </c>
      <c r="F6240" s="3563" t="s">
        <v>4797</v>
      </c>
      <c r="G6240" s="3564">
        <v>101.36</v>
      </c>
      <c r="H6240" s="3564">
        <v>82.01</v>
      </c>
      <c r="I6240" s="3564">
        <v>19.350000000000001</v>
      </c>
      <c r="J6240" s="3565">
        <v>1031446</v>
      </c>
      <c r="K6240" s="3565">
        <v>10176.07</v>
      </c>
      <c r="L6240" s="3565">
        <v>12577.08</v>
      </c>
      <c r="M6240" s="3565">
        <v>0</v>
      </c>
      <c r="N6240" s="3565">
        <v>0</v>
      </c>
      <c r="O6240" s="3563" t="s">
        <v>3453</v>
      </c>
    </row>
    <row r="6241" spans="1:15">
      <c r="A6241" s="3563" t="s">
        <v>10489</v>
      </c>
      <c r="B6241" s="3563" t="s">
        <v>4196</v>
      </c>
      <c r="C6241" s="3563" t="s">
        <v>4197</v>
      </c>
      <c r="D6241" s="3563" t="s">
        <v>10228</v>
      </c>
      <c r="E6241" s="3563" t="s">
        <v>4297</v>
      </c>
      <c r="F6241" s="3563" t="s">
        <v>4797</v>
      </c>
      <c r="G6241" s="3564">
        <v>101.02</v>
      </c>
      <c r="H6241" s="3564">
        <v>81.739999999999995</v>
      </c>
      <c r="I6241" s="3564">
        <v>19.28</v>
      </c>
      <c r="J6241" s="3565">
        <v>1108588</v>
      </c>
      <c r="K6241" s="3565">
        <v>10973.95</v>
      </c>
      <c r="L6241" s="3565">
        <v>13562.37</v>
      </c>
      <c r="M6241" s="3565">
        <v>0</v>
      </c>
      <c r="N6241" s="3565">
        <v>0</v>
      </c>
      <c r="O6241" s="3563" t="s">
        <v>3453</v>
      </c>
    </row>
    <row r="6242" spans="1:15">
      <c r="A6242" s="3563" t="s">
        <v>10490</v>
      </c>
      <c r="B6242" s="3563" t="s">
        <v>4196</v>
      </c>
      <c r="C6242" s="3563" t="s">
        <v>4197</v>
      </c>
      <c r="D6242" s="3563" t="s">
        <v>10228</v>
      </c>
      <c r="E6242" s="3563" t="s">
        <v>4297</v>
      </c>
      <c r="F6242" s="3563" t="s">
        <v>4797</v>
      </c>
      <c r="G6242" s="3564">
        <v>101.02</v>
      </c>
      <c r="H6242" s="3564">
        <v>81.739999999999995</v>
      </c>
      <c r="I6242" s="3564">
        <v>19.28</v>
      </c>
      <c r="J6242" s="3565">
        <v>1108588</v>
      </c>
      <c r="K6242" s="3565">
        <v>10973.95</v>
      </c>
      <c r="L6242" s="3565">
        <v>13562.37</v>
      </c>
      <c r="M6242" s="3565">
        <v>0</v>
      </c>
      <c r="N6242" s="3565">
        <v>0</v>
      </c>
      <c r="O6242" s="3563" t="s">
        <v>3453</v>
      </c>
    </row>
    <row r="6243" spans="1:15">
      <c r="A6243" s="3563" t="s">
        <v>10491</v>
      </c>
      <c r="B6243" s="3563" t="s">
        <v>4196</v>
      </c>
      <c r="C6243" s="3563" t="s">
        <v>4197</v>
      </c>
      <c r="D6243" s="3563" t="s">
        <v>10228</v>
      </c>
      <c r="E6243" s="3563" t="s">
        <v>4297</v>
      </c>
      <c r="F6243" s="3563" t="s">
        <v>4797</v>
      </c>
      <c r="G6243" s="3564">
        <v>123.63</v>
      </c>
      <c r="H6243" s="3564">
        <v>100.03</v>
      </c>
      <c r="I6243" s="3564">
        <v>23.6</v>
      </c>
      <c r="J6243" s="3565">
        <v>1331720</v>
      </c>
      <c r="K6243" s="3565">
        <v>10771.82</v>
      </c>
      <c r="L6243" s="3565">
        <v>13313.21</v>
      </c>
      <c r="M6243" s="3565">
        <v>0</v>
      </c>
      <c r="N6243" s="3565">
        <v>0</v>
      </c>
      <c r="O6243" s="3563" t="s">
        <v>3453</v>
      </c>
    </row>
    <row r="6244" spans="1:15">
      <c r="A6244" s="3563" t="s">
        <v>10492</v>
      </c>
      <c r="B6244" s="3563" t="s">
        <v>4196</v>
      </c>
      <c r="C6244" s="3563" t="s">
        <v>4197</v>
      </c>
      <c r="D6244" s="3563" t="s">
        <v>10228</v>
      </c>
      <c r="E6244" s="3563" t="s">
        <v>4297</v>
      </c>
      <c r="F6244" s="3563" t="s">
        <v>4797</v>
      </c>
      <c r="G6244" s="3564">
        <v>87.75</v>
      </c>
      <c r="H6244" s="3564">
        <v>71</v>
      </c>
      <c r="I6244" s="3564">
        <v>16.75</v>
      </c>
      <c r="J6244" s="3565">
        <v>903219</v>
      </c>
      <c r="K6244" s="3565">
        <v>10293.09</v>
      </c>
      <c r="L6244" s="3565">
        <v>12721.39</v>
      </c>
      <c r="M6244" s="3565">
        <v>0</v>
      </c>
      <c r="N6244" s="3565">
        <v>0</v>
      </c>
      <c r="O6244" s="3563" t="s">
        <v>3453</v>
      </c>
    </row>
    <row r="6245" spans="1:15">
      <c r="A6245" s="3563" t="s">
        <v>10493</v>
      </c>
      <c r="B6245" s="3563" t="s">
        <v>4196</v>
      </c>
      <c r="C6245" s="3563" t="s">
        <v>4197</v>
      </c>
      <c r="D6245" s="3563" t="s">
        <v>10228</v>
      </c>
      <c r="E6245" s="3563" t="s">
        <v>4297</v>
      </c>
      <c r="F6245" s="3563" t="s">
        <v>4797</v>
      </c>
      <c r="G6245" s="3564">
        <v>87.75</v>
      </c>
      <c r="H6245" s="3564">
        <v>71</v>
      </c>
      <c r="I6245" s="3564">
        <v>16.75</v>
      </c>
      <c r="J6245" s="3565">
        <v>903219</v>
      </c>
      <c r="K6245" s="3565">
        <v>10293.09</v>
      </c>
      <c r="L6245" s="3565">
        <v>12721.39</v>
      </c>
      <c r="M6245" s="3565">
        <v>0</v>
      </c>
      <c r="N6245" s="3565">
        <v>0</v>
      </c>
      <c r="O6245" s="3563" t="s">
        <v>3453</v>
      </c>
    </row>
    <row r="6246" spans="1:15">
      <c r="A6246" s="3563" t="s">
        <v>10494</v>
      </c>
      <c r="B6246" s="3563" t="s">
        <v>4196</v>
      </c>
      <c r="C6246" s="3563" t="s">
        <v>4197</v>
      </c>
      <c r="D6246" s="3563" t="s">
        <v>10228</v>
      </c>
      <c r="E6246" s="3563" t="s">
        <v>4297</v>
      </c>
      <c r="F6246" s="3563" t="s">
        <v>4797</v>
      </c>
      <c r="G6246" s="3564">
        <v>101.36</v>
      </c>
      <c r="H6246" s="3564">
        <v>82.01</v>
      </c>
      <c r="I6246" s="3564">
        <v>19.350000000000001</v>
      </c>
      <c r="J6246" s="3565">
        <v>1032525</v>
      </c>
      <c r="K6246" s="3565">
        <v>10186.709999999999</v>
      </c>
      <c r="L6246" s="3565">
        <v>12590.23</v>
      </c>
      <c r="M6246" s="3565">
        <v>0</v>
      </c>
      <c r="N6246" s="3565">
        <v>0</v>
      </c>
      <c r="O6246" s="3563" t="s">
        <v>3453</v>
      </c>
    </row>
    <row r="6247" spans="1:15">
      <c r="A6247" s="3563" t="s">
        <v>10495</v>
      </c>
      <c r="B6247" s="3563" t="s">
        <v>4196</v>
      </c>
      <c r="C6247" s="3563" t="s">
        <v>4197</v>
      </c>
      <c r="D6247" s="3563" t="s">
        <v>10228</v>
      </c>
      <c r="E6247" s="3563" t="s">
        <v>4297</v>
      </c>
      <c r="F6247" s="3563" t="s">
        <v>4797</v>
      </c>
      <c r="G6247" s="3564">
        <v>101.02</v>
      </c>
      <c r="H6247" s="3564">
        <v>81.739999999999995</v>
      </c>
      <c r="I6247" s="3564">
        <v>19.28</v>
      </c>
      <c r="J6247" s="3565">
        <v>1109662</v>
      </c>
      <c r="K6247" s="3565">
        <v>10984.58</v>
      </c>
      <c r="L6247" s="3565">
        <v>13575.51</v>
      </c>
      <c r="M6247" s="3565">
        <v>0</v>
      </c>
      <c r="N6247" s="3565">
        <v>0</v>
      </c>
      <c r="O6247" s="3563" t="s">
        <v>3453</v>
      </c>
    </row>
    <row r="6248" spans="1:15">
      <c r="A6248" s="3563" t="s">
        <v>10496</v>
      </c>
      <c r="B6248" s="3563" t="s">
        <v>4196</v>
      </c>
      <c r="C6248" s="3563" t="s">
        <v>4197</v>
      </c>
      <c r="D6248" s="3563" t="s">
        <v>10228</v>
      </c>
      <c r="E6248" s="3563" t="s">
        <v>4297</v>
      </c>
      <c r="F6248" s="3563" t="s">
        <v>4797</v>
      </c>
      <c r="G6248" s="3564">
        <v>101.02</v>
      </c>
      <c r="H6248" s="3564">
        <v>81.739999999999995</v>
      </c>
      <c r="I6248" s="3564">
        <v>19.28</v>
      </c>
      <c r="J6248" s="3565">
        <v>1109662</v>
      </c>
      <c r="K6248" s="3565">
        <v>10984.58</v>
      </c>
      <c r="L6248" s="3565">
        <v>13575.51</v>
      </c>
      <c r="M6248" s="3565">
        <v>0</v>
      </c>
      <c r="N6248" s="3565">
        <v>0</v>
      </c>
      <c r="O6248" s="3563" t="s">
        <v>3453</v>
      </c>
    </row>
    <row r="6249" spans="1:15">
      <c r="A6249" s="3563" t="s">
        <v>10497</v>
      </c>
      <c r="B6249" s="3563" t="s">
        <v>4196</v>
      </c>
      <c r="C6249" s="3563" t="s">
        <v>4197</v>
      </c>
      <c r="D6249" s="3563" t="s">
        <v>10228</v>
      </c>
      <c r="E6249" s="3563" t="s">
        <v>4297</v>
      </c>
      <c r="F6249" s="3563" t="s">
        <v>4797</v>
      </c>
      <c r="G6249" s="3564">
        <v>123.63</v>
      </c>
      <c r="H6249" s="3564">
        <v>100.03</v>
      </c>
      <c r="I6249" s="3564">
        <v>23.6</v>
      </c>
      <c r="J6249" s="3565">
        <v>1333035</v>
      </c>
      <c r="K6249" s="3565">
        <v>10782.46</v>
      </c>
      <c r="L6249" s="3565">
        <v>13326.35</v>
      </c>
      <c r="M6249" s="3565">
        <v>0</v>
      </c>
      <c r="N6249" s="3565">
        <v>0</v>
      </c>
      <c r="O6249" s="3563" t="s">
        <v>3453</v>
      </c>
    </row>
    <row r="6250" spans="1:15">
      <c r="A6250" s="3563" t="s">
        <v>10498</v>
      </c>
      <c r="B6250" s="3563" t="s">
        <v>4196</v>
      </c>
      <c r="C6250" s="3563" t="s">
        <v>4197</v>
      </c>
      <c r="D6250" s="3563" t="s">
        <v>10228</v>
      </c>
      <c r="E6250" s="3563" t="s">
        <v>4297</v>
      </c>
      <c r="F6250" s="3563" t="s">
        <v>4797</v>
      </c>
      <c r="G6250" s="3564">
        <v>87.75</v>
      </c>
      <c r="H6250" s="3564">
        <v>71</v>
      </c>
      <c r="I6250" s="3564">
        <v>16.75</v>
      </c>
      <c r="J6250" s="3565">
        <v>904153</v>
      </c>
      <c r="K6250" s="3565">
        <v>10303.74</v>
      </c>
      <c r="L6250" s="3565">
        <v>12734.55</v>
      </c>
      <c r="M6250" s="3565">
        <v>0</v>
      </c>
      <c r="N6250" s="3565">
        <v>0</v>
      </c>
      <c r="O6250" s="3563" t="s">
        <v>3453</v>
      </c>
    </row>
    <row r="6251" spans="1:15">
      <c r="A6251" s="3563" t="s">
        <v>10499</v>
      </c>
      <c r="B6251" s="3563" t="s">
        <v>4196</v>
      </c>
      <c r="C6251" s="3563" t="s">
        <v>4197</v>
      </c>
      <c r="D6251" s="3563" t="s">
        <v>10228</v>
      </c>
      <c r="E6251" s="3563" t="s">
        <v>4297</v>
      </c>
      <c r="F6251" s="3563" t="s">
        <v>4797</v>
      </c>
      <c r="G6251" s="3564">
        <v>87.75</v>
      </c>
      <c r="H6251" s="3564">
        <v>71</v>
      </c>
      <c r="I6251" s="3564">
        <v>16.75</v>
      </c>
      <c r="J6251" s="3565">
        <v>904153</v>
      </c>
      <c r="K6251" s="3565">
        <v>10303.74</v>
      </c>
      <c r="L6251" s="3565">
        <v>12734.55</v>
      </c>
      <c r="M6251" s="3565">
        <v>0</v>
      </c>
      <c r="N6251" s="3565">
        <v>0</v>
      </c>
      <c r="O6251" s="3563" t="s">
        <v>3453</v>
      </c>
    </row>
    <row r="6252" spans="1:15">
      <c r="A6252" s="3563" t="s">
        <v>10500</v>
      </c>
      <c r="B6252" s="3563" t="s">
        <v>4196</v>
      </c>
      <c r="C6252" s="3563" t="s">
        <v>4197</v>
      </c>
      <c r="D6252" s="3563" t="s">
        <v>10228</v>
      </c>
      <c r="E6252" s="3563" t="s">
        <v>4297</v>
      </c>
      <c r="F6252" s="3563" t="s">
        <v>4797</v>
      </c>
      <c r="G6252" s="3564">
        <v>101.36</v>
      </c>
      <c r="H6252" s="3564">
        <v>82.01</v>
      </c>
      <c r="I6252" s="3564">
        <v>19.350000000000001</v>
      </c>
      <c r="J6252" s="3565">
        <v>1033603</v>
      </c>
      <c r="K6252" s="3565">
        <v>10197.35</v>
      </c>
      <c r="L6252" s="3565">
        <v>12603.38</v>
      </c>
      <c r="M6252" s="3565">
        <v>0</v>
      </c>
      <c r="N6252" s="3565">
        <v>0</v>
      </c>
      <c r="O6252" s="3563" t="s">
        <v>3453</v>
      </c>
    </row>
    <row r="6253" spans="1:15">
      <c r="A6253" s="3563" t="s">
        <v>10501</v>
      </c>
      <c r="B6253" s="3563" t="s">
        <v>4196</v>
      </c>
      <c r="C6253" s="3563" t="s">
        <v>4197</v>
      </c>
      <c r="D6253" s="3563" t="s">
        <v>10228</v>
      </c>
      <c r="E6253" s="3563" t="s">
        <v>4297</v>
      </c>
      <c r="F6253" s="3563" t="s">
        <v>4797</v>
      </c>
      <c r="G6253" s="3564">
        <v>101.02</v>
      </c>
      <c r="H6253" s="3564">
        <v>81.739999999999995</v>
      </c>
      <c r="I6253" s="3564">
        <v>19.28</v>
      </c>
      <c r="J6253" s="3565">
        <v>1110737</v>
      </c>
      <c r="K6253" s="3565">
        <v>10995.22</v>
      </c>
      <c r="L6253" s="3565">
        <v>13588.66</v>
      </c>
      <c r="M6253" s="3565">
        <v>0</v>
      </c>
      <c r="N6253" s="3565">
        <v>0</v>
      </c>
      <c r="O6253" s="3563" t="s">
        <v>3453</v>
      </c>
    </row>
    <row r="6254" spans="1:15">
      <c r="A6254" s="3563" t="s">
        <v>10502</v>
      </c>
      <c r="B6254" s="3563" t="s">
        <v>4196</v>
      </c>
      <c r="C6254" s="3563" t="s">
        <v>4197</v>
      </c>
      <c r="D6254" s="3563" t="s">
        <v>10228</v>
      </c>
      <c r="E6254" s="3563" t="s">
        <v>4297</v>
      </c>
      <c r="F6254" s="3563" t="s">
        <v>4797</v>
      </c>
      <c r="G6254" s="3564">
        <v>101.02</v>
      </c>
      <c r="H6254" s="3564">
        <v>81.739999999999995</v>
      </c>
      <c r="I6254" s="3564">
        <v>19.28</v>
      </c>
      <c r="J6254" s="3565">
        <v>1110737</v>
      </c>
      <c r="K6254" s="3565">
        <v>10995.22</v>
      </c>
      <c r="L6254" s="3565">
        <v>13588.66</v>
      </c>
      <c r="M6254" s="3565">
        <v>0</v>
      </c>
      <c r="N6254" s="3565">
        <v>0</v>
      </c>
      <c r="O6254" s="3563" t="s">
        <v>3453</v>
      </c>
    </row>
    <row r="6255" spans="1:15">
      <c r="A6255" s="3563" t="s">
        <v>10503</v>
      </c>
      <c r="B6255" s="3563" t="s">
        <v>4196</v>
      </c>
      <c r="C6255" s="3563" t="s">
        <v>4197</v>
      </c>
      <c r="D6255" s="3563" t="s">
        <v>10228</v>
      </c>
      <c r="E6255" s="3563" t="s">
        <v>4297</v>
      </c>
      <c r="F6255" s="3563" t="s">
        <v>4797</v>
      </c>
      <c r="G6255" s="3564">
        <v>123.63</v>
      </c>
      <c r="H6255" s="3564">
        <v>100.03</v>
      </c>
      <c r="I6255" s="3564">
        <v>23.6</v>
      </c>
      <c r="J6255" s="3565">
        <v>1321197</v>
      </c>
      <c r="K6255" s="3565">
        <v>10686.7</v>
      </c>
      <c r="L6255" s="3565">
        <v>13208.01</v>
      </c>
      <c r="M6255" s="3565">
        <v>0</v>
      </c>
      <c r="N6255" s="3565">
        <v>0</v>
      </c>
      <c r="O6255" s="3563" t="s">
        <v>3453</v>
      </c>
    </row>
    <row r="6256" spans="1:15">
      <c r="A6256" s="3563" t="s">
        <v>10504</v>
      </c>
      <c r="B6256" s="3563" t="s">
        <v>4196</v>
      </c>
      <c r="C6256" s="3563" t="s">
        <v>4197</v>
      </c>
      <c r="D6256" s="3563" t="s">
        <v>10228</v>
      </c>
      <c r="E6256" s="3563" t="s">
        <v>4297</v>
      </c>
      <c r="F6256" s="3563" t="s">
        <v>4797</v>
      </c>
      <c r="G6256" s="3564">
        <v>87.75</v>
      </c>
      <c r="H6256" s="3564">
        <v>71</v>
      </c>
      <c r="I6256" s="3564">
        <v>16.75</v>
      </c>
      <c r="J6256" s="3565">
        <v>895750</v>
      </c>
      <c r="K6256" s="3565">
        <v>10207.98</v>
      </c>
      <c r="L6256" s="3565">
        <v>12616.2</v>
      </c>
      <c r="M6256" s="3565">
        <v>0</v>
      </c>
      <c r="N6256" s="3565">
        <v>0</v>
      </c>
      <c r="O6256" s="3563" t="s">
        <v>3453</v>
      </c>
    </row>
    <row r="6257" spans="1:15">
      <c r="A6257" s="3563" t="s">
        <v>10505</v>
      </c>
      <c r="B6257" s="3563" t="s">
        <v>4196</v>
      </c>
      <c r="C6257" s="3563" t="s">
        <v>4197</v>
      </c>
      <c r="D6257" s="3563" t="s">
        <v>10228</v>
      </c>
      <c r="E6257" s="3563" t="s">
        <v>4297</v>
      </c>
      <c r="F6257" s="3563" t="s">
        <v>4797</v>
      </c>
      <c r="G6257" s="3564">
        <v>87.75</v>
      </c>
      <c r="H6257" s="3564">
        <v>71</v>
      </c>
      <c r="I6257" s="3564">
        <v>16.75</v>
      </c>
      <c r="J6257" s="3565">
        <v>895750</v>
      </c>
      <c r="K6257" s="3565">
        <v>10207.98</v>
      </c>
      <c r="L6257" s="3565">
        <v>12616.2</v>
      </c>
      <c r="M6257" s="3565">
        <v>0</v>
      </c>
      <c r="N6257" s="3565">
        <v>0</v>
      </c>
      <c r="O6257" s="3563" t="s">
        <v>3453</v>
      </c>
    </row>
    <row r="6258" spans="1:15">
      <c r="A6258" s="3563" t="s">
        <v>10506</v>
      </c>
      <c r="B6258" s="3563" t="s">
        <v>4196</v>
      </c>
      <c r="C6258" s="3563" t="s">
        <v>4197</v>
      </c>
      <c r="D6258" s="3563" t="s">
        <v>10228</v>
      </c>
      <c r="E6258" s="3563" t="s">
        <v>4297</v>
      </c>
      <c r="F6258" s="3563" t="s">
        <v>4797</v>
      </c>
      <c r="G6258" s="3564">
        <v>101.36</v>
      </c>
      <c r="H6258" s="3564">
        <v>82.01</v>
      </c>
      <c r="I6258" s="3564">
        <v>19.350000000000001</v>
      </c>
      <c r="J6258" s="3565">
        <v>1023898</v>
      </c>
      <c r="K6258" s="3565">
        <v>10101.6</v>
      </c>
      <c r="L6258" s="3565">
        <v>12485.04</v>
      </c>
      <c r="M6258" s="3565">
        <v>0</v>
      </c>
      <c r="N6258" s="3565">
        <v>0</v>
      </c>
      <c r="O6258" s="3563" t="s">
        <v>3453</v>
      </c>
    </row>
    <row r="6259" spans="1:15">
      <c r="A6259" s="3563" t="s">
        <v>10507</v>
      </c>
      <c r="B6259" s="3563" t="s">
        <v>4196</v>
      </c>
      <c r="C6259" s="3563" t="s">
        <v>4197</v>
      </c>
      <c r="D6259" s="3563" t="s">
        <v>10228</v>
      </c>
      <c r="E6259" s="3563" t="s">
        <v>4297</v>
      </c>
      <c r="F6259" s="3563" t="s">
        <v>4797</v>
      </c>
      <c r="G6259" s="3564">
        <v>101.02</v>
      </c>
      <c r="H6259" s="3564">
        <v>81.739999999999995</v>
      </c>
      <c r="I6259" s="3564">
        <v>19.28</v>
      </c>
      <c r="J6259" s="3565">
        <v>1101064</v>
      </c>
      <c r="K6259" s="3565">
        <v>10899.47</v>
      </c>
      <c r="L6259" s="3565">
        <v>13470.32</v>
      </c>
      <c r="M6259" s="3565">
        <v>0</v>
      </c>
      <c r="N6259" s="3565">
        <v>0</v>
      </c>
      <c r="O6259" s="3563" t="s">
        <v>3453</v>
      </c>
    </row>
    <row r="6260" spans="1:15">
      <c r="A6260" s="3563" t="s">
        <v>10508</v>
      </c>
      <c r="B6260" s="3563" t="s">
        <v>4196</v>
      </c>
      <c r="C6260" s="3563" t="s">
        <v>4197</v>
      </c>
      <c r="D6260" s="3563" t="s">
        <v>10228</v>
      </c>
      <c r="E6260" s="3563" t="s">
        <v>4297</v>
      </c>
      <c r="F6260" s="3563" t="s">
        <v>4797</v>
      </c>
      <c r="G6260" s="3564">
        <v>101.02</v>
      </c>
      <c r="H6260" s="3564">
        <v>81.739999999999995</v>
      </c>
      <c r="I6260" s="3564">
        <v>19.28</v>
      </c>
      <c r="J6260" s="3565">
        <v>1101064</v>
      </c>
      <c r="K6260" s="3565">
        <v>10899.47</v>
      </c>
      <c r="L6260" s="3565">
        <v>13470.32</v>
      </c>
      <c r="M6260" s="3565">
        <v>0</v>
      </c>
      <c r="N6260" s="3565">
        <v>0</v>
      </c>
      <c r="O6260" s="3563" t="s">
        <v>3453</v>
      </c>
    </row>
    <row r="6261" spans="1:15">
      <c r="A6261" s="3563" t="s">
        <v>10509</v>
      </c>
      <c r="B6261" s="3563" t="s">
        <v>4196</v>
      </c>
      <c r="C6261" s="3563" t="s">
        <v>4197</v>
      </c>
      <c r="D6261" s="3563" t="s">
        <v>10228</v>
      </c>
      <c r="E6261" s="3563" t="s">
        <v>4297</v>
      </c>
      <c r="F6261" s="3563" t="s">
        <v>4797</v>
      </c>
      <c r="G6261" s="3564">
        <v>123.63</v>
      </c>
      <c r="H6261" s="3564">
        <v>100.03</v>
      </c>
      <c r="I6261" s="3564">
        <v>23.6</v>
      </c>
      <c r="J6261" s="3565">
        <v>1335664</v>
      </c>
      <c r="K6261" s="3565">
        <v>10803.72</v>
      </c>
      <c r="L6261" s="3565">
        <v>13352.63</v>
      </c>
      <c r="M6261" s="3565">
        <v>0</v>
      </c>
      <c r="N6261" s="3565">
        <v>0</v>
      </c>
      <c r="O6261" s="3563" t="s">
        <v>3453</v>
      </c>
    </row>
    <row r="6262" spans="1:15">
      <c r="A6262" s="3563" t="s">
        <v>10510</v>
      </c>
      <c r="B6262" s="3563" t="s">
        <v>4196</v>
      </c>
      <c r="C6262" s="3563" t="s">
        <v>4197</v>
      </c>
      <c r="D6262" s="3563" t="s">
        <v>10228</v>
      </c>
      <c r="E6262" s="3563" t="s">
        <v>4297</v>
      </c>
      <c r="F6262" s="3563" t="s">
        <v>4797</v>
      </c>
      <c r="G6262" s="3564">
        <v>87.75</v>
      </c>
      <c r="H6262" s="3564">
        <v>71</v>
      </c>
      <c r="I6262" s="3564">
        <v>16.75</v>
      </c>
      <c r="J6262" s="3565">
        <v>906020</v>
      </c>
      <c r="K6262" s="3565">
        <v>10325.01</v>
      </c>
      <c r="L6262" s="3565">
        <v>12760.85</v>
      </c>
      <c r="M6262" s="3565">
        <v>0</v>
      </c>
      <c r="N6262" s="3565">
        <v>0</v>
      </c>
      <c r="O6262" s="3563" t="s">
        <v>3453</v>
      </c>
    </row>
    <row r="6263" spans="1:15">
      <c r="A6263" s="3563" t="s">
        <v>10511</v>
      </c>
      <c r="B6263" s="3563" t="s">
        <v>4196</v>
      </c>
      <c r="C6263" s="3563" t="s">
        <v>4197</v>
      </c>
      <c r="D6263" s="3563" t="s">
        <v>10228</v>
      </c>
      <c r="E6263" s="3563" t="s">
        <v>4297</v>
      </c>
      <c r="F6263" s="3563" t="s">
        <v>4797</v>
      </c>
      <c r="G6263" s="3564">
        <v>87.75</v>
      </c>
      <c r="H6263" s="3564">
        <v>71</v>
      </c>
      <c r="I6263" s="3564">
        <v>16.75</v>
      </c>
      <c r="J6263" s="3565">
        <v>906020</v>
      </c>
      <c r="K6263" s="3565">
        <v>10325.01</v>
      </c>
      <c r="L6263" s="3565">
        <v>12760.85</v>
      </c>
      <c r="M6263" s="3565">
        <v>0</v>
      </c>
      <c r="N6263" s="3565">
        <v>0</v>
      </c>
      <c r="O6263" s="3563" t="s">
        <v>3453</v>
      </c>
    </row>
    <row r="6264" spans="1:15">
      <c r="A6264" s="3563" t="s">
        <v>10512</v>
      </c>
      <c r="B6264" s="3563" t="s">
        <v>4196</v>
      </c>
      <c r="C6264" s="3563" t="s">
        <v>4197</v>
      </c>
      <c r="D6264" s="3563" t="s">
        <v>10228</v>
      </c>
      <c r="E6264" s="3563" t="s">
        <v>4297</v>
      </c>
      <c r="F6264" s="3563" t="s">
        <v>4797</v>
      </c>
      <c r="G6264" s="3564">
        <v>101.36</v>
      </c>
      <c r="H6264" s="3564">
        <v>82.01</v>
      </c>
      <c r="I6264" s="3564">
        <v>19.350000000000001</v>
      </c>
      <c r="J6264" s="3565">
        <v>1035759</v>
      </c>
      <c r="K6264" s="3565">
        <v>10218.620000000001</v>
      </c>
      <c r="L6264" s="3565">
        <v>12629.67</v>
      </c>
      <c r="M6264" s="3565">
        <v>0</v>
      </c>
      <c r="N6264" s="3565">
        <v>0</v>
      </c>
      <c r="O6264" s="3563" t="s">
        <v>3453</v>
      </c>
    </row>
    <row r="6265" spans="1:15">
      <c r="A6265" s="3563" t="s">
        <v>10513</v>
      </c>
      <c r="B6265" s="3563" t="s">
        <v>4196</v>
      </c>
      <c r="C6265" s="3563" t="s">
        <v>4197</v>
      </c>
      <c r="D6265" s="3563" t="s">
        <v>10228</v>
      </c>
      <c r="E6265" s="3563" t="s">
        <v>4297</v>
      </c>
      <c r="F6265" s="3563" t="s">
        <v>4797</v>
      </c>
      <c r="G6265" s="3564">
        <v>101.02</v>
      </c>
      <c r="H6265" s="3564">
        <v>81.739999999999995</v>
      </c>
      <c r="I6265" s="3564">
        <v>19.28</v>
      </c>
      <c r="J6265" s="3565">
        <v>1112887</v>
      </c>
      <c r="K6265" s="3565">
        <v>11016.5</v>
      </c>
      <c r="L6265" s="3565">
        <v>13614.96</v>
      </c>
      <c r="M6265" s="3565">
        <v>0</v>
      </c>
      <c r="N6265" s="3565">
        <v>0</v>
      </c>
      <c r="O6265" s="3563" t="s">
        <v>3453</v>
      </c>
    </row>
    <row r="6266" spans="1:15">
      <c r="A6266" s="3563" t="s">
        <v>10514</v>
      </c>
      <c r="B6266" s="3563" t="s">
        <v>4196</v>
      </c>
      <c r="C6266" s="3563" t="s">
        <v>4197</v>
      </c>
      <c r="D6266" s="3563" t="s">
        <v>10228</v>
      </c>
      <c r="E6266" s="3563" t="s">
        <v>4297</v>
      </c>
      <c r="F6266" s="3563" t="s">
        <v>4797</v>
      </c>
      <c r="G6266" s="3564">
        <v>101.02</v>
      </c>
      <c r="H6266" s="3564">
        <v>81.739999999999995</v>
      </c>
      <c r="I6266" s="3564">
        <v>19.28</v>
      </c>
      <c r="J6266" s="3565">
        <v>1112887</v>
      </c>
      <c r="K6266" s="3565">
        <v>11016.5</v>
      </c>
      <c r="L6266" s="3565">
        <v>13614.96</v>
      </c>
      <c r="M6266" s="3565">
        <v>0</v>
      </c>
      <c r="N6266" s="3565">
        <v>0</v>
      </c>
      <c r="O6266" s="3563" t="s">
        <v>3453</v>
      </c>
    </row>
    <row r="6267" spans="1:15">
      <c r="A6267" s="3563" t="s">
        <v>10515</v>
      </c>
      <c r="B6267" s="3563" t="s">
        <v>4196</v>
      </c>
      <c r="C6267" s="3563" t="s">
        <v>4197</v>
      </c>
      <c r="D6267" s="3563" t="s">
        <v>10228</v>
      </c>
      <c r="E6267" s="3563" t="s">
        <v>4297</v>
      </c>
      <c r="F6267" s="3563" t="s">
        <v>4797</v>
      </c>
      <c r="G6267" s="3564">
        <v>123.63</v>
      </c>
      <c r="H6267" s="3564">
        <v>100.03</v>
      </c>
      <c r="I6267" s="3564">
        <v>23.6</v>
      </c>
      <c r="J6267" s="3565">
        <v>1334349</v>
      </c>
      <c r="K6267" s="3565">
        <v>10793.08</v>
      </c>
      <c r="L6267" s="3565">
        <v>13339.49</v>
      </c>
      <c r="M6267" s="3565">
        <v>0</v>
      </c>
      <c r="N6267" s="3565">
        <v>0</v>
      </c>
      <c r="O6267" s="3563" t="s">
        <v>3453</v>
      </c>
    </row>
    <row r="6268" spans="1:15">
      <c r="A6268" s="3563" t="s">
        <v>10516</v>
      </c>
      <c r="B6268" s="3563" t="s">
        <v>4196</v>
      </c>
      <c r="C6268" s="3563" t="s">
        <v>4197</v>
      </c>
      <c r="D6268" s="3563" t="s">
        <v>10228</v>
      </c>
      <c r="E6268" s="3563" t="s">
        <v>4297</v>
      </c>
      <c r="F6268" s="3563" t="s">
        <v>4797</v>
      </c>
      <c r="G6268" s="3564">
        <v>87.75</v>
      </c>
      <c r="H6268" s="3564">
        <v>71</v>
      </c>
      <c r="I6268" s="3564">
        <v>16.75</v>
      </c>
      <c r="J6268" s="3565">
        <v>905086</v>
      </c>
      <c r="K6268" s="3565">
        <v>10314.370000000001</v>
      </c>
      <c r="L6268" s="3565">
        <v>12747.69</v>
      </c>
      <c r="M6268" s="3565">
        <v>0</v>
      </c>
      <c r="N6268" s="3565">
        <v>0</v>
      </c>
      <c r="O6268" s="3563" t="s">
        <v>3453</v>
      </c>
    </row>
    <row r="6269" spans="1:15">
      <c r="A6269" s="3563" t="s">
        <v>10517</v>
      </c>
      <c r="B6269" s="3563" t="s">
        <v>4196</v>
      </c>
      <c r="C6269" s="3563" t="s">
        <v>4197</v>
      </c>
      <c r="D6269" s="3563" t="s">
        <v>10228</v>
      </c>
      <c r="E6269" s="3563" t="s">
        <v>4297</v>
      </c>
      <c r="F6269" s="3563" t="s">
        <v>4797</v>
      </c>
      <c r="G6269" s="3564">
        <v>87.75</v>
      </c>
      <c r="H6269" s="3564">
        <v>71</v>
      </c>
      <c r="I6269" s="3564">
        <v>16.75</v>
      </c>
      <c r="J6269" s="3565">
        <v>905086</v>
      </c>
      <c r="K6269" s="3565">
        <v>10314.370000000001</v>
      </c>
      <c r="L6269" s="3565">
        <v>12747.69</v>
      </c>
      <c r="M6269" s="3565">
        <v>0</v>
      </c>
      <c r="N6269" s="3565">
        <v>0</v>
      </c>
      <c r="O6269" s="3563" t="s">
        <v>3453</v>
      </c>
    </row>
    <row r="6270" spans="1:15">
      <c r="A6270" s="3563" t="s">
        <v>10518</v>
      </c>
      <c r="B6270" s="3563" t="s">
        <v>4196</v>
      </c>
      <c r="C6270" s="3563" t="s">
        <v>4197</v>
      </c>
      <c r="D6270" s="3563" t="s">
        <v>10228</v>
      </c>
      <c r="E6270" s="3563" t="s">
        <v>4297</v>
      </c>
      <c r="F6270" s="3563" t="s">
        <v>4797</v>
      </c>
      <c r="G6270" s="3564">
        <v>101.36</v>
      </c>
      <c r="H6270" s="3564">
        <v>82.01</v>
      </c>
      <c r="I6270" s="3564">
        <v>19.350000000000001</v>
      </c>
      <c r="J6270" s="3565">
        <v>1034681</v>
      </c>
      <c r="K6270" s="3565">
        <v>10207.98</v>
      </c>
      <c r="L6270" s="3565">
        <v>12616.52</v>
      </c>
      <c r="M6270" s="3565">
        <v>0</v>
      </c>
      <c r="N6270" s="3565">
        <v>0</v>
      </c>
      <c r="O6270" s="3563" t="s">
        <v>3453</v>
      </c>
    </row>
    <row r="6271" spans="1:15">
      <c r="A6271" s="3563" t="s">
        <v>10519</v>
      </c>
      <c r="B6271" s="3563" t="s">
        <v>4196</v>
      </c>
      <c r="C6271" s="3563" t="s">
        <v>4197</v>
      </c>
      <c r="D6271" s="3563" t="s">
        <v>10228</v>
      </c>
      <c r="E6271" s="3563" t="s">
        <v>4297</v>
      </c>
      <c r="F6271" s="3563" t="s">
        <v>4797</v>
      </c>
      <c r="G6271" s="3564">
        <v>101.02</v>
      </c>
      <c r="H6271" s="3564">
        <v>81.739999999999995</v>
      </c>
      <c r="I6271" s="3564">
        <v>19.28</v>
      </c>
      <c r="J6271" s="3565">
        <v>1111811</v>
      </c>
      <c r="K6271" s="3565">
        <v>11005.85</v>
      </c>
      <c r="L6271" s="3565">
        <v>13601.8</v>
      </c>
      <c r="M6271" s="3565">
        <v>0</v>
      </c>
      <c r="N6271" s="3565">
        <v>0</v>
      </c>
      <c r="O6271" s="3563" t="s">
        <v>3453</v>
      </c>
    </row>
    <row r="6272" spans="1:15">
      <c r="A6272" s="3563" t="s">
        <v>10520</v>
      </c>
      <c r="B6272" s="3563" t="s">
        <v>4196</v>
      </c>
      <c r="C6272" s="3563" t="s">
        <v>4197</v>
      </c>
      <c r="D6272" s="3563" t="s">
        <v>10228</v>
      </c>
      <c r="E6272" s="3563" t="s">
        <v>4297</v>
      </c>
      <c r="F6272" s="3563" t="s">
        <v>4797</v>
      </c>
      <c r="G6272" s="3564">
        <v>101.02</v>
      </c>
      <c r="H6272" s="3564">
        <v>81.739999999999995</v>
      </c>
      <c r="I6272" s="3564">
        <v>19.28</v>
      </c>
      <c r="J6272" s="3565">
        <v>1111811</v>
      </c>
      <c r="K6272" s="3565">
        <v>11005.85</v>
      </c>
      <c r="L6272" s="3565">
        <v>13601.8</v>
      </c>
      <c r="M6272" s="3565">
        <v>0</v>
      </c>
      <c r="N6272" s="3565">
        <v>0</v>
      </c>
      <c r="O6272" s="3563" t="s">
        <v>3453</v>
      </c>
    </row>
    <row r="6273" spans="1:15">
      <c r="A6273" s="3563" t="s">
        <v>10521</v>
      </c>
      <c r="B6273" s="3563" t="s">
        <v>4196</v>
      </c>
      <c r="C6273" s="3563" t="s">
        <v>4197</v>
      </c>
      <c r="D6273" s="3563" t="s">
        <v>10228</v>
      </c>
      <c r="E6273" s="3563" t="s">
        <v>4297</v>
      </c>
      <c r="F6273" s="3563" t="s">
        <v>4797</v>
      </c>
      <c r="G6273" s="3564">
        <v>123.63</v>
      </c>
      <c r="H6273" s="3564">
        <v>100.03</v>
      </c>
      <c r="I6273" s="3564">
        <v>23.6</v>
      </c>
      <c r="J6273" s="3565">
        <v>1333035</v>
      </c>
      <c r="K6273" s="3565">
        <v>10782.46</v>
      </c>
      <c r="L6273" s="3565">
        <v>13326.35</v>
      </c>
      <c r="M6273" s="3565">
        <v>0</v>
      </c>
      <c r="N6273" s="3565">
        <v>0</v>
      </c>
      <c r="O6273" s="3563" t="s">
        <v>3453</v>
      </c>
    </row>
    <row r="6274" spans="1:15">
      <c r="A6274" s="3563" t="s">
        <v>10522</v>
      </c>
      <c r="B6274" s="3563" t="s">
        <v>4196</v>
      </c>
      <c r="C6274" s="3563" t="s">
        <v>4197</v>
      </c>
      <c r="D6274" s="3563" t="s">
        <v>10228</v>
      </c>
      <c r="E6274" s="3563" t="s">
        <v>4297</v>
      </c>
      <c r="F6274" s="3563" t="s">
        <v>4797</v>
      </c>
      <c r="G6274" s="3564">
        <v>87.75</v>
      </c>
      <c r="H6274" s="3564">
        <v>71</v>
      </c>
      <c r="I6274" s="3564">
        <v>16.75</v>
      </c>
      <c r="J6274" s="3565">
        <v>904153</v>
      </c>
      <c r="K6274" s="3565">
        <v>10303.74</v>
      </c>
      <c r="L6274" s="3565">
        <v>12734.55</v>
      </c>
      <c r="M6274" s="3565">
        <v>0</v>
      </c>
      <c r="N6274" s="3565">
        <v>0</v>
      </c>
      <c r="O6274" s="3563" t="s">
        <v>3453</v>
      </c>
    </row>
    <row r="6275" spans="1:15">
      <c r="A6275" s="3563" t="s">
        <v>10523</v>
      </c>
      <c r="B6275" s="3563" t="s">
        <v>4196</v>
      </c>
      <c r="C6275" s="3563" t="s">
        <v>4197</v>
      </c>
      <c r="D6275" s="3563" t="s">
        <v>10228</v>
      </c>
      <c r="E6275" s="3563" t="s">
        <v>4297</v>
      </c>
      <c r="F6275" s="3563" t="s">
        <v>4797</v>
      </c>
      <c r="G6275" s="3564">
        <v>87.75</v>
      </c>
      <c r="H6275" s="3564">
        <v>71</v>
      </c>
      <c r="I6275" s="3564">
        <v>16.75</v>
      </c>
      <c r="J6275" s="3565">
        <v>904153</v>
      </c>
      <c r="K6275" s="3565">
        <v>10303.74</v>
      </c>
      <c r="L6275" s="3565">
        <v>12734.55</v>
      </c>
      <c r="M6275" s="3565">
        <v>0</v>
      </c>
      <c r="N6275" s="3565">
        <v>0</v>
      </c>
      <c r="O6275" s="3563" t="s">
        <v>3453</v>
      </c>
    </row>
    <row r="6276" spans="1:15">
      <c r="A6276" s="3563" t="s">
        <v>10524</v>
      </c>
      <c r="B6276" s="3563" t="s">
        <v>4196</v>
      </c>
      <c r="C6276" s="3563" t="s">
        <v>4197</v>
      </c>
      <c r="D6276" s="3563" t="s">
        <v>10228</v>
      </c>
      <c r="E6276" s="3563" t="s">
        <v>4297</v>
      </c>
      <c r="F6276" s="3563" t="s">
        <v>4797</v>
      </c>
      <c r="G6276" s="3564">
        <v>101.36</v>
      </c>
      <c r="H6276" s="3564">
        <v>82.01</v>
      </c>
      <c r="I6276" s="3564">
        <v>19.350000000000001</v>
      </c>
      <c r="J6276" s="3565">
        <v>1033603</v>
      </c>
      <c r="K6276" s="3565">
        <v>10197.35</v>
      </c>
      <c r="L6276" s="3565">
        <v>12603.38</v>
      </c>
      <c r="M6276" s="3565">
        <v>0</v>
      </c>
      <c r="N6276" s="3565">
        <v>0</v>
      </c>
      <c r="O6276" s="3563" t="s">
        <v>3453</v>
      </c>
    </row>
    <row r="6277" spans="1:15">
      <c r="A6277" s="3563" t="s">
        <v>10525</v>
      </c>
      <c r="B6277" s="3563" t="s">
        <v>4196</v>
      </c>
      <c r="C6277" s="3563" t="s">
        <v>4197</v>
      </c>
      <c r="D6277" s="3563" t="s">
        <v>10228</v>
      </c>
      <c r="E6277" s="3563" t="s">
        <v>4297</v>
      </c>
      <c r="F6277" s="3563" t="s">
        <v>4797</v>
      </c>
      <c r="G6277" s="3564">
        <v>101.02</v>
      </c>
      <c r="H6277" s="3564">
        <v>81.739999999999995</v>
      </c>
      <c r="I6277" s="3564">
        <v>19.28</v>
      </c>
      <c r="J6277" s="3565">
        <v>1110737</v>
      </c>
      <c r="K6277" s="3565">
        <v>10995.22</v>
      </c>
      <c r="L6277" s="3565">
        <v>13588.66</v>
      </c>
      <c r="M6277" s="3565">
        <v>0</v>
      </c>
      <c r="N6277" s="3565">
        <v>0</v>
      </c>
      <c r="O6277" s="3563" t="s">
        <v>3453</v>
      </c>
    </row>
    <row r="6278" spans="1:15">
      <c r="A6278" s="3563" t="s">
        <v>10526</v>
      </c>
      <c r="B6278" s="3563" t="s">
        <v>4196</v>
      </c>
      <c r="C6278" s="3563" t="s">
        <v>4197</v>
      </c>
      <c r="D6278" s="3563" t="s">
        <v>10228</v>
      </c>
      <c r="E6278" s="3563" t="s">
        <v>4297</v>
      </c>
      <c r="F6278" s="3563" t="s">
        <v>4797</v>
      </c>
      <c r="G6278" s="3564">
        <v>101.02</v>
      </c>
      <c r="H6278" s="3564">
        <v>81.739999999999995</v>
      </c>
      <c r="I6278" s="3564">
        <v>19.28</v>
      </c>
      <c r="J6278" s="3565">
        <v>1110737</v>
      </c>
      <c r="K6278" s="3565">
        <v>10995.22</v>
      </c>
      <c r="L6278" s="3565">
        <v>13588.66</v>
      </c>
      <c r="M6278" s="3565">
        <v>0</v>
      </c>
      <c r="N6278" s="3565">
        <v>0</v>
      </c>
      <c r="O6278" s="3563" t="s">
        <v>3453</v>
      </c>
    </row>
    <row r="6279" spans="1:15">
      <c r="A6279" s="3563" t="s">
        <v>10527</v>
      </c>
      <c r="B6279" s="3563" t="s">
        <v>4196</v>
      </c>
      <c r="C6279" s="3563" t="s">
        <v>4197</v>
      </c>
      <c r="D6279" s="3563" t="s">
        <v>10228</v>
      </c>
      <c r="E6279" s="3563" t="s">
        <v>4297</v>
      </c>
      <c r="F6279" s="3563" t="s">
        <v>4797</v>
      </c>
      <c r="G6279" s="3564">
        <v>123.63</v>
      </c>
      <c r="H6279" s="3564">
        <v>100.03</v>
      </c>
      <c r="I6279" s="3564">
        <v>23.6</v>
      </c>
      <c r="J6279" s="3565">
        <v>1318568</v>
      </c>
      <c r="K6279" s="3565">
        <v>10665.44</v>
      </c>
      <c r="L6279" s="3565">
        <v>13181.73</v>
      </c>
      <c r="M6279" s="3565">
        <v>0</v>
      </c>
      <c r="N6279" s="3565">
        <v>0</v>
      </c>
      <c r="O6279" s="3563" t="s">
        <v>3453</v>
      </c>
    </row>
    <row r="6280" spans="1:15">
      <c r="A6280" s="3563" t="s">
        <v>10528</v>
      </c>
      <c r="B6280" s="3563" t="s">
        <v>4196</v>
      </c>
      <c r="C6280" s="3563" t="s">
        <v>4197</v>
      </c>
      <c r="D6280" s="3563" t="s">
        <v>10228</v>
      </c>
      <c r="E6280" s="3563" t="s">
        <v>4297</v>
      </c>
      <c r="F6280" s="3563" t="s">
        <v>4797</v>
      </c>
      <c r="G6280" s="3564">
        <v>87.75</v>
      </c>
      <c r="H6280" s="3564">
        <v>71</v>
      </c>
      <c r="I6280" s="3564">
        <v>16.75</v>
      </c>
      <c r="J6280" s="3565">
        <v>893883</v>
      </c>
      <c r="K6280" s="3565">
        <v>10186.700000000001</v>
      </c>
      <c r="L6280" s="3565">
        <v>12589.9</v>
      </c>
      <c r="M6280" s="3565">
        <v>0</v>
      </c>
      <c r="N6280" s="3565">
        <v>0</v>
      </c>
      <c r="O6280" s="3563" t="s">
        <v>3453</v>
      </c>
    </row>
    <row r="6281" spans="1:15">
      <c r="A6281" s="3563" t="s">
        <v>10529</v>
      </c>
      <c r="B6281" s="3563" t="s">
        <v>4196</v>
      </c>
      <c r="C6281" s="3563" t="s">
        <v>4197</v>
      </c>
      <c r="D6281" s="3563" t="s">
        <v>10228</v>
      </c>
      <c r="E6281" s="3563" t="s">
        <v>4297</v>
      </c>
      <c r="F6281" s="3563" t="s">
        <v>4797</v>
      </c>
      <c r="G6281" s="3564">
        <v>87.75</v>
      </c>
      <c r="H6281" s="3564">
        <v>71</v>
      </c>
      <c r="I6281" s="3564">
        <v>16.75</v>
      </c>
      <c r="J6281" s="3565">
        <v>893883</v>
      </c>
      <c r="K6281" s="3565">
        <v>10186.700000000001</v>
      </c>
      <c r="L6281" s="3565">
        <v>12589.9</v>
      </c>
      <c r="M6281" s="3565">
        <v>0</v>
      </c>
      <c r="N6281" s="3565">
        <v>0</v>
      </c>
      <c r="O6281" s="3563" t="s">
        <v>3453</v>
      </c>
    </row>
    <row r="6282" spans="1:15">
      <c r="A6282" s="3563" t="s">
        <v>10530</v>
      </c>
      <c r="B6282" s="3563" t="s">
        <v>4196</v>
      </c>
      <c r="C6282" s="3563" t="s">
        <v>4197</v>
      </c>
      <c r="D6282" s="3563" t="s">
        <v>10228</v>
      </c>
      <c r="E6282" s="3563" t="s">
        <v>4297</v>
      </c>
      <c r="F6282" s="3563" t="s">
        <v>4797</v>
      </c>
      <c r="G6282" s="3564">
        <v>101.36</v>
      </c>
      <c r="H6282" s="3564">
        <v>82.01</v>
      </c>
      <c r="I6282" s="3564">
        <v>19.350000000000001</v>
      </c>
      <c r="J6282" s="3565">
        <v>1021742</v>
      </c>
      <c r="K6282" s="3565">
        <v>10080.33</v>
      </c>
      <c r="L6282" s="3565">
        <v>12458.75</v>
      </c>
      <c r="M6282" s="3565">
        <v>0</v>
      </c>
      <c r="N6282" s="3565">
        <v>0</v>
      </c>
      <c r="O6282" s="3563" t="s">
        <v>3453</v>
      </c>
    </row>
    <row r="6283" spans="1:15">
      <c r="A6283" s="3563" t="s">
        <v>10531</v>
      </c>
      <c r="B6283" s="3563" t="s">
        <v>4196</v>
      </c>
      <c r="C6283" s="3563" t="s">
        <v>4197</v>
      </c>
      <c r="D6283" s="3563" t="s">
        <v>10228</v>
      </c>
      <c r="E6283" s="3563" t="s">
        <v>4297</v>
      </c>
      <c r="F6283" s="3563" t="s">
        <v>4797</v>
      </c>
      <c r="G6283" s="3564">
        <v>101.02</v>
      </c>
      <c r="H6283" s="3564">
        <v>81.739999999999995</v>
      </c>
      <c r="I6283" s="3564">
        <v>19.28</v>
      </c>
      <c r="J6283" s="3565">
        <v>1098915</v>
      </c>
      <c r="K6283" s="3565">
        <v>10878.19</v>
      </c>
      <c r="L6283" s="3565">
        <v>13444.03</v>
      </c>
      <c r="M6283" s="3565">
        <v>0</v>
      </c>
      <c r="N6283" s="3565">
        <v>0</v>
      </c>
      <c r="O6283" s="3563" t="s">
        <v>3453</v>
      </c>
    </row>
    <row r="6284" spans="1:15">
      <c r="A6284" s="3563" t="s">
        <v>10532</v>
      </c>
      <c r="B6284" s="3563" t="s">
        <v>4196</v>
      </c>
      <c r="C6284" s="3563" t="s">
        <v>4197</v>
      </c>
      <c r="D6284" s="3563" t="s">
        <v>10228</v>
      </c>
      <c r="E6284" s="3563" t="s">
        <v>4297</v>
      </c>
      <c r="F6284" s="3563" t="s">
        <v>4797</v>
      </c>
      <c r="G6284" s="3564">
        <v>101.02</v>
      </c>
      <c r="H6284" s="3564">
        <v>81.739999999999995</v>
      </c>
      <c r="I6284" s="3564">
        <v>19.28</v>
      </c>
      <c r="J6284" s="3565">
        <v>1098915</v>
      </c>
      <c r="K6284" s="3565">
        <v>10878.19</v>
      </c>
      <c r="L6284" s="3565">
        <v>13444.03</v>
      </c>
      <c r="M6284" s="3565">
        <v>0</v>
      </c>
      <c r="N6284" s="3565">
        <v>0</v>
      </c>
      <c r="O6284" s="3563" t="s">
        <v>3453</v>
      </c>
    </row>
    <row r="6285" spans="1:15">
      <c r="A6285" s="3563" t="s">
        <v>10533</v>
      </c>
      <c r="B6285" s="3563" t="s">
        <v>4196</v>
      </c>
      <c r="C6285" s="3563" t="s">
        <v>4197</v>
      </c>
      <c r="D6285" s="3563" t="s">
        <v>10228</v>
      </c>
      <c r="E6285" s="3563" t="s">
        <v>4297</v>
      </c>
      <c r="F6285" s="3563" t="s">
        <v>4797</v>
      </c>
      <c r="G6285" s="3564">
        <v>123.63</v>
      </c>
      <c r="H6285" s="3564">
        <v>100.03</v>
      </c>
      <c r="I6285" s="3564">
        <v>23.6</v>
      </c>
      <c r="J6285" s="3565">
        <v>1330404</v>
      </c>
      <c r="K6285" s="3565">
        <v>10761.17</v>
      </c>
      <c r="L6285" s="3565">
        <v>13300.05</v>
      </c>
      <c r="M6285" s="3565">
        <v>0</v>
      </c>
      <c r="N6285" s="3565">
        <v>0</v>
      </c>
      <c r="O6285" s="3563" t="s">
        <v>3453</v>
      </c>
    </row>
    <row r="6286" spans="1:15">
      <c r="A6286" s="3563" t="s">
        <v>10534</v>
      </c>
      <c r="B6286" s="3563" t="s">
        <v>4196</v>
      </c>
      <c r="C6286" s="3563" t="s">
        <v>4197</v>
      </c>
      <c r="D6286" s="3563" t="s">
        <v>10228</v>
      </c>
      <c r="E6286" s="3563" t="s">
        <v>4297</v>
      </c>
      <c r="F6286" s="3563" t="s">
        <v>4797</v>
      </c>
      <c r="G6286" s="3564">
        <v>87.75</v>
      </c>
      <c r="H6286" s="3564">
        <v>71</v>
      </c>
      <c r="I6286" s="3564">
        <v>16.75</v>
      </c>
      <c r="J6286" s="3565">
        <v>902286</v>
      </c>
      <c r="K6286" s="3565">
        <v>10282.459999999999</v>
      </c>
      <c r="L6286" s="3565">
        <v>12708.25</v>
      </c>
      <c r="M6286" s="3565">
        <v>0</v>
      </c>
      <c r="N6286" s="3565">
        <v>0</v>
      </c>
      <c r="O6286" s="3563" t="s">
        <v>3453</v>
      </c>
    </row>
    <row r="6287" spans="1:15">
      <c r="A6287" s="3563" t="s">
        <v>10535</v>
      </c>
      <c r="B6287" s="3563" t="s">
        <v>4196</v>
      </c>
      <c r="C6287" s="3563" t="s">
        <v>4197</v>
      </c>
      <c r="D6287" s="3563" t="s">
        <v>10228</v>
      </c>
      <c r="E6287" s="3563" t="s">
        <v>4297</v>
      </c>
      <c r="F6287" s="3563" t="s">
        <v>4797</v>
      </c>
      <c r="G6287" s="3564">
        <v>87.75</v>
      </c>
      <c r="H6287" s="3564">
        <v>71</v>
      </c>
      <c r="I6287" s="3564">
        <v>16.75</v>
      </c>
      <c r="J6287" s="3565">
        <v>902286</v>
      </c>
      <c r="K6287" s="3565">
        <v>10282.459999999999</v>
      </c>
      <c r="L6287" s="3565">
        <v>12708.25</v>
      </c>
      <c r="M6287" s="3565">
        <v>0</v>
      </c>
      <c r="N6287" s="3565">
        <v>0</v>
      </c>
      <c r="O6287" s="3563" t="s">
        <v>3453</v>
      </c>
    </row>
    <row r="6288" spans="1:15">
      <c r="A6288" s="3563" t="s">
        <v>10536</v>
      </c>
      <c r="B6288" s="3563" t="s">
        <v>4196</v>
      </c>
      <c r="C6288" s="3563" t="s">
        <v>4197</v>
      </c>
      <c r="D6288" s="3563" t="s">
        <v>10228</v>
      </c>
      <c r="E6288" s="3563" t="s">
        <v>4297</v>
      </c>
      <c r="F6288" s="3563" t="s">
        <v>4797</v>
      </c>
      <c r="G6288" s="3564">
        <v>101.36</v>
      </c>
      <c r="H6288" s="3564">
        <v>82.01</v>
      </c>
      <c r="I6288" s="3564">
        <v>19.350000000000001</v>
      </c>
      <c r="J6288" s="3565">
        <v>1031446</v>
      </c>
      <c r="K6288" s="3565">
        <v>10176.07</v>
      </c>
      <c r="L6288" s="3565">
        <v>12577.08</v>
      </c>
      <c r="M6288" s="3565">
        <v>0</v>
      </c>
      <c r="N6288" s="3565">
        <v>0</v>
      </c>
      <c r="O6288" s="3563" t="s">
        <v>3453</v>
      </c>
    </row>
    <row r="6289" spans="1:15">
      <c r="A6289" s="3563" t="s">
        <v>10537</v>
      </c>
      <c r="B6289" s="3563" t="s">
        <v>4196</v>
      </c>
      <c r="C6289" s="3563" t="s">
        <v>4197</v>
      </c>
      <c r="D6289" s="3563" t="s">
        <v>10228</v>
      </c>
      <c r="E6289" s="3563" t="s">
        <v>4297</v>
      </c>
      <c r="F6289" s="3563" t="s">
        <v>4797</v>
      </c>
      <c r="G6289" s="3564">
        <v>101.02</v>
      </c>
      <c r="H6289" s="3564">
        <v>81.739999999999995</v>
      </c>
      <c r="I6289" s="3564">
        <v>19.28</v>
      </c>
      <c r="J6289" s="3565">
        <v>1108588</v>
      </c>
      <c r="K6289" s="3565">
        <v>10973.95</v>
      </c>
      <c r="L6289" s="3565">
        <v>13562.37</v>
      </c>
      <c r="M6289" s="3565">
        <v>0</v>
      </c>
      <c r="N6289" s="3565">
        <v>0</v>
      </c>
      <c r="O6289" s="3563" t="s">
        <v>3453</v>
      </c>
    </row>
    <row r="6290" spans="1:15">
      <c r="A6290" s="3563" t="s">
        <v>10538</v>
      </c>
      <c r="B6290" s="3563" t="s">
        <v>4196</v>
      </c>
      <c r="C6290" s="3563" t="s">
        <v>4197</v>
      </c>
      <c r="D6290" s="3563" t="s">
        <v>10228</v>
      </c>
      <c r="E6290" s="3563" t="s">
        <v>4297</v>
      </c>
      <c r="F6290" s="3563" t="s">
        <v>4797</v>
      </c>
      <c r="G6290" s="3564">
        <v>101.02</v>
      </c>
      <c r="H6290" s="3564">
        <v>81.739999999999995</v>
      </c>
      <c r="I6290" s="3564">
        <v>19.28</v>
      </c>
      <c r="J6290" s="3565">
        <v>1108588</v>
      </c>
      <c r="K6290" s="3565">
        <v>10973.95</v>
      </c>
      <c r="L6290" s="3565">
        <v>13562.37</v>
      </c>
      <c r="M6290" s="3565">
        <v>0</v>
      </c>
      <c r="N6290" s="3565">
        <v>0</v>
      </c>
      <c r="O6290" s="3563" t="s">
        <v>3453</v>
      </c>
    </row>
    <row r="6291" spans="1:15">
      <c r="A6291" s="3563" t="s">
        <v>10539</v>
      </c>
      <c r="B6291" s="3563" t="s">
        <v>4196</v>
      </c>
      <c r="C6291" s="3563" t="s">
        <v>4197</v>
      </c>
      <c r="D6291" s="3563" t="s">
        <v>10228</v>
      </c>
      <c r="E6291" s="3563" t="s">
        <v>4297</v>
      </c>
      <c r="F6291" s="3563" t="s">
        <v>4797</v>
      </c>
      <c r="G6291" s="3564">
        <v>127.63</v>
      </c>
      <c r="H6291" s="3564">
        <v>100.03</v>
      </c>
      <c r="I6291" s="3564">
        <v>27.6</v>
      </c>
      <c r="J6291" s="3565">
        <v>1283836</v>
      </c>
      <c r="K6291" s="3565">
        <v>10059.049999999999</v>
      </c>
      <c r="L6291" s="3565">
        <v>12834.51</v>
      </c>
      <c r="M6291" s="3565">
        <v>0</v>
      </c>
      <c r="N6291" s="3565">
        <v>0</v>
      </c>
      <c r="O6291" s="3563" t="s">
        <v>3453</v>
      </c>
    </row>
    <row r="6292" spans="1:15">
      <c r="A6292" s="3563" t="s">
        <v>10540</v>
      </c>
      <c r="B6292" s="3563" t="s">
        <v>4196</v>
      </c>
      <c r="C6292" s="3563" t="s">
        <v>4197</v>
      </c>
      <c r="D6292" s="3563" t="s">
        <v>10228</v>
      </c>
      <c r="E6292" s="3563" t="s">
        <v>4297</v>
      </c>
      <c r="F6292" s="3563" t="s">
        <v>4797</v>
      </c>
      <c r="G6292" s="3564">
        <v>90.59</v>
      </c>
      <c r="H6292" s="3564">
        <v>71</v>
      </c>
      <c r="I6292" s="3564">
        <v>19.59</v>
      </c>
      <c r="J6292" s="3565">
        <v>911249</v>
      </c>
      <c r="K6292" s="3565">
        <v>10059.049999999999</v>
      </c>
      <c r="L6292" s="3565">
        <v>12834.49</v>
      </c>
      <c r="M6292" s="3565">
        <v>0</v>
      </c>
      <c r="N6292" s="3565">
        <v>0</v>
      </c>
      <c r="O6292" s="3563" t="s">
        <v>3453</v>
      </c>
    </row>
    <row r="6293" spans="1:15">
      <c r="A6293" s="3563" t="s">
        <v>10541</v>
      </c>
      <c r="B6293" s="3563" t="s">
        <v>4196</v>
      </c>
      <c r="C6293" s="3563" t="s">
        <v>4197</v>
      </c>
      <c r="D6293" s="3563" t="s">
        <v>10228</v>
      </c>
      <c r="E6293" s="3563" t="s">
        <v>4297</v>
      </c>
      <c r="F6293" s="3563" t="s">
        <v>4797</v>
      </c>
      <c r="G6293" s="3564">
        <v>90.59</v>
      </c>
      <c r="H6293" s="3564">
        <v>71</v>
      </c>
      <c r="I6293" s="3564">
        <v>19.59</v>
      </c>
      <c r="J6293" s="3565">
        <v>911249</v>
      </c>
      <c r="K6293" s="3565">
        <v>10059.049999999999</v>
      </c>
      <c r="L6293" s="3565">
        <v>12834.49</v>
      </c>
      <c r="M6293" s="3565">
        <v>0</v>
      </c>
      <c r="N6293" s="3565">
        <v>0</v>
      </c>
      <c r="O6293" s="3563" t="s">
        <v>3453</v>
      </c>
    </row>
    <row r="6294" spans="1:15">
      <c r="A6294" s="3563" t="s">
        <v>10542</v>
      </c>
      <c r="B6294" s="3563" t="s">
        <v>4196</v>
      </c>
      <c r="C6294" s="3563" t="s">
        <v>4197</v>
      </c>
      <c r="D6294" s="3563" t="s">
        <v>10228</v>
      </c>
      <c r="E6294" s="3563" t="s">
        <v>4297</v>
      </c>
      <c r="F6294" s="3563" t="s">
        <v>4797</v>
      </c>
      <c r="G6294" s="3564">
        <v>104.64</v>
      </c>
      <c r="H6294" s="3564">
        <v>82.01</v>
      </c>
      <c r="I6294" s="3564">
        <v>22.63</v>
      </c>
      <c r="J6294" s="3565">
        <v>1052579</v>
      </c>
      <c r="K6294" s="3565">
        <v>10059.049999999999</v>
      </c>
      <c r="L6294" s="3565">
        <v>12834.76</v>
      </c>
      <c r="M6294" s="3565">
        <v>0</v>
      </c>
      <c r="N6294" s="3565">
        <v>0</v>
      </c>
      <c r="O6294" s="3563" t="s">
        <v>3453</v>
      </c>
    </row>
    <row r="6295" spans="1:15">
      <c r="A6295" s="3563" t="s">
        <v>10543</v>
      </c>
      <c r="B6295" s="3563" t="s">
        <v>4196</v>
      </c>
      <c r="C6295" s="3563" t="s">
        <v>4197</v>
      </c>
      <c r="D6295" s="3563" t="s">
        <v>10228</v>
      </c>
      <c r="E6295" s="3563" t="s">
        <v>4297</v>
      </c>
      <c r="F6295" s="3563" t="s">
        <v>4797</v>
      </c>
      <c r="G6295" s="3564">
        <v>123.63</v>
      </c>
      <c r="H6295" s="3564">
        <v>100.03</v>
      </c>
      <c r="I6295" s="3564">
        <v>23.6</v>
      </c>
      <c r="J6295" s="3565">
        <v>1329089</v>
      </c>
      <c r="K6295" s="3565">
        <v>10750.54</v>
      </c>
      <c r="L6295" s="3565">
        <v>13286.9</v>
      </c>
      <c r="M6295" s="3565">
        <v>0</v>
      </c>
      <c r="N6295" s="3565">
        <v>0</v>
      </c>
      <c r="O6295" s="3563" t="s">
        <v>3453</v>
      </c>
    </row>
    <row r="6296" spans="1:15">
      <c r="A6296" s="3563" t="s">
        <v>10544</v>
      </c>
      <c r="B6296" s="3563" t="s">
        <v>4196</v>
      </c>
      <c r="C6296" s="3563" t="s">
        <v>4197</v>
      </c>
      <c r="D6296" s="3563" t="s">
        <v>10228</v>
      </c>
      <c r="E6296" s="3563" t="s">
        <v>4297</v>
      </c>
      <c r="F6296" s="3563" t="s">
        <v>4797</v>
      </c>
      <c r="G6296" s="3564">
        <v>87.75</v>
      </c>
      <c r="H6296" s="3564">
        <v>71</v>
      </c>
      <c r="I6296" s="3564">
        <v>16.75</v>
      </c>
      <c r="J6296" s="3565">
        <v>901352</v>
      </c>
      <c r="K6296" s="3565">
        <v>10271.82</v>
      </c>
      <c r="L6296" s="3565">
        <v>12695.1</v>
      </c>
      <c r="M6296" s="3565">
        <v>0</v>
      </c>
      <c r="N6296" s="3565">
        <v>0</v>
      </c>
      <c r="O6296" s="3563" t="s">
        <v>3453</v>
      </c>
    </row>
    <row r="6297" spans="1:15">
      <c r="A6297" s="3563" t="s">
        <v>10545</v>
      </c>
      <c r="B6297" s="3563" t="s">
        <v>4196</v>
      </c>
      <c r="C6297" s="3563" t="s">
        <v>4197</v>
      </c>
      <c r="D6297" s="3563" t="s">
        <v>10228</v>
      </c>
      <c r="E6297" s="3563" t="s">
        <v>4297</v>
      </c>
      <c r="F6297" s="3563" t="s">
        <v>4797</v>
      </c>
      <c r="G6297" s="3564">
        <v>87.75</v>
      </c>
      <c r="H6297" s="3564">
        <v>71</v>
      </c>
      <c r="I6297" s="3564">
        <v>16.75</v>
      </c>
      <c r="J6297" s="3565">
        <v>901352</v>
      </c>
      <c r="K6297" s="3565">
        <v>10271.82</v>
      </c>
      <c r="L6297" s="3565">
        <v>12695.1</v>
      </c>
      <c r="M6297" s="3565">
        <v>0</v>
      </c>
      <c r="N6297" s="3565">
        <v>0</v>
      </c>
      <c r="O6297" s="3563" t="s">
        <v>3453</v>
      </c>
    </row>
    <row r="6298" spans="1:15">
      <c r="A6298" s="3563" t="s">
        <v>10546</v>
      </c>
      <c r="B6298" s="3563" t="s">
        <v>4196</v>
      </c>
      <c r="C6298" s="3563" t="s">
        <v>4197</v>
      </c>
      <c r="D6298" s="3563" t="s">
        <v>10228</v>
      </c>
      <c r="E6298" s="3563" t="s">
        <v>4297</v>
      </c>
      <c r="F6298" s="3563" t="s">
        <v>4797</v>
      </c>
      <c r="G6298" s="3564">
        <v>101.36</v>
      </c>
      <c r="H6298" s="3564">
        <v>82.01</v>
      </c>
      <c r="I6298" s="3564">
        <v>19.350000000000001</v>
      </c>
      <c r="J6298" s="3565">
        <v>1030368</v>
      </c>
      <c r="K6298" s="3565">
        <v>10165.43</v>
      </c>
      <c r="L6298" s="3565">
        <v>12563.93</v>
      </c>
      <c r="M6298" s="3565">
        <v>0</v>
      </c>
      <c r="N6298" s="3565">
        <v>0</v>
      </c>
      <c r="O6298" s="3563" t="s">
        <v>3453</v>
      </c>
    </row>
    <row r="6299" spans="1:15">
      <c r="A6299" s="3563" t="s">
        <v>10547</v>
      </c>
      <c r="B6299" s="3563" t="s">
        <v>4196</v>
      </c>
      <c r="C6299" s="3563" t="s">
        <v>4197</v>
      </c>
      <c r="D6299" s="3563" t="s">
        <v>10228</v>
      </c>
      <c r="E6299" s="3563" t="s">
        <v>4297</v>
      </c>
      <c r="F6299" s="3563" t="s">
        <v>4797</v>
      </c>
      <c r="G6299" s="3564">
        <v>101.02</v>
      </c>
      <c r="H6299" s="3564">
        <v>81.739999999999995</v>
      </c>
      <c r="I6299" s="3564">
        <v>19.28</v>
      </c>
      <c r="J6299" s="3565">
        <v>1107513</v>
      </c>
      <c r="K6299" s="3565">
        <v>10963.3</v>
      </c>
      <c r="L6299" s="3565">
        <v>13549.22</v>
      </c>
      <c r="M6299" s="3565">
        <v>0</v>
      </c>
      <c r="N6299" s="3565">
        <v>0</v>
      </c>
      <c r="O6299" s="3563" t="s">
        <v>3453</v>
      </c>
    </row>
    <row r="6300" spans="1:15">
      <c r="A6300" s="3563" t="s">
        <v>10548</v>
      </c>
      <c r="B6300" s="3563" t="s">
        <v>4196</v>
      </c>
      <c r="C6300" s="3563" t="s">
        <v>4197</v>
      </c>
      <c r="D6300" s="3563" t="s">
        <v>10228</v>
      </c>
      <c r="E6300" s="3563" t="s">
        <v>4297</v>
      </c>
      <c r="F6300" s="3563" t="s">
        <v>4797</v>
      </c>
      <c r="G6300" s="3564">
        <v>101.02</v>
      </c>
      <c r="H6300" s="3564">
        <v>81.739999999999995</v>
      </c>
      <c r="I6300" s="3564">
        <v>19.28</v>
      </c>
      <c r="J6300" s="3565">
        <v>1107513</v>
      </c>
      <c r="K6300" s="3565">
        <v>10963.3</v>
      </c>
      <c r="L6300" s="3565">
        <v>13549.22</v>
      </c>
      <c r="M6300" s="3565">
        <v>0</v>
      </c>
      <c r="N6300" s="3565">
        <v>0</v>
      </c>
      <c r="O6300" s="3563" t="s">
        <v>3453</v>
      </c>
    </row>
    <row r="6301" spans="1:15">
      <c r="A6301" s="3563" t="s">
        <v>10549</v>
      </c>
      <c r="B6301" s="3563" t="s">
        <v>4196</v>
      </c>
      <c r="C6301" s="3563" t="s">
        <v>4197</v>
      </c>
      <c r="D6301" s="3563" t="s">
        <v>10228</v>
      </c>
      <c r="E6301" s="3563" t="s">
        <v>4297</v>
      </c>
      <c r="F6301" s="3563" t="s">
        <v>4797</v>
      </c>
      <c r="G6301" s="3564">
        <v>123.63</v>
      </c>
      <c r="H6301" s="3564">
        <v>100.03</v>
      </c>
      <c r="I6301" s="3564">
        <v>23.6</v>
      </c>
      <c r="J6301" s="3565">
        <v>1327774</v>
      </c>
      <c r="K6301" s="3565">
        <v>10739.9</v>
      </c>
      <c r="L6301" s="3565">
        <v>13273.76</v>
      </c>
      <c r="M6301" s="3565">
        <v>0</v>
      </c>
      <c r="N6301" s="3565">
        <v>0</v>
      </c>
      <c r="O6301" s="3563" t="s">
        <v>3453</v>
      </c>
    </row>
    <row r="6302" spans="1:15">
      <c r="A6302" s="3563" t="s">
        <v>10550</v>
      </c>
      <c r="B6302" s="3563" t="s">
        <v>4196</v>
      </c>
      <c r="C6302" s="3563" t="s">
        <v>4197</v>
      </c>
      <c r="D6302" s="3563" t="s">
        <v>10228</v>
      </c>
      <c r="E6302" s="3563" t="s">
        <v>4297</v>
      </c>
      <c r="F6302" s="3563" t="s">
        <v>4797</v>
      </c>
      <c r="G6302" s="3564">
        <v>87.75</v>
      </c>
      <c r="H6302" s="3564">
        <v>71</v>
      </c>
      <c r="I6302" s="3564">
        <v>16.75</v>
      </c>
      <c r="J6302" s="3565">
        <v>900419</v>
      </c>
      <c r="K6302" s="3565">
        <v>10261.19</v>
      </c>
      <c r="L6302" s="3565">
        <v>12681.96</v>
      </c>
      <c r="M6302" s="3565">
        <v>0</v>
      </c>
      <c r="N6302" s="3565">
        <v>0</v>
      </c>
      <c r="O6302" s="3563" t="s">
        <v>3453</v>
      </c>
    </row>
    <row r="6303" spans="1:15">
      <c r="A6303" s="3563" t="s">
        <v>10551</v>
      </c>
      <c r="B6303" s="3563" t="s">
        <v>4196</v>
      </c>
      <c r="C6303" s="3563" t="s">
        <v>4197</v>
      </c>
      <c r="D6303" s="3563" t="s">
        <v>10228</v>
      </c>
      <c r="E6303" s="3563" t="s">
        <v>4297</v>
      </c>
      <c r="F6303" s="3563" t="s">
        <v>4797</v>
      </c>
      <c r="G6303" s="3564">
        <v>87.75</v>
      </c>
      <c r="H6303" s="3564">
        <v>71</v>
      </c>
      <c r="I6303" s="3564">
        <v>16.75</v>
      </c>
      <c r="J6303" s="3565">
        <v>900419</v>
      </c>
      <c r="K6303" s="3565">
        <v>10261.19</v>
      </c>
      <c r="L6303" s="3565">
        <v>12681.96</v>
      </c>
      <c r="M6303" s="3565">
        <v>0</v>
      </c>
      <c r="N6303" s="3565">
        <v>0</v>
      </c>
      <c r="O6303" s="3563" t="s">
        <v>3453</v>
      </c>
    </row>
    <row r="6304" spans="1:15">
      <c r="A6304" s="3563" t="s">
        <v>10552</v>
      </c>
      <c r="B6304" s="3563" t="s">
        <v>4196</v>
      </c>
      <c r="C6304" s="3563" t="s">
        <v>4197</v>
      </c>
      <c r="D6304" s="3563" t="s">
        <v>10228</v>
      </c>
      <c r="E6304" s="3563" t="s">
        <v>4297</v>
      </c>
      <c r="F6304" s="3563" t="s">
        <v>4797</v>
      </c>
      <c r="G6304" s="3564">
        <v>101.36</v>
      </c>
      <c r="H6304" s="3564">
        <v>82.01</v>
      </c>
      <c r="I6304" s="3564">
        <v>19.350000000000001</v>
      </c>
      <c r="J6304" s="3565">
        <v>1029290</v>
      </c>
      <c r="K6304" s="3565">
        <v>10154.790000000001</v>
      </c>
      <c r="L6304" s="3565">
        <v>12550.79</v>
      </c>
      <c r="M6304" s="3565">
        <v>0</v>
      </c>
      <c r="N6304" s="3565">
        <v>0</v>
      </c>
      <c r="O6304" s="3563" t="s">
        <v>3453</v>
      </c>
    </row>
    <row r="6305" spans="1:15">
      <c r="A6305" s="3563" t="s">
        <v>10553</v>
      </c>
      <c r="B6305" s="3563" t="s">
        <v>4196</v>
      </c>
      <c r="C6305" s="3563" t="s">
        <v>4197</v>
      </c>
      <c r="D6305" s="3563" t="s">
        <v>10228</v>
      </c>
      <c r="E6305" s="3563" t="s">
        <v>4297</v>
      </c>
      <c r="F6305" s="3563" t="s">
        <v>4797</v>
      </c>
      <c r="G6305" s="3564">
        <v>101.02</v>
      </c>
      <c r="H6305" s="3564">
        <v>81.739999999999995</v>
      </c>
      <c r="I6305" s="3564">
        <v>19.28</v>
      </c>
      <c r="J6305" s="3565">
        <v>1106438</v>
      </c>
      <c r="K6305" s="3565">
        <v>10952.66</v>
      </c>
      <c r="L6305" s="3565">
        <v>13536.07</v>
      </c>
      <c r="M6305" s="3565">
        <v>0</v>
      </c>
      <c r="N6305" s="3565">
        <v>0</v>
      </c>
      <c r="O6305" s="3563" t="s">
        <v>3453</v>
      </c>
    </row>
    <row r="6306" spans="1:15">
      <c r="A6306" s="3563" t="s">
        <v>10554</v>
      </c>
      <c r="B6306" s="3563" t="s">
        <v>4196</v>
      </c>
      <c r="C6306" s="3563" t="s">
        <v>4197</v>
      </c>
      <c r="D6306" s="3563" t="s">
        <v>10228</v>
      </c>
      <c r="E6306" s="3563" t="s">
        <v>4297</v>
      </c>
      <c r="F6306" s="3563" t="s">
        <v>4797</v>
      </c>
      <c r="G6306" s="3564">
        <v>101.02</v>
      </c>
      <c r="H6306" s="3564">
        <v>81.739999999999995</v>
      </c>
      <c r="I6306" s="3564">
        <v>19.28</v>
      </c>
      <c r="J6306" s="3565">
        <v>1106438</v>
      </c>
      <c r="K6306" s="3565">
        <v>10952.66</v>
      </c>
      <c r="L6306" s="3565">
        <v>13536.07</v>
      </c>
      <c r="M6306" s="3565">
        <v>0</v>
      </c>
      <c r="N6306" s="3565">
        <v>0</v>
      </c>
      <c r="O6306" s="3563" t="s">
        <v>3453</v>
      </c>
    </row>
    <row r="6307" spans="1:15">
      <c r="A6307" s="3563" t="s">
        <v>10555</v>
      </c>
      <c r="B6307" s="3563" t="s">
        <v>4196</v>
      </c>
      <c r="C6307" s="3563" t="s">
        <v>4197</v>
      </c>
      <c r="D6307" s="3563" t="s">
        <v>10228</v>
      </c>
      <c r="E6307" s="3563" t="s">
        <v>4297</v>
      </c>
      <c r="F6307" s="3563" t="s">
        <v>4797</v>
      </c>
      <c r="G6307" s="3564">
        <v>123.63</v>
      </c>
      <c r="H6307" s="3564">
        <v>100.03</v>
      </c>
      <c r="I6307" s="3564">
        <v>23.6</v>
      </c>
      <c r="J6307" s="3565">
        <v>1287002</v>
      </c>
      <c r="K6307" s="3565">
        <v>10410.11</v>
      </c>
      <c r="L6307" s="3565">
        <v>12866.16</v>
      </c>
      <c r="M6307" s="3565">
        <v>0</v>
      </c>
      <c r="N6307" s="3565">
        <v>0</v>
      </c>
      <c r="O6307" s="3563" t="s">
        <v>3453</v>
      </c>
    </row>
    <row r="6308" spans="1:15">
      <c r="A6308" s="3563" t="s">
        <v>10556</v>
      </c>
      <c r="B6308" s="3563" t="s">
        <v>4196</v>
      </c>
      <c r="C6308" s="3563" t="s">
        <v>4197</v>
      </c>
      <c r="D6308" s="3563" t="s">
        <v>10228</v>
      </c>
      <c r="E6308" s="3563" t="s">
        <v>4297</v>
      </c>
      <c r="F6308" s="3563" t="s">
        <v>4797</v>
      </c>
      <c r="G6308" s="3564">
        <v>87.75</v>
      </c>
      <c r="H6308" s="3564">
        <v>71</v>
      </c>
      <c r="I6308" s="3564">
        <v>16.75</v>
      </c>
      <c r="J6308" s="3565">
        <v>882681</v>
      </c>
      <c r="K6308" s="3565">
        <v>10059.040000000001</v>
      </c>
      <c r="L6308" s="3565">
        <v>12432.13</v>
      </c>
      <c r="M6308" s="3565">
        <v>0</v>
      </c>
      <c r="N6308" s="3565">
        <v>0</v>
      </c>
      <c r="O6308" s="3563" t="s">
        <v>3453</v>
      </c>
    </row>
    <row r="6309" spans="1:15">
      <c r="A6309" s="3563" t="s">
        <v>10557</v>
      </c>
      <c r="B6309" s="3563" t="s">
        <v>4196</v>
      </c>
      <c r="C6309" s="3563" t="s">
        <v>4197</v>
      </c>
      <c r="D6309" s="3563" t="s">
        <v>10228</v>
      </c>
      <c r="E6309" s="3563" t="s">
        <v>4297</v>
      </c>
      <c r="F6309" s="3563" t="s">
        <v>4797</v>
      </c>
      <c r="G6309" s="3564">
        <v>87.75</v>
      </c>
      <c r="H6309" s="3564">
        <v>71</v>
      </c>
      <c r="I6309" s="3564">
        <v>16.75</v>
      </c>
      <c r="J6309" s="3565">
        <v>882681</v>
      </c>
      <c r="K6309" s="3565">
        <v>10059.040000000001</v>
      </c>
      <c r="L6309" s="3565">
        <v>12432.13</v>
      </c>
      <c r="M6309" s="3565">
        <v>0</v>
      </c>
      <c r="N6309" s="3565">
        <v>0</v>
      </c>
      <c r="O6309" s="3563" t="s">
        <v>3453</v>
      </c>
    </row>
    <row r="6310" spans="1:15">
      <c r="A6310" s="3563" t="s">
        <v>10558</v>
      </c>
      <c r="B6310" s="3563" t="s">
        <v>4196</v>
      </c>
      <c r="C6310" s="3563" t="s">
        <v>4197</v>
      </c>
      <c r="D6310" s="3563" t="s">
        <v>10228</v>
      </c>
      <c r="E6310" s="3563" t="s">
        <v>4297</v>
      </c>
      <c r="F6310" s="3563" t="s">
        <v>4797</v>
      </c>
      <c r="G6310" s="3564">
        <v>101.36</v>
      </c>
      <c r="H6310" s="3564">
        <v>82.01</v>
      </c>
      <c r="I6310" s="3564">
        <v>19.350000000000001</v>
      </c>
      <c r="J6310" s="3565">
        <v>1019585</v>
      </c>
      <c r="K6310" s="3565">
        <v>10059.049999999999</v>
      </c>
      <c r="L6310" s="3565">
        <v>12432.45</v>
      </c>
      <c r="M6310" s="3565">
        <v>0</v>
      </c>
      <c r="N6310" s="3565">
        <v>0</v>
      </c>
      <c r="O6310" s="3563" t="s">
        <v>3453</v>
      </c>
    </row>
    <row r="6311" spans="1:15">
      <c r="A6311" s="3563" t="s">
        <v>10559</v>
      </c>
      <c r="B6311" s="3563" t="s">
        <v>4196</v>
      </c>
      <c r="C6311" s="3563" t="s">
        <v>4197</v>
      </c>
      <c r="D6311" s="3563" t="s">
        <v>10228</v>
      </c>
      <c r="E6311" s="3563" t="s">
        <v>4297</v>
      </c>
      <c r="F6311" s="3563" t="s">
        <v>4797</v>
      </c>
      <c r="G6311" s="3564">
        <v>101.02</v>
      </c>
      <c r="H6311" s="3564">
        <v>81.739999999999995</v>
      </c>
      <c r="I6311" s="3564">
        <v>19.28</v>
      </c>
      <c r="J6311" s="3565">
        <v>1073123</v>
      </c>
      <c r="K6311" s="3565">
        <v>10622.88</v>
      </c>
      <c r="L6311" s="3565">
        <v>13128.49</v>
      </c>
      <c r="M6311" s="3565">
        <v>0</v>
      </c>
      <c r="N6311" s="3565">
        <v>0</v>
      </c>
      <c r="O6311" s="3563" t="s">
        <v>3453</v>
      </c>
    </row>
    <row r="6312" spans="1:15">
      <c r="A6312" s="3563" t="s">
        <v>10560</v>
      </c>
      <c r="B6312" s="3563" t="s">
        <v>4196</v>
      </c>
      <c r="C6312" s="3563" t="s">
        <v>4197</v>
      </c>
      <c r="D6312" s="3563" t="s">
        <v>10228</v>
      </c>
      <c r="E6312" s="3563" t="s">
        <v>4297</v>
      </c>
      <c r="F6312" s="3563" t="s">
        <v>4797</v>
      </c>
      <c r="G6312" s="3564">
        <v>101.02</v>
      </c>
      <c r="H6312" s="3564">
        <v>81.739999999999995</v>
      </c>
      <c r="I6312" s="3564">
        <v>19.28</v>
      </c>
      <c r="J6312" s="3565">
        <v>1073123</v>
      </c>
      <c r="K6312" s="3565">
        <v>10622.88</v>
      </c>
      <c r="L6312" s="3565">
        <v>13128.49</v>
      </c>
      <c r="M6312" s="3565">
        <v>0</v>
      </c>
      <c r="N6312" s="3565">
        <v>0</v>
      </c>
      <c r="O6312" s="3563" t="s">
        <v>3453</v>
      </c>
    </row>
    <row r="6313" spans="1:15">
      <c r="A6313" s="3563" t="s">
        <v>10561</v>
      </c>
      <c r="B6313" s="3563" t="s">
        <v>4196</v>
      </c>
      <c r="C6313" s="3563" t="s">
        <v>4197</v>
      </c>
      <c r="D6313" s="3563" t="s">
        <v>10228</v>
      </c>
      <c r="E6313" s="3563" t="s">
        <v>4297</v>
      </c>
      <c r="F6313" s="3563" t="s">
        <v>4797</v>
      </c>
      <c r="G6313" s="3564">
        <v>123.63</v>
      </c>
      <c r="H6313" s="3564">
        <v>100.03</v>
      </c>
      <c r="I6313" s="3564">
        <v>23.6</v>
      </c>
      <c r="J6313" s="3565">
        <v>1243599</v>
      </c>
      <c r="K6313" s="3565">
        <v>10059.040000000001</v>
      </c>
      <c r="L6313" s="3565">
        <v>12432.26</v>
      </c>
      <c r="M6313" s="3565">
        <v>0</v>
      </c>
      <c r="N6313" s="3565">
        <v>0</v>
      </c>
      <c r="O6313" s="3563" t="s">
        <v>3453</v>
      </c>
    </row>
    <row r="6314" spans="1:15">
      <c r="A6314" s="3563" t="s">
        <v>10562</v>
      </c>
      <c r="B6314" s="3563" t="s">
        <v>4196</v>
      </c>
      <c r="C6314" s="3563" t="s">
        <v>4197</v>
      </c>
      <c r="D6314" s="3563" t="s">
        <v>10228</v>
      </c>
      <c r="E6314" s="3563" t="s">
        <v>4297</v>
      </c>
      <c r="F6314" s="3563" t="s">
        <v>4797</v>
      </c>
      <c r="G6314" s="3564">
        <v>87.75</v>
      </c>
      <c r="H6314" s="3564">
        <v>71</v>
      </c>
      <c r="I6314" s="3564">
        <v>16.75</v>
      </c>
      <c r="J6314" s="3565">
        <v>882681</v>
      </c>
      <c r="K6314" s="3565">
        <v>10059.040000000001</v>
      </c>
      <c r="L6314" s="3565">
        <v>12432.13</v>
      </c>
      <c r="M6314" s="3565">
        <v>0</v>
      </c>
      <c r="N6314" s="3565">
        <v>0</v>
      </c>
      <c r="O6314" s="3563" t="s">
        <v>3453</v>
      </c>
    </row>
    <row r="6315" spans="1:15">
      <c r="A6315" s="3563" t="s">
        <v>10563</v>
      </c>
      <c r="B6315" s="3563" t="s">
        <v>4196</v>
      </c>
      <c r="C6315" s="3563" t="s">
        <v>4197</v>
      </c>
      <c r="D6315" s="3563" t="s">
        <v>10228</v>
      </c>
      <c r="E6315" s="3563" t="s">
        <v>4297</v>
      </c>
      <c r="F6315" s="3563" t="s">
        <v>4797</v>
      </c>
      <c r="G6315" s="3564">
        <v>87.75</v>
      </c>
      <c r="H6315" s="3564">
        <v>71</v>
      </c>
      <c r="I6315" s="3564">
        <v>16.75</v>
      </c>
      <c r="J6315" s="3565">
        <v>882681</v>
      </c>
      <c r="K6315" s="3565">
        <v>10059.040000000001</v>
      </c>
      <c r="L6315" s="3565">
        <v>12432.13</v>
      </c>
      <c r="M6315" s="3565">
        <v>0</v>
      </c>
      <c r="N6315" s="3565">
        <v>0</v>
      </c>
      <c r="O6315" s="3563" t="s">
        <v>3453</v>
      </c>
    </row>
    <row r="6316" spans="1:15">
      <c r="A6316" s="3563" t="s">
        <v>10564</v>
      </c>
      <c r="B6316" s="3563" t="s">
        <v>4196</v>
      </c>
      <c r="C6316" s="3563" t="s">
        <v>4197</v>
      </c>
      <c r="D6316" s="3563" t="s">
        <v>10228</v>
      </c>
      <c r="E6316" s="3563" t="s">
        <v>4297</v>
      </c>
      <c r="F6316" s="3563" t="s">
        <v>4797</v>
      </c>
      <c r="G6316" s="3564">
        <v>101.36</v>
      </c>
      <c r="H6316" s="3564">
        <v>82.01</v>
      </c>
      <c r="I6316" s="3564">
        <v>19.350000000000001</v>
      </c>
      <c r="J6316" s="3565">
        <v>1019585</v>
      </c>
      <c r="K6316" s="3565">
        <v>10059.049999999999</v>
      </c>
      <c r="L6316" s="3565">
        <v>12432.45</v>
      </c>
      <c r="M6316" s="3565">
        <v>0</v>
      </c>
      <c r="N6316" s="3565">
        <v>0</v>
      </c>
      <c r="O6316" s="3563" t="s">
        <v>3453</v>
      </c>
    </row>
    <row r="6317" spans="1:15">
      <c r="A6317" s="3563" t="s">
        <v>10565</v>
      </c>
      <c r="B6317" s="3563" t="s">
        <v>4196</v>
      </c>
      <c r="C6317" s="3563" t="s">
        <v>4197</v>
      </c>
      <c r="D6317" s="3563" t="s">
        <v>10228</v>
      </c>
      <c r="E6317" s="3563" t="s">
        <v>4297</v>
      </c>
      <c r="F6317" s="3563" t="s">
        <v>4797</v>
      </c>
      <c r="G6317" s="3564">
        <v>101.02</v>
      </c>
      <c r="H6317" s="3564">
        <v>81.739999999999995</v>
      </c>
      <c r="I6317" s="3564">
        <v>19.28</v>
      </c>
      <c r="J6317" s="3565">
        <v>1033360</v>
      </c>
      <c r="K6317" s="3565">
        <v>10229.26</v>
      </c>
      <c r="L6317" s="3565">
        <v>12642.04</v>
      </c>
      <c r="M6317" s="3565">
        <v>0</v>
      </c>
      <c r="N6317" s="3565">
        <v>0</v>
      </c>
      <c r="O6317" s="3563" t="s">
        <v>3453</v>
      </c>
    </row>
    <row r="6318" spans="1:15">
      <c r="A6318" s="3563" t="s">
        <v>10566</v>
      </c>
      <c r="B6318" s="3563" t="s">
        <v>4196</v>
      </c>
      <c r="C6318" s="3563" t="s">
        <v>4197</v>
      </c>
      <c r="D6318" s="3563" t="s">
        <v>10228</v>
      </c>
      <c r="E6318" s="3563" t="s">
        <v>4297</v>
      </c>
      <c r="F6318" s="3563" t="s">
        <v>4797</v>
      </c>
      <c r="G6318" s="3564">
        <v>101.02</v>
      </c>
      <c r="H6318" s="3564">
        <v>81.739999999999995</v>
      </c>
      <c r="I6318" s="3564">
        <v>19.28</v>
      </c>
      <c r="J6318" s="3565">
        <v>1033360</v>
      </c>
      <c r="K6318" s="3565">
        <v>10229.26</v>
      </c>
      <c r="L6318" s="3565">
        <v>12642.04</v>
      </c>
      <c r="M6318" s="3565">
        <v>0</v>
      </c>
      <c r="N6318" s="3565">
        <v>0</v>
      </c>
      <c r="O6318" s="3563" t="s">
        <v>3453</v>
      </c>
    </row>
    <row r="6319" spans="1:15">
      <c r="A6319" s="3563" t="s">
        <v>10567</v>
      </c>
      <c r="B6319" s="3563" t="s">
        <v>4196</v>
      </c>
      <c r="C6319" s="3563" t="s">
        <v>4197</v>
      </c>
      <c r="D6319" s="3563" t="s">
        <v>10228</v>
      </c>
      <c r="E6319" s="3563" t="s">
        <v>4297</v>
      </c>
      <c r="F6319" s="3563" t="s">
        <v>4797</v>
      </c>
      <c r="G6319" s="3564">
        <v>123.63</v>
      </c>
      <c r="H6319" s="3564">
        <v>100.03</v>
      </c>
      <c r="I6319" s="3564">
        <v>23.6</v>
      </c>
      <c r="J6319" s="3565">
        <v>1254122</v>
      </c>
      <c r="K6319" s="3565">
        <v>10144.16</v>
      </c>
      <c r="L6319" s="3565">
        <v>12537.46</v>
      </c>
      <c r="M6319" s="3565">
        <v>0</v>
      </c>
      <c r="N6319" s="3565">
        <v>0</v>
      </c>
      <c r="O6319" s="3563" t="s">
        <v>3453</v>
      </c>
    </row>
    <row r="6320" spans="1:15">
      <c r="A6320" s="3563" t="s">
        <v>10568</v>
      </c>
      <c r="B6320" s="3563" t="s">
        <v>4196</v>
      </c>
      <c r="C6320" s="3563" t="s">
        <v>4197</v>
      </c>
      <c r="D6320" s="3563" t="s">
        <v>10228</v>
      </c>
      <c r="E6320" s="3563" t="s">
        <v>4297</v>
      </c>
      <c r="F6320" s="3563" t="s">
        <v>4797</v>
      </c>
      <c r="G6320" s="3564">
        <v>87.75</v>
      </c>
      <c r="H6320" s="3564">
        <v>71</v>
      </c>
      <c r="I6320" s="3564">
        <v>16.75</v>
      </c>
      <c r="J6320" s="3565">
        <v>882681</v>
      </c>
      <c r="K6320" s="3565">
        <v>10059.040000000001</v>
      </c>
      <c r="L6320" s="3565">
        <v>12432.13</v>
      </c>
      <c r="M6320" s="3565">
        <v>0</v>
      </c>
      <c r="N6320" s="3565">
        <v>0</v>
      </c>
      <c r="O6320" s="3563" t="s">
        <v>3453</v>
      </c>
    </row>
    <row r="6321" spans="1:15">
      <c r="A6321" s="3563" t="s">
        <v>10569</v>
      </c>
      <c r="B6321" s="3563" t="s">
        <v>4196</v>
      </c>
      <c r="C6321" s="3563" t="s">
        <v>4197</v>
      </c>
      <c r="D6321" s="3563" t="s">
        <v>10228</v>
      </c>
      <c r="E6321" s="3563" t="s">
        <v>4297</v>
      </c>
      <c r="F6321" s="3563" t="s">
        <v>4797</v>
      </c>
      <c r="G6321" s="3564">
        <v>87.75</v>
      </c>
      <c r="H6321" s="3564">
        <v>71</v>
      </c>
      <c r="I6321" s="3564">
        <v>16.75</v>
      </c>
      <c r="J6321" s="3565">
        <v>882681</v>
      </c>
      <c r="K6321" s="3565">
        <v>10059.040000000001</v>
      </c>
      <c r="L6321" s="3565">
        <v>12432.13</v>
      </c>
      <c r="M6321" s="3565">
        <v>0</v>
      </c>
      <c r="N6321" s="3565">
        <v>0</v>
      </c>
      <c r="O6321" s="3563" t="s">
        <v>3453</v>
      </c>
    </row>
    <row r="6322" spans="1:15">
      <c r="A6322" s="3563" t="s">
        <v>10570</v>
      </c>
      <c r="B6322" s="3563" t="s">
        <v>4196</v>
      </c>
      <c r="C6322" s="3563" t="s">
        <v>4197</v>
      </c>
      <c r="D6322" s="3563" t="s">
        <v>10228</v>
      </c>
      <c r="E6322" s="3563" t="s">
        <v>4297</v>
      </c>
      <c r="F6322" s="3563" t="s">
        <v>4797</v>
      </c>
      <c r="G6322" s="3564">
        <v>101.36</v>
      </c>
      <c r="H6322" s="3564">
        <v>82.01</v>
      </c>
      <c r="I6322" s="3564">
        <v>19.350000000000001</v>
      </c>
      <c r="J6322" s="3565">
        <v>1019585</v>
      </c>
      <c r="K6322" s="3565">
        <v>10059.049999999999</v>
      </c>
      <c r="L6322" s="3565">
        <v>12432.45</v>
      </c>
      <c r="M6322" s="3565">
        <v>0</v>
      </c>
      <c r="N6322" s="3565">
        <v>0</v>
      </c>
      <c r="O6322" s="3563" t="s">
        <v>3453</v>
      </c>
    </row>
    <row r="6323" spans="1:15">
      <c r="A6323" s="3563" t="s">
        <v>10571</v>
      </c>
      <c r="B6323" s="3563" t="s">
        <v>4196</v>
      </c>
      <c r="C6323" s="3563" t="s">
        <v>4197</v>
      </c>
      <c r="D6323" s="3563" t="s">
        <v>10228</v>
      </c>
      <c r="E6323" s="3563" t="s">
        <v>4297</v>
      </c>
      <c r="F6323" s="3563" t="s">
        <v>4797</v>
      </c>
      <c r="G6323" s="3564">
        <v>101.02</v>
      </c>
      <c r="H6323" s="3564">
        <v>81.739999999999995</v>
      </c>
      <c r="I6323" s="3564">
        <v>19.28</v>
      </c>
      <c r="J6323" s="3565">
        <v>1046256</v>
      </c>
      <c r="K6323" s="3565">
        <v>10356.92</v>
      </c>
      <c r="L6323" s="3565">
        <v>12799.8</v>
      </c>
      <c r="M6323" s="3565">
        <v>0</v>
      </c>
      <c r="N6323" s="3565">
        <v>0</v>
      </c>
      <c r="O6323" s="3563" t="s">
        <v>3453</v>
      </c>
    </row>
    <row r="6324" spans="1:15">
      <c r="A6324" s="3563" t="s">
        <v>10572</v>
      </c>
      <c r="B6324" s="3563" t="s">
        <v>4196</v>
      </c>
      <c r="C6324" s="3563" t="s">
        <v>4197</v>
      </c>
      <c r="D6324" s="3563" t="s">
        <v>10228</v>
      </c>
      <c r="E6324" s="3563" t="s">
        <v>4297</v>
      </c>
      <c r="F6324" s="3563" t="s">
        <v>4797</v>
      </c>
      <c r="G6324" s="3564">
        <v>101.02</v>
      </c>
      <c r="H6324" s="3564">
        <v>81.739999999999995</v>
      </c>
      <c r="I6324" s="3564">
        <v>19.28</v>
      </c>
      <c r="J6324" s="3565">
        <v>1046256</v>
      </c>
      <c r="K6324" s="3565">
        <v>10356.92</v>
      </c>
      <c r="L6324" s="3565">
        <v>12799.8</v>
      </c>
      <c r="M6324" s="3565">
        <v>0</v>
      </c>
      <c r="N6324" s="3565">
        <v>0</v>
      </c>
      <c r="O6324" s="3563" t="s">
        <v>3453</v>
      </c>
    </row>
    <row r="6325" spans="1:15">
      <c r="A6325" s="3563" t="s">
        <v>10573</v>
      </c>
      <c r="B6325" s="3563" t="s">
        <v>4196</v>
      </c>
      <c r="C6325" s="3563" t="s">
        <v>4197</v>
      </c>
      <c r="D6325" s="3563" t="s">
        <v>10228</v>
      </c>
      <c r="E6325" s="3563" t="s">
        <v>4297</v>
      </c>
      <c r="F6325" s="3563" t="s">
        <v>4797</v>
      </c>
      <c r="G6325" s="3564">
        <v>123.63</v>
      </c>
      <c r="H6325" s="3564">
        <v>100.03</v>
      </c>
      <c r="I6325" s="3564">
        <v>23.6</v>
      </c>
      <c r="J6325" s="3565">
        <v>1269904</v>
      </c>
      <c r="K6325" s="3565">
        <v>10271.81</v>
      </c>
      <c r="L6325" s="3565">
        <v>12695.23</v>
      </c>
      <c r="M6325" s="3565">
        <v>0</v>
      </c>
      <c r="N6325" s="3565">
        <v>0</v>
      </c>
      <c r="O6325" s="3563" t="s">
        <v>3453</v>
      </c>
    </row>
    <row r="6326" spans="1:15">
      <c r="A6326" s="3563" t="s">
        <v>10574</v>
      </c>
      <c r="B6326" s="3563" t="s">
        <v>4196</v>
      </c>
      <c r="C6326" s="3563" t="s">
        <v>4197</v>
      </c>
      <c r="D6326" s="3563" t="s">
        <v>10228</v>
      </c>
      <c r="E6326" s="3563" t="s">
        <v>4297</v>
      </c>
      <c r="F6326" s="3563" t="s">
        <v>4797</v>
      </c>
      <c r="G6326" s="3564">
        <v>87.75</v>
      </c>
      <c r="H6326" s="3564">
        <v>71</v>
      </c>
      <c r="I6326" s="3564">
        <v>16.75</v>
      </c>
      <c r="J6326" s="3565">
        <v>887349</v>
      </c>
      <c r="K6326" s="3565">
        <v>10112.24</v>
      </c>
      <c r="L6326" s="3565">
        <v>12497.87</v>
      </c>
      <c r="M6326" s="3565">
        <v>0</v>
      </c>
      <c r="N6326" s="3565">
        <v>0</v>
      </c>
      <c r="O6326" s="3563" t="s">
        <v>3453</v>
      </c>
    </row>
    <row r="6327" spans="1:15">
      <c r="A6327" s="3563" t="s">
        <v>10575</v>
      </c>
      <c r="B6327" s="3563" t="s">
        <v>4196</v>
      </c>
      <c r="C6327" s="3563" t="s">
        <v>4197</v>
      </c>
      <c r="D6327" s="3563" t="s">
        <v>10228</v>
      </c>
      <c r="E6327" s="3563" t="s">
        <v>4297</v>
      </c>
      <c r="F6327" s="3563" t="s">
        <v>4797</v>
      </c>
      <c r="G6327" s="3564">
        <v>87.75</v>
      </c>
      <c r="H6327" s="3564">
        <v>71</v>
      </c>
      <c r="I6327" s="3564">
        <v>16.75</v>
      </c>
      <c r="J6327" s="3565">
        <v>887349</v>
      </c>
      <c r="K6327" s="3565">
        <v>10112.24</v>
      </c>
      <c r="L6327" s="3565">
        <v>12497.87</v>
      </c>
      <c r="M6327" s="3565">
        <v>0</v>
      </c>
      <c r="N6327" s="3565">
        <v>0</v>
      </c>
      <c r="O6327" s="3563" t="s">
        <v>3453</v>
      </c>
    </row>
    <row r="6328" spans="1:15">
      <c r="A6328" s="3563" t="s">
        <v>10576</v>
      </c>
      <c r="B6328" s="3563" t="s">
        <v>4196</v>
      </c>
      <c r="C6328" s="3563" t="s">
        <v>4197</v>
      </c>
      <c r="D6328" s="3563" t="s">
        <v>10228</v>
      </c>
      <c r="E6328" s="3563" t="s">
        <v>4297</v>
      </c>
      <c r="F6328" s="3563" t="s">
        <v>4797</v>
      </c>
      <c r="G6328" s="3564">
        <v>101.36</v>
      </c>
      <c r="H6328" s="3564">
        <v>82.01</v>
      </c>
      <c r="I6328" s="3564">
        <v>19.350000000000001</v>
      </c>
      <c r="J6328" s="3565">
        <v>1019585</v>
      </c>
      <c r="K6328" s="3565">
        <v>10059.049999999999</v>
      </c>
      <c r="L6328" s="3565">
        <v>12432.45</v>
      </c>
      <c r="M6328" s="3565">
        <v>0</v>
      </c>
      <c r="N6328" s="3565">
        <v>0</v>
      </c>
      <c r="O6328" s="3563" t="s">
        <v>3453</v>
      </c>
    </row>
    <row r="6329" spans="1:15">
      <c r="A6329" s="3563" t="s">
        <v>10577</v>
      </c>
      <c r="B6329" s="3563" t="s">
        <v>4196</v>
      </c>
      <c r="C6329" s="3563" t="s">
        <v>4197</v>
      </c>
      <c r="D6329" s="3563" t="s">
        <v>10228</v>
      </c>
      <c r="E6329" s="3563" t="s">
        <v>4297</v>
      </c>
      <c r="F6329" s="3563" t="s">
        <v>4797</v>
      </c>
      <c r="G6329" s="3564">
        <v>101.02</v>
      </c>
      <c r="H6329" s="3564">
        <v>81.739999999999995</v>
      </c>
      <c r="I6329" s="3564">
        <v>19.28</v>
      </c>
      <c r="J6329" s="3565">
        <v>1059153</v>
      </c>
      <c r="K6329" s="3565">
        <v>10484.59</v>
      </c>
      <c r="L6329" s="3565">
        <v>12957.59</v>
      </c>
      <c r="M6329" s="3565">
        <v>0</v>
      </c>
      <c r="N6329" s="3565">
        <v>0</v>
      </c>
      <c r="O6329" s="3563" t="s">
        <v>3453</v>
      </c>
    </row>
    <row r="6330" spans="1:15">
      <c r="A6330" s="3563" t="s">
        <v>10578</v>
      </c>
      <c r="B6330" s="3563" t="s">
        <v>4196</v>
      </c>
      <c r="C6330" s="3563" t="s">
        <v>4197</v>
      </c>
      <c r="D6330" s="3563" t="s">
        <v>10228</v>
      </c>
      <c r="E6330" s="3563" t="s">
        <v>4297</v>
      </c>
      <c r="F6330" s="3563" t="s">
        <v>4797</v>
      </c>
      <c r="G6330" s="3564">
        <v>101.02</v>
      </c>
      <c r="H6330" s="3564">
        <v>81.739999999999995</v>
      </c>
      <c r="I6330" s="3564">
        <v>19.28</v>
      </c>
      <c r="J6330" s="3565">
        <v>1059153</v>
      </c>
      <c r="K6330" s="3565">
        <v>10484.59</v>
      </c>
      <c r="L6330" s="3565">
        <v>12957.59</v>
      </c>
      <c r="M6330" s="3565">
        <v>0</v>
      </c>
      <c r="N6330" s="3565">
        <v>0</v>
      </c>
      <c r="O6330" s="3563" t="s">
        <v>3453</v>
      </c>
    </row>
    <row r="6331" spans="1:15">
      <c r="A6331" s="3563" t="s">
        <v>10579</v>
      </c>
      <c r="B6331" s="3563" t="s">
        <v>4196</v>
      </c>
      <c r="C6331" s="3563" t="s">
        <v>4197</v>
      </c>
      <c r="D6331" s="3563" t="s">
        <v>10228</v>
      </c>
      <c r="E6331" s="3563" t="s">
        <v>4297</v>
      </c>
      <c r="F6331" s="3563" t="s">
        <v>4797</v>
      </c>
      <c r="G6331" s="3564">
        <v>123.63</v>
      </c>
      <c r="H6331" s="3564">
        <v>100.03</v>
      </c>
      <c r="I6331" s="3564">
        <v>23.6</v>
      </c>
      <c r="J6331" s="3565">
        <v>1271220</v>
      </c>
      <c r="K6331" s="3565">
        <v>10282.459999999999</v>
      </c>
      <c r="L6331" s="3565">
        <v>12708.39</v>
      </c>
      <c r="M6331" s="3565">
        <v>0</v>
      </c>
      <c r="N6331" s="3565">
        <v>0</v>
      </c>
      <c r="O6331" s="3563" t="s">
        <v>3453</v>
      </c>
    </row>
    <row r="6332" spans="1:15">
      <c r="A6332" s="3563" t="s">
        <v>10580</v>
      </c>
      <c r="B6332" s="3563" t="s">
        <v>4196</v>
      </c>
      <c r="C6332" s="3563" t="s">
        <v>4197</v>
      </c>
      <c r="D6332" s="3563" t="s">
        <v>10228</v>
      </c>
      <c r="E6332" s="3563" t="s">
        <v>4297</v>
      </c>
      <c r="F6332" s="3563" t="s">
        <v>4797</v>
      </c>
      <c r="G6332" s="3564">
        <v>87.75</v>
      </c>
      <c r="H6332" s="3564">
        <v>71</v>
      </c>
      <c r="I6332" s="3564">
        <v>16.75</v>
      </c>
      <c r="J6332" s="3565">
        <v>888282</v>
      </c>
      <c r="K6332" s="3565">
        <v>10122.870000000001</v>
      </c>
      <c r="L6332" s="3565">
        <v>12511.01</v>
      </c>
      <c r="M6332" s="3565">
        <v>0</v>
      </c>
      <c r="N6332" s="3565">
        <v>0</v>
      </c>
      <c r="O6332" s="3563" t="s">
        <v>3453</v>
      </c>
    </row>
    <row r="6333" spans="1:15">
      <c r="A6333" s="3563" t="s">
        <v>10581</v>
      </c>
      <c r="B6333" s="3563" t="s">
        <v>4196</v>
      </c>
      <c r="C6333" s="3563" t="s">
        <v>4197</v>
      </c>
      <c r="D6333" s="3563" t="s">
        <v>10228</v>
      </c>
      <c r="E6333" s="3563" t="s">
        <v>4297</v>
      </c>
      <c r="F6333" s="3563" t="s">
        <v>4797</v>
      </c>
      <c r="G6333" s="3564">
        <v>87.75</v>
      </c>
      <c r="H6333" s="3564">
        <v>71</v>
      </c>
      <c r="I6333" s="3564">
        <v>16.75</v>
      </c>
      <c r="J6333" s="3565">
        <v>888282</v>
      </c>
      <c r="K6333" s="3565">
        <v>10122.870000000001</v>
      </c>
      <c r="L6333" s="3565">
        <v>12511.01</v>
      </c>
      <c r="M6333" s="3565">
        <v>0</v>
      </c>
      <c r="N6333" s="3565">
        <v>0</v>
      </c>
      <c r="O6333" s="3563" t="s">
        <v>3453</v>
      </c>
    </row>
    <row r="6334" spans="1:15">
      <c r="A6334" s="3563" t="s">
        <v>10582</v>
      </c>
      <c r="B6334" s="3563" t="s">
        <v>4196</v>
      </c>
      <c r="C6334" s="3563" t="s">
        <v>4197</v>
      </c>
      <c r="D6334" s="3563" t="s">
        <v>10228</v>
      </c>
      <c r="E6334" s="3563" t="s">
        <v>4297</v>
      </c>
      <c r="F6334" s="3563" t="s">
        <v>4797</v>
      </c>
      <c r="G6334" s="3564">
        <v>101.36</v>
      </c>
      <c r="H6334" s="3564">
        <v>82.01</v>
      </c>
      <c r="I6334" s="3564">
        <v>19.350000000000001</v>
      </c>
      <c r="J6334" s="3565">
        <v>1019585</v>
      </c>
      <c r="K6334" s="3565">
        <v>10059.049999999999</v>
      </c>
      <c r="L6334" s="3565">
        <v>12432.45</v>
      </c>
      <c r="M6334" s="3565">
        <v>0</v>
      </c>
      <c r="N6334" s="3565">
        <v>0</v>
      </c>
      <c r="O6334" s="3563" t="s">
        <v>3453</v>
      </c>
    </row>
    <row r="6335" spans="1:15">
      <c r="A6335" s="3563" t="s">
        <v>10583</v>
      </c>
      <c r="B6335" s="3563" t="s">
        <v>4196</v>
      </c>
      <c r="C6335" s="3563" t="s">
        <v>4197</v>
      </c>
      <c r="D6335" s="3563" t="s">
        <v>10228</v>
      </c>
      <c r="E6335" s="3563" t="s">
        <v>4297</v>
      </c>
      <c r="F6335" s="3563" t="s">
        <v>4797</v>
      </c>
      <c r="G6335" s="3564">
        <v>101.02</v>
      </c>
      <c r="H6335" s="3564">
        <v>81.739999999999995</v>
      </c>
      <c r="I6335" s="3564">
        <v>19.28</v>
      </c>
      <c r="J6335" s="3565">
        <v>1060227</v>
      </c>
      <c r="K6335" s="3565">
        <v>10495.22</v>
      </c>
      <c r="L6335" s="3565">
        <v>12970.72</v>
      </c>
      <c r="M6335" s="3565">
        <v>0</v>
      </c>
      <c r="N6335" s="3565">
        <v>0</v>
      </c>
      <c r="O6335" s="3563" t="s">
        <v>3453</v>
      </c>
    </row>
    <row r="6336" spans="1:15">
      <c r="A6336" s="3563" t="s">
        <v>10584</v>
      </c>
      <c r="B6336" s="3563" t="s">
        <v>4196</v>
      </c>
      <c r="C6336" s="3563" t="s">
        <v>4197</v>
      </c>
      <c r="D6336" s="3563" t="s">
        <v>10228</v>
      </c>
      <c r="E6336" s="3563" t="s">
        <v>4297</v>
      </c>
      <c r="F6336" s="3563" t="s">
        <v>4797</v>
      </c>
      <c r="G6336" s="3564">
        <v>101.02</v>
      </c>
      <c r="H6336" s="3564">
        <v>81.739999999999995</v>
      </c>
      <c r="I6336" s="3564">
        <v>19.28</v>
      </c>
      <c r="J6336" s="3565">
        <v>1060227</v>
      </c>
      <c r="K6336" s="3565">
        <v>10495.22</v>
      </c>
      <c r="L6336" s="3565">
        <v>12970.72</v>
      </c>
      <c r="M6336" s="3565">
        <v>0</v>
      </c>
      <c r="N6336" s="3565">
        <v>0</v>
      </c>
      <c r="O6336" s="3563" t="s">
        <v>3453</v>
      </c>
    </row>
    <row r="6337" spans="1:15">
      <c r="A6337" s="3563" t="s">
        <v>10585</v>
      </c>
      <c r="B6337" s="3563" t="s">
        <v>4196</v>
      </c>
      <c r="C6337" s="3563" t="s">
        <v>4197</v>
      </c>
      <c r="D6337" s="3563" t="s">
        <v>10228</v>
      </c>
      <c r="E6337" s="3563" t="s">
        <v>4297</v>
      </c>
      <c r="F6337" s="3563" t="s">
        <v>4797</v>
      </c>
      <c r="G6337" s="3564">
        <v>123.63</v>
      </c>
      <c r="H6337" s="3564">
        <v>100.03</v>
      </c>
      <c r="I6337" s="3564">
        <v>23.6</v>
      </c>
      <c r="J6337" s="3565">
        <v>1325143</v>
      </c>
      <c r="K6337" s="3565">
        <v>10718.62</v>
      </c>
      <c r="L6337" s="3565">
        <v>13247.46</v>
      </c>
      <c r="M6337" s="3565">
        <v>0</v>
      </c>
      <c r="N6337" s="3565">
        <v>0</v>
      </c>
      <c r="O6337" s="3563" t="s">
        <v>3453</v>
      </c>
    </row>
    <row r="6338" spans="1:15">
      <c r="A6338" s="3563" t="s">
        <v>10586</v>
      </c>
      <c r="B6338" s="3563" t="s">
        <v>4196</v>
      </c>
      <c r="C6338" s="3563" t="s">
        <v>4197</v>
      </c>
      <c r="D6338" s="3563" t="s">
        <v>10228</v>
      </c>
      <c r="E6338" s="3563" t="s">
        <v>4297</v>
      </c>
      <c r="F6338" s="3563" t="s">
        <v>4797</v>
      </c>
      <c r="G6338" s="3564">
        <v>87.75</v>
      </c>
      <c r="H6338" s="3564">
        <v>71</v>
      </c>
      <c r="I6338" s="3564">
        <v>16.75</v>
      </c>
      <c r="J6338" s="3565">
        <v>898552</v>
      </c>
      <c r="K6338" s="3565">
        <v>10239.91</v>
      </c>
      <c r="L6338" s="3565">
        <v>12655.66</v>
      </c>
      <c r="M6338" s="3565">
        <v>0</v>
      </c>
      <c r="N6338" s="3565">
        <v>0</v>
      </c>
      <c r="O6338" s="3563" t="s">
        <v>3453</v>
      </c>
    </row>
    <row r="6339" spans="1:15">
      <c r="A6339" s="3563" t="s">
        <v>10587</v>
      </c>
      <c r="B6339" s="3563" t="s">
        <v>4196</v>
      </c>
      <c r="C6339" s="3563" t="s">
        <v>4197</v>
      </c>
      <c r="D6339" s="3563" t="s">
        <v>10228</v>
      </c>
      <c r="E6339" s="3563" t="s">
        <v>4297</v>
      </c>
      <c r="F6339" s="3563" t="s">
        <v>4797</v>
      </c>
      <c r="G6339" s="3564">
        <v>87.75</v>
      </c>
      <c r="H6339" s="3564">
        <v>71</v>
      </c>
      <c r="I6339" s="3564">
        <v>16.75</v>
      </c>
      <c r="J6339" s="3565">
        <v>898552</v>
      </c>
      <c r="K6339" s="3565">
        <v>10239.91</v>
      </c>
      <c r="L6339" s="3565">
        <v>12655.66</v>
      </c>
      <c r="M6339" s="3565">
        <v>0</v>
      </c>
      <c r="N6339" s="3565">
        <v>0</v>
      </c>
      <c r="O6339" s="3563" t="s">
        <v>3453</v>
      </c>
    </row>
    <row r="6340" spans="1:15">
      <c r="A6340" s="3563" t="s">
        <v>10588</v>
      </c>
      <c r="B6340" s="3563" t="s">
        <v>4196</v>
      </c>
      <c r="C6340" s="3563" t="s">
        <v>4197</v>
      </c>
      <c r="D6340" s="3563" t="s">
        <v>10228</v>
      </c>
      <c r="E6340" s="3563" t="s">
        <v>4297</v>
      </c>
      <c r="F6340" s="3563" t="s">
        <v>4797</v>
      </c>
      <c r="G6340" s="3564">
        <v>101.36</v>
      </c>
      <c r="H6340" s="3564">
        <v>82.01</v>
      </c>
      <c r="I6340" s="3564">
        <v>19.350000000000001</v>
      </c>
      <c r="J6340" s="3565">
        <v>1027133</v>
      </c>
      <c r="K6340" s="3565">
        <v>10133.51</v>
      </c>
      <c r="L6340" s="3565">
        <v>12524.48</v>
      </c>
      <c r="M6340" s="3565">
        <v>0</v>
      </c>
      <c r="N6340" s="3565">
        <v>0</v>
      </c>
      <c r="O6340" s="3563" t="s">
        <v>3453</v>
      </c>
    </row>
    <row r="6341" spans="1:15">
      <c r="A6341" s="3563" t="s">
        <v>10589</v>
      </c>
      <c r="B6341" s="3563" t="s">
        <v>4196</v>
      </c>
      <c r="C6341" s="3563" t="s">
        <v>4197</v>
      </c>
      <c r="D6341" s="3563" t="s">
        <v>10228</v>
      </c>
      <c r="E6341" s="3563" t="s">
        <v>4297</v>
      </c>
      <c r="F6341" s="3563" t="s">
        <v>4797</v>
      </c>
      <c r="G6341" s="3564">
        <v>101.02</v>
      </c>
      <c r="H6341" s="3564">
        <v>81.739999999999995</v>
      </c>
      <c r="I6341" s="3564">
        <v>19.28</v>
      </c>
      <c r="J6341" s="3565">
        <v>1104289</v>
      </c>
      <c r="K6341" s="3565">
        <v>10931.39</v>
      </c>
      <c r="L6341" s="3565">
        <v>13509.77</v>
      </c>
      <c r="M6341" s="3565">
        <v>0</v>
      </c>
      <c r="N6341" s="3565">
        <v>0</v>
      </c>
      <c r="O6341" s="3563" t="s">
        <v>3453</v>
      </c>
    </row>
    <row r="6342" spans="1:15">
      <c r="A6342" s="3563" t="s">
        <v>10590</v>
      </c>
      <c r="B6342" s="3563" t="s">
        <v>4196</v>
      </c>
      <c r="C6342" s="3563" t="s">
        <v>4197</v>
      </c>
      <c r="D6342" s="3563" t="s">
        <v>10228</v>
      </c>
      <c r="E6342" s="3563" t="s">
        <v>4297</v>
      </c>
      <c r="F6342" s="3563" t="s">
        <v>4797</v>
      </c>
      <c r="G6342" s="3564">
        <v>101.02</v>
      </c>
      <c r="H6342" s="3564">
        <v>81.739999999999995</v>
      </c>
      <c r="I6342" s="3564">
        <v>19.28</v>
      </c>
      <c r="J6342" s="3565">
        <v>1104289</v>
      </c>
      <c r="K6342" s="3565">
        <v>10931.39</v>
      </c>
      <c r="L6342" s="3565">
        <v>13509.77</v>
      </c>
      <c r="M6342" s="3565">
        <v>0</v>
      </c>
      <c r="N6342" s="3565">
        <v>0</v>
      </c>
      <c r="O6342" s="3563" t="s">
        <v>3453</v>
      </c>
    </row>
    <row r="6343" spans="1:15">
      <c r="A6343" s="3563" t="s">
        <v>10591</v>
      </c>
      <c r="B6343" s="3563" t="s">
        <v>4196</v>
      </c>
      <c r="C6343" s="3563" t="s">
        <v>4197</v>
      </c>
      <c r="D6343" s="3563" t="s">
        <v>10228</v>
      </c>
      <c r="E6343" s="3563" t="s">
        <v>4297</v>
      </c>
      <c r="F6343" s="3563" t="s">
        <v>4797</v>
      </c>
      <c r="G6343" s="3564">
        <v>123.63</v>
      </c>
      <c r="H6343" s="3564">
        <v>100.03</v>
      </c>
      <c r="I6343" s="3564">
        <v>23.6</v>
      </c>
      <c r="J6343" s="3565">
        <v>1326458</v>
      </c>
      <c r="K6343" s="3565">
        <v>10729.26</v>
      </c>
      <c r="L6343" s="3565">
        <v>13260.6</v>
      </c>
      <c r="M6343" s="3565">
        <v>0</v>
      </c>
      <c r="N6343" s="3565">
        <v>0</v>
      </c>
      <c r="O6343" s="3563" t="s">
        <v>3453</v>
      </c>
    </row>
    <row r="6344" spans="1:15">
      <c r="A6344" s="3563" t="s">
        <v>10592</v>
      </c>
      <c r="B6344" s="3563" t="s">
        <v>4196</v>
      </c>
      <c r="C6344" s="3563" t="s">
        <v>4197</v>
      </c>
      <c r="D6344" s="3563" t="s">
        <v>10228</v>
      </c>
      <c r="E6344" s="3563" t="s">
        <v>4297</v>
      </c>
      <c r="F6344" s="3563" t="s">
        <v>4797</v>
      </c>
      <c r="G6344" s="3564">
        <v>87.75</v>
      </c>
      <c r="H6344" s="3564">
        <v>71</v>
      </c>
      <c r="I6344" s="3564">
        <v>16.75</v>
      </c>
      <c r="J6344" s="3565">
        <v>899485</v>
      </c>
      <c r="K6344" s="3565">
        <v>10250.540000000001</v>
      </c>
      <c r="L6344" s="3565">
        <v>12668.8</v>
      </c>
      <c r="M6344" s="3565">
        <v>0</v>
      </c>
      <c r="N6344" s="3565">
        <v>0</v>
      </c>
      <c r="O6344" s="3563" t="s">
        <v>3453</v>
      </c>
    </row>
    <row r="6345" spans="1:15">
      <c r="A6345" s="3563" t="s">
        <v>10593</v>
      </c>
      <c r="B6345" s="3563" t="s">
        <v>4196</v>
      </c>
      <c r="C6345" s="3563" t="s">
        <v>4197</v>
      </c>
      <c r="D6345" s="3563" t="s">
        <v>10228</v>
      </c>
      <c r="E6345" s="3563" t="s">
        <v>4297</v>
      </c>
      <c r="F6345" s="3563" t="s">
        <v>4797</v>
      </c>
      <c r="G6345" s="3564">
        <v>87.75</v>
      </c>
      <c r="H6345" s="3564">
        <v>71</v>
      </c>
      <c r="I6345" s="3564">
        <v>16.75</v>
      </c>
      <c r="J6345" s="3565">
        <v>899485</v>
      </c>
      <c r="K6345" s="3565">
        <v>10250.540000000001</v>
      </c>
      <c r="L6345" s="3565">
        <v>12668.8</v>
      </c>
      <c r="M6345" s="3565">
        <v>0</v>
      </c>
      <c r="N6345" s="3565">
        <v>0</v>
      </c>
      <c r="O6345" s="3563" t="s">
        <v>3453</v>
      </c>
    </row>
    <row r="6346" spans="1:15">
      <c r="A6346" s="3563" t="s">
        <v>10594</v>
      </c>
      <c r="B6346" s="3563" t="s">
        <v>4196</v>
      </c>
      <c r="C6346" s="3563" t="s">
        <v>4197</v>
      </c>
      <c r="D6346" s="3563" t="s">
        <v>10228</v>
      </c>
      <c r="E6346" s="3563" t="s">
        <v>4297</v>
      </c>
      <c r="F6346" s="3563" t="s">
        <v>4797</v>
      </c>
      <c r="G6346" s="3564">
        <v>101.36</v>
      </c>
      <c r="H6346" s="3564">
        <v>82.01</v>
      </c>
      <c r="I6346" s="3564">
        <v>19.350000000000001</v>
      </c>
      <c r="J6346" s="3565">
        <v>1028211</v>
      </c>
      <c r="K6346" s="3565">
        <v>10144.15</v>
      </c>
      <c r="L6346" s="3565">
        <v>12537.63</v>
      </c>
      <c r="M6346" s="3565">
        <v>0</v>
      </c>
      <c r="N6346" s="3565">
        <v>0</v>
      </c>
      <c r="O6346" s="3563" t="s">
        <v>3453</v>
      </c>
    </row>
    <row r="6347" spans="1:15">
      <c r="A6347" s="3563" t="s">
        <v>10595</v>
      </c>
      <c r="B6347" s="3563" t="s">
        <v>4196</v>
      </c>
      <c r="C6347" s="3563" t="s">
        <v>4197</v>
      </c>
      <c r="D6347" s="3563" t="s">
        <v>10228</v>
      </c>
      <c r="E6347" s="3563" t="s">
        <v>4297</v>
      </c>
      <c r="F6347" s="3563" t="s">
        <v>4797</v>
      </c>
      <c r="G6347" s="3564">
        <v>101.02</v>
      </c>
      <c r="H6347" s="3564">
        <v>81.739999999999995</v>
      </c>
      <c r="I6347" s="3564">
        <v>19.28</v>
      </c>
      <c r="J6347" s="3565">
        <v>1105363</v>
      </c>
      <c r="K6347" s="3565">
        <v>10942.02</v>
      </c>
      <c r="L6347" s="3565">
        <v>13522.91</v>
      </c>
      <c r="M6347" s="3565">
        <v>0</v>
      </c>
      <c r="N6347" s="3565">
        <v>0</v>
      </c>
      <c r="O6347" s="3563" t="s">
        <v>3453</v>
      </c>
    </row>
    <row r="6348" spans="1:15">
      <c r="A6348" s="3563" t="s">
        <v>10596</v>
      </c>
      <c r="B6348" s="3563" t="s">
        <v>4196</v>
      </c>
      <c r="C6348" s="3563" t="s">
        <v>4197</v>
      </c>
      <c r="D6348" s="3563" t="s">
        <v>10228</v>
      </c>
      <c r="E6348" s="3563" t="s">
        <v>4297</v>
      </c>
      <c r="F6348" s="3563" t="s">
        <v>4797</v>
      </c>
      <c r="G6348" s="3564">
        <v>101.02</v>
      </c>
      <c r="H6348" s="3564">
        <v>81.739999999999995</v>
      </c>
      <c r="I6348" s="3564">
        <v>19.28</v>
      </c>
      <c r="J6348" s="3565">
        <v>1105363</v>
      </c>
      <c r="K6348" s="3565">
        <v>10942.02</v>
      </c>
      <c r="L6348" s="3565">
        <v>13522.91</v>
      </c>
      <c r="M6348" s="3565">
        <v>0</v>
      </c>
      <c r="N6348" s="3565">
        <v>0</v>
      </c>
      <c r="O6348" s="3563" t="s">
        <v>3453</v>
      </c>
    </row>
    <row r="6349" spans="1:15">
      <c r="A6349" s="3563" t="s">
        <v>10597</v>
      </c>
      <c r="B6349" s="3563" t="s">
        <v>4196</v>
      </c>
      <c r="C6349" s="3563" t="s">
        <v>4197</v>
      </c>
      <c r="D6349" s="3563" t="s">
        <v>10228</v>
      </c>
      <c r="E6349" s="3563" t="s">
        <v>4297</v>
      </c>
      <c r="F6349" s="3563" t="s">
        <v>4797</v>
      </c>
      <c r="G6349" s="3564">
        <v>123.63</v>
      </c>
      <c r="H6349" s="3564">
        <v>100.03</v>
      </c>
      <c r="I6349" s="3564">
        <v>23.6</v>
      </c>
      <c r="J6349" s="3565">
        <v>1327774</v>
      </c>
      <c r="K6349" s="3565">
        <v>10739.9</v>
      </c>
      <c r="L6349" s="3565">
        <v>13273.76</v>
      </c>
      <c r="M6349" s="3565">
        <v>0</v>
      </c>
      <c r="N6349" s="3565">
        <v>0</v>
      </c>
      <c r="O6349" s="3563" t="s">
        <v>3453</v>
      </c>
    </row>
    <row r="6350" spans="1:15">
      <c r="A6350" s="3563" t="s">
        <v>10598</v>
      </c>
      <c r="B6350" s="3563" t="s">
        <v>4196</v>
      </c>
      <c r="C6350" s="3563" t="s">
        <v>4197</v>
      </c>
      <c r="D6350" s="3563" t="s">
        <v>10228</v>
      </c>
      <c r="E6350" s="3563" t="s">
        <v>4297</v>
      </c>
      <c r="F6350" s="3563" t="s">
        <v>4797</v>
      </c>
      <c r="G6350" s="3564">
        <v>87.75</v>
      </c>
      <c r="H6350" s="3564">
        <v>71</v>
      </c>
      <c r="I6350" s="3564">
        <v>16.75</v>
      </c>
      <c r="J6350" s="3565">
        <v>900419</v>
      </c>
      <c r="K6350" s="3565">
        <v>10261.19</v>
      </c>
      <c r="L6350" s="3565">
        <v>12681.96</v>
      </c>
      <c r="M6350" s="3565">
        <v>0</v>
      </c>
      <c r="N6350" s="3565">
        <v>0</v>
      </c>
      <c r="O6350" s="3563" t="s">
        <v>3453</v>
      </c>
    </row>
    <row r="6351" spans="1:15">
      <c r="A6351" s="3563" t="s">
        <v>10599</v>
      </c>
      <c r="B6351" s="3563" t="s">
        <v>4196</v>
      </c>
      <c r="C6351" s="3563" t="s">
        <v>4197</v>
      </c>
      <c r="D6351" s="3563" t="s">
        <v>10228</v>
      </c>
      <c r="E6351" s="3563" t="s">
        <v>4297</v>
      </c>
      <c r="F6351" s="3563" t="s">
        <v>4797</v>
      </c>
      <c r="G6351" s="3564">
        <v>87.75</v>
      </c>
      <c r="H6351" s="3564">
        <v>71</v>
      </c>
      <c r="I6351" s="3564">
        <v>16.75</v>
      </c>
      <c r="J6351" s="3565">
        <v>900419</v>
      </c>
      <c r="K6351" s="3565">
        <v>10261.19</v>
      </c>
      <c r="L6351" s="3565">
        <v>12681.96</v>
      </c>
      <c r="M6351" s="3565">
        <v>0</v>
      </c>
      <c r="N6351" s="3565">
        <v>0</v>
      </c>
      <c r="O6351" s="3563" t="s">
        <v>3453</v>
      </c>
    </row>
    <row r="6352" spans="1:15">
      <c r="A6352" s="3563" t="s">
        <v>10600</v>
      </c>
      <c r="B6352" s="3563" t="s">
        <v>4196</v>
      </c>
      <c r="C6352" s="3563" t="s">
        <v>4197</v>
      </c>
      <c r="D6352" s="3563" t="s">
        <v>10228</v>
      </c>
      <c r="E6352" s="3563" t="s">
        <v>4297</v>
      </c>
      <c r="F6352" s="3563" t="s">
        <v>4797</v>
      </c>
      <c r="G6352" s="3564">
        <v>101.36</v>
      </c>
      <c r="H6352" s="3564">
        <v>82.01</v>
      </c>
      <c r="I6352" s="3564">
        <v>19.350000000000001</v>
      </c>
      <c r="J6352" s="3565">
        <v>1029290</v>
      </c>
      <c r="K6352" s="3565">
        <v>10154.790000000001</v>
      </c>
      <c r="L6352" s="3565">
        <v>12550.79</v>
      </c>
      <c r="M6352" s="3565">
        <v>0</v>
      </c>
      <c r="N6352" s="3565">
        <v>0</v>
      </c>
      <c r="O6352" s="3563" t="s">
        <v>3453</v>
      </c>
    </row>
    <row r="6353" spans="1:15">
      <c r="A6353" s="3563" t="s">
        <v>10601</v>
      </c>
      <c r="B6353" s="3563" t="s">
        <v>4196</v>
      </c>
      <c r="C6353" s="3563" t="s">
        <v>4197</v>
      </c>
      <c r="D6353" s="3563" t="s">
        <v>10228</v>
      </c>
      <c r="E6353" s="3563" t="s">
        <v>4297</v>
      </c>
      <c r="F6353" s="3563" t="s">
        <v>4797</v>
      </c>
      <c r="G6353" s="3564">
        <v>101.02</v>
      </c>
      <c r="H6353" s="3564">
        <v>81.739999999999995</v>
      </c>
      <c r="I6353" s="3564">
        <v>19.28</v>
      </c>
      <c r="J6353" s="3565">
        <v>1106438</v>
      </c>
      <c r="K6353" s="3565">
        <v>10952.66</v>
      </c>
      <c r="L6353" s="3565">
        <v>13536.07</v>
      </c>
      <c r="M6353" s="3565">
        <v>0</v>
      </c>
      <c r="N6353" s="3565">
        <v>0</v>
      </c>
      <c r="O6353" s="3563" t="s">
        <v>3453</v>
      </c>
    </row>
    <row r="6354" spans="1:15">
      <c r="A6354" s="3563" t="s">
        <v>10602</v>
      </c>
      <c r="B6354" s="3563" t="s">
        <v>4196</v>
      </c>
      <c r="C6354" s="3563" t="s">
        <v>4197</v>
      </c>
      <c r="D6354" s="3563" t="s">
        <v>10228</v>
      </c>
      <c r="E6354" s="3563" t="s">
        <v>4297</v>
      </c>
      <c r="F6354" s="3563" t="s">
        <v>4797</v>
      </c>
      <c r="G6354" s="3564">
        <v>101.02</v>
      </c>
      <c r="H6354" s="3564">
        <v>81.739999999999995</v>
      </c>
      <c r="I6354" s="3564">
        <v>19.28</v>
      </c>
      <c r="J6354" s="3565">
        <v>1106438</v>
      </c>
      <c r="K6354" s="3565">
        <v>10952.66</v>
      </c>
      <c r="L6354" s="3565">
        <v>13536.07</v>
      </c>
      <c r="M6354" s="3565">
        <v>0</v>
      </c>
      <c r="N6354" s="3565">
        <v>0</v>
      </c>
      <c r="O6354" s="3563" t="s">
        <v>3453</v>
      </c>
    </row>
    <row r="6355" spans="1:15">
      <c r="A6355" s="3563" t="s">
        <v>10603</v>
      </c>
      <c r="B6355" s="3563" t="s">
        <v>4196</v>
      </c>
      <c r="C6355" s="3563" t="s">
        <v>4197</v>
      </c>
      <c r="D6355" s="3563" t="s">
        <v>10228</v>
      </c>
      <c r="E6355" s="3563" t="s">
        <v>4423</v>
      </c>
      <c r="F6355" s="3563" t="s">
        <v>4797</v>
      </c>
      <c r="G6355" s="3564">
        <v>120.22</v>
      </c>
      <c r="H6355" s="3564">
        <v>104.37</v>
      </c>
      <c r="I6355" s="3564">
        <v>15.85</v>
      </c>
      <c r="J6355" s="3565">
        <v>1234877</v>
      </c>
      <c r="K6355" s="3565">
        <v>10271.81</v>
      </c>
      <c r="L6355" s="3565">
        <v>11831.72</v>
      </c>
      <c r="M6355" s="3565">
        <v>0</v>
      </c>
      <c r="N6355" s="3565">
        <v>0</v>
      </c>
      <c r="O6355" s="3563" t="s">
        <v>3453</v>
      </c>
    </row>
    <row r="6356" spans="1:15">
      <c r="A6356" s="3563" t="s">
        <v>10604</v>
      </c>
      <c r="B6356" s="3563" t="s">
        <v>4196</v>
      </c>
      <c r="C6356" s="3563" t="s">
        <v>4197</v>
      </c>
      <c r="D6356" s="3563" t="s">
        <v>10228</v>
      </c>
      <c r="E6356" s="3563" t="s">
        <v>4423</v>
      </c>
      <c r="F6356" s="3563" t="s">
        <v>4797</v>
      </c>
      <c r="G6356" s="3564">
        <v>81.78</v>
      </c>
      <c r="H6356" s="3564">
        <v>71</v>
      </c>
      <c r="I6356" s="3564">
        <v>10.78</v>
      </c>
      <c r="J6356" s="3565">
        <v>840029</v>
      </c>
      <c r="K6356" s="3565">
        <v>10271.81</v>
      </c>
      <c r="L6356" s="3565">
        <v>11831.39</v>
      </c>
      <c r="M6356" s="3565">
        <v>0</v>
      </c>
      <c r="N6356" s="3565">
        <v>0</v>
      </c>
      <c r="O6356" s="3563" t="s">
        <v>3453</v>
      </c>
    </row>
    <row r="6357" spans="1:15">
      <c r="A6357" s="3563" t="s">
        <v>10605</v>
      </c>
      <c r="B6357" s="3563" t="s">
        <v>4196</v>
      </c>
      <c r="C6357" s="3563" t="s">
        <v>4197</v>
      </c>
      <c r="D6357" s="3563" t="s">
        <v>10228</v>
      </c>
      <c r="E6357" s="3563" t="s">
        <v>4423</v>
      </c>
      <c r="F6357" s="3563" t="s">
        <v>4797</v>
      </c>
      <c r="G6357" s="3564">
        <v>94.46</v>
      </c>
      <c r="H6357" s="3564">
        <v>82.01</v>
      </c>
      <c r="I6357" s="3564">
        <v>12.45</v>
      </c>
      <c r="J6357" s="3565">
        <v>970276</v>
      </c>
      <c r="K6357" s="3565">
        <v>10271.82</v>
      </c>
      <c r="L6357" s="3565">
        <v>11831.19</v>
      </c>
      <c r="M6357" s="3565">
        <v>0</v>
      </c>
      <c r="N6357" s="3565">
        <v>0</v>
      </c>
      <c r="O6357" s="3563" t="s">
        <v>3453</v>
      </c>
    </row>
    <row r="6358" spans="1:15">
      <c r="A6358" s="3563" t="s">
        <v>10606</v>
      </c>
      <c r="B6358" s="3563" t="s">
        <v>4196</v>
      </c>
      <c r="C6358" s="3563" t="s">
        <v>4197</v>
      </c>
      <c r="D6358" s="3563" t="s">
        <v>10228</v>
      </c>
      <c r="E6358" s="3563" t="s">
        <v>4423</v>
      </c>
      <c r="F6358" s="3563" t="s">
        <v>4797</v>
      </c>
      <c r="G6358" s="3564">
        <v>123.11</v>
      </c>
      <c r="H6358" s="3564">
        <v>100.03</v>
      </c>
      <c r="I6358" s="3564">
        <v>23.08</v>
      </c>
      <c r="J6358" s="3565">
        <v>1349692</v>
      </c>
      <c r="K6358" s="3565">
        <v>10963.3</v>
      </c>
      <c r="L6358" s="3565">
        <v>13492.87</v>
      </c>
      <c r="M6358" s="3565">
        <v>0</v>
      </c>
      <c r="N6358" s="3565">
        <v>0</v>
      </c>
      <c r="O6358" s="3563" t="s">
        <v>3453</v>
      </c>
    </row>
    <row r="6359" spans="1:15">
      <c r="A6359" s="3563" t="s">
        <v>10607</v>
      </c>
      <c r="B6359" s="3563" t="s">
        <v>4196</v>
      </c>
      <c r="C6359" s="3563" t="s">
        <v>4197</v>
      </c>
      <c r="D6359" s="3563" t="s">
        <v>10228</v>
      </c>
      <c r="E6359" s="3563" t="s">
        <v>4423</v>
      </c>
      <c r="F6359" s="3563" t="s">
        <v>4797</v>
      </c>
      <c r="G6359" s="3564">
        <v>87.38</v>
      </c>
      <c r="H6359" s="3564">
        <v>71</v>
      </c>
      <c r="I6359" s="3564">
        <v>16.38</v>
      </c>
      <c r="J6359" s="3565">
        <v>906847</v>
      </c>
      <c r="K6359" s="3565">
        <v>10378.200000000001</v>
      </c>
      <c r="L6359" s="3565">
        <v>12772.49</v>
      </c>
      <c r="M6359" s="3565">
        <v>0</v>
      </c>
      <c r="N6359" s="3565">
        <v>0</v>
      </c>
      <c r="O6359" s="3563" t="s">
        <v>3453</v>
      </c>
    </row>
    <row r="6360" spans="1:15">
      <c r="A6360" s="3563" t="s">
        <v>10608</v>
      </c>
      <c r="B6360" s="3563" t="s">
        <v>4196</v>
      </c>
      <c r="C6360" s="3563" t="s">
        <v>4197</v>
      </c>
      <c r="D6360" s="3563" t="s">
        <v>10228</v>
      </c>
      <c r="E6360" s="3563" t="s">
        <v>4423</v>
      </c>
      <c r="F6360" s="3563" t="s">
        <v>4797</v>
      </c>
      <c r="G6360" s="3564">
        <v>87.38</v>
      </c>
      <c r="H6360" s="3564">
        <v>71</v>
      </c>
      <c r="I6360" s="3564">
        <v>16.38</v>
      </c>
      <c r="J6360" s="3565">
        <v>906847</v>
      </c>
      <c r="K6360" s="3565">
        <v>10378.200000000001</v>
      </c>
      <c r="L6360" s="3565">
        <v>12772.49</v>
      </c>
      <c r="M6360" s="3565">
        <v>0</v>
      </c>
      <c r="N6360" s="3565">
        <v>0</v>
      </c>
      <c r="O6360" s="3563" t="s">
        <v>3453</v>
      </c>
    </row>
    <row r="6361" spans="1:15">
      <c r="A6361" s="3563" t="s">
        <v>10609</v>
      </c>
      <c r="B6361" s="3563" t="s">
        <v>4196</v>
      </c>
      <c r="C6361" s="3563" t="s">
        <v>4197</v>
      </c>
      <c r="D6361" s="3563" t="s">
        <v>10228</v>
      </c>
      <c r="E6361" s="3563" t="s">
        <v>4423</v>
      </c>
      <c r="F6361" s="3563" t="s">
        <v>4797</v>
      </c>
      <c r="G6361" s="3564">
        <v>100.93</v>
      </c>
      <c r="H6361" s="3564">
        <v>82.01</v>
      </c>
      <c r="I6361" s="3564">
        <v>18.920000000000002</v>
      </c>
      <c r="J6361" s="3565">
        <v>1036735</v>
      </c>
      <c r="K6361" s="3565">
        <v>10271.82</v>
      </c>
      <c r="L6361" s="3565">
        <v>12641.57</v>
      </c>
      <c r="M6361" s="3565">
        <v>0</v>
      </c>
      <c r="N6361" s="3565">
        <v>0</v>
      </c>
      <c r="O6361" s="3563" t="s">
        <v>3453</v>
      </c>
    </row>
    <row r="6362" spans="1:15">
      <c r="A6362" s="3563" t="s">
        <v>10610</v>
      </c>
      <c r="B6362" s="3563" t="s">
        <v>4196</v>
      </c>
      <c r="C6362" s="3563" t="s">
        <v>4197</v>
      </c>
      <c r="D6362" s="3563" t="s">
        <v>10228</v>
      </c>
      <c r="E6362" s="3563" t="s">
        <v>4423</v>
      </c>
      <c r="F6362" s="3563" t="s">
        <v>4797</v>
      </c>
      <c r="G6362" s="3564">
        <v>100.6</v>
      </c>
      <c r="H6362" s="3564">
        <v>81.739999999999995</v>
      </c>
      <c r="I6362" s="3564">
        <v>18.86</v>
      </c>
      <c r="J6362" s="3565">
        <v>1124312</v>
      </c>
      <c r="K6362" s="3565">
        <v>11176.06</v>
      </c>
      <c r="L6362" s="3565">
        <v>13754.73</v>
      </c>
      <c r="M6362" s="3565">
        <v>0</v>
      </c>
      <c r="N6362" s="3565">
        <v>0</v>
      </c>
      <c r="O6362" s="3563" t="s">
        <v>3453</v>
      </c>
    </row>
    <row r="6363" spans="1:15">
      <c r="A6363" s="3563" t="s">
        <v>10611</v>
      </c>
      <c r="B6363" s="3563" t="s">
        <v>4196</v>
      </c>
      <c r="C6363" s="3563" t="s">
        <v>4197</v>
      </c>
      <c r="D6363" s="3563" t="s">
        <v>10228</v>
      </c>
      <c r="E6363" s="3563" t="s">
        <v>4423</v>
      </c>
      <c r="F6363" s="3563" t="s">
        <v>4797</v>
      </c>
      <c r="G6363" s="3564">
        <v>100.6</v>
      </c>
      <c r="H6363" s="3564">
        <v>81.739999999999995</v>
      </c>
      <c r="I6363" s="3564">
        <v>18.86</v>
      </c>
      <c r="J6363" s="3565">
        <v>1124312</v>
      </c>
      <c r="K6363" s="3565">
        <v>11176.06</v>
      </c>
      <c r="L6363" s="3565">
        <v>13754.73</v>
      </c>
      <c r="M6363" s="3565">
        <v>0</v>
      </c>
      <c r="N6363" s="3565">
        <v>0</v>
      </c>
      <c r="O6363" s="3563" t="s">
        <v>3453</v>
      </c>
    </row>
    <row r="6364" spans="1:15">
      <c r="A6364" s="3563" t="s">
        <v>10612</v>
      </c>
      <c r="B6364" s="3563" t="s">
        <v>4196</v>
      </c>
      <c r="C6364" s="3563" t="s">
        <v>4197</v>
      </c>
      <c r="D6364" s="3563" t="s">
        <v>10228</v>
      </c>
      <c r="E6364" s="3563" t="s">
        <v>4423</v>
      </c>
      <c r="F6364" s="3563" t="s">
        <v>4797</v>
      </c>
      <c r="G6364" s="3564">
        <v>123.11</v>
      </c>
      <c r="H6364" s="3564">
        <v>100.03</v>
      </c>
      <c r="I6364" s="3564">
        <v>23.08</v>
      </c>
      <c r="J6364" s="3565">
        <v>1351002</v>
      </c>
      <c r="K6364" s="3565">
        <v>10973.94</v>
      </c>
      <c r="L6364" s="3565">
        <v>13505.97</v>
      </c>
      <c r="M6364" s="3565">
        <v>0</v>
      </c>
      <c r="N6364" s="3565">
        <v>0</v>
      </c>
      <c r="O6364" s="3563" t="s">
        <v>3453</v>
      </c>
    </row>
    <row r="6365" spans="1:15">
      <c r="A6365" s="3563" t="s">
        <v>10613</v>
      </c>
      <c r="B6365" s="3563" t="s">
        <v>4196</v>
      </c>
      <c r="C6365" s="3563" t="s">
        <v>4197</v>
      </c>
      <c r="D6365" s="3563" t="s">
        <v>10228</v>
      </c>
      <c r="E6365" s="3563" t="s">
        <v>4423</v>
      </c>
      <c r="F6365" s="3563" t="s">
        <v>4797</v>
      </c>
      <c r="G6365" s="3564">
        <v>87.38</v>
      </c>
      <c r="H6365" s="3564">
        <v>71</v>
      </c>
      <c r="I6365" s="3564">
        <v>16.38</v>
      </c>
      <c r="J6365" s="3565">
        <v>907776</v>
      </c>
      <c r="K6365" s="3565">
        <v>10388.83</v>
      </c>
      <c r="L6365" s="3565">
        <v>12785.58</v>
      </c>
      <c r="M6365" s="3565">
        <v>0</v>
      </c>
      <c r="N6365" s="3565">
        <v>0</v>
      </c>
      <c r="O6365" s="3563" t="s">
        <v>3453</v>
      </c>
    </row>
    <row r="6366" spans="1:15">
      <c r="A6366" s="3563" t="s">
        <v>10614</v>
      </c>
      <c r="B6366" s="3563" t="s">
        <v>4196</v>
      </c>
      <c r="C6366" s="3563" t="s">
        <v>4197</v>
      </c>
      <c r="D6366" s="3563" t="s">
        <v>10228</v>
      </c>
      <c r="E6366" s="3563" t="s">
        <v>4423</v>
      </c>
      <c r="F6366" s="3563" t="s">
        <v>4797</v>
      </c>
      <c r="G6366" s="3564">
        <v>87.38</v>
      </c>
      <c r="H6366" s="3564">
        <v>71</v>
      </c>
      <c r="I6366" s="3564">
        <v>16.38</v>
      </c>
      <c r="J6366" s="3565">
        <v>907776</v>
      </c>
      <c r="K6366" s="3565">
        <v>10388.83</v>
      </c>
      <c r="L6366" s="3565">
        <v>12785.58</v>
      </c>
      <c r="M6366" s="3565">
        <v>0</v>
      </c>
      <c r="N6366" s="3565">
        <v>0</v>
      </c>
      <c r="O6366" s="3563" t="s">
        <v>3453</v>
      </c>
    </row>
    <row r="6367" spans="1:15">
      <c r="A6367" s="3563" t="s">
        <v>10615</v>
      </c>
      <c r="B6367" s="3563" t="s">
        <v>4196</v>
      </c>
      <c r="C6367" s="3563" t="s">
        <v>4197</v>
      </c>
      <c r="D6367" s="3563" t="s">
        <v>10228</v>
      </c>
      <c r="E6367" s="3563" t="s">
        <v>4423</v>
      </c>
      <c r="F6367" s="3563" t="s">
        <v>4797</v>
      </c>
      <c r="G6367" s="3564">
        <v>100.93</v>
      </c>
      <c r="H6367" s="3564">
        <v>82.01</v>
      </c>
      <c r="I6367" s="3564">
        <v>18.920000000000002</v>
      </c>
      <c r="J6367" s="3565">
        <v>1037808</v>
      </c>
      <c r="K6367" s="3565">
        <v>10282.450000000001</v>
      </c>
      <c r="L6367" s="3565">
        <v>12654.65</v>
      </c>
      <c r="M6367" s="3565">
        <v>0</v>
      </c>
      <c r="N6367" s="3565">
        <v>0</v>
      </c>
      <c r="O6367" s="3563" t="s">
        <v>3453</v>
      </c>
    </row>
    <row r="6368" spans="1:15">
      <c r="A6368" s="3563" t="s">
        <v>10616</v>
      </c>
      <c r="B6368" s="3563" t="s">
        <v>4196</v>
      </c>
      <c r="C6368" s="3563" t="s">
        <v>4197</v>
      </c>
      <c r="D6368" s="3563" t="s">
        <v>10228</v>
      </c>
      <c r="E6368" s="3563" t="s">
        <v>4423</v>
      </c>
      <c r="F6368" s="3563" t="s">
        <v>4797</v>
      </c>
      <c r="G6368" s="3564">
        <v>100.6</v>
      </c>
      <c r="H6368" s="3564">
        <v>81.739999999999995</v>
      </c>
      <c r="I6368" s="3564">
        <v>18.86</v>
      </c>
      <c r="J6368" s="3565">
        <v>1125382</v>
      </c>
      <c r="K6368" s="3565">
        <v>11186.7</v>
      </c>
      <c r="L6368" s="3565">
        <v>13767.82</v>
      </c>
      <c r="M6368" s="3565">
        <v>0</v>
      </c>
      <c r="N6368" s="3565">
        <v>0</v>
      </c>
      <c r="O6368" s="3563" t="s">
        <v>3453</v>
      </c>
    </row>
    <row r="6369" spans="1:15">
      <c r="A6369" s="3563" t="s">
        <v>10617</v>
      </c>
      <c r="B6369" s="3563" t="s">
        <v>4196</v>
      </c>
      <c r="C6369" s="3563" t="s">
        <v>4197</v>
      </c>
      <c r="D6369" s="3563" t="s">
        <v>10228</v>
      </c>
      <c r="E6369" s="3563" t="s">
        <v>4423</v>
      </c>
      <c r="F6369" s="3563" t="s">
        <v>4797</v>
      </c>
      <c r="G6369" s="3564">
        <v>100.6</v>
      </c>
      <c r="H6369" s="3564">
        <v>81.739999999999995</v>
      </c>
      <c r="I6369" s="3564">
        <v>18.86</v>
      </c>
      <c r="J6369" s="3565">
        <v>1125382</v>
      </c>
      <c r="K6369" s="3565">
        <v>11186.7</v>
      </c>
      <c r="L6369" s="3565">
        <v>13767.82</v>
      </c>
      <c r="M6369" s="3565">
        <v>0</v>
      </c>
      <c r="N6369" s="3565">
        <v>0</v>
      </c>
      <c r="O6369" s="3563" t="s">
        <v>3453</v>
      </c>
    </row>
    <row r="6370" spans="1:15">
      <c r="A6370" s="3563" t="s">
        <v>10618</v>
      </c>
      <c r="B6370" s="3563" t="s">
        <v>4196</v>
      </c>
      <c r="C6370" s="3563" t="s">
        <v>4197</v>
      </c>
      <c r="D6370" s="3563" t="s">
        <v>10228</v>
      </c>
      <c r="E6370" s="3563" t="s">
        <v>4423</v>
      </c>
      <c r="F6370" s="3563" t="s">
        <v>4797</v>
      </c>
      <c r="G6370" s="3564">
        <v>123.11</v>
      </c>
      <c r="H6370" s="3564">
        <v>100.03</v>
      </c>
      <c r="I6370" s="3564">
        <v>23.08</v>
      </c>
      <c r="J6370" s="3565">
        <v>1352311</v>
      </c>
      <c r="K6370" s="3565">
        <v>10984.57</v>
      </c>
      <c r="L6370" s="3565">
        <v>13519.05</v>
      </c>
      <c r="M6370" s="3565">
        <v>0</v>
      </c>
      <c r="N6370" s="3565">
        <v>0</v>
      </c>
      <c r="O6370" s="3563" t="s">
        <v>3453</v>
      </c>
    </row>
    <row r="6371" spans="1:15">
      <c r="A6371" s="3563" t="s">
        <v>10619</v>
      </c>
      <c r="B6371" s="3563" t="s">
        <v>4196</v>
      </c>
      <c r="C6371" s="3563" t="s">
        <v>4197</v>
      </c>
      <c r="D6371" s="3563" t="s">
        <v>10228</v>
      </c>
      <c r="E6371" s="3563" t="s">
        <v>4423</v>
      </c>
      <c r="F6371" s="3563" t="s">
        <v>4797</v>
      </c>
      <c r="G6371" s="3564">
        <v>87.38</v>
      </c>
      <c r="H6371" s="3564">
        <v>71</v>
      </c>
      <c r="I6371" s="3564">
        <v>16.38</v>
      </c>
      <c r="J6371" s="3565">
        <v>908706</v>
      </c>
      <c r="K6371" s="3565">
        <v>10399.469999999999</v>
      </c>
      <c r="L6371" s="3565">
        <v>12798.68</v>
      </c>
      <c r="M6371" s="3565">
        <v>0</v>
      </c>
      <c r="N6371" s="3565">
        <v>0</v>
      </c>
      <c r="O6371" s="3563" t="s">
        <v>3453</v>
      </c>
    </row>
    <row r="6372" spans="1:15">
      <c r="A6372" s="3563" t="s">
        <v>10620</v>
      </c>
      <c r="B6372" s="3563" t="s">
        <v>4196</v>
      </c>
      <c r="C6372" s="3563" t="s">
        <v>4197</v>
      </c>
      <c r="D6372" s="3563" t="s">
        <v>10228</v>
      </c>
      <c r="E6372" s="3563" t="s">
        <v>4423</v>
      </c>
      <c r="F6372" s="3563" t="s">
        <v>4797</v>
      </c>
      <c r="G6372" s="3564">
        <v>87.38</v>
      </c>
      <c r="H6372" s="3564">
        <v>71</v>
      </c>
      <c r="I6372" s="3564">
        <v>16.38</v>
      </c>
      <c r="J6372" s="3565">
        <v>908706</v>
      </c>
      <c r="K6372" s="3565">
        <v>10399.469999999999</v>
      </c>
      <c r="L6372" s="3565">
        <v>12798.68</v>
      </c>
      <c r="M6372" s="3565">
        <v>0</v>
      </c>
      <c r="N6372" s="3565">
        <v>0</v>
      </c>
      <c r="O6372" s="3563" t="s">
        <v>3453</v>
      </c>
    </row>
    <row r="6373" spans="1:15">
      <c r="A6373" s="3563" t="s">
        <v>10621</v>
      </c>
      <c r="B6373" s="3563" t="s">
        <v>4196</v>
      </c>
      <c r="C6373" s="3563" t="s">
        <v>4197</v>
      </c>
      <c r="D6373" s="3563" t="s">
        <v>10228</v>
      </c>
      <c r="E6373" s="3563" t="s">
        <v>4423</v>
      </c>
      <c r="F6373" s="3563" t="s">
        <v>4797</v>
      </c>
      <c r="G6373" s="3564">
        <v>100.93</v>
      </c>
      <c r="H6373" s="3564">
        <v>82.01</v>
      </c>
      <c r="I6373" s="3564">
        <v>18.920000000000002</v>
      </c>
      <c r="J6373" s="3565">
        <v>1038881</v>
      </c>
      <c r="K6373" s="3565">
        <v>10293.08</v>
      </c>
      <c r="L6373" s="3565">
        <v>12667.74</v>
      </c>
      <c r="M6373" s="3565">
        <v>0</v>
      </c>
      <c r="N6373" s="3565">
        <v>0</v>
      </c>
      <c r="O6373" s="3563" t="s">
        <v>3453</v>
      </c>
    </row>
    <row r="6374" spans="1:15">
      <c r="A6374" s="3563" t="s">
        <v>10622</v>
      </c>
      <c r="B6374" s="3563" t="s">
        <v>4196</v>
      </c>
      <c r="C6374" s="3563" t="s">
        <v>4197</v>
      </c>
      <c r="D6374" s="3563" t="s">
        <v>10228</v>
      </c>
      <c r="E6374" s="3563" t="s">
        <v>4423</v>
      </c>
      <c r="F6374" s="3563" t="s">
        <v>4797</v>
      </c>
      <c r="G6374" s="3564">
        <v>100.6</v>
      </c>
      <c r="H6374" s="3564">
        <v>81.739999999999995</v>
      </c>
      <c r="I6374" s="3564">
        <v>18.86</v>
      </c>
      <c r="J6374" s="3565">
        <v>1126453</v>
      </c>
      <c r="K6374" s="3565">
        <v>11197.35</v>
      </c>
      <c r="L6374" s="3565">
        <v>13780.93</v>
      </c>
      <c r="M6374" s="3565">
        <v>0</v>
      </c>
      <c r="N6374" s="3565">
        <v>0</v>
      </c>
      <c r="O6374" s="3563" t="s">
        <v>3453</v>
      </c>
    </row>
    <row r="6375" spans="1:15">
      <c r="A6375" s="3563" t="s">
        <v>10623</v>
      </c>
      <c r="B6375" s="3563" t="s">
        <v>4196</v>
      </c>
      <c r="C6375" s="3563" t="s">
        <v>4197</v>
      </c>
      <c r="D6375" s="3563" t="s">
        <v>10228</v>
      </c>
      <c r="E6375" s="3563" t="s">
        <v>4423</v>
      </c>
      <c r="F6375" s="3563" t="s">
        <v>4797</v>
      </c>
      <c r="G6375" s="3564">
        <v>100.6</v>
      </c>
      <c r="H6375" s="3564">
        <v>81.739999999999995</v>
      </c>
      <c r="I6375" s="3564">
        <v>18.86</v>
      </c>
      <c r="J6375" s="3565">
        <v>1126453</v>
      </c>
      <c r="K6375" s="3565">
        <v>11197.35</v>
      </c>
      <c r="L6375" s="3565">
        <v>13780.93</v>
      </c>
      <c r="M6375" s="3565">
        <v>0</v>
      </c>
      <c r="N6375" s="3565">
        <v>0</v>
      </c>
      <c r="O6375" s="3563" t="s">
        <v>3453</v>
      </c>
    </row>
    <row r="6376" spans="1:15">
      <c r="A6376" s="3563" t="s">
        <v>10624</v>
      </c>
      <c r="B6376" s="3563" t="s">
        <v>4196</v>
      </c>
      <c r="C6376" s="3563" t="s">
        <v>4197</v>
      </c>
      <c r="D6376" s="3563" t="s">
        <v>10228</v>
      </c>
      <c r="E6376" s="3563" t="s">
        <v>4423</v>
      </c>
      <c r="F6376" s="3563" t="s">
        <v>4797</v>
      </c>
      <c r="G6376" s="3564">
        <v>123.11</v>
      </c>
      <c r="H6376" s="3564">
        <v>100.03</v>
      </c>
      <c r="I6376" s="3564">
        <v>23.08</v>
      </c>
      <c r="J6376" s="3565">
        <v>1353621</v>
      </c>
      <c r="K6376" s="3565">
        <v>10995.22</v>
      </c>
      <c r="L6376" s="3565">
        <v>13532.15</v>
      </c>
      <c r="M6376" s="3565">
        <v>0</v>
      </c>
      <c r="N6376" s="3565">
        <v>0</v>
      </c>
      <c r="O6376" s="3563" t="s">
        <v>3453</v>
      </c>
    </row>
    <row r="6377" spans="1:15">
      <c r="A6377" s="3563" t="s">
        <v>10625</v>
      </c>
      <c r="B6377" s="3563" t="s">
        <v>4196</v>
      </c>
      <c r="C6377" s="3563" t="s">
        <v>4197</v>
      </c>
      <c r="D6377" s="3563" t="s">
        <v>10228</v>
      </c>
      <c r="E6377" s="3563" t="s">
        <v>4423</v>
      </c>
      <c r="F6377" s="3563" t="s">
        <v>4797</v>
      </c>
      <c r="G6377" s="3564">
        <v>87.38</v>
      </c>
      <c r="H6377" s="3564">
        <v>71</v>
      </c>
      <c r="I6377" s="3564">
        <v>16.38</v>
      </c>
      <c r="J6377" s="3565">
        <v>909636</v>
      </c>
      <c r="K6377" s="3565">
        <v>10410.120000000001</v>
      </c>
      <c r="L6377" s="3565">
        <v>12811.77</v>
      </c>
      <c r="M6377" s="3565">
        <v>0</v>
      </c>
      <c r="N6377" s="3565">
        <v>0</v>
      </c>
      <c r="O6377" s="3563" t="s">
        <v>3453</v>
      </c>
    </row>
    <row r="6378" spans="1:15">
      <c r="A6378" s="3563" t="s">
        <v>10626</v>
      </c>
      <c r="B6378" s="3563" t="s">
        <v>4196</v>
      </c>
      <c r="C6378" s="3563" t="s">
        <v>4197</v>
      </c>
      <c r="D6378" s="3563" t="s">
        <v>10228</v>
      </c>
      <c r="E6378" s="3563" t="s">
        <v>4423</v>
      </c>
      <c r="F6378" s="3563" t="s">
        <v>4797</v>
      </c>
      <c r="G6378" s="3564">
        <v>87.38</v>
      </c>
      <c r="H6378" s="3564">
        <v>71</v>
      </c>
      <c r="I6378" s="3564">
        <v>16.38</v>
      </c>
      <c r="J6378" s="3565">
        <v>909636</v>
      </c>
      <c r="K6378" s="3565">
        <v>10410.120000000001</v>
      </c>
      <c r="L6378" s="3565">
        <v>12811.77</v>
      </c>
      <c r="M6378" s="3565">
        <v>0</v>
      </c>
      <c r="N6378" s="3565">
        <v>0</v>
      </c>
      <c r="O6378" s="3563" t="s">
        <v>3453</v>
      </c>
    </row>
    <row r="6379" spans="1:15">
      <c r="A6379" s="3563" t="s">
        <v>10627</v>
      </c>
      <c r="B6379" s="3563" t="s">
        <v>4196</v>
      </c>
      <c r="C6379" s="3563" t="s">
        <v>4197</v>
      </c>
      <c r="D6379" s="3563" t="s">
        <v>10228</v>
      </c>
      <c r="E6379" s="3563" t="s">
        <v>4423</v>
      </c>
      <c r="F6379" s="3563" t="s">
        <v>4797</v>
      </c>
      <c r="G6379" s="3564">
        <v>100.93</v>
      </c>
      <c r="H6379" s="3564">
        <v>82.01</v>
      </c>
      <c r="I6379" s="3564">
        <v>18.920000000000002</v>
      </c>
      <c r="J6379" s="3565">
        <v>1039956</v>
      </c>
      <c r="K6379" s="3565">
        <v>10303.74</v>
      </c>
      <c r="L6379" s="3565">
        <v>12680.84</v>
      </c>
      <c r="M6379" s="3565">
        <v>0</v>
      </c>
      <c r="N6379" s="3565">
        <v>0</v>
      </c>
      <c r="O6379" s="3563" t="s">
        <v>3453</v>
      </c>
    </row>
    <row r="6380" spans="1:15">
      <c r="A6380" s="3563" t="s">
        <v>10628</v>
      </c>
      <c r="B6380" s="3563" t="s">
        <v>4196</v>
      </c>
      <c r="C6380" s="3563" t="s">
        <v>4197</v>
      </c>
      <c r="D6380" s="3563" t="s">
        <v>10228</v>
      </c>
      <c r="E6380" s="3563" t="s">
        <v>4423</v>
      </c>
      <c r="F6380" s="3563" t="s">
        <v>4797</v>
      </c>
      <c r="G6380" s="3564">
        <v>100.6</v>
      </c>
      <c r="H6380" s="3564">
        <v>81.739999999999995</v>
      </c>
      <c r="I6380" s="3564">
        <v>18.86</v>
      </c>
      <c r="J6380" s="3565">
        <v>1127523</v>
      </c>
      <c r="K6380" s="3565">
        <v>11207.98</v>
      </c>
      <c r="L6380" s="3565">
        <v>13794.02</v>
      </c>
      <c r="M6380" s="3565">
        <v>0</v>
      </c>
      <c r="N6380" s="3565">
        <v>0</v>
      </c>
      <c r="O6380" s="3563" t="s">
        <v>3453</v>
      </c>
    </row>
    <row r="6381" spans="1:15">
      <c r="A6381" s="3563" t="s">
        <v>10629</v>
      </c>
      <c r="B6381" s="3563" t="s">
        <v>4196</v>
      </c>
      <c r="C6381" s="3563" t="s">
        <v>4197</v>
      </c>
      <c r="D6381" s="3563" t="s">
        <v>10228</v>
      </c>
      <c r="E6381" s="3563" t="s">
        <v>4423</v>
      </c>
      <c r="F6381" s="3563" t="s">
        <v>4797</v>
      </c>
      <c r="G6381" s="3564">
        <v>100.6</v>
      </c>
      <c r="H6381" s="3564">
        <v>81.739999999999995</v>
      </c>
      <c r="I6381" s="3564">
        <v>18.86</v>
      </c>
      <c r="J6381" s="3565">
        <v>1127523</v>
      </c>
      <c r="K6381" s="3565">
        <v>11207.98</v>
      </c>
      <c r="L6381" s="3565">
        <v>13794.02</v>
      </c>
      <c r="M6381" s="3565">
        <v>0</v>
      </c>
      <c r="N6381" s="3565">
        <v>0</v>
      </c>
      <c r="O6381" s="3563" t="s">
        <v>3453</v>
      </c>
    </row>
    <row r="6382" spans="1:15">
      <c r="A6382" s="3563" t="s">
        <v>10630</v>
      </c>
      <c r="B6382" s="3563" t="s">
        <v>4196</v>
      </c>
      <c r="C6382" s="3563" t="s">
        <v>4197</v>
      </c>
      <c r="D6382" s="3563" t="s">
        <v>10228</v>
      </c>
      <c r="E6382" s="3563" t="s">
        <v>4423</v>
      </c>
      <c r="F6382" s="3563" t="s">
        <v>4797</v>
      </c>
      <c r="G6382" s="3564">
        <v>123.11</v>
      </c>
      <c r="H6382" s="3564">
        <v>100.03</v>
      </c>
      <c r="I6382" s="3564">
        <v>23.08</v>
      </c>
      <c r="J6382" s="3565">
        <v>1341835</v>
      </c>
      <c r="K6382" s="3565">
        <v>10899.48</v>
      </c>
      <c r="L6382" s="3565">
        <v>13414.33</v>
      </c>
      <c r="M6382" s="3565">
        <v>0</v>
      </c>
      <c r="N6382" s="3565">
        <v>0</v>
      </c>
      <c r="O6382" s="3563" t="s">
        <v>3453</v>
      </c>
    </row>
    <row r="6383" spans="1:15">
      <c r="A6383" s="3563" t="s">
        <v>10631</v>
      </c>
      <c r="B6383" s="3563" t="s">
        <v>4196</v>
      </c>
      <c r="C6383" s="3563" t="s">
        <v>4197</v>
      </c>
      <c r="D6383" s="3563" t="s">
        <v>10228</v>
      </c>
      <c r="E6383" s="3563" t="s">
        <v>4423</v>
      </c>
      <c r="F6383" s="3563" t="s">
        <v>4797</v>
      </c>
      <c r="G6383" s="3564">
        <v>87.38</v>
      </c>
      <c r="H6383" s="3564">
        <v>71</v>
      </c>
      <c r="I6383" s="3564">
        <v>16.38</v>
      </c>
      <c r="J6383" s="3565">
        <v>901270</v>
      </c>
      <c r="K6383" s="3565">
        <v>10314.370000000001</v>
      </c>
      <c r="L6383" s="3565">
        <v>12693.94</v>
      </c>
      <c r="M6383" s="3565">
        <v>0</v>
      </c>
      <c r="N6383" s="3565">
        <v>0</v>
      </c>
      <c r="O6383" s="3563" t="s">
        <v>3453</v>
      </c>
    </row>
    <row r="6384" spans="1:15">
      <c r="A6384" s="3563" t="s">
        <v>10632</v>
      </c>
      <c r="B6384" s="3563" t="s">
        <v>4196</v>
      </c>
      <c r="C6384" s="3563" t="s">
        <v>4197</v>
      </c>
      <c r="D6384" s="3563" t="s">
        <v>10228</v>
      </c>
      <c r="E6384" s="3563" t="s">
        <v>4423</v>
      </c>
      <c r="F6384" s="3563" t="s">
        <v>4797</v>
      </c>
      <c r="G6384" s="3564">
        <v>87.38</v>
      </c>
      <c r="H6384" s="3564">
        <v>71</v>
      </c>
      <c r="I6384" s="3564">
        <v>16.38</v>
      </c>
      <c r="J6384" s="3565">
        <v>901270</v>
      </c>
      <c r="K6384" s="3565">
        <v>10314.370000000001</v>
      </c>
      <c r="L6384" s="3565">
        <v>12693.94</v>
      </c>
      <c r="M6384" s="3565">
        <v>0</v>
      </c>
      <c r="N6384" s="3565">
        <v>0</v>
      </c>
      <c r="O6384" s="3563" t="s">
        <v>3453</v>
      </c>
    </row>
    <row r="6385" spans="1:15">
      <c r="A6385" s="3563" t="s">
        <v>10633</v>
      </c>
      <c r="B6385" s="3563" t="s">
        <v>4196</v>
      </c>
      <c r="C6385" s="3563" t="s">
        <v>4197</v>
      </c>
      <c r="D6385" s="3563" t="s">
        <v>10228</v>
      </c>
      <c r="E6385" s="3563" t="s">
        <v>4423</v>
      </c>
      <c r="F6385" s="3563" t="s">
        <v>4797</v>
      </c>
      <c r="G6385" s="3564">
        <v>100.93</v>
      </c>
      <c r="H6385" s="3564">
        <v>82.01</v>
      </c>
      <c r="I6385" s="3564">
        <v>18.920000000000002</v>
      </c>
      <c r="J6385" s="3565">
        <v>1036735</v>
      </c>
      <c r="K6385" s="3565">
        <v>10271.82</v>
      </c>
      <c r="L6385" s="3565">
        <v>12641.57</v>
      </c>
      <c r="M6385" s="3565">
        <v>0</v>
      </c>
      <c r="N6385" s="3565">
        <v>0</v>
      </c>
      <c r="O6385" s="3563" t="s">
        <v>3453</v>
      </c>
    </row>
    <row r="6386" spans="1:15">
      <c r="A6386" s="3563" t="s">
        <v>10634</v>
      </c>
      <c r="B6386" s="3563" t="s">
        <v>4196</v>
      </c>
      <c r="C6386" s="3563" t="s">
        <v>4197</v>
      </c>
      <c r="D6386" s="3563" t="s">
        <v>10228</v>
      </c>
      <c r="E6386" s="3563" t="s">
        <v>4423</v>
      </c>
      <c r="F6386" s="3563" t="s">
        <v>4797</v>
      </c>
      <c r="G6386" s="3564">
        <v>100.6</v>
      </c>
      <c r="H6386" s="3564">
        <v>81.739999999999995</v>
      </c>
      <c r="I6386" s="3564">
        <v>18.86</v>
      </c>
      <c r="J6386" s="3565">
        <v>1117891</v>
      </c>
      <c r="K6386" s="3565">
        <v>11112.24</v>
      </c>
      <c r="L6386" s="3565">
        <v>13676.18</v>
      </c>
      <c r="M6386" s="3565">
        <v>0</v>
      </c>
      <c r="N6386" s="3565">
        <v>0</v>
      </c>
      <c r="O6386" s="3563" t="s">
        <v>3453</v>
      </c>
    </row>
    <row r="6387" spans="1:15">
      <c r="A6387" s="3563" t="s">
        <v>10635</v>
      </c>
      <c r="B6387" s="3563" t="s">
        <v>4196</v>
      </c>
      <c r="C6387" s="3563" t="s">
        <v>4197</v>
      </c>
      <c r="D6387" s="3563" t="s">
        <v>10228</v>
      </c>
      <c r="E6387" s="3563" t="s">
        <v>4423</v>
      </c>
      <c r="F6387" s="3563" t="s">
        <v>4797</v>
      </c>
      <c r="G6387" s="3564">
        <v>100.6</v>
      </c>
      <c r="H6387" s="3564">
        <v>81.739999999999995</v>
      </c>
      <c r="I6387" s="3564">
        <v>18.86</v>
      </c>
      <c r="J6387" s="3565">
        <v>1117891</v>
      </c>
      <c r="K6387" s="3565">
        <v>11112.24</v>
      </c>
      <c r="L6387" s="3565">
        <v>13676.18</v>
      </c>
      <c r="M6387" s="3565">
        <v>0</v>
      </c>
      <c r="N6387" s="3565">
        <v>0</v>
      </c>
      <c r="O6387" s="3563" t="s">
        <v>3453</v>
      </c>
    </row>
    <row r="6388" spans="1:15">
      <c r="A6388" s="3563" t="s">
        <v>10636</v>
      </c>
      <c r="B6388" s="3563" t="s">
        <v>4196</v>
      </c>
      <c r="C6388" s="3563" t="s">
        <v>4197</v>
      </c>
      <c r="D6388" s="3563" t="s">
        <v>10228</v>
      </c>
      <c r="E6388" s="3563" t="s">
        <v>4423</v>
      </c>
      <c r="F6388" s="3563" t="s">
        <v>4797</v>
      </c>
      <c r="G6388" s="3564">
        <v>123.11</v>
      </c>
      <c r="H6388" s="3564">
        <v>100.03</v>
      </c>
      <c r="I6388" s="3564">
        <v>23.08</v>
      </c>
      <c r="J6388" s="3565">
        <v>1356241</v>
      </c>
      <c r="K6388" s="3565">
        <v>11016.5</v>
      </c>
      <c r="L6388" s="3565">
        <v>13558.34</v>
      </c>
      <c r="M6388" s="3565">
        <v>0</v>
      </c>
      <c r="N6388" s="3565">
        <v>0</v>
      </c>
      <c r="O6388" s="3563" t="s">
        <v>3453</v>
      </c>
    </row>
    <row r="6389" spans="1:15">
      <c r="A6389" s="3563" t="s">
        <v>10637</v>
      </c>
      <c r="B6389" s="3563" t="s">
        <v>4196</v>
      </c>
      <c r="C6389" s="3563" t="s">
        <v>4197</v>
      </c>
      <c r="D6389" s="3563" t="s">
        <v>10228</v>
      </c>
      <c r="E6389" s="3563" t="s">
        <v>4423</v>
      </c>
      <c r="F6389" s="3563" t="s">
        <v>4797</v>
      </c>
      <c r="G6389" s="3564">
        <v>87.38</v>
      </c>
      <c r="H6389" s="3564">
        <v>71</v>
      </c>
      <c r="I6389" s="3564">
        <v>16.38</v>
      </c>
      <c r="J6389" s="3565">
        <v>911495</v>
      </c>
      <c r="K6389" s="3565">
        <v>10431.39</v>
      </c>
      <c r="L6389" s="3565">
        <v>12837.96</v>
      </c>
      <c r="M6389" s="3565">
        <v>0</v>
      </c>
      <c r="N6389" s="3565">
        <v>0</v>
      </c>
      <c r="O6389" s="3563" t="s">
        <v>3453</v>
      </c>
    </row>
    <row r="6390" spans="1:15">
      <c r="A6390" s="3563" t="s">
        <v>10638</v>
      </c>
      <c r="B6390" s="3563" t="s">
        <v>4196</v>
      </c>
      <c r="C6390" s="3563" t="s">
        <v>4197</v>
      </c>
      <c r="D6390" s="3563" t="s">
        <v>10228</v>
      </c>
      <c r="E6390" s="3563" t="s">
        <v>4423</v>
      </c>
      <c r="F6390" s="3563" t="s">
        <v>4797</v>
      </c>
      <c r="G6390" s="3564">
        <v>87.38</v>
      </c>
      <c r="H6390" s="3564">
        <v>71</v>
      </c>
      <c r="I6390" s="3564">
        <v>16.38</v>
      </c>
      <c r="J6390" s="3565">
        <v>911495</v>
      </c>
      <c r="K6390" s="3565">
        <v>10431.39</v>
      </c>
      <c r="L6390" s="3565">
        <v>12837.96</v>
      </c>
      <c r="M6390" s="3565">
        <v>0</v>
      </c>
      <c r="N6390" s="3565">
        <v>0</v>
      </c>
      <c r="O6390" s="3563" t="s">
        <v>3453</v>
      </c>
    </row>
    <row r="6391" spans="1:15">
      <c r="A6391" s="3563" t="s">
        <v>10639</v>
      </c>
      <c r="B6391" s="3563" t="s">
        <v>4196</v>
      </c>
      <c r="C6391" s="3563" t="s">
        <v>4197</v>
      </c>
      <c r="D6391" s="3563" t="s">
        <v>10228</v>
      </c>
      <c r="E6391" s="3563" t="s">
        <v>4423</v>
      </c>
      <c r="F6391" s="3563" t="s">
        <v>4797</v>
      </c>
      <c r="G6391" s="3564">
        <v>100.93</v>
      </c>
      <c r="H6391" s="3564">
        <v>82.01</v>
      </c>
      <c r="I6391" s="3564">
        <v>18.920000000000002</v>
      </c>
      <c r="J6391" s="3565">
        <v>1042103</v>
      </c>
      <c r="K6391" s="3565">
        <v>10325.01</v>
      </c>
      <c r="L6391" s="3565">
        <v>12707.02</v>
      </c>
      <c r="M6391" s="3565">
        <v>0</v>
      </c>
      <c r="N6391" s="3565">
        <v>0</v>
      </c>
      <c r="O6391" s="3563" t="s">
        <v>3453</v>
      </c>
    </row>
    <row r="6392" spans="1:15">
      <c r="A6392" s="3563" t="s">
        <v>10640</v>
      </c>
      <c r="B6392" s="3563" t="s">
        <v>4196</v>
      </c>
      <c r="C6392" s="3563" t="s">
        <v>4197</v>
      </c>
      <c r="D6392" s="3563" t="s">
        <v>10228</v>
      </c>
      <c r="E6392" s="3563" t="s">
        <v>4423</v>
      </c>
      <c r="F6392" s="3563" t="s">
        <v>4797</v>
      </c>
      <c r="G6392" s="3564">
        <v>100.6</v>
      </c>
      <c r="H6392" s="3564">
        <v>81.739999999999995</v>
      </c>
      <c r="I6392" s="3564">
        <v>18.86</v>
      </c>
      <c r="J6392" s="3565">
        <v>1129663</v>
      </c>
      <c r="K6392" s="3565">
        <v>11229.25</v>
      </c>
      <c r="L6392" s="3565">
        <v>13820.2</v>
      </c>
      <c r="M6392" s="3565">
        <v>0</v>
      </c>
      <c r="N6392" s="3565">
        <v>0</v>
      </c>
      <c r="O6392" s="3563" t="s">
        <v>3453</v>
      </c>
    </row>
    <row r="6393" spans="1:15">
      <c r="A6393" s="3563" t="s">
        <v>10641</v>
      </c>
      <c r="B6393" s="3563" t="s">
        <v>4196</v>
      </c>
      <c r="C6393" s="3563" t="s">
        <v>4197</v>
      </c>
      <c r="D6393" s="3563" t="s">
        <v>10228</v>
      </c>
      <c r="E6393" s="3563" t="s">
        <v>4423</v>
      </c>
      <c r="F6393" s="3563" t="s">
        <v>4797</v>
      </c>
      <c r="G6393" s="3564">
        <v>100.6</v>
      </c>
      <c r="H6393" s="3564">
        <v>81.739999999999995</v>
      </c>
      <c r="I6393" s="3564">
        <v>18.86</v>
      </c>
      <c r="J6393" s="3565">
        <v>1129663</v>
      </c>
      <c r="K6393" s="3565">
        <v>11229.25</v>
      </c>
      <c r="L6393" s="3565">
        <v>13820.2</v>
      </c>
      <c r="M6393" s="3565">
        <v>0</v>
      </c>
      <c r="N6393" s="3565">
        <v>0</v>
      </c>
      <c r="O6393" s="3563" t="s">
        <v>3453</v>
      </c>
    </row>
    <row r="6394" spans="1:15">
      <c r="A6394" s="3563" t="s">
        <v>10642</v>
      </c>
      <c r="B6394" s="3563" t="s">
        <v>4196</v>
      </c>
      <c r="C6394" s="3563" t="s">
        <v>4197</v>
      </c>
      <c r="D6394" s="3563" t="s">
        <v>10228</v>
      </c>
      <c r="E6394" s="3563" t="s">
        <v>4423</v>
      </c>
      <c r="F6394" s="3563" t="s">
        <v>4797</v>
      </c>
      <c r="G6394" s="3564">
        <v>123.11</v>
      </c>
      <c r="H6394" s="3564">
        <v>100.03</v>
      </c>
      <c r="I6394" s="3564">
        <v>23.08</v>
      </c>
      <c r="J6394" s="3565">
        <v>1354931</v>
      </c>
      <c r="K6394" s="3565">
        <v>11005.86</v>
      </c>
      <c r="L6394" s="3565">
        <v>13545.25</v>
      </c>
      <c r="M6394" s="3565">
        <v>0</v>
      </c>
      <c r="N6394" s="3565">
        <v>0</v>
      </c>
      <c r="O6394" s="3563" t="s">
        <v>3453</v>
      </c>
    </row>
    <row r="6395" spans="1:15">
      <c r="A6395" s="3563" t="s">
        <v>10643</v>
      </c>
      <c r="B6395" s="3563" t="s">
        <v>4196</v>
      </c>
      <c r="C6395" s="3563" t="s">
        <v>4197</v>
      </c>
      <c r="D6395" s="3563" t="s">
        <v>10228</v>
      </c>
      <c r="E6395" s="3563" t="s">
        <v>4423</v>
      </c>
      <c r="F6395" s="3563" t="s">
        <v>4797</v>
      </c>
      <c r="G6395" s="3564">
        <v>87.38</v>
      </c>
      <c r="H6395" s="3564">
        <v>71</v>
      </c>
      <c r="I6395" s="3564">
        <v>16.38</v>
      </c>
      <c r="J6395" s="3565">
        <v>910565</v>
      </c>
      <c r="K6395" s="3565">
        <v>10420.75</v>
      </c>
      <c r="L6395" s="3565">
        <v>12824.86</v>
      </c>
      <c r="M6395" s="3565">
        <v>0</v>
      </c>
      <c r="N6395" s="3565">
        <v>0</v>
      </c>
      <c r="O6395" s="3563" t="s">
        <v>3453</v>
      </c>
    </row>
    <row r="6396" spans="1:15">
      <c r="A6396" s="3563" t="s">
        <v>10644</v>
      </c>
      <c r="B6396" s="3563" t="s">
        <v>4196</v>
      </c>
      <c r="C6396" s="3563" t="s">
        <v>4197</v>
      </c>
      <c r="D6396" s="3563" t="s">
        <v>10228</v>
      </c>
      <c r="E6396" s="3563" t="s">
        <v>4423</v>
      </c>
      <c r="F6396" s="3563" t="s">
        <v>4797</v>
      </c>
      <c r="G6396" s="3564">
        <v>87.38</v>
      </c>
      <c r="H6396" s="3564">
        <v>71</v>
      </c>
      <c r="I6396" s="3564">
        <v>16.38</v>
      </c>
      <c r="J6396" s="3565">
        <v>910565</v>
      </c>
      <c r="K6396" s="3565">
        <v>10420.75</v>
      </c>
      <c r="L6396" s="3565">
        <v>12824.86</v>
      </c>
      <c r="M6396" s="3565">
        <v>0</v>
      </c>
      <c r="N6396" s="3565">
        <v>0</v>
      </c>
      <c r="O6396" s="3563" t="s">
        <v>3453</v>
      </c>
    </row>
    <row r="6397" spans="1:15">
      <c r="A6397" s="3563" t="s">
        <v>10645</v>
      </c>
      <c r="B6397" s="3563" t="s">
        <v>4196</v>
      </c>
      <c r="C6397" s="3563" t="s">
        <v>4197</v>
      </c>
      <c r="D6397" s="3563" t="s">
        <v>10228</v>
      </c>
      <c r="E6397" s="3563" t="s">
        <v>4423</v>
      </c>
      <c r="F6397" s="3563" t="s">
        <v>4797</v>
      </c>
      <c r="G6397" s="3564">
        <v>100.93</v>
      </c>
      <c r="H6397" s="3564">
        <v>82.01</v>
      </c>
      <c r="I6397" s="3564">
        <v>18.920000000000002</v>
      </c>
      <c r="J6397" s="3565">
        <v>1041029</v>
      </c>
      <c r="K6397" s="3565">
        <v>10314.370000000001</v>
      </c>
      <c r="L6397" s="3565">
        <v>12693.93</v>
      </c>
      <c r="M6397" s="3565">
        <v>0</v>
      </c>
      <c r="N6397" s="3565">
        <v>0</v>
      </c>
      <c r="O6397" s="3563" t="s">
        <v>3453</v>
      </c>
    </row>
    <row r="6398" spans="1:15">
      <c r="A6398" s="3563" t="s">
        <v>10646</v>
      </c>
      <c r="B6398" s="3563" t="s">
        <v>4196</v>
      </c>
      <c r="C6398" s="3563" t="s">
        <v>4197</v>
      </c>
      <c r="D6398" s="3563" t="s">
        <v>10228</v>
      </c>
      <c r="E6398" s="3563" t="s">
        <v>4423</v>
      </c>
      <c r="F6398" s="3563" t="s">
        <v>4797</v>
      </c>
      <c r="G6398" s="3564">
        <v>100.6</v>
      </c>
      <c r="H6398" s="3564">
        <v>81.739999999999995</v>
      </c>
      <c r="I6398" s="3564">
        <v>18.86</v>
      </c>
      <c r="J6398" s="3565">
        <v>1128593</v>
      </c>
      <c r="K6398" s="3565">
        <v>11218.62</v>
      </c>
      <c r="L6398" s="3565">
        <v>13807.11</v>
      </c>
      <c r="M6398" s="3565">
        <v>0</v>
      </c>
      <c r="N6398" s="3565">
        <v>0</v>
      </c>
      <c r="O6398" s="3563" t="s">
        <v>3453</v>
      </c>
    </row>
    <row r="6399" spans="1:15">
      <c r="A6399" s="3563" t="s">
        <v>10647</v>
      </c>
      <c r="B6399" s="3563" t="s">
        <v>4196</v>
      </c>
      <c r="C6399" s="3563" t="s">
        <v>4197</v>
      </c>
      <c r="D6399" s="3563" t="s">
        <v>10228</v>
      </c>
      <c r="E6399" s="3563" t="s">
        <v>4423</v>
      </c>
      <c r="F6399" s="3563" t="s">
        <v>4797</v>
      </c>
      <c r="G6399" s="3564">
        <v>100.6</v>
      </c>
      <c r="H6399" s="3564">
        <v>81.739999999999995</v>
      </c>
      <c r="I6399" s="3564">
        <v>18.86</v>
      </c>
      <c r="J6399" s="3565">
        <v>1128593</v>
      </c>
      <c r="K6399" s="3565">
        <v>11218.62</v>
      </c>
      <c r="L6399" s="3565">
        <v>13807.11</v>
      </c>
      <c r="M6399" s="3565">
        <v>0</v>
      </c>
      <c r="N6399" s="3565">
        <v>0</v>
      </c>
      <c r="O6399" s="3563" t="s">
        <v>3453</v>
      </c>
    </row>
    <row r="6400" spans="1:15">
      <c r="A6400" s="3563" t="s">
        <v>10648</v>
      </c>
      <c r="B6400" s="3563" t="s">
        <v>4196</v>
      </c>
      <c r="C6400" s="3563" t="s">
        <v>4197</v>
      </c>
      <c r="D6400" s="3563" t="s">
        <v>10228</v>
      </c>
      <c r="E6400" s="3563" t="s">
        <v>4423</v>
      </c>
      <c r="F6400" s="3563" t="s">
        <v>4797</v>
      </c>
      <c r="G6400" s="3564">
        <v>123.11</v>
      </c>
      <c r="H6400" s="3564">
        <v>100.03</v>
      </c>
      <c r="I6400" s="3564">
        <v>23.08</v>
      </c>
      <c r="J6400" s="3565">
        <v>1353621</v>
      </c>
      <c r="K6400" s="3565">
        <v>10995.22</v>
      </c>
      <c r="L6400" s="3565">
        <v>13532.15</v>
      </c>
      <c r="M6400" s="3565">
        <v>0</v>
      </c>
      <c r="N6400" s="3565">
        <v>0</v>
      </c>
      <c r="O6400" s="3563" t="s">
        <v>3453</v>
      </c>
    </row>
    <row r="6401" spans="1:15">
      <c r="A6401" s="3563" t="s">
        <v>10649</v>
      </c>
      <c r="B6401" s="3563" t="s">
        <v>4196</v>
      </c>
      <c r="C6401" s="3563" t="s">
        <v>4197</v>
      </c>
      <c r="D6401" s="3563" t="s">
        <v>10228</v>
      </c>
      <c r="E6401" s="3563" t="s">
        <v>4423</v>
      </c>
      <c r="F6401" s="3563" t="s">
        <v>4797</v>
      </c>
      <c r="G6401" s="3564">
        <v>87.38</v>
      </c>
      <c r="H6401" s="3564">
        <v>71</v>
      </c>
      <c r="I6401" s="3564">
        <v>16.38</v>
      </c>
      <c r="J6401" s="3565">
        <v>909636</v>
      </c>
      <c r="K6401" s="3565">
        <v>10410.120000000001</v>
      </c>
      <c r="L6401" s="3565">
        <v>12811.77</v>
      </c>
      <c r="M6401" s="3565">
        <v>0</v>
      </c>
      <c r="N6401" s="3565">
        <v>0</v>
      </c>
      <c r="O6401" s="3563" t="s">
        <v>3453</v>
      </c>
    </row>
    <row r="6402" spans="1:15">
      <c r="A6402" s="3563" t="s">
        <v>10650</v>
      </c>
      <c r="B6402" s="3563" t="s">
        <v>4196</v>
      </c>
      <c r="C6402" s="3563" t="s">
        <v>4197</v>
      </c>
      <c r="D6402" s="3563" t="s">
        <v>10228</v>
      </c>
      <c r="E6402" s="3563" t="s">
        <v>4423</v>
      </c>
      <c r="F6402" s="3563" t="s">
        <v>4797</v>
      </c>
      <c r="G6402" s="3564">
        <v>87.38</v>
      </c>
      <c r="H6402" s="3564">
        <v>71</v>
      </c>
      <c r="I6402" s="3564">
        <v>16.38</v>
      </c>
      <c r="J6402" s="3565">
        <v>909636</v>
      </c>
      <c r="K6402" s="3565">
        <v>10410.120000000001</v>
      </c>
      <c r="L6402" s="3565">
        <v>12811.77</v>
      </c>
      <c r="M6402" s="3565">
        <v>0</v>
      </c>
      <c r="N6402" s="3565">
        <v>0</v>
      </c>
      <c r="O6402" s="3563" t="s">
        <v>3453</v>
      </c>
    </row>
    <row r="6403" spans="1:15">
      <c r="A6403" s="3563" t="s">
        <v>10651</v>
      </c>
      <c r="B6403" s="3563" t="s">
        <v>4196</v>
      </c>
      <c r="C6403" s="3563" t="s">
        <v>4197</v>
      </c>
      <c r="D6403" s="3563" t="s">
        <v>10228</v>
      </c>
      <c r="E6403" s="3563" t="s">
        <v>4423</v>
      </c>
      <c r="F6403" s="3563" t="s">
        <v>4797</v>
      </c>
      <c r="G6403" s="3564">
        <v>100.93</v>
      </c>
      <c r="H6403" s="3564">
        <v>82.01</v>
      </c>
      <c r="I6403" s="3564">
        <v>18.920000000000002</v>
      </c>
      <c r="J6403" s="3565">
        <v>1039956</v>
      </c>
      <c r="K6403" s="3565">
        <v>10303.74</v>
      </c>
      <c r="L6403" s="3565">
        <v>12680.84</v>
      </c>
      <c r="M6403" s="3565">
        <v>0</v>
      </c>
      <c r="N6403" s="3565">
        <v>0</v>
      </c>
      <c r="O6403" s="3563" t="s">
        <v>3453</v>
      </c>
    </row>
    <row r="6404" spans="1:15">
      <c r="A6404" s="3563" t="s">
        <v>10652</v>
      </c>
      <c r="B6404" s="3563" t="s">
        <v>4196</v>
      </c>
      <c r="C6404" s="3563" t="s">
        <v>4197</v>
      </c>
      <c r="D6404" s="3563" t="s">
        <v>10228</v>
      </c>
      <c r="E6404" s="3563" t="s">
        <v>4423</v>
      </c>
      <c r="F6404" s="3563" t="s">
        <v>4797</v>
      </c>
      <c r="G6404" s="3564">
        <v>100.6</v>
      </c>
      <c r="H6404" s="3564">
        <v>81.739999999999995</v>
      </c>
      <c r="I6404" s="3564">
        <v>18.86</v>
      </c>
      <c r="J6404" s="3565">
        <v>1127523</v>
      </c>
      <c r="K6404" s="3565">
        <v>11207.98</v>
      </c>
      <c r="L6404" s="3565">
        <v>13794.02</v>
      </c>
      <c r="M6404" s="3565">
        <v>0</v>
      </c>
      <c r="N6404" s="3565">
        <v>0</v>
      </c>
      <c r="O6404" s="3563" t="s">
        <v>3453</v>
      </c>
    </row>
    <row r="6405" spans="1:15">
      <c r="A6405" s="3563" t="s">
        <v>10653</v>
      </c>
      <c r="B6405" s="3563" t="s">
        <v>4196</v>
      </c>
      <c r="C6405" s="3563" t="s">
        <v>4197</v>
      </c>
      <c r="D6405" s="3563" t="s">
        <v>10228</v>
      </c>
      <c r="E6405" s="3563" t="s">
        <v>4423</v>
      </c>
      <c r="F6405" s="3563" t="s">
        <v>4797</v>
      </c>
      <c r="G6405" s="3564">
        <v>100.6</v>
      </c>
      <c r="H6405" s="3564">
        <v>81.739999999999995</v>
      </c>
      <c r="I6405" s="3564">
        <v>18.86</v>
      </c>
      <c r="J6405" s="3565">
        <v>1127523</v>
      </c>
      <c r="K6405" s="3565">
        <v>11207.98</v>
      </c>
      <c r="L6405" s="3565">
        <v>13794.02</v>
      </c>
      <c r="M6405" s="3565">
        <v>0</v>
      </c>
      <c r="N6405" s="3565">
        <v>0</v>
      </c>
      <c r="O6405" s="3563" t="s">
        <v>3453</v>
      </c>
    </row>
    <row r="6406" spans="1:15">
      <c r="A6406" s="3563" t="s">
        <v>10654</v>
      </c>
      <c r="B6406" s="3563" t="s">
        <v>4196</v>
      </c>
      <c r="C6406" s="3563" t="s">
        <v>4197</v>
      </c>
      <c r="D6406" s="3563" t="s">
        <v>10228</v>
      </c>
      <c r="E6406" s="3563" t="s">
        <v>4423</v>
      </c>
      <c r="F6406" s="3563" t="s">
        <v>4797</v>
      </c>
      <c r="G6406" s="3564">
        <v>123.11</v>
      </c>
      <c r="H6406" s="3564">
        <v>100.03</v>
      </c>
      <c r="I6406" s="3564">
        <v>23.08</v>
      </c>
      <c r="J6406" s="3565">
        <v>1339214</v>
      </c>
      <c r="K6406" s="3565">
        <v>10878.19</v>
      </c>
      <c r="L6406" s="3565">
        <v>13388.12</v>
      </c>
      <c r="M6406" s="3565">
        <v>0</v>
      </c>
      <c r="N6406" s="3565">
        <v>0</v>
      </c>
      <c r="O6406" s="3563" t="s">
        <v>3453</v>
      </c>
    </row>
    <row r="6407" spans="1:15">
      <c r="A6407" s="3563" t="s">
        <v>10655</v>
      </c>
      <c r="B6407" s="3563" t="s">
        <v>4196</v>
      </c>
      <c r="C6407" s="3563" t="s">
        <v>4197</v>
      </c>
      <c r="D6407" s="3563" t="s">
        <v>10228</v>
      </c>
      <c r="E6407" s="3563" t="s">
        <v>4423</v>
      </c>
      <c r="F6407" s="3563" t="s">
        <v>4797</v>
      </c>
      <c r="G6407" s="3564">
        <v>87.38</v>
      </c>
      <c r="H6407" s="3564">
        <v>71</v>
      </c>
      <c r="I6407" s="3564">
        <v>16.38</v>
      </c>
      <c r="J6407" s="3565">
        <v>899410</v>
      </c>
      <c r="K6407" s="3565">
        <v>10293.09</v>
      </c>
      <c r="L6407" s="3565">
        <v>12667.75</v>
      </c>
      <c r="M6407" s="3565">
        <v>0</v>
      </c>
      <c r="N6407" s="3565">
        <v>0</v>
      </c>
      <c r="O6407" s="3563" t="s">
        <v>3453</v>
      </c>
    </row>
    <row r="6408" spans="1:15">
      <c r="A6408" s="3563" t="s">
        <v>10656</v>
      </c>
      <c r="B6408" s="3563" t="s">
        <v>4196</v>
      </c>
      <c r="C6408" s="3563" t="s">
        <v>4197</v>
      </c>
      <c r="D6408" s="3563" t="s">
        <v>10228</v>
      </c>
      <c r="E6408" s="3563" t="s">
        <v>4423</v>
      </c>
      <c r="F6408" s="3563" t="s">
        <v>4797</v>
      </c>
      <c r="G6408" s="3564">
        <v>87.38</v>
      </c>
      <c r="H6408" s="3564">
        <v>71</v>
      </c>
      <c r="I6408" s="3564">
        <v>16.38</v>
      </c>
      <c r="J6408" s="3565">
        <v>899410</v>
      </c>
      <c r="K6408" s="3565">
        <v>10293.09</v>
      </c>
      <c r="L6408" s="3565">
        <v>12667.75</v>
      </c>
      <c r="M6408" s="3565">
        <v>0</v>
      </c>
      <c r="N6408" s="3565">
        <v>0</v>
      </c>
      <c r="O6408" s="3563" t="s">
        <v>3453</v>
      </c>
    </row>
    <row r="6409" spans="1:15">
      <c r="A6409" s="3563" t="s">
        <v>10657</v>
      </c>
      <c r="B6409" s="3563" t="s">
        <v>4196</v>
      </c>
      <c r="C6409" s="3563" t="s">
        <v>4197</v>
      </c>
      <c r="D6409" s="3563" t="s">
        <v>10228</v>
      </c>
      <c r="E6409" s="3563" t="s">
        <v>4423</v>
      </c>
      <c r="F6409" s="3563" t="s">
        <v>4797</v>
      </c>
      <c r="G6409" s="3564">
        <v>100.93</v>
      </c>
      <c r="H6409" s="3564">
        <v>82.01</v>
      </c>
      <c r="I6409" s="3564">
        <v>18.920000000000002</v>
      </c>
      <c r="J6409" s="3565">
        <v>1036735</v>
      </c>
      <c r="K6409" s="3565">
        <v>10271.82</v>
      </c>
      <c r="L6409" s="3565">
        <v>12641.57</v>
      </c>
      <c r="M6409" s="3565">
        <v>0</v>
      </c>
      <c r="N6409" s="3565">
        <v>0</v>
      </c>
      <c r="O6409" s="3563" t="s">
        <v>3453</v>
      </c>
    </row>
    <row r="6410" spans="1:15">
      <c r="A6410" s="3563" t="s">
        <v>10658</v>
      </c>
      <c r="B6410" s="3563" t="s">
        <v>4196</v>
      </c>
      <c r="C6410" s="3563" t="s">
        <v>4197</v>
      </c>
      <c r="D6410" s="3563" t="s">
        <v>10228</v>
      </c>
      <c r="E6410" s="3563" t="s">
        <v>4423</v>
      </c>
      <c r="F6410" s="3563" t="s">
        <v>4797</v>
      </c>
      <c r="G6410" s="3564">
        <v>100.6</v>
      </c>
      <c r="H6410" s="3564">
        <v>81.739999999999995</v>
      </c>
      <c r="I6410" s="3564">
        <v>18.86</v>
      </c>
      <c r="J6410" s="3565">
        <v>1115750</v>
      </c>
      <c r="K6410" s="3565">
        <v>11090.95</v>
      </c>
      <c r="L6410" s="3565">
        <v>13649.99</v>
      </c>
      <c r="M6410" s="3565">
        <v>0</v>
      </c>
      <c r="N6410" s="3565">
        <v>0</v>
      </c>
      <c r="O6410" s="3563" t="s">
        <v>3453</v>
      </c>
    </row>
    <row r="6411" spans="1:15">
      <c r="A6411" s="3563" t="s">
        <v>10659</v>
      </c>
      <c r="B6411" s="3563" t="s">
        <v>4196</v>
      </c>
      <c r="C6411" s="3563" t="s">
        <v>4197</v>
      </c>
      <c r="D6411" s="3563" t="s">
        <v>10228</v>
      </c>
      <c r="E6411" s="3563" t="s">
        <v>4423</v>
      </c>
      <c r="F6411" s="3563" t="s">
        <v>4797</v>
      </c>
      <c r="G6411" s="3564">
        <v>100.6</v>
      </c>
      <c r="H6411" s="3564">
        <v>81.739999999999995</v>
      </c>
      <c r="I6411" s="3564">
        <v>18.86</v>
      </c>
      <c r="J6411" s="3565">
        <v>1115750</v>
      </c>
      <c r="K6411" s="3565">
        <v>11090.95</v>
      </c>
      <c r="L6411" s="3565">
        <v>13649.99</v>
      </c>
      <c r="M6411" s="3565">
        <v>0</v>
      </c>
      <c r="N6411" s="3565">
        <v>0</v>
      </c>
      <c r="O6411" s="3563" t="s">
        <v>3453</v>
      </c>
    </row>
    <row r="6412" spans="1:15">
      <c r="A6412" s="3563" t="s">
        <v>10660</v>
      </c>
      <c r="B6412" s="3563" t="s">
        <v>4196</v>
      </c>
      <c r="C6412" s="3563" t="s">
        <v>4197</v>
      </c>
      <c r="D6412" s="3563" t="s">
        <v>10228</v>
      </c>
      <c r="E6412" s="3563" t="s">
        <v>4423</v>
      </c>
      <c r="F6412" s="3563" t="s">
        <v>4797</v>
      </c>
      <c r="G6412" s="3564">
        <v>123.11</v>
      </c>
      <c r="H6412" s="3564">
        <v>100.03</v>
      </c>
      <c r="I6412" s="3564">
        <v>23.08</v>
      </c>
      <c r="J6412" s="3565">
        <v>1351002</v>
      </c>
      <c r="K6412" s="3565">
        <v>10973.94</v>
      </c>
      <c r="L6412" s="3565">
        <v>13505.97</v>
      </c>
      <c r="M6412" s="3565">
        <v>0</v>
      </c>
      <c r="N6412" s="3565">
        <v>0</v>
      </c>
      <c r="O6412" s="3563" t="s">
        <v>3453</v>
      </c>
    </row>
    <row r="6413" spans="1:15">
      <c r="A6413" s="3563" t="s">
        <v>10661</v>
      </c>
      <c r="B6413" s="3563" t="s">
        <v>4196</v>
      </c>
      <c r="C6413" s="3563" t="s">
        <v>4197</v>
      </c>
      <c r="D6413" s="3563" t="s">
        <v>10228</v>
      </c>
      <c r="E6413" s="3563" t="s">
        <v>4423</v>
      </c>
      <c r="F6413" s="3563" t="s">
        <v>4797</v>
      </c>
      <c r="G6413" s="3564">
        <v>87.38</v>
      </c>
      <c r="H6413" s="3564">
        <v>71</v>
      </c>
      <c r="I6413" s="3564">
        <v>16.38</v>
      </c>
      <c r="J6413" s="3565">
        <v>907776</v>
      </c>
      <c r="K6413" s="3565">
        <v>10388.83</v>
      </c>
      <c r="L6413" s="3565">
        <v>12785.58</v>
      </c>
      <c r="M6413" s="3565">
        <v>0</v>
      </c>
      <c r="N6413" s="3565">
        <v>0</v>
      </c>
      <c r="O6413" s="3563" t="s">
        <v>3453</v>
      </c>
    </row>
    <row r="6414" spans="1:15">
      <c r="A6414" s="3563" t="s">
        <v>10662</v>
      </c>
      <c r="B6414" s="3563" t="s">
        <v>4196</v>
      </c>
      <c r="C6414" s="3563" t="s">
        <v>4197</v>
      </c>
      <c r="D6414" s="3563" t="s">
        <v>10228</v>
      </c>
      <c r="E6414" s="3563" t="s">
        <v>4423</v>
      </c>
      <c r="F6414" s="3563" t="s">
        <v>4797</v>
      </c>
      <c r="G6414" s="3564">
        <v>87.38</v>
      </c>
      <c r="H6414" s="3564">
        <v>71</v>
      </c>
      <c r="I6414" s="3564">
        <v>16.38</v>
      </c>
      <c r="J6414" s="3565">
        <v>907776</v>
      </c>
      <c r="K6414" s="3565">
        <v>10388.83</v>
      </c>
      <c r="L6414" s="3565">
        <v>12785.58</v>
      </c>
      <c r="M6414" s="3565">
        <v>0</v>
      </c>
      <c r="N6414" s="3565">
        <v>0</v>
      </c>
      <c r="O6414" s="3563" t="s">
        <v>3453</v>
      </c>
    </row>
    <row r="6415" spans="1:15">
      <c r="A6415" s="3563" t="s">
        <v>10663</v>
      </c>
      <c r="B6415" s="3563" t="s">
        <v>4196</v>
      </c>
      <c r="C6415" s="3563" t="s">
        <v>4197</v>
      </c>
      <c r="D6415" s="3563" t="s">
        <v>10228</v>
      </c>
      <c r="E6415" s="3563" t="s">
        <v>4423</v>
      </c>
      <c r="F6415" s="3563" t="s">
        <v>4797</v>
      </c>
      <c r="G6415" s="3564">
        <v>100.93</v>
      </c>
      <c r="H6415" s="3564">
        <v>82.01</v>
      </c>
      <c r="I6415" s="3564">
        <v>18.920000000000002</v>
      </c>
      <c r="J6415" s="3565">
        <v>1037808</v>
      </c>
      <c r="K6415" s="3565">
        <v>10282.450000000001</v>
      </c>
      <c r="L6415" s="3565">
        <v>12654.65</v>
      </c>
      <c r="M6415" s="3565">
        <v>0</v>
      </c>
      <c r="N6415" s="3565">
        <v>0</v>
      </c>
      <c r="O6415" s="3563" t="s">
        <v>3453</v>
      </c>
    </row>
    <row r="6416" spans="1:15">
      <c r="A6416" s="3563" t="s">
        <v>10664</v>
      </c>
      <c r="B6416" s="3563" t="s">
        <v>4196</v>
      </c>
      <c r="C6416" s="3563" t="s">
        <v>4197</v>
      </c>
      <c r="D6416" s="3563" t="s">
        <v>10228</v>
      </c>
      <c r="E6416" s="3563" t="s">
        <v>4423</v>
      </c>
      <c r="F6416" s="3563" t="s">
        <v>4797</v>
      </c>
      <c r="G6416" s="3564">
        <v>100.6</v>
      </c>
      <c r="H6416" s="3564">
        <v>81.739999999999995</v>
      </c>
      <c r="I6416" s="3564">
        <v>18.86</v>
      </c>
      <c r="J6416" s="3565">
        <v>1125382</v>
      </c>
      <c r="K6416" s="3565">
        <v>11186.7</v>
      </c>
      <c r="L6416" s="3565">
        <v>13767.82</v>
      </c>
      <c r="M6416" s="3565">
        <v>0</v>
      </c>
      <c r="N6416" s="3565">
        <v>0</v>
      </c>
      <c r="O6416" s="3563" t="s">
        <v>3453</v>
      </c>
    </row>
    <row r="6417" spans="1:15">
      <c r="A6417" s="3563" t="s">
        <v>10665</v>
      </c>
      <c r="B6417" s="3563" t="s">
        <v>4196</v>
      </c>
      <c r="C6417" s="3563" t="s">
        <v>4197</v>
      </c>
      <c r="D6417" s="3563" t="s">
        <v>10228</v>
      </c>
      <c r="E6417" s="3563" t="s">
        <v>4423</v>
      </c>
      <c r="F6417" s="3563" t="s">
        <v>4797</v>
      </c>
      <c r="G6417" s="3564">
        <v>100.6</v>
      </c>
      <c r="H6417" s="3564">
        <v>81.739999999999995</v>
      </c>
      <c r="I6417" s="3564">
        <v>18.86</v>
      </c>
      <c r="J6417" s="3565">
        <v>1125382</v>
      </c>
      <c r="K6417" s="3565">
        <v>11186.7</v>
      </c>
      <c r="L6417" s="3565">
        <v>13767.82</v>
      </c>
      <c r="M6417" s="3565">
        <v>0</v>
      </c>
      <c r="N6417" s="3565">
        <v>0</v>
      </c>
      <c r="O6417" s="3563" t="s">
        <v>3453</v>
      </c>
    </row>
    <row r="6418" spans="1:15">
      <c r="A6418" s="3563" t="s">
        <v>10666</v>
      </c>
      <c r="B6418" s="3563" t="s">
        <v>4196</v>
      </c>
      <c r="C6418" s="3563" t="s">
        <v>4197</v>
      </c>
      <c r="D6418" s="3563" t="s">
        <v>10228</v>
      </c>
      <c r="E6418" s="3563" t="s">
        <v>4423</v>
      </c>
      <c r="F6418" s="3563" t="s">
        <v>4797</v>
      </c>
      <c r="G6418" s="3564">
        <v>124.46</v>
      </c>
      <c r="H6418" s="3564">
        <v>100.03</v>
      </c>
      <c r="I6418" s="3564">
        <v>24.43</v>
      </c>
      <c r="J6418" s="3565">
        <v>1278430</v>
      </c>
      <c r="K6418" s="3565">
        <v>10271.81</v>
      </c>
      <c r="L6418" s="3565">
        <v>12780.47</v>
      </c>
      <c r="M6418" s="3565">
        <v>0</v>
      </c>
      <c r="N6418" s="3565">
        <v>0</v>
      </c>
      <c r="O6418" s="3563" t="s">
        <v>3453</v>
      </c>
    </row>
    <row r="6419" spans="1:15">
      <c r="A6419" s="3563" t="s">
        <v>10667</v>
      </c>
      <c r="B6419" s="3563" t="s">
        <v>4196</v>
      </c>
      <c r="C6419" s="3563" t="s">
        <v>4197</v>
      </c>
      <c r="D6419" s="3563" t="s">
        <v>10228</v>
      </c>
      <c r="E6419" s="3563" t="s">
        <v>4423</v>
      </c>
      <c r="F6419" s="3563" t="s">
        <v>4797</v>
      </c>
      <c r="G6419" s="3564">
        <v>88.34</v>
      </c>
      <c r="H6419" s="3564">
        <v>71</v>
      </c>
      <c r="I6419" s="3564">
        <v>17.34</v>
      </c>
      <c r="J6419" s="3565">
        <v>907412</v>
      </c>
      <c r="K6419" s="3565">
        <v>10271.81</v>
      </c>
      <c r="L6419" s="3565">
        <v>12780.45</v>
      </c>
      <c r="M6419" s="3565">
        <v>0</v>
      </c>
      <c r="N6419" s="3565">
        <v>0</v>
      </c>
      <c r="O6419" s="3563" t="s">
        <v>3453</v>
      </c>
    </row>
    <row r="6420" spans="1:15">
      <c r="A6420" s="3563" t="s">
        <v>10668</v>
      </c>
      <c r="B6420" s="3563" t="s">
        <v>4196</v>
      </c>
      <c r="C6420" s="3563" t="s">
        <v>4197</v>
      </c>
      <c r="D6420" s="3563" t="s">
        <v>10228</v>
      </c>
      <c r="E6420" s="3563" t="s">
        <v>4423</v>
      </c>
      <c r="F6420" s="3563" t="s">
        <v>4797</v>
      </c>
      <c r="G6420" s="3564">
        <v>102.04</v>
      </c>
      <c r="H6420" s="3564">
        <v>82.01</v>
      </c>
      <c r="I6420" s="3564">
        <v>20.03</v>
      </c>
      <c r="J6420" s="3565">
        <v>1048136</v>
      </c>
      <c r="K6420" s="3565">
        <v>10271.81</v>
      </c>
      <c r="L6420" s="3565">
        <v>12780.59</v>
      </c>
      <c r="M6420" s="3565">
        <v>0</v>
      </c>
      <c r="N6420" s="3565">
        <v>0</v>
      </c>
      <c r="O6420" s="3563" t="s">
        <v>3453</v>
      </c>
    </row>
    <row r="6421" spans="1:15">
      <c r="A6421" s="3563" t="s">
        <v>10669</v>
      </c>
      <c r="B6421" s="3563" t="s">
        <v>4196</v>
      </c>
      <c r="C6421" s="3563" t="s">
        <v>4197</v>
      </c>
      <c r="D6421" s="3563" t="s">
        <v>10228</v>
      </c>
      <c r="E6421" s="3563" t="s">
        <v>4423</v>
      </c>
      <c r="F6421" s="3563" t="s">
        <v>4797</v>
      </c>
      <c r="G6421" s="3564">
        <v>101.7</v>
      </c>
      <c r="H6421" s="3564">
        <v>81.739999999999995</v>
      </c>
      <c r="I6421" s="3564">
        <v>19.96</v>
      </c>
      <c r="J6421" s="3565">
        <v>1044643</v>
      </c>
      <c r="K6421" s="3565">
        <v>10271.81</v>
      </c>
      <c r="L6421" s="3565">
        <v>12780.07</v>
      </c>
      <c r="M6421" s="3565">
        <v>0</v>
      </c>
      <c r="N6421" s="3565">
        <v>0</v>
      </c>
      <c r="O6421" s="3563" t="s">
        <v>3453</v>
      </c>
    </row>
    <row r="6422" spans="1:15">
      <c r="A6422" s="3563" t="s">
        <v>10670</v>
      </c>
      <c r="B6422" s="3563" t="s">
        <v>4196</v>
      </c>
      <c r="C6422" s="3563" t="s">
        <v>4197</v>
      </c>
      <c r="D6422" s="3563" t="s">
        <v>10228</v>
      </c>
      <c r="E6422" s="3563" t="s">
        <v>4423</v>
      </c>
      <c r="F6422" s="3563" t="s">
        <v>4797</v>
      </c>
      <c r="G6422" s="3564">
        <v>101.7</v>
      </c>
      <c r="H6422" s="3564">
        <v>81.739999999999995</v>
      </c>
      <c r="I6422" s="3564">
        <v>19.96</v>
      </c>
      <c r="J6422" s="3565">
        <v>1044643</v>
      </c>
      <c r="K6422" s="3565">
        <v>10271.81</v>
      </c>
      <c r="L6422" s="3565">
        <v>12780.07</v>
      </c>
      <c r="M6422" s="3565">
        <v>0</v>
      </c>
      <c r="N6422" s="3565">
        <v>0</v>
      </c>
      <c r="O6422" s="3563" t="s">
        <v>3453</v>
      </c>
    </row>
    <row r="6423" spans="1:15">
      <c r="A6423" s="3563" t="s">
        <v>10671</v>
      </c>
      <c r="B6423" s="3563" t="s">
        <v>4196</v>
      </c>
      <c r="C6423" s="3563" t="s">
        <v>4197</v>
      </c>
      <c r="D6423" s="3563" t="s">
        <v>10228</v>
      </c>
      <c r="E6423" s="3563" t="s">
        <v>4423</v>
      </c>
      <c r="F6423" s="3563" t="s">
        <v>4797</v>
      </c>
      <c r="G6423" s="3564">
        <v>123.11</v>
      </c>
      <c r="H6423" s="3564">
        <v>100.03</v>
      </c>
      <c r="I6423" s="3564">
        <v>23.08</v>
      </c>
      <c r="J6423" s="3565">
        <v>1349692</v>
      </c>
      <c r="K6423" s="3565">
        <v>10963.3</v>
      </c>
      <c r="L6423" s="3565">
        <v>13492.87</v>
      </c>
      <c r="M6423" s="3565">
        <v>0</v>
      </c>
      <c r="N6423" s="3565">
        <v>0</v>
      </c>
      <c r="O6423" s="3563" t="s">
        <v>3453</v>
      </c>
    </row>
    <row r="6424" spans="1:15">
      <c r="A6424" s="3563" t="s">
        <v>10672</v>
      </c>
      <c r="B6424" s="3563" t="s">
        <v>4196</v>
      </c>
      <c r="C6424" s="3563" t="s">
        <v>4197</v>
      </c>
      <c r="D6424" s="3563" t="s">
        <v>10228</v>
      </c>
      <c r="E6424" s="3563" t="s">
        <v>4423</v>
      </c>
      <c r="F6424" s="3563" t="s">
        <v>4797</v>
      </c>
      <c r="G6424" s="3564">
        <v>87.38</v>
      </c>
      <c r="H6424" s="3564">
        <v>71</v>
      </c>
      <c r="I6424" s="3564">
        <v>16.38</v>
      </c>
      <c r="J6424" s="3565">
        <v>906847</v>
      </c>
      <c r="K6424" s="3565">
        <v>10378.200000000001</v>
      </c>
      <c r="L6424" s="3565">
        <v>12772.49</v>
      </c>
      <c r="M6424" s="3565">
        <v>0</v>
      </c>
      <c r="N6424" s="3565">
        <v>0</v>
      </c>
      <c r="O6424" s="3563" t="s">
        <v>3453</v>
      </c>
    </row>
    <row r="6425" spans="1:15">
      <c r="A6425" s="3563" t="s">
        <v>10673</v>
      </c>
      <c r="B6425" s="3563" t="s">
        <v>4196</v>
      </c>
      <c r="C6425" s="3563" t="s">
        <v>4197</v>
      </c>
      <c r="D6425" s="3563" t="s">
        <v>10228</v>
      </c>
      <c r="E6425" s="3563" t="s">
        <v>4423</v>
      </c>
      <c r="F6425" s="3563" t="s">
        <v>4797</v>
      </c>
      <c r="G6425" s="3564">
        <v>87.38</v>
      </c>
      <c r="H6425" s="3564">
        <v>71</v>
      </c>
      <c r="I6425" s="3564">
        <v>16.38</v>
      </c>
      <c r="J6425" s="3565">
        <v>906847</v>
      </c>
      <c r="K6425" s="3565">
        <v>10378.200000000001</v>
      </c>
      <c r="L6425" s="3565">
        <v>12772.49</v>
      </c>
      <c r="M6425" s="3565">
        <v>0</v>
      </c>
      <c r="N6425" s="3565">
        <v>0</v>
      </c>
      <c r="O6425" s="3563" t="s">
        <v>3453</v>
      </c>
    </row>
    <row r="6426" spans="1:15">
      <c r="A6426" s="3563" t="s">
        <v>10674</v>
      </c>
      <c r="B6426" s="3563" t="s">
        <v>4196</v>
      </c>
      <c r="C6426" s="3563" t="s">
        <v>4197</v>
      </c>
      <c r="D6426" s="3563" t="s">
        <v>10228</v>
      </c>
      <c r="E6426" s="3563" t="s">
        <v>4423</v>
      </c>
      <c r="F6426" s="3563" t="s">
        <v>4797</v>
      </c>
      <c r="G6426" s="3564">
        <v>100.93</v>
      </c>
      <c r="H6426" s="3564">
        <v>82.01</v>
      </c>
      <c r="I6426" s="3564">
        <v>18.920000000000002</v>
      </c>
      <c r="J6426" s="3565">
        <v>1036735</v>
      </c>
      <c r="K6426" s="3565">
        <v>10271.82</v>
      </c>
      <c r="L6426" s="3565">
        <v>12641.57</v>
      </c>
      <c r="M6426" s="3565">
        <v>0</v>
      </c>
      <c r="N6426" s="3565">
        <v>0</v>
      </c>
      <c r="O6426" s="3563" t="s">
        <v>3453</v>
      </c>
    </row>
    <row r="6427" spans="1:15">
      <c r="A6427" s="3563" t="s">
        <v>10675</v>
      </c>
      <c r="B6427" s="3563" t="s">
        <v>4196</v>
      </c>
      <c r="C6427" s="3563" t="s">
        <v>4197</v>
      </c>
      <c r="D6427" s="3563" t="s">
        <v>10228</v>
      </c>
      <c r="E6427" s="3563" t="s">
        <v>4423</v>
      </c>
      <c r="F6427" s="3563" t="s">
        <v>4797</v>
      </c>
      <c r="G6427" s="3564">
        <v>100.6</v>
      </c>
      <c r="H6427" s="3564">
        <v>81.739999999999995</v>
      </c>
      <c r="I6427" s="3564">
        <v>18.86</v>
      </c>
      <c r="J6427" s="3565">
        <v>1124312</v>
      </c>
      <c r="K6427" s="3565">
        <v>11176.06</v>
      </c>
      <c r="L6427" s="3565">
        <v>13754.73</v>
      </c>
      <c r="M6427" s="3565">
        <v>0</v>
      </c>
      <c r="N6427" s="3565">
        <v>0</v>
      </c>
      <c r="O6427" s="3563" t="s">
        <v>3453</v>
      </c>
    </row>
    <row r="6428" spans="1:15">
      <c r="A6428" s="3563" t="s">
        <v>10676</v>
      </c>
      <c r="B6428" s="3563" t="s">
        <v>4196</v>
      </c>
      <c r="C6428" s="3563" t="s">
        <v>4197</v>
      </c>
      <c r="D6428" s="3563" t="s">
        <v>10228</v>
      </c>
      <c r="E6428" s="3563" t="s">
        <v>4423</v>
      </c>
      <c r="F6428" s="3563" t="s">
        <v>4797</v>
      </c>
      <c r="G6428" s="3564">
        <v>100.6</v>
      </c>
      <c r="H6428" s="3564">
        <v>81.739999999999995</v>
      </c>
      <c r="I6428" s="3564">
        <v>18.86</v>
      </c>
      <c r="J6428" s="3565">
        <v>1124312</v>
      </c>
      <c r="K6428" s="3565">
        <v>11176.06</v>
      </c>
      <c r="L6428" s="3565">
        <v>13754.73</v>
      </c>
      <c r="M6428" s="3565">
        <v>0</v>
      </c>
      <c r="N6428" s="3565">
        <v>0</v>
      </c>
      <c r="O6428" s="3563" t="s">
        <v>3453</v>
      </c>
    </row>
    <row r="6429" spans="1:15">
      <c r="A6429" s="3563" t="s">
        <v>10677</v>
      </c>
      <c r="B6429" s="3563" t="s">
        <v>4196</v>
      </c>
      <c r="C6429" s="3563" t="s">
        <v>4197</v>
      </c>
      <c r="D6429" s="3563" t="s">
        <v>10228</v>
      </c>
      <c r="E6429" s="3563" t="s">
        <v>4423</v>
      </c>
      <c r="F6429" s="3563" t="s">
        <v>4797</v>
      </c>
      <c r="G6429" s="3564">
        <v>123.11</v>
      </c>
      <c r="H6429" s="3564">
        <v>100.03</v>
      </c>
      <c r="I6429" s="3564">
        <v>23.08</v>
      </c>
      <c r="J6429" s="3565">
        <v>1348382</v>
      </c>
      <c r="K6429" s="3565">
        <v>10952.66</v>
      </c>
      <c r="L6429" s="3565">
        <v>13479.78</v>
      </c>
      <c r="M6429" s="3565">
        <v>0</v>
      </c>
      <c r="N6429" s="3565">
        <v>0</v>
      </c>
      <c r="O6429" s="3563" t="s">
        <v>3453</v>
      </c>
    </row>
    <row r="6430" spans="1:15">
      <c r="A6430" s="3563" t="s">
        <v>10678</v>
      </c>
      <c r="B6430" s="3563" t="s">
        <v>4196</v>
      </c>
      <c r="C6430" s="3563" t="s">
        <v>4197</v>
      </c>
      <c r="D6430" s="3563" t="s">
        <v>10228</v>
      </c>
      <c r="E6430" s="3563" t="s">
        <v>4423</v>
      </c>
      <c r="F6430" s="3563" t="s">
        <v>4797</v>
      </c>
      <c r="G6430" s="3564">
        <v>87.38</v>
      </c>
      <c r="H6430" s="3564">
        <v>71</v>
      </c>
      <c r="I6430" s="3564">
        <v>16.38</v>
      </c>
      <c r="J6430" s="3565">
        <v>905918</v>
      </c>
      <c r="K6430" s="3565">
        <v>10367.57</v>
      </c>
      <c r="L6430" s="3565">
        <v>12759.41</v>
      </c>
      <c r="M6430" s="3565">
        <v>0</v>
      </c>
      <c r="N6430" s="3565">
        <v>0</v>
      </c>
      <c r="O6430" s="3563" t="s">
        <v>3453</v>
      </c>
    </row>
    <row r="6431" spans="1:15">
      <c r="A6431" s="3563" t="s">
        <v>10679</v>
      </c>
      <c r="B6431" s="3563" t="s">
        <v>4196</v>
      </c>
      <c r="C6431" s="3563" t="s">
        <v>4197</v>
      </c>
      <c r="D6431" s="3563" t="s">
        <v>10228</v>
      </c>
      <c r="E6431" s="3563" t="s">
        <v>4423</v>
      </c>
      <c r="F6431" s="3563" t="s">
        <v>4797</v>
      </c>
      <c r="G6431" s="3564">
        <v>87.38</v>
      </c>
      <c r="H6431" s="3564">
        <v>71</v>
      </c>
      <c r="I6431" s="3564">
        <v>16.38</v>
      </c>
      <c r="J6431" s="3565">
        <v>905918</v>
      </c>
      <c r="K6431" s="3565">
        <v>10367.57</v>
      </c>
      <c r="L6431" s="3565">
        <v>12759.41</v>
      </c>
      <c r="M6431" s="3565">
        <v>0</v>
      </c>
      <c r="N6431" s="3565">
        <v>0</v>
      </c>
      <c r="O6431" s="3563" t="s">
        <v>3453</v>
      </c>
    </row>
    <row r="6432" spans="1:15">
      <c r="A6432" s="3563" t="s">
        <v>10680</v>
      </c>
      <c r="B6432" s="3563" t="s">
        <v>4196</v>
      </c>
      <c r="C6432" s="3563" t="s">
        <v>4197</v>
      </c>
      <c r="D6432" s="3563" t="s">
        <v>10228</v>
      </c>
      <c r="E6432" s="3563" t="s">
        <v>4423</v>
      </c>
      <c r="F6432" s="3563" t="s">
        <v>4797</v>
      </c>
      <c r="G6432" s="3564">
        <v>100.93</v>
      </c>
      <c r="H6432" s="3564">
        <v>82.01</v>
      </c>
      <c r="I6432" s="3564">
        <v>18.920000000000002</v>
      </c>
      <c r="J6432" s="3565">
        <v>1036735</v>
      </c>
      <c r="K6432" s="3565">
        <v>10271.82</v>
      </c>
      <c r="L6432" s="3565">
        <v>12641.57</v>
      </c>
      <c r="M6432" s="3565">
        <v>0</v>
      </c>
      <c r="N6432" s="3565">
        <v>0</v>
      </c>
      <c r="O6432" s="3563" t="s">
        <v>3453</v>
      </c>
    </row>
    <row r="6433" spans="1:15">
      <c r="A6433" s="3563" t="s">
        <v>10681</v>
      </c>
      <c r="B6433" s="3563" t="s">
        <v>4196</v>
      </c>
      <c r="C6433" s="3563" t="s">
        <v>4197</v>
      </c>
      <c r="D6433" s="3563" t="s">
        <v>10228</v>
      </c>
      <c r="E6433" s="3563" t="s">
        <v>4423</v>
      </c>
      <c r="F6433" s="3563" t="s">
        <v>4797</v>
      </c>
      <c r="G6433" s="3564">
        <v>100.6</v>
      </c>
      <c r="H6433" s="3564">
        <v>81.739999999999995</v>
      </c>
      <c r="I6433" s="3564">
        <v>18.86</v>
      </c>
      <c r="J6433" s="3565">
        <v>1123242</v>
      </c>
      <c r="K6433" s="3565">
        <v>11165.43</v>
      </c>
      <c r="L6433" s="3565">
        <v>13741.64</v>
      </c>
      <c r="M6433" s="3565">
        <v>0</v>
      </c>
      <c r="N6433" s="3565">
        <v>0</v>
      </c>
      <c r="O6433" s="3563" t="s">
        <v>3453</v>
      </c>
    </row>
    <row r="6434" spans="1:15">
      <c r="A6434" s="3563" t="s">
        <v>10682</v>
      </c>
      <c r="B6434" s="3563" t="s">
        <v>4196</v>
      </c>
      <c r="C6434" s="3563" t="s">
        <v>4197</v>
      </c>
      <c r="D6434" s="3563" t="s">
        <v>10228</v>
      </c>
      <c r="E6434" s="3563" t="s">
        <v>4423</v>
      </c>
      <c r="F6434" s="3563" t="s">
        <v>4797</v>
      </c>
      <c r="G6434" s="3564">
        <v>100.6</v>
      </c>
      <c r="H6434" s="3564">
        <v>81.739999999999995</v>
      </c>
      <c r="I6434" s="3564">
        <v>18.86</v>
      </c>
      <c r="J6434" s="3565">
        <v>1123242</v>
      </c>
      <c r="K6434" s="3565">
        <v>11165.43</v>
      </c>
      <c r="L6434" s="3565">
        <v>13741.64</v>
      </c>
      <c r="M6434" s="3565">
        <v>0</v>
      </c>
      <c r="N6434" s="3565">
        <v>0</v>
      </c>
      <c r="O6434" s="3563" t="s">
        <v>3453</v>
      </c>
    </row>
    <row r="6435" spans="1:15">
      <c r="A6435" s="3563" t="s">
        <v>10683</v>
      </c>
      <c r="B6435" s="3563" t="s">
        <v>4196</v>
      </c>
      <c r="C6435" s="3563" t="s">
        <v>4197</v>
      </c>
      <c r="D6435" s="3563" t="s">
        <v>10228</v>
      </c>
      <c r="E6435" s="3563" t="s">
        <v>4423</v>
      </c>
      <c r="F6435" s="3563" t="s">
        <v>4797</v>
      </c>
      <c r="G6435" s="3564">
        <v>123.11</v>
      </c>
      <c r="H6435" s="3564">
        <v>100.03</v>
      </c>
      <c r="I6435" s="3564">
        <v>23.08</v>
      </c>
      <c r="J6435" s="3565">
        <v>1347073</v>
      </c>
      <c r="K6435" s="3565">
        <v>10942.03</v>
      </c>
      <c r="L6435" s="3565">
        <v>13466.69</v>
      </c>
      <c r="M6435" s="3565">
        <v>0</v>
      </c>
      <c r="N6435" s="3565">
        <v>0</v>
      </c>
      <c r="O6435" s="3563" t="s">
        <v>3453</v>
      </c>
    </row>
    <row r="6436" spans="1:15">
      <c r="A6436" s="3563" t="s">
        <v>10684</v>
      </c>
      <c r="B6436" s="3563" t="s">
        <v>4196</v>
      </c>
      <c r="C6436" s="3563" t="s">
        <v>4197</v>
      </c>
      <c r="D6436" s="3563" t="s">
        <v>10228</v>
      </c>
      <c r="E6436" s="3563" t="s">
        <v>4423</v>
      </c>
      <c r="F6436" s="3563" t="s">
        <v>4797</v>
      </c>
      <c r="G6436" s="3564">
        <v>87.38</v>
      </c>
      <c r="H6436" s="3564">
        <v>71</v>
      </c>
      <c r="I6436" s="3564">
        <v>16.38</v>
      </c>
      <c r="J6436" s="3565">
        <v>904988</v>
      </c>
      <c r="K6436" s="3565">
        <v>10356.92</v>
      </c>
      <c r="L6436" s="3565">
        <v>12746.31</v>
      </c>
      <c r="M6436" s="3565">
        <v>0</v>
      </c>
      <c r="N6436" s="3565">
        <v>0</v>
      </c>
      <c r="O6436" s="3563" t="s">
        <v>3453</v>
      </c>
    </row>
    <row r="6437" spans="1:15">
      <c r="A6437" s="3563" t="s">
        <v>10685</v>
      </c>
      <c r="B6437" s="3563" t="s">
        <v>4196</v>
      </c>
      <c r="C6437" s="3563" t="s">
        <v>4197</v>
      </c>
      <c r="D6437" s="3563" t="s">
        <v>10228</v>
      </c>
      <c r="E6437" s="3563" t="s">
        <v>4423</v>
      </c>
      <c r="F6437" s="3563" t="s">
        <v>4797</v>
      </c>
      <c r="G6437" s="3564">
        <v>87.38</v>
      </c>
      <c r="H6437" s="3564">
        <v>71</v>
      </c>
      <c r="I6437" s="3564">
        <v>16.38</v>
      </c>
      <c r="J6437" s="3565">
        <v>904988</v>
      </c>
      <c r="K6437" s="3565">
        <v>10356.92</v>
      </c>
      <c r="L6437" s="3565">
        <v>12746.31</v>
      </c>
      <c r="M6437" s="3565">
        <v>0</v>
      </c>
      <c r="N6437" s="3565">
        <v>0</v>
      </c>
      <c r="O6437" s="3563" t="s">
        <v>3453</v>
      </c>
    </row>
    <row r="6438" spans="1:15">
      <c r="A6438" s="3563" t="s">
        <v>10686</v>
      </c>
      <c r="B6438" s="3563" t="s">
        <v>4196</v>
      </c>
      <c r="C6438" s="3563" t="s">
        <v>4197</v>
      </c>
      <c r="D6438" s="3563" t="s">
        <v>10228</v>
      </c>
      <c r="E6438" s="3563" t="s">
        <v>4423</v>
      </c>
      <c r="F6438" s="3563" t="s">
        <v>4797</v>
      </c>
      <c r="G6438" s="3564">
        <v>100.93</v>
      </c>
      <c r="H6438" s="3564">
        <v>82.01</v>
      </c>
      <c r="I6438" s="3564">
        <v>18.920000000000002</v>
      </c>
      <c r="J6438" s="3565">
        <v>1036735</v>
      </c>
      <c r="K6438" s="3565">
        <v>10271.82</v>
      </c>
      <c r="L6438" s="3565">
        <v>12641.57</v>
      </c>
      <c r="M6438" s="3565">
        <v>0</v>
      </c>
      <c r="N6438" s="3565">
        <v>0</v>
      </c>
      <c r="O6438" s="3563" t="s">
        <v>3453</v>
      </c>
    </row>
    <row r="6439" spans="1:15">
      <c r="A6439" s="3563" t="s">
        <v>10687</v>
      </c>
      <c r="B6439" s="3563" t="s">
        <v>4196</v>
      </c>
      <c r="C6439" s="3563" t="s">
        <v>4197</v>
      </c>
      <c r="D6439" s="3563" t="s">
        <v>10228</v>
      </c>
      <c r="E6439" s="3563" t="s">
        <v>4423</v>
      </c>
      <c r="F6439" s="3563" t="s">
        <v>4797</v>
      </c>
      <c r="G6439" s="3564">
        <v>100.6</v>
      </c>
      <c r="H6439" s="3564">
        <v>81.739999999999995</v>
      </c>
      <c r="I6439" s="3564">
        <v>18.86</v>
      </c>
      <c r="J6439" s="3565">
        <v>1122172</v>
      </c>
      <c r="K6439" s="3565">
        <v>11154.79</v>
      </c>
      <c r="L6439" s="3565">
        <v>13728.55</v>
      </c>
      <c r="M6439" s="3565">
        <v>0</v>
      </c>
      <c r="N6439" s="3565">
        <v>0</v>
      </c>
      <c r="O6439" s="3563" t="s">
        <v>3453</v>
      </c>
    </row>
    <row r="6440" spans="1:15">
      <c r="A6440" s="3563" t="s">
        <v>10688</v>
      </c>
      <c r="B6440" s="3563" t="s">
        <v>4196</v>
      </c>
      <c r="C6440" s="3563" t="s">
        <v>4197</v>
      </c>
      <c r="D6440" s="3563" t="s">
        <v>10228</v>
      </c>
      <c r="E6440" s="3563" t="s">
        <v>4423</v>
      </c>
      <c r="F6440" s="3563" t="s">
        <v>4797</v>
      </c>
      <c r="G6440" s="3564">
        <v>100.6</v>
      </c>
      <c r="H6440" s="3564">
        <v>81.739999999999995</v>
      </c>
      <c r="I6440" s="3564">
        <v>18.86</v>
      </c>
      <c r="J6440" s="3565">
        <v>1122172</v>
      </c>
      <c r="K6440" s="3565">
        <v>11154.79</v>
      </c>
      <c r="L6440" s="3565">
        <v>13728.55</v>
      </c>
      <c r="M6440" s="3565">
        <v>0</v>
      </c>
      <c r="N6440" s="3565">
        <v>0</v>
      </c>
      <c r="O6440" s="3563" t="s">
        <v>3453</v>
      </c>
    </row>
    <row r="6441" spans="1:15">
      <c r="A6441" s="3563" t="s">
        <v>10689</v>
      </c>
      <c r="B6441" s="3563" t="s">
        <v>4196</v>
      </c>
      <c r="C6441" s="3563" t="s">
        <v>4197</v>
      </c>
      <c r="D6441" s="3563" t="s">
        <v>10228</v>
      </c>
      <c r="E6441" s="3563" t="s">
        <v>4423</v>
      </c>
      <c r="F6441" s="3563" t="s">
        <v>4797</v>
      </c>
      <c r="G6441" s="3564">
        <v>123.11</v>
      </c>
      <c r="H6441" s="3564">
        <v>100.03</v>
      </c>
      <c r="I6441" s="3564">
        <v>23.08</v>
      </c>
      <c r="J6441" s="3565">
        <v>1345763</v>
      </c>
      <c r="K6441" s="3565">
        <v>10931.39</v>
      </c>
      <c r="L6441" s="3565">
        <v>13453.59</v>
      </c>
      <c r="M6441" s="3565">
        <v>0</v>
      </c>
      <c r="N6441" s="3565">
        <v>0</v>
      </c>
      <c r="O6441" s="3563" t="s">
        <v>3453</v>
      </c>
    </row>
    <row r="6442" spans="1:15">
      <c r="A6442" s="3563" t="s">
        <v>10690</v>
      </c>
      <c r="B6442" s="3563" t="s">
        <v>4196</v>
      </c>
      <c r="C6442" s="3563" t="s">
        <v>4197</v>
      </c>
      <c r="D6442" s="3563" t="s">
        <v>10228</v>
      </c>
      <c r="E6442" s="3563" t="s">
        <v>4423</v>
      </c>
      <c r="F6442" s="3563" t="s">
        <v>4797</v>
      </c>
      <c r="G6442" s="3564">
        <v>87.38</v>
      </c>
      <c r="H6442" s="3564">
        <v>71</v>
      </c>
      <c r="I6442" s="3564">
        <v>16.38</v>
      </c>
      <c r="J6442" s="3565">
        <v>904058</v>
      </c>
      <c r="K6442" s="3565">
        <v>10346.280000000001</v>
      </c>
      <c r="L6442" s="3565">
        <v>12733.21</v>
      </c>
      <c r="M6442" s="3565">
        <v>0</v>
      </c>
      <c r="N6442" s="3565">
        <v>0</v>
      </c>
      <c r="O6442" s="3563" t="s">
        <v>3453</v>
      </c>
    </row>
    <row r="6443" spans="1:15">
      <c r="A6443" s="3563" t="s">
        <v>10691</v>
      </c>
      <c r="B6443" s="3563" t="s">
        <v>4196</v>
      </c>
      <c r="C6443" s="3563" t="s">
        <v>4197</v>
      </c>
      <c r="D6443" s="3563" t="s">
        <v>10228</v>
      </c>
      <c r="E6443" s="3563" t="s">
        <v>4423</v>
      </c>
      <c r="F6443" s="3563" t="s">
        <v>4797</v>
      </c>
      <c r="G6443" s="3564">
        <v>87.38</v>
      </c>
      <c r="H6443" s="3564">
        <v>71</v>
      </c>
      <c r="I6443" s="3564">
        <v>16.38</v>
      </c>
      <c r="J6443" s="3565">
        <v>904058</v>
      </c>
      <c r="K6443" s="3565">
        <v>10346.280000000001</v>
      </c>
      <c r="L6443" s="3565">
        <v>12733.21</v>
      </c>
      <c r="M6443" s="3565">
        <v>0</v>
      </c>
      <c r="N6443" s="3565">
        <v>0</v>
      </c>
      <c r="O6443" s="3563" t="s">
        <v>3453</v>
      </c>
    </row>
    <row r="6444" spans="1:15">
      <c r="A6444" s="3563" t="s">
        <v>10692</v>
      </c>
      <c r="B6444" s="3563" t="s">
        <v>4196</v>
      </c>
      <c r="C6444" s="3563" t="s">
        <v>4197</v>
      </c>
      <c r="D6444" s="3563" t="s">
        <v>10228</v>
      </c>
      <c r="E6444" s="3563" t="s">
        <v>4423</v>
      </c>
      <c r="F6444" s="3563" t="s">
        <v>4797</v>
      </c>
      <c r="G6444" s="3564">
        <v>100.93</v>
      </c>
      <c r="H6444" s="3564">
        <v>82.01</v>
      </c>
      <c r="I6444" s="3564">
        <v>18.920000000000002</v>
      </c>
      <c r="J6444" s="3565">
        <v>1036735</v>
      </c>
      <c r="K6444" s="3565">
        <v>10271.82</v>
      </c>
      <c r="L6444" s="3565">
        <v>12641.57</v>
      </c>
      <c r="M6444" s="3565">
        <v>0</v>
      </c>
      <c r="N6444" s="3565">
        <v>0</v>
      </c>
      <c r="O6444" s="3563" t="s">
        <v>3453</v>
      </c>
    </row>
    <row r="6445" spans="1:15">
      <c r="A6445" s="3563" t="s">
        <v>10693</v>
      </c>
      <c r="B6445" s="3563" t="s">
        <v>4196</v>
      </c>
      <c r="C6445" s="3563" t="s">
        <v>4197</v>
      </c>
      <c r="D6445" s="3563" t="s">
        <v>10228</v>
      </c>
      <c r="E6445" s="3563" t="s">
        <v>4423</v>
      </c>
      <c r="F6445" s="3563" t="s">
        <v>4797</v>
      </c>
      <c r="G6445" s="3564">
        <v>100.6</v>
      </c>
      <c r="H6445" s="3564">
        <v>81.739999999999995</v>
      </c>
      <c r="I6445" s="3564">
        <v>18.86</v>
      </c>
      <c r="J6445" s="3565">
        <v>1121102</v>
      </c>
      <c r="K6445" s="3565">
        <v>11144.16</v>
      </c>
      <c r="L6445" s="3565">
        <v>13715.46</v>
      </c>
      <c r="M6445" s="3565">
        <v>0</v>
      </c>
      <c r="N6445" s="3565">
        <v>0</v>
      </c>
      <c r="O6445" s="3563" t="s">
        <v>3453</v>
      </c>
    </row>
    <row r="6446" spans="1:15">
      <c r="A6446" s="3563" t="s">
        <v>10694</v>
      </c>
      <c r="B6446" s="3563" t="s">
        <v>4196</v>
      </c>
      <c r="C6446" s="3563" t="s">
        <v>4197</v>
      </c>
      <c r="D6446" s="3563" t="s">
        <v>10228</v>
      </c>
      <c r="E6446" s="3563" t="s">
        <v>4423</v>
      </c>
      <c r="F6446" s="3563" t="s">
        <v>4797</v>
      </c>
      <c r="G6446" s="3564">
        <v>100.6</v>
      </c>
      <c r="H6446" s="3564">
        <v>81.739999999999995</v>
      </c>
      <c r="I6446" s="3564">
        <v>18.86</v>
      </c>
      <c r="J6446" s="3565">
        <v>1121102</v>
      </c>
      <c r="K6446" s="3565">
        <v>11144.16</v>
      </c>
      <c r="L6446" s="3565">
        <v>13715.46</v>
      </c>
      <c r="M6446" s="3565">
        <v>0</v>
      </c>
      <c r="N6446" s="3565">
        <v>0</v>
      </c>
      <c r="O6446" s="3563" t="s">
        <v>3453</v>
      </c>
    </row>
    <row r="6447" spans="1:15">
      <c r="A6447" s="3563" t="s">
        <v>10695</v>
      </c>
      <c r="B6447" s="3563" t="s">
        <v>4196</v>
      </c>
      <c r="C6447" s="3563" t="s">
        <v>4197</v>
      </c>
      <c r="D6447" s="3563" t="s">
        <v>10228</v>
      </c>
      <c r="E6447" s="3563" t="s">
        <v>4423</v>
      </c>
      <c r="F6447" s="3563" t="s">
        <v>4797</v>
      </c>
      <c r="G6447" s="3564">
        <v>123.11</v>
      </c>
      <c r="H6447" s="3564">
        <v>100.03</v>
      </c>
      <c r="I6447" s="3564">
        <v>23.08</v>
      </c>
      <c r="J6447" s="3565">
        <v>1305163</v>
      </c>
      <c r="K6447" s="3565">
        <v>10601.6</v>
      </c>
      <c r="L6447" s="3565">
        <v>13047.72</v>
      </c>
      <c r="M6447" s="3565">
        <v>0</v>
      </c>
      <c r="N6447" s="3565">
        <v>0</v>
      </c>
      <c r="O6447" s="3563" t="s">
        <v>3453</v>
      </c>
    </row>
    <row r="6448" spans="1:15">
      <c r="A6448" s="3563" t="s">
        <v>10696</v>
      </c>
      <c r="B6448" s="3563" t="s">
        <v>4196</v>
      </c>
      <c r="C6448" s="3563" t="s">
        <v>4197</v>
      </c>
      <c r="D6448" s="3563" t="s">
        <v>10228</v>
      </c>
      <c r="E6448" s="3563" t="s">
        <v>4423</v>
      </c>
      <c r="F6448" s="3563" t="s">
        <v>4797</v>
      </c>
      <c r="G6448" s="3564">
        <v>87.38</v>
      </c>
      <c r="H6448" s="3564">
        <v>71</v>
      </c>
      <c r="I6448" s="3564">
        <v>16.38</v>
      </c>
      <c r="J6448" s="3565">
        <v>897552</v>
      </c>
      <c r="K6448" s="3565">
        <v>10271.82</v>
      </c>
      <c r="L6448" s="3565">
        <v>12641.58</v>
      </c>
      <c r="M6448" s="3565">
        <v>0</v>
      </c>
      <c r="N6448" s="3565">
        <v>0</v>
      </c>
      <c r="O6448" s="3563" t="s">
        <v>3453</v>
      </c>
    </row>
    <row r="6449" spans="1:15">
      <c r="A6449" s="3563" t="s">
        <v>10697</v>
      </c>
      <c r="B6449" s="3563" t="s">
        <v>4196</v>
      </c>
      <c r="C6449" s="3563" t="s">
        <v>4197</v>
      </c>
      <c r="D6449" s="3563" t="s">
        <v>10228</v>
      </c>
      <c r="E6449" s="3563" t="s">
        <v>4423</v>
      </c>
      <c r="F6449" s="3563" t="s">
        <v>4797</v>
      </c>
      <c r="G6449" s="3564">
        <v>87.38</v>
      </c>
      <c r="H6449" s="3564">
        <v>71</v>
      </c>
      <c r="I6449" s="3564">
        <v>16.38</v>
      </c>
      <c r="J6449" s="3565">
        <v>897552</v>
      </c>
      <c r="K6449" s="3565">
        <v>10271.82</v>
      </c>
      <c r="L6449" s="3565">
        <v>12641.58</v>
      </c>
      <c r="M6449" s="3565">
        <v>0</v>
      </c>
      <c r="N6449" s="3565">
        <v>0</v>
      </c>
      <c r="O6449" s="3563" t="s">
        <v>3453</v>
      </c>
    </row>
    <row r="6450" spans="1:15">
      <c r="A6450" s="3563" t="s">
        <v>10698</v>
      </c>
      <c r="B6450" s="3563" t="s">
        <v>4196</v>
      </c>
      <c r="C6450" s="3563" t="s">
        <v>4197</v>
      </c>
      <c r="D6450" s="3563" t="s">
        <v>10228</v>
      </c>
      <c r="E6450" s="3563" t="s">
        <v>4423</v>
      </c>
      <c r="F6450" s="3563" t="s">
        <v>4797</v>
      </c>
      <c r="G6450" s="3564">
        <v>100.93</v>
      </c>
      <c r="H6450" s="3564">
        <v>82.01</v>
      </c>
      <c r="I6450" s="3564">
        <v>18.920000000000002</v>
      </c>
      <c r="J6450" s="3565">
        <v>1036735</v>
      </c>
      <c r="K6450" s="3565">
        <v>10271.82</v>
      </c>
      <c r="L6450" s="3565">
        <v>12641.57</v>
      </c>
      <c r="M6450" s="3565">
        <v>0</v>
      </c>
      <c r="N6450" s="3565">
        <v>0</v>
      </c>
      <c r="O6450" s="3563" t="s">
        <v>3453</v>
      </c>
    </row>
    <row r="6451" spans="1:15">
      <c r="A6451" s="3563" t="s">
        <v>10699</v>
      </c>
      <c r="B6451" s="3563" t="s">
        <v>4196</v>
      </c>
      <c r="C6451" s="3563" t="s">
        <v>4197</v>
      </c>
      <c r="D6451" s="3563" t="s">
        <v>10228</v>
      </c>
      <c r="E6451" s="3563" t="s">
        <v>4423</v>
      </c>
      <c r="F6451" s="3563" t="s">
        <v>4797</v>
      </c>
      <c r="G6451" s="3564">
        <v>100.6</v>
      </c>
      <c r="H6451" s="3564">
        <v>81.739999999999995</v>
      </c>
      <c r="I6451" s="3564">
        <v>18.86</v>
      </c>
      <c r="J6451" s="3565">
        <v>1087925</v>
      </c>
      <c r="K6451" s="3565">
        <v>10814.36</v>
      </c>
      <c r="L6451" s="3565">
        <v>13309.58</v>
      </c>
      <c r="M6451" s="3565">
        <v>0</v>
      </c>
      <c r="N6451" s="3565">
        <v>0</v>
      </c>
      <c r="O6451" s="3563" t="s">
        <v>3453</v>
      </c>
    </row>
    <row r="6452" spans="1:15">
      <c r="A6452" s="3563" t="s">
        <v>10700</v>
      </c>
      <c r="B6452" s="3563" t="s">
        <v>4196</v>
      </c>
      <c r="C6452" s="3563" t="s">
        <v>4197</v>
      </c>
      <c r="D6452" s="3563" t="s">
        <v>10228</v>
      </c>
      <c r="E6452" s="3563" t="s">
        <v>4423</v>
      </c>
      <c r="F6452" s="3563" t="s">
        <v>4797</v>
      </c>
      <c r="G6452" s="3564">
        <v>100.6</v>
      </c>
      <c r="H6452" s="3564">
        <v>81.739999999999995</v>
      </c>
      <c r="I6452" s="3564">
        <v>18.86</v>
      </c>
      <c r="J6452" s="3565">
        <v>1087925</v>
      </c>
      <c r="K6452" s="3565">
        <v>10814.36</v>
      </c>
      <c r="L6452" s="3565">
        <v>13309.58</v>
      </c>
      <c r="M6452" s="3565">
        <v>0</v>
      </c>
      <c r="N6452" s="3565">
        <v>0</v>
      </c>
      <c r="O6452" s="3563" t="s">
        <v>3453</v>
      </c>
    </row>
    <row r="6453" spans="1:15">
      <c r="A6453" s="3563" t="s">
        <v>10701</v>
      </c>
      <c r="B6453" s="3563" t="s">
        <v>4196</v>
      </c>
      <c r="C6453" s="3563" t="s">
        <v>4197</v>
      </c>
      <c r="D6453" s="3563" t="s">
        <v>10228</v>
      </c>
      <c r="E6453" s="3563" t="s">
        <v>4423</v>
      </c>
      <c r="F6453" s="3563" t="s">
        <v>4797</v>
      </c>
      <c r="G6453" s="3564">
        <v>123.11</v>
      </c>
      <c r="H6453" s="3564">
        <v>100.03</v>
      </c>
      <c r="I6453" s="3564">
        <v>23.08</v>
      </c>
      <c r="J6453" s="3565">
        <v>1264563</v>
      </c>
      <c r="K6453" s="3565">
        <v>10271.81</v>
      </c>
      <c r="L6453" s="3565">
        <v>12641.84</v>
      </c>
      <c r="M6453" s="3565">
        <v>0</v>
      </c>
      <c r="N6453" s="3565">
        <v>0</v>
      </c>
      <c r="O6453" s="3563" t="s">
        <v>3453</v>
      </c>
    </row>
    <row r="6454" spans="1:15">
      <c r="A6454" s="3563" t="s">
        <v>10702</v>
      </c>
      <c r="B6454" s="3563" t="s">
        <v>4196</v>
      </c>
      <c r="C6454" s="3563" t="s">
        <v>4197</v>
      </c>
      <c r="D6454" s="3563" t="s">
        <v>10228</v>
      </c>
      <c r="E6454" s="3563" t="s">
        <v>4423</v>
      </c>
      <c r="F6454" s="3563" t="s">
        <v>4797</v>
      </c>
      <c r="G6454" s="3564">
        <v>87.38</v>
      </c>
      <c r="H6454" s="3564">
        <v>71</v>
      </c>
      <c r="I6454" s="3564">
        <v>16.38</v>
      </c>
      <c r="J6454" s="3565">
        <v>897552</v>
      </c>
      <c r="K6454" s="3565">
        <v>10271.82</v>
      </c>
      <c r="L6454" s="3565">
        <v>12641.58</v>
      </c>
      <c r="M6454" s="3565">
        <v>0</v>
      </c>
      <c r="N6454" s="3565">
        <v>0</v>
      </c>
      <c r="O6454" s="3563" t="s">
        <v>3453</v>
      </c>
    </row>
    <row r="6455" spans="1:15">
      <c r="A6455" s="3563" t="s">
        <v>10703</v>
      </c>
      <c r="B6455" s="3563" t="s">
        <v>4196</v>
      </c>
      <c r="C6455" s="3563" t="s">
        <v>4197</v>
      </c>
      <c r="D6455" s="3563" t="s">
        <v>10228</v>
      </c>
      <c r="E6455" s="3563" t="s">
        <v>4423</v>
      </c>
      <c r="F6455" s="3563" t="s">
        <v>4797</v>
      </c>
      <c r="G6455" s="3564">
        <v>87.38</v>
      </c>
      <c r="H6455" s="3564">
        <v>71</v>
      </c>
      <c r="I6455" s="3564">
        <v>16.38</v>
      </c>
      <c r="J6455" s="3565">
        <v>897552</v>
      </c>
      <c r="K6455" s="3565">
        <v>10271.82</v>
      </c>
      <c r="L6455" s="3565">
        <v>12641.58</v>
      </c>
      <c r="M6455" s="3565">
        <v>0</v>
      </c>
      <c r="N6455" s="3565">
        <v>0</v>
      </c>
      <c r="O6455" s="3563" t="s">
        <v>3453</v>
      </c>
    </row>
    <row r="6456" spans="1:15">
      <c r="A6456" s="3563" t="s">
        <v>10704</v>
      </c>
      <c r="B6456" s="3563" t="s">
        <v>4196</v>
      </c>
      <c r="C6456" s="3563" t="s">
        <v>4197</v>
      </c>
      <c r="D6456" s="3563" t="s">
        <v>10228</v>
      </c>
      <c r="E6456" s="3563" t="s">
        <v>4423</v>
      </c>
      <c r="F6456" s="3563" t="s">
        <v>4797</v>
      </c>
      <c r="G6456" s="3564">
        <v>100.93</v>
      </c>
      <c r="H6456" s="3564">
        <v>82.01</v>
      </c>
      <c r="I6456" s="3564">
        <v>18.920000000000002</v>
      </c>
      <c r="J6456" s="3565">
        <v>1036735</v>
      </c>
      <c r="K6456" s="3565">
        <v>10271.82</v>
      </c>
      <c r="L6456" s="3565">
        <v>12641.57</v>
      </c>
      <c r="M6456" s="3565">
        <v>0</v>
      </c>
      <c r="N6456" s="3565">
        <v>0</v>
      </c>
      <c r="O6456" s="3563" t="s">
        <v>3453</v>
      </c>
    </row>
    <row r="6457" spans="1:15">
      <c r="A6457" s="3563" t="s">
        <v>10705</v>
      </c>
      <c r="B6457" s="3563" t="s">
        <v>4196</v>
      </c>
      <c r="C6457" s="3563" t="s">
        <v>4197</v>
      </c>
      <c r="D6457" s="3563" t="s">
        <v>10228</v>
      </c>
      <c r="E6457" s="3563" t="s">
        <v>4423</v>
      </c>
      <c r="F6457" s="3563" t="s">
        <v>4797</v>
      </c>
      <c r="G6457" s="3564">
        <v>100.6</v>
      </c>
      <c r="H6457" s="3564">
        <v>81.739999999999995</v>
      </c>
      <c r="I6457" s="3564">
        <v>18.86</v>
      </c>
      <c r="J6457" s="3565">
        <v>1033344</v>
      </c>
      <c r="K6457" s="3565">
        <v>10271.81</v>
      </c>
      <c r="L6457" s="3565">
        <v>12641.84</v>
      </c>
      <c r="M6457" s="3565">
        <v>0</v>
      </c>
      <c r="N6457" s="3565">
        <v>0</v>
      </c>
      <c r="O6457" s="3563" t="s">
        <v>3453</v>
      </c>
    </row>
    <row r="6458" spans="1:15">
      <c r="A6458" s="3563" t="s">
        <v>10706</v>
      </c>
      <c r="B6458" s="3563" t="s">
        <v>4196</v>
      </c>
      <c r="C6458" s="3563" t="s">
        <v>4197</v>
      </c>
      <c r="D6458" s="3563" t="s">
        <v>10228</v>
      </c>
      <c r="E6458" s="3563" t="s">
        <v>4423</v>
      </c>
      <c r="F6458" s="3563" t="s">
        <v>4797</v>
      </c>
      <c r="G6458" s="3564">
        <v>100.6</v>
      </c>
      <c r="H6458" s="3564">
        <v>81.739999999999995</v>
      </c>
      <c r="I6458" s="3564">
        <v>18.86</v>
      </c>
      <c r="J6458" s="3565">
        <v>1033344</v>
      </c>
      <c r="K6458" s="3565">
        <v>10271.81</v>
      </c>
      <c r="L6458" s="3565">
        <v>12641.84</v>
      </c>
      <c r="M6458" s="3565">
        <v>0</v>
      </c>
      <c r="N6458" s="3565">
        <v>0</v>
      </c>
      <c r="O6458" s="3563" t="s">
        <v>3453</v>
      </c>
    </row>
    <row r="6459" spans="1:15">
      <c r="A6459" s="3563" t="s">
        <v>10707</v>
      </c>
      <c r="B6459" s="3563" t="s">
        <v>4196</v>
      </c>
      <c r="C6459" s="3563" t="s">
        <v>4197</v>
      </c>
      <c r="D6459" s="3563" t="s">
        <v>10228</v>
      </c>
      <c r="E6459" s="3563" t="s">
        <v>4423</v>
      </c>
      <c r="F6459" s="3563" t="s">
        <v>4797</v>
      </c>
      <c r="G6459" s="3564">
        <v>123.11</v>
      </c>
      <c r="H6459" s="3564">
        <v>100.03</v>
      </c>
      <c r="I6459" s="3564">
        <v>23.08</v>
      </c>
      <c r="J6459" s="3565">
        <v>1264563</v>
      </c>
      <c r="K6459" s="3565">
        <v>10271.81</v>
      </c>
      <c r="L6459" s="3565">
        <v>12641.84</v>
      </c>
      <c r="M6459" s="3565">
        <v>0</v>
      </c>
      <c r="N6459" s="3565">
        <v>0</v>
      </c>
      <c r="O6459" s="3563" t="s">
        <v>3453</v>
      </c>
    </row>
    <row r="6460" spans="1:15">
      <c r="A6460" s="3563" t="s">
        <v>10708</v>
      </c>
      <c r="B6460" s="3563" t="s">
        <v>4196</v>
      </c>
      <c r="C6460" s="3563" t="s">
        <v>4197</v>
      </c>
      <c r="D6460" s="3563" t="s">
        <v>10228</v>
      </c>
      <c r="E6460" s="3563" t="s">
        <v>4423</v>
      </c>
      <c r="F6460" s="3563" t="s">
        <v>4797</v>
      </c>
      <c r="G6460" s="3564">
        <v>87.38</v>
      </c>
      <c r="H6460" s="3564">
        <v>71</v>
      </c>
      <c r="I6460" s="3564">
        <v>16.38</v>
      </c>
      <c r="J6460" s="3565">
        <v>897552</v>
      </c>
      <c r="K6460" s="3565">
        <v>10271.82</v>
      </c>
      <c r="L6460" s="3565">
        <v>12641.58</v>
      </c>
      <c r="M6460" s="3565">
        <v>0</v>
      </c>
      <c r="N6460" s="3565">
        <v>0</v>
      </c>
      <c r="O6460" s="3563" t="s">
        <v>3453</v>
      </c>
    </row>
    <row r="6461" spans="1:15">
      <c r="A6461" s="3563" t="s">
        <v>10709</v>
      </c>
      <c r="B6461" s="3563" t="s">
        <v>4196</v>
      </c>
      <c r="C6461" s="3563" t="s">
        <v>4197</v>
      </c>
      <c r="D6461" s="3563" t="s">
        <v>10228</v>
      </c>
      <c r="E6461" s="3563" t="s">
        <v>4423</v>
      </c>
      <c r="F6461" s="3563" t="s">
        <v>4797</v>
      </c>
      <c r="G6461" s="3564">
        <v>87.38</v>
      </c>
      <c r="H6461" s="3564">
        <v>71</v>
      </c>
      <c r="I6461" s="3564">
        <v>16.38</v>
      </c>
      <c r="J6461" s="3565">
        <v>897552</v>
      </c>
      <c r="K6461" s="3565">
        <v>10271.82</v>
      </c>
      <c r="L6461" s="3565">
        <v>12641.58</v>
      </c>
      <c r="M6461" s="3565">
        <v>0</v>
      </c>
      <c r="N6461" s="3565">
        <v>0</v>
      </c>
      <c r="O6461" s="3563" t="s">
        <v>3453</v>
      </c>
    </row>
    <row r="6462" spans="1:15">
      <c r="A6462" s="3563" t="s">
        <v>10710</v>
      </c>
      <c r="B6462" s="3563" t="s">
        <v>4196</v>
      </c>
      <c r="C6462" s="3563" t="s">
        <v>4197</v>
      </c>
      <c r="D6462" s="3563" t="s">
        <v>10228</v>
      </c>
      <c r="E6462" s="3563" t="s">
        <v>4423</v>
      </c>
      <c r="F6462" s="3563" t="s">
        <v>4797</v>
      </c>
      <c r="G6462" s="3564">
        <v>100.93</v>
      </c>
      <c r="H6462" s="3564">
        <v>82.01</v>
      </c>
      <c r="I6462" s="3564">
        <v>18.920000000000002</v>
      </c>
      <c r="J6462" s="3565">
        <v>1036735</v>
      </c>
      <c r="K6462" s="3565">
        <v>10271.82</v>
      </c>
      <c r="L6462" s="3565">
        <v>12641.57</v>
      </c>
      <c r="M6462" s="3565">
        <v>0</v>
      </c>
      <c r="N6462" s="3565">
        <v>0</v>
      </c>
      <c r="O6462" s="3563" t="s">
        <v>3453</v>
      </c>
    </row>
    <row r="6463" spans="1:15">
      <c r="A6463" s="3563" t="s">
        <v>10711</v>
      </c>
      <c r="B6463" s="3563" t="s">
        <v>4196</v>
      </c>
      <c r="C6463" s="3563" t="s">
        <v>4197</v>
      </c>
      <c r="D6463" s="3563" t="s">
        <v>10228</v>
      </c>
      <c r="E6463" s="3563" t="s">
        <v>4423</v>
      </c>
      <c r="F6463" s="3563" t="s">
        <v>4797</v>
      </c>
      <c r="G6463" s="3564">
        <v>100.6</v>
      </c>
      <c r="H6463" s="3564">
        <v>81.739999999999995</v>
      </c>
      <c r="I6463" s="3564">
        <v>18.86</v>
      </c>
      <c r="J6463" s="3565">
        <v>1033344</v>
      </c>
      <c r="K6463" s="3565">
        <v>10271.81</v>
      </c>
      <c r="L6463" s="3565">
        <v>12641.84</v>
      </c>
      <c r="M6463" s="3565">
        <v>0</v>
      </c>
      <c r="N6463" s="3565">
        <v>0</v>
      </c>
      <c r="O6463" s="3563" t="s">
        <v>3453</v>
      </c>
    </row>
    <row r="6464" spans="1:15">
      <c r="A6464" s="3563" t="s">
        <v>10712</v>
      </c>
      <c r="B6464" s="3563" t="s">
        <v>4196</v>
      </c>
      <c r="C6464" s="3563" t="s">
        <v>4197</v>
      </c>
      <c r="D6464" s="3563" t="s">
        <v>10228</v>
      </c>
      <c r="E6464" s="3563" t="s">
        <v>4423</v>
      </c>
      <c r="F6464" s="3563" t="s">
        <v>4797</v>
      </c>
      <c r="G6464" s="3564">
        <v>100.6</v>
      </c>
      <c r="H6464" s="3564">
        <v>81.739999999999995</v>
      </c>
      <c r="I6464" s="3564">
        <v>18.86</v>
      </c>
      <c r="J6464" s="3565">
        <v>1033344</v>
      </c>
      <c r="K6464" s="3565">
        <v>10271.81</v>
      </c>
      <c r="L6464" s="3565">
        <v>12641.84</v>
      </c>
      <c r="M6464" s="3565">
        <v>0</v>
      </c>
      <c r="N6464" s="3565">
        <v>0</v>
      </c>
      <c r="O6464" s="3563" t="s">
        <v>3453</v>
      </c>
    </row>
    <row r="6465" spans="1:15">
      <c r="A6465" s="3563" t="s">
        <v>10713</v>
      </c>
      <c r="B6465" s="3563" t="s">
        <v>4196</v>
      </c>
      <c r="C6465" s="3563" t="s">
        <v>4197</v>
      </c>
      <c r="D6465" s="3563" t="s">
        <v>10228</v>
      </c>
      <c r="E6465" s="3563" t="s">
        <v>4423</v>
      </c>
      <c r="F6465" s="3563" t="s">
        <v>4797</v>
      </c>
      <c r="G6465" s="3564">
        <v>123.11</v>
      </c>
      <c r="H6465" s="3564">
        <v>100.03</v>
      </c>
      <c r="I6465" s="3564">
        <v>23.08</v>
      </c>
      <c r="J6465" s="3565">
        <v>1264563</v>
      </c>
      <c r="K6465" s="3565">
        <v>10271.81</v>
      </c>
      <c r="L6465" s="3565">
        <v>12641.84</v>
      </c>
      <c r="M6465" s="3565">
        <v>0</v>
      </c>
      <c r="N6465" s="3565">
        <v>0</v>
      </c>
      <c r="O6465" s="3563" t="s">
        <v>3453</v>
      </c>
    </row>
    <row r="6466" spans="1:15">
      <c r="A6466" s="3563" t="s">
        <v>10714</v>
      </c>
      <c r="B6466" s="3563" t="s">
        <v>4196</v>
      </c>
      <c r="C6466" s="3563" t="s">
        <v>4197</v>
      </c>
      <c r="D6466" s="3563" t="s">
        <v>10228</v>
      </c>
      <c r="E6466" s="3563" t="s">
        <v>4423</v>
      </c>
      <c r="F6466" s="3563" t="s">
        <v>4797</v>
      </c>
      <c r="G6466" s="3564">
        <v>87.38</v>
      </c>
      <c r="H6466" s="3564">
        <v>71</v>
      </c>
      <c r="I6466" s="3564">
        <v>16.38</v>
      </c>
      <c r="J6466" s="3565">
        <v>897552</v>
      </c>
      <c r="K6466" s="3565">
        <v>10271.82</v>
      </c>
      <c r="L6466" s="3565">
        <v>12641.58</v>
      </c>
      <c r="M6466" s="3565">
        <v>0</v>
      </c>
      <c r="N6466" s="3565">
        <v>0</v>
      </c>
      <c r="O6466" s="3563" t="s">
        <v>3453</v>
      </c>
    </row>
    <row r="6467" spans="1:15">
      <c r="A6467" s="3563" t="s">
        <v>10715</v>
      </c>
      <c r="B6467" s="3563" t="s">
        <v>4196</v>
      </c>
      <c r="C6467" s="3563" t="s">
        <v>4197</v>
      </c>
      <c r="D6467" s="3563" t="s">
        <v>10228</v>
      </c>
      <c r="E6467" s="3563" t="s">
        <v>4423</v>
      </c>
      <c r="F6467" s="3563" t="s">
        <v>4797</v>
      </c>
      <c r="G6467" s="3564">
        <v>87.38</v>
      </c>
      <c r="H6467" s="3564">
        <v>71</v>
      </c>
      <c r="I6467" s="3564">
        <v>16.38</v>
      </c>
      <c r="J6467" s="3565">
        <v>897552</v>
      </c>
      <c r="K6467" s="3565">
        <v>10271.82</v>
      </c>
      <c r="L6467" s="3565">
        <v>12641.58</v>
      </c>
      <c r="M6467" s="3565">
        <v>0</v>
      </c>
      <c r="N6467" s="3565">
        <v>0</v>
      </c>
      <c r="O6467" s="3563" t="s">
        <v>3453</v>
      </c>
    </row>
    <row r="6468" spans="1:15">
      <c r="A6468" s="3563" t="s">
        <v>10716</v>
      </c>
      <c r="B6468" s="3563" t="s">
        <v>4196</v>
      </c>
      <c r="C6468" s="3563" t="s">
        <v>4197</v>
      </c>
      <c r="D6468" s="3563" t="s">
        <v>10228</v>
      </c>
      <c r="E6468" s="3563" t="s">
        <v>4423</v>
      </c>
      <c r="F6468" s="3563" t="s">
        <v>4797</v>
      </c>
      <c r="G6468" s="3564">
        <v>100.93</v>
      </c>
      <c r="H6468" s="3564">
        <v>82.01</v>
      </c>
      <c r="I6468" s="3564">
        <v>18.920000000000002</v>
      </c>
      <c r="J6468" s="3565">
        <v>1036735</v>
      </c>
      <c r="K6468" s="3565">
        <v>10271.82</v>
      </c>
      <c r="L6468" s="3565">
        <v>12641.57</v>
      </c>
      <c r="M6468" s="3565">
        <v>0</v>
      </c>
      <c r="N6468" s="3565">
        <v>0</v>
      </c>
      <c r="O6468" s="3563" t="s">
        <v>3453</v>
      </c>
    </row>
    <row r="6469" spans="1:15">
      <c r="A6469" s="3563" t="s">
        <v>10717</v>
      </c>
      <c r="B6469" s="3563" t="s">
        <v>4196</v>
      </c>
      <c r="C6469" s="3563" t="s">
        <v>4197</v>
      </c>
      <c r="D6469" s="3563" t="s">
        <v>10228</v>
      </c>
      <c r="E6469" s="3563" t="s">
        <v>4423</v>
      </c>
      <c r="F6469" s="3563" t="s">
        <v>4797</v>
      </c>
      <c r="G6469" s="3564">
        <v>100.6</v>
      </c>
      <c r="H6469" s="3564">
        <v>81.739999999999995</v>
      </c>
      <c r="I6469" s="3564">
        <v>18.86</v>
      </c>
      <c r="J6469" s="3565">
        <v>1044046</v>
      </c>
      <c r="K6469" s="3565">
        <v>10378.19</v>
      </c>
      <c r="L6469" s="3565">
        <v>12772.77</v>
      </c>
      <c r="M6469" s="3565">
        <v>0</v>
      </c>
      <c r="N6469" s="3565">
        <v>0</v>
      </c>
      <c r="O6469" s="3563" t="s">
        <v>3453</v>
      </c>
    </row>
    <row r="6470" spans="1:15">
      <c r="A6470" s="3563" t="s">
        <v>10718</v>
      </c>
      <c r="B6470" s="3563" t="s">
        <v>4196</v>
      </c>
      <c r="C6470" s="3563" t="s">
        <v>4197</v>
      </c>
      <c r="D6470" s="3563" t="s">
        <v>10228</v>
      </c>
      <c r="E6470" s="3563" t="s">
        <v>4423</v>
      </c>
      <c r="F6470" s="3563" t="s">
        <v>4797</v>
      </c>
      <c r="G6470" s="3564">
        <v>100.6</v>
      </c>
      <c r="H6470" s="3564">
        <v>81.739999999999995</v>
      </c>
      <c r="I6470" s="3564">
        <v>18.86</v>
      </c>
      <c r="J6470" s="3565">
        <v>1044046</v>
      </c>
      <c r="K6470" s="3565">
        <v>10378.19</v>
      </c>
      <c r="L6470" s="3565">
        <v>12772.77</v>
      </c>
      <c r="M6470" s="3565">
        <v>0</v>
      </c>
      <c r="N6470" s="3565">
        <v>0</v>
      </c>
      <c r="O6470" s="3563" t="s">
        <v>3453</v>
      </c>
    </row>
    <row r="6471" spans="1:15">
      <c r="A6471" s="3563" t="s">
        <v>10719</v>
      </c>
      <c r="B6471" s="3563" t="s">
        <v>4196</v>
      </c>
      <c r="C6471" s="3563" t="s">
        <v>4197</v>
      </c>
      <c r="D6471" s="3563" t="s">
        <v>10228</v>
      </c>
      <c r="E6471" s="3563" t="s">
        <v>4423</v>
      </c>
      <c r="F6471" s="3563" t="s">
        <v>4797</v>
      </c>
      <c r="G6471" s="3564">
        <v>123.11</v>
      </c>
      <c r="H6471" s="3564">
        <v>100.03</v>
      </c>
      <c r="I6471" s="3564">
        <v>23.08</v>
      </c>
      <c r="J6471" s="3565">
        <v>1264563</v>
      </c>
      <c r="K6471" s="3565">
        <v>10271.81</v>
      </c>
      <c r="L6471" s="3565">
        <v>12641.84</v>
      </c>
      <c r="M6471" s="3565">
        <v>0</v>
      </c>
      <c r="N6471" s="3565">
        <v>0</v>
      </c>
      <c r="O6471" s="3563" t="s">
        <v>3453</v>
      </c>
    </row>
    <row r="6472" spans="1:15">
      <c r="A6472" s="3563" t="s">
        <v>10720</v>
      </c>
      <c r="B6472" s="3563" t="s">
        <v>4196</v>
      </c>
      <c r="C6472" s="3563" t="s">
        <v>4197</v>
      </c>
      <c r="D6472" s="3563" t="s">
        <v>10228</v>
      </c>
      <c r="E6472" s="3563" t="s">
        <v>4423</v>
      </c>
      <c r="F6472" s="3563" t="s">
        <v>4797</v>
      </c>
      <c r="G6472" s="3564">
        <v>87.38</v>
      </c>
      <c r="H6472" s="3564">
        <v>71</v>
      </c>
      <c r="I6472" s="3564">
        <v>16.38</v>
      </c>
      <c r="J6472" s="3565">
        <v>897552</v>
      </c>
      <c r="K6472" s="3565">
        <v>10271.82</v>
      </c>
      <c r="L6472" s="3565">
        <v>12641.58</v>
      </c>
      <c r="M6472" s="3565">
        <v>0</v>
      </c>
      <c r="N6472" s="3565">
        <v>0</v>
      </c>
      <c r="O6472" s="3563" t="s">
        <v>3453</v>
      </c>
    </row>
    <row r="6473" spans="1:15">
      <c r="A6473" s="3563" t="s">
        <v>10721</v>
      </c>
      <c r="B6473" s="3563" t="s">
        <v>4196</v>
      </c>
      <c r="C6473" s="3563" t="s">
        <v>4197</v>
      </c>
      <c r="D6473" s="3563" t="s">
        <v>10228</v>
      </c>
      <c r="E6473" s="3563" t="s">
        <v>4423</v>
      </c>
      <c r="F6473" s="3563" t="s">
        <v>4797</v>
      </c>
      <c r="G6473" s="3564">
        <v>87.38</v>
      </c>
      <c r="H6473" s="3564">
        <v>71</v>
      </c>
      <c r="I6473" s="3564">
        <v>16.38</v>
      </c>
      <c r="J6473" s="3565">
        <v>897552</v>
      </c>
      <c r="K6473" s="3565">
        <v>10271.82</v>
      </c>
      <c r="L6473" s="3565">
        <v>12641.58</v>
      </c>
      <c r="M6473" s="3565">
        <v>0</v>
      </c>
      <c r="N6473" s="3565">
        <v>0</v>
      </c>
      <c r="O6473" s="3563" t="s">
        <v>3453</v>
      </c>
    </row>
    <row r="6474" spans="1:15">
      <c r="A6474" s="3563" t="s">
        <v>10722</v>
      </c>
      <c r="B6474" s="3563" t="s">
        <v>4196</v>
      </c>
      <c r="C6474" s="3563" t="s">
        <v>4197</v>
      </c>
      <c r="D6474" s="3563" t="s">
        <v>10228</v>
      </c>
      <c r="E6474" s="3563" t="s">
        <v>4423</v>
      </c>
      <c r="F6474" s="3563" t="s">
        <v>4797</v>
      </c>
      <c r="G6474" s="3564">
        <v>100.93</v>
      </c>
      <c r="H6474" s="3564">
        <v>82.01</v>
      </c>
      <c r="I6474" s="3564">
        <v>18.920000000000002</v>
      </c>
      <c r="J6474" s="3565">
        <v>1036735</v>
      </c>
      <c r="K6474" s="3565">
        <v>10271.82</v>
      </c>
      <c r="L6474" s="3565">
        <v>12641.57</v>
      </c>
      <c r="M6474" s="3565">
        <v>0</v>
      </c>
      <c r="N6474" s="3565">
        <v>0</v>
      </c>
      <c r="O6474" s="3563" t="s">
        <v>3453</v>
      </c>
    </row>
    <row r="6475" spans="1:15">
      <c r="A6475" s="3563" t="s">
        <v>10723</v>
      </c>
      <c r="B6475" s="3563" t="s">
        <v>4196</v>
      </c>
      <c r="C6475" s="3563" t="s">
        <v>4197</v>
      </c>
      <c r="D6475" s="3563" t="s">
        <v>10228</v>
      </c>
      <c r="E6475" s="3563" t="s">
        <v>4423</v>
      </c>
      <c r="F6475" s="3563" t="s">
        <v>4797</v>
      </c>
      <c r="G6475" s="3564">
        <v>100.6</v>
      </c>
      <c r="H6475" s="3564">
        <v>81.739999999999995</v>
      </c>
      <c r="I6475" s="3564">
        <v>18.86</v>
      </c>
      <c r="J6475" s="3565">
        <v>1045116</v>
      </c>
      <c r="K6475" s="3565">
        <v>10388.83</v>
      </c>
      <c r="L6475" s="3565">
        <v>12785.86</v>
      </c>
      <c r="M6475" s="3565">
        <v>0</v>
      </c>
      <c r="N6475" s="3565">
        <v>0</v>
      </c>
      <c r="O6475" s="3563" t="s">
        <v>3453</v>
      </c>
    </row>
    <row r="6476" spans="1:15">
      <c r="A6476" s="3563" t="s">
        <v>10724</v>
      </c>
      <c r="B6476" s="3563" t="s">
        <v>4196</v>
      </c>
      <c r="C6476" s="3563" t="s">
        <v>4197</v>
      </c>
      <c r="D6476" s="3563" t="s">
        <v>10228</v>
      </c>
      <c r="E6476" s="3563" t="s">
        <v>4423</v>
      </c>
      <c r="F6476" s="3563" t="s">
        <v>4797</v>
      </c>
      <c r="G6476" s="3564">
        <v>100.6</v>
      </c>
      <c r="H6476" s="3564">
        <v>81.739999999999995</v>
      </c>
      <c r="I6476" s="3564">
        <v>18.86</v>
      </c>
      <c r="J6476" s="3565">
        <v>1045116</v>
      </c>
      <c r="K6476" s="3565">
        <v>10388.83</v>
      </c>
      <c r="L6476" s="3565">
        <v>12785.86</v>
      </c>
      <c r="M6476" s="3565">
        <v>0</v>
      </c>
      <c r="N6476" s="3565">
        <v>0</v>
      </c>
      <c r="O6476" s="3563" t="s">
        <v>3453</v>
      </c>
    </row>
    <row r="6477" spans="1:15">
      <c r="A6477" s="3563" t="s">
        <v>10725</v>
      </c>
      <c r="B6477" s="3563" t="s">
        <v>4196</v>
      </c>
      <c r="C6477" s="3563" t="s">
        <v>4197</v>
      </c>
      <c r="D6477" s="3563" t="s">
        <v>10228</v>
      </c>
      <c r="E6477" s="3563" t="s">
        <v>4423</v>
      </c>
      <c r="F6477" s="3563" t="s">
        <v>4797</v>
      </c>
      <c r="G6477" s="3564">
        <v>123.11</v>
      </c>
      <c r="H6477" s="3564">
        <v>100.03</v>
      </c>
      <c r="I6477" s="3564">
        <v>23.08</v>
      </c>
      <c r="J6477" s="3565">
        <v>1345763</v>
      </c>
      <c r="K6477" s="3565">
        <v>10931.39</v>
      </c>
      <c r="L6477" s="3565">
        <v>13453.59</v>
      </c>
      <c r="M6477" s="3565">
        <v>0</v>
      </c>
      <c r="N6477" s="3565">
        <v>0</v>
      </c>
      <c r="O6477" s="3563" t="s">
        <v>3453</v>
      </c>
    </row>
    <row r="6478" spans="1:15">
      <c r="A6478" s="3563" t="s">
        <v>10726</v>
      </c>
      <c r="B6478" s="3563" t="s">
        <v>4196</v>
      </c>
      <c r="C6478" s="3563" t="s">
        <v>4197</v>
      </c>
      <c r="D6478" s="3563" t="s">
        <v>10228</v>
      </c>
      <c r="E6478" s="3563" t="s">
        <v>4423</v>
      </c>
      <c r="F6478" s="3563" t="s">
        <v>4797</v>
      </c>
      <c r="G6478" s="3564">
        <v>87.38</v>
      </c>
      <c r="H6478" s="3564">
        <v>71</v>
      </c>
      <c r="I6478" s="3564">
        <v>16.38</v>
      </c>
      <c r="J6478" s="3565">
        <v>904058</v>
      </c>
      <c r="K6478" s="3565">
        <v>10346.280000000001</v>
      </c>
      <c r="L6478" s="3565">
        <v>12733.21</v>
      </c>
      <c r="M6478" s="3565">
        <v>0</v>
      </c>
      <c r="N6478" s="3565">
        <v>0</v>
      </c>
      <c r="O6478" s="3563" t="s">
        <v>3453</v>
      </c>
    </row>
    <row r="6479" spans="1:15">
      <c r="A6479" s="3563" t="s">
        <v>10727</v>
      </c>
      <c r="B6479" s="3563" t="s">
        <v>4196</v>
      </c>
      <c r="C6479" s="3563" t="s">
        <v>4197</v>
      </c>
      <c r="D6479" s="3563" t="s">
        <v>10228</v>
      </c>
      <c r="E6479" s="3563" t="s">
        <v>4423</v>
      </c>
      <c r="F6479" s="3563" t="s">
        <v>4797</v>
      </c>
      <c r="G6479" s="3564">
        <v>87.38</v>
      </c>
      <c r="H6479" s="3564">
        <v>71</v>
      </c>
      <c r="I6479" s="3564">
        <v>16.38</v>
      </c>
      <c r="J6479" s="3565">
        <v>904058</v>
      </c>
      <c r="K6479" s="3565">
        <v>10346.280000000001</v>
      </c>
      <c r="L6479" s="3565">
        <v>12733.21</v>
      </c>
      <c r="M6479" s="3565">
        <v>0</v>
      </c>
      <c r="N6479" s="3565">
        <v>0</v>
      </c>
      <c r="O6479" s="3563" t="s">
        <v>3453</v>
      </c>
    </row>
    <row r="6480" spans="1:15">
      <c r="A6480" s="3563" t="s">
        <v>10728</v>
      </c>
      <c r="B6480" s="3563" t="s">
        <v>4196</v>
      </c>
      <c r="C6480" s="3563" t="s">
        <v>4197</v>
      </c>
      <c r="D6480" s="3563" t="s">
        <v>10228</v>
      </c>
      <c r="E6480" s="3563" t="s">
        <v>4423</v>
      </c>
      <c r="F6480" s="3563" t="s">
        <v>4797</v>
      </c>
      <c r="G6480" s="3564">
        <v>100.93</v>
      </c>
      <c r="H6480" s="3564">
        <v>82.01</v>
      </c>
      <c r="I6480" s="3564">
        <v>18.920000000000002</v>
      </c>
      <c r="J6480" s="3565">
        <v>1036735</v>
      </c>
      <c r="K6480" s="3565">
        <v>10271.82</v>
      </c>
      <c r="L6480" s="3565">
        <v>12641.57</v>
      </c>
      <c r="M6480" s="3565">
        <v>0</v>
      </c>
      <c r="N6480" s="3565">
        <v>0</v>
      </c>
      <c r="O6480" s="3563" t="s">
        <v>3453</v>
      </c>
    </row>
    <row r="6481" spans="1:15">
      <c r="A6481" s="3563" t="s">
        <v>10729</v>
      </c>
      <c r="B6481" s="3563" t="s">
        <v>4196</v>
      </c>
      <c r="C6481" s="3563" t="s">
        <v>4197</v>
      </c>
      <c r="D6481" s="3563" t="s">
        <v>10228</v>
      </c>
      <c r="E6481" s="3563" t="s">
        <v>4423</v>
      </c>
      <c r="F6481" s="3563" t="s">
        <v>4797</v>
      </c>
      <c r="G6481" s="3564">
        <v>100.6</v>
      </c>
      <c r="H6481" s="3564">
        <v>81.739999999999995</v>
      </c>
      <c r="I6481" s="3564">
        <v>18.86</v>
      </c>
      <c r="J6481" s="3565">
        <v>1121102</v>
      </c>
      <c r="K6481" s="3565">
        <v>11144.16</v>
      </c>
      <c r="L6481" s="3565">
        <v>13715.46</v>
      </c>
      <c r="M6481" s="3565">
        <v>0</v>
      </c>
      <c r="N6481" s="3565">
        <v>0</v>
      </c>
      <c r="O6481" s="3563" t="s">
        <v>3453</v>
      </c>
    </row>
    <row r="6482" spans="1:15">
      <c r="A6482" s="3563" t="s">
        <v>10730</v>
      </c>
      <c r="B6482" s="3563" t="s">
        <v>4196</v>
      </c>
      <c r="C6482" s="3563" t="s">
        <v>4197</v>
      </c>
      <c r="D6482" s="3563" t="s">
        <v>10228</v>
      </c>
      <c r="E6482" s="3563" t="s">
        <v>4423</v>
      </c>
      <c r="F6482" s="3563" t="s">
        <v>4797</v>
      </c>
      <c r="G6482" s="3564">
        <v>100.6</v>
      </c>
      <c r="H6482" s="3564">
        <v>81.739999999999995</v>
      </c>
      <c r="I6482" s="3564">
        <v>18.86</v>
      </c>
      <c r="J6482" s="3565">
        <v>1121102</v>
      </c>
      <c r="K6482" s="3565">
        <v>11144.16</v>
      </c>
      <c r="L6482" s="3565">
        <v>13715.46</v>
      </c>
      <c r="M6482" s="3565">
        <v>0</v>
      </c>
      <c r="N6482" s="3565">
        <v>0</v>
      </c>
      <c r="O6482" s="3563" t="s">
        <v>3453</v>
      </c>
    </row>
    <row r="6483" spans="1:15">
      <c r="A6483" s="3563" t="s">
        <v>10731</v>
      </c>
      <c r="B6483" s="3563" t="s">
        <v>4196</v>
      </c>
      <c r="C6483" s="3563" t="s">
        <v>4197</v>
      </c>
      <c r="D6483" s="3563" t="s">
        <v>10228</v>
      </c>
      <c r="E6483" s="3563" t="s">
        <v>4423</v>
      </c>
      <c r="F6483" s="3563" t="s">
        <v>4797</v>
      </c>
      <c r="G6483" s="3564">
        <v>123.11</v>
      </c>
      <c r="H6483" s="3564">
        <v>100.03</v>
      </c>
      <c r="I6483" s="3564">
        <v>23.08</v>
      </c>
      <c r="J6483" s="3565">
        <v>1347073</v>
      </c>
      <c r="K6483" s="3565">
        <v>10942.03</v>
      </c>
      <c r="L6483" s="3565">
        <v>13466.69</v>
      </c>
      <c r="M6483" s="3565">
        <v>0</v>
      </c>
      <c r="N6483" s="3565">
        <v>0</v>
      </c>
      <c r="O6483" s="3563" t="s">
        <v>3453</v>
      </c>
    </row>
    <row r="6484" spans="1:15">
      <c r="A6484" s="3563" t="s">
        <v>10732</v>
      </c>
      <c r="B6484" s="3563" t="s">
        <v>4196</v>
      </c>
      <c r="C6484" s="3563" t="s">
        <v>4197</v>
      </c>
      <c r="D6484" s="3563" t="s">
        <v>10228</v>
      </c>
      <c r="E6484" s="3563" t="s">
        <v>4423</v>
      </c>
      <c r="F6484" s="3563" t="s">
        <v>4797</v>
      </c>
      <c r="G6484" s="3564">
        <v>87.38</v>
      </c>
      <c r="H6484" s="3564">
        <v>71</v>
      </c>
      <c r="I6484" s="3564">
        <v>16.38</v>
      </c>
      <c r="J6484" s="3565">
        <v>904988</v>
      </c>
      <c r="K6484" s="3565">
        <v>10356.92</v>
      </c>
      <c r="L6484" s="3565">
        <v>12746.31</v>
      </c>
      <c r="M6484" s="3565">
        <v>0</v>
      </c>
      <c r="N6484" s="3565">
        <v>0</v>
      </c>
      <c r="O6484" s="3563" t="s">
        <v>3453</v>
      </c>
    </row>
    <row r="6485" spans="1:15">
      <c r="A6485" s="3563" t="s">
        <v>10733</v>
      </c>
      <c r="B6485" s="3563" t="s">
        <v>4196</v>
      </c>
      <c r="C6485" s="3563" t="s">
        <v>4197</v>
      </c>
      <c r="D6485" s="3563" t="s">
        <v>10228</v>
      </c>
      <c r="E6485" s="3563" t="s">
        <v>4423</v>
      </c>
      <c r="F6485" s="3563" t="s">
        <v>4797</v>
      </c>
      <c r="G6485" s="3564">
        <v>87.38</v>
      </c>
      <c r="H6485" s="3564">
        <v>71</v>
      </c>
      <c r="I6485" s="3564">
        <v>16.38</v>
      </c>
      <c r="J6485" s="3565">
        <v>904988</v>
      </c>
      <c r="K6485" s="3565">
        <v>10356.92</v>
      </c>
      <c r="L6485" s="3565">
        <v>12746.31</v>
      </c>
      <c r="M6485" s="3565">
        <v>0</v>
      </c>
      <c r="N6485" s="3565">
        <v>0</v>
      </c>
      <c r="O6485" s="3563" t="s">
        <v>3453</v>
      </c>
    </row>
    <row r="6486" spans="1:15">
      <c r="A6486" s="3563" t="s">
        <v>10734</v>
      </c>
      <c r="B6486" s="3563" t="s">
        <v>4196</v>
      </c>
      <c r="C6486" s="3563" t="s">
        <v>4197</v>
      </c>
      <c r="D6486" s="3563" t="s">
        <v>10228</v>
      </c>
      <c r="E6486" s="3563" t="s">
        <v>4423</v>
      </c>
      <c r="F6486" s="3563" t="s">
        <v>4797</v>
      </c>
      <c r="G6486" s="3564">
        <v>100.93</v>
      </c>
      <c r="H6486" s="3564">
        <v>82.01</v>
      </c>
      <c r="I6486" s="3564">
        <v>18.920000000000002</v>
      </c>
      <c r="J6486" s="3565">
        <v>1036735</v>
      </c>
      <c r="K6486" s="3565">
        <v>10271.82</v>
      </c>
      <c r="L6486" s="3565">
        <v>12641.57</v>
      </c>
      <c r="M6486" s="3565">
        <v>0</v>
      </c>
      <c r="N6486" s="3565">
        <v>0</v>
      </c>
      <c r="O6486" s="3563" t="s">
        <v>3453</v>
      </c>
    </row>
    <row r="6487" spans="1:15">
      <c r="A6487" s="3563" t="s">
        <v>10735</v>
      </c>
      <c r="B6487" s="3563" t="s">
        <v>4196</v>
      </c>
      <c r="C6487" s="3563" t="s">
        <v>4197</v>
      </c>
      <c r="D6487" s="3563" t="s">
        <v>10228</v>
      </c>
      <c r="E6487" s="3563" t="s">
        <v>4423</v>
      </c>
      <c r="F6487" s="3563" t="s">
        <v>4797</v>
      </c>
      <c r="G6487" s="3564">
        <v>100.6</v>
      </c>
      <c r="H6487" s="3564">
        <v>81.739999999999995</v>
      </c>
      <c r="I6487" s="3564">
        <v>18.86</v>
      </c>
      <c r="J6487" s="3565">
        <v>1122172</v>
      </c>
      <c r="K6487" s="3565">
        <v>11154.79</v>
      </c>
      <c r="L6487" s="3565">
        <v>13728.55</v>
      </c>
      <c r="M6487" s="3565">
        <v>0</v>
      </c>
      <c r="N6487" s="3565">
        <v>0</v>
      </c>
      <c r="O6487" s="3563" t="s">
        <v>3453</v>
      </c>
    </row>
    <row r="6488" spans="1:15">
      <c r="A6488" s="3563" t="s">
        <v>10736</v>
      </c>
      <c r="B6488" s="3563" t="s">
        <v>4196</v>
      </c>
      <c r="C6488" s="3563" t="s">
        <v>4197</v>
      </c>
      <c r="D6488" s="3563" t="s">
        <v>10228</v>
      </c>
      <c r="E6488" s="3563" t="s">
        <v>4423</v>
      </c>
      <c r="F6488" s="3563" t="s">
        <v>4797</v>
      </c>
      <c r="G6488" s="3564">
        <v>100.6</v>
      </c>
      <c r="H6488" s="3564">
        <v>81.739999999999995</v>
      </c>
      <c r="I6488" s="3564">
        <v>18.86</v>
      </c>
      <c r="J6488" s="3565">
        <v>1122172</v>
      </c>
      <c r="K6488" s="3565">
        <v>11154.79</v>
      </c>
      <c r="L6488" s="3565">
        <v>13728.55</v>
      </c>
      <c r="M6488" s="3565">
        <v>0</v>
      </c>
      <c r="N6488" s="3565">
        <v>0</v>
      </c>
      <c r="O6488" s="3563" t="s">
        <v>3453</v>
      </c>
    </row>
    <row r="6489" spans="1:15">
      <c r="A6489" s="3563" t="s">
        <v>10737</v>
      </c>
      <c r="B6489" s="3563" t="s">
        <v>4196</v>
      </c>
      <c r="C6489" s="3563" t="s">
        <v>4197</v>
      </c>
      <c r="D6489" s="3563" t="s">
        <v>10228</v>
      </c>
      <c r="E6489" s="3563" t="s">
        <v>4423</v>
      </c>
      <c r="F6489" s="3563" t="s">
        <v>4797</v>
      </c>
      <c r="G6489" s="3564">
        <v>123.11</v>
      </c>
      <c r="H6489" s="3564">
        <v>100.03</v>
      </c>
      <c r="I6489" s="3564">
        <v>23.08</v>
      </c>
      <c r="J6489" s="3565">
        <v>1348382</v>
      </c>
      <c r="K6489" s="3565">
        <v>10952.66</v>
      </c>
      <c r="L6489" s="3565">
        <v>13479.78</v>
      </c>
      <c r="M6489" s="3565">
        <v>0</v>
      </c>
      <c r="N6489" s="3565">
        <v>0</v>
      </c>
      <c r="O6489" s="3563" t="s">
        <v>3453</v>
      </c>
    </row>
    <row r="6490" spans="1:15">
      <c r="A6490" s="3563" t="s">
        <v>10738</v>
      </c>
      <c r="B6490" s="3563" t="s">
        <v>4196</v>
      </c>
      <c r="C6490" s="3563" t="s">
        <v>4197</v>
      </c>
      <c r="D6490" s="3563" t="s">
        <v>10228</v>
      </c>
      <c r="E6490" s="3563" t="s">
        <v>4423</v>
      </c>
      <c r="F6490" s="3563" t="s">
        <v>4797</v>
      </c>
      <c r="G6490" s="3564">
        <v>87.38</v>
      </c>
      <c r="H6490" s="3564">
        <v>71</v>
      </c>
      <c r="I6490" s="3564">
        <v>16.38</v>
      </c>
      <c r="J6490" s="3565">
        <v>905918</v>
      </c>
      <c r="K6490" s="3565">
        <v>10367.57</v>
      </c>
      <c r="L6490" s="3565">
        <v>12759.41</v>
      </c>
      <c r="M6490" s="3565">
        <v>0</v>
      </c>
      <c r="N6490" s="3565">
        <v>0</v>
      </c>
      <c r="O6490" s="3563" t="s">
        <v>3453</v>
      </c>
    </row>
    <row r="6491" spans="1:15">
      <c r="A6491" s="3563" t="s">
        <v>10739</v>
      </c>
      <c r="B6491" s="3563" t="s">
        <v>4196</v>
      </c>
      <c r="C6491" s="3563" t="s">
        <v>4197</v>
      </c>
      <c r="D6491" s="3563" t="s">
        <v>10228</v>
      </c>
      <c r="E6491" s="3563" t="s">
        <v>4423</v>
      </c>
      <c r="F6491" s="3563" t="s">
        <v>4797</v>
      </c>
      <c r="G6491" s="3564">
        <v>87.38</v>
      </c>
      <c r="H6491" s="3564">
        <v>71</v>
      </c>
      <c r="I6491" s="3564">
        <v>16.38</v>
      </c>
      <c r="J6491" s="3565">
        <v>905918</v>
      </c>
      <c r="K6491" s="3565">
        <v>10367.57</v>
      </c>
      <c r="L6491" s="3565">
        <v>12759.41</v>
      </c>
      <c r="M6491" s="3565">
        <v>0</v>
      </c>
      <c r="N6491" s="3565">
        <v>0</v>
      </c>
      <c r="O6491" s="3563" t="s">
        <v>3453</v>
      </c>
    </row>
    <row r="6492" spans="1:15">
      <c r="A6492" s="3563" t="s">
        <v>10740</v>
      </c>
      <c r="B6492" s="3563" t="s">
        <v>4196</v>
      </c>
      <c r="C6492" s="3563" t="s">
        <v>4197</v>
      </c>
      <c r="D6492" s="3563" t="s">
        <v>10228</v>
      </c>
      <c r="E6492" s="3563" t="s">
        <v>4423</v>
      </c>
      <c r="F6492" s="3563" t="s">
        <v>4797</v>
      </c>
      <c r="G6492" s="3564">
        <v>100.93</v>
      </c>
      <c r="H6492" s="3564">
        <v>82.01</v>
      </c>
      <c r="I6492" s="3564">
        <v>18.920000000000002</v>
      </c>
      <c r="J6492" s="3565">
        <v>1036735</v>
      </c>
      <c r="K6492" s="3565">
        <v>10271.82</v>
      </c>
      <c r="L6492" s="3565">
        <v>12641.57</v>
      </c>
      <c r="M6492" s="3565">
        <v>0</v>
      </c>
      <c r="N6492" s="3565">
        <v>0</v>
      </c>
      <c r="O6492" s="3563" t="s">
        <v>3453</v>
      </c>
    </row>
    <row r="6493" spans="1:15">
      <c r="A6493" s="3563" t="s">
        <v>10741</v>
      </c>
      <c r="B6493" s="3563" t="s">
        <v>4196</v>
      </c>
      <c r="C6493" s="3563" t="s">
        <v>4197</v>
      </c>
      <c r="D6493" s="3563" t="s">
        <v>10228</v>
      </c>
      <c r="E6493" s="3563" t="s">
        <v>4423</v>
      </c>
      <c r="F6493" s="3563" t="s">
        <v>4797</v>
      </c>
      <c r="G6493" s="3564">
        <v>100.6</v>
      </c>
      <c r="H6493" s="3564">
        <v>81.739999999999995</v>
      </c>
      <c r="I6493" s="3564">
        <v>18.86</v>
      </c>
      <c r="J6493" s="3565">
        <v>1123242</v>
      </c>
      <c r="K6493" s="3565">
        <v>11165.43</v>
      </c>
      <c r="L6493" s="3565">
        <v>13741.64</v>
      </c>
      <c r="M6493" s="3565">
        <v>0</v>
      </c>
      <c r="N6493" s="3565">
        <v>0</v>
      </c>
      <c r="O6493" s="3563" t="s">
        <v>3453</v>
      </c>
    </row>
    <row r="6494" spans="1:15">
      <c r="A6494" s="3563" t="s">
        <v>10742</v>
      </c>
      <c r="B6494" s="3563" t="s">
        <v>4196</v>
      </c>
      <c r="C6494" s="3563" t="s">
        <v>4197</v>
      </c>
      <c r="D6494" s="3563" t="s">
        <v>10228</v>
      </c>
      <c r="E6494" s="3563" t="s">
        <v>4423</v>
      </c>
      <c r="F6494" s="3563" t="s">
        <v>4797</v>
      </c>
      <c r="G6494" s="3564">
        <v>100.6</v>
      </c>
      <c r="H6494" s="3564">
        <v>81.739999999999995</v>
      </c>
      <c r="I6494" s="3564">
        <v>18.86</v>
      </c>
      <c r="J6494" s="3565">
        <v>1123242</v>
      </c>
      <c r="K6494" s="3565">
        <v>11165.43</v>
      </c>
      <c r="L6494" s="3565">
        <v>13741.64</v>
      </c>
      <c r="M6494" s="3565">
        <v>0</v>
      </c>
      <c r="N6494" s="3565">
        <v>0</v>
      </c>
      <c r="O6494" s="3563" t="s">
        <v>3453</v>
      </c>
    </row>
    <row r="6495" spans="1:15">
      <c r="A6495" s="3563" t="s">
        <v>10743</v>
      </c>
      <c r="B6495" s="3563" t="s">
        <v>4196</v>
      </c>
      <c r="C6495" s="3563" t="s">
        <v>4197</v>
      </c>
      <c r="D6495" s="3563" t="s">
        <v>10228</v>
      </c>
      <c r="E6495" s="3563" t="s">
        <v>4699</v>
      </c>
      <c r="F6495" s="3563" t="s">
        <v>4797</v>
      </c>
      <c r="G6495" s="3564">
        <v>120.22</v>
      </c>
      <c r="H6495" s="3564">
        <v>104.37</v>
      </c>
      <c r="I6495" s="3564">
        <v>15.85</v>
      </c>
      <c r="J6495" s="3565">
        <v>1234877</v>
      </c>
      <c r="K6495" s="3565">
        <v>10271.81</v>
      </c>
      <c r="L6495" s="3565">
        <v>11831.72</v>
      </c>
      <c r="M6495" s="3565">
        <v>0</v>
      </c>
      <c r="N6495" s="3565">
        <v>0</v>
      </c>
      <c r="O6495" s="3563" t="s">
        <v>3453</v>
      </c>
    </row>
    <row r="6496" spans="1:15">
      <c r="A6496" s="3563" t="s">
        <v>10744</v>
      </c>
      <c r="B6496" s="3563" t="s">
        <v>4196</v>
      </c>
      <c r="C6496" s="3563" t="s">
        <v>4197</v>
      </c>
      <c r="D6496" s="3563" t="s">
        <v>10228</v>
      </c>
      <c r="E6496" s="3563" t="s">
        <v>4699</v>
      </c>
      <c r="F6496" s="3563" t="s">
        <v>4797</v>
      </c>
      <c r="G6496" s="3564">
        <v>81.78</v>
      </c>
      <c r="H6496" s="3564">
        <v>71</v>
      </c>
      <c r="I6496" s="3564">
        <v>10.78</v>
      </c>
      <c r="J6496" s="3565">
        <v>840029</v>
      </c>
      <c r="K6496" s="3565">
        <v>10271.81</v>
      </c>
      <c r="L6496" s="3565">
        <v>11831.39</v>
      </c>
      <c r="M6496" s="3565">
        <v>0</v>
      </c>
      <c r="N6496" s="3565">
        <v>0</v>
      </c>
      <c r="O6496" s="3563" t="s">
        <v>3453</v>
      </c>
    </row>
    <row r="6497" spans="1:15">
      <c r="A6497" s="3563" t="s">
        <v>10745</v>
      </c>
      <c r="B6497" s="3563" t="s">
        <v>4196</v>
      </c>
      <c r="C6497" s="3563" t="s">
        <v>4197</v>
      </c>
      <c r="D6497" s="3563" t="s">
        <v>10228</v>
      </c>
      <c r="E6497" s="3563" t="s">
        <v>4699</v>
      </c>
      <c r="F6497" s="3563" t="s">
        <v>4797</v>
      </c>
      <c r="G6497" s="3564">
        <v>94.46</v>
      </c>
      <c r="H6497" s="3564">
        <v>82.01</v>
      </c>
      <c r="I6497" s="3564">
        <v>12.45</v>
      </c>
      <c r="J6497" s="3565">
        <v>970276</v>
      </c>
      <c r="K6497" s="3565">
        <v>10271.82</v>
      </c>
      <c r="L6497" s="3565">
        <v>11831.19</v>
      </c>
      <c r="M6497" s="3565">
        <v>0</v>
      </c>
      <c r="N6497" s="3565">
        <v>0</v>
      </c>
      <c r="O6497" s="3563" t="s">
        <v>3453</v>
      </c>
    </row>
    <row r="6498" spans="1:15">
      <c r="A6498" s="3563" t="s">
        <v>10746</v>
      </c>
      <c r="B6498" s="3563" t="s">
        <v>4196</v>
      </c>
      <c r="C6498" s="3563" t="s">
        <v>4197</v>
      </c>
      <c r="D6498" s="3563" t="s">
        <v>10228</v>
      </c>
      <c r="E6498" s="3563" t="s">
        <v>4699</v>
      </c>
      <c r="F6498" s="3563" t="s">
        <v>4797</v>
      </c>
      <c r="G6498" s="3564">
        <v>123.11</v>
      </c>
      <c r="H6498" s="3564">
        <v>100.03</v>
      </c>
      <c r="I6498" s="3564">
        <v>23.08</v>
      </c>
      <c r="J6498" s="3565">
        <v>1349692</v>
      </c>
      <c r="K6498" s="3565">
        <v>10963.3</v>
      </c>
      <c r="L6498" s="3565">
        <v>13492.87</v>
      </c>
      <c r="M6498" s="3565">
        <v>0</v>
      </c>
      <c r="N6498" s="3565">
        <v>0</v>
      </c>
      <c r="O6498" s="3563" t="s">
        <v>3453</v>
      </c>
    </row>
    <row r="6499" spans="1:15">
      <c r="A6499" s="3563" t="s">
        <v>10747</v>
      </c>
      <c r="B6499" s="3563" t="s">
        <v>4196</v>
      </c>
      <c r="C6499" s="3563" t="s">
        <v>4197</v>
      </c>
      <c r="D6499" s="3563" t="s">
        <v>10228</v>
      </c>
      <c r="E6499" s="3563" t="s">
        <v>4699</v>
      </c>
      <c r="F6499" s="3563" t="s">
        <v>4797</v>
      </c>
      <c r="G6499" s="3564">
        <v>87.38</v>
      </c>
      <c r="H6499" s="3564">
        <v>71</v>
      </c>
      <c r="I6499" s="3564">
        <v>16.38</v>
      </c>
      <c r="J6499" s="3565">
        <v>906847</v>
      </c>
      <c r="K6499" s="3565">
        <v>10378.200000000001</v>
      </c>
      <c r="L6499" s="3565">
        <v>12772.49</v>
      </c>
      <c r="M6499" s="3565">
        <v>0</v>
      </c>
      <c r="N6499" s="3565">
        <v>0</v>
      </c>
      <c r="O6499" s="3563" t="s">
        <v>3453</v>
      </c>
    </row>
    <row r="6500" spans="1:15">
      <c r="A6500" s="3563" t="s">
        <v>10748</v>
      </c>
      <c r="B6500" s="3563" t="s">
        <v>4196</v>
      </c>
      <c r="C6500" s="3563" t="s">
        <v>4197</v>
      </c>
      <c r="D6500" s="3563" t="s">
        <v>10228</v>
      </c>
      <c r="E6500" s="3563" t="s">
        <v>4699</v>
      </c>
      <c r="F6500" s="3563" t="s">
        <v>4797</v>
      </c>
      <c r="G6500" s="3564">
        <v>87.38</v>
      </c>
      <c r="H6500" s="3564">
        <v>71</v>
      </c>
      <c r="I6500" s="3564">
        <v>16.38</v>
      </c>
      <c r="J6500" s="3565">
        <v>906847</v>
      </c>
      <c r="K6500" s="3565">
        <v>10378.200000000001</v>
      </c>
      <c r="L6500" s="3565">
        <v>12772.49</v>
      </c>
      <c r="M6500" s="3565">
        <v>0</v>
      </c>
      <c r="N6500" s="3565">
        <v>0</v>
      </c>
      <c r="O6500" s="3563" t="s">
        <v>3453</v>
      </c>
    </row>
    <row r="6501" spans="1:15">
      <c r="A6501" s="3563" t="s">
        <v>10749</v>
      </c>
      <c r="B6501" s="3563" t="s">
        <v>4196</v>
      </c>
      <c r="C6501" s="3563" t="s">
        <v>4197</v>
      </c>
      <c r="D6501" s="3563" t="s">
        <v>10228</v>
      </c>
      <c r="E6501" s="3563" t="s">
        <v>4699</v>
      </c>
      <c r="F6501" s="3563" t="s">
        <v>4797</v>
      </c>
      <c r="G6501" s="3564">
        <v>100.93</v>
      </c>
      <c r="H6501" s="3564">
        <v>82.01</v>
      </c>
      <c r="I6501" s="3564">
        <v>18.920000000000002</v>
      </c>
      <c r="J6501" s="3565">
        <v>1036735</v>
      </c>
      <c r="K6501" s="3565">
        <v>10271.82</v>
      </c>
      <c r="L6501" s="3565">
        <v>12641.57</v>
      </c>
      <c r="M6501" s="3565">
        <v>0</v>
      </c>
      <c r="N6501" s="3565">
        <v>0</v>
      </c>
      <c r="O6501" s="3563" t="s">
        <v>3453</v>
      </c>
    </row>
    <row r="6502" spans="1:15">
      <c r="A6502" s="3563" t="s">
        <v>10750</v>
      </c>
      <c r="B6502" s="3563" t="s">
        <v>4196</v>
      </c>
      <c r="C6502" s="3563" t="s">
        <v>4197</v>
      </c>
      <c r="D6502" s="3563" t="s">
        <v>10228</v>
      </c>
      <c r="E6502" s="3563" t="s">
        <v>4699</v>
      </c>
      <c r="F6502" s="3563" t="s">
        <v>4797</v>
      </c>
      <c r="G6502" s="3564">
        <v>100.6</v>
      </c>
      <c r="H6502" s="3564">
        <v>81.739999999999995</v>
      </c>
      <c r="I6502" s="3564">
        <v>18.86</v>
      </c>
      <c r="J6502" s="3565">
        <v>1124312</v>
      </c>
      <c r="K6502" s="3565">
        <v>11176.06</v>
      </c>
      <c r="L6502" s="3565">
        <v>13754.73</v>
      </c>
      <c r="M6502" s="3565">
        <v>0</v>
      </c>
      <c r="N6502" s="3565">
        <v>0</v>
      </c>
      <c r="O6502" s="3563" t="s">
        <v>3453</v>
      </c>
    </row>
    <row r="6503" spans="1:15">
      <c r="A6503" s="3563" t="s">
        <v>10751</v>
      </c>
      <c r="B6503" s="3563" t="s">
        <v>4196</v>
      </c>
      <c r="C6503" s="3563" t="s">
        <v>4197</v>
      </c>
      <c r="D6503" s="3563" t="s">
        <v>10228</v>
      </c>
      <c r="E6503" s="3563" t="s">
        <v>4699</v>
      </c>
      <c r="F6503" s="3563" t="s">
        <v>4797</v>
      </c>
      <c r="G6503" s="3564">
        <v>100.6</v>
      </c>
      <c r="H6503" s="3564">
        <v>81.739999999999995</v>
      </c>
      <c r="I6503" s="3564">
        <v>18.86</v>
      </c>
      <c r="J6503" s="3565">
        <v>1124312</v>
      </c>
      <c r="K6503" s="3565">
        <v>11176.06</v>
      </c>
      <c r="L6503" s="3565">
        <v>13754.73</v>
      </c>
      <c r="M6503" s="3565">
        <v>0</v>
      </c>
      <c r="N6503" s="3565">
        <v>0</v>
      </c>
      <c r="O6503" s="3563" t="s">
        <v>3453</v>
      </c>
    </row>
    <row r="6504" spans="1:15">
      <c r="A6504" s="3563" t="s">
        <v>10752</v>
      </c>
      <c r="B6504" s="3563" t="s">
        <v>4196</v>
      </c>
      <c r="C6504" s="3563" t="s">
        <v>4197</v>
      </c>
      <c r="D6504" s="3563" t="s">
        <v>10228</v>
      </c>
      <c r="E6504" s="3563" t="s">
        <v>4699</v>
      </c>
      <c r="F6504" s="3563" t="s">
        <v>4797</v>
      </c>
      <c r="G6504" s="3564">
        <v>123.11</v>
      </c>
      <c r="H6504" s="3564">
        <v>100.03</v>
      </c>
      <c r="I6504" s="3564">
        <v>23.08</v>
      </c>
      <c r="J6504" s="3565">
        <v>1351002</v>
      </c>
      <c r="K6504" s="3565">
        <v>10973.94</v>
      </c>
      <c r="L6504" s="3565">
        <v>13505.97</v>
      </c>
      <c r="M6504" s="3565">
        <v>0</v>
      </c>
      <c r="N6504" s="3565">
        <v>0</v>
      </c>
      <c r="O6504" s="3563" t="s">
        <v>3453</v>
      </c>
    </row>
    <row r="6505" spans="1:15">
      <c r="A6505" s="3563" t="s">
        <v>10753</v>
      </c>
      <c r="B6505" s="3563" t="s">
        <v>4196</v>
      </c>
      <c r="C6505" s="3563" t="s">
        <v>4197</v>
      </c>
      <c r="D6505" s="3563" t="s">
        <v>10228</v>
      </c>
      <c r="E6505" s="3563" t="s">
        <v>4699</v>
      </c>
      <c r="F6505" s="3563" t="s">
        <v>4797</v>
      </c>
      <c r="G6505" s="3564">
        <v>87.38</v>
      </c>
      <c r="H6505" s="3564">
        <v>71</v>
      </c>
      <c r="I6505" s="3564">
        <v>16.38</v>
      </c>
      <c r="J6505" s="3565">
        <v>907776</v>
      </c>
      <c r="K6505" s="3565">
        <v>10388.83</v>
      </c>
      <c r="L6505" s="3565">
        <v>12785.58</v>
      </c>
      <c r="M6505" s="3565">
        <v>0</v>
      </c>
      <c r="N6505" s="3565">
        <v>0</v>
      </c>
      <c r="O6505" s="3563" t="s">
        <v>3453</v>
      </c>
    </row>
    <row r="6506" spans="1:15">
      <c r="A6506" s="3563" t="s">
        <v>10754</v>
      </c>
      <c r="B6506" s="3563" t="s">
        <v>4196</v>
      </c>
      <c r="C6506" s="3563" t="s">
        <v>4197</v>
      </c>
      <c r="D6506" s="3563" t="s">
        <v>10228</v>
      </c>
      <c r="E6506" s="3563" t="s">
        <v>4699</v>
      </c>
      <c r="F6506" s="3563" t="s">
        <v>4797</v>
      </c>
      <c r="G6506" s="3564">
        <v>87.38</v>
      </c>
      <c r="H6506" s="3564">
        <v>71</v>
      </c>
      <c r="I6506" s="3564">
        <v>16.38</v>
      </c>
      <c r="J6506" s="3565">
        <v>907776</v>
      </c>
      <c r="K6506" s="3565">
        <v>10388.83</v>
      </c>
      <c r="L6506" s="3565">
        <v>12785.58</v>
      </c>
      <c r="M6506" s="3565">
        <v>0</v>
      </c>
      <c r="N6506" s="3565">
        <v>0</v>
      </c>
      <c r="O6506" s="3563" t="s">
        <v>3453</v>
      </c>
    </row>
    <row r="6507" spans="1:15">
      <c r="A6507" s="3563" t="s">
        <v>10755</v>
      </c>
      <c r="B6507" s="3563" t="s">
        <v>4196</v>
      </c>
      <c r="C6507" s="3563" t="s">
        <v>4197</v>
      </c>
      <c r="D6507" s="3563" t="s">
        <v>10228</v>
      </c>
      <c r="E6507" s="3563" t="s">
        <v>4699</v>
      </c>
      <c r="F6507" s="3563" t="s">
        <v>4797</v>
      </c>
      <c r="G6507" s="3564">
        <v>100.93</v>
      </c>
      <c r="H6507" s="3564">
        <v>82.01</v>
      </c>
      <c r="I6507" s="3564">
        <v>18.920000000000002</v>
      </c>
      <c r="J6507" s="3565">
        <v>1037808</v>
      </c>
      <c r="K6507" s="3565">
        <v>10282.450000000001</v>
      </c>
      <c r="L6507" s="3565">
        <v>12654.65</v>
      </c>
      <c r="M6507" s="3565">
        <v>0</v>
      </c>
      <c r="N6507" s="3565">
        <v>0</v>
      </c>
      <c r="O6507" s="3563" t="s">
        <v>3453</v>
      </c>
    </row>
    <row r="6508" spans="1:15">
      <c r="A6508" s="3563" t="s">
        <v>10756</v>
      </c>
      <c r="B6508" s="3563" t="s">
        <v>4196</v>
      </c>
      <c r="C6508" s="3563" t="s">
        <v>4197</v>
      </c>
      <c r="D6508" s="3563" t="s">
        <v>10228</v>
      </c>
      <c r="E6508" s="3563" t="s">
        <v>4699</v>
      </c>
      <c r="F6508" s="3563" t="s">
        <v>4797</v>
      </c>
      <c r="G6508" s="3564">
        <v>100.6</v>
      </c>
      <c r="H6508" s="3564">
        <v>81.739999999999995</v>
      </c>
      <c r="I6508" s="3564">
        <v>18.86</v>
      </c>
      <c r="J6508" s="3565">
        <v>1125382</v>
      </c>
      <c r="K6508" s="3565">
        <v>11186.7</v>
      </c>
      <c r="L6508" s="3565">
        <v>13767.82</v>
      </c>
      <c r="M6508" s="3565">
        <v>0</v>
      </c>
      <c r="N6508" s="3565">
        <v>0</v>
      </c>
      <c r="O6508" s="3563" t="s">
        <v>3453</v>
      </c>
    </row>
    <row r="6509" spans="1:15">
      <c r="A6509" s="3563" t="s">
        <v>10757</v>
      </c>
      <c r="B6509" s="3563" t="s">
        <v>4196</v>
      </c>
      <c r="C6509" s="3563" t="s">
        <v>4197</v>
      </c>
      <c r="D6509" s="3563" t="s">
        <v>10228</v>
      </c>
      <c r="E6509" s="3563" t="s">
        <v>4699</v>
      </c>
      <c r="F6509" s="3563" t="s">
        <v>4797</v>
      </c>
      <c r="G6509" s="3564">
        <v>100.6</v>
      </c>
      <c r="H6509" s="3564">
        <v>81.739999999999995</v>
      </c>
      <c r="I6509" s="3564">
        <v>18.86</v>
      </c>
      <c r="J6509" s="3565">
        <v>1125382</v>
      </c>
      <c r="K6509" s="3565">
        <v>11186.7</v>
      </c>
      <c r="L6509" s="3565">
        <v>13767.82</v>
      </c>
      <c r="M6509" s="3565">
        <v>0</v>
      </c>
      <c r="N6509" s="3565">
        <v>0</v>
      </c>
      <c r="O6509" s="3563" t="s">
        <v>3453</v>
      </c>
    </row>
    <row r="6510" spans="1:15">
      <c r="A6510" s="3563" t="s">
        <v>10758</v>
      </c>
      <c r="B6510" s="3563" t="s">
        <v>4196</v>
      </c>
      <c r="C6510" s="3563" t="s">
        <v>4197</v>
      </c>
      <c r="D6510" s="3563" t="s">
        <v>10228</v>
      </c>
      <c r="E6510" s="3563" t="s">
        <v>4699</v>
      </c>
      <c r="F6510" s="3563" t="s">
        <v>4797</v>
      </c>
      <c r="G6510" s="3564">
        <v>123.11</v>
      </c>
      <c r="H6510" s="3564">
        <v>100.03</v>
      </c>
      <c r="I6510" s="3564">
        <v>23.08</v>
      </c>
      <c r="J6510" s="3565">
        <v>1352311</v>
      </c>
      <c r="K6510" s="3565">
        <v>10984.57</v>
      </c>
      <c r="L6510" s="3565">
        <v>13519.05</v>
      </c>
      <c r="M6510" s="3565">
        <v>0</v>
      </c>
      <c r="N6510" s="3565">
        <v>0</v>
      </c>
      <c r="O6510" s="3563" t="s">
        <v>3453</v>
      </c>
    </row>
    <row r="6511" spans="1:15">
      <c r="A6511" s="3563" t="s">
        <v>10759</v>
      </c>
      <c r="B6511" s="3563" t="s">
        <v>4196</v>
      </c>
      <c r="C6511" s="3563" t="s">
        <v>4197</v>
      </c>
      <c r="D6511" s="3563" t="s">
        <v>10228</v>
      </c>
      <c r="E6511" s="3563" t="s">
        <v>4699</v>
      </c>
      <c r="F6511" s="3563" t="s">
        <v>4797</v>
      </c>
      <c r="G6511" s="3564">
        <v>87.38</v>
      </c>
      <c r="H6511" s="3564">
        <v>71</v>
      </c>
      <c r="I6511" s="3564">
        <v>16.38</v>
      </c>
      <c r="J6511" s="3565">
        <v>908706</v>
      </c>
      <c r="K6511" s="3565">
        <v>10399.469999999999</v>
      </c>
      <c r="L6511" s="3565">
        <v>12798.68</v>
      </c>
      <c r="M6511" s="3565">
        <v>0</v>
      </c>
      <c r="N6511" s="3565">
        <v>0</v>
      </c>
      <c r="O6511" s="3563" t="s">
        <v>3453</v>
      </c>
    </row>
    <row r="6512" spans="1:15">
      <c r="A6512" s="3563" t="s">
        <v>10760</v>
      </c>
      <c r="B6512" s="3563" t="s">
        <v>4196</v>
      </c>
      <c r="C6512" s="3563" t="s">
        <v>4197</v>
      </c>
      <c r="D6512" s="3563" t="s">
        <v>10228</v>
      </c>
      <c r="E6512" s="3563" t="s">
        <v>4699</v>
      </c>
      <c r="F6512" s="3563" t="s">
        <v>4797</v>
      </c>
      <c r="G6512" s="3564">
        <v>87.38</v>
      </c>
      <c r="H6512" s="3564">
        <v>71</v>
      </c>
      <c r="I6512" s="3564">
        <v>16.38</v>
      </c>
      <c r="J6512" s="3565">
        <v>908706</v>
      </c>
      <c r="K6512" s="3565">
        <v>10399.469999999999</v>
      </c>
      <c r="L6512" s="3565">
        <v>12798.68</v>
      </c>
      <c r="M6512" s="3565">
        <v>0</v>
      </c>
      <c r="N6512" s="3565">
        <v>0</v>
      </c>
      <c r="O6512" s="3563" t="s">
        <v>3453</v>
      </c>
    </row>
    <row r="6513" spans="1:15">
      <c r="A6513" s="3563" t="s">
        <v>10761</v>
      </c>
      <c r="B6513" s="3563" t="s">
        <v>4196</v>
      </c>
      <c r="C6513" s="3563" t="s">
        <v>4197</v>
      </c>
      <c r="D6513" s="3563" t="s">
        <v>10228</v>
      </c>
      <c r="E6513" s="3563" t="s">
        <v>4699</v>
      </c>
      <c r="F6513" s="3563" t="s">
        <v>4797</v>
      </c>
      <c r="G6513" s="3564">
        <v>100.93</v>
      </c>
      <c r="H6513" s="3564">
        <v>82.01</v>
      </c>
      <c r="I6513" s="3564">
        <v>18.920000000000002</v>
      </c>
      <c r="J6513" s="3565">
        <v>1038881</v>
      </c>
      <c r="K6513" s="3565">
        <v>10293.08</v>
      </c>
      <c r="L6513" s="3565">
        <v>12667.74</v>
      </c>
      <c r="M6513" s="3565">
        <v>0</v>
      </c>
      <c r="N6513" s="3565">
        <v>0</v>
      </c>
      <c r="O6513" s="3563" t="s">
        <v>3453</v>
      </c>
    </row>
    <row r="6514" spans="1:15">
      <c r="A6514" s="3563" t="s">
        <v>10762</v>
      </c>
      <c r="B6514" s="3563" t="s">
        <v>4196</v>
      </c>
      <c r="C6514" s="3563" t="s">
        <v>4197</v>
      </c>
      <c r="D6514" s="3563" t="s">
        <v>10228</v>
      </c>
      <c r="E6514" s="3563" t="s">
        <v>4699</v>
      </c>
      <c r="F6514" s="3563" t="s">
        <v>4797</v>
      </c>
      <c r="G6514" s="3564">
        <v>100.6</v>
      </c>
      <c r="H6514" s="3564">
        <v>81.739999999999995</v>
      </c>
      <c r="I6514" s="3564">
        <v>18.86</v>
      </c>
      <c r="J6514" s="3565">
        <v>1126453</v>
      </c>
      <c r="K6514" s="3565">
        <v>11197.35</v>
      </c>
      <c r="L6514" s="3565">
        <v>13780.93</v>
      </c>
      <c r="M6514" s="3565">
        <v>0</v>
      </c>
      <c r="N6514" s="3565">
        <v>0</v>
      </c>
      <c r="O6514" s="3563" t="s">
        <v>3453</v>
      </c>
    </row>
    <row r="6515" spans="1:15">
      <c r="A6515" s="3563" t="s">
        <v>10763</v>
      </c>
      <c r="B6515" s="3563" t="s">
        <v>4196</v>
      </c>
      <c r="C6515" s="3563" t="s">
        <v>4197</v>
      </c>
      <c r="D6515" s="3563" t="s">
        <v>10228</v>
      </c>
      <c r="E6515" s="3563" t="s">
        <v>4699</v>
      </c>
      <c r="F6515" s="3563" t="s">
        <v>4797</v>
      </c>
      <c r="G6515" s="3564">
        <v>100.6</v>
      </c>
      <c r="H6515" s="3564">
        <v>81.739999999999995</v>
      </c>
      <c r="I6515" s="3564">
        <v>18.86</v>
      </c>
      <c r="J6515" s="3565">
        <v>1126453</v>
      </c>
      <c r="K6515" s="3565">
        <v>11197.35</v>
      </c>
      <c r="L6515" s="3565">
        <v>13780.93</v>
      </c>
      <c r="M6515" s="3565">
        <v>0</v>
      </c>
      <c r="N6515" s="3565">
        <v>0</v>
      </c>
      <c r="O6515" s="3563" t="s">
        <v>3453</v>
      </c>
    </row>
    <row r="6516" spans="1:15">
      <c r="A6516" s="3563" t="s">
        <v>10764</v>
      </c>
      <c r="B6516" s="3563" t="s">
        <v>4196</v>
      </c>
      <c r="C6516" s="3563" t="s">
        <v>4197</v>
      </c>
      <c r="D6516" s="3563" t="s">
        <v>10228</v>
      </c>
      <c r="E6516" s="3563" t="s">
        <v>4699</v>
      </c>
      <c r="F6516" s="3563" t="s">
        <v>4797</v>
      </c>
      <c r="G6516" s="3564">
        <v>123.11</v>
      </c>
      <c r="H6516" s="3564">
        <v>100.03</v>
      </c>
      <c r="I6516" s="3564">
        <v>23.08</v>
      </c>
      <c r="J6516" s="3565">
        <v>1353621</v>
      </c>
      <c r="K6516" s="3565">
        <v>10995.22</v>
      </c>
      <c r="L6516" s="3565">
        <v>13532.15</v>
      </c>
      <c r="M6516" s="3565">
        <v>0</v>
      </c>
      <c r="N6516" s="3565">
        <v>0</v>
      </c>
      <c r="O6516" s="3563" t="s">
        <v>3453</v>
      </c>
    </row>
    <row r="6517" spans="1:15">
      <c r="A6517" s="3563" t="s">
        <v>10765</v>
      </c>
      <c r="B6517" s="3563" t="s">
        <v>4196</v>
      </c>
      <c r="C6517" s="3563" t="s">
        <v>4197</v>
      </c>
      <c r="D6517" s="3563" t="s">
        <v>10228</v>
      </c>
      <c r="E6517" s="3563" t="s">
        <v>4699</v>
      </c>
      <c r="F6517" s="3563" t="s">
        <v>4797</v>
      </c>
      <c r="G6517" s="3564">
        <v>87.38</v>
      </c>
      <c r="H6517" s="3564">
        <v>71</v>
      </c>
      <c r="I6517" s="3564">
        <v>16.38</v>
      </c>
      <c r="J6517" s="3565">
        <v>909636</v>
      </c>
      <c r="K6517" s="3565">
        <v>10410.120000000001</v>
      </c>
      <c r="L6517" s="3565">
        <v>12811.77</v>
      </c>
      <c r="M6517" s="3565">
        <v>0</v>
      </c>
      <c r="N6517" s="3565">
        <v>0</v>
      </c>
      <c r="O6517" s="3563" t="s">
        <v>3453</v>
      </c>
    </row>
    <row r="6518" spans="1:15">
      <c r="A6518" s="3563" t="s">
        <v>10766</v>
      </c>
      <c r="B6518" s="3563" t="s">
        <v>4196</v>
      </c>
      <c r="C6518" s="3563" t="s">
        <v>4197</v>
      </c>
      <c r="D6518" s="3563" t="s">
        <v>10228</v>
      </c>
      <c r="E6518" s="3563" t="s">
        <v>4699</v>
      </c>
      <c r="F6518" s="3563" t="s">
        <v>4797</v>
      </c>
      <c r="G6518" s="3564">
        <v>87.38</v>
      </c>
      <c r="H6518" s="3564">
        <v>71</v>
      </c>
      <c r="I6518" s="3564">
        <v>16.38</v>
      </c>
      <c r="J6518" s="3565">
        <v>909636</v>
      </c>
      <c r="K6518" s="3565">
        <v>10410.120000000001</v>
      </c>
      <c r="L6518" s="3565">
        <v>12811.77</v>
      </c>
      <c r="M6518" s="3565">
        <v>0</v>
      </c>
      <c r="N6518" s="3565">
        <v>0</v>
      </c>
      <c r="O6518" s="3563" t="s">
        <v>3453</v>
      </c>
    </row>
    <row r="6519" spans="1:15">
      <c r="A6519" s="3563" t="s">
        <v>10767</v>
      </c>
      <c r="B6519" s="3563" t="s">
        <v>4196</v>
      </c>
      <c r="C6519" s="3563" t="s">
        <v>4197</v>
      </c>
      <c r="D6519" s="3563" t="s">
        <v>10228</v>
      </c>
      <c r="E6519" s="3563" t="s">
        <v>4699</v>
      </c>
      <c r="F6519" s="3563" t="s">
        <v>4797</v>
      </c>
      <c r="G6519" s="3564">
        <v>100.93</v>
      </c>
      <c r="H6519" s="3564">
        <v>82.01</v>
      </c>
      <c r="I6519" s="3564">
        <v>18.920000000000002</v>
      </c>
      <c r="J6519" s="3565">
        <v>1039956</v>
      </c>
      <c r="K6519" s="3565">
        <v>10303.74</v>
      </c>
      <c r="L6519" s="3565">
        <v>12680.84</v>
      </c>
      <c r="M6519" s="3565">
        <v>0</v>
      </c>
      <c r="N6519" s="3565">
        <v>0</v>
      </c>
      <c r="O6519" s="3563" t="s">
        <v>3453</v>
      </c>
    </row>
    <row r="6520" spans="1:15">
      <c r="A6520" s="3563" t="s">
        <v>10768</v>
      </c>
      <c r="B6520" s="3563" t="s">
        <v>4196</v>
      </c>
      <c r="C6520" s="3563" t="s">
        <v>4197</v>
      </c>
      <c r="D6520" s="3563" t="s">
        <v>10228</v>
      </c>
      <c r="E6520" s="3563" t="s">
        <v>4699</v>
      </c>
      <c r="F6520" s="3563" t="s">
        <v>4797</v>
      </c>
      <c r="G6520" s="3564">
        <v>100.6</v>
      </c>
      <c r="H6520" s="3564">
        <v>81.739999999999995</v>
      </c>
      <c r="I6520" s="3564">
        <v>18.86</v>
      </c>
      <c r="J6520" s="3565">
        <v>1127523</v>
      </c>
      <c r="K6520" s="3565">
        <v>11207.98</v>
      </c>
      <c r="L6520" s="3565">
        <v>13794.02</v>
      </c>
      <c r="M6520" s="3565">
        <v>0</v>
      </c>
      <c r="N6520" s="3565">
        <v>0</v>
      </c>
      <c r="O6520" s="3563" t="s">
        <v>3453</v>
      </c>
    </row>
    <row r="6521" spans="1:15">
      <c r="A6521" s="3563" t="s">
        <v>10769</v>
      </c>
      <c r="B6521" s="3563" t="s">
        <v>4196</v>
      </c>
      <c r="C6521" s="3563" t="s">
        <v>4197</v>
      </c>
      <c r="D6521" s="3563" t="s">
        <v>10228</v>
      </c>
      <c r="E6521" s="3563" t="s">
        <v>4699</v>
      </c>
      <c r="F6521" s="3563" t="s">
        <v>4797</v>
      </c>
      <c r="G6521" s="3564">
        <v>100.6</v>
      </c>
      <c r="H6521" s="3564">
        <v>81.739999999999995</v>
      </c>
      <c r="I6521" s="3564">
        <v>18.86</v>
      </c>
      <c r="J6521" s="3565">
        <v>1127523</v>
      </c>
      <c r="K6521" s="3565">
        <v>11207.98</v>
      </c>
      <c r="L6521" s="3565">
        <v>13794.02</v>
      </c>
      <c r="M6521" s="3565">
        <v>0</v>
      </c>
      <c r="N6521" s="3565">
        <v>0</v>
      </c>
      <c r="O6521" s="3563" t="s">
        <v>3453</v>
      </c>
    </row>
    <row r="6522" spans="1:15">
      <c r="A6522" s="3563" t="s">
        <v>10770</v>
      </c>
      <c r="B6522" s="3563" t="s">
        <v>4196</v>
      </c>
      <c r="C6522" s="3563" t="s">
        <v>4197</v>
      </c>
      <c r="D6522" s="3563" t="s">
        <v>10228</v>
      </c>
      <c r="E6522" s="3563" t="s">
        <v>4699</v>
      </c>
      <c r="F6522" s="3563" t="s">
        <v>4797</v>
      </c>
      <c r="G6522" s="3564">
        <v>123.11</v>
      </c>
      <c r="H6522" s="3564">
        <v>100.03</v>
      </c>
      <c r="I6522" s="3564">
        <v>23.08</v>
      </c>
      <c r="J6522" s="3565">
        <v>1341835</v>
      </c>
      <c r="K6522" s="3565">
        <v>10899.48</v>
      </c>
      <c r="L6522" s="3565">
        <v>13414.33</v>
      </c>
      <c r="M6522" s="3565">
        <v>0</v>
      </c>
      <c r="N6522" s="3565">
        <v>0</v>
      </c>
      <c r="O6522" s="3563" t="s">
        <v>3453</v>
      </c>
    </row>
    <row r="6523" spans="1:15">
      <c r="A6523" s="3563" t="s">
        <v>10771</v>
      </c>
      <c r="B6523" s="3563" t="s">
        <v>4196</v>
      </c>
      <c r="C6523" s="3563" t="s">
        <v>4197</v>
      </c>
      <c r="D6523" s="3563" t="s">
        <v>10228</v>
      </c>
      <c r="E6523" s="3563" t="s">
        <v>4699</v>
      </c>
      <c r="F6523" s="3563" t="s">
        <v>4797</v>
      </c>
      <c r="G6523" s="3564">
        <v>87.38</v>
      </c>
      <c r="H6523" s="3564">
        <v>71</v>
      </c>
      <c r="I6523" s="3564">
        <v>16.38</v>
      </c>
      <c r="J6523" s="3565">
        <v>901270</v>
      </c>
      <c r="K6523" s="3565">
        <v>10314.370000000001</v>
      </c>
      <c r="L6523" s="3565">
        <v>12693.94</v>
      </c>
      <c r="M6523" s="3565">
        <v>0</v>
      </c>
      <c r="N6523" s="3565">
        <v>0</v>
      </c>
      <c r="O6523" s="3563" t="s">
        <v>3453</v>
      </c>
    </row>
    <row r="6524" spans="1:15">
      <c r="A6524" s="3563" t="s">
        <v>10772</v>
      </c>
      <c r="B6524" s="3563" t="s">
        <v>4196</v>
      </c>
      <c r="C6524" s="3563" t="s">
        <v>4197</v>
      </c>
      <c r="D6524" s="3563" t="s">
        <v>10228</v>
      </c>
      <c r="E6524" s="3563" t="s">
        <v>4699</v>
      </c>
      <c r="F6524" s="3563" t="s">
        <v>4797</v>
      </c>
      <c r="G6524" s="3564">
        <v>87.38</v>
      </c>
      <c r="H6524" s="3564">
        <v>71</v>
      </c>
      <c r="I6524" s="3564">
        <v>16.38</v>
      </c>
      <c r="J6524" s="3565">
        <v>901270</v>
      </c>
      <c r="K6524" s="3565">
        <v>10314.370000000001</v>
      </c>
      <c r="L6524" s="3565">
        <v>12693.94</v>
      </c>
      <c r="M6524" s="3565">
        <v>0</v>
      </c>
      <c r="N6524" s="3565">
        <v>0</v>
      </c>
      <c r="O6524" s="3563" t="s">
        <v>3453</v>
      </c>
    </row>
    <row r="6525" spans="1:15">
      <c r="A6525" s="3563" t="s">
        <v>10773</v>
      </c>
      <c r="B6525" s="3563" t="s">
        <v>4196</v>
      </c>
      <c r="C6525" s="3563" t="s">
        <v>4197</v>
      </c>
      <c r="D6525" s="3563" t="s">
        <v>10228</v>
      </c>
      <c r="E6525" s="3563" t="s">
        <v>4699</v>
      </c>
      <c r="F6525" s="3563" t="s">
        <v>4797</v>
      </c>
      <c r="G6525" s="3564">
        <v>100.93</v>
      </c>
      <c r="H6525" s="3564">
        <v>82.01</v>
      </c>
      <c r="I6525" s="3564">
        <v>18.920000000000002</v>
      </c>
      <c r="J6525" s="3565">
        <v>1036735</v>
      </c>
      <c r="K6525" s="3565">
        <v>10271.82</v>
      </c>
      <c r="L6525" s="3565">
        <v>12641.57</v>
      </c>
      <c r="M6525" s="3565">
        <v>0</v>
      </c>
      <c r="N6525" s="3565">
        <v>0</v>
      </c>
      <c r="O6525" s="3563" t="s">
        <v>3453</v>
      </c>
    </row>
    <row r="6526" spans="1:15">
      <c r="A6526" s="3563" t="s">
        <v>10774</v>
      </c>
      <c r="B6526" s="3563" t="s">
        <v>4196</v>
      </c>
      <c r="C6526" s="3563" t="s">
        <v>4197</v>
      </c>
      <c r="D6526" s="3563" t="s">
        <v>10228</v>
      </c>
      <c r="E6526" s="3563" t="s">
        <v>4699</v>
      </c>
      <c r="F6526" s="3563" t="s">
        <v>4797</v>
      </c>
      <c r="G6526" s="3564">
        <v>100.6</v>
      </c>
      <c r="H6526" s="3564">
        <v>81.739999999999995</v>
      </c>
      <c r="I6526" s="3564">
        <v>18.86</v>
      </c>
      <c r="J6526" s="3565">
        <v>1117891</v>
      </c>
      <c r="K6526" s="3565">
        <v>11112.24</v>
      </c>
      <c r="L6526" s="3565">
        <v>13676.18</v>
      </c>
      <c r="M6526" s="3565">
        <v>0</v>
      </c>
      <c r="N6526" s="3565">
        <v>0</v>
      </c>
      <c r="O6526" s="3563" t="s">
        <v>3453</v>
      </c>
    </row>
    <row r="6527" spans="1:15">
      <c r="A6527" s="3563" t="s">
        <v>10775</v>
      </c>
      <c r="B6527" s="3563" t="s">
        <v>4196</v>
      </c>
      <c r="C6527" s="3563" t="s">
        <v>4197</v>
      </c>
      <c r="D6527" s="3563" t="s">
        <v>10228</v>
      </c>
      <c r="E6527" s="3563" t="s">
        <v>4699</v>
      </c>
      <c r="F6527" s="3563" t="s">
        <v>4797</v>
      </c>
      <c r="G6527" s="3564">
        <v>100.6</v>
      </c>
      <c r="H6527" s="3564">
        <v>81.739999999999995</v>
      </c>
      <c r="I6527" s="3564">
        <v>18.86</v>
      </c>
      <c r="J6527" s="3565">
        <v>1117891</v>
      </c>
      <c r="K6527" s="3565">
        <v>11112.24</v>
      </c>
      <c r="L6527" s="3565">
        <v>13676.18</v>
      </c>
      <c r="M6527" s="3565">
        <v>0</v>
      </c>
      <c r="N6527" s="3565">
        <v>0</v>
      </c>
      <c r="O6527" s="3563" t="s">
        <v>3453</v>
      </c>
    </row>
    <row r="6528" spans="1:15">
      <c r="A6528" s="3563" t="s">
        <v>10776</v>
      </c>
      <c r="B6528" s="3563" t="s">
        <v>4196</v>
      </c>
      <c r="C6528" s="3563" t="s">
        <v>4197</v>
      </c>
      <c r="D6528" s="3563" t="s">
        <v>10228</v>
      </c>
      <c r="E6528" s="3563" t="s">
        <v>4699</v>
      </c>
      <c r="F6528" s="3563" t="s">
        <v>4797</v>
      </c>
      <c r="G6528" s="3564">
        <v>123.11</v>
      </c>
      <c r="H6528" s="3564">
        <v>100.03</v>
      </c>
      <c r="I6528" s="3564">
        <v>23.08</v>
      </c>
      <c r="J6528" s="3565">
        <v>1356241</v>
      </c>
      <c r="K6528" s="3565">
        <v>11016.5</v>
      </c>
      <c r="L6528" s="3565">
        <v>13558.34</v>
      </c>
      <c r="M6528" s="3565">
        <v>0</v>
      </c>
      <c r="N6528" s="3565">
        <v>0</v>
      </c>
      <c r="O6528" s="3563" t="s">
        <v>3453</v>
      </c>
    </row>
    <row r="6529" spans="1:15">
      <c r="A6529" s="3563" t="s">
        <v>10777</v>
      </c>
      <c r="B6529" s="3563" t="s">
        <v>4196</v>
      </c>
      <c r="C6529" s="3563" t="s">
        <v>4197</v>
      </c>
      <c r="D6529" s="3563" t="s">
        <v>10228</v>
      </c>
      <c r="E6529" s="3563" t="s">
        <v>4699</v>
      </c>
      <c r="F6529" s="3563" t="s">
        <v>4797</v>
      </c>
      <c r="G6529" s="3564">
        <v>87.38</v>
      </c>
      <c r="H6529" s="3564">
        <v>71</v>
      </c>
      <c r="I6529" s="3564">
        <v>16.38</v>
      </c>
      <c r="J6529" s="3565">
        <v>911495</v>
      </c>
      <c r="K6529" s="3565">
        <v>10431.39</v>
      </c>
      <c r="L6529" s="3565">
        <v>12837.96</v>
      </c>
      <c r="M6529" s="3565">
        <v>0</v>
      </c>
      <c r="N6529" s="3565">
        <v>0</v>
      </c>
      <c r="O6529" s="3563" t="s">
        <v>3453</v>
      </c>
    </row>
    <row r="6530" spans="1:15">
      <c r="A6530" s="3563" t="s">
        <v>10778</v>
      </c>
      <c r="B6530" s="3563" t="s">
        <v>4196</v>
      </c>
      <c r="C6530" s="3563" t="s">
        <v>4197</v>
      </c>
      <c r="D6530" s="3563" t="s">
        <v>10228</v>
      </c>
      <c r="E6530" s="3563" t="s">
        <v>4699</v>
      </c>
      <c r="F6530" s="3563" t="s">
        <v>4797</v>
      </c>
      <c r="G6530" s="3564">
        <v>87.38</v>
      </c>
      <c r="H6530" s="3564">
        <v>71</v>
      </c>
      <c r="I6530" s="3564">
        <v>16.38</v>
      </c>
      <c r="J6530" s="3565">
        <v>911495</v>
      </c>
      <c r="K6530" s="3565">
        <v>10431.39</v>
      </c>
      <c r="L6530" s="3565">
        <v>12837.96</v>
      </c>
      <c r="M6530" s="3565">
        <v>0</v>
      </c>
      <c r="N6530" s="3565">
        <v>0</v>
      </c>
      <c r="O6530" s="3563" t="s">
        <v>3453</v>
      </c>
    </row>
    <row r="6531" spans="1:15">
      <c r="A6531" s="3563" t="s">
        <v>10779</v>
      </c>
      <c r="B6531" s="3563" t="s">
        <v>4196</v>
      </c>
      <c r="C6531" s="3563" t="s">
        <v>4197</v>
      </c>
      <c r="D6531" s="3563" t="s">
        <v>10228</v>
      </c>
      <c r="E6531" s="3563" t="s">
        <v>4699</v>
      </c>
      <c r="F6531" s="3563" t="s">
        <v>4797</v>
      </c>
      <c r="G6531" s="3564">
        <v>100.93</v>
      </c>
      <c r="H6531" s="3564">
        <v>82.01</v>
      </c>
      <c r="I6531" s="3564">
        <v>18.920000000000002</v>
      </c>
      <c r="J6531" s="3565">
        <v>1042103</v>
      </c>
      <c r="K6531" s="3565">
        <v>10325.01</v>
      </c>
      <c r="L6531" s="3565">
        <v>12707.02</v>
      </c>
      <c r="M6531" s="3565">
        <v>0</v>
      </c>
      <c r="N6531" s="3565">
        <v>0</v>
      </c>
      <c r="O6531" s="3563" t="s">
        <v>3453</v>
      </c>
    </row>
    <row r="6532" spans="1:15">
      <c r="A6532" s="3563" t="s">
        <v>10780</v>
      </c>
      <c r="B6532" s="3563" t="s">
        <v>4196</v>
      </c>
      <c r="C6532" s="3563" t="s">
        <v>4197</v>
      </c>
      <c r="D6532" s="3563" t="s">
        <v>10228</v>
      </c>
      <c r="E6532" s="3563" t="s">
        <v>4699</v>
      </c>
      <c r="F6532" s="3563" t="s">
        <v>4797</v>
      </c>
      <c r="G6532" s="3564">
        <v>100.6</v>
      </c>
      <c r="H6532" s="3564">
        <v>81.739999999999995</v>
      </c>
      <c r="I6532" s="3564">
        <v>18.86</v>
      </c>
      <c r="J6532" s="3565">
        <v>1129663</v>
      </c>
      <c r="K6532" s="3565">
        <v>11229.25</v>
      </c>
      <c r="L6532" s="3565">
        <v>13820.2</v>
      </c>
      <c r="M6532" s="3565">
        <v>0</v>
      </c>
      <c r="N6532" s="3565">
        <v>0</v>
      </c>
      <c r="O6532" s="3563" t="s">
        <v>3453</v>
      </c>
    </row>
    <row r="6533" spans="1:15">
      <c r="A6533" s="3563" t="s">
        <v>10781</v>
      </c>
      <c r="B6533" s="3563" t="s">
        <v>4196</v>
      </c>
      <c r="C6533" s="3563" t="s">
        <v>4197</v>
      </c>
      <c r="D6533" s="3563" t="s">
        <v>10228</v>
      </c>
      <c r="E6533" s="3563" t="s">
        <v>4699</v>
      </c>
      <c r="F6533" s="3563" t="s">
        <v>4797</v>
      </c>
      <c r="G6533" s="3564">
        <v>100.6</v>
      </c>
      <c r="H6533" s="3564">
        <v>81.739999999999995</v>
      </c>
      <c r="I6533" s="3564">
        <v>18.86</v>
      </c>
      <c r="J6533" s="3565">
        <v>1129663</v>
      </c>
      <c r="K6533" s="3565">
        <v>11229.25</v>
      </c>
      <c r="L6533" s="3565">
        <v>13820.2</v>
      </c>
      <c r="M6533" s="3565">
        <v>0</v>
      </c>
      <c r="N6533" s="3565">
        <v>0</v>
      </c>
      <c r="O6533" s="3563" t="s">
        <v>3453</v>
      </c>
    </row>
    <row r="6534" spans="1:15">
      <c r="A6534" s="3563" t="s">
        <v>10782</v>
      </c>
      <c r="B6534" s="3563" t="s">
        <v>4196</v>
      </c>
      <c r="C6534" s="3563" t="s">
        <v>4197</v>
      </c>
      <c r="D6534" s="3563" t="s">
        <v>10228</v>
      </c>
      <c r="E6534" s="3563" t="s">
        <v>4699</v>
      </c>
      <c r="F6534" s="3563" t="s">
        <v>4797</v>
      </c>
      <c r="G6534" s="3564">
        <v>123.11</v>
      </c>
      <c r="H6534" s="3564">
        <v>100.03</v>
      </c>
      <c r="I6534" s="3564">
        <v>23.08</v>
      </c>
      <c r="J6534" s="3565">
        <v>1354931</v>
      </c>
      <c r="K6534" s="3565">
        <v>11005.86</v>
      </c>
      <c r="L6534" s="3565">
        <v>13545.25</v>
      </c>
      <c r="M6534" s="3565">
        <v>0</v>
      </c>
      <c r="N6534" s="3565">
        <v>0</v>
      </c>
      <c r="O6534" s="3563" t="s">
        <v>3453</v>
      </c>
    </row>
    <row r="6535" spans="1:15">
      <c r="A6535" s="3563" t="s">
        <v>10783</v>
      </c>
      <c r="B6535" s="3563" t="s">
        <v>4196</v>
      </c>
      <c r="C6535" s="3563" t="s">
        <v>4197</v>
      </c>
      <c r="D6535" s="3563" t="s">
        <v>10228</v>
      </c>
      <c r="E6535" s="3563" t="s">
        <v>4699</v>
      </c>
      <c r="F6535" s="3563" t="s">
        <v>4797</v>
      </c>
      <c r="G6535" s="3564">
        <v>87.38</v>
      </c>
      <c r="H6535" s="3564">
        <v>71</v>
      </c>
      <c r="I6535" s="3564">
        <v>16.38</v>
      </c>
      <c r="J6535" s="3565">
        <v>910565</v>
      </c>
      <c r="K6535" s="3565">
        <v>10420.75</v>
      </c>
      <c r="L6535" s="3565">
        <v>12824.86</v>
      </c>
      <c r="M6535" s="3565">
        <v>0</v>
      </c>
      <c r="N6535" s="3565">
        <v>0</v>
      </c>
      <c r="O6535" s="3563" t="s">
        <v>3453</v>
      </c>
    </row>
    <row r="6536" spans="1:15">
      <c r="A6536" s="3563" t="s">
        <v>10784</v>
      </c>
      <c r="B6536" s="3563" t="s">
        <v>4196</v>
      </c>
      <c r="C6536" s="3563" t="s">
        <v>4197</v>
      </c>
      <c r="D6536" s="3563" t="s">
        <v>10228</v>
      </c>
      <c r="E6536" s="3563" t="s">
        <v>4699</v>
      </c>
      <c r="F6536" s="3563" t="s">
        <v>4797</v>
      </c>
      <c r="G6536" s="3564">
        <v>87.38</v>
      </c>
      <c r="H6536" s="3564">
        <v>71</v>
      </c>
      <c r="I6536" s="3564">
        <v>16.38</v>
      </c>
      <c r="J6536" s="3565">
        <v>910565</v>
      </c>
      <c r="K6536" s="3565">
        <v>10420.75</v>
      </c>
      <c r="L6536" s="3565">
        <v>12824.86</v>
      </c>
      <c r="M6536" s="3565">
        <v>0</v>
      </c>
      <c r="N6536" s="3565">
        <v>0</v>
      </c>
      <c r="O6536" s="3563" t="s">
        <v>3453</v>
      </c>
    </row>
    <row r="6537" spans="1:15">
      <c r="A6537" s="3563" t="s">
        <v>10785</v>
      </c>
      <c r="B6537" s="3563" t="s">
        <v>4196</v>
      </c>
      <c r="C6537" s="3563" t="s">
        <v>4197</v>
      </c>
      <c r="D6537" s="3563" t="s">
        <v>10228</v>
      </c>
      <c r="E6537" s="3563" t="s">
        <v>4699</v>
      </c>
      <c r="F6537" s="3563" t="s">
        <v>4797</v>
      </c>
      <c r="G6537" s="3564">
        <v>100.93</v>
      </c>
      <c r="H6537" s="3564">
        <v>82.01</v>
      </c>
      <c r="I6537" s="3564">
        <v>18.920000000000002</v>
      </c>
      <c r="J6537" s="3565">
        <v>1041029</v>
      </c>
      <c r="K6537" s="3565">
        <v>10314.370000000001</v>
      </c>
      <c r="L6537" s="3565">
        <v>12693.93</v>
      </c>
      <c r="M6537" s="3565">
        <v>0</v>
      </c>
      <c r="N6537" s="3565">
        <v>0</v>
      </c>
      <c r="O6537" s="3563" t="s">
        <v>3453</v>
      </c>
    </row>
    <row r="6538" spans="1:15">
      <c r="A6538" s="3563" t="s">
        <v>10786</v>
      </c>
      <c r="B6538" s="3563" t="s">
        <v>4196</v>
      </c>
      <c r="C6538" s="3563" t="s">
        <v>4197</v>
      </c>
      <c r="D6538" s="3563" t="s">
        <v>10228</v>
      </c>
      <c r="E6538" s="3563" t="s">
        <v>4699</v>
      </c>
      <c r="F6538" s="3563" t="s">
        <v>4797</v>
      </c>
      <c r="G6538" s="3564">
        <v>100.6</v>
      </c>
      <c r="H6538" s="3564">
        <v>81.739999999999995</v>
      </c>
      <c r="I6538" s="3564">
        <v>18.86</v>
      </c>
      <c r="J6538" s="3565">
        <v>1128593</v>
      </c>
      <c r="K6538" s="3565">
        <v>11218.62</v>
      </c>
      <c r="L6538" s="3565">
        <v>13807.11</v>
      </c>
      <c r="M6538" s="3565">
        <v>0</v>
      </c>
      <c r="N6538" s="3565">
        <v>0</v>
      </c>
      <c r="O6538" s="3563" t="s">
        <v>3453</v>
      </c>
    </row>
    <row r="6539" spans="1:15">
      <c r="A6539" s="3563" t="s">
        <v>10787</v>
      </c>
      <c r="B6539" s="3563" t="s">
        <v>4196</v>
      </c>
      <c r="C6539" s="3563" t="s">
        <v>4197</v>
      </c>
      <c r="D6539" s="3563" t="s">
        <v>10228</v>
      </c>
      <c r="E6539" s="3563" t="s">
        <v>4699</v>
      </c>
      <c r="F6539" s="3563" t="s">
        <v>4797</v>
      </c>
      <c r="G6539" s="3564">
        <v>100.6</v>
      </c>
      <c r="H6539" s="3564">
        <v>81.739999999999995</v>
      </c>
      <c r="I6539" s="3564">
        <v>18.86</v>
      </c>
      <c r="J6539" s="3565">
        <v>1128593</v>
      </c>
      <c r="K6539" s="3565">
        <v>11218.62</v>
      </c>
      <c r="L6539" s="3565">
        <v>13807.11</v>
      </c>
      <c r="M6539" s="3565">
        <v>0</v>
      </c>
      <c r="N6539" s="3565">
        <v>0</v>
      </c>
      <c r="O6539" s="3563" t="s">
        <v>3453</v>
      </c>
    </row>
    <row r="6540" spans="1:15">
      <c r="A6540" s="3563" t="s">
        <v>10788</v>
      </c>
      <c r="B6540" s="3563" t="s">
        <v>4196</v>
      </c>
      <c r="C6540" s="3563" t="s">
        <v>4197</v>
      </c>
      <c r="D6540" s="3563" t="s">
        <v>10228</v>
      </c>
      <c r="E6540" s="3563" t="s">
        <v>4699</v>
      </c>
      <c r="F6540" s="3563" t="s">
        <v>4797</v>
      </c>
      <c r="G6540" s="3564">
        <v>123.11</v>
      </c>
      <c r="H6540" s="3564">
        <v>100.03</v>
      </c>
      <c r="I6540" s="3564">
        <v>23.08</v>
      </c>
      <c r="J6540" s="3565">
        <v>1353621</v>
      </c>
      <c r="K6540" s="3565">
        <v>10995.22</v>
      </c>
      <c r="L6540" s="3565">
        <v>13532.15</v>
      </c>
      <c r="M6540" s="3565">
        <v>0</v>
      </c>
      <c r="N6540" s="3565">
        <v>0</v>
      </c>
      <c r="O6540" s="3563" t="s">
        <v>3453</v>
      </c>
    </row>
    <row r="6541" spans="1:15">
      <c r="A6541" s="3563" t="s">
        <v>10789</v>
      </c>
      <c r="B6541" s="3563" t="s">
        <v>4196</v>
      </c>
      <c r="C6541" s="3563" t="s">
        <v>4197</v>
      </c>
      <c r="D6541" s="3563" t="s">
        <v>10228</v>
      </c>
      <c r="E6541" s="3563" t="s">
        <v>4699</v>
      </c>
      <c r="F6541" s="3563" t="s">
        <v>4797</v>
      </c>
      <c r="G6541" s="3564">
        <v>87.38</v>
      </c>
      <c r="H6541" s="3564">
        <v>71</v>
      </c>
      <c r="I6541" s="3564">
        <v>16.38</v>
      </c>
      <c r="J6541" s="3565">
        <v>909636</v>
      </c>
      <c r="K6541" s="3565">
        <v>10410.120000000001</v>
      </c>
      <c r="L6541" s="3565">
        <v>12811.77</v>
      </c>
      <c r="M6541" s="3565">
        <v>0</v>
      </c>
      <c r="N6541" s="3565">
        <v>0</v>
      </c>
      <c r="O6541" s="3563" t="s">
        <v>3453</v>
      </c>
    </row>
    <row r="6542" spans="1:15">
      <c r="A6542" s="3563" t="s">
        <v>10790</v>
      </c>
      <c r="B6542" s="3563" t="s">
        <v>4196</v>
      </c>
      <c r="C6542" s="3563" t="s">
        <v>4197</v>
      </c>
      <c r="D6542" s="3563" t="s">
        <v>10228</v>
      </c>
      <c r="E6542" s="3563" t="s">
        <v>4699</v>
      </c>
      <c r="F6542" s="3563" t="s">
        <v>4797</v>
      </c>
      <c r="G6542" s="3564">
        <v>87.38</v>
      </c>
      <c r="H6542" s="3564">
        <v>71</v>
      </c>
      <c r="I6542" s="3564">
        <v>16.38</v>
      </c>
      <c r="J6542" s="3565">
        <v>909636</v>
      </c>
      <c r="K6542" s="3565">
        <v>10410.120000000001</v>
      </c>
      <c r="L6542" s="3565">
        <v>12811.77</v>
      </c>
      <c r="M6542" s="3565">
        <v>0</v>
      </c>
      <c r="N6542" s="3565">
        <v>0</v>
      </c>
      <c r="O6542" s="3563" t="s">
        <v>3453</v>
      </c>
    </row>
    <row r="6543" spans="1:15">
      <c r="A6543" s="3563" t="s">
        <v>10791</v>
      </c>
      <c r="B6543" s="3563" t="s">
        <v>4196</v>
      </c>
      <c r="C6543" s="3563" t="s">
        <v>4197</v>
      </c>
      <c r="D6543" s="3563" t="s">
        <v>10228</v>
      </c>
      <c r="E6543" s="3563" t="s">
        <v>4699</v>
      </c>
      <c r="F6543" s="3563" t="s">
        <v>4797</v>
      </c>
      <c r="G6543" s="3564">
        <v>100.93</v>
      </c>
      <c r="H6543" s="3564">
        <v>82.01</v>
      </c>
      <c r="I6543" s="3564">
        <v>18.920000000000002</v>
      </c>
      <c r="J6543" s="3565">
        <v>1039956</v>
      </c>
      <c r="K6543" s="3565">
        <v>10303.74</v>
      </c>
      <c r="L6543" s="3565">
        <v>12680.84</v>
      </c>
      <c r="M6543" s="3565">
        <v>0</v>
      </c>
      <c r="N6543" s="3565">
        <v>0</v>
      </c>
      <c r="O6543" s="3563" t="s">
        <v>3453</v>
      </c>
    </row>
    <row r="6544" spans="1:15">
      <c r="A6544" s="3563" t="s">
        <v>10792</v>
      </c>
      <c r="B6544" s="3563" t="s">
        <v>4196</v>
      </c>
      <c r="C6544" s="3563" t="s">
        <v>4197</v>
      </c>
      <c r="D6544" s="3563" t="s">
        <v>10228</v>
      </c>
      <c r="E6544" s="3563" t="s">
        <v>4699</v>
      </c>
      <c r="F6544" s="3563" t="s">
        <v>4797</v>
      </c>
      <c r="G6544" s="3564">
        <v>100.6</v>
      </c>
      <c r="H6544" s="3564">
        <v>81.739999999999995</v>
      </c>
      <c r="I6544" s="3564">
        <v>18.86</v>
      </c>
      <c r="J6544" s="3565">
        <v>1127523</v>
      </c>
      <c r="K6544" s="3565">
        <v>11207.98</v>
      </c>
      <c r="L6544" s="3565">
        <v>13794.02</v>
      </c>
      <c r="M6544" s="3565">
        <v>0</v>
      </c>
      <c r="N6544" s="3565">
        <v>0</v>
      </c>
      <c r="O6544" s="3563" t="s">
        <v>3453</v>
      </c>
    </row>
    <row r="6545" spans="1:15">
      <c r="A6545" s="3563" t="s">
        <v>10793</v>
      </c>
      <c r="B6545" s="3563" t="s">
        <v>4196</v>
      </c>
      <c r="C6545" s="3563" t="s">
        <v>4197</v>
      </c>
      <c r="D6545" s="3563" t="s">
        <v>10228</v>
      </c>
      <c r="E6545" s="3563" t="s">
        <v>4699</v>
      </c>
      <c r="F6545" s="3563" t="s">
        <v>4797</v>
      </c>
      <c r="G6545" s="3564">
        <v>100.6</v>
      </c>
      <c r="H6545" s="3564">
        <v>81.739999999999995</v>
      </c>
      <c r="I6545" s="3564">
        <v>18.86</v>
      </c>
      <c r="J6545" s="3565">
        <v>1127523</v>
      </c>
      <c r="K6545" s="3565">
        <v>11207.98</v>
      </c>
      <c r="L6545" s="3565">
        <v>13794.02</v>
      </c>
      <c r="M6545" s="3565">
        <v>0</v>
      </c>
      <c r="N6545" s="3565">
        <v>0</v>
      </c>
      <c r="O6545" s="3563" t="s">
        <v>3453</v>
      </c>
    </row>
    <row r="6546" spans="1:15">
      <c r="A6546" s="3563" t="s">
        <v>10794</v>
      </c>
      <c r="B6546" s="3563" t="s">
        <v>4196</v>
      </c>
      <c r="C6546" s="3563" t="s">
        <v>4197</v>
      </c>
      <c r="D6546" s="3563" t="s">
        <v>10228</v>
      </c>
      <c r="E6546" s="3563" t="s">
        <v>4699</v>
      </c>
      <c r="F6546" s="3563" t="s">
        <v>4797</v>
      </c>
      <c r="G6546" s="3564">
        <v>123.11</v>
      </c>
      <c r="H6546" s="3564">
        <v>100.03</v>
      </c>
      <c r="I6546" s="3564">
        <v>23.08</v>
      </c>
      <c r="J6546" s="3565">
        <v>1339214</v>
      </c>
      <c r="K6546" s="3565">
        <v>10878.19</v>
      </c>
      <c r="L6546" s="3565">
        <v>13388.12</v>
      </c>
      <c r="M6546" s="3565">
        <v>0</v>
      </c>
      <c r="N6546" s="3565">
        <v>0</v>
      </c>
      <c r="O6546" s="3563" t="s">
        <v>3453</v>
      </c>
    </row>
    <row r="6547" spans="1:15">
      <c r="A6547" s="3563" t="s">
        <v>10795</v>
      </c>
      <c r="B6547" s="3563" t="s">
        <v>4196</v>
      </c>
      <c r="C6547" s="3563" t="s">
        <v>4197</v>
      </c>
      <c r="D6547" s="3563" t="s">
        <v>10228</v>
      </c>
      <c r="E6547" s="3563" t="s">
        <v>4699</v>
      </c>
      <c r="F6547" s="3563" t="s">
        <v>4797</v>
      </c>
      <c r="G6547" s="3564">
        <v>87.38</v>
      </c>
      <c r="H6547" s="3564">
        <v>71</v>
      </c>
      <c r="I6547" s="3564">
        <v>16.38</v>
      </c>
      <c r="J6547" s="3565">
        <v>899410</v>
      </c>
      <c r="K6547" s="3565">
        <v>10293.09</v>
      </c>
      <c r="L6547" s="3565">
        <v>12667.75</v>
      </c>
      <c r="M6547" s="3565">
        <v>0</v>
      </c>
      <c r="N6547" s="3565">
        <v>0</v>
      </c>
      <c r="O6547" s="3563" t="s">
        <v>3453</v>
      </c>
    </row>
    <row r="6548" spans="1:15">
      <c r="A6548" s="3563" t="s">
        <v>10796</v>
      </c>
      <c r="B6548" s="3563" t="s">
        <v>4196</v>
      </c>
      <c r="C6548" s="3563" t="s">
        <v>4197</v>
      </c>
      <c r="D6548" s="3563" t="s">
        <v>10228</v>
      </c>
      <c r="E6548" s="3563" t="s">
        <v>4699</v>
      </c>
      <c r="F6548" s="3563" t="s">
        <v>4797</v>
      </c>
      <c r="G6548" s="3564">
        <v>87.38</v>
      </c>
      <c r="H6548" s="3564">
        <v>71</v>
      </c>
      <c r="I6548" s="3564">
        <v>16.38</v>
      </c>
      <c r="J6548" s="3565">
        <v>899410</v>
      </c>
      <c r="K6548" s="3565">
        <v>10293.09</v>
      </c>
      <c r="L6548" s="3565">
        <v>12667.75</v>
      </c>
      <c r="M6548" s="3565">
        <v>0</v>
      </c>
      <c r="N6548" s="3565">
        <v>0</v>
      </c>
      <c r="O6548" s="3563" t="s">
        <v>3453</v>
      </c>
    </row>
    <row r="6549" spans="1:15">
      <c r="A6549" s="3563" t="s">
        <v>10797</v>
      </c>
      <c r="B6549" s="3563" t="s">
        <v>4196</v>
      </c>
      <c r="C6549" s="3563" t="s">
        <v>4197</v>
      </c>
      <c r="D6549" s="3563" t="s">
        <v>10228</v>
      </c>
      <c r="E6549" s="3563" t="s">
        <v>4699</v>
      </c>
      <c r="F6549" s="3563" t="s">
        <v>4797</v>
      </c>
      <c r="G6549" s="3564">
        <v>100.93</v>
      </c>
      <c r="H6549" s="3564">
        <v>82.01</v>
      </c>
      <c r="I6549" s="3564">
        <v>18.920000000000002</v>
      </c>
      <c r="J6549" s="3565">
        <v>1036735</v>
      </c>
      <c r="K6549" s="3565">
        <v>10271.82</v>
      </c>
      <c r="L6549" s="3565">
        <v>12641.57</v>
      </c>
      <c r="M6549" s="3565">
        <v>0</v>
      </c>
      <c r="N6549" s="3565">
        <v>0</v>
      </c>
      <c r="O6549" s="3563" t="s">
        <v>3453</v>
      </c>
    </row>
    <row r="6550" spans="1:15">
      <c r="A6550" s="3563" t="s">
        <v>10798</v>
      </c>
      <c r="B6550" s="3563" t="s">
        <v>4196</v>
      </c>
      <c r="C6550" s="3563" t="s">
        <v>4197</v>
      </c>
      <c r="D6550" s="3563" t="s">
        <v>10228</v>
      </c>
      <c r="E6550" s="3563" t="s">
        <v>4699</v>
      </c>
      <c r="F6550" s="3563" t="s">
        <v>4797</v>
      </c>
      <c r="G6550" s="3564">
        <v>100.6</v>
      </c>
      <c r="H6550" s="3564">
        <v>81.739999999999995</v>
      </c>
      <c r="I6550" s="3564">
        <v>18.86</v>
      </c>
      <c r="J6550" s="3565">
        <v>1115750</v>
      </c>
      <c r="K6550" s="3565">
        <v>11090.95</v>
      </c>
      <c r="L6550" s="3565">
        <v>13649.99</v>
      </c>
      <c r="M6550" s="3565">
        <v>0</v>
      </c>
      <c r="N6550" s="3565">
        <v>0</v>
      </c>
      <c r="O6550" s="3563" t="s">
        <v>3453</v>
      </c>
    </row>
    <row r="6551" spans="1:15">
      <c r="A6551" s="3563" t="s">
        <v>10799</v>
      </c>
      <c r="B6551" s="3563" t="s">
        <v>4196</v>
      </c>
      <c r="C6551" s="3563" t="s">
        <v>4197</v>
      </c>
      <c r="D6551" s="3563" t="s">
        <v>10228</v>
      </c>
      <c r="E6551" s="3563" t="s">
        <v>4699</v>
      </c>
      <c r="F6551" s="3563" t="s">
        <v>4797</v>
      </c>
      <c r="G6551" s="3564">
        <v>100.6</v>
      </c>
      <c r="H6551" s="3564">
        <v>81.739999999999995</v>
      </c>
      <c r="I6551" s="3564">
        <v>18.86</v>
      </c>
      <c r="J6551" s="3565">
        <v>1115750</v>
      </c>
      <c r="K6551" s="3565">
        <v>11090.95</v>
      </c>
      <c r="L6551" s="3565">
        <v>13649.99</v>
      </c>
      <c r="M6551" s="3565">
        <v>0</v>
      </c>
      <c r="N6551" s="3565">
        <v>0</v>
      </c>
      <c r="O6551" s="3563" t="s">
        <v>3453</v>
      </c>
    </row>
    <row r="6552" spans="1:15">
      <c r="A6552" s="3563" t="s">
        <v>10800</v>
      </c>
      <c r="B6552" s="3563" t="s">
        <v>4196</v>
      </c>
      <c r="C6552" s="3563" t="s">
        <v>4197</v>
      </c>
      <c r="D6552" s="3563" t="s">
        <v>10228</v>
      </c>
      <c r="E6552" s="3563" t="s">
        <v>4699</v>
      </c>
      <c r="F6552" s="3563" t="s">
        <v>4797</v>
      </c>
      <c r="G6552" s="3564">
        <v>123.11</v>
      </c>
      <c r="H6552" s="3564">
        <v>100.03</v>
      </c>
      <c r="I6552" s="3564">
        <v>23.08</v>
      </c>
      <c r="J6552" s="3565">
        <v>1351002</v>
      </c>
      <c r="K6552" s="3565">
        <v>10973.94</v>
      </c>
      <c r="L6552" s="3565">
        <v>13505.97</v>
      </c>
      <c r="M6552" s="3565">
        <v>0</v>
      </c>
      <c r="N6552" s="3565">
        <v>0</v>
      </c>
      <c r="O6552" s="3563" t="s">
        <v>3453</v>
      </c>
    </row>
    <row r="6553" spans="1:15">
      <c r="A6553" s="3563" t="s">
        <v>10801</v>
      </c>
      <c r="B6553" s="3563" t="s">
        <v>4196</v>
      </c>
      <c r="C6553" s="3563" t="s">
        <v>4197</v>
      </c>
      <c r="D6553" s="3563" t="s">
        <v>10228</v>
      </c>
      <c r="E6553" s="3563" t="s">
        <v>4699</v>
      </c>
      <c r="F6553" s="3563" t="s">
        <v>4797</v>
      </c>
      <c r="G6553" s="3564">
        <v>87.38</v>
      </c>
      <c r="H6553" s="3564">
        <v>71</v>
      </c>
      <c r="I6553" s="3564">
        <v>16.38</v>
      </c>
      <c r="J6553" s="3565">
        <v>907776</v>
      </c>
      <c r="K6553" s="3565">
        <v>10388.83</v>
      </c>
      <c r="L6553" s="3565">
        <v>12785.58</v>
      </c>
      <c r="M6553" s="3565">
        <v>0</v>
      </c>
      <c r="N6553" s="3565">
        <v>0</v>
      </c>
      <c r="O6553" s="3563" t="s">
        <v>3453</v>
      </c>
    </row>
    <row r="6554" spans="1:15">
      <c r="A6554" s="3563" t="s">
        <v>10802</v>
      </c>
      <c r="B6554" s="3563" t="s">
        <v>4196</v>
      </c>
      <c r="C6554" s="3563" t="s">
        <v>4197</v>
      </c>
      <c r="D6554" s="3563" t="s">
        <v>10228</v>
      </c>
      <c r="E6554" s="3563" t="s">
        <v>4699</v>
      </c>
      <c r="F6554" s="3563" t="s">
        <v>4797</v>
      </c>
      <c r="G6554" s="3564">
        <v>87.38</v>
      </c>
      <c r="H6554" s="3564">
        <v>71</v>
      </c>
      <c r="I6554" s="3564">
        <v>16.38</v>
      </c>
      <c r="J6554" s="3565">
        <v>907776</v>
      </c>
      <c r="K6554" s="3565">
        <v>10388.83</v>
      </c>
      <c r="L6554" s="3565">
        <v>12785.58</v>
      </c>
      <c r="M6554" s="3565">
        <v>0</v>
      </c>
      <c r="N6554" s="3565">
        <v>0</v>
      </c>
      <c r="O6554" s="3563" t="s">
        <v>3453</v>
      </c>
    </row>
    <row r="6555" spans="1:15">
      <c r="A6555" s="3563" t="s">
        <v>10803</v>
      </c>
      <c r="B6555" s="3563" t="s">
        <v>4196</v>
      </c>
      <c r="C6555" s="3563" t="s">
        <v>4197</v>
      </c>
      <c r="D6555" s="3563" t="s">
        <v>10228</v>
      </c>
      <c r="E6555" s="3563" t="s">
        <v>4699</v>
      </c>
      <c r="F6555" s="3563" t="s">
        <v>4797</v>
      </c>
      <c r="G6555" s="3564">
        <v>100.93</v>
      </c>
      <c r="H6555" s="3564">
        <v>82.01</v>
      </c>
      <c r="I6555" s="3564">
        <v>18.920000000000002</v>
      </c>
      <c r="J6555" s="3565">
        <v>1037808</v>
      </c>
      <c r="K6555" s="3565">
        <v>10282.450000000001</v>
      </c>
      <c r="L6555" s="3565">
        <v>12654.65</v>
      </c>
      <c r="M6555" s="3565">
        <v>0</v>
      </c>
      <c r="N6555" s="3565">
        <v>0</v>
      </c>
      <c r="O6555" s="3563" t="s">
        <v>3453</v>
      </c>
    </row>
    <row r="6556" spans="1:15">
      <c r="A6556" s="3563" t="s">
        <v>10804</v>
      </c>
      <c r="B6556" s="3563" t="s">
        <v>4196</v>
      </c>
      <c r="C6556" s="3563" t="s">
        <v>4197</v>
      </c>
      <c r="D6556" s="3563" t="s">
        <v>10228</v>
      </c>
      <c r="E6556" s="3563" t="s">
        <v>4699</v>
      </c>
      <c r="F6556" s="3563" t="s">
        <v>4797</v>
      </c>
      <c r="G6556" s="3564">
        <v>100.6</v>
      </c>
      <c r="H6556" s="3564">
        <v>81.739999999999995</v>
      </c>
      <c r="I6556" s="3564">
        <v>18.86</v>
      </c>
      <c r="J6556" s="3565">
        <v>1125382</v>
      </c>
      <c r="K6556" s="3565">
        <v>11186.7</v>
      </c>
      <c r="L6556" s="3565">
        <v>13767.82</v>
      </c>
      <c r="M6556" s="3565">
        <v>0</v>
      </c>
      <c r="N6556" s="3565">
        <v>0</v>
      </c>
      <c r="O6556" s="3563" t="s">
        <v>3453</v>
      </c>
    </row>
    <row r="6557" spans="1:15">
      <c r="A6557" s="3563" t="s">
        <v>10805</v>
      </c>
      <c r="B6557" s="3563" t="s">
        <v>4196</v>
      </c>
      <c r="C6557" s="3563" t="s">
        <v>4197</v>
      </c>
      <c r="D6557" s="3563" t="s">
        <v>10228</v>
      </c>
      <c r="E6557" s="3563" t="s">
        <v>4699</v>
      </c>
      <c r="F6557" s="3563" t="s">
        <v>4797</v>
      </c>
      <c r="G6557" s="3564">
        <v>100.6</v>
      </c>
      <c r="H6557" s="3564">
        <v>81.739999999999995</v>
      </c>
      <c r="I6557" s="3564">
        <v>18.86</v>
      </c>
      <c r="J6557" s="3565">
        <v>1125382</v>
      </c>
      <c r="K6557" s="3565">
        <v>11186.7</v>
      </c>
      <c r="L6557" s="3565">
        <v>13767.82</v>
      </c>
      <c r="M6557" s="3565">
        <v>0</v>
      </c>
      <c r="N6557" s="3565">
        <v>0</v>
      </c>
      <c r="O6557" s="3563" t="s">
        <v>3453</v>
      </c>
    </row>
    <row r="6558" spans="1:15">
      <c r="A6558" s="3563" t="s">
        <v>10806</v>
      </c>
      <c r="B6558" s="3563" t="s">
        <v>4196</v>
      </c>
      <c r="C6558" s="3563" t="s">
        <v>4197</v>
      </c>
      <c r="D6558" s="3563" t="s">
        <v>10228</v>
      </c>
      <c r="E6558" s="3563" t="s">
        <v>4699</v>
      </c>
      <c r="F6558" s="3563" t="s">
        <v>4797</v>
      </c>
      <c r="G6558" s="3564">
        <v>124.46</v>
      </c>
      <c r="H6558" s="3564">
        <v>100.03</v>
      </c>
      <c r="I6558" s="3564">
        <v>24.43</v>
      </c>
      <c r="J6558" s="3565">
        <v>1278430</v>
      </c>
      <c r="K6558" s="3565">
        <v>10271.81</v>
      </c>
      <c r="L6558" s="3565">
        <v>12780.47</v>
      </c>
      <c r="M6558" s="3565">
        <v>0</v>
      </c>
      <c r="N6558" s="3565">
        <v>0</v>
      </c>
      <c r="O6558" s="3563" t="s">
        <v>3453</v>
      </c>
    </row>
    <row r="6559" spans="1:15">
      <c r="A6559" s="3563" t="s">
        <v>10807</v>
      </c>
      <c r="B6559" s="3563" t="s">
        <v>4196</v>
      </c>
      <c r="C6559" s="3563" t="s">
        <v>4197</v>
      </c>
      <c r="D6559" s="3563" t="s">
        <v>10228</v>
      </c>
      <c r="E6559" s="3563" t="s">
        <v>4699</v>
      </c>
      <c r="F6559" s="3563" t="s">
        <v>4797</v>
      </c>
      <c r="G6559" s="3564">
        <v>88.34</v>
      </c>
      <c r="H6559" s="3564">
        <v>71</v>
      </c>
      <c r="I6559" s="3564">
        <v>17.34</v>
      </c>
      <c r="J6559" s="3565">
        <v>907412</v>
      </c>
      <c r="K6559" s="3565">
        <v>10271.81</v>
      </c>
      <c r="L6559" s="3565">
        <v>12780.45</v>
      </c>
      <c r="M6559" s="3565">
        <v>0</v>
      </c>
      <c r="N6559" s="3565">
        <v>0</v>
      </c>
      <c r="O6559" s="3563" t="s">
        <v>3453</v>
      </c>
    </row>
    <row r="6560" spans="1:15">
      <c r="A6560" s="3563" t="s">
        <v>10808</v>
      </c>
      <c r="B6560" s="3563" t="s">
        <v>4196</v>
      </c>
      <c r="C6560" s="3563" t="s">
        <v>4197</v>
      </c>
      <c r="D6560" s="3563" t="s">
        <v>10228</v>
      </c>
      <c r="E6560" s="3563" t="s">
        <v>4699</v>
      </c>
      <c r="F6560" s="3563" t="s">
        <v>4797</v>
      </c>
      <c r="G6560" s="3564">
        <v>102.04</v>
      </c>
      <c r="H6560" s="3564">
        <v>82.01</v>
      </c>
      <c r="I6560" s="3564">
        <v>20.03</v>
      </c>
      <c r="J6560" s="3565">
        <v>1048136</v>
      </c>
      <c r="K6560" s="3565">
        <v>10271.81</v>
      </c>
      <c r="L6560" s="3565">
        <v>12780.59</v>
      </c>
      <c r="M6560" s="3565">
        <v>0</v>
      </c>
      <c r="N6560" s="3565">
        <v>0</v>
      </c>
      <c r="O6560" s="3563" t="s">
        <v>3453</v>
      </c>
    </row>
    <row r="6561" spans="1:15">
      <c r="A6561" s="3563" t="s">
        <v>10809</v>
      </c>
      <c r="B6561" s="3563" t="s">
        <v>4196</v>
      </c>
      <c r="C6561" s="3563" t="s">
        <v>4197</v>
      </c>
      <c r="D6561" s="3563" t="s">
        <v>10228</v>
      </c>
      <c r="E6561" s="3563" t="s">
        <v>4699</v>
      </c>
      <c r="F6561" s="3563" t="s">
        <v>4797</v>
      </c>
      <c r="G6561" s="3564">
        <v>101.7</v>
      </c>
      <c r="H6561" s="3564">
        <v>81.739999999999995</v>
      </c>
      <c r="I6561" s="3564">
        <v>19.96</v>
      </c>
      <c r="J6561" s="3565">
        <v>1044643</v>
      </c>
      <c r="K6561" s="3565">
        <v>10271.81</v>
      </c>
      <c r="L6561" s="3565">
        <v>12780.07</v>
      </c>
      <c r="M6561" s="3565">
        <v>0</v>
      </c>
      <c r="N6561" s="3565">
        <v>0</v>
      </c>
      <c r="O6561" s="3563" t="s">
        <v>3453</v>
      </c>
    </row>
    <row r="6562" spans="1:15">
      <c r="A6562" s="3563" t="s">
        <v>10810</v>
      </c>
      <c r="B6562" s="3563" t="s">
        <v>4196</v>
      </c>
      <c r="C6562" s="3563" t="s">
        <v>4197</v>
      </c>
      <c r="D6562" s="3563" t="s">
        <v>10228</v>
      </c>
      <c r="E6562" s="3563" t="s">
        <v>4699</v>
      </c>
      <c r="F6562" s="3563" t="s">
        <v>4797</v>
      </c>
      <c r="G6562" s="3564">
        <v>101.7</v>
      </c>
      <c r="H6562" s="3564">
        <v>81.739999999999995</v>
      </c>
      <c r="I6562" s="3564">
        <v>19.96</v>
      </c>
      <c r="J6562" s="3565">
        <v>1044643</v>
      </c>
      <c r="K6562" s="3565">
        <v>10271.81</v>
      </c>
      <c r="L6562" s="3565">
        <v>12780.07</v>
      </c>
      <c r="M6562" s="3565">
        <v>0</v>
      </c>
      <c r="N6562" s="3565">
        <v>0</v>
      </c>
      <c r="O6562" s="3563" t="s">
        <v>3453</v>
      </c>
    </row>
    <row r="6563" spans="1:15">
      <c r="A6563" s="3563" t="s">
        <v>10811</v>
      </c>
      <c r="B6563" s="3563" t="s">
        <v>4196</v>
      </c>
      <c r="C6563" s="3563" t="s">
        <v>4197</v>
      </c>
      <c r="D6563" s="3563" t="s">
        <v>10228</v>
      </c>
      <c r="E6563" s="3563" t="s">
        <v>4699</v>
      </c>
      <c r="F6563" s="3563" t="s">
        <v>4797</v>
      </c>
      <c r="G6563" s="3564">
        <v>123.11</v>
      </c>
      <c r="H6563" s="3564">
        <v>100.03</v>
      </c>
      <c r="I6563" s="3564">
        <v>23.08</v>
      </c>
      <c r="J6563" s="3565">
        <v>1349692</v>
      </c>
      <c r="K6563" s="3565">
        <v>10963.3</v>
      </c>
      <c r="L6563" s="3565">
        <v>13492.87</v>
      </c>
      <c r="M6563" s="3565">
        <v>0</v>
      </c>
      <c r="N6563" s="3565">
        <v>0</v>
      </c>
      <c r="O6563" s="3563" t="s">
        <v>3453</v>
      </c>
    </row>
    <row r="6564" spans="1:15">
      <c r="A6564" s="3563" t="s">
        <v>10812</v>
      </c>
      <c r="B6564" s="3563" t="s">
        <v>4196</v>
      </c>
      <c r="C6564" s="3563" t="s">
        <v>4197</v>
      </c>
      <c r="D6564" s="3563" t="s">
        <v>10228</v>
      </c>
      <c r="E6564" s="3563" t="s">
        <v>4699</v>
      </c>
      <c r="F6564" s="3563" t="s">
        <v>4797</v>
      </c>
      <c r="G6564" s="3564">
        <v>87.38</v>
      </c>
      <c r="H6564" s="3564">
        <v>71</v>
      </c>
      <c r="I6564" s="3564">
        <v>16.38</v>
      </c>
      <c r="J6564" s="3565">
        <v>906847</v>
      </c>
      <c r="K6564" s="3565">
        <v>10378.200000000001</v>
      </c>
      <c r="L6564" s="3565">
        <v>12772.49</v>
      </c>
      <c r="M6564" s="3565">
        <v>0</v>
      </c>
      <c r="N6564" s="3565">
        <v>0</v>
      </c>
      <c r="O6564" s="3563" t="s">
        <v>3453</v>
      </c>
    </row>
    <row r="6565" spans="1:15">
      <c r="A6565" s="3563" t="s">
        <v>10813</v>
      </c>
      <c r="B6565" s="3563" t="s">
        <v>4196</v>
      </c>
      <c r="C6565" s="3563" t="s">
        <v>4197</v>
      </c>
      <c r="D6565" s="3563" t="s">
        <v>10228</v>
      </c>
      <c r="E6565" s="3563" t="s">
        <v>4699</v>
      </c>
      <c r="F6565" s="3563" t="s">
        <v>4797</v>
      </c>
      <c r="G6565" s="3564">
        <v>87.38</v>
      </c>
      <c r="H6565" s="3564">
        <v>71</v>
      </c>
      <c r="I6565" s="3564">
        <v>16.38</v>
      </c>
      <c r="J6565" s="3565">
        <v>906847</v>
      </c>
      <c r="K6565" s="3565">
        <v>10378.200000000001</v>
      </c>
      <c r="L6565" s="3565">
        <v>12772.49</v>
      </c>
      <c r="M6565" s="3565">
        <v>0</v>
      </c>
      <c r="N6565" s="3565">
        <v>0</v>
      </c>
      <c r="O6565" s="3563" t="s">
        <v>3453</v>
      </c>
    </row>
    <row r="6566" spans="1:15">
      <c r="A6566" s="3563" t="s">
        <v>10814</v>
      </c>
      <c r="B6566" s="3563" t="s">
        <v>4196</v>
      </c>
      <c r="C6566" s="3563" t="s">
        <v>4197</v>
      </c>
      <c r="D6566" s="3563" t="s">
        <v>10228</v>
      </c>
      <c r="E6566" s="3563" t="s">
        <v>4699</v>
      </c>
      <c r="F6566" s="3563" t="s">
        <v>4797</v>
      </c>
      <c r="G6566" s="3564">
        <v>100.93</v>
      </c>
      <c r="H6566" s="3564">
        <v>82.01</v>
      </c>
      <c r="I6566" s="3564">
        <v>18.920000000000002</v>
      </c>
      <c r="J6566" s="3565">
        <v>1036735</v>
      </c>
      <c r="K6566" s="3565">
        <v>10271.82</v>
      </c>
      <c r="L6566" s="3565">
        <v>12641.57</v>
      </c>
      <c r="M6566" s="3565">
        <v>0</v>
      </c>
      <c r="N6566" s="3565">
        <v>0</v>
      </c>
      <c r="O6566" s="3563" t="s">
        <v>3453</v>
      </c>
    </row>
    <row r="6567" spans="1:15">
      <c r="A6567" s="3563" t="s">
        <v>10815</v>
      </c>
      <c r="B6567" s="3563" t="s">
        <v>4196</v>
      </c>
      <c r="C6567" s="3563" t="s">
        <v>4197</v>
      </c>
      <c r="D6567" s="3563" t="s">
        <v>10228</v>
      </c>
      <c r="E6567" s="3563" t="s">
        <v>4699</v>
      </c>
      <c r="F6567" s="3563" t="s">
        <v>4797</v>
      </c>
      <c r="G6567" s="3564">
        <v>100.6</v>
      </c>
      <c r="H6567" s="3564">
        <v>81.739999999999995</v>
      </c>
      <c r="I6567" s="3564">
        <v>18.86</v>
      </c>
      <c r="J6567" s="3565">
        <v>1124312</v>
      </c>
      <c r="K6567" s="3565">
        <v>11176.06</v>
      </c>
      <c r="L6567" s="3565">
        <v>13754.73</v>
      </c>
      <c r="M6567" s="3565">
        <v>0</v>
      </c>
      <c r="N6567" s="3565">
        <v>0</v>
      </c>
      <c r="O6567" s="3563" t="s">
        <v>3453</v>
      </c>
    </row>
    <row r="6568" spans="1:15">
      <c r="A6568" s="3563" t="s">
        <v>10816</v>
      </c>
      <c r="B6568" s="3563" t="s">
        <v>4196</v>
      </c>
      <c r="C6568" s="3563" t="s">
        <v>4197</v>
      </c>
      <c r="D6568" s="3563" t="s">
        <v>10228</v>
      </c>
      <c r="E6568" s="3563" t="s">
        <v>4699</v>
      </c>
      <c r="F6568" s="3563" t="s">
        <v>4797</v>
      </c>
      <c r="G6568" s="3564">
        <v>100.6</v>
      </c>
      <c r="H6568" s="3564">
        <v>81.739999999999995</v>
      </c>
      <c r="I6568" s="3564">
        <v>18.86</v>
      </c>
      <c r="J6568" s="3565">
        <v>1124312</v>
      </c>
      <c r="K6568" s="3565">
        <v>11176.06</v>
      </c>
      <c r="L6568" s="3565">
        <v>13754.73</v>
      </c>
      <c r="M6568" s="3565">
        <v>0</v>
      </c>
      <c r="N6568" s="3565">
        <v>0</v>
      </c>
      <c r="O6568" s="3563" t="s">
        <v>3453</v>
      </c>
    </row>
    <row r="6569" spans="1:15">
      <c r="A6569" s="3563" t="s">
        <v>10817</v>
      </c>
      <c r="B6569" s="3563" t="s">
        <v>4196</v>
      </c>
      <c r="C6569" s="3563" t="s">
        <v>4197</v>
      </c>
      <c r="D6569" s="3563" t="s">
        <v>10228</v>
      </c>
      <c r="E6569" s="3563" t="s">
        <v>4699</v>
      </c>
      <c r="F6569" s="3563" t="s">
        <v>4797</v>
      </c>
      <c r="G6569" s="3564">
        <v>123.11</v>
      </c>
      <c r="H6569" s="3564">
        <v>100.03</v>
      </c>
      <c r="I6569" s="3564">
        <v>23.08</v>
      </c>
      <c r="J6569" s="3565">
        <v>1348382</v>
      </c>
      <c r="K6569" s="3565">
        <v>10952.66</v>
      </c>
      <c r="L6569" s="3565">
        <v>13479.78</v>
      </c>
      <c r="M6569" s="3565">
        <v>0</v>
      </c>
      <c r="N6569" s="3565">
        <v>0</v>
      </c>
      <c r="O6569" s="3563" t="s">
        <v>3453</v>
      </c>
    </row>
    <row r="6570" spans="1:15">
      <c r="A6570" s="3563" t="s">
        <v>10818</v>
      </c>
      <c r="B6570" s="3563" t="s">
        <v>4196</v>
      </c>
      <c r="C6570" s="3563" t="s">
        <v>4197</v>
      </c>
      <c r="D6570" s="3563" t="s">
        <v>10228</v>
      </c>
      <c r="E6570" s="3563" t="s">
        <v>4699</v>
      </c>
      <c r="F6570" s="3563" t="s">
        <v>4797</v>
      </c>
      <c r="G6570" s="3564">
        <v>87.38</v>
      </c>
      <c r="H6570" s="3564">
        <v>71</v>
      </c>
      <c r="I6570" s="3564">
        <v>16.38</v>
      </c>
      <c r="J6570" s="3565">
        <v>905918</v>
      </c>
      <c r="K6570" s="3565">
        <v>10367.57</v>
      </c>
      <c r="L6570" s="3565">
        <v>12759.41</v>
      </c>
      <c r="M6570" s="3565">
        <v>0</v>
      </c>
      <c r="N6570" s="3565">
        <v>0</v>
      </c>
      <c r="O6570" s="3563" t="s">
        <v>3453</v>
      </c>
    </row>
    <row r="6571" spans="1:15">
      <c r="A6571" s="3563" t="s">
        <v>10819</v>
      </c>
      <c r="B6571" s="3563" t="s">
        <v>4196</v>
      </c>
      <c r="C6571" s="3563" t="s">
        <v>4197</v>
      </c>
      <c r="D6571" s="3563" t="s">
        <v>10228</v>
      </c>
      <c r="E6571" s="3563" t="s">
        <v>4699</v>
      </c>
      <c r="F6571" s="3563" t="s">
        <v>4797</v>
      </c>
      <c r="G6571" s="3564">
        <v>87.38</v>
      </c>
      <c r="H6571" s="3564">
        <v>71</v>
      </c>
      <c r="I6571" s="3564">
        <v>16.38</v>
      </c>
      <c r="J6571" s="3565">
        <v>905918</v>
      </c>
      <c r="K6571" s="3565">
        <v>10367.57</v>
      </c>
      <c r="L6571" s="3565">
        <v>12759.41</v>
      </c>
      <c r="M6571" s="3565">
        <v>0</v>
      </c>
      <c r="N6571" s="3565">
        <v>0</v>
      </c>
      <c r="O6571" s="3563" t="s">
        <v>3453</v>
      </c>
    </row>
    <row r="6572" spans="1:15">
      <c r="A6572" s="3563" t="s">
        <v>10820</v>
      </c>
      <c r="B6572" s="3563" t="s">
        <v>4196</v>
      </c>
      <c r="C6572" s="3563" t="s">
        <v>4197</v>
      </c>
      <c r="D6572" s="3563" t="s">
        <v>10228</v>
      </c>
      <c r="E6572" s="3563" t="s">
        <v>4699</v>
      </c>
      <c r="F6572" s="3563" t="s">
        <v>4797</v>
      </c>
      <c r="G6572" s="3564">
        <v>100.93</v>
      </c>
      <c r="H6572" s="3564">
        <v>82.01</v>
      </c>
      <c r="I6572" s="3564">
        <v>18.920000000000002</v>
      </c>
      <c r="J6572" s="3565">
        <v>1036735</v>
      </c>
      <c r="K6572" s="3565">
        <v>10271.82</v>
      </c>
      <c r="L6572" s="3565">
        <v>12641.57</v>
      </c>
      <c r="M6572" s="3565">
        <v>0</v>
      </c>
      <c r="N6572" s="3565">
        <v>0</v>
      </c>
      <c r="O6572" s="3563" t="s">
        <v>3453</v>
      </c>
    </row>
    <row r="6573" spans="1:15">
      <c r="A6573" s="3563" t="s">
        <v>10821</v>
      </c>
      <c r="B6573" s="3563" t="s">
        <v>4196</v>
      </c>
      <c r="C6573" s="3563" t="s">
        <v>4197</v>
      </c>
      <c r="D6573" s="3563" t="s">
        <v>10228</v>
      </c>
      <c r="E6573" s="3563" t="s">
        <v>4699</v>
      </c>
      <c r="F6573" s="3563" t="s">
        <v>4797</v>
      </c>
      <c r="G6573" s="3564">
        <v>100.6</v>
      </c>
      <c r="H6573" s="3564">
        <v>81.739999999999995</v>
      </c>
      <c r="I6573" s="3564">
        <v>18.86</v>
      </c>
      <c r="J6573" s="3565">
        <v>1123242</v>
      </c>
      <c r="K6573" s="3565">
        <v>11165.43</v>
      </c>
      <c r="L6573" s="3565">
        <v>13741.64</v>
      </c>
      <c r="M6573" s="3565">
        <v>0</v>
      </c>
      <c r="N6573" s="3565">
        <v>0</v>
      </c>
      <c r="O6573" s="3563" t="s">
        <v>3453</v>
      </c>
    </row>
    <row r="6574" spans="1:15">
      <c r="A6574" s="3563" t="s">
        <v>10822</v>
      </c>
      <c r="B6574" s="3563" t="s">
        <v>4196</v>
      </c>
      <c r="C6574" s="3563" t="s">
        <v>4197</v>
      </c>
      <c r="D6574" s="3563" t="s">
        <v>10228</v>
      </c>
      <c r="E6574" s="3563" t="s">
        <v>4699</v>
      </c>
      <c r="F6574" s="3563" t="s">
        <v>4797</v>
      </c>
      <c r="G6574" s="3564">
        <v>100.6</v>
      </c>
      <c r="H6574" s="3564">
        <v>81.739999999999995</v>
      </c>
      <c r="I6574" s="3564">
        <v>18.86</v>
      </c>
      <c r="J6574" s="3565">
        <v>1123242</v>
      </c>
      <c r="K6574" s="3565">
        <v>11165.43</v>
      </c>
      <c r="L6574" s="3565">
        <v>13741.64</v>
      </c>
      <c r="M6574" s="3565">
        <v>0</v>
      </c>
      <c r="N6574" s="3565">
        <v>0</v>
      </c>
      <c r="O6574" s="3563" t="s">
        <v>3453</v>
      </c>
    </row>
    <row r="6575" spans="1:15">
      <c r="A6575" s="3563" t="s">
        <v>10823</v>
      </c>
      <c r="B6575" s="3563" t="s">
        <v>4196</v>
      </c>
      <c r="C6575" s="3563" t="s">
        <v>4197</v>
      </c>
      <c r="D6575" s="3563" t="s">
        <v>10228</v>
      </c>
      <c r="E6575" s="3563" t="s">
        <v>4699</v>
      </c>
      <c r="F6575" s="3563" t="s">
        <v>4797</v>
      </c>
      <c r="G6575" s="3564">
        <v>123.11</v>
      </c>
      <c r="H6575" s="3564">
        <v>100.03</v>
      </c>
      <c r="I6575" s="3564">
        <v>23.08</v>
      </c>
      <c r="J6575" s="3565">
        <v>1347073</v>
      </c>
      <c r="K6575" s="3565">
        <v>10942.03</v>
      </c>
      <c r="L6575" s="3565">
        <v>13466.69</v>
      </c>
      <c r="M6575" s="3565">
        <v>0</v>
      </c>
      <c r="N6575" s="3565">
        <v>0</v>
      </c>
      <c r="O6575" s="3563" t="s">
        <v>3453</v>
      </c>
    </row>
    <row r="6576" spans="1:15">
      <c r="A6576" s="3563" t="s">
        <v>10824</v>
      </c>
      <c r="B6576" s="3563" t="s">
        <v>4196</v>
      </c>
      <c r="C6576" s="3563" t="s">
        <v>4197</v>
      </c>
      <c r="D6576" s="3563" t="s">
        <v>10228</v>
      </c>
      <c r="E6576" s="3563" t="s">
        <v>4699</v>
      </c>
      <c r="F6576" s="3563" t="s">
        <v>4797</v>
      </c>
      <c r="G6576" s="3564">
        <v>87.38</v>
      </c>
      <c r="H6576" s="3564">
        <v>71</v>
      </c>
      <c r="I6576" s="3564">
        <v>16.38</v>
      </c>
      <c r="J6576" s="3565">
        <v>904988</v>
      </c>
      <c r="K6576" s="3565">
        <v>10356.92</v>
      </c>
      <c r="L6576" s="3565">
        <v>12746.31</v>
      </c>
      <c r="M6576" s="3565">
        <v>0</v>
      </c>
      <c r="N6576" s="3565">
        <v>0</v>
      </c>
      <c r="O6576" s="3563" t="s">
        <v>3453</v>
      </c>
    </row>
    <row r="6577" spans="1:15">
      <c r="A6577" s="3563" t="s">
        <v>10825</v>
      </c>
      <c r="B6577" s="3563" t="s">
        <v>4196</v>
      </c>
      <c r="C6577" s="3563" t="s">
        <v>4197</v>
      </c>
      <c r="D6577" s="3563" t="s">
        <v>10228</v>
      </c>
      <c r="E6577" s="3563" t="s">
        <v>4699</v>
      </c>
      <c r="F6577" s="3563" t="s">
        <v>4797</v>
      </c>
      <c r="G6577" s="3564">
        <v>87.38</v>
      </c>
      <c r="H6577" s="3564">
        <v>71</v>
      </c>
      <c r="I6577" s="3564">
        <v>16.38</v>
      </c>
      <c r="J6577" s="3565">
        <v>904988</v>
      </c>
      <c r="K6577" s="3565">
        <v>10356.92</v>
      </c>
      <c r="L6577" s="3565">
        <v>12746.31</v>
      </c>
      <c r="M6577" s="3565">
        <v>0</v>
      </c>
      <c r="N6577" s="3565">
        <v>0</v>
      </c>
      <c r="O6577" s="3563" t="s">
        <v>3453</v>
      </c>
    </row>
    <row r="6578" spans="1:15">
      <c r="A6578" s="3563" t="s">
        <v>10826</v>
      </c>
      <c r="B6578" s="3563" t="s">
        <v>4196</v>
      </c>
      <c r="C6578" s="3563" t="s">
        <v>4197</v>
      </c>
      <c r="D6578" s="3563" t="s">
        <v>10228</v>
      </c>
      <c r="E6578" s="3563" t="s">
        <v>4699</v>
      </c>
      <c r="F6578" s="3563" t="s">
        <v>4797</v>
      </c>
      <c r="G6578" s="3564">
        <v>100.93</v>
      </c>
      <c r="H6578" s="3564">
        <v>82.01</v>
      </c>
      <c r="I6578" s="3564">
        <v>18.920000000000002</v>
      </c>
      <c r="J6578" s="3565">
        <v>1036735</v>
      </c>
      <c r="K6578" s="3565">
        <v>10271.82</v>
      </c>
      <c r="L6578" s="3565">
        <v>12641.57</v>
      </c>
      <c r="M6578" s="3565">
        <v>0</v>
      </c>
      <c r="N6578" s="3565">
        <v>0</v>
      </c>
      <c r="O6578" s="3563" t="s">
        <v>3453</v>
      </c>
    </row>
    <row r="6579" spans="1:15">
      <c r="A6579" s="3563" t="s">
        <v>10827</v>
      </c>
      <c r="B6579" s="3563" t="s">
        <v>4196</v>
      </c>
      <c r="C6579" s="3563" t="s">
        <v>4197</v>
      </c>
      <c r="D6579" s="3563" t="s">
        <v>10228</v>
      </c>
      <c r="E6579" s="3563" t="s">
        <v>4699</v>
      </c>
      <c r="F6579" s="3563" t="s">
        <v>4797</v>
      </c>
      <c r="G6579" s="3564">
        <v>100.6</v>
      </c>
      <c r="H6579" s="3564">
        <v>81.739999999999995</v>
      </c>
      <c r="I6579" s="3564">
        <v>18.86</v>
      </c>
      <c r="J6579" s="3565">
        <v>1122172</v>
      </c>
      <c r="K6579" s="3565">
        <v>11154.79</v>
      </c>
      <c r="L6579" s="3565">
        <v>13728.55</v>
      </c>
      <c r="M6579" s="3565">
        <v>0</v>
      </c>
      <c r="N6579" s="3565">
        <v>0</v>
      </c>
      <c r="O6579" s="3563" t="s">
        <v>3453</v>
      </c>
    </row>
    <row r="6580" spans="1:15">
      <c r="A6580" s="3563" t="s">
        <v>10828</v>
      </c>
      <c r="B6580" s="3563" t="s">
        <v>4196</v>
      </c>
      <c r="C6580" s="3563" t="s">
        <v>4197</v>
      </c>
      <c r="D6580" s="3563" t="s">
        <v>10228</v>
      </c>
      <c r="E6580" s="3563" t="s">
        <v>4699</v>
      </c>
      <c r="F6580" s="3563" t="s">
        <v>4797</v>
      </c>
      <c r="G6580" s="3564">
        <v>100.6</v>
      </c>
      <c r="H6580" s="3564">
        <v>81.739999999999995</v>
      </c>
      <c r="I6580" s="3564">
        <v>18.86</v>
      </c>
      <c r="J6580" s="3565">
        <v>1122172</v>
      </c>
      <c r="K6580" s="3565">
        <v>11154.79</v>
      </c>
      <c r="L6580" s="3565">
        <v>13728.55</v>
      </c>
      <c r="M6580" s="3565">
        <v>0</v>
      </c>
      <c r="N6580" s="3565">
        <v>0</v>
      </c>
      <c r="O6580" s="3563" t="s">
        <v>3453</v>
      </c>
    </row>
    <row r="6581" spans="1:15">
      <c r="A6581" s="3563" t="s">
        <v>10829</v>
      </c>
      <c r="B6581" s="3563" t="s">
        <v>4196</v>
      </c>
      <c r="C6581" s="3563" t="s">
        <v>4197</v>
      </c>
      <c r="D6581" s="3563" t="s">
        <v>10228</v>
      </c>
      <c r="E6581" s="3563" t="s">
        <v>4699</v>
      </c>
      <c r="F6581" s="3563" t="s">
        <v>4797</v>
      </c>
      <c r="G6581" s="3564">
        <v>123.11</v>
      </c>
      <c r="H6581" s="3564">
        <v>100.03</v>
      </c>
      <c r="I6581" s="3564">
        <v>23.08</v>
      </c>
      <c r="J6581" s="3565">
        <v>1345763</v>
      </c>
      <c r="K6581" s="3565">
        <v>10931.39</v>
      </c>
      <c r="L6581" s="3565">
        <v>13453.59</v>
      </c>
      <c r="M6581" s="3565">
        <v>0</v>
      </c>
      <c r="N6581" s="3565">
        <v>0</v>
      </c>
      <c r="O6581" s="3563" t="s">
        <v>3453</v>
      </c>
    </row>
    <row r="6582" spans="1:15">
      <c r="A6582" s="3563" t="s">
        <v>10830</v>
      </c>
      <c r="B6582" s="3563" t="s">
        <v>4196</v>
      </c>
      <c r="C6582" s="3563" t="s">
        <v>4197</v>
      </c>
      <c r="D6582" s="3563" t="s">
        <v>10228</v>
      </c>
      <c r="E6582" s="3563" t="s">
        <v>4699</v>
      </c>
      <c r="F6582" s="3563" t="s">
        <v>4797</v>
      </c>
      <c r="G6582" s="3564">
        <v>87.38</v>
      </c>
      <c r="H6582" s="3564">
        <v>71</v>
      </c>
      <c r="I6582" s="3564">
        <v>16.38</v>
      </c>
      <c r="J6582" s="3565">
        <v>904058</v>
      </c>
      <c r="K6582" s="3565">
        <v>10346.280000000001</v>
      </c>
      <c r="L6582" s="3565">
        <v>12733.21</v>
      </c>
      <c r="M6582" s="3565">
        <v>0</v>
      </c>
      <c r="N6582" s="3565">
        <v>0</v>
      </c>
      <c r="O6582" s="3563" t="s">
        <v>3453</v>
      </c>
    </row>
    <row r="6583" spans="1:15">
      <c r="A6583" s="3563" t="s">
        <v>10831</v>
      </c>
      <c r="B6583" s="3563" t="s">
        <v>4196</v>
      </c>
      <c r="C6583" s="3563" t="s">
        <v>4197</v>
      </c>
      <c r="D6583" s="3563" t="s">
        <v>10228</v>
      </c>
      <c r="E6583" s="3563" t="s">
        <v>4699</v>
      </c>
      <c r="F6583" s="3563" t="s">
        <v>4797</v>
      </c>
      <c r="G6583" s="3564">
        <v>87.38</v>
      </c>
      <c r="H6583" s="3564">
        <v>71</v>
      </c>
      <c r="I6583" s="3564">
        <v>16.38</v>
      </c>
      <c r="J6583" s="3565">
        <v>904058</v>
      </c>
      <c r="K6583" s="3565">
        <v>10346.280000000001</v>
      </c>
      <c r="L6583" s="3565">
        <v>12733.21</v>
      </c>
      <c r="M6583" s="3565">
        <v>0</v>
      </c>
      <c r="N6583" s="3565">
        <v>0</v>
      </c>
      <c r="O6583" s="3563" t="s">
        <v>3453</v>
      </c>
    </row>
    <row r="6584" spans="1:15">
      <c r="A6584" s="3563" t="s">
        <v>10832</v>
      </c>
      <c r="B6584" s="3563" t="s">
        <v>4196</v>
      </c>
      <c r="C6584" s="3563" t="s">
        <v>4197</v>
      </c>
      <c r="D6584" s="3563" t="s">
        <v>10228</v>
      </c>
      <c r="E6584" s="3563" t="s">
        <v>4699</v>
      </c>
      <c r="F6584" s="3563" t="s">
        <v>4797</v>
      </c>
      <c r="G6584" s="3564">
        <v>100.93</v>
      </c>
      <c r="H6584" s="3564">
        <v>82.01</v>
      </c>
      <c r="I6584" s="3564">
        <v>18.920000000000002</v>
      </c>
      <c r="J6584" s="3565">
        <v>1036735</v>
      </c>
      <c r="K6584" s="3565">
        <v>10271.82</v>
      </c>
      <c r="L6584" s="3565">
        <v>12641.57</v>
      </c>
      <c r="M6584" s="3565">
        <v>0</v>
      </c>
      <c r="N6584" s="3565">
        <v>0</v>
      </c>
      <c r="O6584" s="3563" t="s">
        <v>3453</v>
      </c>
    </row>
    <row r="6585" spans="1:15">
      <c r="A6585" s="3563" t="s">
        <v>10833</v>
      </c>
      <c r="B6585" s="3563" t="s">
        <v>4196</v>
      </c>
      <c r="C6585" s="3563" t="s">
        <v>4197</v>
      </c>
      <c r="D6585" s="3563" t="s">
        <v>10228</v>
      </c>
      <c r="E6585" s="3563" t="s">
        <v>4699</v>
      </c>
      <c r="F6585" s="3563" t="s">
        <v>4797</v>
      </c>
      <c r="G6585" s="3564">
        <v>100.6</v>
      </c>
      <c r="H6585" s="3564">
        <v>81.739999999999995</v>
      </c>
      <c r="I6585" s="3564">
        <v>18.86</v>
      </c>
      <c r="J6585" s="3565">
        <v>1121102</v>
      </c>
      <c r="K6585" s="3565">
        <v>11144.16</v>
      </c>
      <c r="L6585" s="3565">
        <v>13715.46</v>
      </c>
      <c r="M6585" s="3565">
        <v>0</v>
      </c>
      <c r="N6585" s="3565">
        <v>0</v>
      </c>
      <c r="O6585" s="3563" t="s">
        <v>3453</v>
      </c>
    </row>
    <row r="6586" spans="1:15">
      <c r="A6586" s="3563" t="s">
        <v>10834</v>
      </c>
      <c r="B6586" s="3563" t="s">
        <v>4196</v>
      </c>
      <c r="C6586" s="3563" t="s">
        <v>4197</v>
      </c>
      <c r="D6586" s="3563" t="s">
        <v>10228</v>
      </c>
      <c r="E6586" s="3563" t="s">
        <v>4699</v>
      </c>
      <c r="F6586" s="3563" t="s">
        <v>4797</v>
      </c>
      <c r="G6586" s="3564">
        <v>100.6</v>
      </c>
      <c r="H6586" s="3564">
        <v>81.739999999999995</v>
      </c>
      <c r="I6586" s="3564">
        <v>18.86</v>
      </c>
      <c r="J6586" s="3565">
        <v>1121102</v>
      </c>
      <c r="K6586" s="3565">
        <v>11144.16</v>
      </c>
      <c r="L6586" s="3565">
        <v>13715.46</v>
      </c>
      <c r="M6586" s="3565">
        <v>0</v>
      </c>
      <c r="N6586" s="3565">
        <v>0</v>
      </c>
      <c r="O6586" s="3563" t="s">
        <v>3453</v>
      </c>
    </row>
    <row r="6587" spans="1:15">
      <c r="A6587" s="3563" t="s">
        <v>10835</v>
      </c>
      <c r="B6587" s="3563" t="s">
        <v>4196</v>
      </c>
      <c r="C6587" s="3563" t="s">
        <v>4197</v>
      </c>
      <c r="D6587" s="3563" t="s">
        <v>10228</v>
      </c>
      <c r="E6587" s="3563" t="s">
        <v>4699</v>
      </c>
      <c r="F6587" s="3563" t="s">
        <v>4797</v>
      </c>
      <c r="G6587" s="3564">
        <v>123.11</v>
      </c>
      <c r="H6587" s="3564">
        <v>100.03</v>
      </c>
      <c r="I6587" s="3564">
        <v>23.08</v>
      </c>
      <c r="J6587" s="3565">
        <v>1305163</v>
      </c>
      <c r="K6587" s="3565">
        <v>10601.6</v>
      </c>
      <c r="L6587" s="3565">
        <v>13047.72</v>
      </c>
      <c r="M6587" s="3565">
        <v>0</v>
      </c>
      <c r="N6587" s="3565">
        <v>0</v>
      </c>
      <c r="O6587" s="3563" t="s">
        <v>3453</v>
      </c>
    </row>
    <row r="6588" spans="1:15">
      <c r="A6588" s="3563" t="s">
        <v>10836</v>
      </c>
      <c r="B6588" s="3563" t="s">
        <v>4196</v>
      </c>
      <c r="C6588" s="3563" t="s">
        <v>4197</v>
      </c>
      <c r="D6588" s="3563" t="s">
        <v>10228</v>
      </c>
      <c r="E6588" s="3563" t="s">
        <v>4699</v>
      </c>
      <c r="F6588" s="3563" t="s">
        <v>4797</v>
      </c>
      <c r="G6588" s="3564">
        <v>87.38</v>
      </c>
      <c r="H6588" s="3564">
        <v>71</v>
      </c>
      <c r="I6588" s="3564">
        <v>16.38</v>
      </c>
      <c r="J6588" s="3565">
        <v>897552</v>
      </c>
      <c r="K6588" s="3565">
        <v>10271.82</v>
      </c>
      <c r="L6588" s="3565">
        <v>12641.58</v>
      </c>
      <c r="M6588" s="3565">
        <v>0</v>
      </c>
      <c r="N6588" s="3565">
        <v>0</v>
      </c>
      <c r="O6588" s="3563" t="s">
        <v>3453</v>
      </c>
    </row>
    <row r="6589" spans="1:15">
      <c r="A6589" s="3563" t="s">
        <v>10837</v>
      </c>
      <c r="B6589" s="3563" t="s">
        <v>4196</v>
      </c>
      <c r="C6589" s="3563" t="s">
        <v>4197</v>
      </c>
      <c r="D6589" s="3563" t="s">
        <v>10228</v>
      </c>
      <c r="E6589" s="3563" t="s">
        <v>4699</v>
      </c>
      <c r="F6589" s="3563" t="s">
        <v>4797</v>
      </c>
      <c r="G6589" s="3564">
        <v>87.38</v>
      </c>
      <c r="H6589" s="3564">
        <v>71</v>
      </c>
      <c r="I6589" s="3564">
        <v>16.38</v>
      </c>
      <c r="J6589" s="3565">
        <v>897552</v>
      </c>
      <c r="K6589" s="3565">
        <v>10271.82</v>
      </c>
      <c r="L6589" s="3565">
        <v>12641.58</v>
      </c>
      <c r="M6589" s="3565">
        <v>0</v>
      </c>
      <c r="N6589" s="3565">
        <v>0</v>
      </c>
      <c r="O6589" s="3563" t="s">
        <v>3453</v>
      </c>
    </row>
    <row r="6590" spans="1:15">
      <c r="A6590" s="3563" t="s">
        <v>10838</v>
      </c>
      <c r="B6590" s="3563" t="s">
        <v>4196</v>
      </c>
      <c r="C6590" s="3563" t="s">
        <v>4197</v>
      </c>
      <c r="D6590" s="3563" t="s">
        <v>10228</v>
      </c>
      <c r="E6590" s="3563" t="s">
        <v>4699</v>
      </c>
      <c r="F6590" s="3563" t="s">
        <v>4797</v>
      </c>
      <c r="G6590" s="3564">
        <v>100.93</v>
      </c>
      <c r="H6590" s="3564">
        <v>82.01</v>
      </c>
      <c r="I6590" s="3564">
        <v>18.920000000000002</v>
      </c>
      <c r="J6590" s="3565">
        <v>1036735</v>
      </c>
      <c r="K6590" s="3565">
        <v>10271.82</v>
      </c>
      <c r="L6590" s="3565">
        <v>12641.57</v>
      </c>
      <c r="M6590" s="3565">
        <v>0</v>
      </c>
      <c r="N6590" s="3565">
        <v>0</v>
      </c>
      <c r="O6590" s="3563" t="s">
        <v>3453</v>
      </c>
    </row>
    <row r="6591" spans="1:15">
      <c r="A6591" s="3563" t="s">
        <v>10839</v>
      </c>
      <c r="B6591" s="3563" t="s">
        <v>4196</v>
      </c>
      <c r="C6591" s="3563" t="s">
        <v>4197</v>
      </c>
      <c r="D6591" s="3563" t="s">
        <v>10228</v>
      </c>
      <c r="E6591" s="3563" t="s">
        <v>4699</v>
      </c>
      <c r="F6591" s="3563" t="s">
        <v>4797</v>
      </c>
      <c r="G6591" s="3564">
        <v>100.6</v>
      </c>
      <c r="H6591" s="3564">
        <v>81.739999999999995</v>
      </c>
      <c r="I6591" s="3564">
        <v>18.86</v>
      </c>
      <c r="J6591" s="3565">
        <v>1087925</v>
      </c>
      <c r="K6591" s="3565">
        <v>10814.36</v>
      </c>
      <c r="L6591" s="3565">
        <v>13309.58</v>
      </c>
      <c r="M6591" s="3565">
        <v>0</v>
      </c>
      <c r="N6591" s="3565">
        <v>0</v>
      </c>
      <c r="O6591" s="3563" t="s">
        <v>3453</v>
      </c>
    </row>
    <row r="6592" spans="1:15">
      <c r="A6592" s="3563" t="s">
        <v>10840</v>
      </c>
      <c r="B6592" s="3563" t="s">
        <v>4196</v>
      </c>
      <c r="C6592" s="3563" t="s">
        <v>4197</v>
      </c>
      <c r="D6592" s="3563" t="s">
        <v>10228</v>
      </c>
      <c r="E6592" s="3563" t="s">
        <v>4699</v>
      </c>
      <c r="F6592" s="3563" t="s">
        <v>4797</v>
      </c>
      <c r="G6592" s="3564">
        <v>100.6</v>
      </c>
      <c r="H6592" s="3564">
        <v>81.739999999999995</v>
      </c>
      <c r="I6592" s="3564">
        <v>18.86</v>
      </c>
      <c r="J6592" s="3565">
        <v>1087925</v>
      </c>
      <c r="K6592" s="3565">
        <v>10814.36</v>
      </c>
      <c r="L6592" s="3565">
        <v>13309.58</v>
      </c>
      <c r="M6592" s="3565">
        <v>0</v>
      </c>
      <c r="N6592" s="3565">
        <v>0</v>
      </c>
      <c r="O6592" s="3563" t="s">
        <v>3453</v>
      </c>
    </row>
    <row r="6593" spans="1:15">
      <c r="A6593" s="3563" t="s">
        <v>10841</v>
      </c>
      <c r="B6593" s="3563" t="s">
        <v>4196</v>
      </c>
      <c r="C6593" s="3563" t="s">
        <v>4197</v>
      </c>
      <c r="D6593" s="3563" t="s">
        <v>10228</v>
      </c>
      <c r="E6593" s="3563" t="s">
        <v>4699</v>
      </c>
      <c r="F6593" s="3563" t="s">
        <v>4797</v>
      </c>
      <c r="G6593" s="3564">
        <v>123.11</v>
      </c>
      <c r="H6593" s="3564">
        <v>100.03</v>
      </c>
      <c r="I6593" s="3564">
        <v>23.08</v>
      </c>
      <c r="J6593" s="3565">
        <v>1264563</v>
      </c>
      <c r="K6593" s="3565">
        <v>10271.81</v>
      </c>
      <c r="L6593" s="3565">
        <v>12641.84</v>
      </c>
      <c r="M6593" s="3565">
        <v>0</v>
      </c>
      <c r="N6593" s="3565">
        <v>0</v>
      </c>
      <c r="O6593" s="3563" t="s">
        <v>3453</v>
      </c>
    </row>
    <row r="6594" spans="1:15">
      <c r="A6594" s="3563" t="s">
        <v>10842</v>
      </c>
      <c r="B6594" s="3563" t="s">
        <v>4196</v>
      </c>
      <c r="C6594" s="3563" t="s">
        <v>4197</v>
      </c>
      <c r="D6594" s="3563" t="s">
        <v>10228</v>
      </c>
      <c r="E6594" s="3563" t="s">
        <v>4699</v>
      </c>
      <c r="F6594" s="3563" t="s">
        <v>4797</v>
      </c>
      <c r="G6594" s="3564">
        <v>87.38</v>
      </c>
      <c r="H6594" s="3564">
        <v>71</v>
      </c>
      <c r="I6594" s="3564">
        <v>16.38</v>
      </c>
      <c r="J6594" s="3565">
        <v>897552</v>
      </c>
      <c r="K6594" s="3565">
        <v>10271.82</v>
      </c>
      <c r="L6594" s="3565">
        <v>12641.58</v>
      </c>
      <c r="M6594" s="3565">
        <v>0</v>
      </c>
      <c r="N6594" s="3565">
        <v>0</v>
      </c>
      <c r="O6594" s="3563" t="s">
        <v>3453</v>
      </c>
    </row>
    <row r="6595" spans="1:15">
      <c r="A6595" s="3563" t="s">
        <v>10843</v>
      </c>
      <c r="B6595" s="3563" t="s">
        <v>4196</v>
      </c>
      <c r="C6595" s="3563" t="s">
        <v>4197</v>
      </c>
      <c r="D6595" s="3563" t="s">
        <v>10228</v>
      </c>
      <c r="E6595" s="3563" t="s">
        <v>4699</v>
      </c>
      <c r="F6595" s="3563" t="s">
        <v>4797</v>
      </c>
      <c r="G6595" s="3564">
        <v>87.38</v>
      </c>
      <c r="H6595" s="3564">
        <v>71</v>
      </c>
      <c r="I6595" s="3564">
        <v>16.38</v>
      </c>
      <c r="J6595" s="3565">
        <v>897552</v>
      </c>
      <c r="K6595" s="3565">
        <v>10271.82</v>
      </c>
      <c r="L6595" s="3565">
        <v>12641.58</v>
      </c>
      <c r="M6595" s="3565">
        <v>0</v>
      </c>
      <c r="N6595" s="3565">
        <v>0</v>
      </c>
      <c r="O6595" s="3563" t="s">
        <v>3453</v>
      </c>
    </row>
    <row r="6596" spans="1:15">
      <c r="A6596" s="3563" t="s">
        <v>10844</v>
      </c>
      <c r="B6596" s="3563" t="s">
        <v>4196</v>
      </c>
      <c r="C6596" s="3563" t="s">
        <v>4197</v>
      </c>
      <c r="D6596" s="3563" t="s">
        <v>10228</v>
      </c>
      <c r="E6596" s="3563" t="s">
        <v>4699</v>
      </c>
      <c r="F6596" s="3563" t="s">
        <v>4797</v>
      </c>
      <c r="G6596" s="3564">
        <v>100.93</v>
      </c>
      <c r="H6596" s="3564">
        <v>82.01</v>
      </c>
      <c r="I6596" s="3564">
        <v>18.920000000000002</v>
      </c>
      <c r="J6596" s="3565">
        <v>1036735</v>
      </c>
      <c r="K6596" s="3565">
        <v>10271.82</v>
      </c>
      <c r="L6596" s="3565">
        <v>12641.57</v>
      </c>
      <c r="M6596" s="3565">
        <v>0</v>
      </c>
      <c r="N6596" s="3565">
        <v>0</v>
      </c>
      <c r="O6596" s="3563" t="s">
        <v>3453</v>
      </c>
    </row>
    <row r="6597" spans="1:15">
      <c r="A6597" s="3563" t="s">
        <v>10845</v>
      </c>
      <c r="B6597" s="3563" t="s">
        <v>4196</v>
      </c>
      <c r="C6597" s="3563" t="s">
        <v>4197</v>
      </c>
      <c r="D6597" s="3563" t="s">
        <v>10228</v>
      </c>
      <c r="E6597" s="3563" t="s">
        <v>4699</v>
      </c>
      <c r="F6597" s="3563" t="s">
        <v>4797</v>
      </c>
      <c r="G6597" s="3564">
        <v>100.6</v>
      </c>
      <c r="H6597" s="3564">
        <v>81.739999999999995</v>
      </c>
      <c r="I6597" s="3564">
        <v>18.86</v>
      </c>
      <c r="J6597" s="3565">
        <v>1033344</v>
      </c>
      <c r="K6597" s="3565">
        <v>10271.81</v>
      </c>
      <c r="L6597" s="3565">
        <v>12641.84</v>
      </c>
      <c r="M6597" s="3565">
        <v>0</v>
      </c>
      <c r="N6597" s="3565">
        <v>0</v>
      </c>
      <c r="O6597" s="3563" t="s">
        <v>3453</v>
      </c>
    </row>
    <row r="6598" spans="1:15">
      <c r="A6598" s="3563" t="s">
        <v>10846</v>
      </c>
      <c r="B6598" s="3563" t="s">
        <v>4196</v>
      </c>
      <c r="C6598" s="3563" t="s">
        <v>4197</v>
      </c>
      <c r="D6598" s="3563" t="s">
        <v>10228</v>
      </c>
      <c r="E6598" s="3563" t="s">
        <v>4699</v>
      </c>
      <c r="F6598" s="3563" t="s">
        <v>4797</v>
      </c>
      <c r="G6598" s="3564">
        <v>100.6</v>
      </c>
      <c r="H6598" s="3564">
        <v>81.739999999999995</v>
      </c>
      <c r="I6598" s="3564">
        <v>18.86</v>
      </c>
      <c r="J6598" s="3565">
        <v>1033344</v>
      </c>
      <c r="K6598" s="3565">
        <v>10271.81</v>
      </c>
      <c r="L6598" s="3565">
        <v>12641.84</v>
      </c>
      <c r="M6598" s="3565">
        <v>0</v>
      </c>
      <c r="N6598" s="3565">
        <v>0</v>
      </c>
      <c r="O6598" s="3563" t="s">
        <v>3453</v>
      </c>
    </row>
    <row r="6599" spans="1:15">
      <c r="A6599" s="3563" t="s">
        <v>10847</v>
      </c>
      <c r="B6599" s="3563" t="s">
        <v>4196</v>
      </c>
      <c r="C6599" s="3563" t="s">
        <v>4197</v>
      </c>
      <c r="D6599" s="3563" t="s">
        <v>10228</v>
      </c>
      <c r="E6599" s="3563" t="s">
        <v>4699</v>
      </c>
      <c r="F6599" s="3563" t="s">
        <v>4797</v>
      </c>
      <c r="G6599" s="3564">
        <v>123.11</v>
      </c>
      <c r="H6599" s="3564">
        <v>100.03</v>
      </c>
      <c r="I6599" s="3564">
        <v>23.08</v>
      </c>
      <c r="J6599" s="3565">
        <v>1264563</v>
      </c>
      <c r="K6599" s="3565">
        <v>10271.81</v>
      </c>
      <c r="L6599" s="3565">
        <v>12641.84</v>
      </c>
      <c r="M6599" s="3565">
        <v>0</v>
      </c>
      <c r="N6599" s="3565">
        <v>0</v>
      </c>
      <c r="O6599" s="3563" t="s">
        <v>3453</v>
      </c>
    </row>
    <row r="6600" spans="1:15">
      <c r="A6600" s="3563" t="s">
        <v>10848</v>
      </c>
      <c r="B6600" s="3563" t="s">
        <v>4196</v>
      </c>
      <c r="C6600" s="3563" t="s">
        <v>4197</v>
      </c>
      <c r="D6600" s="3563" t="s">
        <v>10228</v>
      </c>
      <c r="E6600" s="3563" t="s">
        <v>4699</v>
      </c>
      <c r="F6600" s="3563" t="s">
        <v>4797</v>
      </c>
      <c r="G6600" s="3564">
        <v>87.38</v>
      </c>
      <c r="H6600" s="3564">
        <v>71</v>
      </c>
      <c r="I6600" s="3564">
        <v>16.38</v>
      </c>
      <c r="J6600" s="3565">
        <v>897552</v>
      </c>
      <c r="K6600" s="3565">
        <v>10271.82</v>
      </c>
      <c r="L6600" s="3565">
        <v>12641.58</v>
      </c>
      <c r="M6600" s="3565">
        <v>0</v>
      </c>
      <c r="N6600" s="3565">
        <v>0</v>
      </c>
      <c r="O6600" s="3563" t="s">
        <v>3453</v>
      </c>
    </row>
    <row r="6601" spans="1:15">
      <c r="A6601" s="3563" t="s">
        <v>10849</v>
      </c>
      <c r="B6601" s="3563" t="s">
        <v>4196</v>
      </c>
      <c r="C6601" s="3563" t="s">
        <v>4197</v>
      </c>
      <c r="D6601" s="3563" t="s">
        <v>10228</v>
      </c>
      <c r="E6601" s="3563" t="s">
        <v>4699</v>
      </c>
      <c r="F6601" s="3563" t="s">
        <v>4797</v>
      </c>
      <c r="G6601" s="3564">
        <v>87.38</v>
      </c>
      <c r="H6601" s="3564">
        <v>71</v>
      </c>
      <c r="I6601" s="3564">
        <v>16.38</v>
      </c>
      <c r="J6601" s="3565">
        <v>897552</v>
      </c>
      <c r="K6601" s="3565">
        <v>10271.82</v>
      </c>
      <c r="L6601" s="3565">
        <v>12641.58</v>
      </c>
      <c r="M6601" s="3565">
        <v>0</v>
      </c>
      <c r="N6601" s="3565">
        <v>0</v>
      </c>
      <c r="O6601" s="3563" t="s">
        <v>3453</v>
      </c>
    </row>
    <row r="6602" spans="1:15">
      <c r="A6602" s="3563" t="s">
        <v>10850</v>
      </c>
      <c r="B6602" s="3563" t="s">
        <v>4196</v>
      </c>
      <c r="C6602" s="3563" t="s">
        <v>4197</v>
      </c>
      <c r="D6602" s="3563" t="s">
        <v>10228</v>
      </c>
      <c r="E6602" s="3563" t="s">
        <v>4699</v>
      </c>
      <c r="F6602" s="3563" t="s">
        <v>4797</v>
      </c>
      <c r="G6602" s="3564">
        <v>100.93</v>
      </c>
      <c r="H6602" s="3564">
        <v>82.01</v>
      </c>
      <c r="I6602" s="3564">
        <v>18.920000000000002</v>
      </c>
      <c r="J6602" s="3565">
        <v>1036735</v>
      </c>
      <c r="K6602" s="3565">
        <v>10271.82</v>
      </c>
      <c r="L6602" s="3565">
        <v>12641.57</v>
      </c>
      <c r="M6602" s="3565">
        <v>0</v>
      </c>
      <c r="N6602" s="3565">
        <v>0</v>
      </c>
      <c r="O6602" s="3563" t="s">
        <v>3453</v>
      </c>
    </row>
    <row r="6603" spans="1:15">
      <c r="A6603" s="3563" t="s">
        <v>10851</v>
      </c>
      <c r="B6603" s="3563" t="s">
        <v>4196</v>
      </c>
      <c r="C6603" s="3563" t="s">
        <v>4197</v>
      </c>
      <c r="D6603" s="3563" t="s">
        <v>10228</v>
      </c>
      <c r="E6603" s="3563" t="s">
        <v>4699</v>
      </c>
      <c r="F6603" s="3563" t="s">
        <v>4797</v>
      </c>
      <c r="G6603" s="3564">
        <v>100.6</v>
      </c>
      <c r="H6603" s="3564">
        <v>81.739999999999995</v>
      </c>
      <c r="I6603" s="3564">
        <v>18.86</v>
      </c>
      <c r="J6603" s="3565">
        <v>1033344</v>
      </c>
      <c r="K6603" s="3565">
        <v>10271.81</v>
      </c>
      <c r="L6603" s="3565">
        <v>12641.84</v>
      </c>
      <c r="M6603" s="3565">
        <v>0</v>
      </c>
      <c r="N6603" s="3565">
        <v>0</v>
      </c>
      <c r="O6603" s="3563" t="s">
        <v>3453</v>
      </c>
    </row>
    <row r="6604" spans="1:15">
      <c r="A6604" s="3563" t="s">
        <v>10852</v>
      </c>
      <c r="B6604" s="3563" t="s">
        <v>4196</v>
      </c>
      <c r="C6604" s="3563" t="s">
        <v>4197</v>
      </c>
      <c r="D6604" s="3563" t="s">
        <v>10228</v>
      </c>
      <c r="E6604" s="3563" t="s">
        <v>4699</v>
      </c>
      <c r="F6604" s="3563" t="s">
        <v>4797</v>
      </c>
      <c r="G6604" s="3564">
        <v>100.6</v>
      </c>
      <c r="H6604" s="3564">
        <v>81.739999999999995</v>
      </c>
      <c r="I6604" s="3564">
        <v>18.86</v>
      </c>
      <c r="J6604" s="3565">
        <v>1033344</v>
      </c>
      <c r="K6604" s="3565">
        <v>10271.81</v>
      </c>
      <c r="L6604" s="3565">
        <v>12641.84</v>
      </c>
      <c r="M6604" s="3565">
        <v>0</v>
      </c>
      <c r="N6604" s="3565">
        <v>0</v>
      </c>
      <c r="O6604" s="3563" t="s">
        <v>3453</v>
      </c>
    </row>
    <row r="6605" spans="1:15">
      <c r="A6605" s="3563" t="s">
        <v>10853</v>
      </c>
      <c r="B6605" s="3563" t="s">
        <v>4196</v>
      </c>
      <c r="C6605" s="3563" t="s">
        <v>4197</v>
      </c>
      <c r="D6605" s="3563" t="s">
        <v>10228</v>
      </c>
      <c r="E6605" s="3563" t="s">
        <v>4699</v>
      </c>
      <c r="F6605" s="3563" t="s">
        <v>4797</v>
      </c>
      <c r="G6605" s="3564">
        <v>123.11</v>
      </c>
      <c r="H6605" s="3564">
        <v>100.03</v>
      </c>
      <c r="I6605" s="3564">
        <v>23.08</v>
      </c>
      <c r="J6605" s="3565">
        <v>1264563</v>
      </c>
      <c r="K6605" s="3565">
        <v>10271.81</v>
      </c>
      <c r="L6605" s="3565">
        <v>12641.84</v>
      </c>
      <c r="M6605" s="3565">
        <v>0</v>
      </c>
      <c r="N6605" s="3565">
        <v>0</v>
      </c>
      <c r="O6605" s="3563" t="s">
        <v>3453</v>
      </c>
    </row>
    <row r="6606" spans="1:15">
      <c r="A6606" s="3563" t="s">
        <v>10854</v>
      </c>
      <c r="B6606" s="3563" t="s">
        <v>4196</v>
      </c>
      <c r="C6606" s="3563" t="s">
        <v>4197</v>
      </c>
      <c r="D6606" s="3563" t="s">
        <v>10228</v>
      </c>
      <c r="E6606" s="3563" t="s">
        <v>4699</v>
      </c>
      <c r="F6606" s="3563" t="s">
        <v>4797</v>
      </c>
      <c r="G6606" s="3564">
        <v>87.38</v>
      </c>
      <c r="H6606" s="3564">
        <v>71</v>
      </c>
      <c r="I6606" s="3564">
        <v>16.38</v>
      </c>
      <c r="J6606" s="3565">
        <v>897552</v>
      </c>
      <c r="K6606" s="3565">
        <v>10271.82</v>
      </c>
      <c r="L6606" s="3565">
        <v>12641.58</v>
      </c>
      <c r="M6606" s="3565">
        <v>0</v>
      </c>
      <c r="N6606" s="3565">
        <v>0</v>
      </c>
      <c r="O6606" s="3563" t="s">
        <v>3453</v>
      </c>
    </row>
    <row r="6607" spans="1:15">
      <c r="A6607" s="3563" t="s">
        <v>10855</v>
      </c>
      <c r="B6607" s="3563" t="s">
        <v>4196</v>
      </c>
      <c r="C6607" s="3563" t="s">
        <v>4197</v>
      </c>
      <c r="D6607" s="3563" t="s">
        <v>10228</v>
      </c>
      <c r="E6607" s="3563" t="s">
        <v>4699</v>
      </c>
      <c r="F6607" s="3563" t="s">
        <v>4797</v>
      </c>
      <c r="G6607" s="3564">
        <v>87.38</v>
      </c>
      <c r="H6607" s="3564">
        <v>71</v>
      </c>
      <c r="I6607" s="3564">
        <v>16.38</v>
      </c>
      <c r="J6607" s="3565">
        <v>897552</v>
      </c>
      <c r="K6607" s="3565">
        <v>10271.82</v>
      </c>
      <c r="L6607" s="3565">
        <v>12641.58</v>
      </c>
      <c r="M6607" s="3565">
        <v>0</v>
      </c>
      <c r="N6607" s="3565">
        <v>0</v>
      </c>
      <c r="O6607" s="3563" t="s">
        <v>3453</v>
      </c>
    </row>
    <row r="6608" spans="1:15">
      <c r="A6608" s="3563" t="s">
        <v>10856</v>
      </c>
      <c r="B6608" s="3563" t="s">
        <v>4196</v>
      </c>
      <c r="C6608" s="3563" t="s">
        <v>4197</v>
      </c>
      <c r="D6608" s="3563" t="s">
        <v>10228</v>
      </c>
      <c r="E6608" s="3563" t="s">
        <v>4699</v>
      </c>
      <c r="F6608" s="3563" t="s">
        <v>4797</v>
      </c>
      <c r="G6608" s="3564">
        <v>100.93</v>
      </c>
      <c r="H6608" s="3564">
        <v>82.01</v>
      </c>
      <c r="I6608" s="3564">
        <v>18.920000000000002</v>
      </c>
      <c r="J6608" s="3565">
        <v>1036735</v>
      </c>
      <c r="K6608" s="3565">
        <v>10271.82</v>
      </c>
      <c r="L6608" s="3565">
        <v>12641.57</v>
      </c>
      <c r="M6608" s="3565">
        <v>0</v>
      </c>
      <c r="N6608" s="3565">
        <v>0</v>
      </c>
      <c r="O6608" s="3563" t="s">
        <v>3453</v>
      </c>
    </row>
    <row r="6609" spans="1:15">
      <c r="A6609" s="3563" t="s">
        <v>10857</v>
      </c>
      <c r="B6609" s="3563" t="s">
        <v>4196</v>
      </c>
      <c r="C6609" s="3563" t="s">
        <v>4197</v>
      </c>
      <c r="D6609" s="3563" t="s">
        <v>10228</v>
      </c>
      <c r="E6609" s="3563" t="s">
        <v>4699</v>
      </c>
      <c r="F6609" s="3563" t="s">
        <v>4797</v>
      </c>
      <c r="G6609" s="3564">
        <v>100.6</v>
      </c>
      <c r="H6609" s="3564">
        <v>81.739999999999995</v>
      </c>
      <c r="I6609" s="3564">
        <v>18.86</v>
      </c>
      <c r="J6609" s="3565">
        <v>1033344</v>
      </c>
      <c r="K6609" s="3565">
        <v>10271.81</v>
      </c>
      <c r="L6609" s="3565">
        <v>12641.84</v>
      </c>
      <c r="M6609" s="3565">
        <v>0</v>
      </c>
      <c r="N6609" s="3565">
        <v>0</v>
      </c>
      <c r="O6609" s="3563" t="s">
        <v>3453</v>
      </c>
    </row>
    <row r="6610" spans="1:15">
      <c r="A6610" s="3563" t="s">
        <v>10858</v>
      </c>
      <c r="B6610" s="3563" t="s">
        <v>4196</v>
      </c>
      <c r="C6610" s="3563" t="s">
        <v>4197</v>
      </c>
      <c r="D6610" s="3563" t="s">
        <v>10228</v>
      </c>
      <c r="E6610" s="3563" t="s">
        <v>4699</v>
      </c>
      <c r="F6610" s="3563" t="s">
        <v>4797</v>
      </c>
      <c r="G6610" s="3564">
        <v>100.6</v>
      </c>
      <c r="H6610" s="3564">
        <v>81.739999999999995</v>
      </c>
      <c r="I6610" s="3564">
        <v>18.86</v>
      </c>
      <c r="J6610" s="3565">
        <v>1033344</v>
      </c>
      <c r="K6610" s="3565">
        <v>10271.81</v>
      </c>
      <c r="L6610" s="3565">
        <v>12641.84</v>
      </c>
      <c r="M6610" s="3565">
        <v>0</v>
      </c>
      <c r="N6610" s="3565">
        <v>0</v>
      </c>
      <c r="O6610" s="3563" t="s">
        <v>3453</v>
      </c>
    </row>
    <row r="6611" spans="1:15">
      <c r="A6611" s="3563" t="s">
        <v>10859</v>
      </c>
      <c r="B6611" s="3563" t="s">
        <v>4196</v>
      </c>
      <c r="C6611" s="3563" t="s">
        <v>4197</v>
      </c>
      <c r="D6611" s="3563" t="s">
        <v>10228</v>
      </c>
      <c r="E6611" s="3563" t="s">
        <v>4699</v>
      </c>
      <c r="F6611" s="3563" t="s">
        <v>4797</v>
      </c>
      <c r="G6611" s="3564">
        <v>123.11</v>
      </c>
      <c r="H6611" s="3564">
        <v>100.03</v>
      </c>
      <c r="I6611" s="3564">
        <v>23.08</v>
      </c>
      <c r="J6611" s="3565">
        <v>1264563</v>
      </c>
      <c r="K6611" s="3565">
        <v>10271.81</v>
      </c>
      <c r="L6611" s="3565">
        <v>12641.84</v>
      </c>
      <c r="M6611" s="3565">
        <v>0</v>
      </c>
      <c r="N6611" s="3565">
        <v>0</v>
      </c>
      <c r="O6611" s="3563" t="s">
        <v>3453</v>
      </c>
    </row>
    <row r="6612" spans="1:15">
      <c r="A6612" s="3563" t="s">
        <v>10860</v>
      </c>
      <c r="B6612" s="3563" t="s">
        <v>4196</v>
      </c>
      <c r="C6612" s="3563" t="s">
        <v>4197</v>
      </c>
      <c r="D6612" s="3563" t="s">
        <v>10228</v>
      </c>
      <c r="E6612" s="3563" t="s">
        <v>4699</v>
      </c>
      <c r="F6612" s="3563" t="s">
        <v>4797</v>
      </c>
      <c r="G6612" s="3564">
        <v>87.38</v>
      </c>
      <c r="H6612" s="3564">
        <v>71</v>
      </c>
      <c r="I6612" s="3564">
        <v>16.38</v>
      </c>
      <c r="J6612" s="3565">
        <v>897552</v>
      </c>
      <c r="K6612" s="3565">
        <v>10271.82</v>
      </c>
      <c r="L6612" s="3565">
        <v>12641.58</v>
      </c>
      <c r="M6612" s="3565">
        <v>0</v>
      </c>
      <c r="N6612" s="3565">
        <v>0</v>
      </c>
      <c r="O6612" s="3563" t="s">
        <v>3453</v>
      </c>
    </row>
    <row r="6613" spans="1:15">
      <c r="A6613" s="3563" t="s">
        <v>10861</v>
      </c>
      <c r="B6613" s="3563" t="s">
        <v>4196</v>
      </c>
      <c r="C6613" s="3563" t="s">
        <v>4197</v>
      </c>
      <c r="D6613" s="3563" t="s">
        <v>10228</v>
      </c>
      <c r="E6613" s="3563" t="s">
        <v>4699</v>
      </c>
      <c r="F6613" s="3563" t="s">
        <v>4797</v>
      </c>
      <c r="G6613" s="3564">
        <v>87.38</v>
      </c>
      <c r="H6613" s="3564">
        <v>71</v>
      </c>
      <c r="I6613" s="3564">
        <v>16.38</v>
      </c>
      <c r="J6613" s="3565">
        <v>897552</v>
      </c>
      <c r="K6613" s="3565">
        <v>10271.82</v>
      </c>
      <c r="L6613" s="3565">
        <v>12641.58</v>
      </c>
      <c r="M6613" s="3565">
        <v>0</v>
      </c>
      <c r="N6613" s="3565">
        <v>0</v>
      </c>
      <c r="O6613" s="3563" t="s">
        <v>3453</v>
      </c>
    </row>
    <row r="6614" spans="1:15">
      <c r="A6614" s="3563" t="s">
        <v>10862</v>
      </c>
      <c r="B6614" s="3563" t="s">
        <v>4196</v>
      </c>
      <c r="C6614" s="3563" t="s">
        <v>4197</v>
      </c>
      <c r="D6614" s="3563" t="s">
        <v>10228</v>
      </c>
      <c r="E6614" s="3563" t="s">
        <v>4699</v>
      </c>
      <c r="F6614" s="3563" t="s">
        <v>4797</v>
      </c>
      <c r="G6614" s="3564">
        <v>100.93</v>
      </c>
      <c r="H6614" s="3564">
        <v>82.01</v>
      </c>
      <c r="I6614" s="3564">
        <v>18.920000000000002</v>
      </c>
      <c r="J6614" s="3565">
        <v>1036735</v>
      </c>
      <c r="K6614" s="3565">
        <v>10271.82</v>
      </c>
      <c r="L6614" s="3565">
        <v>12641.57</v>
      </c>
      <c r="M6614" s="3565">
        <v>0</v>
      </c>
      <c r="N6614" s="3565">
        <v>0</v>
      </c>
      <c r="O6614" s="3563" t="s">
        <v>3453</v>
      </c>
    </row>
    <row r="6615" spans="1:15">
      <c r="A6615" s="3563" t="s">
        <v>10863</v>
      </c>
      <c r="B6615" s="3563" t="s">
        <v>4196</v>
      </c>
      <c r="C6615" s="3563" t="s">
        <v>4197</v>
      </c>
      <c r="D6615" s="3563" t="s">
        <v>10228</v>
      </c>
      <c r="E6615" s="3563" t="s">
        <v>4699</v>
      </c>
      <c r="F6615" s="3563" t="s">
        <v>4797</v>
      </c>
      <c r="G6615" s="3564">
        <v>100.6</v>
      </c>
      <c r="H6615" s="3564">
        <v>81.739999999999995</v>
      </c>
      <c r="I6615" s="3564">
        <v>18.86</v>
      </c>
      <c r="J6615" s="3565">
        <v>1034414</v>
      </c>
      <c r="K6615" s="3565">
        <v>10282.450000000001</v>
      </c>
      <c r="L6615" s="3565">
        <v>12654.93</v>
      </c>
      <c r="M6615" s="3565">
        <v>0</v>
      </c>
      <c r="N6615" s="3565">
        <v>0</v>
      </c>
      <c r="O6615" s="3563" t="s">
        <v>3453</v>
      </c>
    </row>
    <row r="6616" spans="1:15">
      <c r="A6616" s="3563" t="s">
        <v>10864</v>
      </c>
      <c r="B6616" s="3563" t="s">
        <v>4196</v>
      </c>
      <c r="C6616" s="3563" t="s">
        <v>4197</v>
      </c>
      <c r="D6616" s="3563" t="s">
        <v>10228</v>
      </c>
      <c r="E6616" s="3563" t="s">
        <v>4699</v>
      </c>
      <c r="F6616" s="3563" t="s">
        <v>4797</v>
      </c>
      <c r="G6616" s="3564">
        <v>100.6</v>
      </c>
      <c r="H6616" s="3564">
        <v>81.739999999999995</v>
      </c>
      <c r="I6616" s="3564">
        <v>18.86</v>
      </c>
      <c r="J6616" s="3565">
        <v>1034414</v>
      </c>
      <c r="K6616" s="3565">
        <v>10282.450000000001</v>
      </c>
      <c r="L6616" s="3565">
        <v>12654.93</v>
      </c>
      <c r="M6616" s="3565">
        <v>0</v>
      </c>
      <c r="N6616" s="3565">
        <v>0</v>
      </c>
      <c r="O6616" s="3563" t="s">
        <v>3453</v>
      </c>
    </row>
    <row r="6617" spans="1:15">
      <c r="A6617" s="3563" t="s">
        <v>10865</v>
      </c>
      <c r="B6617" s="3563" t="s">
        <v>4196</v>
      </c>
      <c r="C6617" s="3563" t="s">
        <v>4197</v>
      </c>
      <c r="D6617" s="3563" t="s">
        <v>10228</v>
      </c>
      <c r="E6617" s="3563" t="s">
        <v>4699</v>
      </c>
      <c r="F6617" s="3563" t="s">
        <v>4797</v>
      </c>
      <c r="G6617" s="3564">
        <v>123.11</v>
      </c>
      <c r="H6617" s="3564">
        <v>100.03</v>
      </c>
      <c r="I6617" s="3564">
        <v>23.08</v>
      </c>
      <c r="J6617" s="3565">
        <v>1345763</v>
      </c>
      <c r="K6617" s="3565">
        <v>10931.39</v>
      </c>
      <c r="L6617" s="3565">
        <v>13453.59</v>
      </c>
      <c r="M6617" s="3565">
        <v>0</v>
      </c>
      <c r="N6617" s="3565">
        <v>0</v>
      </c>
      <c r="O6617" s="3563" t="s">
        <v>3453</v>
      </c>
    </row>
    <row r="6618" spans="1:15">
      <c r="A6618" s="3563" t="s">
        <v>10866</v>
      </c>
      <c r="B6618" s="3563" t="s">
        <v>4196</v>
      </c>
      <c r="C6618" s="3563" t="s">
        <v>4197</v>
      </c>
      <c r="D6618" s="3563" t="s">
        <v>10228</v>
      </c>
      <c r="E6618" s="3563" t="s">
        <v>4699</v>
      </c>
      <c r="F6618" s="3563" t="s">
        <v>4797</v>
      </c>
      <c r="G6618" s="3564">
        <v>87.38</v>
      </c>
      <c r="H6618" s="3564">
        <v>71</v>
      </c>
      <c r="I6618" s="3564">
        <v>16.38</v>
      </c>
      <c r="J6618" s="3565">
        <v>904058</v>
      </c>
      <c r="K6618" s="3565">
        <v>10346.280000000001</v>
      </c>
      <c r="L6618" s="3565">
        <v>12733.21</v>
      </c>
      <c r="M6618" s="3565">
        <v>0</v>
      </c>
      <c r="N6618" s="3565">
        <v>0</v>
      </c>
      <c r="O6618" s="3563" t="s">
        <v>3453</v>
      </c>
    </row>
    <row r="6619" spans="1:15">
      <c r="A6619" s="3563" t="s">
        <v>10867</v>
      </c>
      <c r="B6619" s="3563" t="s">
        <v>4196</v>
      </c>
      <c r="C6619" s="3563" t="s">
        <v>4197</v>
      </c>
      <c r="D6619" s="3563" t="s">
        <v>10228</v>
      </c>
      <c r="E6619" s="3563" t="s">
        <v>4699</v>
      </c>
      <c r="F6619" s="3563" t="s">
        <v>4797</v>
      </c>
      <c r="G6619" s="3564">
        <v>87.38</v>
      </c>
      <c r="H6619" s="3564">
        <v>71</v>
      </c>
      <c r="I6619" s="3564">
        <v>16.38</v>
      </c>
      <c r="J6619" s="3565">
        <v>904058</v>
      </c>
      <c r="K6619" s="3565">
        <v>10346.280000000001</v>
      </c>
      <c r="L6619" s="3565">
        <v>12733.21</v>
      </c>
      <c r="M6619" s="3565">
        <v>0</v>
      </c>
      <c r="N6619" s="3565">
        <v>0</v>
      </c>
      <c r="O6619" s="3563" t="s">
        <v>3453</v>
      </c>
    </row>
    <row r="6620" spans="1:15">
      <c r="A6620" s="3563" t="s">
        <v>10868</v>
      </c>
      <c r="B6620" s="3563" t="s">
        <v>4196</v>
      </c>
      <c r="C6620" s="3563" t="s">
        <v>4197</v>
      </c>
      <c r="D6620" s="3563" t="s">
        <v>10228</v>
      </c>
      <c r="E6620" s="3563" t="s">
        <v>4699</v>
      </c>
      <c r="F6620" s="3563" t="s">
        <v>4797</v>
      </c>
      <c r="G6620" s="3564">
        <v>100.93</v>
      </c>
      <c r="H6620" s="3564">
        <v>82.01</v>
      </c>
      <c r="I6620" s="3564">
        <v>18.920000000000002</v>
      </c>
      <c r="J6620" s="3565">
        <v>1036735</v>
      </c>
      <c r="K6620" s="3565">
        <v>10271.82</v>
      </c>
      <c r="L6620" s="3565">
        <v>12641.57</v>
      </c>
      <c r="M6620" s="3565">
        <v>0</v>
      </c>
      <c r="N6620" s="3565">
        <v>0</v>
      </c>
      <c r="O6620" s="3563" t="s">
        <v>3453</v>
      </c>
    </row>
    <row r="6621" spans="1:15">
      <c r="A6621" s="3563" t="s">
        <v>10869</v>
      </c>
      <c r="B6621" s="3563" t="s">
        <v>4196</v>
      </c>
      <c r="C6621" s="3563" t="s">
        <v>4197</v>
      </c>
      <c r="D6621" s="3563" t="s">
        <v>10228</v>
      </c>
      <c r="E6621" s="3563" t="s">
        <v>4699</v>
      </c>
      <c r="F6621" s="3563" t="s">
        <v>4797</v>
      </c>
      <c r="G6621" s="3564">
        <v>100.6</v>
      </c>
      <c r="H6621" s="3564">
        <v>81.739999999999995</v>
      </c>
      <c r="I6621" s="3564">
        <v>18.86</v>
      </c>
      <c r="J6621" s="3565">
        <v>1121102</v>
      </c>
      <c r="K6621" s="3565">
        <v>11144.16</v>
      </c>
      <c r="L6621" s="3565">
        <v>13715.46</v>
      </c>
      <c r="M6621" s="3565">
        <v>0</v>
      </c>
      <c r="N6621" s="3565">
        <v>0</v>
      </c>
      <c r="O6621" s="3563" t="s">
        <v>3453</v>
      </c>
    </row>
    <row r="6622" spans="1:15">
      <c r="A6622" s="3563" t="s">
        <v>10870</v>
      </c>
      <c r="B6622" s="3563" t="s">
        <v>4196</v>
      </c>
      <c r="C6622" s="3563" t="s">
        <v>4197</v>
      </c>
      <c r="D6622" s="3563" t="s">
        <v>10228</v>
      </c>
      <c r="E6622" s="3563" t="s">
        <v>4699</v>
      </c>
      <c r="F6622" s="3563" t="s">
        <v>4797</v>
      </c>
      <c r="G6622" s="3564">
        <v>100.6</v>
      </c>
      <c r="H6622" s="3564">
        <v>81.739999999999995</v>
      </c>
      <c r="I6622" s="3564">
        <v>18.86</v>
      </c>
      <c r="J6622" s="3565">
        <v>1121102</v>
      </c>
      <c r="K6622" s="3565">
        <v>11144.16</v>
      </c>
      <c r="L6622" s="3565">
        <v>13715.46</v>
      </c>
      <c r="M6622" s="3565">
        <v>0</v>
      </c>
      <c r="N6622" s="3565">
        <v>0</v>
      </c>
      <c r="O6622" s="3563" t="s">
        <v>3453</v>
      </c>
    </row>
    <row r="6623" spans="1:15">
      <c r="A6623" s="3563" t="s">
        <v>10871</v>
      </c>
      <c r="B6623" s="3563" t="s">
        <v>4196</v>
      </c>
      <c r="C6623" s="3563" t="s">
        <v>4197</v>
      </c>
      <c r="D6623" s="3563" t="s">
        <v>10228</v>
      </c>
      <c r="E6623" s="3563" t="s">
        <v>4699</v>
      </c>
      <c r="F6623" s="3563" t="s">
        <v>4797</v>
      </c>
      <c r="G6623" s="3564">
        <v>123.11</v>
      </c>
      <c r="H6623" s="3564">
        <v>100.03</v>
      </c>
      <c r="I6623" s="3564">
        <v>23.08</v>
      </c>
      <c r="J6623" s="3565">
        <v>1347073</v>
      </c>
      <c r="K6623" s="3565">
        <v>10942.03</v>
      </c>
      <c r="L6623" s="3565">
        <v>13466.69</v>
      </c>
      <c r="M6623" s="3565">
        <v>0</v>
      </c>
      <c r="N6623" s="3565">
        <v>0</v>
      </c>
      <c r="O6623" s="3563" t="s">
        <v>3453</v>
      </c>
    </row>
    <row r="6624" spans="1:15">
      <c r="A6624" s="3563" t="s">
        <v>10872</v>
      </c>
      <c r="B6624" s="3563" t="s">
        <v>4196</v>
      </c>
      <c r="C6624" s="3563" t="s">
        <v>4197</v>
      </c>
      <c r="D6624" s="3563" t="s">
        <v>10228</v>
      </c>
      <c r="E6624" s="3563" t="s">
        <v>4699</v>
      </c>
      <c r="F6624" s="3563" t="s">
        <v>4797</v>
      </c>
      <c r="G6624" s="3564">
        <v>87.38</v>
      </c>
      <c r="H6624" s="3564">
        <v>71</v>
      </c>
      <c r="I6624" s="3564">
        <v>16.38</v>
      </c>
      <c r="J6624" s="3565">
        <v>904988</v>
      </c>
      <c r="K6624" s="3565">
        <v>10356.92</v>
      </c>
      <c r="L6624" s="3565">
        <v>12746.31</v>
      </c>
      <c r="M6624" s="3565">
        <v>0</v>
      </c>
      <c r="N6624" s="3565">
        <v>0</v>
      </c>
      <c r="O6624" s="3563" t="s">
        <v>3453</v>
      </c>
    </row>
    <row r="6625" spans="1:15">
      <c r="A6625" s="3563" t="s">
        <v>10873</v>
      </c>
      <c r="B6625" s="3563" t="s">
        <v>4196</v>
      </c>
      <c r="C6625" s="3563" t="s">
        <v>4197</v>
      </c>
      <c r="D6625" s="3563" t="s">
        <v>10228</v>
      </c>
      <c r="E6625" s="3563" t="s">
        <v>4699</v>
      </c>
      <c r="F6625" s="3563" t="s">
        <v>4797</v>
      </c>
      <c r="G6625" s="3564">
        <v>87.38</v>
      </c>
      <c r="H6625" s="3564">
        <v>71</v>
      </c>
      <c r="I6625" s="3564">
        <v>16.38</v>
      </c>
      <c r="J6625" s="3565">
        <v>904988</v>
      </c>
      <c r="K6625" s="3565">
        <v>10356.92</v>
      </c>
      <c r="L6625" s="3565">
        <v>12746.31</v>
      </c>
      <c r="M6625" s="3565">
        <v>0</v>
      </c>
      <c r="N6625" s="3565">
        <v>0</v>
      </c>
      <c r="O6625" s="3563" t="s">
        <v>3453</v>
      </c>
    </row>
    <row r="6626" spans="1:15">
      <c r="A6626" s="3563" t="s">
        <v>10874</v>
      </c>
      <c r="B6626" s="3563" t="s">
        <v>4196</v>
      </c>
      <c r="C6626" s="3563" t="s">
        <v>4197</v>
      </c>
      <c r="D6626" s="3563" t="s">
        <v>10228</v>
      </c>
      <c r="E6626" s="3563" t="s">
        <v>4699</v>
      </c>
      <c r="F6626" s="3563" t="s">
        <v>4797</v>
      </c>
      <c r="G6626" s="3564">
        <v>100.93</v>
      </c>
      <c r="H6626" s="3564">
        <v>82.01</v>
      </c>
      <c r="I6626" s="3564">
        <v>18.920000000000002</v>
      </c>
      <c r="J6626" s="3565">
        <v>1036735</v>
      </c>
      <c r="K6626" s="3565">
        <v>10271.82</v>
      </c>
      <c r="L6626" s="3565">
        <v>12641.57</v>
      </c>
      <c r="M6626" s="3565">
        <v>0</v>
      </c>
      <c r="N6626" s="3565">
        <v>0</v>
      </c>
      <c r="O6626" s="3563" t="s">
        <v>3453</v>
      </c>
    </row>
    <row r="6627" spans="1:15">
      <c r="A6627" s="3563" t="s">
        <v>10875</v>
      </c>
      <c r="B6627" s="3563" t="s">
        <v>4196</v>
      </c>
      <c r="C6627" s="3563" t="s">
        <v>4197</v>
      </c>
      <c r="D6627" s="3563" t="s">
        <v>10228</v>
      </c>
      <c r="E6627" s="3563" t="s">
        <v>4699</v>
      </c>
      <c r="F6627" s="3563" t="s">
        <v>4797</v>
      </c>
      <c r="G6627" s="3564">
        <v>100.6</v>
      </c>
      <c r="H6627" s="3564">
        <v>81.739999999999995</v>
      </c>
      <c r="I6627" s="3564">
        <v>18.86</v>
      </c>
      <c r="J6627" s="3565">
        <v>1122172</v>
      </c>
      <c r="K6627" s="3565">
        <v>11154.79</v>
      </c>
      <c r="L6627" s="3565">
        <v>13728.55</v>
      </c>
      <c r="M6627" s="3565">
        <v>0</v>
      </c>
      <c r="N6627" s="3565">
        <v>0</v>
      </c>
      <c r="O6627" s="3563" t="s">
        <v>3453</v>
      </c>
    </row>
    <row r="6628" spans="1:15">
      <c r="A6628" s="3563" t="s">
        <v>10876</v>
      </c>
      <c r="B6628" s="3563" t="s">
        <v>4196</v>
      </c>
      <c r="C6628" s="3563" t="s">
        <v>4197</v>
      </c>
      <c r="D6628" s="3563" t="s">
        <v>10228</v>
      </c>
      <c r="E6628" s="3563" t="s">
        <v>4699</v>
      </c>
      <c r="F6628" s="3563" t="s">
        <v>4797</v>
      </c>
      <c r="G6628" s="3564">
        <v>100.6</v>
      </c>
      <c r="H6628" s="3564">
        <v>81.739999999999995</v>
      </c>
      <c r="I6628" s="3564">
        <v>18.86</v>
      </c>
      <c r="J6628" s="3565">
        <v>1122172</v>
      </c>
      <c r="K6628" s="3565">
        <v>11154.79</v>
      </c>
      <c r="L6628" s="3565">
        <v>13728.55</v>
      </c>
      <c r="M6628" s="3565">
        <v>0</v>
      </c>
      <c r="N6628" s="3565">
        <v>0</v>
      </c>
      <c r="O6628" s="3563" t="s">
        <v>3453</v>
      </c>
    </row>
    <row r="6629" spans="1:15">
      <c r="A6629" s="3563" t="s">
        <v>10877</v>
      </c>
      <c r="B6629" s="3563" t="s">
        <v>4196</v>
      </c>
      <c r="C6629" s="3563" t="s">
        <v>4197</v>
      </c>
      <c r="D6629" s="3563" t="s">
        <v>10228</v>
      </c>
      <c r="E6629" s="3563" t="s">
        <v>4699</v>
      </c>
      <c r="F6629" s="3563" t="s">
        <v>4797</v>
      </c>
      <c r="G6629" s="3564">
        <v>123.11</v>
      </c>
      <c r="H6629" s="3564">
        <v>100.03</v>
      </c>
      <c r="I6629" s="3564">
        <v>23.08</v>
      </c>
      <c r="J6629" s="3565">
        <v>1348382</v>
      </c>
      <c r="K6629" s="3565">
        <v>10952.66</v>
      </c>
      <c r="L6629" s="3565">
        <v>13479.78</v>
      </c>
      <c r="M6629" s="3565">
        <v>0</v>
      </c>
      <c r="N6629" s="3565">
        <v>0</v>
      </c>
      <c r="O6629" s="3563" t="s">
        <v>3453</v>
      </c>
    </row>
    <row r="6630" spans="1:15">
      <c r="A6630" s="3563" t="s">
        <v>10878</v>
      </c>
      <c r="B6630" s="3563" t="s">
        <v>4196</v>
      </c>
      <c r="C6630" s="3563" t="s">
        <v>4197</v>
      </c>
      <c r="D6630" s="3563" t="s">
        <v>10228</v>
      </c>
      <c r="E6630" s="3563" t="s">
        <v>4699</v>
      </c>
      <c r="F6630" s="3563" t="s">
        <v>4797</v>
      </c>
      <c r="G6630" s="3564">
        <v>87.38</v>
      </c>
      <c r="H6630" s="3564">
        <v>71</v>
      </c>
      <c r="I6630" s="3564">
        <v>16.38</v>
      </c>
      <c r="J6630" s="3565">
        <v>905918</v>
      </c>
      <c r="K6630" s="3565">
        <v>10367.57</v>
      </c>
      <c r="L6630" s="3565">
        <v>12759.41</v>
      </c>
      <c r="M6630" s="3565">
        <v>0</v>
      </c>
      <c r="N6630" s="3565">
        <v>0</v>
      </c>
      <c r="O6630" s="3563" t="s">
        <v>3453</v>
      </c>
    </row>
    <row r="6631" spans="1:15">
      <c r="A6631" s="3563" t="s">
        <v>10879</v>
      </c>
      <c r="B6631" s="3563" t="s">
        <v>4196</v>
      </c>
      <c r="C6631" s="3563" t="s">
        <v>4197</v>
      </c>
      <c r="D6631" s="3563" t="s">
        <v>10228</v>
      </c>
      <c r="E6631" s="3563" t="s">
        <v>4699</v>
      </c>
      <c r="F6631" s="3563" t="s">
        <v>4797</v>
      </c>
      <c r="G6631" s="3564">
        <v>87.38</v>
      </c>
      <c r="H6631" s="3564">
        <v>71</v>
      </c>
      <c r="I6631" s="3564">
        <v>16.38</v>
      </c>
      <c r="J6631" s="3565">
        <v>905918</v>
      </c>
      <c r="K6631" s="3565">
        <v>10367.57</v>
      </c>
      <c r="L6631" s="3565">
        <v>12759.41</v>
      </c>
      <c r="M6631" s="3565">
        <v>0</v>
      </c>
      <c r="N6631" s="3565">
        <v>0</v>
      </c>
      <c r="O6631" s="3563" t="s">
        <v>3453</v>
      </c>
    </row>
    <row r="6632" spans="1:15">
      <c r="A6632" s="3563" t="s">
        <v>10880</v>
      </c>
      <c r="B6632" s="3563" t="s">
        <v>4196</v>
      </c>
      <c r="C6632" s="3563" t="s">
        <v>4197</v>
      </c>
      <c r="D6632" s="3563" t="s">
        <v>10228</v>
      </c>
      <c r="E6632" s="3563" t="s">
        <v>4699</v>
      </c>
      <c r="F6632" s="3563" t="s">
        <v>4797</v>
      </c>
      <c r="G6632" s="3564">
        <v>100.93</v>
      </c>
      <c r="H6632" s="3564">
        <v>82.01</v>
      </c>
      <c r="I6632" s="3564">
        <v>18.920000000000002</v>
      </c>
      <c r="J6632" s="3565">
        <v>1036735</v>
      </c>
      <c r="K6632" s="3565">
        <v>10271.82</v>
      </c>
      <c r="L6632" s="3565">
        <v>12641.57</v>
      </c>
      <c r="M6632" s="3565">
        <v>0</v>
      </c>
      <c r="N6632" s="3565">
        <v>0</v>
      </c>
      <c r="O6632" s="3563" t="s">
        <v>3453</v>
      </c>
    </row>
    <row r="6633" spans="1:15">
      <c r="A6633" s="3563" t="s">
        <v>10881</v>
      </c>
      <c r="B6633" s="3563" t="s">
        <v>4196</v>
      </c>
      <c r="C6633" s="3563" t="s">
        <v>4197</v>
      </c>
      <c r="D6633" s="3563" t="s">
        <v>10228</v>
      </c>
      <c r="E6633" s="3563" t="s">
        <v>4699</v>
      </c>
      <c r="F6633" s="3563" t="s">
        <v>4797</v>
      </c>
      <c r="G6633" s="3564">
        <v>100.6</v>
      </c>
      <c r="H6633" s="3564">
        <v>81.739999999999995</v>
      </c>
      <c r="I6633" s="3564">
        <v>18.86</v>
      </c>
      <c r="J6633" s="3565">
        <v>1123242</v>
      </c>
      <c r="K6633" s="3565">
        <v>11165.43</v>
      </c>
      <c r="L6633" s="3565">
        <v>13741.64</v>
      </c>
      <c r="M6633" s="3565">
        <v>0</v>
      </c>
      <c r="N6633" s="3565">
        <v>0</v>
      </c>
      <c r="O6633" s="3563" t="s">
        <v>3453</v>
      </c>
    </row>
    <row r="6634" spans="1:15">
      <c r="A6634" s="3563" t="s">
        <v>10882</v>
      </c>
      <c r="B6634" s="3563" t="s">
        <v>4196</v>
      </c>
      <c r="C6634" s="3563" t="s">
        <v>4197</v>
      </c>
      <c r="D6634" s="3563" t="s">
        <v>10228</v>
      </c>
      <c r="E6634" s="3563" t="s">
        <v>4699</v>
      </c>
      <c r="F6634" s="3563" t="s">
        <v>4797</v>
      </c>
      <c r="G6634" s="3564">
        <v>100.6</v>
      </c>
      <c r="H6634" s="3564">
        <v>81.739999999999995</v>
      </c>
      <c r="I6634" s="3564">
        <v>18.86</v>
      </c>
      <c r="J6634" s="3565">
        <v>1123242</v>
      </c>
      <c r="K6634" s="3565">
        <v>11165.43</v>
      </c>
      <c r="L6634" s="3565">
        <v>13741.64</v>
      </c>
      <c r="M6634" s="3565">
        <v>0</v>
      </c>
      <c r="N6634" s="3565">
        <v>0</v>
      </c>
      <c r="O6634" s="3563" t="s">
        <v>3453</v>
      </c>
    </row>
    <row r="6635" spans="1:15">
      <c r="A6635" s="3563" t="s">
        <v>10883</v>
      </c>
      <c r="B6635" s="3563" t="s">
        <v>4196</v>
      </c>
      <c r="C6635" s="3563" t="s">
        <v>4197</v>
      </c>
      <c r="D6635" s="3563" t="s">
        <v>10228</v>
      </c>
      <c r="E6635" s="3563" t="s">
        <v>4520</v>
      </c>
      <c r="F6635" s="3563" t="s">
        <v>4949</v>
      </c>
      <c r="G6635" s="3564">
        <v>141.97999999999999</v>
      </c>
      <c r="H6635" s="3564">
        <v>119.17</v>
      </c>
      <c r="I6635" s="3564">
        <v>22.81</v>
      </c>
      <c r="J6635" s="3565">
        <v>1825018</v>
      </c>
      <c r="K6635" s="3565">
        <v>12854.05</v>
      </c>
      <c r="L6635" s="3565">
        <v>15314.41</v>
      </c>
      <c r="M6635" s="3565">
        <v>0</v>
      </c>
      <c r="N6635" s="3565">
        <v>0</v>
      </c>
      <c r="O6635" s="3563" t="s">
        <v>3453</v>
      </c>
    </row>
    <row r="6636" spans="1:15">
      <c r="A6636" s="3563" t="s">
        <v>10884</v>
      </c>
      <c r="B6636" s="3563" t="s">
        <v>4196</v>
      </c>
      <c r="C6636" s="3563" t="s">
        <v>4197</v>
      </c>
      <c r="D6636" s="3563" t="s">
        <v>10228</v>
      </c>
      <c r="E6636" s="3563" t="s">
        <v>4520</v>
      </c>
      <c r="F6636" s="3563" t="s">
        <v>4949</v>
      </c>
      <c r="G6636" s="3564">
        <v>141.97999999999999</v>
      </c>
      <c r="H6636" s="3564">
        <v>119.17</v>
      </c>
      <c r="I6636" s="3564">
        <v>22.81</v>
      </c>
      <c r="J6636" s="3565">
        <v>2005220</v>
      </c>
      <c r="K6636" s="3565">
        <v>14123.26</v>
      </c>
      <c r="L6636" s="3565">
        <v>16826.55</v>
      </c>
      <c r="M6636" s="3565">
        <v>0</v>
      </c>
      <c r="N6636" s="3565">
        <v>0</v>
      </c>
      <c r="O6636" s="3563" t="s">
        <v>3453</v>
      </c>
    </row>
    <row r="6637" spans="1:15">
      <c r="A6637" s="3563" t="s">
        <v>10885</v>
      </c>
      <c r="B6637" s="3563" t="s">
        <v>4196</v>
      </c>
      <c r="C6637" s="3563" t="s">
        <v>4197</v>
      </c>
      <c r="D6637" s="3563" t="s">
        <v>10228</v>
      </c>
      <c r="E6637" s="3563" t="s">
        <v>4520</v>
      </c>
      <c r="F6637" s="3563" t="s">
        <v>4949</v>
      </c>
      <c r="G6637" s="3564">
        <v>111.88</v>
      </c>
      <c r="H6637" s="3564">
        <v>91.75</v>
      </c>
      <c r="I6637" s="3564">
        <v>20.13</v>
      </c>
      <c r="J6637" s="3565">
        <v>1570298</v>
      </c>
      <c r="K6637" s="3565">
        <v>14035.56</v>
      </c>
      <c r="L6637" s="3565">
        <v>17114.96</v>
      </c>
      <c r="M6637" s="3565">
        <v>0</v>
      </c>
      <c r="N6637" s="3565">
        <v>0</v>
      </c>
      <c r="O6637" s="3563" t="s">
        <v>3453</v>
      </c>
    </row>
    <row r="6638" spans="1:15">
      <c r="A6638" s="3563" t="s">
        <v>10886</v>
      </c>
      <c r="B6638" s="3563" t="s">
        <v>4196</v>
      </c>
      <c r="C6638" s="3563" t="s">
        <v>4197</v>
      </c>
      <c r="D6638" s="3563" t="s">
        <v>10228</v>
      </c>
      <c r="E6638" s="3563" t="s">
        <v>4520</v>
      </c>
      <c r="F6638" s="3563" t="s">
        <v>4949</v>
      </c>
      <c r="G6638" s="3564">
        <v>111.88</v>
      </c>
      <c r="H6638" s="3564">
        <v>91.75</v>
      </c>
      <c r="I6638" s="3564">
        <v>20.13</v>
      </c>
      <c r="J6638" s="3565">
        <v>1629809</v>
      </c>
      <c r="K6638" s="3565">
        <v>14567.47</v>
      </c>
      <c r="L6638" s="3565">
        <v>17763.59</v>
      </c>
      <c r="M6638" s="3565">
        <v>0</v>
      </c>
      <c r="N6638" s="3565">
        <v>0</v>
      </c>
      <c r="O6638" s="3563" t="s">
        <v>3453</v>
      </c>
    </row>
    <row r="6639" spans="1:15">
      <c r="A6639" s="3563" t="s">
        <v>10887</v>
      </c>
      <c r="B6639" s="3563" t="s">
        <v>4196</v>
      </c>
      <c r="C6639" s="3563" t="s">
        <v>4197</v>
      </c>
      <c r="D6639" s="3563" t="s">
        <v>10228</v>
      </c>
      <c r="E6639" s="3563" t="s">
        <v>4520</v>
      </c>
      <c r="F6639" s="3563" t="s">
        <v>4949</v>
      </c>
      <c r="G6639" s="3564">
        <v>141.97999999999999</v>
      </c>
      <c r="H6639" s="3564">
        <v>119.17</v>
      </c>
      <c r="I6639" s="3564">
        <v>22.81</v>
      </c>
      <c r="J6639" s="3565">
        <v>1824603</v>
      </c>
      <c r="K6639" s="3565">
        <v>12851.13</v>
      </c>
      <c r="L6639" s="3565">
        <v>15310.93</v>
      </c>
      <c r="M6639" s="3565">
        <v>0</v>
      </c>
      <c r="N6639" s="3565">
        <v>0</v>
      </c>
      <c r="O6639" s="3563" t="s">
        <v>3453</v>
      </c>
    </row>
    <row r="6640" spans="1:15">
      <c r="A6640" s="3563" t="s">
        <v>10888</v>
      </c>
      <c r="B6640" s="3563" t="s">
        <v>4196</v>
      </c>
      <c r="C6640" s="3563" t="s">
        <v>4197</v>
      </c>
      <c r="D6640" s="3563" t="s">
        <v>10228</v>
      </c>
      <c r="E6640" s="3563" t="s">
        <v>4520</v>
      </c>
      <c r="F6640" s="3563" t="s">
        <v>4949</v>
      </c>
      <c r="G6640" s="3564">
        <v>141.97999999999999</v>
      </c>
      <c r="H6640" s="3564">
        <v>119.17</v>
      </c>
      <c r="I6640" s="3564">
        <v>22.81</v>
      </c>
      <c r="J6640" s="3565">
        <v>1825496</v>
      </c>
      <c r="K6640" s="3565">
        <v>12857.42</v>
      </c>
      <c r="L6640" s="3565">
        <v>15318.42</v>
      </c>
      <c r="M6640" s="3565">
        <v>0</v>
      </c>
      <c r="N6640" s="3565">
        <v>0</v>
      </c>
      <c r="O6640" s="3563" t="s">
        <v>3453</v>
      </c>
    </row>
    <row r="6641" spans="1:15">
      <c r="A6641" s="3563" t="s">
        <v>10889</v>
      </c>
      <c r="B6641" s="3563" t="s">
        <v>4196</v>
      </c>
      <c r="C6641" s="3563" t="s">
        <v>4197</v>
      </c>
      <c r="D6641" s="3563" t="s">
        <v>10228</v>
      </c>
      <c r="E6641" s="3563" t="s">
        <v>4520</v>
      </c>
      <c r="F6641" s="3563" t="s">
        <v>4949</v>
      </c>
      <c r="G6641" s="3564">
        <v>111.88</v>
      </c>
      <c r="H6641" s="3564">
        <v>91.75</v>
      </c>
      <c r="I6641" s="3564">
        <v>20.13</v>
      </c>
      <c r="J6641" s="3565">
        <v>1570298</v>
      </c>
      <c r="K6641" s="3565">
        <v>14035.56</v>
      </c>
      <c r="L6641" s="3565">
        <v>17114.96</v>
      </c>
      <c r="M6641" s="3565">
        <v>0</v>
      </c>
      <c r="N6641" s="3565">
        <v>0</v>
      </c>
      <c r="O6641" s="3563" t="s">
        <v>3453</v>
      </c>
    </row>
    <row r="6642" spans="1:15">
      <c r="A6642" s="3563" t="s">
        <v>10890</v>
      </c>
      <c r="B6642" s="3563" t="s">
        <v>4196</v>
      </c>
      <c r="C6642" s="3563" t="s">
        <v>4197</v>
      </c>
      <c r="D6642" s="3563" t="s">
        <v>10228</v>
      </c>
      <c r="E6642" s="3563" t="s">
        <v>4520</v>
      </c>
      <c r="F6642" s="3563" t="s">
        <v>4949</v>
      </c>
      <c r="G6642" s="3564">
        <v>111.88</v>
      </c>
      <c r="H6642" s="3564">
        <v>91.75</v>
      </c>
      <c r="I6642" s="3564">
        <v>20.13</v>
      </c>
      <c r="J6642" s="3565">
        <v>1570298</v>
      </c>
      <c r="K6642" s="3565">
        <v>14035.56</v>
      </c>
      <c r="L6642" s="3565">
        <v>17114.96</v>
      </c>
      <c r="M6642" s="3565">
        <v>0</v>
      </c>
      <c r="N6642" s="3565">
        <v>0</v>
      </c>
      <c r="O6642" s="3563" t="s">
        <v>3453</v>
      </c>
    </row>
    <row r="6643" spans="1:15">
      <c r="A6643" s="3563" t="s">
        <v>10891</v>
      </c>
      <c r="B6643" s="3563" t="s">
        <v>4196</v>
      </c>
      <c r="C6643" s="3563" t="s">
        <v>4197</v>
      </c>
      <c r="D6643" s="3563" t="s">
        <v>10228</v>
      </c>
      <c r="E6643" s="3563" t="s">
        <v>4520</v>
      </c>
      <c r="F6643" s="3563" t="s">
        <v>4949</v>
      </c>
      <c r="G6643" s="3564">
        <v>141.97999999999999</v>
      </c>
      <c r="H6643" s="3564">
        <v>119.17</v>
      </c>
      <c r="I6643" s="3564">
        <v>22.81</v>
      </c>
      <c r="J6643" s="3565">
        <v>2028900</v>
      </c>
      <c r="K6643" s="3565">
        <v>14290.04</v>
      </c>
      <c r="L6643" s="3565">
        <v>17025.259999999998</v>
      </c>
      <c r="M6643" s="3565">
        <v>0</v>
      </c>
      <c r="N6643" s="3565">
        <v>0</v>
      </c>
      <c r="O6643" s="3563" t="s">
        <v>3453</v>
      </c>
    </row>
    <row r="6644" spans="1:15">
      <c r="A6644" s="3563" t="s">
        <v>10892</v>
      </c>
      <c r="B6644" s="3563" t="s">
        <v>4196</v>
      </c>
      <c r="C6644" s="3563" t="s">
        <v>4197</v>
      </c>
      <c r="D6644" s="3563" t="s">
        <v>10228</v>
      </c>
      <c r="E6644" s="3563" t="s">
        <v>4520</v>
      </c>
      <c r="F6644" s="3563" t="s">
        <v>4949</v>
      </c>
      <c r="G6644" s="3564">
        <v>141.97999999999999</v>
      </c>
      <c r="H6644" s="3564">
        <v>119.17</v>
      </c>
      <c r="I6644" s="3564">
        <v>22.81</v>
      </c>
      <c r="J6644" s="3565">
        <v>1824603</v>
      </c>
      <c r="K6644" s="3565">
        <v>12851.13</v>
      </c>
      <c r="L6644" s="3565">
        <v>15310.93</v>
      </c>
      <c r="M6644" s="3565">
        <v>0</v>
      </c>
      <c r="N6644" s="3565">
        <v>0</v>
      </c>
      <c r="O6644" s="3563" t="s">
        <v>3453</v>
      </c>
    </row>
    <row r="6645" spans="1:15">
      <c r="A6645" s="3563" t="s">
        <v>10893</v>
      </c>
      <c r="B6645" s="3563" t="s">
        <v>4196</v>
      </c>
      <c r="C6645" s="3563" t="s">
        <v>4197</v>
      </c>
      <c r="D6645" s="3563" t="s">
        <v>10228</v>
      </c>
      <c r="E6645" s="3563" t="s">
        <v>4520</v>
      </c>
      <c r="F6645" s="3563" t="s">
        <v>4949</v>
      </c>
      <c r="G6645" s="3564">
        <v>111.88</v>
      </c>
      <c r="H6645" s="3564">
        <v>91.75</v>
      </c>
      <c r="I6645" s="3564">
        <v>20.13</v>
      </c>
      <c r="J6645" s="3565">
        <v>1629809</v>
      </c>
      <c r="K6645" s="3565">
        <v>14567.47</v>
      </c>
      <c r="L6645" s="3565">
        <v>17763.59</v>
      </c>
      <c r="M6645" s="3565">
        <v>0</v>
      </c>
      <c r="N6645" s="3565">
        <v>0</v>
      </c>
      <c r="O6645" s="3563" t="s">
        <v>3453</v>
      </c>
    </row>
    <row r="6646" spans="1:15">
      <c r="A6646" s="3563" t="s">
        <v>10894</v>
      </c>
      <c r="B6646" s="3563" t="s">
        <v>4196</v>
      </c>
      <c r="C6646" s="3563" t="s">
        <v>4197</v>
      </c>
      <c r="D6646" s="3563" t="s">
        <v>10228</v>
      </c>
      <c r="E6646" s="3563" t="s">
        <v>4520</v>
      </c>
      <c r="F6646" s="3563" t="s">
        <v>4949</v>
      </c>
      <c r="G6646" s="3564">
        <v>111.88</v>
      </c>
      <c r="H6646" s="3564">
        <v>91.75</v>
      </c>
      <c r="I6646" s="3564">
        <v>20.13</v>
      </c>
      <c r="J6646" s="3565">
        <v>1570298</v>
      </c>
      <c r="K6646" s="3565">
        <v>14035.56</v>
      </c>
      <c r="L6646" s="3565">
        <v>17114.96</v>
      </c>
      <c r="M6646" s="3565">
        <v>0</v>
      </c>
      <c r="N6646" s="3565">
        <v>0</v>
      </c>
      <c r="O6646" s="3563" t="s">
        <v>3453</v>
      </c>
    </row>
    <row r="6647" spans="1:15">
      <c r="A6647" s="3563" t="s">
        <v>10895</v>
      </c>
      <c r="B6647" s="3563" t="s">
        <v>4196</v>
      </c>
      <c r="C6647" s="3563" t="s">
        <v>4197</v>
      </c>
      <c r="D6647" s="3563" t="s">
        <v>10228</v>
      </c>
      <c r="E6647" s="3563" t="s">
        <v>4609</v>
      </c>
      <c r="F6647" s="3563" t="s">
        <v>4949</v>
      </c>
      <c r="G6647" s="3564">
        <v>142.15</v>
      </c>
      <c r="H6647" s="3564">
        <v>119.17</v>
      </c>
      <c r="I6647" s="3564">
        <v>22.98</v>
      </c>
      <c r="J6647" s="3565">
        <v>1836704</v>
      </c>
      <c r="K6647" s="3565">
        <v>12920.89</v>
      </c>
      <c r="L6647" s="3565">
        <v>15412.47</v>
      </c>
      <c r="M6647" s="3565">
        <v>0</v>
      </c>
      <c r="N6647" s="3565">
        <v>0</v>
      </c>
      <c r="O6647" s="3563" t="s">
        <v>3453</v>
      </c>
    </row>
    <row r="6648" spans="1:15">
      <c r="A6648" s="3563" t="s">
        <v>10896</v>
      </c>
      <c r="B6648" s="3563" t="s">
        <v>4196</v>
      </c>
      <c r="C6648" s="3563" t="s">
        <v>4197</v>
      </c>
      <c r="D6648" s="3563" t="s">
        <v>10228</v>
      </c>
      <c r="E6648" s="3563" t="s">
        <v>4609</v>
      </c>
      <c r="F6648" s="3563" t="s">
        <v>4949</v>
      </c>
      <c r="G6648" s="3564">
        <v>142.15</v>
      </c>
      <c r="H6648" s="3564">
        <v>119.17</v>
      </c>
      <c r="I6648" s="3564">
        <v>22.98</v>
      </c>
      <c r="J6648" s="3565">
        <v>2098858</v>
      </c>
      <c r="K6648" s="3565">
        <v>14765.09</v>
      </c>
      <c r="L6648" s="3565">
        <v>17612.3</v>
      </c>
      <c r="M6648" s="3565">
        <v>0</v>
      </c>
      <c r="N6648" s="3565">
        <v>0</v>
      </c>
      <c r="O6648" s="3563" t="s">
        <v>3453</v>
      </c>
    </row>
    <row r="6649" spans="1:15">
      <c r="A6649" s="3563" t="s">
        <v>10897</v>
      </c>
      <c r="B6649" s="3563" t="s">
        <v>4196</v>
      </c>
      <c r="C6649" s="3563" t="s">
        <v>4197</v>
      </c>
      <c r="D6649" s="3563" t="s">
        <v>10228</v>
      </c>
      <c r="E6649" s="3563" t="s">
        <v>4609</v>
      </c>
      <c r="F6649" s="3563" t="s">
        <v>4949</v>
      </c>
      <c r="G6649" s="3564">
        <v>112.01</v>
      </c>
      <c r="H6649" s="3564">
        <v>91.75</v>
      </c>
      <c r="I6649" s="3564">
        <v>20.260000000000002</v>
      </c>
      <c r="J6649" s="3565">
        <v>1607318</v>
      </c>
      <c r="K6649" s="3565">
        <v>14349.77</v>
      </c>
      <c r="L6649" s="3565">
        <v>17518.45</v>
      </c>
      <c r="M6649" s="3565">
        <v>0</v>
      </c>
      <c r="N6649" s="3565">
        <v>0</v>
      </c>
      <c r="O6649" s="3563" t="s">
        <v>3453</v>
      </c>
    </row>
    <row r="6650" spans="1:15">
      <c r="A6650" s="3563" t="s">
        <v>10898</v>
      </c>
      <c r="B6650" s="3563" t="s">
        <v>4196</v>
      </c>
      <c r="C6650" s="3563" t="s">
        <v>4197</v>
      </c>
      <c r="D6650" s="3563" t="s">
        <v>10228</v>
      </c>
      <c r="E6650" s="3563" t="s">
        <v>4609</v>
      </c>
      <c r="F6650" s="3563" t="s">
        <v>4949</v>
      </c>
      <c r="G6650" s="3564">
        <v>112.01</v>
      </c>
      <c r="H6650" s="3564">
        <v>91.75</v>
      </c>
      <c r="I6650" s="3564">
        <v>20.260000000000002</v>
      </c>
      <c r="J6650" s="3565">
        <v>1666897</v>
      </c>
      <c r="K6650" s="3565">
        <v>14881.68</v>
      </c>
      <c r="L6650" s="3565">
        <v>18167.810000000001</v>
      </c>
      <c r="M6650" s="3565">
        <v>0</v>
      </c>
      <c r="N6650" s="3565">
        <v>0</v>
      </c>
      <c r="O6650" s="3563" t="s">
        <v>3453</v>
      </c>
    </row>
    <row r="6651" spans="1:15">
      <c r="A6651" s="3563" t="s">
        <v>10899</v>
      </c>
      <c r="B6651" s="3563" t="s">
        <v>4196</v>
      </c>
      <c r="C6651" s="3563" t="s">
        <v>4197</v>
      </c>
      <c r="D6651" s="3563" t="s">
        <v>10228</v>
      </c>
      <c r="E6651" s="3563" t="s">
        <v>4609</v>
      </c>
      <c r="F6651" s="3563" t="s">
        <v>4949</v>
      </c>
      <c r="G6651" s="3564">
        <v>142.15</v>
      </c>
      <c r="H6651" s="3564">
        <v>119.17</v>
      </c>
      <c r="I6651" s="3564">
        <v>22.98</v>
      </c>
      <c r="J6651" s="3565">
        <v>1838108</v>
      </c>
      <c r="K6651" s="3565">
        <v>12930.76</v>
      </c>
      <c r="L6651" s="3565">
        <v>15424.25</v>
      </c>
      <c r="M6651" s="3565">
        <v>0</v>
      </c>
      <c r="N6651" s="3565">
        <v>0</v>
      </c>
      <c r="O6651" s="3563" t="s">
        <v>3453</v>
      </c>
    </row>
    <row r="6652" spans="1:15">
      <c r="A6652" s="3563" t="s">
        <v>10900</v>
      </c>
      <c r="B6652" s="3563" t="s">
        <v>4196</v>
      </c>
      <c r="C6652" s="3563" t="s">
        <v>4197</v>
      </c>
      <c r="D6652" s="3563" t="s">
        <v>10228</v>
      </c>
      <c r="E6652" s="3563" t="s">
        <v>4609</v>
      </c>
      <c r="F6652" s="3563" t="s">
        <v>4949</v>
      </c>
      <c r="G6652" s="3564">
        <v>142.15</v>
      </c>
      <c r="H6652" s="3564">
        <v>119.17</v>
      </c>
      <c r="I6652" s="3564">
        <v>22.98</v>
      </c>
      <c r="J6652" s="3565">
        <v>1836704</v>
      </c>
      <c r="K6652" s="3565">
        <v>12920.89</v>
      </c>
      <c r="L6652" s="3565">
        <v>15412.47</v>
      </c>
      <c r="M6652" s="3565">
        <v>0</v>
      </c>
      <c r="N6652" s="3565">
        <v>0</v>
      </c>
      <c r="O6652" s="3563" t="s">
        <v>3453</v>
      </c>
    </row>
    <row r="6653" spans="1:15">
      <c r="A6653" s="3563" t="s">
        <v>10901</v>
      </c>
      <c r="B6653" s="3563" t="s">
        <v>4196</v>
      </c>
      <c r="C6653" s="3563" t="s">
        <v>4197</v>
      </c>
      <c r="D6653" s="3563" t="s">
        <v>10228</v>
      </c>
      <c r="E6653" s="3563" t="s">
        <v>4609</v>
      </c>
      <c r="F6653" s="3563" t="s">
        <v>4949</v>
      </c>
      <c r="G6653" s="3564">
        <v>112.01</v>
      </c>
      <c r="H6653" s="3564">
        <v>91.75</v>
      </c>
      <c r="I6653" s="3564">
        <v>20.260000000000002</v>
      </c>
      <c r="J6653" s="3565">
        <v>1607318</v>
      </c>
      <c r="K6653" s="3565">
        <v>14349.77</v>
      </c>
      <c r="L6653" s="3565">
        <v>17518.45</v>
      </c>
      <c r="M6653" s="3565">
        <v>0</v>
      </c>
      <c r="N6653" s="3565">
        <v>0</v>
      </c>
      <c r="O6653" s="3563" t="s">
        <v>3453</v>
      </c>
    </row>
    <row r="6654" spans="1:15">
      <c r="A6654" s="3563" t="s">
        <v>10902</v>
      </c>
      <c r="B6654" s="3563" t="s">
        <v>4196</v>
      </c>
      <c r="C6654" s="3563" t="s">
        <v>4197</v>
      </c>
      <c r="D6654" s="3563" t="s">
        <v>10228</v>
      </c>
      <c r="E6654" s="3563" t="s">
        <v>4609</v>
      </c>
      <c r="F6654" s="3563" t="s">
        <v>4949</v>
      </c>
      <c r="G6654" s="3564">
        <v>112.01</v>
      </c>
      <c r="H6654" s="3564">
        <v>91.75</v>
      </c>
      <c r="I6654" s="3564">
        <v>20.260000000000002</v>
      </c>
      <c r="J6654" s="3565">
        <v>1607318</v>
      </c>
      <c r="K6654" s="3565">
        <v>14349.77</v>
      </c>
      <c r="L6654" s="3565">
        <v>17518.45</v>
      </c>
      <c r="M6654" s="3565">
        <v>0</v>
      </c>
      <c r="N6654" s="3565">
        <v>0</v>
      </c>
      <c r="O6654" s="3563" t="s">
        <v>3453</v>
      </c>
    </row>
    <row r="6655" spans="1:15">
      <c r="A6655" s="3563" t="s">
        <v>10903</v>
      </c>
      <c r="B6655" s="3563" t="s">
        <v>4196</v>
      </c>
      <c r="C6655" s="3563" t="s">
        <v>4197</v>
      </c>
      <c r="D6655" s="3563" t="s">
        <v>10228</v>
      </c>
      <c r="E6655" s="3563" t="s">
        <v>4609</v>
      </c>
      <c r="F6655" s="3563" t="s">
        <v>4949</v>
      </c>
      <c r="G6655" s="3564">
        <v>142.15</v>
      </c>
      <c r="H6655" s="3564">
        <v>119.17</v>
      </c>
      <c r="I6655" s="3564">
        <v>22.98</v>
      </c>
      <c r="J6655" s="3565">
        <v>1836704</v>
      </c>
      <c r="K6655" s="3565">
        <v>12920.89</v>
      </c>
      <c r="L6655" s="3565">
        <v>15412.47</v>
      </c>
      <c r="M6655" s="3565">
        <v>0</v>
      </c>
      <c r="N6655" s="3565">
        <v>0</v>
      </c>
      <c r="O6655" s="3563" t="s">
        <v>3453</v>
      </c>
    </row>
    <row r="6656" spans="1:15">
      <c r="A6656" s="3563" t="s">
        <v>10904</v>
      </c>
      <c r="B6656" s="3563" t="s">
        <v>4196</v>
      </c>
      <c r="C6656" s="3563" t="s">
        <v>4197</v>
      </c>
      <c r="D6656" s="3563" t="s">
        <v>10228</v>
      </c>
      <c r="E6656" s="3563" t="s">
        <v>4609</v>
      </c>
      <c r="F6656" s="3563" t="s">
        <v>4949</v>
      </c>
      <c r="G6656" s="3564">
        <v>142.15</v>
      </c>
      <c r="H6656" s="3564">
        <v>119.17</v>
      </c>
      <c r="I6656" s="3564">
        <v>22.98</v>
      </c>
      <c r="J6656" s="3565">
        <v>1837980</v>
      </c>
      <c r="K6656" s="3565">
        <v>12929.86</v>
      </c>
      <c r="L6656" s="3565">
        <v>15423.18</v>
      </c>
      <c r="M6656" s="3565">
        <v>0</v>
      </c>
      <c r="N6656" s="3565">
        <v>0</v>
      </c>
      <c r="O6656" s="3563" t="s">
        <v>3453</v>
      </c>
    </row>
    <row r="6657" spans="1:15">
      <c r="A6657" s="3563" t="s">
        <v>10905</v>
      </c>
      <c r="B6657" s="3563" t="s">
        <v>4196</v>
      </c>
      <c r="C6657" s="3563" t="s">
        <v>4197</v>
      </c>
      <c r="D6657" s="3563" t="s">
        <v>10228</v>
      </c>
      <c r="E6657" s="3563" t="s">
        <v>4609</v>
      </c>
      <c r="F6657" s="3563" t="s">
        <v>4949</v>
      </c>
      <c r="G6657" s="3564">
        <v>112.01</v>
      </c>
      <c r="H6657" s="3564">
        <v>91.75</v>
      </c>
      <c r="I6657" s="3564">
        <v>20.260000000000002</v>
      </c>
      <c r="J6657" s="3565">
        <v>1607318</v>
      </c>
      <c r="K6657" s="3565">
        <v>14349.77</v>
      </c>
      <c r="L6657" s="3565">
        <v>17518.45</v>
      </c>
      <c r="M6657" s="3565">
        <v>0</v>
      </c>
      <c r="N6657" s="3565">
        <v>0</v>
      </c>
      <c r="O6657" s="3563" t="s">
        <v>3453</v>
      </c>
    </row>
    <row r="6658" spans="1:15">
      <c r="A6658" s="3563" t="s">
        <v>10906</v>
      </c>
      <c r="B6658" s="3563" t="s">
        <v>4196</v>
      </c>
      <c r="C6658" s="3563" t="s">
        <v>4197</v>
      </c>
      <c r="D6658" s="3563" t="s">
        <v>10228</v>
      </c>
      <c r="E6658" s="3563" t="s">
        <v>4609</v>
      </c>
      <c r="F6658" s="3563" t="s">
        <v>4949</v>
      </c>
      <c r="G6658" s="3564">
        <v>112.01</v>
      </c>
      <c r="H6658" s="3564">
        <v>91.75</v>
      </c>
      <c r="I6658" s="3564">
        <v>20.260000000000002</v>
      </c>
      <c r="J6658" s="3565">
        <v>1607318</v>
      </c>
      <c r="K6658" s="3565">
        <v>14349.77</v>
      </c>
      <c r="L6658" s="3565">
        <v>17518.45</v>
      </c>
      <c r="M6658" s="3565">
        <v>0</v>
      </c>
      <c r="N6658" s="3565">
        <v>0</v>
      </c>
      <c r="O6658" s="3563" t="s">
        <v>3453</v>
      </c>
    </row>
    <row r="6659" spans="1:15">
      <c r="A6659" s="3563" t="s">
        <v>10907</v>
      </c>
      <c r="B6659" s="3563" t="s">
        <v>4196</v>
      </c>
      <c r="C6659" s="3563" t="s">
        <v>4197</v>
      </c>
      <c r="D6659" s="3563" t="s">
        <v>10228</v>
      </c>
      <c r="E6659" s="3563" t="s">
        <v>4609</v>
      </c>
      <c r="F6659" s="3563" t="s">
        <v>4949</v>
      </c>
      <c r="G6659" s="3564">
        <v>142.15</v>
      </c>
      <c r="H6659" s="3564">
        <v>119.17</v>
      </c>
      <c r="I6659" s="3564">
        <v>22.98</v>
      </c>
      <c r="J6659" s="3565">
        <v>2066688</v>
      </c>
      <c r="K6659" s="3565">
        <v>14538.78</v>
      </c>
      <c r="L6659" s="3565">
        <v>17342.349999999999</v>
      </c>
      <c r="M6659" s="3565">
        <v>0</v>
      </c>
      <c r="N6659" s="3565">
        <v>0</v>
      </c>
      <c r="O6659" s="3563" t="s">
        <v>3453</v>
      </c>
    </row>
    <row r="6660" spans="1:15">
      <c r="A6660" s="3563" t="s">
        <v>10908</v>
      </c>
      <c r="B6660" s="3563" t="s">
        <v>4196</v>
      </c>
      <c r="C6660" s="3563" t="s">
        <v>4197</v>
      </c>
      <c r="D6660" s="3563" t="s">
        <v>10228</v>
      </c>
      <c r="E6660" s="3563" t="s">
        <v>4609</v>
      </c>
      <c r="F6660" s="3563" t="s">
        <v>4949</v>
      </c>
      <c r="G6660" s="3564">
        <v>142.15</v>
      </c>
      <c r="H6660" s="3564">
        <v>119.17</v>
      </c>
      <c r="I6660" s="3564">
        <v>22.98</v>
      </c>
      <c r="J6660" s="3565">
        <v>1836704</v>
      </c>
      <c r="K6660" s="3565">
        <v>12920.89</v>
      </c>
      <c r="L6660" s="3565">
        <v>15412.47</v>
      </c>
      <c r="M6660" s="3565">
        <v>0</v>
      </c>
      <c r="N6660" s="3565">
        <v>0</v>
      </c>
      <c r="O6660" s="3563" t="s">
        <v>3453</v>
      </c>
    </row>
    <row r="6661" spans="1:15">
      <c r="A6661" s="3563" t="s">
        <v>10909</v>
      </c>
      <c r="B6661" s="3563" t="s">
        <v>4196</v>
      </c>
      <c r="C6661" s="3563" t="s">
        <v>4197</v>
      </c>
      <c r="D6661" s="3563" t="s">
        <v>10228</v>
      </c>
      <c r="E6661" s="3563" t="s">
        <v>4609</v>
      </c>
      <c r="F6661" s="3563" t="s">
        <v>4949</v>
      </c>
      <c r="G6661" s="3564">
        <v>112.01</v>
      </c>
      <c r="H6661" s="3564">
        <v>91.75</v>
      </c>
      <c r="I6661" s="3564">
        <v>20.260000000000002</v>
      </c>
      <c r="J6661" s="3565">
        <v>1666897</v>
      </c>
      <c r="K6661" s="3565">
        <v>14881.68</v>
      </c>
      <c r="L6661" s="3565">
        <v>18167.810000000001</v>
      </c>
      <c r="M6661" s="3565">
        <v>0</v>
      </c>
      <c r="N6661" s="3565">
        <v>0</v>
      </c>
      <c r="O6661" s="3563" t="s">
        <v>3453</v>
      </c>
    </row>
    <row r="6662" spans="1:15">
      <c r="A6662" s="3563" t="s">
        <v>10910</v>
      </c>
      <c r="B6662" s="3563" t="s">
        <v>4196</v>
      </c>
      <c r="C6662" s="3563" t="s">
        <v>4197</v>
      </c>
      <c r="D6662" s="3563" t="s">
        <v>10228</v>
      </c>
      <c r="E6662" s="3563" t="s">
        <v>4609</v>
      </c>
      <c r="F6662" s="3563" t="s">
        <v>4949</v>
      </c>
      <c r="G6662" s="3564">
        <v>112.01</v>
      </c>
      <c r="H6662" s="3564">
        <v>91.75</v>
      </c>
      <c r="I6662" s="3564">
        <v>20.260000000000002</v>
      </c>
      <c r="J6662" s="3565">
        <v>1607318</v>
      </c>
      <c r="K6662" s="3565">
        <v>14349.77</v>
      </c>
      <c r="L6662" s="3565">
        <v>17518.45</v>
      </c>
      <c r="M6662" s="3565">
        <v>0</v>
      </c>
      <c r="N6662" s="3565">
        <v>0</v>
      </c>
      <c r="O6662" s="3563" t="s">
        <v>3453</v>
      </c>
    </row>
    <row r="6663" spans="1:15">
      <c r="A6663" s="3563" t="s">
        <v>10911</v>
      </c>
      <c r="B6663" s="3563" t="s">
        <v>4196</v>
      </c>
      <c r="C6663" s="3563" t="s">
        <v>4197</v>
      </c>
      <c r="D6663" s="3563" t="s">
        <v>10228</v>
      </c>
      <c r="E6663" s="3563" t="s">
        <v>4747</v>
      </c>
      <c r="F6663" s="3563" t="s">
        <v>4949</v>
      </c>
      <c r="G6663" s="3564">
        <v>174.77</v>
      </c>
      <c r="H6663" s="3564">
        <v>145.85</v>
      </c>
      <c r="I6663" s="3564">
        <v>28.92</v>
      </c>
      <c r="J6663" s="3565">
        <v>3035752</v>
      </c>
      <c r="K6663" s="3565">
        <v>17369.98</v>
      </c>
      <c r="L6663" s="3565">
        <v>20814.21</v>
      </c>
      <c r="M6663" s="3565">
        <v>0</v>
      </c>
      <c r="N6663" s="3565">
        <v>0</v>
      </c>
      <c r="O6663" s="3563" t="s">
        <v>3453</v>
      </c>
    </row>
    <row r="6664" spans="1:15">
      <c r="A6664" s="3563" t="s">
        <v>10912</v>
      </c>
      <c r="B6664" s="3563" t="s">
        <v>4196</v>
      </c>
      <c r="C6664" s="3563" t="s">
        <v>4197</v>
      </c>
      <c r="D6664" s="3563" t="s">
        <v>10228</v>
      </c>
      <c r="E6664" s="3563" t="s">
        <v>4747</v>
      </c>
      <c r="F6664" s="3563" t="s">
        <v>4949</v>
      </c>
      <c r="G6664" s="3564">
        <v>174.77</v>
      </c>
      <c r="H6664" s="3564">
        <v>145.85</v>
      </c>
      <c r="I6664" s="3564">
        <v>28.92</v>
      </c>
      <c r="J6664" s="3565">
        <v>2577682</v>
      </c>
      <c r="K6664" s="3565">
        <v>14749</v>
      </c>
      <c r="L6664" s="3565">
        <v>17673.509999999998</v>
      </c>
      <c r="M6664" s="3565">
        <v>0</v>
      </c>
      <c r="N6664" s="3565">
        <v>0</v>
      </c>
      <c r="O6664" s="3563" t="s">
        <v>3453</v>
      </c>
    </row>
    <row r="6665" spans="1:15">
      <c r="A6665" s="3563" t="s">
        <v>10913</v>
      </c>
      <c r="B6665" s="3563" t="s">
        <v>4196</v>
      </c>
      <c r="C6665" s="3563" t="s">
        <v>4197</v>
      </c>
      <c r="D6665" s="3563" t="s">
        <v>10228</v>
      </c>
      <c r="E6665" s="3563" t="s">
        <v>4747</v>
      </c>
      <c r="F6665" s="3563" t="s">
        <v>4949</v>
      </c>
      <c r="G6665" s="3564">
        <v>152.19</v>
      </c>
      <c r="H6665" s="3564">
        <v>127.01</v>
      </c>
      <c r="I6665" s="3564">
        <v>25.18</v>
      </c>
      <c r="J6665" s="3565">
        <v>2252382</v>
      </c>
      <c r="K6665" s="3565">
        <v>14799.8</v>
      </c>
      <c r="L6665" s="3565">
        <v>17733.89</v>
      </c>
      <c r="M6665" s="3565">
        <v>0</v>
      </c>
      <c r="N6665" s="3565">
        <v>0</v>
      </c>
      <c r="O6665" s="3563" t="s">
        <v>3453</v>
      </c>
    </row>
    <row r="6666" spans="1:15">
      <c r="A6666" s="3563" t="s">
        <v>10914</v>
      </c>
      <c r="B6666" s="3563" t="s">
        <v>4196</v>
      </c>
      <c r="C6666" s="3563" t="s">
        <v>4197</v>
      </c>
      <c r="D6666" s="3563" t="s">
        <v>10228</v>
      </c>
      <c r="E6666" s="3563" t="s">
        <v>4747</v>
      </c>
      <c r="F6666" s="3563" t="s">
        <v>4949</v>
      </c>
      <c r="G6666" s="3564">
        <v>152.19</v>
      </c>
      <c r="H6666" s="3564">
        <v>127.01</v>
      </c>
      <c r="I6666" s="3564">
        <v>25.18</v>
      </c>
      <c r="J6666" s="3565">
        <v>2171430</v>
      </c>
      <c r="K6666" s="3565">
        <v>14267.89</v>
      </c>
      <c r="L6666" s="3565">
        <v>17096.53</v>
      </c>
      <c r="M6666" s="3565">
        <v>0</v>
      </c>
      <c r="N6666" s="3565">
        <v>0</v>
      </c>
      <c r="O6666" s="3563" t="s">
        <v>3453</v>
      </c>
    </row>
    <row r="6667" spans="1:15">
      <c r="A6667" s="3563" t="s">
        <v>10915</v>
      </c>
      <c r="B6667" s="3563" t="s">
        <v>4196</v>
      </c>
      <c r="C6667" s="3563" t="s">
        <v>4197</v>
      </c>
      <c r="D6667" s="3563" t="s">
        <v>10228</v>
      </c>
      <c r="E6667" s="3563" t="s">
        <v>4747</v>
      </c>
      <c r="F6667" s="3563" t="s">
        <v>4949</v>
      </c>
      <c r="G6667" s="3564">
        <v>174.77</v>
      </c>
      <c r="H6667" s="3564">
        <v>145.85</v>
      </c>
      <c r="I6667" s="3564">
        <v>28.92</v>
      </c>
      <c r="J6667" s="3565">
        <v>2561980</v>
      </c>
      <c r="K6667" s="3565">
        <v>14659.15</v>
      </c>
      <c r="L6667" s="3565">
        <v>17565.86</v>
      </c>
      <c r="M6667" s="3565">
        <v>0</v>
      </c>
      <c r="N6667" s="3565">
        <v>0</v>
      </c>
      <c r="O6667" s="3563" t="s">
        <v>3453</v>
      </c>
    </row>
    <row r="6668" spans="1:15">
      <c r="A6668" s="3563" t="s">
        <v>10916</v>
      </c>
      <c r="B6668" s="3563" t="s">
        <v>4196</v>
      </c>
      <c r="C6668" s="3563" t="s">
        <v>4197</v>
      </c>
      <c r="D6668" s="3563" t="s">
        <v>10228</v>
      </c>
      <c r="E6668" s="3563" t="s">
        <v>4747</v>
      </c>
      <c r="F6668" s="3563" t="s">
        <v>4949</v>
      </c>
      <c r="G6668" s="3564">
        <v>174.77</v>
      </c>
      <c r="H6668" s="3564">
        <v>145.85</v>
      </c>
      <c r="I6668" s="3564">
        <v>28.92</v>
      </c>
      <c r="J6668" s="3565">
        <v>2528789</v>
      </c>
      <c r="K6668" s="3565">
        <v>14469.24</v>
      </c>
      <c r="L6668" s="3565">
        <v>17338.29</v>
      </c>
      <c r="M6668" s="3565">
        <v>0</v>
      </c>
      <c r="N6668" s="3565">
        <v>0</v>
      </c>
      <c r="O6668" s="3563" t="s">
        <v>3453</v>
      </c>
    </row>
    <row r="6669" spans="1:15">
      <c r="A6669" s="3563" t="s">
        <v>10917</v>
      </c>
      <c r="B6669" s="3563" t="s">
        <v>4196</v>
      </c>
      <c r="C6669" s="3563" t="s">
        <v>4197</v>
      </c>
      <c r="D6669" s="3563" t="s">
        <v>10228</v>
      </c>
      <c r="E6669" s="3563" t="s">
        <v>4747</v>
      </c>
      <c r="F6669" s="3563" t="s">
        <v>4949</v>
      </c>
      <c r="G6669" s="3564">
        <v>152.19</v>
      </c>
      <c r="H6669" s="3564">
        <v>127.01</v>
      </c>
      <c r="I6669" s="3564">
        <v>25.18</v>
      </c>
      <c r="J6669" s="3565">
        <v>2171430</v>
      </c>
      <c r="K6669" s="3565">
        <v>14267.89</v>
      </c>
      <c r="L6669" s="3565">
        <v>17096.53</v>
      </c>
      <c r="M6669" s="3565">
        <v>0</v>
      </c>
      <c r="N6669" s="3565">
        <v>0</v>
      </c>
      <c r="O6669" s="3563" t="s">
        <v>3453</v>
      </c>
    </row>
    <row r="6670" spans="1:15">
      <c r="A6670" s="3563" t="s">
        <v>10918</v>
      </c>
      <c r="B6670" s="3563" t="s">
        <v>4196</v>
      </c>
      <c r="C6670" s="3563" t="s">
        <v>4197</v>
      </c>
      <c r="D6670" s="3563" t="s">
        <v>10228</v>
      </c>
      <c r="E6670" s="3563" t="s">
        <v>4747</v>
      </c>
      <c r="F6670" s="3563" t="s">
        <v>4949</v>
      </c>
      <c r="G6670" s="3564">
        <v>152.19</v>
      </c>
      <c r="H6670" s="3564">
        <v>127.01</v>
      </c>
      <c r="I6670" s="3564">
        <v>25.18</v>
      </c>
      <c r="J6670" s="3565">
        <v>2171430</v>
      </c>
      <c r="K6670" s="3565">
        <v>14267.89</v>
      </c>
      <c r="L6670" s="3565">
        <v>17096.53</v>
      </c>
      <c r="M6670" s="3565">
        <v>0</v>
      </c>
      <c r="N6670" s="3565">
        <v>0</v>
      </c>
      <c r="O6670" s="3563" t="s">
        <v>3453</v>
      </c>
    </row>
    <row r="6671" spans="1:15">
      <c r="A6671" s="3563" t="s">
        <v>10919</v>
      </c>
      <c r="B6671" s="3563" t="s">
        <v>4196</v>
      </c>
      <c r="C6671" s="3563" t="s">
        <v>4197</v>
      </c>
      <c r="D6671" s="3563" t="s">
        <v>10228</v>
      </c>
      <c r="E6671" s="3563" t="s">
        <v>4747</v>
      </c>
      <c r="F6671" s="3563" t="s">
        <v>4949</v>
      </c>
      <c r="G6671" s="3564">
        <v>174.77</v>
      </c>
      <c r="H6671" s="3564">
        <v>145.85</v>
      </c>
      <c r="I6671" s="3564">
        <v>28.92</v>
      </c>
      <c r="J6671" s="3565">
        <v>2542799</v>
      </c>
      <c r="K6671" s="3565">
        <v>14549.4</v>
      </c>
      <c r="L6671" s="3565">
        <v>17434.34</v>
      </c>
      <c r="M6671" s="3565">
        <v>0</v>
      </c>
      <c r="N6671" s="3565">
        <v>0</v>
      </c>
      <c r="O6671" s="3563" t="s">
        <v>3453</v>
      </c>
    </row>
    <row r="6672" spans="1:15">
      <c r="A6672" s="3563" t="s">
        <v>10920</v>
      </c>
      <c r="B6672" s="3563" t="s">
        <v>4196</v>
      </c>
      <c r="C6672" s="3563" t="s">
        <v>4197</v>
      </c>
      <c r="D6672" s="3563" t="s">
        <v>10228</v>
      </c>
      <c r="E6672" s="3563" t="s">
        <v>4747</v>
      </c>
      <c r="F6672" s="3563" t="s">
        <v>4949</v>
      </c>
      <c r="G6672" s="3564">
        <v>174.77</v>
      </c>
      <c r="H6672" s="3564">
        <v>145.85</v>
      </c>
      <c r="I6672" s="3564">
        <v>28.92</v>
      </c>
      <c r="J6672" s="3565">
        <v>2751198</v>
      </c>
      <c r="K6672" s="3565">
        <v>15741.82</v>
      </c>
      <c r="L6672" s="3565">
        <v>18863.2</v>
      </c>
      <c r="M6672" s="3565">
        <v>0</v>
      </c>
      <c r="N6672" s="3565">
        <v>0</v>
      </c>
      <c r="O6672" s="3563" t="s">
        <v>3453</v>
      </c>
    </row>
    <row r="6673" spans="1:15">
      <c r="A6673" s="3563" t="s">
        <v>10921</v>
      </c>
      <c r="B6673" s="3563" t="s">
        <v>4196</v>
      </c>
      <c r="C6673" s="3563" t="s">
        <v>4197</v>
      </c>
      <c r="D6673" s="3563" t="s">
        <v>10228</v>
      </c>
      <c r="E6673" s="3563" t="s">
        <v>4747</v>
      </c>
      <c r="F6673" s="3563" t="s">
        <v>4949</v>
      </c>
      <c r="G6673" s="3564">
        <v>152.19</v>
      </c>
      <c r="H6673" s="3564">
        <v>127.01</v>
      </c>
      <c r="I6673" s="3564">
        <v>25.18</v>
      </c>
      <c r="J6673" s="3565">
        <v>2171430</v>
      </c>
      <c r="K6673" s="3565">
        <v>14267.89</v>
      </c>
      <c r="L6673" s="3565">
        <v>17096.53</v>
      </c>
      <c r="M6673" s="3565">
        <v>0</v>
      </c>
      <c r="N6673" s="3565">
        <v>0</v>
      </c>
      <c r="O6673" s="3563" t="s">
        <v>3453</v>
      </c>
    </row>
    <row r="6674" spans="1:15">
      <c r="A6674" s="3563" t="s">
        <v>10922</v>
      </c>
      <c r="B6674" s="3563" t="s">
        <v>4196</v>
      </c>
      <c r="C6674" s="3563" t="s">
        <v>4197</v>
      </c>
      <c r="D6674" s="3563" t="s">
        <v>10228</v>
      </c>
      <c r="E6674" s="3563" t="s">
        <v>4747</v>
      </c>
      <c r="F6674" s="3563" t="s">
        <v>4949</v>
      </c>
      <c r="G6674" s="3564">
        <v>152.19</v>
      </c>
      <c r="H6674" s="3564">
        <v>127.01</v>
      </c>
      <c r="I6674" s="3564">
        <v>25.18</v>
      </c>
      <c r="J6674" s="3565">
        <v>2252382</v>
      </c>
      <c r="K6674" s="3565">
        <v>14799.8</v>
      </c>
      <c r="L6674" s="3565">
        <v>17733.89</v>
      </c>
      <c r="M6674" s="3565">
        <v>0</v>
      </c>
      <c r="N6674" s="3565">
        <v>0</v>
      </c>
      <c r="O6674" s="3563" t="s">
        <v>3453</v>
      </c>
    </row>
    <row r="6675" spans="1:15">
      <c r="A6675" s="3563" t="s">
        <v>10923</v>
      </c>
      <c r="B6675" s="3563" t="s">
        <v>4196</v>
      </c>
      <c r="C6675" s="3563" t="s">
        <v>4197</v>
      </c>
      <c r="D6675" s="3563" t="s">
        <v>10228</v>
      </c>
      <c r="E6675" s="3563" t="s">
        <v>5972</v>
      </c>
      <c r="F6675" s="3563" t="s">
        <v>4949</v>
      </c>
      <c r="G6675" s="3564">
        <v>142.15</v>
      </c>
      <c r="H6675" s="3564">
        <v>119.17</v>
      </c>
      <c r="I6675" s="3564">
        <v>22.98</v>
      </c>
      <c r="J6675" s="3565">
        <v>1891704</v>
      </c>
      <c r="K6675" s="3565">
        <v>13307.8</v>
      </c>
      <c r="L6675" s="3565">
        <v>15874</v>
      </c>
      <c r="M6675" s="3565">
        <v>0</v>
      </c>
      <c r="N6675" s="3565">
        <v>0</v>
      </c>
      <c r="O6675" s="3563" t="s">
        <v>3453</v>
      </c>
    </row>
    <row r="6676" spans="1:15">
      <c r="A6676" s="3563" t="s">
        <v>10924</v>
      </c>
      <c r="B6676" s="3563" t="s">
        <v>4196</v>
      </c>
      <c r="C6676" s="3563" t="s">
        <v>4197</v>
      </c>
      <c r="D6676" s="3563" t="s">
        <v>10228</v>
      </c>
      <c r="E6676" s="3563" t="s">
        <v>5972</v>
      </c>
      <c r="F6676" s="3563" t="s">
        <v>4949</v>
      </c>
      <c r="G6676" s="3564">
        <v>142.15</v>
      </c>
      <c r="H6676" s="3564">
        <v>119.17</v>
      </c>
      <c r="I6676" s="3564">
        <v>22.98</v>
      </c>
      <c r="J6676" s="3565">
        <v>2157241</v>
      </c>
      <c r="K6676" s="3565">
        <v>15175.81</v>
      </c>
      <c r="L6676" s="3565">
        <v>18102.22</v>
      </c>
      <c r="M6676" s="3565">
        <v>0</v>
      </c>
      <c r="N6676" s="3565">
        <v>0</v>
      </c>
      <c r="O6676" s="3563" t="s">
        <v>3453</v>
      </c>
    </row>
    <row r="6677" spans="1:15">
      <c r="A6677" s="3563" t="s">
        <v>10925</v>
      </c>
      <c r="B6677" s="3563" t="s">
        <v>4196</v>
      </c>
      <c r="C6677" s="3563" t="s">
        <v>4197</v>
      </c>
      <c r="D6677" s="3563" t="s">
        <v>10228</v>
      </c>
      <c r="E6677" s="3563" t="s">
        <v>5972</v>
      </c>
      <c r="F6677" s="3563" t="s">
        <v>4949</v>
      </c>
      <c r="G6677" s="3564">
        <v>112.01</v>
      </c>
      <c r="H6677" s="3564">
        <v>91.75</v>
      </c>
      <c r="I6677" s="3564">
        <v>20.260000000000002</v>
      </c>
      <c r="J6677" s="3565">
        <v>1654981</v>
      </c>
      <c r="K6677" s="3565">
        <v>14775.3</v>
      </c>
      <c r="L6677" s="3565">
        <v>18037.939999999999</v>
      </c>
      <c r="M6677" s="3565">
        <v>0</v>
      </c>
      <c r="N6677" s="3565">
        <v>0</v>
      </c>
      <c r="O6677" s="3563" t="s">
        <v>3453</v>
      </c>
    </row>
    <row r="6678" spans="1:15">
      <c r="A6678" s="3563" t="s">
        <v>10926</v>
      </c>
      <c r="B6678" s="3563" t="s">
        <v>4196</v>
      </c>
      <c r="C6678" s="3563" t="s">
        <v>4197</v>
      </c>
      <c r="D6678" s="3563" t="s">
        <v>10228</v>
      </c>
      <c r="E6678" s="3563" t="s">
        <v>5972</v>
      </c>
      <c r="F6678" s="3563" t="s">
        <v>4949</v>
      </c>
      <c r="G6678" s="3564">
        <v>112.01</v>
      </c>
      <c r="H6678" s="3564">
        <v>91.75</v>
      </c>
      <c r="I6678" s="3564">
        <v>20.260000000000002</v>
      </c>
      <c r="J6678" s="3565">
        <v>1714561</v>
      </c>
      <c r="K6678" s="3565">
        <v>15307.21</v>
      </c>
      <c r="L6678" s="3565">
        <v>18687.310000000001</v>
      </c>
      <c r="M6678" s="3565">
        <v>0</v>
      </c>
      <c r="N6678" s="3565">
        <v>0</v>
      </c>
      <c r="O6678" s="3563" t="s">
        <v>3453</v>
      </c>
    </row>
    <row r="6679" spans="1:15">
      <c r="A6679" s="3563" t="s">
        <v>10927</v>
      </c>
      <c r="B6679" s="3563" t="s">
        <v>4196</v>
      </c>
      <c r="C6679" s="3563" t="s">
        <v>4197</v>
      </c>
      <c r="D6679" s="3563" t="s">
        <v>10228</v>
      </c>
      <c r="E6679" s="3563" t="s">
        <v>5972</v>
      </c>
      <c r="F6679" s="3563" t="s">
        <v>4949</v>
      </c>
      <c r="G6679" s="3564">
        <v>142.15</v>
      </c>
      <c r="H6679" s="3564">
        <v>119.17</v>
      </c>
      <c r="I6679" s="3564">
        <v>22.98</v>
      </c>
      <c r="J6679" s="3565">
        <v>2115209</v>
      </c>
      <c r="K6679" s="3565">
        <v>14880.12</v>
      </c>
      <c r="L6679" s="3565">
        <v>17749.509999999998</v>
      </c>
      <c r="M6679" s="3565">
        <v>0</v>
      </c>
      <c r="N6679" s="3565">
        <v>0</v>
      </c>
      <c r="O6679" s="3563" t="s">
        <v>3453</v>
      </c>
    </row>
    <row r="6680" spans="1:15">
      <c r="A6680" s="3563" t="s">
        <v>10928</v>
      </c>
      <c r="B6680" s="3563" t="s">
        <v>4196</v>
      </c>
      <c r="C6680" s="3563" t="s">
        <v>4197</v>
      </c>
      <c r="D6680" s="3563" t="s">
        <v>10228</v>
      </c>
      <c r="E6680" s="3563" t="s">
        <v>5972</v>
      </c>
      <c r="F6680" s="3563" t="s">
        <v>4949</v>
      </c>
      <c r="G6680" s="3564">
        <v>142.15</v>
      </c>
      <c r="H6680" s="3564">
        <v>119.17</v>
      </c>
      <c r="I6680" s="3564">
        <v>22.98</v>
      </c>
      <c r="J6680" s="3565">
        <v>1885321</v>
      </c>
      <c r="K6680" s="3565">
        <v>13262.9</v>
      </c>
      <c r="L6680" s="3565">
        <v>15820.43</v>
      </c>
      <c r="M6680" s="3565">
        <v>0</v>
      </c>
      <c r="N6680" s="3565">
        <v>0</v>
      </c>
      <c r="O6680" s="3563" t="s">
        <v>3453</v>
      </c>
    </row>
    <row r="6681" spans="1:15">
      <c r="A6681" s="3563" t="s">
        <v>10929</v>
      </c>
      <c r="B6681" s="3563" t="s">
        <v>4196</v>
      </c>
      <c r="C6681" s="3563" t="s">
        <v>4197</v>
      </c>
      <c r="D6681" s="3563" t="s">
        <v>10228</v>
      </c>
      <c r="E6681" s="3563" t="s">
        <v>5972</v>
      </c>
      <c r="F6681" s="3563" t="s">
        <v>4949</v>
      </c>
      <c r="G6681" s="3564">
        <v>112.01</v>
      </c>
      <c r="H6681" s="3564">
        <v>91.75</v>
      </c>
      <c r="I6681" s="3564">
        <v>20.260000000000002</v>
      </c>
      <c r="J6681" s="3565">
        <v>1714561</v>
      </c>
      <c r="K6681" s="3565">
        <v>15307.21</v>
      </c>
      <c r="L6681" s="3565">
        <v>18687.310000000001</v>
      </c>
      <c r="M6681" s="3565">
        <v>0</v>
      </c>
      <c r="N6681" s="3565">
        <v>0</v>
      </c>
      <c r="O6681" s="3563" t="s">
        <v>3453</v>
      </c>
    </row>
    <row r="6682" spans="1:15">
      <c r="A6682" s="3563" t="s">
        <v>10930</v>
      </c>
      <c r="B6682" s="3563" t="s">
        <v>4196</v>
      </c>
      <c r="C6682" s="3563" t="s">
        <v>4197</v>
      </c>
      <c r="D6682" s="3563" t="s">
        <v>10228</v>
      </c>
      <c r="E6682" s="3563" t="s">
        <v>5972</v>
      </c>
      <c r="F6682" s="3563" t="s">
        <v>4949</v>
      </c>
      <c r="G6682" s="3564">
        <v>112.01</v>
      </c>
      <c r="H6682" s="3564">
        <v>91.75</v>
      </c>
      <c r="I6682" s="3564">
        <v>20.260000000000002</v>
      </c>
      <c r="J6682" s="3565">
        <v>1654981</v>
      </c>
      <c r="K6682" s="3565">
        <v>14775.3</v>
      </c>
      <c r="L6682" s="3565">
        <v>18037.939999999999</v>
      </c>
      <c r="M6682" s="3565">
        <v>0</v>
      </c>
      <c r="N6682" s="3565">
        <v>0</v>
      </c>
      <c r="O6682" s="3563" t="s">
        <v>3453</v>
      </c>
    </row>
    <row r="6683" spans="1:15">
      <c r="A6683" s="3563" t="s">
        <v>10931</v>
      </c>
      <c r="B6683" s="3563" t="s">
        <v>4196</v>
      </c>
      <c r="C6683" s="3563" t="s">
        <v>4197</v>
      </c>
      <c r="D6683" s="3563" t="s">
        <v>10228</v>
      </c>
      <c r="E6683" s="3563" t="s">
        <v>6127</v>
      </c>
      <c r="F6683" s="3563" t="s">
        <v>4949</v>
      </c>
      <c r="G6683" s="3564">
        <v>142.15</v>
      </c>
      <c r="H6683" s="3564">
        <v>119.17</v>
      </c>
      <c r="I6683" s="3564">
        <v>22.98</v>
      </c>
      <c r="J6683" s="3565">
        <v>1890363</v>
      </c>
      <c r="K6683" s="3565">
        <v>13298.37</v>
      </c>
      <c r="L6683" s="3565">
        <v>15862.74</v>
      </c>
      <c r="M6683" s="3565">
        <v>0</v>
      </c>
      <c r="N6683" s="3565">
        <v>0</v>
      </c>
      <c r="O6683" s="3563" t="s">
        <v>3453</v>
      </c>
    </row>
    <row r="6684" spans="1:15">
      <c r="A6684" s="3563" t="s">
        <v>10932</v>
      </c>
      <c r="B6684" s="3563" t="s">
        <v>4196</v>
      </c>
      <c r="C6684" s="3563" t="s">
        <v>4197</v>
      </c>
      <c r="D6684" s="3563" t="s">
        <v>10228</v>
      </c>
      <c r="E6684" s="3563" t="s">
        <v>6127</v>
      </c>
      <c r="F6684" s="3563" t="s">
        <v>4949</v>
      </c>
      <c r="G6684" s="3564">
        <v>142.15</v>
      </c>
      <c r="H6684" s="3564">
        <v>119.17</v>
      </c>
      <c r="I6684" s="3564">
        <v>22.98</v>
      </c>
      <c r="J6684" s="3565">
        <v>2058783</v>
      </c>
      <c r="K6684" s="3565">
        <v>14483.17</v>
      </c>
      <c r="L6684" s="3565">
        <v>17276.02</v>
      </c>
      <c r="M6684" s="3565">
        <v>0</v>
      </c>
      <c r="N6684" s="3565">
        <v>0</v>
      </c>
      <c r="O6684" s="3563" t="s">
        <v>3453</v>
      </c>
    </row>
    <row r="6685" spans="1:15">
      <c r="A6685" s="3563" t="s">
        <v>10933</v>
      </c>
      <c r="B6685" s="3563" t="s">
        <v>4196</v>
      </c>
      <c r="C6685" s="3563" t="s">
        <v>4197</v>
      </c>
      <c r="D6685" s="3563" t="s">
        <v>10228</v>
      </c>
      <c r="E6685" s="3563" t="s">
        <v>6127</v>
      </c>
      <c r="F6685" s="3563" t="s">
        <v>4949</v>
      </c>
      <c r="G6685" s="3564">
        <v>112.01</v>
      </c>
      <c r="H6685" s="3564">
        <v>91.75</v>
      </c>
      <c r="I6685" s="3564">
        <v>20.260000000000002</v>
      </c>
      <c r="J6685" s="3565">
        <v>1654981</v>
      </c>
      <c r="K6685" s="3565">
        <v>14775.3</v>
      </c>
      <c r="L6685" s="3565">
        <v>18037.939999999999</v>
      </c>
      <c r="M6685" s="3565">
        <v>0</v>
      </c>
      <c r="N6685" s="3565">
        <v>0</v>
      </c>
      <c r="O6685" s="3563" t="s">
        <v>3453</v>
      </c>
    </row>
    <row r="6686" spans="1:15">
      <c r="A6686" s="3563" t="s">
        <v>10934</v>
      </c>
      <c r="B6686" s="3563" t="s">
        <v>4196</v>
      </c>
      <c r="C6686" s="3563" t="s">
        <v>4197</v>
      </c>
      <c r="D6686" s="3563" t="s">
        <v>10228</v>
      </c>
      <c r="E6686" s="3563" t="s">
        <v>6127</v>
      </c>
      <c r="F6686" s="3563" t="s">
        <v>4949</v>
      </c>
      <c r="G6686" s="3564">
        <v>112.01</v>
      </c>
      <c r="H6686" s="3564">
        <v>91.75</v>
      </c>
      <c r="I6686" s="3564">
        <v>20.260000000000002</v>
      </c>
      <c r="J6686" s="3565">
        <v>1714561</v>
      </c>
      <c r="K6686" s="3565">
        <v>15307.21</v>
      </c>
      <c r="L6686" s="3565">
        <v>18687.310000000001</v>
      </c>
      <c r="M6686" s="3565">
        <v>0</v>
      </c>
      <c r="N6686" s="3565">
        <v>0</v>
      </c>
      <c r="O6686" s="3563" t="s">
        <v>3453</v>
      </c>
    </row>
    <row r="6687" spans="1:15">
      <c r="A6687" s="3563" t="s">
        <v>10935</v>
      </c>
      <c r="B6687" s="3563" t="s">
        <v>4196</v>
      </c>
      <c r="C6687" s="3563" t="s">
        <v>4197</v>
      </c>
      <c r="D6687" s="3563" t="s">
        <v>10228</v>
      </c>
      <c r="E6687" s="3563" t="s">
        <v>6127</v>
      </c>
      <c r="F6687" s="3563" t="s">
        <v>4949</v>
      </c>
      <c r="G6687" s="3564">
        <v>142.15</v>
      </c>
      <c r="H6687" s="3564">
        <v>119.17</v>
      </c>
      <c r="I6687" s="3564">
        <v>22.98</v>
      </c>
      <c r="J6687" s="3565">
        <v>2157241</v>
      </c>
      <c r="K6687" s="3565">
        <v>15175.81</v>
      </c>
      <c r="L6687" s="3565">
        <v>18102.22</v>
      </c>
      <c r="M6687" s="3565">
        <v>0</v>
      </c>
      <c r="N6687" s="3565">
        <v>0</v>
      </c>
      <c r="O6687" s="3563" t="s">
        <v>3453</v>
      </c>
    </row>
    <row r="6688" spans="1:15">
      <c r="A6688" s="3563" t="s">
        <v>10936</v>
      </c>
      <c r="B6688" s="3563" t="s">
        <v>4196</v>
      </c>
      <c r="C6688" s="3563" t="s">
        <v>4197</v>
      </c>
      <c r="D6688" s="3563" t="s">
        <v>10228</v>
      </c>
      <c r="E6688" s="3563" t="s">
        <v>6127</v>
      </c>
      <c r="F6688" s="3563" t="s">
        <v>4949</v>
      </c>
      <c r="G6688" s="3564">
        <v>142.15</v>
      </c>
      <c r="H6688" s="3564">
        <v>119.17</v>
      </c>
      <c r="I6688" s="3564">
        <v>22.98</v>
      </c>
      <c r="J6688" s="3565">
        <v>1890395</v>
      </c>
      <c r="K6688" s="3565">
        <v>13298.59</v>
      </c>
      <c r="L6688" s="3565">
        <v>15863.01</v>
      </c>
      <c r="M6688" s="3565">
        <v>0</v>
      </c>
      <c r="N6688" s="3565">
        <v>0</v>
      </c>
      <c r="O6688" s="3563" t="s">
        <v>3453</v>
      </c>
    </row>
    <row r="6689" spans="1:15">
      <c r="A6689" s="3563" t="s">
        <v>10937</v>
      </c>
      <c r="B6689" s="3563" t="s">
        <v>4196</v>
      </c>
      <c r="C6689" s="3563" t="s">
        <v>4197</v>
      </c>
      <c r="D6689" s="3563" t="s">
        <v>10228</v>
      </c>
      <c r="E6689" s="3563" t="s">
        <v>6127</v>
      </c>
      <c r="F6689" s="3563" t="s">
        <v>4949</v>
      </c>
      <c r="G6689" s="3564">
        <v>112.01</v>
      </c>
      <c r="H6689" s="3564">
        <v>91.75</v>
      </c>
      <c r="I6689" s="3564">
        <v>20.260000000000002</v>
      </c>
      <c r="J6689" s="3565">
        <v>1714561</v>
      </c>
      <c r="K6689" s="3565">
        <v>15307.21</v>
      </c>
      <c r="L6689" s="3565">
        <v>18687.310000000001</v>
      </c>
      <c r="M6689" s="3565">
        <v>0</v>
      </c>
      <c r="N6689" s="3565">
        <v>0</v>
      </c>
      <c r="O6689" s="3563" t="s">
        <v>3453</v>
      </c>
    </row>
    <row r="6690" spans="1:15">
      <c r="A6690" s="3563" t="s">
        <v>10938</v>
      </c>
      <c r="B6690" s="3563" t="s">
        <v>4196</v>
      </c>
      <c r="C6690" s="3563" t="s">
        <v>4197</v>
      </c>
      <c r="D6690" s="3563" t="s">
        <v>10228</v>
      </c>
      <c r="E6690" s="3563" t="s">
        <v>6127</v>
      </c>
      <c r="F6690" s="3563" t="s">
        <v>4949</v>
      </c>
      <c r="G6690" s="3564">
        <v>112.01</v>
      </c>
      <c r="H6690" s="3564">
        <v>91.75</v>
      </c>
      <c r="I6690" s="3564">
        <v>20.260000000000002</v>
      </c>
      <c r="J6690" s="3565">
        <v>1654981</v>
      </c>
      <c r="K6690" s="3565">
        <v>14775.3</v>
      </c>
      <c r="L6690" s="3565">
        <v>18037.939999999999</v>
      </c>
      <c r="M6690" s="3565">
        <v>0</v>
      </c>
      <c r="N6690" s="3565">
        <v>0</v>
      </c>
      <c r="O6690" s="3563" t="s">
        <v>3453</v>
      </c>
    </row>
    <row r="6691" spans="1:15">
      <c r="A6691" s="3563" t="s">
        <v>10939</v>
      </c>
      <c r="B6691" s="3563" t="s">
        <v>4196</v>
      </c>
      <c r="C6691" s="3563" t="s">
        <v>4197</v>
      </c>
      <c r="D6691" s="3563" t="s">
        <v>10228</v>
      </c>
      <c r="E6691" s="3563" t="s">
        <v>4948</v>
      </c>
      <c r="F6691" s="3563" t="s">
        <v>4949</v>
      </c>
      <c r="G6691" s="3564">
        <v>142.15</v>
      </c>
      <c r="H6691" s="3564">
        <v>119.17</v>
      </c>
      <c r="I6691" s="3564">
        <v>22.98</v>
      </c>
      <c r="J6691" s="3565">
        <v>1897193</v>
      </c>
      <c r="K6691" s="3565">
        <v>13346.42</v>
      </c>
      <c r="L6691" s="3565">
        <v>15920.06</v>
      </c>
      <c r="M6691" s="3565">
        <v>0</v>
      </c>
      <c r="N6691" s="3565">
        <v>0</v>
      </c>
      <c r="O6691" s="3563" t="s">
        <v>3453</v>
      </c>
    </row>
    <row r="6692" spans="1:15">
      <c r="A6692" s="3563" t="s">
        <v>10940</v>
      </c>
      <c r="B6692" s="3563" t="s">
        <v>4196</v>
      </c>
      <c r="C6692" s="3563" t="s">
        <v>4197</v>
      </c>
      <c r="D6692" s="3563" t="s">
        <v>10228</v>
      </c>
      <c r="E6692" s="3563" t="s">
        <v>4948</v>
      </c>
      <c r="F6692" s="3563" t="s">
        <v>4949</v>
      </c>
      <c r="G6692" s="3564">
        <v>142.15</v>
      </c>
      <c r="H6692" s="3564">
        <v>119.17</v>
      </c>
      <c r="I6692" s="3564">
        <v>22.98</v>
      </c>
      <c r="J6692" s="3565">
        <v>2170486</v>
      </c>
      <c r="K6692" s="3565">
        <v>15268.98</v>
      </c>
      <c r="L6692" s="3565">
        <v>18213.36</v>
      </c>
      <c r="M6692" s="3565">
        <v>0</v>
      </c>
      <c r="N6692" s="3565">
        <v>0</v>
      </c>
      <c r="O6692" s="3563" t="s">
        <v>3453</v>
      </c>
    </row>
    <row r="6693" spans="1:15">
      <c r="A6693" s="3563" t="s">
        <v>10941</v>
      </c>
      <c r="B6693" s="3563" t="s">
        <v>4196</v>
      </c>
      <c r="C6693" s="3563" t="s">
        <v>4197</v>
      </c>
      <c r="D6693" s="3563" t="s">
        <v>10228</v>
      </c>
      <c r="E6693" s="3563" t="s">
        <v>4948</v>
      </c>
      <c r="F6693" s="3563" t="s">
        <v>4949</v>
      </c>
      <c r="G6693" s="3564">
        <v>112.01</v>
      </c>
      <c r="H6693" s="3564">
        <v>91.75</v>
      </c>
      <c r="I6693" s="3564">
        <v>20.260000000000002</v>
      </c>
      <c r="J6693" s="3565">
        <v>1654981</v>
      </c>
      <c r="K6693" s="3565">
        <v>14775.3</v>
      </c>
      <c r="L6693" s="3565">
        <v>18037.939999999999</v>
      </c>
      <c r="M6693" s="3565">
        <v>0</v>
      </c>
      <c r="N6693" s="3565">
        <v>0</v>
      </c>
      <c r="O6693" s="3563" t="s">
        <v>3453</v>
      </c>
    </row>
    <row r="6694" spans="1:15">
      <c r="A6694" s="3563" t="s">
        <v>10942</v>
      </c>
      <c r="B6694" s="3563" t="s">
        <v>4196</v>
      </c>
      <c r="C6694" s="3563" t="s">
        <v>4197</v>
      </c>
      <c r="D6694" s="3563" t="s">
        <v>10228</v>
      </c>
      <c r="E6694" s="3563" t="s">
        <v>4948</v>
      </c>
      <c r="F6694" s="3563" t="s">
        <v>4949</v>
      </c>
      <c r="G6694" s="3564">
        <v>112.01</v>
      </c>
      <c r="H6694" s="3564">
        <v>91.75</v>
      </c>
      <c r="I6694" s="3564">
        <v>20.260000000000002</v>
      </c>
      <c r="J6694" s="3565">
        <v>1714561</v>
      </c>
      <c r="K6694" s="3565">
        <v>15307.21</v>
      </c>
      <c r="L6694" s="3565">
        <v>18687.310000000001</v>
      </c>
      <c r="M6694" s="3565">
        <v>0</v>
      </c>
      <c r="N6694" s="3565">
        <v>0</v>
      </c>
      <c r="O6694" s="3563" t="s">
        <v>3453</v>
      </c>
    </row>
    <row r="6695" spans="1:15">
      <c r="A6695" s="3563" t="s">
        <v>10943</v>
      </c>
      <c r="B6695" s="3563" t="s">
        <v>4196</v>
      </c>
      <c r="C6695" s="3563" t="s">
        <v>4197</v>
      </c>
      <c r="D6695" s="3563" t="s">
        <v>10228</v>
      </c>
      <c r="E6695" s="3563" t="s">
        <v>4948</v>
      </c>
      <c r="F6695" s="3563" t="s">
        <v>4949</v>
      </c>
      <c r="G6695" s="3564">
        <v>142.15</v>
      </c>
      <c r="H6695" s="3564">
        <v>119.17</v>
      </c>
      <c r="I6695" s="3564">
        <v>22.98</v>
      </c>
      <c r="J6695" s="3565">
        <v>2126443</v>
      </c>
      <c r="K6695" s="3565">
        <v>14959.15</v>
      </c>
      <c r="L6695" s="3565">
        <v>17843.78</v>
      </c>
      <c r="M6695" s="3565">
        <v>0</v>
      </c>
      <c r="N6695" s="3565">
        <v>0</v>
      </c>
      <c r="O6695" s="3563" t="s">
        <v>3453</v>
      </c>
    </row>
    <row r="6696" spans="1:15">
      <c r="A6696" s="3563" t="s">
        <v>10944</v>
      </c>
      <c r="B6696" s="3563" t="s">
        <v>4196</v>
      </c>
      <c r="C6696" s="3563" t="s">
        <v>4197</v>
      </c>
      <c r="D6696" s="3563" t="s">
        <v>10228</v>
      </c>
      <c r="E6696" s="3563" t="s">
        <v>4948</v>
      </c>
      <c r="F6696" s="3563" t="s">
        <v>4949</v>
      </c>
      <c r="G6696" s="3564">
        <v>142.15</v>
      </c>
      <c r="H6696" s="3564">
        <v>119.17</v>
      </c>
      <c r="I6696" s="3564">
        <v>22.98</v>
      </c>
      <c r="J6696" s="3565">
        <v>1897193</v>
      </c>
      <c r="K6696" s="3565">
        <v>13346.42</v>
      </c>
      <c r="L6696" s="3565">
        <v>15920.06</v>
      </c>
      <c r="M6696" s="3565">
        <v>0</v>
      </c>
      <c r="N6696" s="3565">
        <v>0</v>
      </c>
      <c r="O6696" s="3563" t="s">
        <v>3453</v>
      </c>
    </row>
    <row r="6697" spans="1:15">
      <c r="A6697" s="3563" t="s">
        <v>10945</v>
      </c>
      <c r="B6697" s="3563" t="s">
        <v>4196</v>
      </c>
      <c r="C6697" s="3563" t="s">
        <v>4197</v>
      </c>
      <c r="D6697" s="3563" t="s">
        <v>10228</v>
      </c>
      <c r="E6697" s="3563" t="s">
        <v>4948</v>
      </c>
      <c r="F6697" s="3563" t="s">
        <v>4949</v>
      </c>
      <c r="G6697" s="3564">
        <v>112.01</v>
      </c>
      <c r="H6697" s="3564">
        <v>91.75</v>
      </c>
      <c r="I6697" s="3564">
        <v>20.260000000000002</v>
      </c>
      <c r="J6697" s="3565">
        <v>1714561</v>
      </c>
      <c r="K6697" s="3565">
        <v>15307.21</v>
      </c>
      <c r="L6697" s="3565">
        <v>18687.310000000001</v>
      </c>
      <c r="M6697" s="3565">
        <v>0</v>
      </c>
      <c r="N6697" s="3565">
        <v>0</v>
      </c>
      <c r="O6697" s="3563" t="s">
        <v>3453</v>
      </c>
    </row>
    <row r="6698" spans="1:15">
      <c r="A6698" s="3563" t="s">
        <v>10946</v>
      </c>
      <c r="B6698" s="3563" t="s">
        <v>4196</v>
      </c>
      <c r="C6698" s="3563" t="s">
        <v>4197</v>
      </c>
      <c r="D6698" s="3563" t="s">
        <v>10228</v>
      </c>
      <c r="E6698" s="3563" t="s">
        <v>4948</v>
      </c>
      <c r="F6698" s="3563" t="s">
        <v>4949</v>
      </c>
      <c r="G6698" s="3564">
        <v>112.01</v>
      </c>
      <c r="H6698" s="3564">
        <v>91.75</v>
      </c>
      <c r="I6698" s="3564">
        <v>20.260000000000002</v>
      </c>
      <c r="J6698" s="3565">
        <v>1654981</v>
      </c>
      <c r="K6698" s="3565">
        <v>14775.3</v>
      </c>
      <c r="L6698" s="3565">
        <v>18037.939999999999</v>
      </c>
      <c r="M6698" s="3565">
        <v>0</v>
      </c>
      <c r="N6698" s="3565">
        <v>0</v>
      </c>
      <c r="O6698" s="3563" t="s">
        <v>3453</v>
      </c>
    </row>
    <row r="6699" spans="1:15">
      <c r="A6699" s="3563" t="s">
        <v>10947</v>
      </c>
      <c r="B6699" s="3563" t="s">
        <v>4196</v>
      </c>
      <c r="C6699" s="3563" t="s">
        <v>4197</v>
      </c>
      <c r="D6699" s="3563" t="s">
        <v>10228</v>
      </c>
      <c r="E6699" s="3563" t="s">
        <v>6277</v>
      </c>
      <c r="F6699" s="3563" t="s">
        <v>4949</v>
      </c>
      <c r="G6699" s="3564">
        <v>141.97999999999999</v>
      </c>
      <c r="H6699" s="3564">
        <v>119.17</v>
      </c>
      <c r="I6699" s="3564">
        <v>22.81</v>
      </c>
      <c r="J6699" s="3565">
        <v>1865305</v>
      </c>
      <c r="K6699" s="3565">
        <v>13137.8</v>
      </c>
      <c r="L6699" s="3565">
        <v>15652.47</v>
      </c>
      <c r="M6699" s="3565">
        <v>0</v>
      </c>
      <c r="N6699" s="3565">
        <v>0</v>
      </c>
      <c r="O6699" s="3563" t="s">
        <v>3453</v>
      </c>
    </row>
    <row r="6700" spans="1:15">
      <c r="A6700" s="3563" t="s">
        <v>10948</v>
      </c>
      <c r="B6700" s="3563" t="s">
        <v>4196</v>
      </c>
      <c r="C6700" s="3563" t="s">
        <v>4197</v>
      </c>
      <c r="D6700" s="3563" t="s">
        <v>10228</v>
      </c>
      <c r="E6700" s="3563" t="s">
        <v>6277</v>
      </c>
      <c r="F6700" s="3563" t="s">
        <v>4949</v>
      </c>
      <c r="G6700" s="3564">
        <v>141.97999999999999</v>
      </c>
      <c r="H6700" s="3564">
        <v>119.17</v>
      </c>
      <c r="I6700" s="3564">
        <v>22.81</v>
      </c>
      <c r="J6700" s="3565">
        <v>2094337</v>
      </c>
      <c r="K6700" s="3565">
        <v>14750.93</v>
      </c>
      <c r="L6700" s="3565">
        <v>17574.36</v>
      </c>
      <c r="M6700" s="3565">
        <v>0</v>
      </c>
      <c r="N6700" s="3565">
        <v>0</v>
      </c>
      <c r="O6700" s="3563" t="s">
        <v>3453</v>
      </c>
    </row>
    <row r="6701" spans="1:15">
      <c r="A6701" s="3563" t="s">
        <v>10949</v>
      </c>
      <c r="B6701" s="3563" t="s">
        <v>4196</v>
      </c>
      <c r="C6701" s="3563" t="s">
        <v>4197</v>
      </c>
      <c r="D6701" s="3563" t="s">
        <v>10228</v>
      </c>
      <c r="E6701" s="3563" t="s">
        <v>6277</v>
      </c>
      <c r="F6701" s="3563" t="s">
        <v>4949</v>
      </c>
      <c r="G6701" s="3564">
        <v>111.88</v>
      </c>
      <c r="H6701" s="3564">
        <v>91.75</v>
      </c>
      <c r="I6701" s="3564">
        <v>20.13</v>
      </c>
      <c r="J6701" s="3565">
        <v>1629809</v>
      </c>
      <c r="K6701" s="3565">
        <v>14567.47</v>
      </c>
      <c r="L6701" s="3565">
        <v>17763.59</v>
      </c>
      <c r="M6701" s="3565">
        <v>0</v>
      </c>
      <c r="N6701" s="3565">
        <v>0</v>
      </c>
      <c r="O6701" s="3563" t="s">
        <v>3453</v>
      </c>
    </row>
    <row r="6702" spans="1:15">
      <c r="A6702" s="3563" t="s">
        <v>10950</v>
      </c>
      <c r="B6702" s="3563" t="s">
        <v>4196</v>
      </c>
      <c r="C6702" s="3563" t="s">
        <v>4197</v>
      </c>
      <c r="D6702" s="3563" t="s">
        <v>10228</v>
      </c>
      <c r="E6702" s="3563" t="s">
        <v>6277</v>
      </c>
      <c r="F6702" s="3563" t="s">
        <v>4949</v>
      </c>
      <c r="G6702" s="3564">
        <v>111.88</v>
      </c>
      <c r="H6702" s="3564">
        <v>91.75</v>
      </c>
      <c r="I6702" s="3564">
        <v>20.13</v>
      </c>
      <c r="J6702" s="3565">
        <v>1689320</v>
      </c>
      <c r="K6702" s="3565">
        <v>15099.39</v>
      </c>
      <c r="L6702" s="3565">
        <v>18412.21</v>
      </c>
      <c r="M6702" s="3565">
        <v>0</v>
      </c>
      <c r="N6702" s="3565">
        <v>0</v>
      </c>
      <c r="O6702" s="3563" t="s">
        <v>3453</v>
      </c>
    </row>
    <row r="6703" spans="1:15">
      <c r="A6703" s="3563" t="s">
        <v>10951</v>
      </c>
      <c r="B6703" s="3563" t="s">
        <v>4196</v>
      </c>
      <c r="C6703" s="3563" t="s">
        <v>4197</v>
      </c>
      <c r="D6703" s="3563" t="s">
        <v>10228</v>
      </c>
      <c r="E6703" s="3563" t="s">
        <v>6277</v>
      </c>
      <c r="F6703" s="3563" t="s">
        <v>4949</v>
      </c>
      <c r="G6703" s="3564">
        <v>141.97999999999999</v>
      </c>
      <c r="H6703" s="3564">
        <v>119.17</v>
      </c>
      <c r="I6703" s="3564">
        <v>22.81</v>
      </c>
      <c r="J6703" s="3565">
        <v>1865177</v>
      </c>
      <c r="K6703" s="3565">
        <v>13136.9</v>
      </c>
      <c r="L6703" s="3565">
        <v>15651.4</v>
      </c>
      <c r="M6703" s="3565">
        <v>0</v>
      </c>
      <c r="N6703" s="3565">
        <v>0</v>
      </c>
      <c r="O6703" s="3563" t="s">
        <v>3453</v>
      </c>
    </row>
    <row r="6704" spans="1:15">
      <c r="A6704" s="3563" t="s">
        <v>10952</v>
      </c>
      <c r="B6704" s="3563" t="s">
        <v>4196</v>
      </c>
      <c r="C6704" s="3563" t="s">
        <v>4197</v>
      </c>
      <c r="D6704" s="3563" t="s">
        <v>10228</v>
      </c>
      <c r="E6704" s="3563" t="s">
        <v>6277</v>
      </c>
      <c r="F6704" s="3563" t="s">
        <v>4949</v>
      </c>
      <c r="G6704" s="3564">
        <v>141.97999999999999</v>
      </c>
      <c r="H6704" s="3564">
        <v>119.17</v>
      </c>
      <c r="I6704" s="3564">
        <v>22.81</v>
      </c>
      <c r="J6704" s="3565">
        <v>1866071</v>
      </c>
      <c r="K6704" s="3565">
        <v>13143.2</v>
      </c>
      <c r="L6704" s="3565">
        <v>15658.9</v>
      </c>
      <c r="M6704" s="3565">
        <v>0</v>
      </c>
      <c r="N6704" s="3565">
        <v>0</v>
      </c>
      <c r="O6704" s="3563" t="s">
        <v>3453</v>
      </c>
    </row>
    <row r="6705" spans="1:15">
      <c r="A6705" s="3563" t="s">
        <v>10953</v>
      </c>
      <c r="B6705" s="3563" t="s">
        <v>4196</v>
      </c>
      <c r="C6705" s="3563" t="s">
        <v>4197</v>
      </c>
      <c r="D6705" s="3563" t="s">
        <v>10228</v>
      </c>
      <c r="E6705" s="3563" t="s">
        <v>6277</v>
      </c>
      <c r="F6705" s="3563" t="s">
        <v>4949</v>
      </c>
      <c r="G6705" s="3564">
        <v>111.88</v>
      </c>
      <c r="H6705" s="3564">
        <v>91.75</v>
      </c>
      <c r="I6705" s="3564">
        <v>20.13</v>
      </c>
      <c r="J6705" s="3565">
        <v>1629809</v>
      </c>
      <c r="K6705" s="3565">
        <v>14567.47</v>
      </c>
      <c r="L6705" s="3565">
        <v>17763.59</v>
      </c>
      <c r="M6705" s="3565">
        <v>0</v>
      </c>
      <c r="N6705" s="3565">
        <v>0</v>
      </c>
      <c r="O6705" s="3563" t="s">
        <v>3453</v>
      </c>
    </row>
    <row r="6706" spans="1:15">
      <c r="A6706" s="3563" t="s">
        <v>10954</v>
      </c>
      <c r="B6706" s="3563" t="s">
        <v>4196</v>
      </c>
      <c r="C6706" s="3563" t="s">
        <v>4197</v>
      </c>
      <c r="D6706" s="3563" t="s">
        <v>10228</v>
      </c>
      <c r="E6706" s="3563" t="s">
        <v>6277</v>
      </c>
      <c r="F6706" s="3563" t="s">
        <v>4949</v>
      </c>
      <c r="G6706" s="3564">
        <v>111.88</v>
      </c>
      <c r="H6706" s="3564">
        <v>91.75</v>
      </c>
      <c r="I6706" s="3564">
        <v>20.13</v>
      </c>
      <c r="J6706" s="3565">
        <v>1629809</v>
      </c>
      <c r="K6706" s="3565">
        <v>14567.47</v>
      </c>
      <c r="L6706" s="3565">
        <v>17763.59</v>
      </c>
      <c r="M6706" s="3565">
        <v>0</v>
      </c>
      <c r="N6706" s="3565">
        <v>0</v>
      </c>
      <c r="O6706" s="3563" t="s">
        <v>3453</v>
      </c>
    </row>
    <row r="6707" spans="1:15">
      <c r="A6707" s="3563" t="s">
        <v>10955</v>
      </c>
      <c r="B6707" s="3563" t="s">
        <v>3453</v>
      </c>
      <c r="C6707" s="3563" t="s">
        <v>4197</v>
      </c>
      <c r="D6707" s="3563" t="s">
        <v>10228</v>
      </c>
      <c r="E6707" s="3563" t="s">
        <v>6277</v>
      </c>
      <c r="F6707" s="3563" t="s">
        <v>4949</v>
      </c>
      <c r="G6707" s="3564">
        <v>141.97999999999999</v>
      </c>
      <c r="H6707" s="3564">
        <v>119.17</v>
      </c>
      <c r="I6707" s="3564">
        <v>22.81</v>
      </c>
      <c r="J6707" s="3565">
        <v>2116135</v>
      </c>
      <c r="K6707" s="3565">
        <v>14904.46</v>
      </c>
      <c r="L6707" s="3565">
        <v>17757.28</v>
      </c>
      <c r="M6707" s="3565">
        <v>0</v>
      </c>
      <c r="N6707" s="3565">
        <v>0</v>
      </c>
      <c r="O6707" s="3563" t="s">
        <v>3453</v>
      </c>
    </row>
    <row r="6708" spans="1:15">
      <c r="A6708" s="3563" t="s">
        <v>10956</v>
      </c>
      <c r="B6708" s="3563" t="s">
        <v>4196</v>
      </c>
      <c r="C6708" s="3563" t="s">
        <v>4197</v>
      </c>
      <c r="D6708" s="3563" t="s">
        <v>10228</v>
      </c>
      <c r="E6708" s="3563" t="s">
        <v>6277</v>
      </c>
      <c r="F6708" s="3563" t="s">
        <v>4949</v>
      </c>
      <c r="G6708" s="3564">
        <v>141.97999999999999</v>
      </c>
      <c r="H6708" s="3564">
        <v>119.17</v>
      </c>
      <c r="I6708" s="3564">
        <v>22.81</v>
      </c>
      <c r="J6708" s="3565">
        <v>1865177</v>
      </c>
      <c r="K6708" s="3565">
        <v>13136.9</v>
      </c>
      <c r="L6708" s="3565">
        <v>15651.4</v>
      </c>
      <c r="M6708" s="3565">
        <v>0</v>
      </c>
      <c r="N6708" s="3565">
        <v>0</v>
      </c>
      <c r="O6708" s="3563" t="s">
        <v>3453</v>
      </c>
    </row>
    <row r="6709" spans="1:15">
      <c r="A6709" s="3563" t="s">
        <v>10957</v>
      </c>
      <c r="B6709" s="3563" t="s">
        <v>4196</v>
      </c>
      <c r="C6709" s="3563" t="s">
        <v>4197</v>
      </c>
      <c r="D6709" s="3563" t="s">
        <v>10228</v>
      </c>
      <c r="E6709" s="3563" t="s">
        <v>6277</v>
      </c>
      <c r="F6709" s="3563" t="s">
        <v>4949</v>
      </c>
      <c r="G6709" s="3564">
        <v>111.88</v>
      </c>
      <c r="H6709" s="3564">
        <v>91.75</v>
      </c>
      <c r="I6709" s="3564">
        <v>20.13</v>
      </c>
      <c r="J6709" s="3565">
        <v>1689320</v>
      </c>
      <c r="K6709" s="3565">
        <v>15099.39</v>
      </c>
      <c r="L6709" s="3565">
        <v>18412.21</v>
      </c>
      <c r="M6709" s="3565">
        <v>0</v>
      </c>
      <c r="N6709" s="3565">
        <v>0</v>
      </c>
      <c r="O6709" s="3563" t="s">
        <v>3453</v>
      </c>
    </row>
    <row r="6710" spans="1:15">
      <c r="A6710" s="3563" t="s">
        <v>10958</v>
      </c>
      <c r="B6710" s="3563" t="s">
        <v>4196</v>
      </c>
      <c r="C6710" s="3563" t="s">
        <v>4197</v>
      </c>
      <c r="D6710" s="3563" t="s">
        <v>10228</v>
      </c>
      <c r="E6710" s="3563" t="s">
        <v>6277</v>
      </c>
      <c r="F6710" s="3563" t="s">
        <v>4949</v>
      </c>
      <c r="G6710" s="3564">
        <v>111.88</v>
      </c>
      <c r="H6710" s="3564">
        <v>91.75</v>
      </c>
      <c r="I6710" s="3564">
        <v>20.13</v>
      </c>
      <c r="J6710" s="3565">
        <v>1629809</v>
      </c>
      <c r="K6710" s="3565">
        <v>14567.47</v>
      </c>
      <c r="L6710" s="3565">
        <v>17763.59</v>
      </c>
      <c r="M6710" s="3565">
        <v>0</v>
      </c>
      <c r="N6710" s="3565">
        <v>0</v>
      </c>
      <c r="O6710" s="3563" t="s">
        <v>3453</v>
      </c>
    </row>
    <row r="6711" spans="1:15">
      <c r="A6711" s="3563" t="s">
        <v>10959</v>
      </c>
      <c r="B6711" s="3563" t="s">
        <v>4196</v>
      </c>
      <c r="C6711" s="3563" t="s">
        <v>4197</v>
      </c>
      <c r="D6711" s="3563" t="s">
        <v>10228</v>
      </c>
      <c r="E6711" s="3563" t="s">
        <v>6294</v>
      </c>
      <c r="F6711" s="3563" t="s">
        <v>4949</v>
      </c>
      <c r="G6711" s="3564">
        <v>141.97999999999999</v>
      </c>
      <c r="H6711" s="3564">
        <v>119.17</v>
      </c>
      <c r="I6711" s="3564">
        <v>22.81</v>
      </c>
      <c r="J6711" s="3565">
        <v>1864347</v>
      </c>
      <c r="K6711" s="3565">
        <v>13131.05</v>
      </c>
      <c r="L6711" s="3565">
        <v>15644.43</v>
      </c>
      <c r="M6711" s="3565">
        <v>0</v>
      </c>
      <c r="N6711" s="3565">
        <v>0</v>
      </c>
      <c r="O6711" s="3563" t="s">
        <v>3453</v>
      </c>
    </row>
    <row r="6712" spans="1:15">
      <c r="A6712" s="3563" t="s">
        <v>10960</v>
      </c>
      <c r="B6712" s="3563" t="s">
        <v>4196</v>
      </c>
      <c r="C6712" s="3563" t="s">
        <v>4197</v>
      </c>
      <c r="D6712" s="3563" t="s">
        <v>10228</v>
      </c>
      <c r="E6712" s="3563" t="s">
        <v>6294</v>
      </c>
      <c r="F6712" s="3563" t="s">
        <v>4949</v>
      </c>
      <c r="G6712" s="3564">
        <v>141.97999999999999</v>
      </c>
      <c r="H6712" s="3564">
        <v>119.17</v>
      </c>
      <c r="I6712" s="3564">
        <v>22.81</v>
      </c>
      <c r="J6712" s="3565">
        <v>2041135</v>
      </c>
      <c r="K6712" s="3565">
        <v>14376.21</v>
      </c>
      <c r="L6712" s="3565">
        <v>17127.93</v>
      </c>
      <c r="M6712" s="3565">
        <v>0</v>
      </c>
      <c r="N6712" s="3565">
        <v>0</v>
      </c>
      <c r="O6712" s="3563" t="s">
        <v>3453</v>
      </c>
    </row>
    <row r="6713" spans="1:15">
      <c r="A6713" s="3563" t="s">
        <v>10961</v>
      </c>
      <c r="B6713" s="3563" t="s">
        <v>4196</v>
      </c>
      <c r="C6713" s="3563" t="s">
        <v>4197</v>
      </c>
      <c r="D6713" s="3563" t="s">
        <v>10228</v>
      </c>
      <c r="E6713" s="3563" t="s">
        <v>6294</v>
      </c>
      <c r="F6713" s="3563" t="s">
        <v>4949</v>
      </c>
      <c r="G6713" s="3564">
        <v>111.88</v>
      </c>
      <c r="H6713" s="3564">
        <v>91.75</v>
      </c>
      <c r="I6713" s="3564">
        <v>20.13</v>
      </c>
      <c r="J6713" s="3565">
        <v>1629809</v>
      </c>
      <c r="K6713" s="3565">
        <v>14567.47</v>
      </c>
      <c r="L6713" s="3565">
        <v>17763.59</v>
      </c>
      <c r="M6713" s="3565">
        <v>0</v>
      </c>
      <c r="N6713" s="3565">
        <v>0</v>
      </c>
      <c r="O6713" s="3563" t="s">
        <v>3453</v>
      </c>
    </row>
    <row r="6714" spans="1:15">
      <c r="A6714" s="3563" t="s">
        <v>10962</v>
      </c>
      <c r="B6714" s="3563" t="s">
        <v>4196</v>
      </c>
      <c r="C6714" s="3563" t="s">
        <v>4197</v>
      </c>
      <c r="D6714" s="3563" t="s">
        <v>10228</v>
      </c>
      <c r="E6714" s="3563" t="s">
        <v>6294</v>
      </c>
      <c r="F6714" s="3563" t="s">
        <v>4949</v>
      </c>
      <c r="G6714" s="3564">
        <v>111.88</v>
      </c>
      <c r="H6714" s="3564">
        <v>91.75</v>
      </c>
      <c r="I6714" s="3564">
        <v>20.13</v>
      </c>
      <c r="J6714" s="3565">
        <v>1689320</v>
      </c>
      <c r="K6714" s="3565">
        <v>15099.39</v>
      </c>
      <c r="L6714" s="3565">
        <v>18412.21</v>
      </c>
      <c r="M6714" s="3565">
        <v>0</v>
      </c>
      <c r="N6714" s="3565">
        <v>0</v>
      </c>
      <c r="O6714" s="3563" t="s">
        <v>3453</v>
      </c>
    </row>
    <row r="6715" spans="1:15">
      <c r="A6715" s="3563" t="s">
        <v>10963</v>
      </c>
      <c r="B6715" s="3563" t="s">
        <v>4196</v>
      </c>
      <c r="C6715" s="3563" t="s">
        <v>4197</v>
      </c>
      <c r="D6715" s="3563" t="s">
        <v>10228</v>
      </c>
      <c r="E6715" s="3563" t="s">
        <v>6294</v>
      </c>
      <c r="F6715" s="3563" t="s">
        <v>4949</v>
      </c>
      <c r="G6715" s="3564">
        <v>141.97999999999999</v>
      </c>
      <c r="H6715" s="3564">
        <v>119.17</v>
      </c>
      <c r="I6715" s="3564">
        <v>22.81</v>
      </c>
      <c r="J6715" s="3565">
        <v>1863230</v>
      </c>
      <c r="K6715" s="3565">
        <v>13123.19</v>
      </c>
      <c r="L6715" s="3565">
        <v>15635.06</v>
      </c>
      <c r="M6715" s="3565">
        <v>0</v>
      </c>
      <c r="N6715" s="3565">
        <v>0</v>
      </c>
      <c r="O6715" s="3563" t="s">
        <v>3453</v>
      </c>
    </row>
    <row r="6716" spans="1:15">
      <c r="A6716" s="3563" t="s">
        <v>10964</v>
      </c>
      <c r="B6716" s="3563" t="s">
        <v>4196</v>
      </c>
      <c r="C6716" s="3563" t="s">
        <v>4197</v>
      </c>
      <c r="D6716" s="3563" t="s">
        <v>10228</v>
      </c>
      <c r="E6716" s="3563" t="s">
        <v>6294</v>
      </c>
      <c r="F6716" s="3563" t="s">
        <v>4949</v>
      </c>
      <c r="G6716" s="3564">
        <v>141.97999999999999</v>
      </c>
      <c r="H6716" s="3564">
        <v>119.17</v>
      </c>
      <c r="I6716" s="3564">
        <v>22.81</v>
      </c>
      <c r="J6716" s="3565">
        <v>1865113</v>
      </c>
      <c r="K6716" s="3565">
        <v>13136.45</v>
      </c>
      <c r="L6716" s="3565">
        <v>15650.86</v>
      </c>
      <c r="M6716" s="3565">
        <v>0</v>
      </c>
      <c r="N6716" s="3565">
        <v>0</v>
      </c>
      <c r="O6716" s="3563" t="s">
        <v>3453</v>
      </c>
    </row>
    <row r="6717" spans="1:15">
      <c r="A6717" s="3563" t="s">
        <v>10965</v>
      </c>
      <c r="B6717" s="3563" t="s">
        <v>4196</v>
      </c>
      <c r="C6717" s="3563" t="s">
        <v>4197</v>
      </c>
      <c r="D6717" s="3563" t="s">
        <v>10228</v>
      </c>
      <c r="E6717" s="3563" t="s">
        <v>6294</v>
      </c>
      <c r="F6717" s="3563" t="s">
        <v>4949</v>
      </c>
      <c r="G6717" s="3564">
        <v>111.88</v>
      </c>
      <c r="H6717" s="3564">
        <v>91.75</v>
      </c>
      <c r="I6717" s="3564">
        <v>20.13</v>
      </c>
      <c r="J6717" s="3565">
        <v>1629809</v>
      </c>
      <c r="K6717" s="3565">
        <v>14567.47</v>
      </c>
      <c r="L6717" s="3565">
        <v>17763.59</v>
      </c>
      <c r="M6717" s="3565">
        <v>0</v>
      </c>
      <c r="N6717" s="3565">
        <v>0</v>
      </c>
      <c r="O6717" s="3563" t="s">
        <v>3453</v>
      </c>
    </row>
    <row r="6718" spans="1:15">
      <c r="A6718" s="3563" t="s">
        <v>10966</v>
      </c>
      <c r="B6718" s="3563" t="s">
        <v>4196</v>
      </c>
      <c r="C6718" s="3563" t="s">
        <v>4197</v>
      </c>
      <c r="D6718" s="3563" t="s">
        <v>10228</v>
      </c>
      <c r="E6718" s="3563" t="s">
        <v>6294</v>
      </c>
      <c r="F6718" s="3563" t="s">
        <v>4949</v>
      </c>
      <c r="G6718" s="3564">
        <v>111.88</v>
      </c>
      <c r="H6718" s="3564">
        <v>91.75</v>
      </c>
      <c r="I6718" s="3564">
        <v>20.13</v>
      </c>
      <c r="J6718" s="3565">
        <v>1629809</v>
      </c>
      <c r="K6718" s="3565">
        <v>14567.47</v>
      </c>
      <c r="L6718" s="3565">
        <v>17763.59</v>
      </c>
      <c r="M6718" s="3565">
        <v>0</v>
      </c>
      <c r="N6718" s="3565">
        <v>0</v>
      </c>
      <c r="O6718" s="3563" t="s">
        <v>3453</v>
      </c>
    </row>
    <row r="6719" spans="1:15">
      <c r="A6719" s="3563" t="s">
        <v>10967</v>
      </c>
      <c r="B6719" s="3563" t="s">
        <v>4196</v>
      </c>
      <c r="C6719" s="3563" t="s">
        <v>4197</v>
      </c>
      <c r="D6719" s="3563" t="s">
        <v>10228</v>
      </c>
      <c r="E6719" s="3563" t="s">
        <v>6294</v>
      </c>
      <c r="F6719" s="3563" t="s">
        <v>4949</v>
      </c>
      <c r="G6719" s="3564">
        <v>141.97999999999999</v>
      </c>
      <c r="H6719" s="3564">
        <v>119.17</v>
      </c>
      <c r="I6719" s="3564">
        <v>22.81</v>
      </c>
      <c r="J6719" s="3565">
        <v>2089230</v>
      </c>
      <c r="K6719" s="3565">
        <v>14714.96</v>
      </c>
      <c r="L6719" s="3565">
        <v>17531.509999999998</v>
      </c>
      <c r="M6719" s="3565">
        <v>0</v>
      </c>
      <c r="N6719" s="3565">
        <v>0</v>
      </c>
      <c r="O6719" s="3563" t="s">
        <v>3453</v>
      </c>
    </row>
    <row r="6720" spans="1:15">
      <c r="A6720" s="3563" t="s">
        <v>10968</v>
      </c>
      <c r="B6720" s="3563" t="s">
        <v>4196</v>
      </c>
      <c r="C6720" s="3563" t="s">
        <v>4197</v>
      </c>
      <c r="D6720" s="3563" t="s">
        <v>10228</v>
      </c>
      <c r="E6720" s="3563" t="s">
        <v>6294</v>
      </c>
      <c r="F6720" s="3563" t="s">
        <v>4949</v>
      </c>
      <c r="G6720" s="3564">
        <v>141.97999999999999</v>
      </c>
      <c r="H6720" s="3564">
        <v>119.17</v>
      </c>
      <c r="I6720" s="3564">
        <v>22.81</v>
      </c>
      <c r="J6720" s="3565">
        <v>1864220</v>
      </c>
      <c r="K6720" s="3565">
        <v>13130.16</v>
      </c>
      <c r="L6720" s="3565">
        <v>15643.37</v>
      </c>
      <c r="M6720" s="3565">
        <v>0</v>
      </c>
      <c r="N6720" s="3565">
        <v>0</v>
      </c>
      <c r="O6720" s="3563" t="s">
        <v>3453</v>
      </c>
    </row>
    <row r="6721" spans="1:15">
      <c r="A6721" s="3563" t="s">
        <v>10969</v>
      </c>
      <c r="B6721" s="3563" t="s">
        <v>4196</v>
      </c>
      <c r="C6721" s="3563" t="s">
        <v>4197</v>
      </c>
      <c r="D6721" s="3563" t="s">
        <v>10228</v>
      </c>
      <c r="E6721" s="3563" t="s">
        <v>6294</v>
      </c>
      <c r="F6721" s="3563" t="s">
        <v>4949</v>
      </c>
      <c r="G6721" s="3564">
        <v>111.88</v>
      </c>
      <c r="H6721" s="3564">
        <v>91.75</v>
      </c>
      <c r="I6721" s="3564">
        <v>20.13</v>
      </c>
      <c r="J6721" s="3565">
        <v>1689320</v>
      </c>
      <c r="K6721" s="3565">
        <v>15099.39</v>
      </c>
      <c r="L6721" s="3565">
        <v>18412.21</v>
      </c>
      <c r="M6721" s="3565">
        <v>0</v>
      </c>
      <c r="N6721" s="3565">
        <v>0</v>
      </c>
      <c r="O6721" s="3563" t="s">
        <v>3453</v>
      </c>
    </row>
    <row r="6722" spans="1:15">
      <c r="A6722" s="3563" t="s">
        <v>10970</v>
      </c>
      <c r="B6722" s="3563" t="s">
        <v>4196</v>
      </c>
      <c r="C6722" s="3563" t="s">
        <v>4197</v>
      </c>
      <c r="D6722" s="3563" t="s">
        <v>10228</v>
      </c>
      <c r="E6722" s="3563" t="s">
        <v>6294</v>
      </c>
      <c r="F6722" s="3563" t="s">
        <v>4949</v>
      </c>
      <c r="G6722" s="3564">
        <v>111.88</v>
      </c>
      <c r="H6722" s="3564">
        <v>91.75</v>
      </c>
      <c r="I6722" s="3564">
        <v>20.13</v>
      </c>
      <c r="J6722" s="3565">
        <v>1629809</v>
      </c>
      <c r="K6722" s="3565">
        <v>14567.47</v>
      </c>
      <c r="L6722" s="3565">
        <v>17763.59</v>
      </c>
      <c r="M6722" s="3565">
        <v>0</v>
      </c>
      <c r="N6722" s="3565">
        <v>0</v>
      </c>
      <c r="O6722" s="3563" t="s">
        <v>3453</v>
      </c>
    </row>
    <row r="6723" spans="1:15">
      <c r="A6723" s="3563" t="s">
        <v>10971</v>
      </c>
      <c r="B6723" s="3563" t="s">
        <v>4196</v>
      </c>
      <c r="C6723" s="3563" t="s">
        <v>4197</v>
      </c>
      <c r="D6723" s="3563" t="s">
        <v>10228</v>
      </c>
      <c r="E6723" s="3563" t="s">
        <v>6319</v>
      </c>
      <c r="F6723" s="3563" t="s">
        <v>4949</v>
      </c>
      <c r="G6723" s="3564">
        <v>141.97999999999999</v>
      </c>
      <c r="H6723" s="3564">
        <v>119.17</v>
      </c>
      <c r="I6723" s="3564">
        <v>22.81</v>
      </c>
      <c r="J6723" s="3565">
        <v>1864347</v>
      </c>
      <c r="K6723" s="3565">
        <v>13131.05</v>
      </c>
      <c r="L6723" s="3565">
        <v>15644.43</v>
      </c>
      <c r="M6723" s="3565">
        <v>0</v>
      </c>
      <c r="N6723" s="3565">
        <v>0</v>
      </c>
      <c r="O6723" s="3563" t="s">
        <v>3453</v>
      </c>
    </row>
    <row r="6724" spans="1:15">
      <c r="A6724" s="3563" t="s">
        <v>10972</v>
      </c>
      <c r="B6724" s="3563" t="s">
        <v>4196</v>
      </c>
      <c r="C6724" s="3563" t="s">
        <v>4197</v>
      </c>
      <c r="D6724" s="3563" t="s">
        <v>10228</v>
      </c>
      <c r="E6724" s="3563" t="s">
        <v>6319</v>
      </c>
      <c r="F6724" s="3563" t="s">
        <v>4949</v>
      </c>
      <c r="G6724" s="3564">
        <v>141.97999999999999</v>
      </c>
      <c r="H6724" s="3564">
        <v>119.17</v>
      </c>
      <c r="I6724" s="3564">
        <v>22.81</v>
      </c>
      <c r="J6724" s="3565">
        <v>2088720</v>
      </c>
      <c r="K6724" s="3565">
        <v>14711.37</v>
      </c>
      <c r="L6724" s="3565">
        <v>17527.23</v>
      </c>
      <c r="M6724" s="3565">
        <v>0</v>
      </c>
      <c r="N6724" s="3565">
        <v>0</v>
      </c>
      <c r="O6724" s="3563" t="s">
        <v>3453</v>
      </c>
    </row>
    <row r="6725" spans="1:15">
      <c r="A6725" s="3563" t="s">
        <v>10973</v>
      </c>
      <c r="B6725" s="3563" t="s">
        <v>4196</v>
      </c>
      <c r="C6725" s="3563" t="s">
        <v>4197</v>
      </c>
      <c r="D6725" s="3563" t="s">
        <v>10228</v>
      </c>
      <c r="E6725" s="3563" t="s">
        <v>6319</v>
      </c>
      <c r="F6725" s="3563" t="s">
        <v>4949</v>
      </c>
      <c r="G6725" s="3564">
        <v>111.88</v>
      </c>
      <c r="H6725" s="3564">
        <v>91.75</v>
      </c>
      <c r="I6725" s="3564">
        <v>20.13</v>
      </c>
      <c r="J6725" s="3565">
        <v>1629809</v>
      </c>
      <c r="K6725" s="3565">
        <v>14567.47</v>
      </c>
      <c r="L6725" s="3565">
        <v>17763.59</v>
      </c>
      <c r="M6725" s="3565">
        <v>0</v>
      </c>
      <c r="N6725" s="3565">
        <v>0</v>
      </c>
      <c r="O6725" s="3563" t="s">
        <v>3453</v>
      </c>
    </row>
    <row r="6726" spans="1:15">
      <c r="A6726" s="3563" t="s">
        <v>10974</v>
      </c>
      <c r="B6726" s="3563" t="s">
        <v>4196</v>
      </c>
      <c r="C6726" s="3563" t="s">
        <v>4197</v>
      </c>
      <c r="D6726" s="3563" t="s">
        <v>10228</v>
      </c>
      <c r="E6726" s="3563" t="s">
        <v>6319</v>
      </c>
      <c r="F6726" s="3563" t="s">
        <v>4949</v>
      </c>
      <c r="G6726" s="3564">
        <v>111.88</v>
      </c>
      <c r="H6726" s="3564">
        <v>91.75</v>
      </c>
      <c r="I6726" s="3564">
        <v>20.13</v>
      </c>
      <c r="J6726" s="3565">
        <v>1689320</v>
      </c>
      <c r="K6726" s="3565">
        <v>15099.39</v>
      </c>
      <c r="L6726" s="3565">
        <v>18412.21</v>
      </c>
      <c r="M6726" s="3565">
        <v>0</v>
      </c>
      <c r="N6726" s="3565">
        <v>0</v>
      </c>
      <c r="O6726" s="3563" t="s">
        <v>3453</v>
      </c>
    </row>
    <row r="6727" spans="1:15">
      <c r="A6727" s="3563" t="s">
        <v>10975</v>
      </c>
      <c r="B6727" s="3563" t="s">
        <v>4196</v>
      </c>
      <c r="C6727" s="3563" t="s">
        <v>4197</v>
      </c>
      <c r="D6727" s="3563" t="s">
        <v>10228</v>
      </c>
      <c r="E6727" s="3563" t="s">
        <v>6319</v>
      </c>
      <c r="F6727" s="3563" t="s">
        <v>4949</v>
      </c>
      <c r="G6727" s="3564">
        <v>141.97999999999999</v>
      </c>
      <c r="H6727" s="3564">
        <v>119.17</v>
      </c>
      <c r="I6727" s="3564">
        <v>22.81</v>
      </c>
      <c r="J6727" s="3565">
        <v>1864220</v>
      </c>
      <c r="K6727" s="3565">
        <v>13130.16</v>
      </c>
      <c r="L6727" s="3565">
        <v>15643.37</v>
      </c>
      <c r="M6727" s="3565">
        <v>0</v>
      </c>
      <c r="N6727" s="3565">
        <v>0</v>
      </c>
      <c r="O6727" s="3563" t="s">
        <v>3453</v>
      </c>
    </row>
    <row r="6728" spans="1:15">
      <c r="A6728" s="3563" t="s">
        <v>10976</v>
      </c>
      <c r="B6728" s="3563" t="s">
        <v>4196</v>
      </c>
      <c r="C6728" s="3563" t="s">
        <v>4197</v>
      </c>
      <c r="D6728" s="3563" t="s">
        <v>10228</v>
      </c>
      <c r="E6728" s="3563" t="s">
        <v>6319</v>
      </c>
      <c r="F6728" s="3563" t="s">
        <v>4949</v>
      </c>
      <c r="G6728" s="3564">
        <v>141.97999999999999</v>
      </c>
      <c r="H6728" s="3564">
        <v>119.17</v>
      </c>
      <c r="I6728" s="3564">
        <v>22.81</v>
      </c>
      <c r="J6728" s="3565">
        <v>1865113</v>
      </c>
      <c r="K6728" s="3565">
        <v>13136.45</v>
      </c>
      <c r="L6728" s="3565">
        <v>15650.86</v>
      </c>
      <c r="M6728" s="3565">
        <v>0</v>
      </c>
      <c r="N6728" s="3565">
        <v>0</v>
      </c>
      <c r="O6728" s="3563" t="s">
        <v>3453</v>
      </c>
    </row>
    <row r="6729" spans="1:15">
      <c r="A6729" s="3563" t="s">
        <v>10977</v>
      </c>
      <c r="B6729" s="3563" t="s">
        <v>4196</v>
      </c>
      <c r="C6729" s="3563" t="s">
        <v>4197</v>
      </c>
      <c r="D6729" s="3563" t="s">
        <v>10228</v>
      </c>
      <c r="E6729" s="3563" t="s">
        <v>6319</v>
      </c>
      <c r="F6729" s="3563" t="s">
        <v>4949</v>
      </c>
      <c r="G6729" s="3564">
        <v>111.88</v>
      </c>
      <c r="H6729" s="3564">
        <v>91.75</v>
      </c>
      <c r="I6729" s="3564">
        <v>20.13</v>
      </c>
      <c r="J6729" s="3565">
        <v>1629809</v>
      </c>
      <c r="K6729" s="3565">
        <v>14567.47</v>
      </c>
      <c r="L6729" s="3565">
        <v>17763.59</v>
      </c>
      <c r="M6729" s="3565">
        <v>0</v>
      </c>
      <c r="N6729" s="3565">
        <v>0</v>
      </c>
      <c r="O6729" s="3563" t="s">
        <v>3453</v>
      </c>
    </row>
    <row r="6730" spans="1:15">
      <c r="A6730" s="3563" t="s">
        <v>10978</v>
      </c>
      <c r="B6730" s="3563" t="s">
        <v>4196</v>
      </c>
      <c r="C6730" s="3563" t="s">
        <v>4197</v>
      </c>
      <c r="D6730" s="3563" t="s">
        <v>10228</v>
      </c>
      <c r="E6730" s="3563" t="s">
        <v>6319</v>
      </c>
      <c r="F6730" s="3563" t="s">
        <v>4949</v>
      </c>
      <c r="G6730" s="3564">
        <v>111.88</v>
      </c>
      <c r="H6730" s="3564">
        <v>91.75</v>
      </c>
      <c r="I6730" s="3564">
        <v>20.13</v>
      </c>
      <c r="J6730" s="3565">
        <v>1629809</v>
      </c>
      <c r="K6730" s="3565">
        <v>14567.47</v>
      </c>
      <c r="L6730" s="3565">
        <v>17763.59</v>
      </c>
      <c r="M6730" s="3565">
        <v>0</v>
      </c>
      <c r="N6730" s="3565">
        <v>0</v>
      </c>
      <c r="O6730" s="3563" t="s">
        <v>3453</v>
      </c>
    </row>
    <row r="6731" spans="1:15">
      <c r="A6731" s="3563" t="s">
        <v>10979</v>
      </c>
      <c r="B6731" s="3563" t="s">
        <v>4196</v>
      </c>
      <c r="C6731" s="3563" t="s">
        <v>4197</v>
      </c>
      <c r="D6731" s="3563" t="s">
        <v>10228</v>
      </c>
      <c r="E6731" s="3563" t="s">
        <v>6319</v>
      </c>
      <c r="F6731" s="3563" t="s">
        <v>4949</v>
      </c>
      <c r="G6731" s="3564">
        <v>141.97999999999999</v>
      </c>
      <c r="H6731" s="3564">
        <v>119.17</v>
      </c>
      <c r="I6731" s="3564">
        <v>22.81</v>
      </c>
      <c r="J6731" s="3565">
        <v>2025879</v>
      </c>
      <c r="K6731" s="3565">
        <v>14268.76</v>
      </c>
      <c r="L6731" s="3565">
        <v>16999.91</v>
      </c>
      <c r="M6731" s="3565">
        <v>0</v>
      </c>
      <c r="N6731" s="3565">
        <v>0</v>
      </c>
      <c r="O6731" s="3563" t="s">
        <v>3453</v>
      </c>
    </row>
    <row r="6732" spans="1:15">
      <c r="A6732" s="3563" t="s">
        <v>10980</v>
      </c>
      <c r="B6732" s="3563" t="s">
        <v>4196</v>
      </c>
      <c r="C6732" s="3563" t="s">
        <v>4197</v>
      </c>
      <c r="D6732" s="3563" t="s">
        <v>10228</v>
      </c>
      <c r="E6732" s="3563" t="s">
        <v>6319</v>
      </c>
      <c r="F6732" s="3563" t="s">
        <v>4949</v>
      </c>
      <c r="G6732" s="3564">
        <v>141.97999999999999</v>
      </c>
      <c r="H6732" s="3564">
        <v>119.17</v>
      </c>
      <c r="I6732" s="3564">
        <v>22.81</v>
      </c>
      <c r="J6732" s="3565">
        <v>1864220</v>
      </c>
      <c r="K6732" s="3565">
        <v>13130.16</v>
      </c>
      <c r="L6732" s="3565">
        <v>15643.37</v>
      </c>
      <c r="M6732" s="3565">
        <v>0</v>
      </c>
      <c r="N6732" s="3565">
        <v>0</v>
      </c>
      <c r="O6732" s="3563" t="s">
        <v>3453</v>
      </c>
    </row>
    <row r="6733" spans="1:15">
      <c r="A6733" s="3563" t="s">
        <v>10981</v>
      </c>
      <c r="B6733" s="3563" t="s">
        <v>4196</v>
      </c>
      <c r="C6733" s="3563" t="s">
        <v>4197</v>
      </c>
      <c r="D6733" s="3563" t="s">
        <v>10228</v>
      </c>
      <c r="E6733" s="3563" t="s">
        <v>6319</v>
      </c>
      <c r="F6733" s="3563" t="s">
        <v>4949</v>
      </c>
      <c r="G6733" s="3564">
        <v>111.88</v>
      </c>
      <c r="H6733" s="3564">
        <v>91.75</v>
      </c>
      <c r="I6733" s="3564">
        <v>20.13</v>
      </c>
      <c r="J6733" s="3565">
        <v>1689320</v>
      </c>
      <c r="K6733" s="3565">
        <v>15099.39</v>
      </c>
      <c r="L6733" s="3565">
        <v>18412.21</v>
      </c>
      <c r="M6733" s="3565">
        <v>0</v>
      </c>
      <c r="N6733" s="3565">
        <v>0</v>
      </c>
      <c r="O6733" s="3563" t="s">
        <v>3453</v>
      </c>
    </row>
    <row r="6734" spans="1:15">
      <c r="A6734" s="3563" t="s">
        <v>10982</v>
      </c>
      <c r="B6734" s="3563" t="s">
        <v>4196</v>
      </c>
      <c r="C6734" s="3563" t="s">
        <v>4197</v>
      </c>
      <c r="D6734" s="3563" t="s">
        <v>10228</v>
      </c>
      <c r="E6734" s="3563" t="s">
        <v>6319</v>
      </c>
      <c r="F6734" s="3563" t="s">
        <v>4949</v>
      </c>
      <c r="G6734" s="3564">
        <v>111.88</v>
      </c>
      <c r="H6734" s="3564">
        <v>91.75</v>
      </c>
      <c r="I6734" s="3564">
        <v>20.13</v>
      </c>
      <c r="J6734" s="3565">
        <v>1629809</v>
      </c>
      <c r="K6734" s="3565">
        <v>14567.47</v>
      </c>
      <c r="L6734" s="3565">
        <v>17763.59</v>
      </c>
      <c r="M6734" s="3565">
        <v>0</v>
      </c>
      <c r="N6734" s="3565">
        <v>0</v>
      </c>
      <c r="O6734" s="3563" t="s">
        <v>3453</v>
      </c>
    </row>
    <row r="6735" spans="1:15">
      <c r="A6735" s="3563" t="s">
        <v>10983</v>
      </c>
      <c r="B6735" s="3563" t="s">
        <v>4196</v>
      </c>
      <c r="C6735" s="3563" t="s">
        <v>4197</v>
      </c>
      <c r="D6735" s="3563" t="s">
        <v>10228</v>
      </c>
      <c r="E6735" s="3563" t="s">
        <v>6344</v>
      </c>
      <c r="F6735" s="3563" t="s">
        <v>4949</v>
      </c>
      <c r="G6735" s="3564">
        <v>174.77</v>
      </c>
      <c r="H6735" s="3564">
        <v>145.85</v>
      </c>
      <c r="I6735" s="3564">
        <v>28.92</v>
      </c>
      <c r="J6735" s="3565">
        <v>2883869</v>
      </c>
      <c r="K6735" s="3565">
        <v>16500.939999999999</v>
      </c>
      <c r="L6735" s="3565">
        <v>19772.84</v>
      </c>
      <c r="M6735" s="3565">
        <v>0</v>
      </c>
      <c r="N6735" s="3565">
        <v>0</v>
      </c>
      <c r="O6735" s="3563" t="s">
        <v>3453</v>
      </c>
    </row>
    <row r="6736" spans="1:15">
      <c r="A6736" s="3563" t="s">
        <v>10984</v>
      </c>
      <c r="B6736" s="3563" t="s">
        <v>4196</v>
      </c>
      <c r="C6736" s="3563" t="s">
        <v>4197</v>
      </c>
      <c r="D6736" s="3563" t="s">
        <v>10228</v>
      </c>
      <c r="E6736" s="3563" t="s">
        <v>6344</v>
      </c>
      <c r="F6736" s="3563" t="s">
        <v>4949</v>
      </c>
      <c r="G6736" s="3564">
        <v>174.77</v>
      </c>
      <c r="H6736" s="3564">
        <v>145.85</v>
      </c>
      <c r="I6736" s="3564">
        <v>28.92</v>
      </c>
      <c r="J6736" s="3565">
        <v>2528533</v>
      </c>
      <c r="K6736" s="3565">
        <v>14467.77</v>
      </c>
      <c r="L6736" s="3565">
        <v>17336.53</v>
      </c>
      <c r="M6736" s="3565">
        <v>0</v>
      </c>
      <c r="N6736" s="3565">
        <v>0</v>
      </c>
      <c r="O6736" s="3563" t="s">
        <v>3453</v>
      </c>
    </row>
    <row r="6737" spans="1:15">
      <c r="A6737" s="3563" t="s">
        <v>10985</v>
      </c>
      <c r="B6737" s="3563" t="s">
        <v>4196</v>
      </c>
      <c r="C6737" s="3563" t="s">
        <v>4197</v>
      </c>
      <c r="D6737" s="3563" t="s">
        <v>10228</v>
      </c>
      <c r="E6737" s="3563" t="s">
        <v>6344</v>
      </c>
      <c r="F6737" s="3563" t="s">
        <v>4949</v>
      </c>
      <c r="G6737" s="3564">
        <v>152.19</v>
      </c>
      <c r="H6737" s="3564">
        <v>127.01</v>
      </c>
      <c r="I6737" s="3564">
        <v>25.18</v>
      </c>
      <c r="J6737" s="3565">
        <v>2252382</v>
      </c>
      <c r="K6737" s="3565">
        <v>14799.8</v>
      </c>
      <c r="L6737" s="3565">
        <v>17733.89</v>
      </c>
      <c r="M6737" s="3565">
        <v>0</v>
      </c>
      <c r="N6737" s="3565">
        <v>0</v>
      </c>
      <c r="O6737" s="3563" t="s">
        <v>3453</v>
      </c>
    </row>
    <row r="6738" spans="1:15">
      <c r="A6738" s="3563" t="s">
        <v>10986</v>
      </c>
      <c r="B6738" s="3563" t="s">
        <v>4196</v>
      </c>
      <c r="C6738" s="3563" t="s">
        <v>4197</v>
      </c>
      <c r="D6738" s="3563" t="s">
        <v>10228</v>
      </c>
      <c r="E6738" s="3563" t="s">
        <v>6344</v>
      </c>
      <c r="F6738" s="3563" t="s">
        <v>4949</v>
      </c>
      <c r="G6738" s="3564">
        <v>152.19</v>
      </c>
      <c r="H6738" s="3564">
        <v>127.01</v>
      </c>
      <c r="I6738" s="3564">
        <v>25.18</v>
      </c>
      <c r="J6738" s="3565">
        <v>2171430</v>
      </c>
      <c r="K6738" s="3565">
        <v>14267.89</v>
      </c>
      <c r="L6738" s="3565">
        <v>17096.53</v>
      </c>
      <c r="M6738" s="3565">
        <v>0</v>
      </c>
      <c r="N6738" s="3565">
        <v>0</v>
      </c>
      <c r="O6738" s="3563" t="s">
        <v>3453</v>
      </c>
    </row>
    <row r="6739" spans="1:15">
      <c r="A6739" s="3563" t="s">
        <v>10987</v>
      </c>
      <c r="B6739" s="3563" t="s">
        <v>4196</v>
      </c>
      <c r="C6739" s="3563" t="s">
        <v>4197</v>
      </c>
      <c r="D6739" s="3563" t="s">
        <v>10228</v>
      </c>
      <c r="E6739" s="3563" t="s">
        <v>6344</v>
      </c>
      <c r="F6739" s="3563" t="s">
        <v>4949</v>
      </c>
      <c r="G6739" s="3564">
        <v>174.77</v>
      </c>
      <c r="H6739" s="3564">
        <v>145.85</v>
      </c>
      <c r="I6739" s="3564">
        <v>28.92</v>
      </c>
      <c r="J6739" s="3565">
        <v>2546725</v>
      </c>
      <c r="K6739" s="3565">
        <v>14571.87</v>
      </c>
      <c r="L6739" s="3565">
        <v>17461.259999999998</v>
      </c>
      <c r="M6739" s="3565">
        <v>0</v>
      </c>
      <c r="N6739" s="3565">
        <v>0</v>
      </c>
      <c r="O6739" s="3563" t="s">
        <v>3453</v>
      </c>
    </row>
    <row r="6740" spans="1:15">
      <c r="A6740" s="3563" t="s">
        <v>10988</v>
      </c>
      <c r="B6740" s="3563" t="s">
        <v>4196</v>
      </c>
      <c r="C6740" s="3563" t="s">
        <v>4197</v>
      </c>
      <c r="D6740" s="3563" t="s">
        <v>10228</v>
      </c>
      <c r="E6740" s="3563" t="s">
        <v>6344</v>
      </c>
      <c r="F6740" s="3563" t="s">
        <v>4949</v>
      </c>
      <c r="G6740" s="3564">
        <v>174.77</v>
      </c>
      <c r="H6740" s="3564">
        <v>145.85</v>
      </c>
      <c r="I6740" s="3564">
        <v>28.92</v>
      </c>
      <c r="J6740" s="3565">
        <v>2533448</v>
      </c>
      <c r="K6740" s="3565">
        <v>14495.9</v>
      </c>
      <c r="L6740" s="3565">
        <v>17370.23</v>
      </c>
      <c r="M6740" s="3565">
        <v>0</v>
      </c>
      <c r="N6740" s="3565">
        <v>0</v>
      </c>
      <c r="O6740" s="3563" t="s">
        <v>3453</v>
      </c>
    </row>
    <row r="6741" spans="1:15">
      <c r="A6741" s="3563" t="s">
        <v>10989</v>
      </c>
      <c r="B6741" s="3563" t="s">
        <v>4196</v>
      </c>
      <c r="C6741" s="3563" t="s">
        <v>4197</v>
      </c>
      <c r="D6741" s="3563" t="s">
        <v>10228</v>
      </c>
      <c r="E6741" s="3563" t="s">
        <v>6344</v>
      </c>
      <c r="F6741" s="3563" t="s">
        <v>4949</v>
      </c>
      <c r="G6741" s="3564">
        <v>152.19</v>
      </c>
      <c r="H6741" s="3564">
        <v>127.01</v>
      </c>
      <c r="I6741" s="3564">
        <v>25.18</v>
      </c>
      <c r="J6741" s="3565">
        <v>2171430</v>
      </c>
      <c r="K6741" s="3565">
        <v>14267.89</v>
      </c>
      <c r="L6741" s="3565">
        <v>17096.53</v>
      </c>
      <c r="M6741" s="3565">
        <v>0</v>
      </c>
      <c r="N6741" s="3565">
        <v>0</v>
      </c>
      <c r="O6741" s="3563" t="s">
        <v>3453</v>
      </c>
    </row>
    <row r="6742" spans="1:15">
      <c r="A6742" s="3563" t="s">
        <v>10990</v>
      </c>
      <c r="B6742" s="3563" t="s">
        <v>4196</v>
      </c>
      <c r="C6742" s="3563" t="s">
        <v>4197</v>
      </c>
      <c r="D6742" s="3563" t="s">
        <v>10228</v>
      </c>
      <c r="E6742" s="3563" t="s">
        <v>6344</v>
      </c>
      <c r="F6742" s="3563" t="s">
        <v>4949</v>
      </c>
      <c r="G6742" s="3564">
        <v>152.19</v>
      </c>
      <c r="H6742" s="3564">
        <v>127.01</v>
      </c>
      <c r="I6742" s="3564">
        <v>25.18</v>
      </c>
      <c r="J6742" s="3565">
        <v>2171430</v>
      </c>
      <c r="K6742" s="3565">
        <v>14267.89</v>
      </c>
      <c r="L6742" s="3565">
        <v>17096.53</v>
      </c>
      <c r="M6742" s="3565">
        <v>0</v>
      </c>
      <c r="N6742" s="3565">
        <v>0</v>
      </c>
      <c r="O6742" s="3563" t="s">
        <v>3453</v>
      </c>
    </row>
    <row r="6743" spans="1:15">
      <c r="A6743" s="3563" t="s">
        <v>10991</v>
      </c>
      <c r="B6743" s="3563" t="s">
        <v>4196</v>
      </c>
      <c r="C6743" s="3563" t="s">
        <v>4197</v>
      </c>
      <c r="D6743" s="3563" t="s">
        <v>10228</v>
      </c>
      <c r="E6743" s="3563" t="s">
        <v>6344</v>
      </c>
      <c r="F6743" s="3563" t="s">
        <v>4949</v>
      </c>
      <c r="G6743" s="3564">
        <v>174.77</v>
      </c>
      <c r="H6743" s="3564">
        <v>145.85</v>
      </c>
      <c r="I6743" s="3564">
        <v>28.92</v>
      </c>
      <c r="J6743" s="3565">
        <v>2555725</v>
      </c>
      <c r="K6743" s="3565">
        <v>14623.36</v>
      </c>
      <c r="L6743" s="3565">
        <v>17522.97</v>
      </c>
      <c r="M6743" s="3565">
        <v>0</v>
      </c>
      <c r="N6743" s="3565">
        <v>0</v>
      </c>
      <c r="O6743" s="3563" t="s">
        <v>3453</v>
      </c>
    </row>
    <row r="6744" spans="1:15">
      <c r="A6744" s="3563" t="s">
        <v>10992</v>
      </c>
      <c r="B6744" s="3563" t="s">
        <v>4196</v>
      </c>
      <c r="C6744" s="3563" t="s">
        <v>4197</v>
      </c>
      <c r="D6744" s="3563" t="s">
        <v>10228</v>
      </c>
      <c r="E6744" s="3563" t="s">
        <v>6344</v>
      </c>
      <c r="F6744" s="3563" t="s">
        <v>4949</v>
      </c>
      <c r="G6744" s="3564">
        <v>174.77</v>
      </c>
      <c r="H6744" s="3564">
        <v>145.85</v>
      </c>
      <c r="I6744" s="3564">
        <v>28.92</v>
      </c>
      <c r="J6744" s="3565">
        <v>2643007</v>
      </c>
      <c r="K6744" s="3565">
        <v>15122.77</v>
      </c>
      <c r="L6744" s="3565">
        <v>18121.41</v>
      </c>
      <c r="M6744" s="3565">
        <v>0</v>
      </c>
      <c r="N6744" s="3565">
        <v>0</v>
      </c>
      <c r="O6744" s="3563" t="s">
        <v>3453</v>
      </c>
    </row>
    <row r="6745" spans="1:15">
      <c r="A6745" s="3563" t="s">
        <v>10993</v>
      </c>
      <c r="B6745" s="3563" t="s">
        <v>4196</v>
      </c>
      <c r="C6745" s="3563" t="s">
        <v>4197</v>
      </c>
      <c r="D6745" s="3563" t="s">
        <v>10228</v>
      </c>
      <c r="E6745" s="3563" t="s">
        <v>6344</v>
      </c>
      <c r="F6745" s="3563" t="s">
        <v>4949</v>
      </c>
      <c r="G6745" s="3564">
        <v>152.19</v>
      </c>
      <c r="H6745" s="3564">
        <v>127.01</v>
      </c>
      <c r="I6745" s="3564">
        <v>25.18</v>
      </c>
      <c r="J6745" s="3565">
        <v>2171430</v>
      </c>
      <c r="K6745" s="3565">
        <v>14267.89</v>
      </c>
      <c r="L6745" s="3565">
        <v>17096.53</v>
      </c>
      <c r="M6745" s="3565">
        <v>0</v>
      </c>
      <c r="N6745" s="3565">
        <v>0</v>
      </c>
      <c r="O6745" s="3563" t="s">
        <v>3453</v>
      </c>
    </row>
    <row r="6746" spans="1:15">
      <c r="A6746" s="3563" t="s">
        <v>10994</v>
      </c>
      <c r="B6746" s="3563" t="s">
        <v>4196</v>
      </c>
      <c r="C6746" s="3563" t="s">
        <v>4197</v>
      </c>
      <c r="D6746" s="3563" t="s">
        <v>10228</v>
      </c>
      <c r="E6746" s="3563" t="s">
        <v>6344</v>
      </c>
      <c r="F6746" s="3563" t="s">
        <v>4949</v>
      </c>
      <c r="G6746" s="3564">
        <v>152.19</v>
      </c>
      <c r="H6746" s="3564">
        <v>127.01</v>
      </c>
      <c r="I6746" s="3564">
        <v>25.18</v>
      </c>
      <c r="J6746" s="3565">
        <v>2252382</v>
      </c>
      <c r="K6746" s="3565">
        <v>14799.8</v>
      </c>
      <c r="L6746" s="3565">
        <v>17733.89</v>
      </c>
      <c r="M6746" s="3565">
        <v>0</v>
      </c>
      <c r="N6746" s="3565">
        <v>0</v>
      </c>
      <c r="O6746" s="3563" t="s">
        <v>3453</v>
      </c>
    </row>
    <row r="6747" spans="1:15">
      <c r="A6747" s="3563" t="s">
        <v>10995</v>
      </c>
      <c r="B6747" s="3563" t="s">
        <v>4196</v>
      </c>
      <c r="C6747" s="3563" t="s">
        <v>4197</v>
      </c>
      <c r="D6747" s="3563" t="s">
        <v>10228</v>
      </c>
      <c r="E6747" s="3563" t="s">
        <v>6369</v>
      </c>
      <c r="F6747" s="3563" t="s">
        <v>4949</v>
      </c>
      <c r="G6747" s="3564">
        <v>141.97999999999999</v>
      </c>
      <c r="H6747" s="3564">
        <v>119.17</v>
      </c>
      <c r="I6747" s="3564">
        <v>22.81</v>
      </c>
      <c r="J6747" s="3565">
        <v>1861411</v>
      </c>
      <c r="K6747" s="3565">
        <v>13110.37</v>
      </c>
      <c r="L6747" s="3565">
        <v>15619.8</v>
      </c>
      <c r="M6747" s="3565">
        <v>0</v>
      </c>
      <c r="N6747" s="3565">
        <v>0</v>
      </c>
      <c r="O6747" s="3563" t="s">
        <v>3453</v>
      </c>
    </row>
    <row r="6748" spans="1:15">
      <c r="A6748" s="3563" t="s">
        <v>10996</v>
      </c>
      <c r="B6748" s="3563" t="s">
        <v>4196</v>
      </c>
      <c r="C6748" s="3563" t="s">
        <v>4197</v>
      </c>
      <c r="D6748" s="3563" t="s">
        <v>10228</v>
      </c>
      <c r="E6748" s="3563" t="s">
        <v>6369</v>
      </c>
      <c r="F6748" s="3563" t="s">
        <v>4949</v>
      </c>
      <c r="G6748" s="3564">
        <v>141.97999999999999</v>
      </c>
      <c r="H6748" s="3564">
        <v>119.17</v>
      </c>
      <c r="I6748" s="3564">
        <v>22.81</v>
      </c>
      <c r="J6748" s="3565">
        <v>2159188</v>
      </c>
      <c r="K6748" s="3565">
        <v>15207.69</v>
      </c>
      <c r="L6748" s="3565">
        <v>18118.55</v>
      </c>
      <c r="M6748" s="3565">
        <v>0</v>
      </c>
      <c r="N6748" s="3565">
        <v>0</v>
      </c>
      <c r="O6748" s="3563" t="s">
        <v>3453</v>
      </c>
    </row>
    <row r="6749" spans="1:15">
      <c r="A6749" s="3563" t="s">
        <v>10997</v>
      </c>
      <c r="B6749" s="3563" t="s">
        <v>4196</v>
      </c>
      <c r="C6749" s="3563" t="s">
        <v>4197</v>
      </c>
      <c r="D6749" s="3563" t="s">
        <v>10228</v>
      </c>
      <c r="E6749" s="3563" t="s">
        <v>6369</v>
      </c>
      <c r="F6749" s="3563" t="s">
        <v>4949</v>
      </c>
      <c r="G6749" s="3564">
        <v>111.88</v>
      </c>
      <c r="H6749" s="3564">
        <v>91.75</v>
      </c>
      <c r="I6749" s="3564">
        <v>20.13</v>
      </c>
      <c r="J6749" s="3565">
        <v>1629809</v>
      </c>
      <c r="K6749" s="3565">
        <v>14567.47</v>
      </c>
      <c r="L6749" s="3565">
        <v>17763.59</v>
      </c>
      <c r="M6749" s="3565">
        <v>0</v>
      </c>
      <c r="N6749" s="3565">
        <v>0</v>
      </c>
      <c r="O6749" s="3563" t="s">
        <v>3453</v>
      </c>
    </row>
    <row r="6750" spans="1:15">
      <c r="A6750" s="3563" t="s">
        <v>10998</v>
      </c>
      <c r="B6750" s="3563" t="s">
        <v>4196</v>
      </c>
      <c r="C6750" s="3563" t="s">
        <v>4197</v>
      </c>
      <c r="D6750" s="3563" t="s">
        <v>10228</v>
      </c>
      <c r="E6750" s="3563" t="s">
        <v>6369</v>
      </c>
      <c r="F6750" s="3563" t="s">
        <v>4949</v>
      </c>
      <c r="G6750" s="3564">
        <v>111.88</v>
      </c>
      <c r="H6750" s="3564">
        <v>91.75</v>
      </c>
      <c r="I6750" s="3564">
        <v>20.13</v>
      </c>
      <c r="J6750" s="3565">
        <v>1689320</v>
      </c>
      <c r="K6750" s="3565">
        <v>15099.39</v>
      </c>
      <c r="L6750" s="3565">
        <v>18412.21</v>
      </c>
      <c r="M6750" s="3565">
        <v>0</v>
      </c>
      <c r="N6750" s="3565">
        <v>0</v>
      </c>
      <c r="O6750" s="3563" t="s">
        <v>3453</v>
      </c>
    </row>
    <row r="6751" spans="1:15">
      <c r="A6751" s="3563" t="s">
        <v>10999</v>
      </c>
      <c r="B6751" s="3563" t="s">
        <v>4196</v>
      </c>
      <c r="C6751" s="3563" t="s">
        <v>4197</v>
      </c>
      <c r="D6751" s="3563" t="s">
        <v>10228</v>
      </c>
      <c r="E6751" s="3563" t="s">
        <v>6369</v>
      </c>
      <c r="F6751" s="3563" t="s">
        <v>4949</v>
      </c>
      <c r="G6751" s="3564">
        <v>141.97999999999999</v>
      </c>
      <c r="H6751" s="3564">
        <v>119.17</v>
      </c>
      <c r="I6751" s="3564">
        <v>22.81</v>
      </c>
      <c r="J6751" s="3565">
        <v>1865177</v>
      </c>
      <c r="K6751" s="3565">
        <v>13136.9</v>
      </c>
      <c r="L6751" s="3565">
        <v>15651.4</v>
      </c>
      <c r="M6751" s="3565">
        <v>0</v>
      </c>
      <c r="N6751" s="3565">
        <v>0</v>
      </c>
      <c r="O6751" s="3563" t="s">
        <v>3453</v>
      </c>
    </row>
    <row r="6752" spans="1:15">
      <c r="A6752" s="3563" t="s">
        <v>11000</v>
      </c>
      <c r="B6752" s="3563" t="s">
        <v>4196</v>
      </c>
      <c r="C6752" s="3563" t="s">
        <v>4197</v>
      </c>
      <c r="D6752" s="3563" t="s">
        <v>10228</v>
      </c>
      <c r="E6752" s="3563" t="s">
        <v>6369</v>
      </c>
      <c r="F6752" s="3563" t="s">
        <v>4949</v>
      </c>
      <c r="G6752" s="3564">
        <v>141.97999999999999</v>
      </c>
      <c r="H6752" s="3564">
        <v>119.17</v>
      </c>
      <c r="I6752" s="3564">
        <v>22.81</v>
      </c>
      <c r="J6752" s="3565">
        <v>1866071</v>
      </c>
      <c r="K6752" s="3565">
        <v>13143.2</v>
      </c>
      <c r="L6752" s="3565">
        <v>15658.9</v>
      </c>
      <c r="M6752" s="3565">
        <v>0</v>
      </c>
      <c r="N6752" s="3565">
        <v>0</v>
      </c>
      <c r="O6752" s="3563" t="s">
        <v>3453</v>
      </c>
    </row>
    <row r="6753" spans="1:15">
      <c r="A6753" s="3563" t="s">
        <v>11001</v>
      </c>
      <c r="B6753" s="3563" t="s">
        <v>4196</v>
      </c>
      <c r="C6753" s="3563" t="s">
        <v>4197</v>
      </c>
      <c r="D6753" s="3563" t="s">
        <v>10228</v>
      </c>
      <c r="E6753" s="3563" t="s">
        <v>6369</v>
      </c>
      <c r="F6753" s="3563" t="s">
        <v>4949</v>
      </c>
      <c r="G6753" s="3564">
        <v>111.88</v>
      </c>
      <c r="H6753" s="3564">
        <v>91.75</v>
      </c>
      <c r="I6753" s="3564">
        <v>20.13</v>
      </c>
      <c r="J6753" s="3565">
        <v>1629809</v>
      </c>
      <c r="K6753" s="3565">
        <v>14567.47</v>
      </c>
      <c r="L6753" s="3565">
        <v>17763.59</v>
      </c>
      <c r="M6753" s="3565">
        <v>0</v>
      </c>
      <c r="N6753" s="3565">
        <v>0</v>
      </c>
      <c r="O6753" s="3563" t="s">
        <v>3453</v>
      </c>
    </row>
    <row r="6754" spans="1:15">
      <c r="A6754" s="3563" t="s">
        <v>11002</v>
      </c>
      <c r="B6754" s="3563" t="s">
        <v>4196</v>
      </c>
      <c r="C6754" s="3563" t="s">
        <v>4197</v>
      </c>
      <c r="D6754" s="3563" t="s">
        <v>10228</v>
      </c>
      <c r="E6754" s="3563" t="s">
        <v>6369</v>
      </c>
      <c r="F6754" s="3563" t="s">
        <v>4949</v>
      </c>
      <c r="G6754" s="3564">
        <v>111.88</v>
      </c>
      <c r="H6754" s="3564">
        <v>91.75</v>
      </c>
      <c r="I6754" s="3564">
        <v>20.13</v>
      </c>
      <c r="J6754" s="3565">
        <v>1629809</v>
      </c>
      <c r="K6754" s="3565">
        <v>14567.47</v>
      </c>
      <c r="L6754" s="3565">
        <v>17763.59</v>
      </c>
      <c r="M6754" s="3565">
        <v>0</v>
      </c>
      <c r="N6754" s="3565">
        <v>0</v>
      </c>
      <c r="O6754" s="3563" t="s">
        <v>3453</v>
      </c>
    </row>
    <row r="6755" spans="1:15">
      <c r="A6755" s="3563" t="s">
        <v>11003</v>
      </c>
      <c r="B6755" s="3563" t="s">
        <v>4196</v>
      </c>
      <c r="C6755" s="3563" t="s">
        <v>4197</v>
      </c>
      <c r="D6755" s="3563" t="s">
        <v>10228</v>
      </c>
      <c r="E6755" s="3563" t="s">
        <v>6369</v>
      </c>
      <c r="F6755" s="3563" t="s">
        <v>4949</v>
      </c>
      <c r="G6755" s="3564">
        <v>141.97999999999999</v>
      </c>
      <c r="H6755" s="3564">
        <v>119.17</v>
      </c>
      <c r="I6755" s="3564">
        <v>22.81</v>
      </c>
      <c r="J6755" s="3565">
        <v>2122964</v>
      </c>
      <c r="K6755" s="3565">
        <v>14952.56</v>
      </c>
      <c r="L6755" s="3565">
        <v>17814.580000000002</v>
      </c>
      <c r="M6755" s="3565">
        <v>0</v>
      </c>
      <c r="N6755" s="3565">
        <v>0</v>
      </c>
      <c r="O6755" s="3563" t="s">
        <v>3453</v>
      </c>
    </row>
    <row r="6756" spans="1:15">
      <c r="A6756" s="3563" t="s">
        <v>11004</v>
      </c>
      <c r="B6756" s="3563" t="s">
        <v>4196</v>
      </c>
      <c r="C6756" s="3563" t="s">
        <v>4197</v>
      </c>
      <c r="D6756" s="3563" t="s">
        <v>10228</v>
      </c>
      <c r="E6756" s="3563" t="s">
        <v>6369</v>
      </c>
      <c r="F6756" s="3563" t="s">
        <v>4949</v>
      </c>
      <c r="G6756" s="3564">
        <v>141.97999999999999</v>
      </c>
      <c r="H6756" s="3564">
        <v>119.17</v>
      </c>
      <c r="I6756" s="3564">
        <v>22.81</v>
      </c>
      <c r="J6756" s="3565">
        <v>1865177</v>
      </c>
      <c r="K6756" s="3565">
        <v>13136.9</v>
      </c>
      <c r="L6756" s="3565">
        <v>15651.4</v>
      </c>
      <c r="M6756" s="3565">
        <v>0</v>
      </c>
      <c r="N6756" s="3565">
        <v>0</v>
      </c>
      <c r="O6756" s="3563" t="s">
        <v>3453</v>
      </c>
    </row>
    <row r="6757" spans="1:15">
      <c r="A6757" s="3563" t="s">
        <v>11005</v>
      </c>
      <c r="B6757" s="3563" t="s">
        <v>4196</v>
      </c>
      <c r="C6757" s="3563" t="s">
        <v>4197</v>
      </c>
      <c r="D6757" s="3563" t="s">
        <v>10228</v>
      </c>
      <c r="E6757" s="3563" t="s">
        <v>6369</v>
      </c>
      <c r="F6757" s="3563" t="s">
        <v>4949</v>
      </c>
      <c r="G6757" s="3564">
        <v>111.88</v>
      </c>
      <c r="H6757" s="3564">
        <v>91.75</v>
      </c>
      <c r="I6757" s="3564">
        <v>20.13</v>
      </c>
      <c r="J6757" s="3565">
        <v>1689320</v>
      </c>
      <c r="K6757" s="3565">
        <v>15099.39</v>
      </c>
      <c r="L6757" s="3565">
        <v>18412.21</v>
      </c>
      <c r="M6757" s="3565">
        <v>0</v>
      </c>
      <c r="N6757" s="3565">
        <v>0</v>
      </c>
      <c r="O6757" s="3563" t="s">
        <v>3453</v>
      </c>
    </row>
    <row r="6758" spans="1:15">
      <c r="A6758" s="3563" t="s">
        <v>11006</v>
      </c>
      <c r="B6758" s="3563" t="s">
        <v>4196</v>
      </c>
      <c r="C6758" s="3563" t="s">
        <v>4197</v>
      </c>
      <c r="D6758" s="3563" t="s">
        <v>10228</v>
      </c>
      <c r="E6758" s="3563" t="s">
        <v>6369</v>
      </c>
      <c r="F6758" s="3563" t="s">
        <v>4949</v>
      </c>
      <c r="G6758" s="3564">
        <v>111.88</v>
      </c>
      <c r="H6758" s="3564">
        <v>91.75</v>
      </c>
      <c r="I6758" s="3564">
        <v>20.13</v>
      </c>
      <c r="J6758" s="3565">
        <v>1629809</v>
      </c>
      <c r="K6758" s="3565">
        <v>14567.47</v>
      </c>
      <c r="L6758" s="3565">
        <v>17763.59</v>
      </c>
      <c r="M6758" s="3565">
        <v>0</v>
      </c>
      <c r="N6758" s="3565">
        <v>0</v>
      </c>
      <c r="O6758" s="3563" t="s">
        <v>3453</v>
      </c>
    </row>
    <row r="6759" spans="1:15">
      <c r="A6759" s="3563" t="s">
        <v>11007</v>
      </c>
      <c r="B6759" s="3563" t="s">
        <v>4196</v>
      </c>
      <c r="C6759" s="3563" t="s">
        <v>4197</v>
      </c>
      <c r="D6759" s="3563" t="s">
        <v>10228</v>
      </c>
      <c r="E6759" s="3563" t="s">
        <v>6386</v>
      </c>
      <c r="F6759" s="3563" t="s">
        <v>4949</v>
      </c>
      <c r="G6759" s="3564">
        <v>141.97999999999999</v>
      </c>
      <c r="H6759" s="3564">
        <v>119.17</v>
      </c>
      <c r="I6759" s="3564">
        <v>22.81</v>
      </c>
      <c r="J6759" s="3565">
        <v>1865305</v>
      </c>
      <c r="K6759" s="3565">
        <v>13137.8</v>
      </c>
      <c r="L6759" s="3565">
        <v>15652.47</v>
      </c>
      <c r="M6759" s="3565">
        <v>0</v>
      </c>
      <c r="N6759" s="3565">
        <v>0</v>
      </c>
      <c r="O6759" s="3563" t="s">
        <v>3453</v>
      </c>
    </row>
    <row r="6760" spans="1:15">
      <c r="A6760" s="3563" t="s">
        <v>11008</v>
      </c>
      <c r="B6760" s="3563" t="s">
        <v>4196</v>
      </c>
      <c r="C6760" s="3563" t="s">
        <v>4197</v>
      </c>
      <c r="D6760" s="3563" t="s">
        <v>10228</v>
      </c>
      <c r="E6760" s="3563" t="s">
        <v>6386</v>
      </c>
      <c r="F6760" s="3563" t="s">
        <v>4949</v>
      </c>
      <c r="G6760" s="3564">
        <v>141.97999999999999</v>
      </c>
      <c r="H6760" s="3564">
        <v>119.17</v>
      </c>
      <c r="I6760" s="3564">
        <v>22.81</v>
      </c>
      <c r="J6760" s="3565">
        <v>2087188</v>
      </c>
      <c r="K6760" s="3565">
        <v>14700.58</v>
      </c>
      <c r="L6760" s="3565">
        <v>17514.37</v>
      </c>
      <c r="M6760" s="3565">
        <v>0</v>
      </c>
      <c r="N6760" s="3565">
        <v>0</v>
      </c>
      <c r="O6760" s="3563" t="s">
        <v>3453</v>
      </c>
    </row>
    <row r="6761" spans="1:15">
      <c r="A6761" s="3563" t="s">
        <v>11009</v>
      </c>
      <c r="B6761" s="3563" t="s">
        <v>4196</v>
      </c>
      <c r="C6761" s="3563" t="s">
        <v>4197</v>
      </c>
      <c r="D6761" s="3563" t="s">
        <v>10228</v>
      </c>
      <c r="E6761" s="3563" t="s">
        <v>6386</v>
      </c>
      <c r="F6761" s="3563" t="s">
        <v>4949</v>
      </c>
      <c r="G6761" s="3564">
        <v>111.88</v>
      </c>
      <c r="H6761" s="3564">
        <v>91.75</v>
      </c>
      <c r="I6761" s="3564">
        <v>20.13</v>
      </c>
      <c r="J6761" s="3565">
        <v>1629809</v>
      </c>
      <c r="K6761" s="3565">
        <v>14567.47</v>
      </c>
      <c r="L6761" s="3565">
        <v>17763.59</v>
      </c>
      <c r="M6761" s="3565">
        <v>0</v>
      </c>
      <c r="N6761" s="3565">
        <v>0</v>
      </c>
      <c r="O6761" s="3563" t="s">
        <v>3453</v>
      </c>
    </row>
    <row r="6762" spans="1:15">
      <c r="A6762" s="3563" t="s">
        <v>11010</v>
      </c>
      <c r="B6762" s="3563" t="s">
        <v>4196</v>
      </c>
      <c r="C6762" s="3563" t="s">
        <v>4197</v>
      </c>
      <c r="D6762" s="3563" t="s">
        <v>10228</v>
      </c>
      <c r="E6762" s="3563" t="s">
        <v>6386</v>
      </c>
      <c r="F6762" s="3563" t="s">
        <v>4949</v>
      </c>
      <c r="G6762" s="3564">
        <v>111.88</v>
      </c>
      <c r="H6762" s="3564">
        <v>91.75</v>
      </c>
      <c r="I6762" s="3564">
        <v>20.13</v>
      </c>
      <c r="J6762" s="3565">
        <v>1689320</v>
      </c>
      <c r="K6762" s="3565">
        <v>15099.39</v>
      </c>
      <c r="L6762" s="3565">
        <v>18412.21</v>
      </c>
      <c r="M6762" s="3565">
        <v>0</v>
      </c>
      <c r="N6762" s="3565">
        <v>0</v>
      </c>
      <c r="O6762" s="3563" t="s">
        <v>3453</v>
      </c>
    </row>
    <row r="6763" spans="1:15">
      <c r="A6763" s="3563" t="s">
        <v>11011</v>
      </c>
      <c r="B6763" s="3563" t="s">
        <v>4196</v>
      </c>
      <c r="C6763" s="3563" t="s">
        <v>4197</v>
      </c>
      <c r="D6763" s="3563" t="s">
        <v>10228</v>
      </c>
      <c r="E6763" s="3563" t="s">
        <v>6386</v>
      </c>
      <c r="F6763" s="3563" t="s">
        <v>4949</v>
      </c>
      <c r="G6763" s="3564">
        <v>141.97999999999999</v>
      </c>
      <c r="H6763" s="3564">
        <v>119.17</v>
      </c>
      <c r="I6763" s="3564">
        <v>22.81</v>
      </c>
      <c r="J6763" s="3565">
        <v>1865177</v>
      </c>
      <c r="K6763" s="3565">
        <v>13136.9</v>
      </c>
      <c r="L6763" s="3565">
        <v>15651.4</v>
      </c>
      <c r="M6763" s="3565">
        <v>0</v>
      </c>
      <c r="N6763" s="3565">
        <v>0</v>
      </c>
      <c r="O6763" s="3563" t="s">
        <v>3453</v>
      </c>
    </row>
    <row r="6764" spans="1:15">
      <c r="A6764" s="3563" t="s">
        <v>11012</v>
      </c>
      <c r="B6764" s="3563" t="s">
        <v>4196</v>
      </c>
      <c r="C6764" s="3563" t="s">
        <v>4197</v>
      </c>
      <c r="D6764" s="3563" t="s">
        <v>10228</v>
      </c>
      <c r="E6764" s="3563" t="s">
        <v>6386</v>
      </c>
      <c r="F6764" s="3563" t="s">
        <v>4949</v>
      </c>
      <c r="G6764" s="3564">
        <v>141.97999999999999</v>
      </c>
      <c r="H6764" s="3564">
        <v>119.17</v>
      </c>
      <c r="I6764" s="3564">
        <v>22.81</v>
      </c>
      <c r="J6764" s="3565">
        <v>1866071</v>
      </c>
      <c r="K6764" s="3565">
        <v>13143.2</v>
      </c>
      <c r="L6764" s="3565">
        <v>15658.9</v>
      </c>
      <c r="M6764" s="3565">
        <v>0</v>
      </c>
      <c r="N6764" s="3565">
        <v>0</v>
      </c>
      <c r="O6764" s="3563" t="s">
        <v>3453</v>
      </c>
    </row>
    <row r="6765" spans="1:15">
      <c r="A6765" s="3563" t="s">
        <v>11013</v>
      </c>
      <c r="B6765" s="3563" t="s">
        <v>4196</v>
      </c>
      <c r="C6765" s="3563" t="s">
        <v>4197</v>
      </c>
      <c r="D6765" s="3563" t="s">
        <v>10228</v>
      </c>
      <c r="E6765" s="3563" t="s">
        <v>6386</v>
      </c>
      <c r="F6765" s="3563" t="s">
        <v>4949</v>
      </c>
      <c r="G6765" s="3564">
        <v>111.88</v>
      </c>
      <c r="H6765" s="3564">
        <v>91.75</v>
      </c>
      <c r="I6765" s="3564">
        <v>20.13</v>
      </c>
      <c r="J6765" s="3565">
        <v>1629809</v>
      </c>
      <c r="K6765" s="3565">
        <v>14567.47</v>
      </c>
      <c r="L6765" s="3565">
        <v>17763.59</v>
      </c>
      <c r="M6765" s="3565">
        <v>0</v>
      </c>
      <c r="N6765" s="3565">
        <v>0</v>
      </c>
      <c r="O6765" s="3563" t="s">
        <v>3453</v>
      </c>
    </row>
    <row r="6766" spans="1:15">
      <c r="A6766" s="3563" t="s">
        <v>11014</v>
      </c>
      <c r="B6766" s="3563" t="s">
        <v>4196</v>
      </c>
      <c r="C6766" s="3563" t="s">
        <v>4197</v>
      </c>
      <c r="D6766" s="3563" t="s">
        <v>10228</v>
      </c>
      <c r="E6766" s="3563" t="s">
        <v>6386</v>
      </c>
      <c r="F6766" s="3563" t="s">
        <v>4949</v>
      </c>
      <c r="G6766" s="3564">
        <v>111.88</v>
      </c>
      <c r="H6766" s="3564">
        <v>91.75</v>
      </c>
      <c r="I6766" s="3564">
        <v>20.13</v>
      </c>
      <c r="J6766" s="3565">
        <v>1629809</v>
      </c>
      <c r="K6766" s="3565">
        <v>14567.47</v>
      </c>
      <c r="L6766" s="3565">
        <v>17763.59</v>
      </c>
      <c r="M6766" s="3565">
        <v>0</v>
      </c>
      <c r="N6766" s="3565">
        <v>0</v>
      </c>
      <c r="O6766" s="3563" t="s">
        <v>3453</v>
      </c>
    </row>
    <row r="6767" spans="1:15">
      <c r="A6767" s="3563" t="s">
        <v>11015</v>
      </c>
      <c r="B6767" s="3563" t="s">
        <v>4196</v>
      </c>
      <c r="C6767" s="3563" t="s">
        <v>4197</v>
      </c>
      <c r="D6767" s="3563" t="s">
        <v>10228</v>
      </c>
      <c r="E6767" s="3563" t="s">
        <v>6386</v>
      </c>
      <c r="F6767" s="3563" t="s">
        <v>4949</v>
      </c>
      <c r="G6767" s="3564">
        <v>141.97999999999999</v>
      </c>
      <c r="H6767" s="3564">
        <v>119.17</v>
      </c>
      <c r="I6767" s="3564">
        <v>22.81</v>
      </c>
      <c r="J6767" s="3565">
        <v>2159826</v>
      </c>
      <c r="K6767" s="3565">
        <v>15212.18</v>
      </c>
      <c r="L6767" s="3565">
        <v>18123.91</v>
      </c>
      <c r="M6767" s="3565">
        <v>0</v>
      </c>
      <c r="N6767" s="3565">
        <v>0</v>
      </c>
      <c r="O6767" s="3563" t="s">
        <v>3453</v>
      </c>
    </row>
    <row r="6768" spans="1:15">
      <c r="A6768" s="3563" t="s">
        <v>11016</v>
      </c>
      <c r="B6768" s="3563" t="s">
        <v>4196</v>
      </c>
      <c r="C6768" s="3563" t="s">
        <v>4197</v>
      </c>
      <c r="D6768" s="3563" t="s">
        <v>10228</v>
      </c>
      <c r="E6768" s="3563" t="s">
        <v>6386</v>
      </c>
      <c r="F6768" s="3563" t="s">
        <v>4949</v>
      </c>
      <c r="G6768" s="3564">
        <v>141.97999999999999</v>
      </c>
      <c r="H6768" s="3564">
        <v>119.17</v>
      </c>
      <c r="I6768" s="3564">
        <v>22.81</v>
      </c>
      <c r="J6768" s="3565">
        <v>1865177</v>
      </c>
      <c r="K6768" s="3565">
        <v>13136.9</v>
      </c>
      <c r="L6768" s="3565">
        <v>15651.4</v>
      </c>
      <c r="M6768" s="3565">
        <v>0</v>
      </c>
      <c r="N6768" s="3565">
        <v>0</v>
      </c>
      <c r="O6768" s="3563" t="s">
        <v>3453</v>
      </c>
    </row>
    <row r="6769" spans="1:15">
      <c r="A6769" s="3563" t="s">
        <v>11017</v>
      </c>
      <c r="B6769" s="3563" t="s">
        <v>4196</v>
      </c>
      <c r="C6769" s="3563" t="s">
        <v>4197</v>
      </c>
      <c r="D6769" s="3563" t="s">
        <v>10228</v>
      </c>
      <c r="E6769" s="3563" t="s">
        <v>6386</v>
      </c>
      <c r="F6769" s="3563" t="s">
        <v>4949</v>
      </c>
      <c r="G6769" s="3564">
        <v>111.88</v>
      </c>
      <c r="H6769" s="3564">
        <v>91.75</v>
      </c>
      <c r="I6769" s="3564">
        <v>20.13</v>
      </c>
      <c r="J6769" s="3565">
        <v>1689320</v>
      </c>
      <c r="K6769" s="3565">
        <v>15099.39</v>
      </c>
      <c r="L6769" s="3565">
        <v>18412.21</v>
      </c>
      <c r="M6769" s="3565">
        <v>0</v>
      </c>
      <c r="N6769" s="3565">
        <v>0</v>
      </c>
      <c r="O6769" s="3563" t="s">
        <v>3453</v>
      </c>
    </row>
    <row r="6770" spans="1:15">
      <c r="A6770" s="3563" t="s">
        <v>11018</v>
      </c>
      <c r="B6770" s="3563" t="s">
        <v>4196</v>
      </c>
      <c r="C6770" s="3563" t="s">
        <v>4197</v>
      </c>
      <c r="D6770" s="3563" t="s">
        <v>10228</v>
      </c>
      <c r="E6770" s="3563" t="s">
        <v>6386</v>
      </c>
      <c r="F6770" s="3563" t="s">
        <v>4949</v>
      </c>
      <c r="G6770" s="3564">
        <v>111.88</v>
      </c>
      <c r="H6770" s="3564">
        <v>91.75</v>
      </c>
      <c r="I6770" s="3564">
        <v>20.13</v>
      </c>
      <c r="J6770" s="3565">
        <v>1629809</v>
      </c>
      <c r="K6770" s="3565">
        <v>14567.47</v>
      </c>
      <c r="L6770" s="3565">
        <v>17763.59</v>
      </c>
      <c r="M6770" s="3565">
        <v>0</v>
      </c>
      <c r="N6770" s="3565">
        <v>0</v>
      </c>
      <c r="O6770" s="3563" t="s">
        <v>3453</v>
      </c>
    </row>
    <row r="6771" spans="1:15">
      <c r="A6771" s="3563" t="s">
        <v>11019</v>
      </c>
      <c r="B6771" s="3563" t="s">
        <v>3453</v>
      </c>
      <c r="C6771" s="3563" t="s">
        <v>4197</v>
      </c>
      <c r="D6771" s="3563" t="s">
        <v>10228</v>
      </c>
      <c r="E6771" s="3563" t="s">
        <v>6403</v>
      </c>
      <c r="F6771" s="3563" t="s">
        <v>4949</v>
      </c>
      <c r="G6771" s="3564">
        <v>142.15</v>
      </c>
      <c r="H6771" s="3564">
        <v>119.17</v>
      </c>
      <c r="I6771" s="3564">
        <v>22.98</v>
      </c>
      <c r="J6771" s="3565">
        <v>1934523</v>
      </c>
      <c r="K6771" s="3565">
        <v>13609.03</v>
      </c>
      <c r="L6771" s="3565">
        <v>16233.31</v>
      </c>
      <c r="M6771" s="3565">
        <v>0</v>
      </c>
      <c r="N6771" s="3565">
        <v>0</v>
      </c>
      <c r="O6771" s="3563" t="s">
        <v>3453</v>
      </c>
    </row>
    <row r="6772" spans="1:15">
      <c r="A6772" s="3563" t="s">
        <v>11020</v>
      </c>
      <c r="B6772" s="3563" t="s">
        <v>4196</v>
      </c>
      <c r="C6772" s="3563" t="s">
        <v>4197</v>
      </c>
      <c r="D6772" s="3563" t="s">
        <v>10228</v>
      </c>
      <c r="E6772" s="3563" t="s">
        <v>6403</v>
      </c>
      <c r="F6772" s="3563" t="s">
        <v>4949</v>
      </c>
      <c r="G6772" s="3564">
        <v>142.15</v>
      </c>
      <c r="H6772" s="3564">
        <v>119.17</v>
      </c>
      <c r="I6772" s="3564">
        <v>22.98</v>
      </c>
      <c r="J6772" s="3565">
        <v>1955049</v>
      </c>
      <c r="K6772" s="3565">
        <v>13753.42</v>
      </c>
      <c r="L6772" s="3565">
        <v>16405.55</v>
      </c>
      <c r="M6772" s="3565">
        <v>0</v>
      </c>
      <c r="N6772" s="3565">
        <v>0</v>
      </c>
      <c r="O6772" s="3563" t="s">
        <v>3453</v>
      </c>
    </row>
    <row r="6773" spans="1:15">
      <c r="A6773" s="3563" t="s">
        <v>11021</v>
      </c>
      <c r="B6773" s="3563" t="s">
        <v>4196</v>
      </c>
      <c r="C6773" s="3563" t="s">
        <v>4197</v>
      </c>
      <c r="D6773" s="3563" t="s">
        <v>10228</v>
      </c>
      <c r="E6773" s="3563" t="s">
        <v>6403</v>
      </c>
      <c r="F6773" s="3563" t="s">
        <v>4949</v>
      </c>
      <c r="G6773" s="3564">
        <v>112.01</v>
      </c>
      <c r="H6773" s="3564">
        <v>91.75</v>
      </c>
      <c r="I6773" s="3564">
        <v>20.260000000000002</v>
      </c>
      <c r="J6773" s="3565">
        <v>1607318</v>
      </c>
      <c r="K6773" s="3565">
        <v>14349.77</v>
      </c>
      <c r="L6773" s="3565">
        <v>17518.45</v>
      </c>
      <c r="M6773" s="3565">
        <v>0</v>
      </c>
      <c r="N6773" s="3565">
        <v>0</v>
      </c>
      <c r="O6773" s="3563" t="s">
        <v>3453</v>
      </c>
    </row>
    <row r="6774" spans="1:15">
      <c r="A6774" s="3563" t="s">
        <v>11022</v>
      </c>
      <c r="B6774" s="3563" t="s">
        <v>4196</v>
      </c>
      <c r="C6774" s="3563" t="s">
        <v>4197</v>
      </c>
      <c r="D6774" s="3563" t="s">
        <v>10228</v>
      </c>
      <c r="E6774" s="3563" t="s">
        <v>6403</v>
      </c>
      <c r="F6774" s="3563" t="s">
        <v>4949</v>
      </c>
      <c r="G6774" s="3564">
        <v>112.01</v>
      </c>
      <c r="H6774" s="3564">
        <v>91.75</v>
      </c>
      <c r="I6774" s="3564">
        <v>20.260000000000002</v>
      </c>
      <c r="J6774" s="3565">
        <v>1666897</v>
      </c>
      <c r="K6774" s="3565">
        <v>14881.68</v>
      </c>
      <c r="L6774" s="3565">
        <v>18167.810000000001</v>
      </c>
      <c r="M6774" s="3565">
        <v>0</v>
      </c>
      <c r="N6774" s="3565">
        <v>0</v>
      </c>
      <c r="O6774" s="3563" t="s">
        <v>3453</v>
      </c>
    </row>
    <row r="6775" spans="1:15">
      <c r="A6775" s="3563" t="s">
        <v>11023</v>
      </c>
      <c r="B6775" s="3563" t="s">
        <v>4196</v>
      </c>
      <c r="C6775" s="3563" t="s">
        <v>4197</v>
      </c>
      <c r="D6775" s="3563" t="s">
        <v>10228</v>
      </c>
      <c r="E6775" s="3563" t="s">
        <v>6403</v>
      </c>
      <c r="F6775" s="3563" t="s">
        <v>4949</v>
      </c>
      <c r="G6775" s="3564">
        <v>142.15</v>
      </c>
      <c r="H6775" s="3564">
        <v>119.17</v>
      </c>
      <c r="I6775" s="3564">
        <v>22.98</v>
      </c>
      <c r="J6775" s="3565">
        <v>1834470</v>
      </c>
      <c r="K6775" s="3565">
        <v>12905.17</v>
      </c>
      <c r="L6775" s="3565">
        <v>15393.72</v>
      </c>
      <c r="M6775" s="3565">
        <v>0</v>
      </c>
      <c r="N6775" s="3565">
        <v>0</v>
      </c>
      <c r="O6775" s="3563" t="s">
        <v>3453</v>
      </c>
    </row>
    <row r="6776" spans="1:15">
      <c r="A6776" s="3563" t="s">
        <v>11024</v>
      </c>
      <c r="B6776" s="3563" t="s">
        <v>4196</v>
      </c>
      <c r="C6776" s="3563" t="s">
        <v>4197</v>
      </c>
      <c r="D6776" s="3563" t="s">
        <v>10228</v>
      </c>
      <c r="E6776" s="3563" t="s">
        <v>6403</v>
      </c>
      <c r="F6776" s="3563" t="s">
        <v>4949</v>
      </c>
      <c r="G6776" s="3564">
        <v>142.15</v>
      </c>
      <c r="H6776" s="3564">
        <v>119.17</v>
      </c>
      <c r="I6776" s="3564">
        <v>22.98</v>
      </c>
      <c r="J6776" s="3565">
        <v>1832810</v>
      </c>
      <c r="K6776" s="3565">
        <v>12893.49</v>
      </c>
      <c r="L6776" s="3565">
        <v>15379.79</v>
      </c>
      <c r="M6776" s="3565">
        <v>0</v>
      </c>
      <c r="N6776" s="3565">
        <v>0</v>
      </c>
      <c r="O6776" s="3563" t="s">
        <v>3453</v>
      </c>
    </row>
    <row r="6777" spans="1:15">
      <c r="A6777" s="3563" t="s">
        <v>11025</v>
      </c>
      <c r="B6777" s="3563" t="s">
        <v>4196</v>
      </c>
      <c r="C6777" s="3563" t="s">
        <v>4197</v>
      </c>
      <c r="D6777" s="3563" t="s">
        <v>10228</v>
      </c>
      <c r="E6777" s="3563" t="s">
        <v>6403</v>
      </c>
      <c r="F6777" s="3563" t="s">
        <v>4949</v>
      </c>
      <c r="G6777" s="3564">
        <v>112.01</v>
      </c>
      <c r="H6777" s="3564">
        <v>91.75</v>
      </c>
      <c r="I6777" s="3564">
        <v>20.260000000000002</v>
      </c>
      <c r="J6777" s="3565">
        <v>1607318</v>
      </c>
      <c r="K6777" s="3565">
        <v>14349.77</v>
      </c>
      <c r="L6777" s="3565">
        <v>17518.45</v>
      </c>
      <c r="M6777" s="3565">
        <v>0</v>
      </c>
      <c r="N6777" s="3565">
        <v>0</v>
      </c>
      <c r="O6777" s="3563" t="s">
        <v>3453</v>
      </c>
    </row>
    <row r="6778" spans="1:15">
      <c r="A6778" s="3563" t="s">
        <v>11026</v>
      </c>
      <c r="B6778" s="3563" t="s">
        <v>4196</v>
      </c>
      <c r="C6778" s="3563" t="s">
        <v>4197</v>
      </c>
      <c r="D6778" s="3563" t="s">
        <v>10228</v>
      </c>
      <c r="E6778" s="3563" t="s">
        <v>6403</v>
      </c>
      <c r="F6778" s="3563" t="s">
        <v>4949</v>
      </c>
      <c r="G6778" s="3564">
        <v>112.01</v>
      </c>
      <c r="H6778" s="3564">
        <v>91.75</v>
      </c>
      <c r="I6778" s="3564">
        <v>20.260000000000002</v>
      </c>
      <c r="J6778" s="3565">
        <v>1607318</v>
      </c>
      <c r="K6778" s="3565">
        <v>14349.77</v>
      </c>
      <c r="L6778" s="3565">
        <v>17518.45</v>
      </c>
      <c r="M6778" s="3565">
        <v>0</v>
      </c>
      <c r="N6778" s="3565">
        <v>0</v>
      </c>
      <c r="O6778" s="3563" t="s">
        <v>3453</v>
      </c>
    </row>
    <row r="6779" spans="1:15">
      <c r="A6779" s="3563" t="s">
        <v>11027</v>
      </c>
      <c r="B6779" s="3563" t="s">
        <v>4196</v>
      </c>
      <c r="C6779" s="3563" t="s">
        <v>4197</v>
      </c>
      <c r="D6779" s="3563" t="s">
        <v>10228</v>
      </c>
      <c r="E6779" s="3563" t="s">
        <v>6403</v>
      </c>
      <c r="F6779" s="3563" t="s">
        <v>4949</v>
      </c>
      <c r="G6779" s="3564">
        <v>142.15</v>
      </c>
      <c r="H6779" s="3564">
        <v>119.17</v>
      </c>
      <c r="I6779" s="3564">
        <v>22.98</v>
      </c>
      <c r="J6779" s="3565">
        <v>1832874</v>
      </c>
      <c r="K6779" s="3565">
        <v>12893.94</v>
      </c>
      <c r="L6779" s="3565">
        <v>15380.33</v>
      </c>
      <c r="M6779" s="3565">
        <v>0</v>
      </c>
      <c r="N6779" s="3565">
        <v>0</v>
      </c>
      <c r="O6779" s="3563" t="s">
        <v>3453</v>
      </c>
    </row>
    <row r="6780" spans="1:15">
      <c r="A6780" s="3563" t="s">
        <v>11028</v>
      </c>
      <c r="B6780" s="3563" t="s">
        <v>4196</v>
      </c>
      <c r="C6780" s="3563" t="s">
        <v>4197</v>
      </c>
      <c r="D6780" s="3563" t="s">
        <v>10228</v>
      </c>
      <c r="E6780" s="3563" t="s">
        <v>6403</v>
      </c>
      <c r="F6780" s="3563" t="s">
        <v>4949</v>
      </c>
      <c r="G6780" s="3564">
        <v>142.15</v>
      </c>
      <c r="H6780" s="3564">
        <v>119.17</v>
      </c>
      <c r="I6780" s="3564">
        <v>22.98</v>
      </c>
      <c r="J6780" s="3565">
        <v>1834502</v>
      </c>
      <c r="K6780" s="3565">
        <v>12905.4</v>
      </c>
      <c r="L6780" s="3565">
        <v>15393.99</v>
      </c>
      <c r="M6780" s="3565">
        <v>0</v>
      </c>
      <c r="N6780" s="3565">
        <v>0</v>
      </c>
      <c r="O6780" s="3563" t="s">
        <v>3453</v>
      </c>
    </row>
    <row r="6781" spans="1:15">
      <c r="A6781" s="3563" t="s">
        <v>11029</v>
      </c>
      <c r="B6781" s="3563" t="s">
        <v>4196</v>
      </c>
      <c r="C6781" s="3563" t="s">
        <v>4197</v>
      </c>
      <c r="D6781" s="3563" t="s">
        <v>10228</v>
      </c>
      <c r="E6781" s="3563" t="s">
        <v>6403</v>
      </c>
      <c r="F6781" s="3563" t="s">
        <v>4949</v>
      </c>
      <c r="G6781" s="3564">
        <v>112.01</v>
      </c>
      <c r="H6781" s="3564">
        <v>91.75</v>
      </c>
      <c r="I6781" s="3564">
        <v>20.260000000000002</v>
      </c>
      <c r="J6781" s="3565">
        <v>1607318</v>
      </c>
      <c r="K6781" s="3565">
        <v>14349.77</v>
      </c>
      <c r="L6781" s="3565">
        <v>17518.45</v>
      </c>
      <c r="M6781" s="3565">
        <v>0</v>
      </c>
      <c r="N6781" s="3565">
        <v>0</v>
      </c>
      <c r="O6781" s="3563" t="s">
        <v>3453</v>
      </c>
    </row>
    <row r="6782" spans="1:15">
      <c r="A6782" s="3563" t="s">
        <v>11030</v>
      </c>
      <c r="B6782" s="3563" t="s">
        <v>4196</v>
      </c>
      <c r="C6782" s="3563" t="s">
        <v>4197</v>
      </c>
      <c r="D6782" s="3563" t="s">
        <v>10228</v>
      </c>
      <c r="E6782" s="3563" t="s">
        <v>6403</v>
      </c>
      <c r="F6782" s="3563" t="s">
        <v>4949</v>
      </c>
      <c r="G6782" s="3564">
        <v>112.01</v>
      </c>
      <c r="H6782" s="3564">
        <v>91.75</v>
      </c>
      <c r="I6782" s="3564">
        <v>20.260000000000002</v>
      </c>
      <c r="J6782" s="3565">
        <v>1607318</v>
      </c>
      <c r="K6782" s="3565">
        <v>14349.77</v>
      </c>
      <c r="L6782" s="3565">
        <v>17518.45</v>
      </c>
      <c r="M6782" s="3565">
        <v>0</v>
      </c>
      <c r="N6782" s="3565">
        <v>0</v>
      </c>
      <c r="O6782" s="3563" t="s">
        <v>3453</v>
      </c>
    </row>
    <row r="6783" spans="1:15">
      <c r="A6783" s="3563" t="s">
        <v>11031</v>
      </c>
      <c r="B6783" s="3563" t="s">
        <v>4196</v>
      </c>
      <c r="C6783" s="3563" t="s">
        <v>4197</v>
      </c>
      <c r="D6783" s="3563" t="s">
        <v>10228</v>
      </c>
      <c r="E6783" s="3563" t="s">
        <v>6403</v>
      </c>
      <c r="F6783" s="3563" t="s">
        <v>4949</v>
      </c>
      <c r="G6783" s="3564">
        <v>142.15</v>
      </c>
      <c r="H6783" s="3564">
        <v>119.17</v>
      </c>
      <c r="I6783" s="3564">
        <v>22.98</v>
      </c>
      <c r="J6783" s="3565">
        <v>2061390</v>
      </c>
      <c r="K6783" s="3565">
        <v>14501.51</v>
      </c>
      <c r="L6783" s="3565">
        <v>17297.89</v>
      </c>
      <c r="M6783" s="3565">
        <v>0</v>
      </c>
      <c r="N6783" s="3565">
        <v>0</v>
      </c>
      <c r="O6783" s="3563" t="s">
        <v>3453</v>
      </c>
    </row>
    <row r="6784" spans="1:15">
      <c r="A6784" s="3563" t="s">
        <v>11032</v>
      </c>
      <c r="B6784" s="3563" t="s">
        <v>4196</v>
      </c>
      <c r="C6784" s="3563" t="s">
        <v>4197</v>
      </c>
      <c r="D6784" s="3563" t="s">
        <v>10228</v>
      </c>
      <c r="E6784" s="3563" t="s">
        <v>6403</v>
      </c>
      <c r="F6784" s="3563" t="s">
        <v>4949</v>
      </c>
      <c r="G6784" s="3564">
        <v>142.15</v>
      </c>
      <c r="H6784" s="3564">
        <v>119.17</v>
      </c>
      <c r="I6784" s="3564">
        <v>22.98</v>
      </c>
      <c r="J6784" s="3565">
        <v>1832874</v>
      </c>
      <c r="K6784" s="3565">
        <v>12893.94</v>
      </c>
      <c r="L6784" s="3565">
        <v>15380.33</v>
      </c>
      <c r="M6784" s="3565">
        <v>0</v>
      </c>
      <c r="N6784" s="3565">
        <v>0</v>
      </c>
      <c r="O6784" s="3563" t="s">
        <v>3453</v>
      </c>
    </row>
    <row r="6785" spans="1:15">
      <c r="A6785" s="3563" t="s">
        <v>11033</v>
      </c>
      <c r="B6785" s="3563" t="s">
        <v>4196</v>
      </c>
      <c r="C6785" s="3563" t="s">
        <v>4197</v>
      </c>
      <c r="D6785" s="3563" t="s">
        <v>10228</v>
      </c>
      <c r="E6785" s="3563" t="s">
        <v>6403</v>
      </c>
      <c r="F6785" s="3563" t="s">
        <v>4949</v>
      </c>
      <c r="G6785" s="3564">
        <v>112.01</v>
      </c>
      <c r="H6785" s="3564">
        <v>91.75</v>
      </c>
      <c r="I6785" s="3564">
        <v>20.260000000000002</v>
      </c>
      <c r="J6785" s="3565">
        <v>1666897</v>
      </c>
      <c r="K6785" s="3565">
        <v>14881.68</v>
      </c>
      <c r="L6785" s="3565">
        <v>18167.810000000001</v>
      </c>
      <c r="M6785" s="3565">
        <v>0</v>
      </c>
      <c r="N6785" s="3565">
        <v>0</v>
      </c>
      <c r="O6785" s="3563" t="s">
        <v>3453</v>
      </c>
    </row>
    <row r="6786" spans="1:15">
      <c r="A6786" s="3563" t="s">
        <v>11034</v>
      </c>
      <c r="B6786" s="3563" t="s">
        <v>4196</v>
      </c>
      <c r="C6786" s="3563" t="s">
        <v>4197</v>
      </c>
      <c r="D6786" s="3563" t="s">
        <v>10228</v>
      </c>
      <c r="E6786" s="3563" t="s">
        <v>6403</v>
      </c>
      <c r="F6786" s="3563" t="s">
        <v>4949</v>
      </c>
      <c r="G6786" s="3564">
        <v>112.01</v>
      </c>
      <c r="H6786" s="3564">
        <v>91.75</v>
      </c>
      <c r="I6786" s="3564">
        <v>20.260000000000002</v>
      </c>
      <c r="J6786" s="3565">
        <v>1607318</v>
      </c>
      <c r="K6786" s="3565">
        <v>14349.77</v>
      </c>
      <c r="L6786" s="3565">
        <v>17518.45</v>
      </c>
      <c r="M6786" s="3565">
        <v>0</v>
      </c>
      <c r="N6786" s="3565">
        <v>0</v>
      </c>
      <c r="O6786" s="3563" t="s">
        <v>3453</v>
      </c>
    </row>
    <row r="6787" spans="1:15">
      <c r="A6787" s="3563" t="s">
        <v>11035</v>
      </c>
      <c r="B6787" s="3563" t="s">
        <v>4196</v>
      </c>
      <c r="C6787" s="3563" t="s">
        <v>4197</v>
      </c>
      <c r="D6787" s="3563" t="s">
        <v>10228</v>
      </c>
      <c r="E6787" s="3563" t="s">
        <v>8897</v>
      </c>
      <c r="F6787" s="3563" t="s">
        <v>4949</v>
      </c>
      <c r="G6787" s="3564">
        <v>141.97999999999999</v>
      </c>
      <c r="H6787" s="3564">
        <v>119.17</v>
      </c>
      <c r="I6787" s="3564">
        <v>22.81</v>
      </c>
      <c r="J6787" s="3565">
        <v>1852762</v>
      </c>
      <c r="K6787" s="3565">
        <v>13049.46</v>
      </c>
      <c r="L6787" s="3565">
        <v>15547.22</v>
      </c>
      <c r="M6787" s="3565">
        <v>0</v>
      </c>
      <c r="N6787" s="3565">
        <v>0</v>
      </c>
      <c r="O6787" s="3563" t="s">
        <v>3453</v>
      </c>
    </row>
    <row r="6788" spans="1:15">
      <c r="A6788" s="3563" t="s">
        <v>11036</v>
      </c>
      <c r="B6788" s="3563" t="s">
        <v>4196</v>
      </c>
      <c r="C6788" s="3563" t="s">
        <v>4197</v>
      </c>
      <c r="D6788" s="3563" t="s">
        <v>10228</v>
      </c>
      <c r="E6788" s="3563" t="s">
        <v>8897</v>
      </c>
      <c r="F6788" s="3563" t="s">
        <v>4949</v>
      </c>
      <c r="G6788" s="3564">
        <v>141.97999999999999</v>
      </c>
      <c r="H6788" s="3564">
        <v>119.17</v>
      </c>
      <c r="I6788" s="3564">
        <v>22.81</v>
      </c>
      <c r="J6788" s="3565">
        <v>2089773</v>
      </c>
      <c r="K6788" s="3565">
        <v>14718.78</v>
      </c>
      <c r="L6788" s="3565">
        <v>17536.07</v>
      </c>
      <c r="M6788" s="3565">
        <v>0</v>
      </c>
      <c r="N6788" s="3565">
        <v>0</v>
      </c>
      <c r="O6788" s="3563" t="s">
        <v>3453</v>
      </c>
    </row>
    <row r="6789" spans="1:15">
      <c r="A6789" s="3563" t="s">
        <v>11037</v>
      </c>
      <c r="B6789" s="3563" t="s">
        <v>4196</v>
      </c>
      <c r="C6789" s="3563" t="s">
        <v>4197</v>
      </c>
      <c r="D6789" s="3563" t="s">
        <v>10228</v>
      </c>
      <c r="E6789" s="3563" t="s">
        <v>8897</v>
      </c>
      <c r="F6789" s="3563" t="s">
        <v>4949</v>
      </c>
      <c r="G6789" s="3564">
        <v>111.88</v>
      </c>
      <c r="H6789" s="3564">
        <v>91.75</v>
      </c>
      <c r="I6789" s="3564">
        <v>20.13</v>
      </c>
      <c r="J6789" s="3565">
        <v>1629809</v>
      </c>
      <c r="K6789" s="3565">
        <v>14567.47</v>
      </c>
      <c r="L6789" s="3565">
        <v>17763.59</v>
      </c>
      <c r="M6789" s="3565">
        <v>0</v>
      </c>
      <c r="N6789" s="3565">
        <v>0</v>
      </c>
      <c r="O6789" s="3563" t="s">
        <v>3453</v>
      </c>
    </row>
    <row r="6790" spans="1:15">
      <c r="A6790" s="3563" t="s">
        <v>11038</v>
      </c>
      <c r="B6790" s="3563" t="s">
        <v>4196</v>
      </c>
      <c r="C6790" s="3563" t="s">
        <v>4197</v>
      </c>
      <c r="D6790" s="3563" t="s">
        <v>10228</v>
      </c>
      <c r="E6790" s="3563" t="s">
        <v>8897</v>
      </c>
      <c r="F6790" s="3563" t="s">
        <v>4949</v>
      </c>
      <c r="G6790" s="3564">
        <v>111.88</v>
      </c>
      <c r="H6790" s="3564">
        <v>91.75</v>
      </c>
      <c r="I6790" s="3564">
        <v>20.13</v>
      </c>
      <c r="J6790" s="3565">
        <v>1689320</v>
      </c>
      <c r="K6790" s="3565">
        <v>15099.39</v>
      </c>
      <c r="L6790" s="3565">
        <v>18412.21</v>
      </c>
      <c r="M6790" s="3565">
        <v>0</v>
      </c>
      <c r="N6790" s="3565">
        <v>0</v>
      </c>
      <c r="O6790" s="3563" t="s">
        <v>3453</v>
      </c>
    </row>
    <row r="6791" spans="1:15">
      <c r="A6791" s="3563" t="s">
        <v>11039</v>
      </c>
      <c r="B6791" s="3563" t="s">
        <v>4196</v>
      </c>
      <c r="C6791" s="3563" t="s">
        <v>4197</v>
      </c>
      <c r="D6791" s="3563" t="s">
        <v>10228</v>
      </c>
      <c r="E6791" s="3563" t="s">
        <v>8897</v>
      </c>
      <c r="F6791" s="3563" t="s">
        <v>4949</v>
      </c>
      <c r="G6791" s="3564">
        <v>141.97999999999999</v>
      </c>
      <c r="H6791" s="3564">
        <v>119.17</v>
      </c>
      <c r="I6791" s="3564">
        <v>22.81</v>
      </c>
      <c r="J6791" s="3565">
        <v>1861252</v>
      </c>
      <c r="K6791" s="3565">
        <v>13109.25</v>
      </c>
      <c r="L6791" s="3565">
        <v>15618.46</v>
      </c>
      <c r="M6791" s="3565">
        <v>0</v>
      </c>
      <c r="N6791" s="3565">
        <v>0</v>
      </c>
      <c r="O6791" s="3563" t="s">
        <v>3453</v>
      </c>
    </row>
    <row r="6792" spans="1:15">
      <c r="A6792" s="3563" t="s">
        <v>11040</v>
      </c>
      <c r="B6792" s="3563" t="s">
        <v>4196</v>
      </c>
      <c r="C6792" s="3563" t="s">
        <v>4197</v>
      </c>
      <c r="D6792" s="3563" t="s">
        <v>10228</v>
      </c>
      <c r="E6792" s="3563" t="s">
        <v>8897</v>
      </c>
      <c r="F6792" s="3563" t="s">
        <v>4949</v>
      </c>
      <c r="G6792" s="3564">
        <v>141.97999999999999</v>
      </c>
      <c r="H6792" s="3564">
        <v>119.17</v>
      </c>
      <c r="I6792" s="3564">
        <v>22.81</v>
      </c>
      <c r="J6792" s="3565">
        <v>1852762</v>
      </c>
      <c r="K6792" s="3565">
        <v>13049.46</v>
      </c>
      <c r="L6792" s="3565">
        <v>15547.22</v>
      </c>
      <c r="M6792" s="3565">
        <v>0</v>
      </c>
      <c r="N6792" s="3565">
        <v>0</v>
      </c>
      <c r="O6792" s="3563" t="s">
        <v>3453</v>
      </c>
    </row>
    <row r="6793" spans="1:15">
      <c r="A6793" s="3563" t="s">
        <v>11041</v>
      </c>
      <c r="B6793" s="3563" t="s">
        <v>4196</v>
      </c>
      <c r="C6793" s="3563" t="s">
        <v>4197</v>
      </c>
      <c r="D6793" s="3563" t="s">
        <v>10228</v>
      </c>
      <c r="E6793" s="3563" t="s">
        <v>8897</v>
      </c>
      <c r="F6793" s="3563" t="s">
        <v>4949</v>
      </c>
      <c r="G6793" s="3564">
        <v>111.88</v>
      </c>
      <c r="H6793" s="3564">
        <v>91.75</v>
      </c>
      <c r="I6793" s="3564">
        <v>20.13</v>
      </c>
      <c r="J6793" s="3565">
        <v>1629809</v>
      </c>
      <c r="K6793" s="3565">
        <v>14567.47</v>
      </c>
      <c r="L6793" s="3565">
        <v>17763.59</v>
      </c>
      <c r="M6793" s="3565">
        <v>0</v>
      </c>
      <c r="N6793" s="3565">
        <v>0</v>
      </c>
      <c r="O6793" s="3563" t="s">
        <v>3453</v>
      </c>
    </row>
    <row r="6794" spans="1:15">
      <c r="A6794" s="3563" t="s">
        <v>11042</v>
      </c>
      <c r="B6794" s="3563" t="s">
        <v>4196</v>
      </c>
      <c r="C6794" s="3563" t="s">
        <v>4197</v>
      </c>
      <c r="D6794" s="3563" t="s">
        <v>10228</v>
      </c>
      <c r="E6794" s="3563" t="s">
        <v>8897</v>
      </c>
      <c r="F6794" s="3563" t="s">
        <v>4949</v>
      </c>
      <c r="G6794" s="3564">
        <v>111.88</v>
      </c>
      <c r="H6794" s="3564">
        <v>91.75</v>
      </c>
      <c r="I6794" s="3564">
        <v>20.13</v>
      </c>
      <c r="J6794" s="3565">
        <v>1629809</v>
      </c>
      <c r="K6794" s="3565">
        <v>14567.47</v>
      </c>
      <c r="L6794" s="3565">
        <v>17763.59</v>
      </c>
      <c r="M6794" s="3565">
        <v>0</v>
      </c>
      <c r="N6794" s="3565">
        <v>0</v>
      </c>
      <c r="O6794" s="3563" t="s">
        <v>3453</v>
      </c>
    </row>
    <row r="6795" spans="1:15">
      <c r="A6795" s="3563" t="s">
        <v>11043</v>
      </c>
      <c r="B6795" s="3563" t="s">
        <v>4196</v>
      </c>
      <c r="C6795" s="3563" t="s">
        <v>4197</v>
      </c>
      <c r="D6795" s="3563" t="s">
        <v>10228</v>
      </c>
      <c r="E6795" s="3563" t="s">
        <v>8897</v>
      </c>
      <c r="F6795" s="3563" t="s">
        <v>4949</v>
      </c>
      <c r="G6795" s="3564">
        <v>141.97999999999999</v>
      </c>
      <c r="H6795" s="3564">
        <v>119.17</v>
      </c>
      <c r="I6795" s="3564">
        <v>22.81</v>
      </c>
      <c r="J6795" s="3565">
        <v>2156730</v>
      </c>
      <c r="K6795" s="3565">
        <v>15190.38</v>
      </c>
      <c r="L6795" s="3565">
        <v>18097.93</v>
      </c>
      <c r="M6795" s="3565">
        <v>0</v>
      </c>
      <c r="N6795" s="3565">
        <v>0</v>
      </c>
      <c r="O6795" s="3563" t="s">
        <v>3453</v>
      </c>
    </row>
    <row r="6796" spans="1:15">
      <c r="A6796" s="3563" t="s">
        <v>11044</v>
      </c>
      <c r="B6796" s="3563" t="s">
        <v>4196</v>
      </c>
      <c r="C6796" s="3563" t="s">
        <v>4197</v>
      </c>
      <c r="D6796" s="3563" t="s">
        <v>10228</v>
      </c>
      <c r="E6796" s="3563" t="s">
        <v>8897</v>
      </c>
      <c r="F6796" s="3563" t="s">
        <v>4949</v>
      </c>
      <c r="G6796" s="3564">
        <v>141.97999999999999</v>
      </c>
      <c r="H6796" s="3564">
        <v>119.17</v>
      </c>
      <c r="I6796" s="3564">
        <v>22.81</v>
      </c>
      <c r="J6796" s="3565">
        <v>1860964</v>
      </c>
      <c r="K6796" s="3565">
        <v>13107.23</v>
      </c>
      <c r="L6796" s="3565">
        <v>15616.04</v>
      </c>
      <c r="M6796" s="3565">
        <v>0</v>
      </c>
      <c r="N6796" s="3565">
        <v>0</v>
      </c>
      <c r="O6796" s="3563" t="s">
        <v>3453</v>
      </c>
    </row>
    <row r="6797" spans="1:15">
      <c r="A6797" s="3563" t="s">
        <v>11045</v>
      </c>
      <c r="B6797" s="3563" t="s">
        <v>4196</v>
      </c>
      <c r="C6797" s="3563" t="s">
        <v>4197</v>
      </c>
      <c r="D6797" s="3563" t="s">
        <v>10228</v>
      </c>
      <c r="E6797" s="3563" t="s">
        <v>8897</v>
      </c>
      <c r="F6797" s="3563" t="s">
        <v>4949</v>
      </c>
      <c r="G6797" s="3564">
        <v>111.88</v>
      </c>
      <c r="H6797" s="3564">
        <v>91.75</v>
      </c>
      <c r="I6797" s="3564">
        <v>20.13</v>
      </c>
      <c r="J6797" s="3565">
        <v>1689320</v>
      </c>
      <c r="K6797" s="3565">
        <v>15099.39</v>
      </c>
      <c r="L6797" s="3565">
        <v>18412.21</v>
      </c>
      <c r="M6797" s="3565">
        <v>0</v>
      </c>
      <c r="N6797" s="3565">
        <v>0</v>
      </c>
      <c r="O6797" s="3563" t="s">
        <v>3453</v>
      </c>
    </row>
    <row r="6798" spans="1:15">
      <c r="A6798" s="3563" t="s">
        <v>11046</v>
      </c>
      <c r="B6798" s="3563" t="s">
        <v>4196</v>
      </c>
      <c r="C6798" s="3563" t="s">
        <v>4197</v>
      </c>
      <c r="D6798" s="3563" t="s">
        <v>10228</v>
      </c>
      <c r="E6798" s="3563" t="s">
        <v>8897</v>
      </c>
      <c r="F6798" s="3563" t="s">
        <v>4949</v>
      </c>
      <c r="G6798" s="3564">
        <v>111.88</v>
      </c>
      <c r="H6798" s="3564">
        <v>91.75</v>
      </c>
      <c r="I6798" s="3564">
        <v>20.13</v>
      </c>
      <c r="J6798" s="3565">
        <v>1629809</v>
      </c>
      <c r="K6798" s="3565">
        <v>14567.47</v>
      </c>
      <c r="L6798" s="3565">
        <v>17763.59</v>
      </c>
      <c r="M6798" s="3565">
        <v>0</v>
      </c>
      <c r="N6798" s="3565">
        <v>0</v>
      </c>
      <c r="O6798" s="3563" t="s">
        <v>3453</v>
      </c>
    </row>
    <row r="6799" spans="1:15">
      <c r="A6799" s="3563" t="s">
        <v>11047</v>
      </c>
      <c r="B6799" s="3563" t="s">
        <v>4196</v>
      </c>
      <c r="C6799" s="3563" t="s">
        <v>4197</v>
      </c>
      <c r="D6799" s="3563" t="s">
        <v>10228</v>
      </c>
      <c r="E6799" s="3563" t="s">
        <v>9050</v>
      </c>
      <c r="F6799" s="3563" t="s">
        <v>4949</v>
      </c>
      <c r="G6799" s="3564">
        <v>142.15</v>
      </c>
      <c r="H6799" s="3564">
        <v>119.17</v>
      </c>
      <c r="I6799" s="3564">
        <v>22.98</v>
      </c>
      <c r="J6799" s="3565">
        <v>1833736</v>
      </c>
      <c r="K6799" s="3565">
        <v>12900.01</v>
      </c>
      <c r="L6799" s="3565">
        <v>15387.56</v>
      </c>
      <c r="M6799" s="3565">
        <v>0</v>
      </c>
      <c r="N6799" s="3565">
        <v>0</v>
      </c>
      <c r="O6799" s="3563" t="s">
        <v>3453</v>
      </c>
    </row>
    <row r="6800" spans="1:15">
      <c r="A6800" s="3563" t="s">
        <v>11048</v>
      </c>
      <c r="B6800" s="3563" t="s">
        <v>3453</v>
      </c>
      <c r="C6800" s="3563" t="s">
        <v>4197</v>
      </c>
      <c r="D6800" s="3563" t="s">
        <v>10228</v>
      </c>
      <c r="E6800" s="3563" t="s">
        <v>9050</v>
      </c>
      <c r="F6800" s="3563" t="s">
        <v>4949</v>
      </c>
      <c r="G6800" s="3564">
        <v>142.15</v>
      </c>
      <c r="H6800" s="3564">
        <v>119.17</v>
      </c>
      <c r="I6800" s="3564">
        <v>22.98</v>
      </c>
      <c r="J6800" s="3565">
        <v>2241071</v>
      </c>
      <c r="K6800" s="3565">
        <v>15765.54</v>
      </c>
      <c r="L6800" s="3565">
        <v>18805.66</v>
      </c>
      <c r="M6800" s="3565">
        <v>0</v>
      </c>
      <c r="N6800" s="3565">
        <v>0</v>
      </c>
      <c r="O6800" s="3563" t="s">
        <v>3453</v>
      </c>
    </row>
    <row r="6801" spans="1:15">
      <c r="A6801" s="3563" t="s">
        <v>11049</v>
      </c>
      <c r="B6801" s="3563" t="s">
        <v>4196</v>
      </c>
      <c r="C6801" s="3563" t="s">
        <v>4197</v>
      </c>
      <c r="D6801" s="3563" t="s">
        <v>10228</v>
      </c>
      <c r="E6801" s="3563" t="s">
        <v>9050</v>
      </c>
      <c r="F6801" s="3563" t="s">
        <v>4949</v>
      </c>
      <c r="G6801" s="3564">
        <v>112.01</v>
      </c>
      <c r="H6801" s="3564">
        <v>91.75</v>
      </c>
      <c r="I6801" s="3564">
        <v>20.260000000000002</v>
      </c>
      <c r="J6801" s="3565">
        <v>1607318</v>
      </c>
      <c r="K6801" s="3565">
        <v>14349.77</v>
      </c>
      <c r="L6801" s="3565">
        <v>17518.45</v>
      </c>
      <c r="M6801" s="3565">
        <v>0</v>
      </c>
      <c r="N6801" s="3565">
        <v>0</v>
      </c>
      <c r="O6801" s="3563" t="s">
        <v>3453</v>
      </c>
    </row>
    <row r="6802" spans="1:15">
      <c r="A6802" s="3563" t="s">
        <v>11050</v>
      </c>
      <c r="B6802" s="3563" t="s">
        <v>4196</v>
      </c>
      <c r="C6802" s="3563" t="s">
        <v>4197</v>
      </c>
      <c r="D6802" s="3563" t="s">
        <v>10228</v>
      </c>
      <c r="E6802" s="3563" t="s">
        <v>9050</v>
      </c>
      <c r="F6802" s="3563" t="s">
        <v>4949</v>
      </c>
      <c r="G6802" s="3564">
        <v>112.01</v>
      </c>
      <c r="H6802" s="3564">
        <v>91.75</v>
      </c>
      <c r="I6802" s="3564">
        <v>20.260000000000002</v>
      </c>
      <c r="J6802" s="3565">
        <v>1666897</v>
      </c>
      <c r="K6802" s="3565">
        <v>14881.68</v>
      </c>
      <c r="L6802" s="3565">
        <v>18167.810000000001</v>
      </c>
      <c r="M6802" s="3565">
        <v>0</v>
      </c>
      <c r="N6802" s="3565">
        <v>0</v>
      </c>
      <c r="O6802" s="3563" t="s">
        <v>3453</v>
      </c>
    </row>
    <row r="6803" spans="1:15">
      <c r="A6803" s="3563" t="s">
        <v>11051</v>
      </c>
      <c r="B6803" s="3563" t="s">
        <v>4196</v>
      </c>
      <c r="C6803" s="3563" t="s">
        <v>4197</v>
      </c>
      <c r="D6803" s="3563" t="s">
        <v>10228</v>
      </c>
      <c r="E6803" s="3563" t="s">
        <v>9050</v>
      </c>
      <c r="F6803" s="3563" t="s">
        <v>4949</v>
      </c>
      <c r="G6803" s="3564">
        <v>142.15</v>
      </c>
      <c r="H6803" s="3564">
        <v>119.17</v>
      </c>
      <c r="I6803" s="3564">
        <v>22.98</v>
      </c>
      <c r="J6803" s="3565">
        <v>1837502</v>
      </c>
      <c r="K6803" s="3565">
        <v>12926.5</v>
      </c>
      <c r="L6803" s="3565">
        <v>15419.17</v>
      </c>
      <c r="M6803" s="3565">
        <v>0</v>
      </c>
      <c r="N6803" s="3565">
        <v>0</v>
      </c>
      <c r="O6803" s="3563" t="s">
        <v>3453</v>
      </c>
    </row>
    <row r="6804" spans="1:15">
      <c r="A6804" s="3563" t="s">
        <v>11052</v>
      </c>
      <c r="B6804" s="3563" t="s">
        <v>4196</v>
      </c>
      <c r="C6804" s="3563" t="s">
        <v>4197</v>
      </c>
      <c r="D6804" s="3563" t="s">
        <v>10228</v>
      </c>
      <c r="E6804" s="3563" t="s">
        <v>9050</v>
      </c>
      <c r="F6804" s="3563" t="s">
        <v>4949</v>
      </c>
      <c r="G6804" s="3564">
        <v>142.15</v>
      </c>
      <c r="H6804" s="3564">
        <v>119.17</v>
      </c>
      <c r="I6804" s="3564">
        <v>22.98</v>
      </c>
      <c r="J6804" s="3565">
        <v>1833736</v>
      </c>
      <c r="K6804" s="3565">
        <v>12900.01</v>
      </c>
      <c r="L6804" s="3565">
        <v>15387.56</v>
      </c>
      <c r="M6804" s="3565">
        <v>0</v>
      </c>
      <c r="N6804" s="3565">
        <v>0</v>
      </c>
      <c r="O6804" s="3563" t="s">
        <v>3453</v>
      </c>
    </row>
    <row r="6805" spans="1:15">
      <c r="A6805" s="3563" t="s">
        <v>11053</v>
      </c>
      <c r="B6805" s="3563" t="s">
        <v>4196</v>
      </c>
      <c r="C6805" s="3563" t="s">
        <v>4197</v>
      </c>
      <c r="D6805" s="3563" t="s">
        <v>10228</v>
      </c>
      <c r="E6805" s="3563" t="s">
        <v>9050</v>
      </c>
      <c r="F6805" s="3563" t="s">
        <v>4949</v>
      </c>
      <c r="G6805" s="3564">
        <v>112.01</v>
      </c>
      <c r="H6805" s="3564">
        <v>91.75</v>
      </c>
      <c r="I6805" s="3564">
        <v>20.260000000000002</v>
      </c>
      <c r="J6805" s="3565">
        <v>1607318</v>
      </c>
      <c r="K6805" s="3565">
        <v>14349.77</v>
      </c>
      <c r="L6805" s="3565">
        <v>17518.45</v>
      </c>
      <c r="M6805" s="3565">
        <v>0</v>
      </c>
      <c r="N6805" s="3565">
        <v>0</v>
      </c>
      <c r="O6805" s="3563" t="s">
        <v>3453</v>
      </c>
    </row>
    <row r="6806" spans="1:15">
      <c r="A6806" s="3563" t="s">
        <v>11054</v>
      </c>
      <c r="B6806" s="3563" t="s">
        <v>4196</v>
      </c>
      <c r="C6806" s="3563" t="s">
        <v>4197</v>
      </c>
      <c r="D6806" s="3563" t="s">
        <v>10228</v>
      </c>
      <c r="E6806" s="3563" t="s">
        <v>9050</v>
      </c>
      <c r="F6806" s="3563" t="s">
        <v>4949</v>
      </c>
      <c r="G6806" s="3564">
        <v>112.01</v>
      </c>
      <c r="H6806" s="3564">
        <v>91.75</v>
      </c>
      <c r="I6806" s="3564">
        <v>20.260000000000002</v>
      </c>
      <c r="J6806" s="3565">
        <v>1607318</v>
      </c>
      <c r="K6806" s="3565">
        <v>14349.77</v>
      </c>
      <c r="L6806" s="3565">
        <v>17518.45</v>
      </c>
      <c r="M6806" s="3565">
        <v>0</v>
      </c>
      <c r="N6806" s="3565">
        <v>0</v>
      </c>
      <c r="O6806" s="3563" t="s">
        <v>3453</v>
      </c>
    </row>
    <row r="6807" spans="1:15">
      <c r="A6807" s="3563" t="s">
        <v>11055</v>
      </c>
      <c r="B6807" s="3563" t="s">
        <v>4196</v>
      </c>
      <c r="C6807" s="3563" t="s">
        <v>4197</v>
      </c>
      <c r="D6807" s="3563" t="s">
        <v>10228</v>
      </c>
      <c r="E6807" s="3563" t="s">
        <v>9050</v>
      </c>
      <c r="F6807" s="3563" t="s">
        <v>4949</v>
      </c>
      <c r="G6807" s="3564">
        <v>142.15</v>
      </c>
      <c r="H6807" s="3564">
        <v>119.17</v>
      </c>
      <c r="I6807" s="3564">
        <v>22.98</v>
      </c>
      <c r="J6807" s="3565">
        <v>1827033</v>
      </c>
      <c r="K6807" s="3565">
        <v>12852.85</v>
      </c>
      <c r="L6807" s="3565">
        <v>15331.32</v>
      </c>
      <c r="M6807" s="3565">
        <v>0</v>
      </c>
      <c r="N6807" s="3565">
        <v>0</v>
      </c>
      <c r="O6807" s="3563" t="s">
        <v>3453</v>
      </c>
    </row>
    <row r="6808" spans="1:15">
      <c r="A6808" s="3563" t="s">
        <v>11056</v>
      </c>
      <c r="B6808" s="3563" t="s">
        <v>4196</v>
      </c>
      <c r="C6808" s="3563" t="s">
        <v>4197</v>
      </c>
      <c r="D6808" s="3563" t="s">
        <v>10228</v>
      </c>
      <c r="E6808" s="3563" t="s">
        <v>9050</v>
      </c>
      <c r="F6808" s="3563" t="s">
        <v>4949</v>
      </c>
      <c r="G6808" s="3564">
        <v>142.15</v>
      </c>
      <c r="H6808" s="3564">
        <v>119.17</v>
      </c>
      <c r="I6808" s="3564">
        <v>22.98</v>
      </c>
      <c r="J6808" s="3565">
        <v>1837502</v>
      </c>
      <c r="K6808" s="3565">
        <v>12926.5</v>
      </c>
      <c r="L6808" s="3565">
        <v>15419.17</v>
      </c>
      <c r="M6808" s="3565">
        <v>0</v>
      </c>
      <c r="N6808" s="3565">
        <v>0</v>
      </c>
      <c r="O6808" s="3563" t="s">
        <v>3453</v>
      </c>
    </row>
    <row r="6809" spans="1:15">
      <c r="A6809" s="3563" t="s">
        <v>11057</v>
      </c>
      <c r="B6809" s="3563" t="s">
        <v>4196</v>
      </c>
      <c r="C6809" s="3563" t="s">
        <v>4197</v>
      </c>
      <c r="D6809" s="3563" t="s">
        <v>10228</v>
      </c>
      <c r="E6809" s="3563" t="s">
        <v>9050</v>
      </c>
      <c r="F6809" s="3563" t="s">
        <v>4949</v>
      </c>
      <c r="G6809" s="3564">
        <v>112.01</v>
      </c>
      <c r="H6809" s="3564">
        <v>91.75</v>
      </c>
      <c r="I6809" s="3564">
        <v>20.260000000000002</v>
      </c>
      <c r="J6809" s="3565">
        <v>1607318</v>
      </c>
      <c r="K6809" s="3565">
        <v>14349.77</v>
      </c>
      <c r="L6809" s="3565">
        <v>17518.45</v>
      </c>
      <c r="M6809" s="3565">
        <v>0</v>
      </c>
      <c r="N6809" s="3565">
        <v>0</v>
      </c>
      <c r="O6809" s="3563" t="s">
        <v>3453</v>
      </c>
    </row>
    <row r="6810" spans="1:15">
      <c r="A6810" s="3563" t="s">
        <v>11058</v>
      </c>
      <c r="B6810" s="3563" t="s">
        <v>4196</v>
      </c>
      <c r="C6810" s="3563" t="s">
        <v>4197</v>
      </c>
      <c r="D6810" s="3563" t="s">
        <v>10228</v>
      </c>
      <c r="E6810" s="3563" t="s">
        <v>9050</v>
      </c>
      <c r="F6810" s="3563" t="s">
        <v>4949</v>
      </c>
      <c r="G6810" s="3564">
        <v>112.01</v>
      </c>
      <c r="H6810" s="3564">
        <v>91.75</v>
      </c>
      <c r="I6810" s="3564">
        <v>20.260000000000002</v>
      </c>
      <c r="J6810" s="3565">
        <v>1607318</v>
      </c>
      <c r="K6810" s="3565">
        <v>14349.77</v>
      </c>
      <c r="L6810" s="3565">
        <v>17518.45</v>
      </c>
      <c r="M6810" s="3565">
        <v>0</v>
      </c>
      <c r="N6810" s="3565">
        <v>0</v>
      </c>
      <c r="O6810" s="3563" t="s">
        <v>3453</v>
      </c>
    </row>
    <row r="6811" spans="1:15">
      <c r="A6811" s="3563" t="s">
        <v>11059</v>
      </c>
      <c r="B6811" s="3563" t="s">
        <v>4196</v>
      </c>
      <c r="C6811" s="3563" t="s">
        <v>4197</v>
      </c>
      <c r="D6811" s="3563" t="s">
        <v>10228</v>
      </c>
      <c r="E6811" s="3563" t="s">
        <v>9050</v>
      </c>
      <c r="F6811" s="3563" t="s">
        <v>4949</v>
      </c>
      <c r="G6811" s="3564">
        <v>142.15</v>
      </c>
      <c r="H6811" s="3564">
        <v>119.17</v>
      </c>
      <c r="I6811" s="3564">
        <v>22.98</v>
      </c>
      <c r="J6811" s="3565">
        <v>2063496</v>
      </c>
      <c r="K6811" s="3565">
        <v>14516.33</v>
      </c>
      <c r="L6811" s="3565">
        <v>17315.57</v>
      </c>
      <c r="M6811" s="3565">
        <v>0</v>
      </c>
      <c r="N6811" s="3565">
        <v>0</v>
      </c>
      <c r="O6811" s="3563" t="s">
        <v>3453</v>
      </c>
    </row>
    <row r="6812" spans="1:15">
      <c r="A6812" s="3563" t="s">
        <v>11060</v>
      </c>
      <c r="B6812" s="3563" t="s">
        <v>4196</v>
      </c>
      <c r="C6812" s="3563" t="s">
        <v>4197</v>
      </c>
      <c r="D6812" s="3563" t="s">
        <v>10228</v>
      </c>
      <c r="E6812" s="3563" t="s">
        <v>9050</v>
      </c>
      <c r="F6812" s="3563" t="s">
        <v>4949</v>
      </c>
      <c r="G6812" s="3564">
        <v>142.15</v>
      </c>
      <c r="H6812" s="3564">
        <v>119.17</v>
      </c>
      <c r="I6812" s="3564">
        <v>22.98</v>
      </c>
      <c r="J6812" s="3565">
        <v>1830385</v>
      </c>
      <c r="K6812" s="3565">
        <v>12876.43</v>
      </c>
      <c r="L6812" s="3565">
        <v>15359.44</v>
      </c>
      <c r="M6812" s="3565">
        <v>0</v>
      </c>
      <c r="N6812" s="3565">
        <v>0</v>
      </c>
      <c r="O6812" s="3563" t="s">
        <v>3453</v>
      </c>
    </row>
    <row r="6813" spans="1:15">
      <c r="A6813" s="3563" t="s">
        <v>11061</v>
      </c>
      <c r="B6813" s="3563" t="s">
        <v>4196</v>
      </c>
      <c r="C6813" s="3563" t="s">
        <v>4197</v>
      </c>
      <c r="D6813" s="3563" t="s">
        <v>10228</v>
      </c>
      <c r="E6813" s="3563" t="s">
        <v>9050</v>
      </c>
      <c r="F6813" s="3563" t="s">
        <v>4949</v>
      </c>
      <c r="G6813" s="3564">
        <v>112.01</v>
      </c>
      <c r="H6813" s="3564">
        <v>91.75</v>
      </c>
      <c r="I6813" s="3564">
        <v>20.260000000000002</v>
      </c>
      <c r="J6813" s="3565">
        <v>1666897</v>
      </c>
      <c r="K6813" s="3565">
        <v>14881.68</v>
      </c>
      <c r="L6813" s="3565">
        <v>18167.810000000001</v>
      </c>
      <c r="M6813" s="3565">
        <v>0</v>
      </c>
      <c r="N6813" s="3565">
        <v>0</v>
      </c>
      <c r="O6813" s="3563" t="s">
        <v>3453</v>
      </c>
    </row>
    <row r="6814" spans="1:15">
      <c r="A6814" s="3563" t="s">
        <v>11062</v>
      </c>
      <c r="B6814" s="3563" t="s">
        <v>4196</v>
      </c>
      <c r="C6814" s="3563" t="s">
        <v>4197</v>
      </c>
      <c r="D6814" s="3563" t="s">
        <v>10228</v>
      </c>
      <c r="E6814" s="3563" t="s">
        <v>9050</v>
      </c>
      <c r="F6814" s="3563" t="s">
        <v>4949</v>
      </c>
      <c r="G6814" s="3564">
        <v>112.01</v>
      </c>
      <c r="H6814" s="3564">
        <v>91.75</v>
      </c>
      <c r="I6814" s="3564">
        <v>20.260000000000002</v>
      </c>
      <c r="J6814" s="3565">
        <v>1607318</v>
      </c>
      <c r="K6814" s="3565">
        <v>14349.77</v>
      </c>
      <c r="L6814" s="3565">
        <v>17518.45</v>
      </c>
      <c r="M6814" s="3565">
        <v>0</v>
      </c>
      <c r="N6814" s="3565">
        <v>0</v>
      </c>
      <c r="O6814" s="3563" t="s">
        <v>3453</v>
      </c>
    </row>
    <row r="6815" spans="1:15">
      <c r="A6815" s="3563" t="s">
        <v>11063</v>
      </c>
      <c r="B6815" s="3563" t="s">
        <v>4196</v>
      </c>
      <c r="C6815" s="3563" t="s">
        <v>4197</v>
      </c>
      <c r="D6815" s="3563" t="s">
        <v>10228</v>
      </c>
      <c r="E6815" s="3563" t="s">
        <v>9204</v>
      </c>
      <c r="F6815" s="3563" t="s">
        <v>4949</v>
      </c>
      <c r="G6815" s="3564">
        <v>141.97999999999999</v>
      </c>
      <c r="H6815" s="3564">
        <v>119.17</v>
      </c>
      <c r="I6815" s="3564">
        <v>22.81</v>
      </c>
      <c r="J6815" s="3565">
        <v>1864315</v>
      </c>
      <c r="K6815" s="3565">
        <v>13130.83</v>
      </c>
      <c r="L6815" s="3565">
        <v>15644.16</v>
      </c>
      <c r="M6815" s="3565">
        <v>0</v>
      </c>
      <c r="N6815" s="3565">
        <v>0</v>
      </c>
      <c r="O6815" s="3563" t="s">
        <v>3453</v>
      </c>
    </row>
    <row r="6816" spans="1:15">
      <c r="A6816" s="3563" t="s">
        <v>11064</v>
      </c>
      <c r="B6816" s="3563" t="s">
        <v>4196</v>
      </c>
      <c r="C6816" s="3563" t="s">
        <v>4197</v>
      </c>
      <c r="D6816" s="3563" t="s">
        <v>10228</v>
      </c>
      <c r="E6816" s="3563" t="s">
        <v>9204</v>
      </c>
      <c r="F6816" s="3563" t="s">
        <v>4949</v>
      </c>
      <c r="G6816" s="3564">
        <v>141.97999999999999</v>
      </c>
      <c r="H6816" s="3564">
        <v>119.17</v>
      </c>
      <c r="I6816" s="3564">
        <v>22.81</v>
      </c>
      <c r="J6816" s="3565">
        <v>2248900</v>
      </c>
      <c r="K6816" s="3565">
        <v>15839.55</v>
      </c>
      <c r="L6816" s="3565">
        <v>18871.36</v>
      </c>
      <c r="M6816" s="3565">
        <v>0</v>
      </c>
      <c r="N6816" s="3565">
        <v>0</v>
      </c>
      <c r="O6816" s="3563" t="s">
        <v>3453</v>
      </c>
    </row>
    <row r="6817" spans="1:15">
      <c r="A6817" s="3563" t="s">
        <v>11065</v>
      </c>
      <c r="B6817" s="3563" t="s">
        <v>4196</v>
      </c>
      <c r="C6817" s="3563" t="s">
        <v>4197</v>
      </c>
      <c r="D6817" s="3563" t="s">
        <v>10228</v>
      </c>
      <c r="E6817" s="3563" t="s">
        <v>9204</v>
      </c>
      <c r="F6817" s="3563" t="s">
        <v>4949</v>
      </c>
      <c r="G6817" s="3564">
        <v>111.88</v>
      </c>
      <c r="H6817" s="3564">
        <v>91.75</v>
      </c>
      <c r="I6817" s="3564">
        <v>20.13</v>
      </c>
      <c r="J6817" s="3565">
        <v>1629809</v>
      </c>
      <c r="K6817" s="3565">
        <v>14567.47</v>
      </c>
      <c r="L6817" s="3565">
        <v>17763.59</v>
      </c>
      <c r="M6817" s="3565">
        <v>0</v>
      </c>
      <c r="N6817" s="3565">
        <v>0</v>
      </c>
      <c r="O6817" s="3563" t="s">
        <v>3453</v>
      </c>
    </row>
    <row r="6818" spans="1:15">
      <c r="A6818" s="3563" t="s">
        <v>11066</v>
      </c>
      <c r="B6818" s="3563" t="s">
        <v>4196</v>
      </c>
      <c r="C6818" s="3563" t="s">
        <v>4197</v>
      </c>
      <c r="D6818" s="3563" t="s">
        <v>10228</v>
      </c>
      <c r="E6818" s="3563" t="s">
        <v>9204</v>
      </c>
      <c r="F6818" s="3563" t="s">
        <v>4949</v>
      </c>
      <c r="G6818" s="3564">
        <v>111.88</v>
      </c>
      <c r="H6818" s="3564">
        <v>91.75</v>
      </c>
      <c r="I6818" s="3564">
        <v>20.13</v>
      </c>
      <c r="J6818" s="3565">
        <v>1689320</v>
      </c>
      <c r="K6818" s="3565">
        <v>15099.39</v>
      </c>
      <c r="L6818" s="3565">
        <v>18412.21</v>
      </c>
      <c r="M6818" s="3565">
        <v>0</v>
      </c>
      <c r="N6818" s="3565">
        <v>0</v>
      </c>
      <c r="O6818" s="3563" t="s">
        <v>3453</v>
      </c>
    </row>
    <row r="6819" spans="1:15">
      <c r="A6819" s="3563" t="s">
        <v>11067</v>
      </c>
      <c r="B6819" s="3563" t="s">
        <v>4196</v>
      </c>
      <c r="C6819" s="3563" t="s">
        <v>4197</v>
      </c>
      <c r="D6819" s="3563" t="s">
        <v>10228</v>
      </c>
      <c r="E6819" s="3563" t="s">
        <v>9204</v>
      </c>
      <c r="F6819" s="3563" t="s">
        <v>4949</v>
      </c>
      <c r="G6819" s="3564">
        <v>141.97999999999999</v>
      </c>
      <c r="H6819" s="3564">
        <v>119.17</v>
      </c>
      <c r="I6819" s="3564">
        <v>22.81</v>
      </c>
      <c r="J6819" s="3565">
        <v>1866135</v>
      </c>
      <c r="K6819" s="3565">
        <v>13143.65</v>
      </c>
      <c r="L6819" s="3565">
        <v>15659.44</v>
      </c>
      <c r="M6819" s="3565">
        <v>0</v>
      </c>
      <c r="N6819" s="3565">
        <v>0</v>
      </c>
      <c r="O6819" s="3563" t="s">
        <v>3453</v>
      </c>
    </row>
    <row r="6820" spans="1:15">
      <c r="A6820" s="3563" t="s">
        <v>11068</v>
      </c>
      <c r="B6820" s="3563" t="s">
        <v>4196</v>
      </c>
      <c r="C6820" s="3563" t="s">
        <v>4197</v>
      </c>
      <c r="D6820" s="3563" t="s">
        <v>10228</v>
      </c>
      <c r="E6820" s="3563" t="s">
        <v>9204</v>
      </c>
      <c r="F6820" s="3563" t="s">
        <v>4949</v>
      </c>
      <c r="G6820" s="3564">
        <v>141.97999999999999</v>
      </c>
      <c r="H6820" s="3564">
        <v>119.17</v>
      </c>
      <c r="I6820" s="3564">
        <v>22.81</v>
      </c>
      <c r="J6820" s="3565">
        <v>1864858</v>
      </c>
      <c r="K6820" s="3565">
        <v>13134.65</v>
      </c>
      <c r="L6820" s="3565">
        <v>15648.72</v>
      </c>
      <c r="M6820" s="3565">
        <v>0</v>
      </c>
      <c r="N6820" s="3565">
        <v>0</v>
      </c>
      <c r="O6820" s="3563" t="s">
        <v>3453</v>
      </c>
    </row>
    <row r="6821" spans="1:15">
      <c r="A6821" s="3563" t="s">
        <v>11069</v>
      </c>
      <c r="B6821" s="3563" t="s">
        <v>4196</v>
      </c>
      <c r="C6821" s="3563" t="s">
        <v>4197</v>
      </c>
      <c r="D6821" s="3563" t="s">
        <v>10228</v>
      </c>
      <c r="E6821" s="3563" t="s">
        <v>9204</v>
      </c>
      <c r="F6821" s="3563" t="s">
        <v>4949</v>
      </c>
      <c r="G6821" s="3564">
        <v>111.88</v>
      </c>
      <c r="H6821" s="3564">
        <v>91.75</v>
      </c>
      <c r="I6821" s="3564">
        <v>20.13</v>
      </c>
      <c r="J6821" s="3565">
        <v>1629809</v>
      </c>
      <c r="K6821" s="3565">
        <v>14567.47</v>
      </c>
      <c r="L6821" s="3565">
        <v>17763.59</v>
      </c>
      <c r="M6821" s="3565">
        <v>0</v>
      </c>
      <c r="N6821" s="3565">
        <v>0</v>
      </c>
      <c r="O6821" s="3563" t="s">
        <v>3453</v>
      </c>
    </row>
    <row r="6822" spans="1:15">
      <c r="A6822" s="3563" t="s">
        <v>11070</v>
      </c>
      <c r="B6822" s="3563" t="s">
        <v>4196</v>
      </c>
      <c r="C6822" s="3563" t="s">
        <v>4197</v>
      </c>
      <c r="D6822" s="3563" t="s">
        <v>10228</v>
      </c>
      <c r="E6822" s="3563" t="s">
        <v>9204</v>
      </c>
      <c r="F6822" s="3563" t="s">
        <v>4949</v>
      </c>
      <c r="G6822" s="3564">
        <v>111.88</v>
      </c>
      <c r="H6822" s="3564">
        <v>91.75</v>
      </c>
      <c r="I6822" s="3564">
        <v>20.13</v>
      </c>
      <c r="J6822" s="3565">
        <v>1629809</v>
      </c>
      <c r="K6822" s="3565">
        <v>14567.47</v>
      </c>
      <c r="L6822" s="3565">
        <v>17763.59</v>
      </c>
      <c r="M6822" s="3565">
        <v>0</v>
      </c>
      <c r="N6822" s="3565">
        <v>0</v>
      </c>
      <c r="O6822" s="3563" t="s">
        <v>3453</v>
      </c>
    </row>
    <row r="6823" spans="1:15">
      <c r="A6823" s="3563" t="s">
        <v>11071</v>
      </c>
      <c r="B6823" s="3563" t="s">
        <v>4196</v>
      </c>
      <c r="C6823" s="3563" t="s">
        <v>4197</v>
      </c>
      <c r="D6823" s="3563" t="s">
        <v>10228</v>
      </c>
      <c r="E6823" s="3563" t="s">
        <v>9204</v>
      </c>
      <c r="F6823" s="3563" t="s">
        <v>4949</v>
      </c>
      <c r="G6823" s="3564">
        <v>141.97999999999999</v>
      </c>
      <c r="H6823" s="3564">
        <v>119.17</v>
      </c>
      <c r="I6823" s="3564">
        <v>22.81</v>
      </c>
      <c r="J6823" s="3565">
        <v>2058241</v>
      </c>
      <c r="K6823" s="3565">
        <v>14496.7</v>
      </c>
      <c r="L6823" s="3565">
        <v>17271.47</v>
      </c>
      <c r="M6823" s="3565">
        <v>0</v>
      </c>
      <c r="N6823" s="3565">
        <v>0</v>
      </c>
      <c r="O6823" s="3563" t="s">
        <v>3453</v>
      </c>
    </row>
    <row r="6824" spans="1:15">
      <c r="A6824" s="3563" t="s">
        <v>11072</v>
      </c>
      <c r="B6824" s="3563" t="s">
        <v>4196</v>
      </c>
      <c r="C6824" s="3563" t="s">
        <v>4197</v>
      </c>
      <c r="D6824" s="3563" t="s">
        <v>10228</v>
      </c>
      <c r="E6824" s="3563" t="s">
        <v>9204</v>
      </c>
      <c r="F6824" s="3563" t="s">
        <v>4949</v>
      </c>
      <c r="G6824" s="3564">
        <v>141.97999999999999</v>
      </c>
      <c r="H6824" s="3564">
        <v>119.17</v>
      </c>
      <c r="I6824" s="3564">
        <v>22.81</v>
      </c>
      <c r="J6824" s="3565">
        <v>1866135</v>
      </c>
      <c r="K6824" s="3565">
        <v>13143.65</v>
      </c>
      <c r="L6824" s="3565">
        <v>15659.44</v>
      </c>
      <c r="M6824" s="3565">
        <v>0</v>
      </c>
      <c r="N6824" s="3565">
        <v>0</v>
      </c>
      <c r="O6824" s="3563" t="s">
        <v>3453</v>
      </c>
    </row>
    <row r="6825" spans="1:15">
      <c r="A6825" s="3563" t="s">
        <v>11073</v>
      </c>
      <c r="B6825" s="3563" t="s">
        <v>4196</v>
      </c>
      <c r="C6825" s="3563" t="s">
        <v>4197</v>
      </c>
      <c r="D6825" s="3563" t="s">
        <v>10228</v>
      </c>
      <c r="E6825" s="3563" t="s">
        <v>9204</v>
      </c>
      <c r="F6825" s="3563" t="s">
        <v>4949</v>
      </c>
      <c r="G6825" s="3564">
        <v>111.88</v>
      </c>
      <c r="H6825" s="3564">
        <v>91.75</v>
      </c>
      <c r="I6825" s="3564">
        <v>20.13</v>
      </c>
      <c r="J6825" s="3565">
        <v>1689320</v>
      </c>
      <c r="K6825" s="3565">
        <v>15099.39</v>
      </c>
      <c r="L6825" s="3565">
        <v>18412.21</v>
      </c>
      <c r="M6825" s="3565">
        <v>0</v>
      </c>
      <c r="N6825" s="3565">
        <v>0</v>
      </c>
      <c r="O6825" s="3563" t="s">
        <v>3453</v>
      </c>
    </row>
    <row r="6826" spans="1:15">
      <c r="A6826" s="3563" t="s">
        <v>11074</v>
      </c>
      <c r="B6826" s="3563" t="s">
        <v>4196</v>
      </c>
      <c r="C6826" s="3563" t="s">
        <v>4197</v>
      </c>
      <c r="D6826" s="3563" t="s">
        <v>10228</v>
      </c>
      <c r="E6826" s="3563" t="s">
        <v>9204</v>
      </c>
      <c r="F6826" s="3563" t="s">
        <v>4949</v>
      </c>
      <c r="G6826" s="3564">
        <v>111.88</v>
      </c>
      <c r="H6826" s="3564">
        <v>91.75</v>
      </c>
      <c r="I6826" s="3564">
        <v>20.13</v>
      </c>
      <c r="J6826" s="3565">
        <v>1629809</v>
      </c>
      <c r="K6826" s="3565">
        <v>14567.47</v>
      </c>
      <c r="L6826" s="3565">
        <v>17763.59</v>
      </c>
      <c r="M6826" s="3565">
        <v>0</v>
      </c>
      <c r="N6826" s="3565">
        <v>0</v>
      </c>
      <c r="O6826" s="3563" t="s">
        <v>3453</v>
      </c>
    </row>
    <row r="6827" spans="1:15">
      <c r="A6827" s="3563" t="s">
        <v>11075</v>
      </c>
      <c r="B6827" s="3563" t="s">
        <v>4196</v>
      </c>
      <c r="C6827" s="3563" t="s">
        <v>4197</v>
      </c>
      <c r="D6827" s="3563" t="s">
        <v>10228</v>
      </c>
      <c r="E6827" s="3563" t="s">
        <v>9359</v>
      </c>
      <c r="F6827" s="3563" t="s">
        <v>4949</v>
      </c>
      <c r="G6827" s="3564">
        <v>174.77</v>
      </c>
      <c r="H6827" s="3564">
        <v>145.85</v>
      </c>
      <c r="I6827" s="3564">
        <v>28.92</v>
      </c>
      <c r="J6827" s="3565">
        <v>2664039</v>
      </c>
      <c r="K6827" s="3565">
        <v>15243.11</v>
      </c>
      <c r="L6827" s="3565">
        <v>18265.61</v>
      </c>
      <c r="M6827" s="3565">
        <v>0</v>
      </c>
      <c r="N6827" s="3565">
        <v>0</v>
      </c>
      <c r="O6827" s="3563" t="s">
        <v>3453</v>
      </c>
    </row>
    <row r="6828" spans="1:15">
      <c r="A6828" s="3563" t="s">
        <v>11076</v>
      </c>
      <c r="B6828" s="3563" t="s">
        <v>4196</v>
      </c>
      <c r="C6828" s="3563" t="s">
        <v>4197</v>
      </c>
      <c r="D6828" s="3563" t="s">
        <v>10228</v>
      </c>
      <c r="E6828" s="3563" t="s">
        <v>9359</v>
      </c>
      <c r="F6828" s="3563" t="s">
        <v>4949</v>
      </c>
      <c r="G6828" s="3564">
        <v>174.77</v>
      </c>
      <c r="H6828" s="3564">
        <v>145.85</v>
      </c>
      <c r="I6828" s="3564">
        <v>28.92</v>
      </c>
      <c r="J6828" s="3565">
        <v>2546661</v>
      </c>
      <c r="K6828" s="3565">
        <v>14571.5</v>
      </c>
      <c r="L6828" s="3565">
        <v>17460.82</v>
      </c>
      <c r="M6828" s="3565">
        <v>0</v>
      </c>
      <c r="N6828" s="3565">
        <v>0</v>
      </c>
      <c r="O6828" s="3563" t="s">
        <v>3453</v>
      </c>
    </row>
    <row r="6829" spans="1:15">
      <c r="A6829" s="3563" t="s">
        <v>11077</v>
      </c>
      <c r="B6829" s="3563" t="s">
        <v>4196</v>
      </c>
      <c r="C6829" s="3563" t="s">
        <v>4197</v>
      </c>
      <c r="D6829" s="3563" t="s">
        <v>10228</v>
      </c>
      <c r="E6829" s="3563" t="s">
        <v>9359</v>
      </c>
      <c r="F6829" s="3563" t="s">
        <v>4949</v>
      </c>
      <c r="G6829" s="3564">
        <v>152.19</v>
      </c>
      <c r="H6829" s="3564">
        <v>127.01</v>
      </c>
      <c r="I6829" s="3564">
        <v>25.18</v>
      </c>
      <c r="J6829" s="3565">
        <v>2252382</v>
      </c>
      <c r="K6829" s="3565">
        <v>14799.8</v>
      </c>
      <c r="L6829" s="3565">
        <v>17733.89</v>
      </c>
      <c r="M6829" s="3565">
        <v>0</v>
      </c>
      <c r="N6829" s="3565">
        <v>0</v>
      </c>
      <c r="O6829" s="3563" t="s">
        <v>3453</v>
      </c>
    </row>
    <row r="6830" spans="1:15">
      <c r="A6830" s="3563" t="s">
        <v>11078</v>
      </c>
      <c r="B6830" s="3563" t="s">
        <v>4196</v>
      </c>
      <c r="C6830" s="3563" t="s">
        <v>4197</v>
      </c>
      <c r="D6830" s="3563" t="s">
        <v>10228</v>
      </c>
      <c r="E6830" s="3563" t="s">
        <v>9359</v>
      </c>
      <c r="F6830" s="3563" t="s">
        <v>4949</v>
      </c>
      <c r="G6830" s="3564">
        <v>152.19</v>
      </c>
      <c r="H6830" s="3564">
        <v>127.01</v>
      </c>
      <c r="I6830" s="3564">
        <v>25.18</v>
      </c>
      <c r="J6830" s="3565">
        <v>2171430</v>
      </c>
      <c r="K6830" s="3565">
        <v>14267.89</v>
      </c>
      <c r="L6830" s="3565">
        <v>17096.53</v>
      </c>
      <c r="M6830" s="3565">
        <v>0</v>
      </c>
      <c r="N6830" s="3565">
        <v>0</v>
      </c>
      <c r="O6830" s="3563" t="s">
        <v>3453</v>
      </c>
    </row>
    <row r="6831" spans="1:15">
      <c r="A6831" s="3563" t="s">
        <v>11079</v>
      </c>
      <c r="B6831" s="3563" t="s">
        <v>4196</v>
      </c>
      <c r="C6831" s="3563" t="s">
        <v>4197</v>
      </c>
      <c r="D6831" s="3563" t="s">
        <v>10228</v>
      </c>
      <c r="E6831" s="3563" t="s">
        <v>9359</v>
      </c>
      <c r="F6831" s="3563" t="s">
        <v>4949</v>
      </c>
      <c r="G6831" s="3564">
        <v>174.77</v>
      </c>
      <c r="H6831" s="3564">
        <v>145.85</v>
      </c>
      <c r="I6831" s="3564">
        <v>28.92</v>
      </c>
      <c r="J6831" s="3565">
        <v>2579789</v>
      </c>
      <c r="K6831" s="3565">
        <v>14761.05</v>
      </c>
      <c r="L6831" s="3565">
        <v>17687.96</v>
      </c>
      <c r="M6831" s="3565">
        <v>0</v>
      </c>
      <c r="N6831" s="3565">
        <v>0</v>
      </c>
      <c r="O6831" s="3563" t="s">
        <v>3453</v>
      </c>
    </row>
    <row r="6832" spans="1:15">
      <c r="A6832" s="3563" t="s">
        <v>11080</v>
      </c>
      <c r="B6832" s="3563" t="s">
        <v>4196</v>
      </c>
      <c r="C6832" s="3563" t="s">
        <v>4197</v>
      </c>
      <c r="D6832" s="3563" t="s">
        <v>10228</v>
      </c>
      <c r="E6832" s="3563" t="s">
        <v>9359</v>
      </c>
      <c r="F6832" s="3563" t="s">
        <v>4949</v>
      </c>
      <c r="G6832" s="3564">
        <v>174.77</v>
      </c>
      <c r="H6832" s="3564">
        <v>145.85</v>
      </c>
      <c r="I6832" s="3564">
        <v>28.92</v>
      </c>
      <c r="J6832" s="3565">
        <v>2579278</v>
      </c>
      <c r="K6832" s="3565">
        <v>14758.13</v>
      </c>
      <c r="L6832" s="3565">
        <v>17684.46</v>
      </c>
      <c r="M6832" s="3565">
        <v>0</v>
      </c>
      <c r="N6832" s="3565">
        <v>0</v>
      </c>
      <c r="O6832" s="3563" t="s">
        <v>3453</v>
      </c>
    </row>
    <row r="6833" spans="1:15">
      <c r="A6833" s="3563" t="s">
        <v>11081</v>
      </c>
      <c r="B6833" s="3563" t="s">
        <v>4196</v>
      </c>
      <c r="C6833" s="3563" t="s">
        <v>4197</v>
      </c>
      <c r="D6833" s="3563" t="s">
        <v>10228</v>
      </c>
      <c r="E6833" s="3563" t="s">
        <v>9359</v>
      </c>
      <c r="F6833" s="3563" t="s">
        <v>4949</v>
      </c>
      <c r="G6833" s="3564">
        <v>152.19</v>
      </c>
      <c r="H6833" s="3564">
        <v>127.01</v>
      </c>
      <c r="I6833" s="3564">
        <v>25.18</v>
      </c>
      <c r="J6833" s="3565">
        <v>2171430</v>
      </c>
      <c r="K6833" s="3565">
        <v>14267.89</v>
      </c>
      <c r="L6833" s="3565">
        <v>17096.53</v>
      </c>
      <c r="M6833" s="3565">
        <v>0</v>
      </c>
      <c r="N6833" s="3565">
        <v>0</v>
      </c>
      <c r="O6833" s="3563" t="s">
        <v>3453</v>
      </c>
    </row>
    <row r="6834" spans="1:15">
      <c r="A6834" s="3563" t="s">
        <v>11082</v>
      </c>
      <c r="B6834" s="3563" t="s">
        <v>4196</v>
      </c>
      <c r="C6834" s="3563" t="s">
        <v>4197</v>
      </c>
      <c r="D6834" s="3563" t="s">
        <v>10228</v>
      </c>
      <c r="E6834" s="3563" t="s">
        <v>9359</v>
      </c>
      <c r="F6834" s="3563" t="s">
        <v>4949</v>
      </c>
      <c r="G6834" s="3564">
        <v>152.19</v>
      </c>
      <c r="H6834" s="3564">
        <v>127.01</v>
      </c>
      <c r="I6834" s="3564">
        <v>25.18</v>
      </c>
      <c r="J6834" s="3565">
        <v>2171430</v>
      </c>
      <c r="K6834" s="3565">
        <v>14267.89</v>
      </c>
      <c r="L6834" s="3565">
        <v>17096.53</v>
      </c>
      <c r="M6834" s="3565">
        <v>0</v>
      </c>
      <c r="N6834" s="3565">
        <v>0</v>
      </c>
      <c r="O6834" s="3563" t="s">
        <v>3453</v>
      </c>
    </row>
    <row r="6835" spans="1:15">
      <c r="A6835" s="3563" t="s">
        <v>11083</v>
      </c>
      <c r="B6835" s="3563" t="s">
        <v>4196</v>
      </c>
      <c r="C6835" s="3563" t="s">
        <v>4197</v>
      </c>
      <c r="D6835" s="3563" t="s">
        <v>10228</v>
      </c>
      <c r="E6835" s="3563" t="s">
        <v>9359</v>
      </c>
      <c r="F6835" s="3563" t="s">
        <v>4949</v>
      </c>
      <c r="G6835" s="3564">
        <v>174.77</v>
      </c>
      <c r="H6835" s="3564">
        <v>145.85</v>
      </c>
      <c r="I6835" s="3564">
        <v>28.92</v>
      </c>
      <c r="J6835" s="3565">
        <v>2604236</v>
      </c>
      <c r="K6835" s="3565">
        <v>14900.93</v>
      </c>
      <c r="L6835" s="3565">
        <v>17855.580000000002</v>
      </c>
      <c r="M6835" s="3565">
        <v>0</v>
      </c>
      <c r="N6835" s="3565">
        <v>0</v>
      </c>
      <c r="O6835" s="3563" t="s">
        <v>3453</v>
      </c>
    </row>
    <row r="6836" spans="1:15">
      <c r="A6836" s="3563" t="s">
        <v>11084</v>
      </c>
      <c r="B6836" s="3563" t="s">
        <v>4196</v>
      </c>
      <c r="C6836" s="3563" t="s">
        <v>4197</v>
      </c>
      <c r="D6836" s="3563" t="s">
        <v>10228</v>
      </c>
      <c r="E6836" s="3563" t="s">
        <v>9359</v>
      </c>
      <c r="F6836" s="3563" t="s">
        <v>4949</v>
      </c>
      <c r="G6836" s="3564">
        <v>174.77</v>
      </c>
      <c r="H6836" s="3564">
        <v>145.85</v>
      </c>
      <c r="I6836" s="3564">
        <v>28.92</v>
      </c>
      <c r="J6836" s="3565">
        <v>2793613</v>
      </c>
      <c r="K6836" s="3565">
        <v>15984.51</v>
      </c>
      <c r="L6836" s="3565">
        <v>19154.009999999998</v>
      </c>
      <c r="M6836" s="3565">
        <v>0</v>
      </c>
      <c r="N6836" s="3565">
        <v>0</v>
      </c>
      <c r="O6836" s="3563" t="s">
        <v>3453</v>
      </c>
    </row>
    <row r="6837" spans="1:15">
      <c r="A6837" s="3563" t="s">
        <v>11085</v>
      </c>
      <c r="B6837" s="3563" t="s">
        <v>4196</v>
      </c>
      <c r="C6837" s="3563" t="s">
        <v>4197</v>
      </c>
      <c r="D6837" s="3563" t="s">
        <v>10228</v>
      </c>
      <c r="E6837" s="3563" t="s">
        <v>9359</v>
      </c>
      <c r="F6837" s="3563" t="s">
        <v>4949</v>
      </c>
      <c r="G6837" s="3564">
        <v>152.19</v>
      </c>
      <c r="H6837" s="3564">
        <v>127.01</v>
      </c>
      <c r="I6837" s="3564">
        <v>25.18</v>
      </c>
      <c r="J6837" s="3565">
        <v>2171430</v>
      </c>
      <c r="K6837" s="3565">
        <v>14267.89</v>
      </c>
      <c r="L6837" s="3565">
        <v>17096.53</v>
      </c>
      <c r="M6837" s="3565">
        <v>0</v>
      </c>
      <c r="N6837" s="3565">
        <v>0</v>
      </c>
      <c r="O6837" s="3563" t="s">
        <v>3453</v>
      </c>
    </row>
    <row r="6838" spans="1:15">
      <c r="A6838" s="3563" t="s">
        <v>11086</v>
      </c>
      <c r="B6838" s="3563" t="s">
        <v>4196</v>
      </c>
      <c r="C6838" s="3563" t="s">
        <v>4197</v>
      </c>
      <c r="D6838" s="3563" t="s">
        <v>10228</v>
      </c>
      <c r="E6838" s="3563" t="s">
        <v>9359</v>
      </c>
      <c r="F6838" s="3563" t="s">
        <v>4949</v>
      </c>
      <c r="G6838" s="3564">
        <v>152.19</v>
      </c>
      <c r="H6838" s="3564">
        <v>127.01</v>
      </c>
      <c r="I6838" s="3564">
        <v>25.18</v>
      </c>
      <c r="J6838" s="3565">
        <v>2252382</v>
      </c>
      <c r="K6838" s="3565">
        <v>14799.8</v>
      </c>
      <c r="L6838" s="3565">
        <v>17733.89</v>
      </c>
      <c r="M6838" s="3565">
        <v>0</v>
      </c>
      <c r="N6838" s="3565">
        <v>0</v>
      </c>
      <c r="O6838" s="3563" t="s">
        <v>3453</v>
      </c>
    </row>
    <row r="6839" spans="1:15">
      <c r="A6839" s="3563" t="s">
        <v>11087</v>
      </c>
      <c r="B6839" s="3563" t="s">
        <v>4196</v>
      </c>
      <c r="C6839" s="3563" t="s">
        <v>4197</v>
      </c>
      <c r="D6839" s="3563" t="s">
        <v>10228</v>
      </c>
      <c r="E6839" s="3563" t="s">
        <v>9514</v>
      </c>
      <c r="F6839" s="3563" t="s">
        <v>11088</v>
      </c>
      <c r="G6839" s="3564">
        <v>116.13</v>
      </c>
      <c r="H6839" s="3564">
        <v>95.48</v>
      </c>
      <c r="I6839" s="3564">
        <v>20.65</v>
      </c>
      <c r="J6839" s="3565">
        <v>1441581</v>
      </c>
      <c r="K6839" s="3565">
        <v>12413.51</v>
      </c>
      <c r="L6839" s="3565">
        <v>15098.25</v>
      </c>
      <c r="M6839" s="3565">
        <v>0</v>
      </c>
      <c r="N6839" s="3565">
        <v>0</v>
      </c>
      <c r="O6839" s="3563" t="s">
        <v>3453</v>
      </c>
    </row>
    <row r="6840" spans="1:15">
      <c r="A6840" s="3563" t="s">
        <v>11089</v>
      </c>
      <c r="B6840" s="3563" t="s">
        <v>4196</v>
      </c>
      <c r="C6840" s="3563" t="s">
        <v>4197</v>
      </c>
      <c r="D6840" s="3563" t="s">
        <v>10228</v>
      </c>
      <c r="E6840" s="3563" t="s">
        <v>9514</v>
      </c>
      <c r="F6840" s="3563" t="s">
        <v>11088</v>
      </c>
      <c r="G6840" s="3564">
        <v>123.67</v>
      </c>
      <c r="H6840" s="3564">
        <v>101.68</v>
      </c>
      <c r="I6840" s="3564">
        <v>21.99</v>
      </c>
      <c r="J6840" s="3565">
        <v>1546440</v>
      </c>
      <c r="K6840" s="3565">
        <v>12504.57</v>
      </c>
      <c r="L6840" s="3565">
        <v>15208.89</v>
      </c>
      <c r="M6840" s="3565">
        <v>0</v>
      </c>
      <c r="N6840" s="3565">
        <v>0</v>
      </c>
      <c r="O6840" s="3563" t="s">
        <v>3453</v>
      </c>
    </row>
    <row r="6841" spans="1:15">
      <c r="A6841" s="3563" t="s">
        <v>11090</v>
      </c>
      <c r="B6841" s="3563" t="s">
        <v>4196</v>
      </c>
      <c r="C6841" s="3563" t="s">
        <v>4197</v>
      </c>
      <c r="D6841" s="3563" t="s">
        <v>10228</v>
      </c>
      <c r="E6841" s="3563" t="s">
        <v>9514</v>
      </c>
      <c r="F6841" s="3563" t="s">
        <v>11088</v>
      </c>
      <c r="G6841" s="3564">
        <v>123.67</v>
      </c>
      <c r="H6841" s="3564">
        <v>101.68</v>
      </c>
      <c r="I6841" s="3564">
        <v>21.99</v>
      </c>
      <c r="J6841" s="3565">
        <v>1414930</v>
      </c>
      <c r="K6841" s="3565">
        <v>11441.17</v>
      </c>
      <c r="L6841" s="3565">
        <v>13915.52</v>
      </c>
      <c r="M6841" s="3565">
        <v>0</v>
      </c>
      <c r="N6841" s="3565">
        <v>0</v>
      </c>
      <c r="O6841" s="3563" t="s">
        <v>3453</v>
      </c>
    </row>
    <row r="6842" spans="1:15">
      <c r="A6842" s="3563" t="s">
        <v>11091</v>
      </c>
      <c r="B6842" s="3563" t="s">
        <v>4196</v>
      </c>
      <c r="C6842" s="3563" t="s">
        <v>4197</v>
      </c>
      <c r="D6842" s="3563" t="s">
        <v>10228</v>
      </c>
      <c r="E6842" s="3563" t="s">
        <v>9514</v>
      </c>
      <c r="F6842" s="3563" t="s">
        <v>11088</v>
      </c>
      <c r="G6842" s="3564">
        <v>123.67</v>
      </c>
      <c r="H6842" s="3564">
        <v>101.68</v>
      </c>
      <c r="I6842" s="3564">
        <v>21.99</v>
      </c>
      <c r="J6842" s="3565">
        <v>1414930</v>
      </c>
      <c r="K6842" s="3565">
        <v>11441.17</v>
      </c>
      <c r="L6842" s="3565">
        <v>13915.52</v>
      </c>
      <c r="M6842" s="3565">
        <v>0</v>
      </c>
      <c r="N6842" s="3565">
        <v>0</v>
      </c>
      <c r="O6842" s="3563" t="s">
        <v>3453</v>
      </c>
    </row>
    <row r="6843" spans="1:15">
      <c r="A6843" s="3563" t="s">
        <v>11092</v>
      </c>
      <c r="B6843" s="3563" t="s">
        <v>4196</v>
      </c>
      <c r="C6843" s="3563" t="s">
        <v>4197</v>
      </c>
      <c r="D6843" s="3563" t="s">
        <v>10228</v>
      </c>
      <c r="E6843" s="3563" t="s">
        <v>9514</v>
      </c>
      <c r="F6843" s="3563" t="s">
        <v>11088</v>
      </c>
      <c r="G6843" s="3564">
        <v>123.67</v>
      </c>
      <c r="H6843" s="3564">
        <v>101.68</v>
      </c>
      <c r="I6843" s="3564">
        <v>21.99</v>
      </c>
      <c r="J6843" s="3565">
        <v>1442953</v>
      </c>
      <c r="K6843" s="3565">
        <v>11667.77</v>
      </c>
      <c r="L6843" s="3565">
        <v>14191.12</v>
      </c>
      <c r="M6843" s="3565">
        <v>0</v>
      </c>
      <c r="N6843" s="3565">
        <v>0</v>
      </c>
      <c r="O6843" s="3563" t="s">
        <v>3453</v>
      </c>
    </row>
    <row r="6844" spans="1:15">
      <c r="A6844" s="3563" t="s">
        <v>11093</v>
      </c>
      <c r="B6844" s="3563" t="s">
        <v>3453</v>
      </c>
      <c r="C6844" s="3563" t="s">
        <v>4197</v>
      </c>
      <c r="D6844" s="3563" t="s">
        <v>10228</v>
      </c>
      <c r="E6844" s="3563" t="s">
        <v>9514</v>
      </c>
      <c r="F6844" s="3563" t="s">
        <v>11088</v>
      </c>
      <c r="G6844" s="3564">
        <v>123.67</v>
      </c>
      <c r="H6844" s="3564">
        <v>101.68</v>
      </c>
      <c r="I6844" s="3564">
        <v>21.99</v>
      </c>
      <c r="J6844" s="3565">
        <v>1442953</v>
      </c>
      <c r="K6844" s="3565">
        <v>11667.77</v>
      </c>
      <c r="L6844" s="3565">
        <v>14191.12</v>
      </c>
      <c r="M6844" s="3565">
        <v>0</v>
      </c>
      <c r="N6844" s="3565">
        <v>0</v>
      </c>
      <c r="O6844" s="3563" t="s">
        <v>3453</v>
      </c>
    </row>
    <row r="6845" spans="1:15">
      <c r="A6845" s="3563" t="s">
        <v>11094</v>
      </c>
      <c r="B6845" s="3563" t="s">
        <v>4196</v>
      </c>
      <c r="C6845" s="3563" t="s">
        <v>4197</v>
      </c>
      <c r="D6845" s="3563" t="s">
        <v>10228</v>
      </c>
      <c r="E6845" s="3563" t="s">
        <v>9514</v>
      </c>
      <c r="F6845" s="3563" t="s">
        <v>11088</v>
      </c>
      <c r="G6845" s="3564">
        <v>123.67</v>
      </c>
      <c r="H6845" s="3564">
        <v>101.68</v>
      </c>
      <c r="I6845" s="3564">
        <v>21.99</v>
      </c>
      <c r="J6845" s="3565">
        <v>1428481</v>
      </c>
      <c r="K6845" s="3565">
        <v>11550.75</v>
      </c>
      <c r="L6845" s="3565">
        <v>14048.79</v>
      </c>
      <c r="M6845" s="3565">
        <v>0</v>
      </c>
      <c r="N6845" s="3565">
        <v>0</v>
      </c>
      <c r="O6845" s="3563" t="s">
        <v>3453</v>
      </c>
    </row>
    <row r="6846" spans="1:15">
      <c r="A6846" s="3563" t="s">
        <v>11095</v>
      </c>
      <c r="B6846" s="3563" t="s">
        <v>3453</v>
      </c>
      <c r="C6846" s="3563" t="s">
        <v>4197</v>
      </c>
      <c r="D6846" s="3563" t="s">
        <v>10228</v>
      </c>
      <c r="E6846" s="3563" t="s">
        <v>9514</v>
      </c>
      <c r="F6846" s="3563" t="s">
        <v>11088</v>
      </c>
      <c r="G6846" s="3564">
        <v>123.67</v>
      </c>
      <c r="H6846" s="3564">
        <v>101.68</v>
      </c>
      <c r="I6846" s="3564">
        <v>21.99</v>
      </c>
      <c r="J6846" s="3565">
        <v>1428481</v>
      </c>
      <c r="K6846" s="3565">
        <v>11550.75</v>
      </c>
      <c r="L6846" s="3565">
        <v>14048.79</v>
      </c>
      <c r="M6846" s="3565">
        <v>0</v>
      </c>
      <c r="N6846" s="3565">
        <v>0</v>
      </c>
      <c r="O6846" s="3563" t="s">
        <v>3453</v>
      </c>
    </row>
    <row r="6847" spans="1:15">
      <c r="A6847" s="3563" t="s">
        <v>11096</v>
      </c>
      <c r="B6847" s="3563" t="s">
        <v>3453</v>
      </c>
      <c r="C6847" s="3563" t="s">
        <v>4197</v>
      </c>
      <c r="D6847" s="3563" t="s">
        <v>10228</v>
      </c>
      <c r="E6847" s="3563" t="s">
        <v>9514</v>
      </c>
      <c r="F6847" s="3563" t="s">
        <v>11088</v>
      </c>
      <c r="G6847" s="3564">
        <v>123.67</v>
      </c>
      <c r="H6847" s="3564">
        <v>101.68</v>
      </c>
      <c r="I6847" s="3564">
        <v>21.99</v>
      </c>
      <c r="J6847" s="3565">
        <v>1414930</v>
      </c>
      <c r="K6847" s="3565">
        <v>11441.17</v>
      </c>
      <c r="L6847" s="3565">
        <v>13915.52</v>
      </c>
      <c r="M6847" s="3565">
        <v>0</v>
      </c>
      <c r="N6847" s="3565">
        <v>0</v>
      </c>
      <c r="O6847" s="3563" t="s">
        <v>3453</v>
      </c>
    </row>
    <row r="6848" spans="1:15">
      <c r="A6848" s="3563" t="s">
        <v>11097</v>
      </c>
      <c r="B6848" s="3563" t="s">
        <v>3453</v>
      </c>
      <c r="C6848" s="3563" t="s">
        <v>4197</v>
      </c>
      <c r="D6848" s="3563" t="s">
        <v>10228</v>
      </c>
      <c r="E6848" s="3563" t="s">
        <v>9514</v>
      </c>
      <c r="F6848" s="3563" t="s">
        <v>11088</v>
      </c>
      <c r="G6848" s="3564">
        <v>123.67</v>
      </c>
      <c r="H6848" s="3564">
        <v>101.68</v>
      </c>
      <c r="I6848" s="3564">
        <v>21.99</v>
      </c>
      <c r="J6848" s="3565">
        <v>1442953</v>
      </c>
      <c r="K6848" s="3565">
        <v>11667.77</v>
      </c>
      <c r="L6848" s="3565">
        <v>14191.12</v>
      </c>
      <c r="M6848" s="3565">
        <v>0</v>
      </c>
      <c r="N6848" s="3565">
        <v>0</v>
      </c>
      <c r="O6848" s="3563" t="s">
        <v>3453</v>
      </c>
    </row>
    <row r="6849" spans="1:15">
      <c r="A6849" s="3563" t="s">
        <v>11098</v>
      </c>
      <c r="B6849" s="3563" t="s">
        <v>4196</v>
      </c>
      <c r="C6849" s="3563" t="s">
        <v>4197</v>
      </c>
      <c r="D6849" s="3563" t="s">
        <v>10228</v>
      </c>
      <c r="E6849" s="3563" t="s">
        <v>9514</v>
      </c>
      <c r="F6849" s="3563" t="s">
        <v>11088</v>
      </c>
      <c r="G6849" s="3564">
        <v>123.67</v>
      </c>
      <c r="H6849" s="3564">
        <v>101.68</v>
      </c>
      <c r="I6849" s="3564">
        <v>21.99</v>
      </c>
      <c r="J6849" s="3565">
        <v>1414930</v>
      </c>
      <c r="K6849" s="3565">
        <v>11441.17</v>
      </c>
      <c r="L6849" s="3565">
        <v>13915.52</v>
      </c>
      <c r="M6849" s="3565">
        <v>0</v>
      </c>
      <c r="N6849" s="3565">
        <v>0</v>
      </c>
      <c r="O6849" s="3563" t="s">
        <v>3453</v>
      </c>
    </row>
    <row r="6850" spans="1:15">
      <c r="A6850" s="3563" t="s">
        <v>11099</v>
      </c>
      <c r="B6850" s="3563" t="s">
        <v>4196</v>
      </c>
      <c r="C6850" s="3563" t="s">
        <v>4197</v>
      </c>
      <c r="D6850" s="3563" t="s">
        <v>10228</v>
      </c>
      <c r="E6850" s="3563" t="s">
        <v>9514</v>
      </c>
      <c r="F6850" s="3563" t="s">
        <v>11088</v>
      </c>
      <c r="G6850" s="3564">
        <v>123.67</v>
      </c>
      <c r="H6850" s="3564">
        <v>101.68</v>
      </c>
      <c r="I6850" s="3564">
        <v>21.99</v>
      </c>
      <c r="J6850" s="3565">
        <v>1540323</v>
      </c>
      <c r="K6850" s="3565">
        <v>12455.11</v>
      </c>
      <c r="L6850" s="3565">
        <v>15148.73</v>
      </c>
      <c r="M6850" s="3565">
        <v>0</v>
      </c>
      <c r="N6850" s="3565">
        <v>0</v>
      </c>
      <c r="O6850" s="3563" t="s">
        <v>3453</v>
      </c>
    </row>
    <row r="6851" spans="1:15">
      <c r="A6851" s="3563" t="s">
        <v>11100</v>
      </c>
      <c r="B6851" s="3563" t="s">
        <v>4196</v>
      </c>
      <c r="C6851" s="3563" t="s">
        <v>4197</v>
      </c>
      <c r="D6851" s="3563" t="s">
        <v>10228</v>
      </c>
      <c r="E6851" s="3563" t="s">
        <v>9514</v>
      </c>
      <c r="F6851" s="3563" t="s">
        <v>11088</v>
      </c>
      <c r="G6851" s="3564">
        <v>116.13</v>
      </c>
      <c r="H6851" s="3564">
        <v>95.48</v>
      </c>
      <c r="I6851" s="3564">
        <v>20.65</v>
      </c>
      <c r="J6851" s="3565">
        <v>1443642</v>
      </c>
      <c r="K6851" s="3565">
        <v>12431.26</v>
      </c>
      <c r="L6851" s="3565">
        <v>15119.84</v>
      </c>
      <c r="M6851" s="3565">
        <v>0</v>
      </c>
      <c r="N6851" s="3565">
        <v>0</v>
      </c>
      <c r="O6851" s="3563" t="s">
        <v>3453</v>
      </c>
    </row>
    <row r="6852" spans="1:15">
      <c r="A6852" s="3563" t="s">
        <v>11101</v>
      </c>
      <c r="B6852" s="3563" t="s">
        <v>4196</v>
      </c>
      <c r="C6852" s="3563" t="s">
        <v>4197</v>
      </c>
      <c r="D6852" s="3563" t="s">
        <v>10228</v>
      </c>
      <c r="E6852" s="3563" t="s">
        <v>9514</v>
      </c>
      <c r="F6852" s="3563" t="s">
        <v>11088</v>
      </c>
      <c r="G6852" s="3564">
        <v>123.67</v>
      </c>
      <c r="H6852" s="3564">
        <v>101.68</v>
      </c>
      <c r="I6852" s="3564">
        <v>21.99</v>
      </c>
      <c r="J6852" s="3565">
        <v>1414930</v>
      </c>
      <c r="K6852" s="3565">
        <v>11441.17</v>
      </c>
      <c r="L6852" s="3565">
        <v>13915.52</v>
      </c>
      <c r="M6852" s="3565">
        <v>0</v>
      </c>
      <c r="N6852" s="3565">
        <v>0</v>
      </c>
      <c r="O6852" s="3563" t="s">
        <v>3453</v>
      </c>
    </row>
    <row r="6853" spans="1:15">
      <c r="A6853" s="3563" t="s">
        <v>11102</v>
      </c>
      <c r="B6853" s="3563" t="s">
        <v>4196</v>
      </c>
      <c r="C6853" s="3563" t="s">
        <v>4197</v>
      </c>
      <c r="D6853" s="3563" t="s">
        <v>10228</v>
      </c>
      <c r="E6853" s="3563" t="s">
        <v>9514</v>
      </c>
      <c r="F6853" s="3563" t="s">
        <v>11088</v>
      </c>
      <c r="G6853" s="3564">
        <v>123.67</v>
      </c>
      <c r="H6853" s="3564">
        <v>101.68</v>
      </c>
      <c r="I6853" s="3564">
        <v>21.99</v>
      </c>
      <c r="J6853" s="3565">
        <v>1414930</v>
      </c>
      <c r="K6853" s="3565">
        <v>11441.17</v>
      </c>
      <c r="L6853" s="3565">
        <v>13915.52</v>
      </c>
      <c r="M6853" s="3565">
        <v>0</v>
      </c>
      <c r="N6853" s="3565">
        <v>0</v>
      </c>
      <c r="O6853" s="3563" t="s">
        <v>3453</v>
      </c>
    </row>
    <row r="6854" spans="1:15">
      <c r="A6854" s="3563" t="s">
        <v>11103</v>
      </c>
      <c r="B6854" s="3563" t="s">
        <v>4196</v>
      </c>
      <c r="C6854" s="3563" t="s">
        <v>4197</v>
      </c>
      <c r="D6854" s="3563" t="s">
        <v>10228</v>
      </c>
      <c r="E6854" s="3563" t="s">
        <v>9514</v>
      </c>
      <c r="F6854" s="3563" t="s">
        <v>11088</v>
      </c>
      <c r="G6854" s="3564">
        <v>123.67</v>
      </c>
      <c r="H6854" s="3564">
        <v>101.68</v>
      </c>
      <c r="I6854" s="3564">
        <v>21.99</v>
      </c>
      <c r="J6854" s="3565">
        <v>1442953</v>
      </c>
      <c r="K6854" s="3565">
        <v>11667.77</v>
      </c>
      <c r="L6854" s="3565">
        <v>14191.12</v>
      </c>
      <c r="M6854" s="3565">
        <v>0</v>
      </c>
      <c r="N6854" s="3565">
        <v>0</v>
      </c>
      <c r="O6854" s="3563" t="s">
        <v>3453</v>
      </c>
    </row>
    <row r="6855" spans="1:15">
      <c r="A6855" s="3563" t="s">
        <v>11104</v>
      </c>
      <c r="B6855" s="3563" t="s">
        <v>4196</v>
      </c>
      <c r="C6855" s="3563" t="s">
        <v>4197</v>
      </c>
      <c r="D6855" s="3563" t="s">
        <v>10228</v>
      </c>
      <c r="E6855" s="3563" t="s">
        <v>9514</v>
      </c>
      <c r="F6855" s="3563" t="s">
        <v>11088</v>
      </c>
      <c r="G6855" s="3564">
        <v>123.67</v>
      </c>
      <c r="H6855" s="3564">
        <v>101.68</v>
      </c>
      <c r="I6855" s="3564">
        <v>21.99</v>
      </c>
      <c r="J6855" s="3565">
        <v>1442953</v>
      </c>
      <c r="K6855" s="3565">
        <v>11667.77</v>
      </c>
      <c r="L6855" s="3565">
        <v>14191.12</v>
      </c>
      <c r="M6855" s="3565">
        <v>0</v>
      </c>
      <c r="N6855" s="3565">
        <v>0</v>
      </c>
      <c r="O6855" s="3563" t="s">
        <v>3453</v>
      </c>
    </row>
    <row r="6856" spans="1:15">
      <c r="A6856" s="3563" t="s">
        <v>11105</v>
      </c>
      <c r="B6856" s="3563" t="s">
        <v>4196</v>
      </c>
      <c r="C6856" s="3563" t="s">
        <v>4197</v>
      </c>
      <c r="D6856" s="3563" t="s">
        <v>10228</v>
      </c>
      <c r="E6856" s="3563" t="s">
        <v>9514</v>
      </c>
      <c r="F6856" s="3563" t="s">
        <v>11088</v>
      </c>
      <c r="G6856" s="3564">
        <v>123.67</v>
      </c>
      <c r="H6856" s="3564">
        <v>101.68</v>
      </c>
      <c r="I6856" s="3564">
        <v>21.99</v>
      </c>
      <c r="J6856" s="3565">
        <v>1428481</v>
      </c>
      <c r="K6856" s="3565">
        <v>11550.75</v>
      </c>
      <c r="L6856" s="3565">
        <v>14048.79</v>
      </c>
      <c r="M6856" s="3565">
        <v>0</v>
      </c>
      <c r="N6856" s="3565">
        <v>0</v>
      </c>
      <c r="O6856" s="3563" t="s">
        <v>3453</v>
      </c>
    </row>
    <row r="6857" spans="1:15">
      <c r="A6857" s="3563" t="s">
        <v>11106</v>
      </c>
      <c r="B6857" s="3563" t="s">
        <v>4196</v>
      </c>
      <c r="C6857" s="3563" t="s">
        <v>4197</v>
      </c>
      <c r="D6857" s="3563" t="s">
        <v>10228</v>
      </c>
      <c r="E6857" s="3563" t="s">
        <v>9514</v>
      </c>
      <c r="F6857" s="3563" t="s">
        <v>11088</v>
      </c>
      <c r="G6857" s="3564">
        <v>123.67</v>
      </c>
      <c r="H6857" s="3564">
        <v>101.68</v>
      </c>
      <c r="I6857" s="3564">
        <v>21.99</v>
      </c>
      <c r="J6857" s="3565">
        <v>1428481</v>
      </c>
      <c r="K6857" s="3565">
        <v>11550.75</v>
      </c>
      <c r="L6857" s="3565">
        <v>14048.79</v>
      </c>
      <c r="M6857" s="3565">
        <v>0</v>
      </c>
      <c r="N6857" s="3565">
        <v>0</v>
      </c>
      <c r="O6857" s="3563" t="s">
        <v>3453</v>
      </c>
    </row>
    <row r="6858" spans="1:15">
      <c r="A6858" s="3563" t="s">
        <v>11107</v>
      </c>
      <c r="B6858" s="3563" t="s">
        <v>4196</v>
      </c>
      <c r="C6858" s="3563" t="s">
        <v>4197</v>
      </c>
      <c r="D6858" s="3563" t="s">
        <v>10228</v>
      </c>
      <c r="E6858" s="3563" t="s">
        <v>9514</v>
      </c>
      <c r="F6858" s="3563" t="s">
        <v>11088</v>
      </c>
      <c r="G6858" s="3564">
        <v>123.67</v>
      </c>
      <c r="H6858" s="3564">
        <v>101.68</v>
      </c>
      <c r="I6858" s="3564">
        <v>21.99</v>
      </c>
      <c r="J6858" s="3565">
        <v>1442953</v>
      </c>
      <c r="K6858" s="3565">
        <v>11667.77</v>
      </c>
      <c r="L6858" s="3565">
        <v>14191.12</v>
      </c>
      <c r="M6858" s="3565">
        <v>0</v>
      </c>
      <c r="N6858" s="3565">
        <v>0</v>
      </c>
      <c r="O6858" s="3563" t="s">
        <v>3453</v>
      </c>
    </row>
    <row r="6859" spans="1:15">
      <c r="A6859" s="3563" t="s">
        <v>11108</v>
      </c>
      <c r="B6859" s="3563" t="s">
        <v>4196</v>
      </c>
      <c r="C6859" s="3563" t="s">
        <v>4197</v>
      </c>
      <c r="D6859" s="3563" t="s">
        <v>10228</v>
      </c>
      <c r="E6859" s="3563" t="s">
        <v>9514</v>
      </c>
      <c r="F6859" s="3563" t="s">
        <v>11088</v>
      </c>
      <c r="G6859" s="3564">
        <v>123.67</v>
      </c>
      <c r="H6859" s="3564">
        <v>101.68</v>
      </c>
      <c r="I6859" s="3564">
        <v>21.99</v>
      </c>
      <c r="J6859" s="3565">
        <v>1414930</v>
      </c>
      <c r="K6859" s="3565">
        <v>11441.17</v>
      </c>
      <c r="L6859" s="3565">
        <v>13915.52</v>
      </c>
      <c r="M6859" s="3565">
        <v>0</v>
      </c>
      <c r="N6859" s="3565">
        <v>0</v>
      </c>
      <c r="O6859" s="3563" t="s">
        <v>3453</v>
      </c>
    </row>
    <row r="6860" spans="1:15">
      <c r="A6860" s="3563" t="s">
        <v>11109</v>
      </c>
      <c r="B6860" s="3563" t="s">
        <v>4196</v>
      </c>
      <c r="C6860" s="3563" t="s">
        <v>4197</v>
      </c>
      <c r="D6860" s="3563" t="s">
        <v>10228</v>
      </c>
      <c r="E6860" s="3563" t="s">
        <v>9514</v>
      </c>
      <c r="F6860" s="3563" t="s">
        <v>11088</v>
      </c>
      <c r="G6860" s="3564">
        <v>123.67</v>
      </c>
      <c r="H6860" s="3564">
        <v>101.68</v>
      </c>
      <c r="I6860" s="3564">
        <v>21.99</v>
      </c>
      <c r="J6860" s="3565">
        <v>1414930</v>
      </c>
      <c r="K6860" s="3565">
        <v>11441.17</v>
      </c>
      <c r="L6860" s="3565">
        <v>13915.52</v>
      </c>
      <c r="M6860" s="3565">
        <v>0</v>
      </c>
      <c r="N6860" s="3565">
        <v>0</v>
      </c>
      <c r="O6860" s="3563" t="s">
        <v>3453</v>
      </c>
    </row>
  </sheetData>
  <autoFilter ref="A1:O6860"/>
  <phoneticPr fontId="228" type="noConversion"/>
  <pageMargins left="0.75" right="0.75" top="1" bottom="1" header="0.5" footer="0.5"/>
  <pageSetup paperSize="9" orientation="portrait" r:id="rId1"/>
  <headerFooter alignWithMargins="0"/>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85" zoomScaleNormal="60" zoomScaleSheetLayoutView="85" workbookViewId="0">
      <selection activeCell="D14" sqref="D14"/>
    </sheetView>
  </sheetViews>
  <sheetFormatPr defaultColWidth="9" defaultRowHeight="15"/>
  <cols>
    <col min="1" max="1" width="9" style="1929" customWidth="1"/>
    <col min="2" max="2" width="20.625" style="1967" customWidth="1"/>
    <col min="3" max="3" width="11.875" style="1967" customWidth="1"/>
    <col min="4" max="4" width="40.5" style="1929" customWidth="1"/>
    <col min="5" max="5" width="15.75" style="1929" customWidth="1"/>
    <col min="6" max="6" width="10.625" style="1929" customWidth="1"/>
    <col min="7" max="7" width="4.875" style="1929" customWidth="1"/>
    <col min="8" max="8" width="8.5" style="1929" customWidth="1"/>
    <col min="9" max="9" width="21.25" style="1929" customWidth="1"/>
    <col min="10" max="10" width="12.25" style="1929" customWidth="1"/>
    <col min="11" max="11" width="40.125" style="1968" customWidth="1"/>
    <col min="12" max="12" width="18.375" style="1929" customWidth="1"/>
    <col min="13" max="13" width="13" style="1929" customWidth="1"/>
    <col min="14" max="14" width="9.5" style="1928" bestFit="1" customWidth="1"/>
    <col min="15" max="15" width="5.875" style="1928" customWidth="1"/>
    <col min="16" max="16" width="27.625" style="1928" customWidth="1"/>
    <col min="17" max="17" width="13.75" style="1965" customWidth="1"/>
    <col min="18" max="18" width="23.5" style="1928" customWidth="1"/>
    <col min="19" max="19" width="1.5" style="1928" customWidth="1"/>
    <col min="20" max="33" width="9" style="1928"/>
    <col min="34" max="16384" width="9" style="1929"/>
  </cols>
  <sheetData>
    <row r="1" spans="1:33" s="1923" customFormat="1" ht="21">
      <c r="A1" s="813" t="s">
        <v>1715</v>
      </c>
      <c r="B1" s="722"/>
      <c r="C1" s="755" t="s">
        <v>3000</v>
      </c>
      <c r="D1" s="2783" t="s">
        <v>3756</v>
      </c>
      <c r="E1" s="2228" t="s">
        <v>2353</v>
      </c>
      <c r="F1" s="2229">
        <f ca="1">J53</f>
        <v>37</v>
      </c>
      <c r="G1" s="3244">
        <f>MATCH(C1,'数据-取费表'!A6:A16,0)+5</f>
        <v>10</v>
      </c>
      <c r="H1" s="1919"/>
      <c r="I1" s="1920"/>
      <c r="J1" s="1920"/>
      <c r="K1" s="1921"/>
      <c r="L1" s="1920"/>
      <c r="M1" s="1920"/>
      <c r="N1" s="1922"/>
      <c r="O1" s="1922"/>
      <c r="P1" s="1922"/>
      <c r="Q1" s="2233"/>
      <c r="R1" s="1922"/>
      <c r="S1" s="1922"/>
      <c r="T1" s="1922"/>
      <c r="U1" s="1922"/>
      <c r="V1" s="1922"/>
      <c r="W1" s="1922"/>
      <c r="X1" s="1922"/>
      <c r="Y1" s="1922"/>
      <c r="Z1" s="1922"/>
      <c r="AA1" s="1922"/>
      <c r="AB1" s="1922"/>
      <c r="AC1" s="1922"/>
      <c r="AD1" s="1922"/>
      <c r="AE1" s="1922"/>
      <c r="AF1" s="1922"/>
      <c r="AG1" s="1922"/>
    </row>
    <row r="2" spans="1:33" ht="18" customHeight="1">
      <c r="A2" s="409" t="s">
        <v>1716</v>
      </c>
      <c r="B2" s="757">
        <f ca="1">C40+J29+L46</f>
        <v>32565</v>
      </c>
      <c r="C2" s="3249"/>
      <c r="D2" s="3250"/>
      <c r="E2" s="3251"/>
      <c r="F2" s="3251"/>
      <c r="G2" s="3245"/>
      <c r="H2" s="1926"/>
      <c r="I2" s="1926"/>
      <c r="J2" s="1926"/>
      <c r="K2" s="1927"/>
      <c r="L2" s="1926"/>
      <c r="M2" s="1926"/>
    </row>
    <row r="3" spans="1:33" ht="18" customHeight="1" thickBot="1">
      <c r="A3" s="814" t="s">
        <v>1717</v>
      </c>
      <c r="B3" s="815">
        <f ca="1">IF(ISERROR(B2*10000/F43),0,ROUND(B2*10000/F43,0))</f>
        <v>9891</v>
      </c>
      <c r="C3" s="3249"/>
      <c r="D3" s="3250"/>
      <c r="E3" s="3251"/>
      <c r="F3" s="3251"/>
      <c r="G3" s="3245"/>
      <c r="H3" s="758" t="s">
        <v>689</v>
      </c>
      <c r="I3" s="1306"/>
      <c r="J3" s="1306"/>
      <c r="K3" s="1513"/>
      <c r="L3" s="1306"/>
      <c r="M3" s="1306"/>
    </row>
    <row r="4" spans="1:33" ht="18" customHeight="1">
      <c r="A4" s="759" t="s">
        <v>1718</v>
      </c>
      <c r="B4" s="760" t="s">
        <v>1719</v>
      </c>
      <c r="C4" s="760" t="s">
        <v>1720</v>
      </c>
      <c r="D4" s="760" t="s">
        <v>627</v>
      </c>
      <c r="E4" s="761" t="s">
        <v>1721</v>
      </c>
      <c r="F4" s="762"/>
      <c r="G4" s="1931"/>
      <c r="H4" s="759" t="s">
        <v>1722</v>
      </c>
      <c r="I4" s="760" t="s">
        <v>1723</v>
      </c>
      <c r="J4" s="760" t="s">
        <v>1724</v>
      </c>
      <c r="K4" s="760" t="s">
        <v>1725</v>
      </c>
      <c r="L4" s="761" t="s">
        <v>1726</v>
      </c>
      <c r="M4" s="762"/>
    </row>
    <row r="5" spans="1:33" ht="18" customHeight="1">
      <c r="A5" s="763">
        <v>1</v>
      </c>
      <c r="B5" s="764" t="s">
        <v>2434</v>
      </c>
      <c r="C5" s="55">
        <f ca="1">C6+C10+C12</f>
        <v>1947</v>
      </c>
      <c r="D5" s="2335" t="s">
        <v>2437</v>
      </c>
      <c r="E5" s="2329"/>
      <c r="F5" s="2330"/>
      <c r="G5" s="1931"/>
      <c r="H5" s="763">
        <v>1</v>
      </c>
      <c r="I5" s="764" t="s">
        <v>2434</v>
      </c>
      <c r="J5" s="55">
        <f ca="1">J6+J10+J12</f>
        <v>0</v>
      </c>
      <c r="K5" s="2335" t="s">
        <v>2437</v>
      </c>
      <c r="L5" s="2329"/>
      <c r="M5" s="2330"/>
    </row>
    <row r="6" spans="1:33" ht="18" customHeight="1">
      <c r="A6" s="1731" t="s">
        <v>1814</v>
      </c>
      <c r="B6" s="3927" t="s">
        <v>2439</v>
      </c>
      <c r="C6" s="765">
        <f ca="1">ROUND(F6*F8*F7*(1-F9)/10000,0)</f>
        <v>1947</v>
      </c>
      <c r="D6" s="2336" t="s">
        <v>2438</v>
      </c>
      <c r="E6" s="766" t="s">
        <v>1728</v>
      </c>
      <c r="F6" s="767">
        <f ca="1">INDIRECT("'数据-取费表'!u"&amp;$G$1)</f>
        <v>1.8</v>
      </c>
      <c r="G6" s="1931"/>
      <c r="H6" s="2343" t="s">
        <v>2444</v>
      </c>
      <c r="I6" s="3927" t="s">
        <v>2439</v>
      </c>
      <c r="J6" s="765">
        <f ca="1">ROUND(M6*M8*M7*(1-M9)/10000,0)</f>
        <v>0</v>
      </c>
      <c r="K6" s="331" t="s">
        <v>1727</v>
      </c>
      <c r="L6" s="766" t="s">
        <v>1728</v>
      </c>
      <c r="M6" s="767">
        <f ca="1">INDIRECT("'数据-取费表'!z"&amp;$G$1)</f>
        <v>0</v>
      </c>
    </row>
    <row r="7" spans="1:33" ht="18" customHeight="1">
      <c r="A7" s="2339"/>
      <c r="B7" s="3928"/>
      <c r="C7" s="770"/>
      <c r="D7" s="771"/>
      <c r="E7" s="766" t="s">
        <v>1729</v>
      </c>
      <c r="F7" s="767">
        <f ca="1">IF(INDIRECT("'数据-取费表'!ah"&amp;$G$1)="",INDIRECT("'数据-取费表'!k"&amp;$G$1),INDIRECT("'数据-取费表'!ah"&amp;$G$1))</f>
        <v>32922.93</v>
      </c>
      <c r="G7" s="1931"/>
      <c r="H7" s="2328"/>
      <c r="I7" s="3928"/>
      <c r="J7" s="770"/>
      <c r="K7" s="771"/>
      <c r="L7" s="766" t="s">
        <v>1729</v>
      </c>
      <c r="M7" s="767">
        <f ca="1">F7</f>
        <v>32922.93</v>
      </c>
    </row>
    <row r="8" spans="1:33" ht="18" customHeight="1">
      <c r="A8" s="2332"/>
      <c r="B8" s="3929"/>
      <c r="C8" s="770"/>
      <c r="D8" s="771"/>
      <c r="E8" s="766" t="s">
        <v>1730</v>
      </c>
      <c r="F8" s="767">
        <f ca="1">INDIRECT("'数据-取费表'!ai"&amp;$G$1)</f>
        <v>365</v>
      </c>
      <c r="G8" s="1931"/>
      <c r="H8" s="2328"/>
      <c r="I8" s="3929"/>
      <c r="J8" s="770"/>
      <c r="K8" s="771"/>
      <c r="L8" s="766" t="s">
        <v>1730</v>
      </c>
      <c r="M8" s="767">
        <f ca="1">INDIRECT("'数据-取费表'!ai"&amp;$G$1)</f>
        <v>365</v>
      </c>
    </row>
    <row r="9" spans="1:33" ht="18" customHeight="1">
      <c r="A9" s="768"/>
      <c r="B9" s="3930"/>
      <c r="C9" s="770"/>
      <c r="D9" s="771"/>
      <c r="E9" s="766" t="s">
        <v>1731</v>
      </c>
      <c r="F9" s="776">
        <f ca="1">INDIRECT("'数据-取费表'!w"&amp;$G$1)</f>
        <v>0.1</v>
      </c>
      <c r="G9" s="1931"/>
      <c r="H9" s="2344"/>
      <c r="I9" s="3929"/>
      <c r="J9" s="770"/>
      <c r="K9" s="771"/>
      <c r="L9" s="777" t="s">
        <v>1731</v>
      </c>
      <c r="M9" s="778">
        <f ca="1">INDIRECT("'数据-取费表'!ab"&amp;$G$1)</f>
        <v>0</v>
      </c>
    </row>
    <row r="10" spans="1:33" ht="18" customHeight="1">
      <c r="A10" s="1731" t="s">
        <v>2442</v>
      </c>
      <c r="B10" s="2333" t="s">
        <v>2435</v>
      </c>
      <c r="C10" s="781">
        <f ca="1">ROUND(IF(F10="押一",C6/12*F11,IF(F10="押二",C6/12*2*F11,IF(F10="押三",C6/12*3*F11,C11*F11))),0)</f>
        <v>0</v>
      </c>
      <c r="D10" s="2340" t="s">
        <v>2928</v>
      </c>
      <c r="E10" s="2337" t="s">
        <v>2440</v>
      </c>
      <c r="F10" s="2451"/>
      <c r="G10" s="1931"/>
      <c r="H10" s="2400" t="s">
        <v>2445</v>
      </c>
      <c r="I10" s="2405" t="s">
        <v>2435</v>
      </c>
      <c r="J10" s="765">
        <f ca="1">ROUND(IF(M10="押一",J6/12*M11,IF(M10="押二",J6/12*2*M11,IF(M10="押三",J6/12*3*M11,J11*M11))),0)</f>
        <v>0</v>
      </c>
      <c r="K10" s="2340" t="s">
        <v>2928</v>
      </c>
      <c r="L10" s="2337" t="s">
        <v>2440</v>
      </c>
      <c r="M10" s="2451"/>
    </row>
    <row r="11" spans="1:33" ht="18" customHeight="1">
      <c r="A11" s="772"/>
      <c r="B11" s="2334" t="s">
        <v>2549</v>
      </c>
      <c r="C11" s="2338"/>
      <c r="D11" s="771"/>
      <c r="E11" s="2337" t="s">
        <v>2441</v>
      </c>
      <c r="F11" s="778">
        <f ca="1">'数据-取费表'!B39</f>
        <v>1.4999999999999999E-2</v>
      </c>
      <c r="G11" s="1931"/>
      <c r="H11" s="2401"/>
      <c r="I11" s="2334" t="s">
        <v>2549</v>
      </c>
      <c r="J11" s="2338"/>
      <c r="K11" s="2402"/>
      <c r="L11" s="2337" t="s">
        <v>2441</v>
      </c>
      <c r="M11" s="2331">
        <f ca="1">'数据-取费表'!B39</f>
        <v>1.4999999999999999E-2</v>
      </c>
    </row>
    <row r="12" spans="1:33" ht="18" customHeight="1" thickBot="1">
      <c r="A12" s="2376" t="s">
        <v>2443</v>
      </c>
      <c r="B12" s="2377" t="s">
        <v>2436</v>
      </c>
      <c r="C12" s="2378"/>
      <c r="D12" s="2379"/>
      <c r="E12" s="2380"/>
      <c r="F12" s="2381"/>
      <c r="G12" s="1931"/>
      <c r="H12" s="2390" t="s">
        <v>2446</v>
      </c>
      <c r="I12" s="2403" t="s">
        <v>2436</v>
      </c>
      <c r="J12" s="2404"/>
      <c r="K12" s="2379"/>
      <c r="L12" s="2380"/>
      <c r="M12" s="2393"/>
    </row>
    <row r="13" spans="1:33" ht="18" customHeight="1" thickTop="1">
      <c r="A13" s="1730">
        <v>2</v>
      </c>
      <c r="B13" s="1728" t="s">
        <v>1732</v>
      </c>
      <c r="C13" s="774">
        <f ca="1">ROUND(C29*F13,0)</f>
        <v>18182</v>
      </c>
      <c r="D13" s="1735" t="s">
        <v>2282</v>
      </c>
      <c r="E13" s="1735" t="s">
        <v>1734</v>
      </c>
      <c r="F13" s="2375">
        <f ca="1">INDIRECT("'数据-取费表'!y"&amp;$G$1)</f>
        <v>1</v>
      </c>
      <c r="G13" s="1931"/>
      <c r="H13" s="1730">
        <v>2</v>
      </c>
      <c r="I13" s="1728" t="s">
        <v>1732</v>
      </c>
      <c r="J13" s="1720">
        <f ca="1">ROUND(J14*J15,0)</f>
        <v>0</v>
      </c>
      <c r="K13" s="1722" t="s">
        <v>1733</v>
      </c>
      <c r="L13" s="2391"/>
      <c r="M13" s="2392"/>
    </row>
    <row r="14" spans="1:33" ht="18" customHeight="1">
      <c r="A14" s="1564" t="s">
        <v>1874</v>
      </c>
      <c r="B14" s="766" t="s">
        <v>639</v>
      </c>
      <c r="C14" s="786">
        <f ca="1">INDIRECT("'数据-取费表'!m"&amp;$G$1)+INDIRECT("'数据-取费表'!t"&amp;$G$1)</f>
        <v>11523</v>
      </c>
      <c r="D14" s="1879" t="s">
        <v>1735</v>
      </c>
      <c r="E14" s="1880"/>
      <c r="F14" s="787"/>
      <c r="G14" s="1931"/>
      <c r="H14" s="1565" t="s">
        <v>1820</v>
      </c>
      <c r="I14" s="2097" t="s">
        <v>2799</v>
      </c>
      <c r="J14" s="53">
        <f ca="1">C29</f>
        <v>18182</v>
      </c>
      <c r="K14" s="26"/>
      <c r="L14" s="783"/>
      <c r="M14" s="784"/>
    </row>
    <row r="15" spans="1:33" s="1933" customFormat="1" ht="18" customHeight="1" thickBot="1">
      <c r="A15" s="1564" t="s">
        <v>1875</v>
      </c>
      <c r="B15" s="766" t="s">
        <v>641</v>
      </c>
      <c r="C15" s="53">
        <f ca="1">ROUND(C14*F15,0)</f>
        <v>576</v>
      </c>
      <c r="D15" s="788" t="s">
        <v>1736</v>
      </c>
      <c r="E15" s="788" t="s">
        <v>1737</v>
      </c>
      <c r="F15" s="789">
        <f>'数据-取费表'!B33</f>
        <v>0.05</v>
      </c>
      <c r="G15" s="3246"/>
      <c r="H15" s="2390" t="s">
        <v>1879</v>
      </c>
      <c r="I15" s="2385" t="s">
        <v>1734</v>
      </c>
      <c r="J15" s="2394">
        <f ca="1">INDIRECT("'数据-取费表'!ad"&amp;$G$1)</f>
        <v>0</v>
      </c>
      <c r="K15" s="2395"/>
      <c r="L15" s="2396"/>
      <c r="M15" s="2397"/>
      <c r="N15" s="1932"/>
      <c r="O15" s="1932"/>
      <c r="P15" s="1932"/>
      <c r="Q15" s="2234"/>
      <c r="R15" s="1932"/>
      <c r="S15" s="1932"/>
      <c r="T15" s="1932"/>
      <c r="U15" s="1932"/>
      <c r="V15" s="1932"/>
      <c r="W15" s="1932"/>
      <c r="X15" s="1932"/>
      <c r="Y15" s="1932"/>
      <c r="Z15" s="1932"/>
      <c r="AA15" s="1932"/>
      <c r="AB15" s="1932"/>
      <c r="AC15" s="1932"/>
      <c r="AD15" s="1932"/>
      <c r="AE15" s="1932"/>
      <c r="AF15" s="1932"/>
      <c r="AG15" s="1932"/>
    </row>
    <row r="16" spans="1:33" ht="18" customHeight="1" thickTop="1">
      <c r="A16" s="1564" t="s">
        <v>1876</v>
      </c>
      <c r="B16" s="766" t="s">
        <v>644</v>
      </c>
      <c r="C16" s="53">
        <f ca="1">ROUND(INDIRECT("'数据-取费表'!m"&amp;$G$1)*F16,0)</f>
        <v>0</v>
      </c>
      <c r="D16" s="766" t="s">
        <v>1736</v>
      </c>
      <c r="E16" s="766" t="s">
        <v>1737</v>
      </c>
      <c r="F16" s="791">
        <f ca="1">IF(INDIRECT("'数据-取费表'!c"&amp;$G$1)="住宅",'数据-取费表'!B34,0)</f>
        <v>0</v>
      </c>
      <c r="G16" s="1931"/>
      <c r="H16" s="1730" t="s">
        <v>1738</v>
      </c>
      <c r="I16" s="1728" t="s">
        <v>1739</v>
      </c>
      <c r="J16" s="774">
        <f ca="1">ROUND(J17+J22+J23+J24,0)</f>
        <v>1727</v>
      </c>
      <c r="K16" s="1722" t="s">
        <v>1740</v>
      </c>
      <c r="L16" s="2325"/>
      <c r="M16" s="2330"/>
    </row>
    <row r="17" spans="1:33" s="1933" customFormat="1" ht="18" customHeight="1">
      <c r="A17" s="1564" t="s">
        <v>1877</v>
      </c>
      <c r="B17" s="766" t="s">
        <v>647</v>
      </c>
      <c r="C17" s="53">
        <f ca="1">ROUND(F17*(F43+INDIRECT("'数据-取费表'!S"&amp;$G$1))/10000,0)</f>
        <v>658</v>
      </c>
      <c r="D17" s="766" t="s">
        <v>1741</v>
      </c>
      <c r="E17" s="766" t="s">
        <v>1742</v>
      </c>
      <c r="F17" s="56">
        <f>'数据-取费表'!B35</f>
        <v>200</v>
      </c>
      <c r="G17" s="3246"/>
      <c r="H17" s="1565" t="s">
        <v>1820</v>
      </c>
      <c r="I17" s="766" t="s">
        <v>650</v>
      </c>
      <c r="J17" s="3004">
        <f ca="1">ROUND(IF(AND(项目基本情况!B11="自然人",项目基本情况!B10="北京市"),J6*M17/(1+'数据-取费表'!C42),J18+J19+J20),0)</f>
        <v>1545</v>
      </c>
      <c r="K17" s="2324" t="s">
        <v>1743</v>
      </c>
      <c r="L17" s="2323" t="s">
        <v>1744</v>
      </c>
      <c r="M17" s="3003" t="str">
        <f>IF(项目基本情况!B11="企业","——",IF('数据-取费表'!B10="住宅",IF(M6*M7*M8/12/(1+'数据-取费表'!F30)&gt;100000,4%,2.5%),IF(M6*M7*M8/12/(1+'数据-取费表'!F30)&gt;100000,12%,7%)))</f>
        <v>——</v>
      </c>
      <c r="N17" s="1932"/>
      <c r="O17" s="1932"/>
      <c r="P17" s="1932"/>
      <c r="Q17" s="2234"/>
      <c r="R17" s="1932"/>
      <c r="S17" s="1932"/>
      <c r="T17" s="1932"/>
      <c r="U17" s="1932"/>
      <c r="V17" s="1932"/>
      <c r="W17" s="1932"/>
      <c r="X17" s="1932"/>
      <c r="Y17" s="1932"/>
      <c r="Z17" s="1932"/>
      <c r="AA17" s="1932"/>
      <c r="AB17" s="1932"/>
      <c r="AC17" s="1932"/>
      <c r="AD17" s="1932"/>
      <c r="AE17" s="1932"/>
      <c r="AF17" s="1932"/>
      <c r="AG17" s="1932"/>
    </row>
    <row r="18" spans="1:33" s="1933" customFormat="1" ht="18" customHeight="1">
      <c r="A18" s="1564" t="s">
        <v>1878</v>
      </c>
      <c r="B18" s="766" t="s">
        <v>653</v>
      </c>
      <c r="C18" s="53">
        <f ca="1">ROUND(C14*F18,0)</f>
        <v>173</v>
      </c>
      <c r="D18" s="766" t="s">
        <v>1736</v>
      </c>
      <c r="E18" s="766" t="s">
        <v>1737</v>
      </c>
      <c r="F18" s="791">
        <f>'数据-取费表'!B36</f>
        <v>1.4999999999999999E-2</v>
      </c>
      <c r="G18" s="3246"/>
      <c r="H18" s="1564" t="s">
        <v>1874</v>
      </c>
      <c r="I18" s="766" t="s">
        <v>1745</v>
      </c>
      <c r="J18" s="53">
        <f ca="1">ROUND(J6*M18/(1+'数据-取费表'!C42),1)</f>
        <v>0</v>
      </c>
      <c r="K18" s="2323" t="s">
        <v>1746</v>
      </c>
      <c r="L18" s="766" t="s">
        <v>1737</v>
      </c>
      <c r="M18" s="791">
        <f>'数据-取费表'!B41</f>
        <v>5.5000000000000007E-2</v>
      </c>
      <c r="N18" s="1932"/>
      <c r="O18" s="1932"/>
      <c r="P18" s="1932"/>
      <c r="Q18" s="2234"/>
      <c r="R18" s="1932"/>
      <c r="S18" s="1932"/>
      <c r="T18" s="1932"/>
      <c r="U18" s="1932"/>
      <c r="V18" s="1932"/>
      <c r="W18" s="1932"/>
      <c r="X18" s="1932"/>
      <c r="Y18" s="1932"/>
      <c r="Z18" s="1932"/>
      <c r="AA18" s="1932"/>
      <c r="AB18" s="1932"/>
      <c r="AC18" s="1932"/>
      <c r="AD18" s="1932"/>
      <c r="AE18" s="1932"/>
      <c r="AF18" s="1932"/>
      <c r="AG18" s="1932"/>
    </row>
    <row r="19" spans="1:33" ht="18" customHeight="1">
      <c r="A19" s="1565" t="s">
        <v>1820</v>
      </c>
      <c r="B19" s="766" t="s">
        <v>656</v>
      </c>
      <c r="C19" s="53">
        <f ca="1">SUM(C14:C18)</f>
        <v>12930</v>
      </c>
      <c r="D19" s="251" t="s">
        <v>1747</v>
      </c>
      <c r="E19" s="1882"/>
      <c r="F19" s="56"/>
      <c r="G19" s="1931"/>
      <c r="H19" s="1564" t="s">
        <v>1875</v>
      </c>
      <c r="I19" s="766" t="s">
        <v>1748</v>
      </c>
      <c r="J19" s="53">
        <f ca="1">IF(K19="按租金收入计税",ROUND(J6*M19/(1+'数据-取费表'!C42),1),ROUND(C29*F33*0.7,1))</f>
        <v>1527.3</v>
      </c>
      <c r="K19" s="792" t="s">
        <v>659</v>
      </c>
      <c r="L19" s="766" t="s">
        <v>1737</v>
      </c>
      <c r="M19" s="791">
        <f>IF(K19="按租金收入计税",'数据-取费表'!B51,'数据-取费表'!B50)</f>
        <v>1.2E-2</v>
      </c>
    </row>
    <row r="20" spans="1:33" s="1933" customFormat="1" ht="18" customHeight="1">
      <c r="A20" s="1565" t="s">
        <v>1879</v>
      </c>
      <c r="B20" s="766" t="s">
        <v>660</v>
      </c>
      <c r="C20" s="53">
        <f ca="1">ROUND(C19*F20,0)</f>
        <v>259</v>
      </c>
      <c r="D20" s="793" t="s">
        <v>1749</v>
      </c>
      <c r="E20" s="766" t="s">
        <v>1737</v>
      </c>
      <c r="F20" s="791">
        <f>'数据-取费表'!B37</f>
        <v>0.02</v>
      </c>
      <c r="G20" s="3246"/>
      <c r="H20" s="1567" t="s">
        <v>1870</v>
      </c>
      <c r="I20" s="331" t="s">
        <v>1750</v>
      </c>
      <c r="J20" s="54">
        <f ca="1">ROUND(M20*M21/10000,0)</f>
        <v>18</v>
      </c>
      <c r="K20" s="795" t="s">
        <v>1751</v>
      </c>
      <c r="L20" s="766" t="s">
        <v>1752</v>
      </c>
      <c r="M20" s="624">
        <f>'数据-取费表'!B52</f>
        <v>12</v>
      </c>
      <c r="N20" s="1932"/>
      <c r="O20" s="1932"/>
      <c r="P20" s="1932"/>
      <c r="Q20" s="2234"/>
      <c r="R20" s="1932"/>
      <c r="S20" s="1932"/>
      <c r="T20" s="1932"/>
      <c r="U20" s="1932"/>
      <c r="V20" s="1932"/>
      <c r="W20" s="1932"/>
      <c r="X20" s="1932"/>
      <c r="Y20" s="1932"/>
      <c r="Z20" s="1932"/>
      <c r="AA20" s="1932"/>
      <c r="AB20" s="1932"/>
      <c r="AC20" s="1932"/>
      <c r="AD20" s="1932"/>
      <c r="AE20" s="1932"/>
      <c r="AF20" s="1932"/>
      <c r="AG20" s="1932"/>
    </row>
    <row r="21" spans="1:33" s="1933" customFormat="1" ht="18" customHeight="1">
      <c r="A21" s="1565" t="s">
        <v>1880</v>
      </c>
      <c r="B21" s="766" t="s">
        <v>1753</v>
      </c>
      <c r="C21" s="53" t="s">
        <v>1754</v>
      </c>
      <c r="D21" s="793" t="s">
        <v>2283</v>
      </c>
      <c r="E21" s="766" t="s">
        <v>1755</v>
      </c>
      <c r="F21" s="791">
        <f>'数据-取费表'!B38</f>
        <v>0.05</v>
      </c>
      <c r="G21" s="3246"/>
      <c r="H21" s="2345"/>
      <c r="I21" s="775"/>
      <c r="J21" s="69"/>
      <c r="K21" s="797"/>
      <c r="L21" s="766" t="s">
        <v>1756</v>
      </c>
      <c r="M21" s="767">
        <f ca="1">INDIRECT("'数据-取费表'!r"&amp;$G$1)</f>
        <v>15290.92</v>
      </c>
      <c r="N21" s="1932"/>
      <c r="O21" s="1932"/>
      <c r="P21" s="1932"/>
      <c r="Q21" s="2234"/>
      <c r="R21" s="1932"/>
      <c r="S21" s="1932"/>
      <c r="T21" s="1932"/>
      <c r="U21" s="1932"/>
      <c r="V21" s="1932"/>
      <c r="W21" s="1932"/>
      <c r="X21" s="1932"/>
      <c r="Y21" s="1932"/>
      <c r="Z21" s="1932"/>
      <c r="AA21" s="1932"/>
      <c r="AB21" s="1932"/>
      <c r="AC21" s="1932"/>
      <c r="AD21" s="1932"/>
      <c r="AE21" s="1932"/>
      <c r="AF21" s="1932"/>
      <c r="AG21" s="1932"/>
    </row>
    <row r="22" spans="1:33" ht="18" customHeight="1">
      <c r="A22" s="1565" t="s">
        <v>1881</v>
      </c>
      <c r="B22" s="766" t="s">
        <v>1757</v>
      </c>
      <c r="C22" s="53"/>
      <c r="D22" s="2410" t="str">
        <f>IF(F23&lt;=1,"单利计息。","复利计息。")&amp;"建造成本、管理费用、销售费用产生的利息。"</f>
        <v>复利计息。建造成本、管理费用、销售费用产生的利息。</v>
      </c>
      <c r="E22" s="1882"/>
      <c r="F22" s="56"/>
      <c r="G22" s="1931"/>
      <c r="H22" s="1565" t="s">
        <v>1879</v>
      </c>
      <c r="I22" s="766" t="s">
        <v>1758</v>
      </c>
      <c r="J22" s="53">
        <f ca="1">ROUND(J14*M22,0)</f>
        <v>182</v>
      </c>
      <c r="K22" s="2323" t="s">
        <v>1759</v>
      </c>
      <c r="L22" s="766" t="s">
        <v>1737</v>
      </c>
      <c r="M22" s="798">
        <f ca="1">INDIRECT("'数据-取费表'!Ak"&amp;$G$1)</f>
        <v>0.01</v>
      </c>
    </row>
    <row r="23" spans="1:33" s="1933" customFormat="1" ht="18" customHeight="1">
      <c r="A23" s="1564" t="s">
        <v>1821</v>
      </c>
      <c r="B23" s="766" t="s">
        <v>2511</v>
      </c>
      <c r="C23" s="53">
        <f ca="1">ROUND(IF('数据-取费表'!B22&lt;=1,(C19+C20)*F24*F23/2,(C19+C20)*(POWER((1+F24),F23/2)-1)),0)</f>
        <v>951</v>
      </c>
      <c r="D23" s="2409" t="str">
        <f>IF(F23&lt;=1,"(建造成本+管理费用)×利率×(建设周期÷2)","(建造成本+管理费用)×((1+利率)^(建设周期÷2)-1)")</f>
        <v>(建造成本+管理费用)×((1+利率)^(建设周期÷2)-1)</v>
      </c>
      <c r="E23" s="766" t="s">
        <v>1760</v>
      </c>
      <c r="F23" s="624">
        <f>'数据-取费表'!B20</f>
        <v>3</v>
      </c>
      <c r="G23" s="3246"/>
      <c r="H23" s="1565" t="s">
        <v>1880</v>
      </c>
      <c r="I23" s="766" t="s">
        <v>673</v>
      </c>
      <c r="J23" s="53">
        <f ca="1">ROUND(J13*M23,0)</f>
        <v>0</v>
      </c>
      <c r="K23" s="2323" t="s">
        <v>1761</v>
      </c>
      <c r="L23" s="766" t="s">
        <v>1737</v>
      </c>
      <c r="M23" s="799">
        <f ca="1">INDIRECT("'数据-取费表'!Al"&amp;$G$1)</f>
        <v>1E-3</v>
      </c>
      <c r="N23" s="1932"/>
      <c r="O23" s="1932"/>
      <c r="P23" s="1932"/>
      <c r="Q23" s="2234"/>
      <c r="R23" s="1932"/>
      <c r="S23" s="1932"/>
      <c r="T23" s="1932"/>
      <c r="U23" s="1932"/>
      <c r="V23" s="1932"/>
      <c r="W23" s="1932"/>
      <c r="X23" s="1932"/>
      <c r="Y23" s="1932"/>
      <c r="Z23" s="1932"/>
      <c r="AA23" s="1932"/>
      <c r="AB23" s="1932"/>
      <c r="AC23" s="1932"/>
      <c r="AD23" s="1932"/>
      <c r="AE23" s="1932"/>
      <c r="AF23" s="1932"/>
      <c r="AG23" s="1932"/>
    </row>
    <row r="24" spans="1:33" s="1933" customFormat="1" ht="18" customHeight="1" thickBot="1">
      <c r="A24" s="1564" t="s">
        <v>1822</v>
      </c>
      <c r="B24" s="766" t="s">
        <v>1762</v>
      </c>
      <c r="C24" s="53">
        <f ca="1">ROUND(IF('数据-取费表'!B22&lt;=1,F21*F24*F23/2,F21*(POWER((1+F24),F23/2)-1)),4)</f>
        <v>3.5999999999999999E-3</v>
      </c>
      <c r="D24" s="2409" t="str">
        <f>IF(F23&lt;=1,"销售费用×利率×(建设周期÷2)","销售费用×((1+利率)^(建设周期÷2)-1)")</f>
        <v>销售费用×((1+利率)^(建设周期÷2)-1)</v>
      </c>
      <c r="E24" s="766" t="s">
        <v>1763</v>
      </c>
      <c r="F24" s="800">
        <f ca="1">'数据-取费表'!B40</f>
        <v>4.7500000000000001E-2</v>
      </c>
      <c r="G24" s="3246"/>
      <c r="H24" s="2390" t="s">
        <v>1881</v>
      </c>
      <c r="I24" s="2385" t="s">
        <v>660</v>
      </c>
      <c r="J24" s="2383">
        <f ca="1">ROUND(J5*M24,0)</f>
        <v>0</v>
      </c>
      <c r="K24" s="2384" t="s">
        <v>1764</v>
      </c>
      <c r="L24" s="2385" t="s">
        <v>1737</v>
      </c>
      <c r="M24" s="2381">
        <f ca="1">INDIRECT("'数据-取费表'!Am"&amp;$G$1)</f>
        <v>0.01</v>
      </c>
      <c r="N24" s="1932"/>
      <c r="O24" s="1932"/>
      <c r="P24" s="1932"/>
      <c r="Q24" s="2234"/>
      <c r="R24" s="1932"/>
      <c r="S24" s="1932"/>
      <c r="T24" s="1932"/>
      <c r="U24" s="1932"/>
      <c r="V24" s="1932"/>
      <c r="W24" s="1932"/>
      <c r="X24" s="1932"/>
      <c r="Y24" s="1932"/>
      <c r="Z24" s="1932"/>
      <c r="AA24" s="1932"/>
      <c r="AB24" s="1932"/>
      <c r="AC24" s="1932"/>
      <c r="AD24" s="1932"/>
      <c r="AE24" s="1932"/>
      <c r="AF24" s="1932"/>
      <c r="AG24" s="1932"/>
    </row>
    <row r="25" spans="1:33" ht="18" customHeight="1" thickTop="1">
      <c r="A25" s="1566" t="s">
        <v>1830</v>
      </c>
      <c r="B25" s="766" t="s">
        <v>678</v>
      </c>
      <c r="C25" s="53"/>
      <c r="D25" s="251" t="s">
        <v>1765</v>
      </c>
      <c r="E25" s="1882"/>
      <c r="F25" s="56"/>
      <c r="G25" s="1931"/>
      <c r="H25" s="1730" t="s">
        <v>1766</v>
      </c>
      <c r="I25" s="2709" t="s">
        <v>2795</v>
      </c>
      <c r="J25" s="774">
        <f ca="1">J5-J16</f>
        <v>-1727</v>
      </c>
      <c r="K25" s="2387" t="s">
        <v>1767</v>
      </c>
      <c r="L25" s="2388"/>
      <c r="M25" s="2389"/>
    </row>
    <row r="26" spans="1:33" ht="18" customHeight="1">
      <c r="A26" s="1564" t="s">
        <v>1821</v>
      </c>
      <c r="B26" s="766" t="s">
        <v>2416</v>
      </c>
      <c r="C26" s="53">
        <f ca="1">ROUND((C19+C20)*F26,0)</f>
        <v>1978</v>
      </c>
      <c r="D26" s="793" t="s">
        <v>1768</v>
      </c>
      <c r="E26" s="777" t="s">
        <v>1769</v>
      </c>
      <c r="F26" s="776">
        <f ca="1">INDIRECT("'数据-取费表'!q"&amp;$G$1)</f>
        <v>0.15</v>
      </c>
      <c r="G26" s="1931"/>
      <c r="H26" s="2341" t="s">
        <v>1770</v>
      </c>
      <c r="I26" s="2098" t="s">
        <v>2800</v>
      </c>
      <c r="J26" s="765">
        <f ca="1">IF(J5&lt;&gt;0,ROUND(J25*(1-((1+M28)/(1+M26))^M27)/(M26-M28),0),0)</f>
        <v>0</v>
      </c>
      <c r="K26" s="795" t="s">
        <v>1771</v>
      </c>
      <c r="L26" s="766" t="s">
        <v>2398</v>
      </c>
      <c r="M26" s="776">
        <f ca="1">INDIRECT("'数据-取费表'!I"&amp;$G$1)</f>
        <v>5.5E-2</v>
      </c>
    </row>
    <row r="27" spans="1:33" ht="18" customHeight="1">
      <c r="A27" s="1564" t="s">
        <v>1822</v>
      </c>
      <c r="B27" s="766" t="s">
        <v>680</v>
      </c>
      <c r="C27" s="53">
        <f ca="1">ROUND(F21*F26,4)</f>
        <v>7.4999999999999997E-3</v>
      </c>
      <c r="D27" s="793" t="s">
        <v>1772</v>
      </c>
      <c r="E27" s="788"/>
      <c r="F27" s="789"/>
      <c r="G27" s="1931"/>
      <c r="H27" s="2342"/>
      <c r="I27" s="769"/>
      <c r="J27" s="770"/>
      <c r="K27" s="802" t="s">
        <v>1773</v>
      </c>
      <c r="L27" s="766" t="s">
        <v>1774</v>
      </c>
      <c r="M27" s="803">
        <f ca="1">INDIRECT("'数据-取费表'!ag"&amp;$G$1)</f>
        <v>0</v>
      </c>
    </row>
    <row r="28" spans="1:33" s="1933" customFormat="1" ht="18" customHeight="1">
      <c r="A28" s="1566" t="s">
        <v>1831</v>
      </c>
      <c r="B28" s="766" t="s">
        <v>681</v>
      </c>
      <c r="C28" s="53">
        <f>ROUND(F28/(1+'数据-取费表'!C42),4)</f>
        <v>5.2400000000000002E-2</v>
      </c>
      <c r="D28" s="793" t="s">
        <v>2284</v>
      </c>
      <c r="E28" s="766" t="s">
        <v>1775</v>
      </c>
      <c r="F28" s="791">
        <f>'数据-取费表'!B41</f>
        <v>5.5000000000000007E-2</v>
      </c>
      <c r="G28" s="3246"/>
      <c r="H28" s="1730"/>
      <c r="I28" s="773"/>
      <c r="J28" s="774"/>
      <c r="K28" s="797"/>
      <c r="L28" s="766" t="s">
        <v>1776</v>
      </c>
      <c r="M28" s="776">
        <f ca="1">INDIRECT("'数据-取费表'!aa"&amp;$G$1)</f>
        <v>0</v>
      </c>
      <c r="N28" s="1932"/>
      <c r="O28" s="1932"/>
      <c r="P28" s="1932"/>
      <c r="Q28" s="2234"/>
      <c r="R28" s="1932"/>
      <c r="S28" s="1932"/>
      <c r="T28" s="1932"/>
      <c r="U28" s="1932"/>
      <c r="V28" s="1932"/>
      <c r="W28" s="1932"/>
      <c r="X28" s="1932"/>
      <c r="Y28" s="1932"/>
      <c r="Z28" s="1932"/>
      <c r="AA28" s="1932"/>
      <c r="AB28" s="1932"/>
      <c r="AC28" s="1932"/>
      <c r="AD28" s="1932"/>
      <c r="AE28" s="1932"/>
      <c r="AF28" s="1932"/>
      <c r="AG28" s="1932"/>
    </row>
    <row r="29" spans="1:33" s="1933" customFormat="1" ht="18" customHeight="1" thickBot="1">
      <c r="A29" s="2382" t="s">
        <v>1882</v>
      </c>
      <c r="B29" s="2380" t="s">
        <v>2285</v>
      </c>
      <c r="C29" s="2383">
        <f ca="1">ROUND((C19+C20+C23+C26)/(1-F21-C24-C27-C28),0)</f>
        <v>18182</v>
      </c>
      <c r="D29" s="2384"/>
      <c r="E29" s="2385"/>
      <c r="F29" s="2386"/>
      <c r="G29" s="3246"/>
      <c r="H29" s="804" t="s">
        <v>1777</v>
      </c>
      <c r="I29" s="805" t="s">
        <v>1778</v>
      </c>
      <c r="J29" s="806">
        <f ca="1">ROUND(J26/(1+F40)^F41,0)</f>
        <v>0</v>
      </c>
      <c r="K29" s="807" t="s">
        <v>1779</v>
      </c>
      <c r="L29" s="808"/>
      <c r="M29" s="809">
        <f ca="1">INDIRECT("'数据-取费表'!k"&amp;$G$1)</f>
        <v>32922.93</v>
      </c>
      <c r="N29" s="1932"/>
      <c r="O29" s="1932"/>
      <c r="P29" s="1932"/>
      <c r="Q29" s="2234"/>
      <c r="R29" s="1932"/>
      <c r="S29" s="1932"/>
      <c r="T29" s="1932"/>
      <c r="U29" s="1932"/>
      <c r="V29" s="1932"/>
      <c r="W29" s="1932"/>
      <c r="X29" s="1932"/>
      <c r="Y29" s="1932"/>
      <c r="Z29" s="1932"/>
      <c r="AA29" s="1932"/>
      <c r="AB29" s="1932"/>
      <c r="AC29" s="1932"/>
      <c r="AD29" s="1932"/>
      <c r="AE29" s="1932"/>
      <c r="AF29" s="1932"/>
      <c r="AG29" s="1932"/>
    </row>
    <row r="30" spans="1:33" ht="18" customHeight="1" thickTop="1">
      <c r="A30" s="1730" t="s">
        <v>1883</v>
      </c>
      <c r="B30" s="1728" t="s">
        <v>1780</v>
      </c>
      <c r="C30" s="774">
        <f ca="1">ROUND(C31+C36+C37+C38,0)</f>
        <v>563</v>
      </c>
      <c r="D30" s="1722" t="s">
        <v>1781</v>
      </c>
      <c r="E30" s="2325"/>
      <c r="F30" s="2330"/>
      <c r="G30" s="1931"/>
      <c r="H30" s="1934"/>
      <c r="I30" s="1935"/>
      <c r="J30" s="1936"/>
      <c r="K30" s="1937"/>
      <c r="L30" s="1938"/>
      <c r="M30" s="1939"/>
    </row>
    <row r="31" spans="1:33" ht="18" customHeight="1">
      <c r="A31" s="1565" t="s">
        <v>1820</v>
      </c>
      <c r="B31" s="766" t="s">
        <v>650</v>
      </c>
      <c r="C31" s="3004">
        <f ca="1">ROUND(IF(AND(项目基本情况!B11="自然人",项目基本情况!B10="北京市"),C6*F31/(1+'数据-取费表'!C42),C32+C33+C34),0)</f>
        <v>343</v>
      </c>
      <c r="D31" s="1879" t="s">
        <v>1782</v>
      </c>
      <c r="E31" s="1877" t="s">
        <v>1783</v>
      </c>
      <c r="F31" s="3003" t="str">
        <f>IF(项目基本情况!B11="企业","——",IF('数据-取费表'!B10="住宅",IF(F6*F7*F8/12/(1+'数据-取费表'!F30)&gt;100000,4%,2.5%),IF(F6*F7*F8/12/(1+'数据-取费表'!F30)&gt;100000,12%,7%)))</f>
        <v>——</v>
      </c>
      <c r="G31" s="1931"/>
      <c r="H31" s="3243" t="s">
        <v>2987</v>
      </c>
      <c r="I31" s="1935"/>
      <c r="J31" s="1936"/>
      <c r="K31" s="1937"/>
      <c r="L31" s="1938"/>
      <c r="M31" s="1939"/>
    </row>
    <row r="32" spans="1:33" ht="18" customHeight="1">
      <c r="A32" s="1564" t="s">
        <v>1821</v>
      </c>
      <c r="B32" s="766" t="s">
        <v>1784</v>
      </c>
      <c r="C32" s="53">
        <f ca="1">ROUND(C6*F32/(1+'数据-取费表'!C42),1)</f>
        <v>102</v>
      </c>
      <c r="D32" s="1877" t="s">
        <v>1785</v>
      </c>
      <c r="E32" s="766" t="s">
        <v>1786</v>
      </c>
      <c r="F32" s="791">
        <f>'数据-取费表'!B41</f>
        <v>5.5000000000000007E-2</v>
      </c>
      <c r="G32" s="1931"/>
      <c r="H32" s="1940"/>
      <c r="I32" s="1941"/>
      <c r="J32" s="1942"/>
      <c r="K32" s="1943"/>
      <c r="L32" s="1944"/>
      <c r="M32" s="1945"/>
    </row>
    <row r="33" spans="1:18" ht="18" customHeight="1">
      <c r="A33" s="1564" t="s">
        <v>1822</v>
      </c>
      <c r="B33" s="766" t="s">
        <v>1787</v>
      </c>
      <c r="C33" s="53">
        <f ca="1">IF(D33="按租金收入计税",ROUND(C6*F33/(1+'数据-取费表'!C42),1),IF(D33="按房产原值计税",ROUND(C29*F33*0.7,1),INDIRECT("'数据-取费表'!Aj"&amp;$G$1)))</f>
        <v>222.5</v>
      </c>
      <c r="D33" s="792" t="s">
        <v>3757</v>
      </c>
      <c r="E33" s="766" t="s">
        <v>1786</v>
      </c>
      <c r="F33" s="791">
        <f>IF(D33="按租金收入计税",'数据-取费表'!B51,'数据-取费表'!B50)</f>
        <v>0.12</v>
      </c>
      <c r="G33" s="1931"/>
      <c r="H33" s="1946"/>
      <c r="I33" s="1946"/>
      <c r="J33" s="1946"/>
      <c r="K33" s="1947"/>
      <c r="L33" s="1946"/>
      <c r="M33" s="1946"/>
    </row>
    <row r="34" spans="1:18" ht="18" customHeight="1">
      <c r="A34" s="1567" t="s">
        <v>1823</v>
      </c>
      <c r="B34" s="331" t="s">
        <v>1788</v>
      </c>
      <c r="C34" s="54">
        <f ca="1">ROUND(F34*F35/10000,1)</f>
        <v>18.3</v>
      </c>
      <c r="D34" s="795" t="s">
        <v>1789</v>
      </c>
      <c r="E34" s="766" t="s">
        <v>1790</v>
      </c>
      <c r="F34" s="624">
        <f>'数据-取费表'!B52</f>
        <v>12</v>
      </c>
      <c r="G34" s="1931"/>
      <c r="H34" s="1934"/>
      <c r="I34" s="816" t="s">
        <v>1803</v>
      </c>
      <c r="J34" s="817"/>
      <c r="K34" s="1949"/>
      <c r="L34" s="1948"/>
      <c r="M34" s="1948"/>
    </row>
    <row r="35" spans="1:18" ht="18" customHeight="1">
      <c r="A35" s="796"/>
      <c r="B35" s="775"/>
      <c r="C35" s="69"/>
      <c r="D35" s="797"/>
      <c r="E35" s="766" t="s">
        <v>1791</v>
      </c>
      <c r="F35" s="767">
        <f ca="1">INDIRECT("'数据-取费表'!r"&amp;$G$1)</f>
        <v>15290.92</v>
      </c>
      <c r="G35" s="1931"/>
      <c r="H35" s="1934"/>
      <c r="I35" s="818" t="s">
        <v>1804</v>
      </c>
      <c r="J35" s="819">
        <f ca="1">ROUND(C13*J36,0)</f>
        <v>0</v>
      </c>
      <c r="K35" s="1947"/>
      <c r="L35" s="1946"/>
      <c r="M35" s="1946"/>
    </row>
    <row r="36" spans="1:18" ht="18" customHeight="1">
      <c r="A36" s="1565" t="s">
        <v>1879</v>
      </c>
      <c r="B36" s="766" t="s">
        <v>1792</v>
      </c>
      <c r="C36" s="53">
        <f ca="1">ROUND(C29*F36,1)</f>
        <v>181.8</v>
      </c>
      <c r="D36" s="1877" t="s">
        <v>1793</v>
      </c>
      <c r="E36" s="766" t="s">
        <v>1786</v>
      </c>
      <c r="F36" s="798">
        <f ca="1">INDIRECT("'数据-取费表'!Ak"&amp;$G$1)</f>
        <v>0.01</v>
      </c>
      <c r="G36" s="1931"/>
      <c r="H36" s="1946"/>
      <c r="I36" s="820" t="s">
        <v>1805</v>
      </c>
      <c r="J36" s="821">
        <f ca="1">INDIRECT("'数据-取费表'!j"&amp;$G$1)</f>
        <v>0</v>
      </c>
      <c r="K36" s="1950"/>
      <c r="L36" s="1946"/>
      <c r="M36" s="1946"/>
    </row>
    <row r="37" spans="1:18" ht="18" customHeight="1">
      <c r="A37" s="1565" t="s">
        <v>1880</v>
      </c>
      <c r="B37" s="766" t="s">
        <v>673</v>
      </c>
      <c r="C37" s="53">
        <f ca="1">ROUND(C13*F37,1)</f>
        <v>18.2</v>
      </c>
      <c r="D37" s="1877" t="s">
        <v>1794</v>
      </c>
      <c r="E37" s="766" t="s">
        <v>1786</v>
      </c>
      <c r="F37" s="799">
        <f ca="1">INDIRECT("'数据-取费表'!Al"&amp;$G$1)</f>
        <v>1E-3</v>
      </c>
      <c r="G37" s="1931"/>
      <c r="H37" s="1946"/>
      <c r="I37" s="822" t="s">
        <v>1806</v>
      </c>
      <c r="J37" s="823"/>
      <c r="K37" s="1950"/>
      <c r="L37" s="1946"/>
      <c r="M37" s="1946"/>
    </row>
    <row r="38" spans="1:18" ht="18" customHeight="1" thickBot="1">
      <c r="A38" s="2390" t="s">
        <v>1881</v>
      </c>
      <c r="B38" s="2385" t="s">
        <v>660</v>
      </c>
      <c r="C38" s="2383">
        <f ca="1">ROUND(C5*F38,1)</f>
        <v>19.5</v>
      </c>
      <c r="D38" s="2384" t="s">
        <v>1795</v>
      </c>
      <c r="E38" s="2385" t="s">
        <v>1786</v>
      </c>
      <c r="F38" s="2381">
        <f ca="1">INDIRECT("'数据-取费表'!Am"&amp;$G$1)</f>
        <v>0.01</v>
      </c>
      <c r="G38" s="1931"/>
      <c r="H38" s="1946"/>
      <c r="I38" s="824" t="s">
        <v>1807</v>
      </c>
      <c r="J38" s="825"/>
      <c r="K38" s="1951"/>
      <c r="L38" s="1946"/>
      <c r="M38" s="1946"/>
    </row>
    <row r="39" spans="1:18" ht="24.6" customHeight="1" thickTop="1">
      <c r="A39" s="1730" t="s">
        <v>1884</v>
      </c>
      <c r="B39" s="2709" t="s">
        <v>2795</v>
      </c>
      <c r="C39" s="774">
        <f ca="1">C5-C30</f>
        <v>1384</v>
      </c>
      <c r="D39" s="2387" t="s">
        <v>1796</v>
      </c>
      <c r="E39" s="2388"/>
      <c r="F39" s="2389"/>
      <c r="G39" s="1931"/>
      <c r="H39" s="1946"/>
      <c r="I39" s="818" t="s">
        <v>1808</v>
      </c>
      <c r="J39" s="826">
        <f ca="1">ROUND(J35/C39,3)</f>
        <v>0</v>
      </c>
      <c r="K39" s="1951"/>
      <c r="L39" s="1946"/>
      <c r="M39" s="1946"/>
    </row>
    <row r="40" spans="1:18" ht="18" customHeight="1">
      <c r="A40" s="763" t="s">
        <v>1885</v>
      </c>
      <c r="B40" s="2098" t="s">
        <v>2286</v>
      </c>
      <c r="C40" s="765">
        <f ca="1">ROUND(C39*(1-((1+F42)/(1+F40))^F41)/(F40-F42),0)</f>
        <v>32565</v>
      </c>
      <c r="D40" s="795" t="s">
        <v>1797</v>
      </c>
      <c r="E40" s="766" t="s">
        <v>2398</v>
      </c>
      <c r="F40" s="776">
        <f ca="1">INDIRECT("'数据-取费表'!I"&amp;$G$1)</f>
        <v>5.5E-2</v>
      </c>
      <c r="G40" s="1931"/>
      <c r="H40" s="1931"/>
      <c r="I40" s="818" t="s">
        <v>1809</v>
      </c>
      <c r="J40" s="826">
        <f ca="1">1-J39</f>
        <v>1</v>
      </c>
      <c r="K40" s="1951"/>
      <c r="L40" s="1931"/>
      <c r="M40" s="1931"/>
    </row>
    <row r="41" spans="1:18" ht="18" customHeight="1">
      <c r="A41" s="768"/>
      <c r="B41" s="769"/>
      <c r="C41" s="770"/>
      <c r="D41" s="802" t="s">
        <v>1798</v>
      </c>
      <c r="E41" s="766" t="s">
        <v>2919</v>
      </c>
      <c r="F41" s="803">
        <f ca="1">IF(INDIRECT("'数据-取费表'!af"&amp;$G$1)=0,INDIRECT("'数据-取费表'!ae"&amp;$G$1),INDIRECT("'数据-取费表'!af"&amp;$G$1))</f>
        <v>37</v>
      </c>
      <c r="G41" s="1931"/>
      <c r="H41" s="1886"/>
      <c r="I41" s="824" t="s">
        <v>1810</v>
      </c>
      <c r="J41" s="827"/>
      <c r="K41" s="1950"/>
      <c r="L41" s="1886"/>
      <c r="M41" s="1886"/>
    </row>
    <row r="42" spans="1:18" ht="18" customHeight="1">
      <c r="A42" s="772"/>
      <c r="B42" s="773"/>
      <c r="C42" s="774"/>
      <c r="D42" s="797"/>
      <c r="E42" s="766" t="s">
        <v>1799</v>
      </c>
      <c r="F42" s="776">
        <f ca="1">INDIRECT("'数据-取费表'!v"&amp;$G$1)</f>
        <v>0.03</v>
      </c>
      <c r="G42" s="1931"/>
      <c r="H42" s="1886"/>
      <c r="I42" s="828" t="s">
        <v>1811</v>
      </c>
      <c r="J42" s="826">
        <f ca="1">ROUND(C13/C40,3)</f>
        <v>0.55800000000000005</v>
      </c>
      <c r="K42" s="1950"/>
      <c r="L42" s="1886"/>
      <c r="M42" s="1886"/>
    </row>
    <row r="43" spans="1:18" ht="18" customHeight="1" thickBot="1">
      <c r="A43" s="804" t="s">
        <v>1777</v>
      </c>
      <c r="B43" s="805" t="s">
        <v>1800</v>
      </c>
      <c r="C43" s="806">
        <f ca="1">ROUND(C40*10000/F43,0)</f>
        <v>9891</v>
      </c>
      <c r="D43" s="807" t="s">
        <v>1801</v>
      </c>
      <c r="E43" s="808" t="s">
        <v>1802</v>
      </c>
      <c r="F43" s="809">
        <f ca="1">INDIRECT("'数据-取费表'!k"&amp;$G$1)</f>
        <v>32922.93</v>
      </c>
      <c r="G43" s="1931"/>
      <c r="H43" s="1886"/>
      <c r="I43" s="828" t="s">
        <v>1812</v>
      </c>
      <c r="J43" s="829">
        <f ca="1">1-J42</f>
        <v>0.44199999999999995</v>
      </c>
      <c r="K43" s="1950"/>
      <c r="L43" s="1886"/>
      <c r="M43" s="1886"/>
    </row>
    <row r="44" spans="1:18" s="1928" customFormat="1" ht="18" customHeight="1">
      <c r="A44" s="1953"/>
      <c r="B44" s="1953"/>
      <c r="C44" s="1970"/>
      <c r="D44" s="1953"/>
      <c r="E44" s="1953"/>
      <c r="F44" s="1953"/>
      <c r="K44" s="1954"/>
      <c r="Q44" s="1965"/>
    </row>
    <row r="45" spans="1:18" s="1928" customFormat="1" ht="18" customHeight="1" thickBot="1">
      <c r="A45" s="1953"/>
      <c r="B45" s="1953"/>
      <c r="C45" s="1970"/>
      <c r="D45" s="1953"/>
      <c r="E45" s="1953"/>
      <c r="F45" s="1953"/>
      <c r="K45" s="1954"/>
      <c r="Q45" s="1965"/>
    </row>
    <row r="46" spans="1:18" s="1928" customFormat="1" ht="18" customHeight="1" thickBot="1">
      <c r="A46" s="2096" t="s">
        <v>2280</v>
      </c>
      <c r="B46" s="1953"/>
      <c r="C46" s="2412">
        <f ca="1">C67-C40</f>
        <v>-35982</v>
      </c>
      <c r="D46" s="3247"/>
      <c r="E46" s="3247"/>
      <c r="F46" s="3247"/>
      <c r="I46" s="2219" t="s">
        <v>2322</v>
      </c>
      <c r="J46" s="2220"/>
      <c r="K46" s="2221"/>
      <c r="L46" s="2796">
        <f>IF(OR(M47="住宅",D1="土地（套用方法）"),0,IF(L48&gt;J51,L60,J60))</f>
        <v>0</v>
      </c>
      <c r="M46" s="3248"/>
      <c r="O46" s="2235" t="s">
        <v>2389</v>
      </c>
      <c r="P46" s="1514"/>
      <c r="Q46" s="1522"/>
      <c r="R46" s="1514"/>
    </row>
    <row r="47" spans="1:18" s="1928" customFormat="1" ht="18" customHeight="1" thickBot="1">
      <c r="A47" s="2213">
        <v>1</v>
      </c>
      <c r="B47" s="2214" t="s">
        <v>629</v>
      </c>
      <c r="C47" s="2412">
        <f ca="1">C48+C52+C54</f>
        <v>0</v>
      </c>
      <c r="D47" s="3247"/>
      <c r="E47" s="3247"/>
      <c r="F47" s="3247"/>
      <c r="I47" s="2787" t="s">
        <v>2323</v>
      </c>
      <c r="J47" s="2222" t="s">
        <v>3755</v>
      </c>
      <c r="K47" s="2793" t="s">
        <v>2328</v>
      </c>
      <c r="L47" s="2797">
        <f ca="1">INDIRECT("'数据-取费表'!d"&amp;$G$1)</f>
        <v>40</v>
      </c>
      <c r="M47" s="1522" t="str">
        <f>IF(ISNUMBER(FIND("住宅",C1)),"住宅","非住宅")</f>
        <v>非住宅</v>
      </c>
      <c r="O47" s="2236" t="s">
        <v>2354</v>
      </c>
      <c r="P47" s="2237" t="s">
        <v>2355</v>
      </c>
      <c r="Q47" s="2238" t="s">
        <v>2356</v>
      </c>
      <c r="R47" s="2237" t="s">
        <v>2357</v>
      </c>
    </row>
    <row r="48" spans="1:18" s="1928" customFormat="1" ht="18" customHeight="1" thickBot="1">
      <c r="A48" s="2470" t="s">
        <v>2513</v>
      </c>
      <c r="B48" s="2471" t="s">
        <v>2514</v>
      </c>
      <c r="C48" s="2215">
        <f ca="1">ROUND(F48*F50*F49*(1-F51)/10000,0)</f>
        <v>0</v>
      </c>
      <c r="D48" s="2216" t="s">
        <v>630</v>
      </c>
      <c r="E48" s="2217" t="s">
        <v>2281</v>
      </c>
      <c r="F48" s="2218"/>
      <c r="G48" s="1958"/>
      <c r="I48" s="2784" t="s">
        <v>2324</v>
      </c>
      <c r="J48" s="2223" t="s">
        <v>2329</v>
      </c>
      <c r="K48" s="2794" t="s">
        <v>2330</v>
      </c>
      <c r="L48" s="1808">
        <f ca="1">INDIRECT("'数据-取费表'!f"&amp;$G$1)</f>
        <v>40</v>
      </c>
      <c r="M48" s="3248"/>
      <c r="O48" s="2239" t="s">
        <v>2358</v>
      </c>
      <c r="P48" s="2240" t="s">
        <v>2384</v>
      </c>
      <c r="Q48" s="2241">
        <f ca="1">C40+J29</f>
        <v>32565</v>
      </c>
      <c r="R48" s="2240" t="s">
        <v>2359</v>
      </c>
    </row>
    <row r="49" spans="1:18" s="1928" customFormat="1" ht="18" customHeight="1" thickBot="1">
      <c r="A49" s="768"/>
      <c r="B49" s="769"/>
      <c r="C49" s="770"/>
      <c r="D49" s="771"/>
      <c r="E49" s="766" t="s">
        <v>1729</v>
      </c>
      <c r="F49" s="767">
        <f ca="1">F7</f>
        <v>32922.93</v>
      </c>
      <c r="G49" s="1958"/>
      <c r="H49" s="1961"/>
      <c r="I49" s="2784" t="s">
        <v>2325</v>
      </c>
      <c r="J49" s="2224"/>
      <c r="K49" s="2795" t="s">
        <v>2331</v>
      </c>
      <c r="L49" s="2225"/>
      <c r="M49" s="3248"/>
      <c r="O49" s="2239" t="s">
        <v>2360</v>
      </c>
      <c r="P49" s="2240" t="s">
        <v>2385</v>
      </c>
      <c r="Q49" s="2241" t="str">
        <f ca="1">J60</f>
        <v>0</v>
      </c>
      <c r="R49" s="2240" t="s">
        <v>2361</v>
      </c>
    </row>
    <row r="50" spans="1:18" s="1928" customFormat="1" ht="18" customHeight="1" thickBot="1">
      <c r="A50" s="768"/>
      <c r="B50" s="769"/>
      <c r="C50" s="770"/>
      <c r="D50" s="771"/>
      <c r="E50" s="766" t="s">
        <v>1730</v>
      </c>
      <c r="F50" s="767">
        <f ca="1">F8</f>
        <v>365</v>
      </c>
      <c r="G50" s="1963"/>
      <c r="H50" s="1961"/>
      <c r="I50" s="2784" t="s">
        <v>2326</v>
      </c>
      <c r="J50" s="2791">
        <f>SUMPRODUCT((I63:I65=J47)*(J62:L62=J48)*(J63:L65))</f>
        <v>60</v>
      </c>
      <c r="K50" s="2795" t="s">
        <v>2332</v>
      </c>
      <c r="L50" s="2225"/>
      <c r="M50" s="3248"/>
      <c r="O50" s="2242" t="s">
        <v>2362</v>
      </c>
      <c r="P50" s="2240" t="s">
        <v>2386</v>
      </c>
      <c r="Q50" s="2241">
        <f ca="1">C29</f>
        <v>18182</v>
      </c>
      <c r="R50" s="2240" t="s">
        <v>2359</v>
      </c>
    </row>
    <row r="51" spans="1:18" s="1928" customFormat="1" ht="18" customHeight="1" thickBot="1">
      <c r="A51" s="768"/>
      <c r="B51" s="769"/>
      <c r="C51" s="770"/>
      <c r="D51" s="771"/>
      <c r="E51" s="766" t="s">
        <v>634</v>
      </c>
      <c r="F51" s="2212"/>
      <c r="H51" s="1961"/>
      <c r="I51" s="2788" t="s">
        <v>2327</v>
      </c>
      <c r="J51" s="2792">
        <f>IF(J49="",J50,J49+J50-YEAR('数据-取费表'!B2))</f>
        <v>60</v>
      </c>
      <c r="K51" s="2784" t="s">
        <v>2333</v>
      </c>
      <c r="L51" s="2798">
        <f ca="1">ROUND(-PV(INDIRECT("'数据-取费表'!h"&amp;$G$1),J51,(C39-C13*J36),0),0)</f>
        <v>26198</v>
      </c>
      <c r="M51" s="3248"/>
      <c r="O51" s="2242" t="s">
        <v>2363</v>
      </c>
      <c r="P51" s="2240" t="s">
        <v>2364</v>
      </c>
      <c r="Q51" s="2243" t="e">
        <f ca="1">J58</f>
        <v>#VALUE!</v>
      </c>
      <c r="R51" s="2244"/>
    </row>
    <row r="52" spans="1:18" s="1928" customFormat="1" ht="18" customHeight="1" thickBot="1">
      <c r="A52" s="763" t="s">
        <v>2512</v>
      </c>
      <c r="B52" s="2333" t="s">
        <v>2435</v>
      </c>
      <c r="C52" s="781">
        <f ca="1">ROUND(IF(F52="押一",C48/12*F11,IF(F52="押二",C48/12*2*F11,IF(F52="押三",C48/12*3*F11,C53*F11))),0)</f>
        <v>0</v>
      </c>
      <c r="D52" s="2340" t="s">
        <v>2929</v>
      </c>
      <c r="E52" s="2337" t="s">
        <v>2440</v>
      </c>
      <c r="F52" s="2451"/>
      <c r="I52" s="2789" t="s">
        <v>2400</v>
      </c>
      <c r="J52" s="2226"/>
      <c r="K52" s="2789" t="s">
        <v>2399</v>
      </c>
      <c r="L52" s="2226"/>
      <c r="M52" s="3248"/>
      <c r="O52" s="2242" t="s">
        <v>2365</v>
      </c>
      <c r="P52" s="2240" t="s">
        <v>2366</v>
      </c>
      <c r="Q52" s="2243">
        <f>J52</f>
        <v>0</v>
      </c>
      <c r="R52" s="2244"/>
    </row>
    <row r="53" spans="1:18" s="1928" customFormat="1" ht="39.75" customHeight="1" thickBot="1">
      <c r="A53" s="768"/>
      <c r="B53" s="2334" t="s">
        <v>2549</v>
      </c>
      <c r="C53" s="2338"/>
      <c r="D53" s="2340"/>
      <c r="E53" s="2337"/>
      <c r="F53" s="782"/>
      <c r="I53" s="2790" t="s">
        <v>2932</v>
      </c>
      <c r="J53" s="2843">
        <f ca="1">IF(M47="住宅",IF(D1="——",MAX(J51,L48),MAX(J51,L48-'数据-取费表'!B20)),IF(D1="——",MIN(J51,L48),MIN(J51,L48-'数据-取费表'!B20)))</f>
        <v>37</v>
      </c>
      <c r="K53" s="3966" t="s">
        <v>2921</v>
      </c>
      <c r="L53" s="3967"/>
      <c r="M53" s="3248"/>
      <c r="O53" s="2242" t="s">
        <v>2367</v>
      </c>
      <c r="P53" s="2240" t="s">
        <v>2368</v>
      </c>
      <c r="Q53" s="2241">
        <f ca="1">J53</f>
        <v>37</v>
      </c>
      <c r="R53" s="2240" t="s">
        <v>2369</v>
      </c>
    </row>
    <row r="54" spans="1:18" s="1928" customFormat="1" ht="18" customHeight="1" thickBot="1">
      <c r="A54" s="2376" t="s">
        <v>2443</v>
      </c>
      <c r="B54" s="2377" t="s">
        <v>2436</v>
      </c>
      <c r="C54" s="2378"/>
      <c r="D54" s="2340"/>
      <c r="E54" s="2337"/>
      <c r="F54" s="782"/>
      <c r="I54" s="192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54"/>
      <c r="M54" s="3248"/>
      <c r="O54" s="2239" t="s">
        <v>2370</v>
      </c>
      <c r="P54" s="2240" t="s">
        <v>2387</v>
      </c>
      <c r="Q54" s="2241">
        <f ca="1">Q48+Q49</f>
        <v>32565</v>
      </c>
      <c r="R54" s="2244" t="s">
        <v>2371</v>
      </c>
    </row>
    <row r="55" spans="1:18" s="1928" customFormat="1" ht="18" customHeight="1" thickTop="1" thickBot="1">
      <c r="A55" s="779">
        <v>2</v>
      </c>
      <c r="B55" s="780" t="s">
        <v>638</v>
      </c>
      <c r="C55" s="781">
        <f ca="1">C13</f>
        <v>18182</v>
      </c>
      <c r="D55" s="777"/>
      <c r="E55" s="777"/>
      <c r="F55" s="782"/>
      <c r="I55" s="2801" t="s">
        <v>2334</v>
      </c>
      <c r="J55" s="2773" t="e">
        <f ca="1">ROUND(IF(J47="钢混",J57/J50,1-(1-2%)*(J50-J57)/J50),3)</f>
        <v>#VALUE!</v>
      </c>
      <c r="K55" s="2802" t="s">
        <v>2335</v>
      </c>
      <c r="L55" s="2227"/>
      <c r="M55" s="3248"/>
      <c r="O55" s="2245" t="s">
        <v>2390</v>
      </c>
      <c r="P55" s="1514"/>
      <c r="Q55" s="1522"/>
      <c r="R55" s="1514"/>
    </row>
    <row r="56" spans="1:18" s="1928" customFormat="1" ht="42.75" customHeight="1" thickBot="1">
      <c r="A56" s="1566"/>
      <c r="B56" s="2097" t="s">
        <v>2287</v>
      </c>
      <c r="C56" s="53">
        <f ca="1">C29</f>
        <v>18182</v>
      </c>
      <c r="D56" s="2467"/>
      <c r="E56" s="766"/>
      <c r="F56" s="791"/>
      <c r="I56" s="2803" t="s">
        <v>2336</v>
      </c>
      <c r="J56" s="2813" t="s">
        <v>1668</v>
      </c>
      <c r="K56" s="2784" t="s">
        <v>2341</v>
      </c>
      <c r="L56" s="1808" t="str">
        <f ca="1">IF(L48&lt;J51,"——",L48-J51)</f>
        <v>——</v>
      </c>
      <c r="M56" s="3248"/>
      <c r="O56" s="2236" t="s">
        <v>2354</v>
      </c>
      <c r="P56" s="2237" t="s">
        <v>2355</v>
      </c>
      <c r="Q56" s="2238" t="s">
        <v>2356</v>
      </c>
      <c r="R56" s="2237" t="s">
        <v>2357</v>
      </c>
    </row>
    <row r="57" spans="1:18" s="1928" customFormat="1" ht="28.5" customHeight="1" thickBot="1">
      <c r="A57" s="779" t="s">
        <v>1738</v>
      </c>
      <c r="B57" s="780" t="s">
        <v>645</v>
      </c>
      <c r="C57" s="781">
        <f ca="1">ROUND(C58+C63+C64+C65,0)</f>
        <v>218</v>
      </c>
      <c r="D57" s="26" t="s">
        <v>1740</v>
      </c>
      <c r="E57" s="2468"/>
      <c r="F57" s="56"/>
      <c r="I57" s="2804" t="s">
        <v>2337</v>
      </c>
      <c r="J57" s="2805" t="str">
        <f ca="1">IF(OR(M47="住宅",J51&lt;L48,J56="是"),"——",J51-L48)</f>
        <v>——</v>
      </c>
      <c r="K57" s="2784" t="s">
        <v>2342</v>
      </c>
      <c r="L57" s="1808" t="str">
        <f ca="1">IF(L48&lt;J51,"——",IF(L55="比较法",L49,IF(L55="基准地价",L50,L51)))</f>
        <v>——</v>
      </c>
      <c r="M57" s="3248"/>
      <c r="O57" s="2239" t="s">
        <v>2358</v>
      </c>
      <c r="P57" s="2240" t="s">
        <v>2388</v>
      </c>
      <c r="Q57" s="2241">
        <f ca="1">C40+J29</f>
        <v>32565</v>
      </c>
      <c r="R57" s="2240" t="s">
        <v>2359</v>
      </c>
    </row>
    <row r="58" spans="1:18" s="1928" customFormat="1" ht="28.5" customHeight="1" thickBot="1">
      <c r="A58" s="1565" t="s">
        <v>1814</v>
      </c>
      <c r="B58" s="766" t="s">
        <v>650</v>
      </c>
      <c r="C58" s="3004">
        <f ca="1">ROUND(IF(AND(项目基本情况!B11="自然人",项目基本情况!B10="北京市"),C48*F58/(1+'数据-取费表'!C42),C59+C60+C61),0)</f>
        <v>18</v>
      </c>
      <c r="D58" s="2466" t="s">
        <v>651</v>
      </c>
      <c r="E58" s="2467" t="s">
        <v>684</v>
      </c>
      <c r="F58" s="3003" t="str">
        <f>IF(项目基本情况!B11="企业","——",IF('数据-取费表'!B10="住宅",IF(F48*F49*F50/12/(1+'数据-取费表'!F30)&gt;100000,4%,2.5%),IF(F48*F49*F50/12/(1+'数据-取费表'!F30)&gt;100000,12%,7%)))</f>
        <v>——</v>
      </c>
      <c r="I58" s="2804" t="s">
        <v>2338</v>
      </c>
      <c r="J58" s="2774" t="e">
        <f ca="1">IF(J55&lt;0.4,0.4,J55)</f>
        <v>#VALUE!</v>
      </c>
      <c r="K58" s="2784" t="s">
        <v>2343</v>
      </c>
      <c r="L58" s="1808" t="e">
        <f ca="1">ROUND(POWER(1+L52,L47-L48)*(POWER(1+L52,L48)-1)/(POWER(1+L52,L47)-1),4)</f>
        <v>#DIV/0!</v>
      </c>
      <c r="M58" s="3248"/>
      <c r="O58" s="2239" t="s">
        <v>2360</v>
      </c>
      <c r="P58" s="2240" t="s">
        <v>2391</v>
      </c>
      <c r="Q58" s="2241">
        <f ca="1">L60</f>
        <v>0</v>
      </c>
      <c r="R58" s="2244" t="s">
        <v>2393</v>
      </c>
    </row>
    <row r="59" spans="1:18" s="1928" customFormat="1" ht="28.5" customHeight="1" thickBot="1">
      <c r="A59" s="1564" t="s">
        <v>1821</v>
      </c>
      <c r="B59" s="766" t="s">
        <v>654</v>
      </c>
      <c r="C59" s="53">
        <f ca="1">ROUND(C47*F59/1.05,1)</f>
        <v>0</v>
      </c>
      <c r="D59" s="2467" t="s">
        <v>1746</v>
      </c>
      <c r="E59" s="766" t="s">
        <v>1737</v>
      </c>
      <c r="F59" s="791">
        <f t="shared" ref="F59:F65" si="0">F32</f>
        <v>5.5000000000000007E-2</v>
      </c>
      <c r="I59" s="2804" t="s">
        <v>2339</v>
      </c>
      <c r="J59" s="2805" t="str">
        <f ca="1">IF(OR(M47="住宅",J51&lt;L48,J56="是"),"——",ROUND(C29*J58,0))</f>
        <v>——</v>
      </c>
      <c r="K59" s="2784" t="str">
        <f>IF(D1="——","建筑物剩余耐用年限下的土地年期修正系数Kn","建设期及建筑物耐用年限下的土地年期修正系数Kn")</f>
        <v>建设期及建筑物耐用年限下的土地年期修正系数Kn</v>
      </c>
      <c r="L59" s="1808" t="e">
        <f ca="1">ROUND(IF(D1="土地（套用方法）",POWER(1+L52,L47-(J51+'数据-取费表'!B20))*(POWER(1+L52,(J51+'数据-取费表'!B20))-1)/(POWER(1+L52,L47)-1),POWER(1+L52,L47-J51)*(POWER(1+L52,J51)-1)/(POWER(1+L52,L47)-1)),4)</f>
        <v>#DIV/0!</v>
      </c>
      <c r="M59" s="3248"/>
      <c r="O59" s="2242" t="s">
        <v>2362</v>
      </c>
      <c r="P59" s="2240" t="s">
        <v>2392</v>
      </c>
      <c r="Q59" s="2241">
        <f>IF(L55="比较法",L49,IF(L55="基准地价",L50,0))</f>
        <v>0</v>
      </c>
      <c r="R59" s="2240" t="s">
        <v>2359</v>
      </c>
    </row>
    <row r="60" spans="1:18" s="1928" customFormat="1" ht="18" customHeight="1" thickBot="1">
      <c r="A60" s="1564" t="s">
        <v>1822</v>
      </c>
      <c r="B60" s="766" t="s">
        <v>1748</v>
      </c>
      <c r="C60" s="53">
        <f ca="1">IF(D60="按租金收入计税",ROUND(C47*F60,1),IF(D60="按房产原值计税",ROUND(C56*F60*0.7,1),INDIRECT("'数据-取费表'!Aj"&amp;$G$1)))</f>
        <v>0</v>
      </c>
      <c r="D60" s="2467" t="str">
        <f>D33</f>
        <v>按租金收入计税</v>
      </c>
      <c r="E60" s="766" t="s">
        <v>1737</v>
      </c>
      <c r="F60" s="791">
        <f t="shared" si="0"/>
        <v>0.12</v>
      </c>
      <c r="I60" s="2806" t="s">
        <v>2340</v>
      </c>
      <c r="J60" s="2807" t="str">
        <f ca="1">IF(OR(M47="住宅",J51&lt;L48,J56="是"),"0",ROUND(J59/(1+J52)^J53,0))</f>
        <v>0</v>
      </c>
      <c r="K60" s="2808" t="s">
        <v>2345</v>
      </c>
      <c r="L60" s="2807">
        <f ca="1">IF(OR(M47="住宅",L48&lt;J51),0,ROUND(L57*(L58/L59-1),0))</f>
        <v>0</v>
      </c>
      <c r="M60" s="3248"/>
      <c r="O60" s="2242" t="s">
        <v>2363</v>
      </c>
      <c r="P60" s="2240" t="s">
        <v>2372</v>
      </c>
      <c r="Q60" s="2243">
        <f>L52</f>
        <v>0</v>
      </c>
      <c r="R60" s="2244"/>
    </row>
    <row r="61" spans="1:18" s="1928" customFormat="1" ht="18" customHeight="1" thickBot="1">
      <c r="A61" s="1567" t="s">
        <v>1823</v>
      </c>
      <c r="B61" s="331" t="s">
        <v>662</v>
      </c>
      <c r="C61" s="54">
        <f ca="1">ROUND(F61*F62/10000,1)</f>
        <v>18.3</v>
      </c>
      <c r="D61" s="795" t="s">
        <v>663</v>
      </c>
      <c r="E61" s="766" t="s">
        <v>664</v>
      </c>
      <c r="F61" s="624">
        <f t="shared" si="0"/>
        <v>12</v>
      </c>
      <c r="K61" s="1954"/>
      <c r="O61" s="2242" t="s">
        <v>2365</v>
      </c>
      <c r="P61" s="2240" t="s">
        <v>2373</v>
      </c>
      <c r="Q61" s="2241" t="e">
        <f ca="1">L58</f>
        <v>#DIV/0!</v>
      </c>
      <c r="R61" s="2244" t="s">
        <v>2374</v>
      </c>
    </row>
    <row r="62" spans="1:18" s="1928" customFormat="1" ht="15.75" thickBot="1">
      <c r="A62" s="796"/>
      <c r="B62" s="775"/>
      <c r="C62" s="69"/>
      <c r="D62" s="797"/>
      <c r="E62" s="766" t="s">
        <v>668</v>
      </c>
      <c r="F62" s="767">
        <f t="shared" ca="1" si="0"/>
        <v>15290.92</v>
      </c>
      <c r="I62" s="2809" t="s">
        <v>2346</v>
      </c>
      <c r="J62" s="2810" t="s">
        <v>2347</v>
      </c>
      <c r="K62" s="2810" t="s">
        <v>2348</v>
      </c>
      <c r="L62" s="2810" t="s">
        <v>2329</v>
      </c>
      <c r="M62" s="2811" t="s">
        <v>2900</v>
      </c>
      <c r="O62" s="2242" t="s">
        <v>2367</v>
      </c>
      <c r="P62" s="2240" t="str">
        <f>K59</f>
        <v>建设期及建筑物耐用年限下的土地年期修正系数Kn</v>
      </c>
      <c r="Q62" s="2241" t="e">
        <f ca="1">L59</f>
        <v>#DIV/0!</v>
      </c>
      <c r="R62" s="2244" t="s">
        <v>2376</v>
      </c>
    </row>
    <row r="63" spans="1:18" s="1928" customFormat="1" ht="15.75" thickBot="1">
      <c r="A63" s="1565" t="s">
        <v>1879</v>
      </c>
      <c r="B63" s="766" t="s">
        <v>670</v>
      </c>
      <c r="C63" s="53">
        <f ca="1">ROUND(C56*F63,1)</f>
        <v>181.8</v>
      </c>
      <c r="D63" s="2467" t="s">
        <v>1793</v>
      </c>
      <c r="E63" s="766" t="s">
        <v>1737</v>
      </c>
      <c r="F63" s="798">
        <f t="shared" ca="1" si="0"/>
        <v>0.01</v>
      </c>
      <c r="I63" s="2809" t="s">
        <v>2349</v>
      </c>
      <c r="J63" s="2810">
        <v>70</v>
      </c>
      <c r="K63" s="2810">
        <v>50</v>
      </c>
      <c r="L63" s="2810">
        <v>80</v>
      </c>
      <c r="M63" s="2812">
        <v>0.02</v>
      </c>
      <c r="O63" s="2239" t="s">
        <v>2370</v>
      </c>
      <c r="P63" s="2240" t="s">
        <v>2387</v>
      </c>
      <c r="Q63" s="2241">
        <f ca="1">Q57+Q58</f>
        <v>32565</v>
      </c>
      <c r="R63" s="2244" t="s">
        <v>2371</v>
      </c>
    </row>
    <row r="64" spans="1:18" s="1928" customFormat="1" ht="16.5" thickBot="1">
      <c r="A64" s="1565" t="s">
        <v>1880</v>
      </c>
      <c r="B64" s="766" t="s">
        <v>673</v>
      </c>
      <c r="C64" s="53">
        <f ca="1">ROUND(C55*F64,1)</f>
        <v>18.2</v>
      </c>
      <c r="D64" s="2467" t="s">
        <v>674</v>
      </c>
      <c r="E64" s="766" t="s">
        <v>1737</v>
      </c>
      <c r="F64" s="799">
        <f t="shared" ca="1" si="0"/>
        <v>1E-3</v>
      </c>
      <c r="I64" s="2809" t="s">
        <v>2350</v>
      </c>
      <c r="J64" s="2810">
        <v>50</v>
      </c>
      <c r="K64" s="2810">
        <v>35</v>
      </c>
      <c r="L64" s="2810">
        <v>60</v>
      </c>
      <c r="M64" s="827">
        <v>0</v>
      </c>
      <c r="O64" s="2245" t="s">
        <v>2394</v>
      </c>
      <c r="P64" s="1514"/>
      <c r="Q64" s="1522"/>
      <c r="R64" s="1514"/>
    </row>
    <row r="65" spans="1:18" s="1928" customFormat="1" ht="15.75" thickBot="1">
      <c r="A65" s="1565" t="s">
        <v>1881</v>
      </c>
      <c r="B65" s="766" t="s">
        <v>660</v>
      </c>
      <c r="C65" s="53">
        <f ca="1">ROUND(C47*F65,1)</f>
        <v>0</v>
      </c>
      <c r="D65" s="2467" t="s">
        <v>677</v>
      </c>
      <c r="E65" s="766" t="s">
        <v>1737</v>
      </c>
      <c r="F65" s="776">
        <f t="shared" ca="1" si="0"/>
        <v>0.01</v>
      </c>
      <c r="I65" s="2809" t="s">
        <v>2351</v>
      </c>
      <c r="J65" s="2810">
        <v>40</v>
      </c>
      <c r="K65" s="2810">
        <v>30</v>
      </c>
      <c r="L65" s="2810">
        <v>50</v>
      </c>
      <c r="M65" s="2812">
        <v>0.02</v>
      </c>
      <c r="O65" s="2236" t="s">
        <v>2354</v>
      </c>
      <c r="P65" s="2237" t="s">
        <v>2355</v>
      </c>
      <c r="Q65" s="2238" t="s">
        <v>2356</v>
      </c>
      <c r="R65" s="2237" t="s">
        <v>2357</v>
      </c>
    </row>
    <row r="66" spans="1:18" s="1928" customFormat="1" ht="24.75" thickBot="1">
      <c r="A66" s="779" t="s">
        <v>1766</v>
      </c>
      <c r="B66" s="2710" t="s">
        <v>2795</v>
      </c>
      <c r="C66" s="781">
        <f ca="1">C47-C57</f>
        <v>-218</v>
      </c>
      <c r="D66" s="2466" t="s">
        <v>694</v>
      </c>
      <c r="E66" s="2465"/>
      <c r="F66" s="801"/>
      <c r="K66" s="1954"/>
      <c r="O66" s="2239" t="s">
        <v>2358</v>
      </c>
      <c r="P66" s="2240" t="s">
        <v>2388</v>
      </c>
      <c r="Q66" s="2241">
        <f ca="1">C40+J29</f>
        <v>32565</v>
      </c>
      <c r="R66" s="2240" t="s">
        <v>2359</v>
      </c>
    </row>
    <row r="67" spans="1:18" s="1928" customFormat="1" ht="20.25" thickBot="1">
      <c r="A67" s="763" t="s">
        <v>1770</v>
      </c>
      <c r="B67" s="2098" t="s">
        <v>2286</v>
      </c>
      <c r="C67" s="765">
        <f ca="1">ROUND(C66*(1-((1+F69)/(1+F67))^F68)/(F67-F69),0)</f>
        <v>-3417</v>
      </c>
      <c r="D67" s="795" t="s">
        <v>698</v>
      </c>
      <c r="E67" s="766" t="s">
        <v>699</v>
      </c>
      <c r="F67" s="776">
        <f ca="1">F40</f>
        <v>5.5E-2</v>
      </c>
      <c r="K67" s="1954"/>
      <c r="O67" s="2239" t="s">
        <v>2360</v>
      </c>
      <c r="P67" s="2240" t="s">
        <v>2391</v>
      </c>
      <c r="Q67" s="2241">
        <f ca="1">L60</f>
        <v>0</v>
      </c>
      <c r="R67" s="2244" t="s">
        <v>2393</v>
      </c>
    </row>
    <row r="68" spans="1:18" ht="21.75" thickBot="1">
      <c r="A68" s="768"/>
      <c r="B68" s="769"/>
      <c r="C68" s="770"/>
      <c r="D68" s="802" t="s">
        <v>1798</v>
      </c>
      <c r="E68" s="766" t="s">
        <v>1774</v>
      </c>
      <c r="F68" s="803">
        <f ca="1">F41</f>
        <v>37</v>
      </c>
      <c r="O68" s="2242" t="s">
        <v>2362</v>
      </c>
      <c r="P68" s="2240" t="s">
        <v>2392</v>
      </c>
      <c r="Q68" s="2246">
        <f ca="1">L51</f>
        <v>26198</v>
      </c>
      <c r="R68" s="2247" t="s">
        <v>2395</v>
      </c>
    </row>
    <row r="69" spans="1:18" ht="20.25" thickBot="1">
      <c r="A69" s="772"/>
      <c r="B69" s="773"/>
      <c r="C69" s="774"/>
      <c r="D69" s="797"/>
      <c r="E69" s="766" t="s">
        <v>704</v>
      </c>
      <c r="F69" s="2212"/>
      <c r="O69" s="2242" t="s">
        <v>2363</v>
      </c>
      <c r="P69" s="2248" t="s">
        <v>2377</v>
      </c>
      <c r="Q69" s="2241">
        <f ca="1">ROUND(Q70-Q71*Q72,0)</f>
        <v>1384</v>
      </c>
      <c r="R69" s="2244"/>
    </row>
    <row r="70" spans="1:18" ht="15.75" thickBot="1">
      <c r="A70" s="804" t="s">
        <v>1777</v>
      </c>
      <c r="B70" s="805" t="s">
        <v>1800</v>
      </c>
      <c r="C70" s="806">
        <f ca="1">ROUND(C67*10000/F70,0)</f>
        <v>-1038</v>
      </c>
      <c r="D70" s="807" t="s">
        <v>1801</v>
      </c>
      <c r="E70" s="808" t="s">
        <v>1802</v>
      </c>
      <c r="F70" s="809">
        <f ca="1">F43</f>
        <v>32922.93</v>
      </c>
      <c r="O70" s="2242" t="s">
        <v>2378</v>
      </c>
      <c r="P70" s="2248" t="s">
        <v>2379</v>
      </c>
      <c r="Q70" s="2241">
        <f ca="1">C39</f>
        <v>1384</v>
      </c>
      <c r="R70" s="2240" t="s">
        <v>2359</v>
      </c>
    </row>
    <row r="71" spans="1:18" ht="15.75" thickBot="1">
      <c r="O71" s="2242" t="s">
        <v>2380</v>
      </c>
      <c r="P71" s="2248" t="s">
        <v>2381</v>
      </c>
      <c r="Q71" s="2241">
        <f ca="1">C13</f>
        <v>18182</v>
      </c>
      <c r="R71" s="2240" t="s">
        <v>2359</v>
      </c>
    </row>
    <row r="72" spans="1:18" ht="15.75" thickBot="1">
      <c r="O72" s="2242" t="s">
        <v>2382</v>
      </c>
      <c r="P72" s="2248" t="s">
        <v>2383</v>
      </c>
      <c r="Q72" s="2243">
        <f ca="1">J36</f>
        <v>0</v>
      </c>
      <c r="R72" s="2244"/>
    </row>
    <row r="73" spans="1:18" ht="15.75" thickBot="1">
      <c r="O73" s="2242" t="s">
        <v>2365</v>
      </c>
      <c r="P73" s="2240" t="s">
        <v>2372</v>
      </c>
      <c r="Q73" s="2243">
        <f>L52</f>
        <v>0</v>
      </c>
      <c r="R73" s="2244"/>
    </row>
    <row r="74" spans="1:18" ht="20.25" thickBot="1">
      <c r="O74" s="2242" t="s">
        <v>2367</v>
      </c>
      <c r="P74" s="2240" t="s">
        <v>2373</v>
      </c>
      <c r="Q74" s="2241" t="e">
        <f ca="1">L58</f>
        <v>#DIV/0!</v>
      </c>
      <c r="R74" s="2244" t="s">
        <v>2374</v>
      </c>
    </row>
    <row r="75" spans="1:18" ht="15.75" thickBot="1">
      <c r="O75" s="2242" t="s">
        <v>2396</v>
      </c>
      <c r="P75" s="2240" t="str">
        <f>K59</f>
        <v>建设期及建筑物耐用年限下的土地年期修正系数Kn</v>
      </c>
      <c r="Q75" s="2241" t="e">
        <f ca="1">L59</f>
        <v>#DIV/0!</v>
      </c>
      <c r="R75" s="2244" t="s">
        <v>2376</v>
      </c>
    </row>
    <row r="76" spans="1:18" ht="15.75" thickBot="1">
      <c r="O76" s="2239" t="s">
        <v>2370</v>
      </c>
      <c r="P76" s="2240" t="s">
        <v>2387</v>
      </c>
      <c r="Q76" s="2241">
        <f ca="1">Q66+Q67</f>
        <v>32565</v>
      </c>
      <c r="R76" s="2244" t="s">
        <v>2371</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 priority="7">
      <formula>$L$48&gt;$J$51</formula>
    </cfRule>
  </conditionalFormatting>
  <conditionalFormatting sqref="I55">
    <cfRule type="expression" dxfId="12" priority="8">
      <formula>$J$51&gt;$L$48</formula>
    </cfRule>
  </conditionalFormatting>
  <conditionalFormatting sqref="I60">
    <cfRule type="expression" dxfId="11" priority="6">
      <formula>$J$51&gt;$L$48</formula>
    </cfRule>
  </conditionalFormatting>
  <conditionalFormatting sqref="K60">
    <cfRule type="expression" dxfId="10" priority="5">
      <formula>$L$48&gt;$J$51</formula>
    </cfRule>
  </conditionalFormatting>
  <conditionalFormatting sqref="C11">
    <cfRule type="expression" dxfId="9" priority="4">
      <formula>$F$10="自定义"</formula>
    </cfRule>
  </conditionalFormatting>
  <conditionalFormatting sqref="J11">
    <cfRule type="expression" dxfId="8" priority="2">
      <formula>$M$10="自定义"</formula>
    </cfRule>
  </conditionalFormatting>
  <conditionalFormatting sqref="C53">
    <cfRule type="expression" dxfId="7"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85" zoomScaleNormal="60" zoomScaleSheetLayoutView="85" workbookViewId="0">
      <selection activeCell="D19" sqref="D19"/>
    </sheetView>
  </sheetViews>
  <sheetFormatPr defaultColWidth="9" defaultRowHeight="15"/>
  <cols>
    <col min="1" max="1" width="9" style="1929" customWidth="1"/>
    <col min="2" max="2" width="20.625" style="1967" customWidth="1"/>
    <col min="3" max="3" width="11.875" style="1967" customWidth="1"/>
    <col min="4" max="4" width="40.5" style="1929" customWidth="1"/>
    <col min="5" max="5" width="15.75" style="1929" customWidth="1"/>
    <col min="6" max="6" width="10.625" style="1929" customWidth="1"/>
    <col min="7" max="7" width="4.875" style="1929" customWidth="1"/>
    <col min="8" max="8" width="8.5" style="1929" customWidth="1"/>
    <col min="9" max="9" width="21.25" style="1929" customWidth="1"/>
    <col min="10" max="10" width="12.25" style="1929" customWidth="1"/>
    <col min="11" max="11" width="40.125" style="1968" customWidth="1"/>
    <col min="12" max="12" width="18.375" style="1929" customWidth="1"/>
    <col min="13" max="13" width="13" style="1929" customWidth="1"/>
    <col min="14" max="14" width="9.5" style="1928" bestFit="1" customWidth="1"/>
    <col min="15" max="15" width="5.875" style="1928" customWidth="1"/>
    <col min="16" max="16" width="27.625" style="1928" customWidth="1"/>
    <col min="17" max="17" width="13.75" style="1965" customWidth="1"/>
    <col min="18" max="18" width="23.5" style="1928" customWidth="1"/>
    <col min="19" max="19" width="1.5" style="1928" customWidth="1"/>
    <col min="20" max="33" width="9" style="1928"/>
    <col min="34" max="16384" width="9" style="1929"/>
  </cols>
  <sheetData>
    <row r="1" spans="1:33" s="1923" customFormat="1" ht="21">
      <c r="A1" s="813" t="s">
        <v>1715</v>
      </c>
      <c r="B1" s="722"/>
      <c r="C1" s="755" t="s">
        <v>35</v>
      </c>
      <c r="D1" s="2783" t="s">
        <v>3756</v>
      </c>
      <c r="E1" s="2228" t="s">
        <v>861</v>
      </c>
      <c r="F1" s="2229">
        <f ca="1">J53</f>
        <v>37</v>
      </c>
      <c r="G1" s="3244">
        <f>MATCH(C1,'数据-取费表'!A6:A16,0)+5</f>
        <v>11</v>
      </c>
      <c r="H1" s="1919"/>
      <c r="I1" s="1920"/>
      <c r="J1" s="1920"/>
      <c r="K1" s="1921"/>
      <c r="L1" s="1920"/>
      <c r="M1" s="1920"/>
      <c r="N1" s="1922"/>
      <c r="O1" s="1922"/>
      <c r="P1" s="1922"/>
      <c r="Q1" s="2233"/>
      <c r="R1" s="1922"/>
      <c r="S1" s="1922"/>
      <c r="T1" s="1922"/>
      <c r="U1" s="1922"/>
      <c r="V1" s="1922"/>
      <c r="W1" s="1922"/>
      <c r="X1" s="1922"/>
      <c r="Y1" s="1922"/>
      <c r="Z1" s="1922"/>
      <c r="AA1" s="1922"/>
      <c r="AB1" s="1922"/>
      <c r="AC1" s="1922"/>
      <c r="AD1" s="1922"/>
      <c r="AE1" s="1922"/>
      <c r="AF1" s="1922"/>
      <c r="AG1" s="1922"/>
    </row>
    <row r="2" spans="1:33" ht="18" customHeight="1">
      <c r="A2" s="409" t="s">
        <v>461</v>
      </c>
      <c r="B2" s="757">
        <f ca="1">C40+J29+L46</f>
        <v>0</v>
      </c>
      <c r="C2" s="3249"/>
      <c r="D2" s="3250"/>
      <c r="E2" s="3251"/>
      <c r="F2" s="3251"/>
      <c r="G2" s="3245"/>
      <c r="H2" s="1926"/>
      <c r="I2" s="1926"/>
      <c r="J2" s="1926"/>
      <c r="K2" s="1927"/>
      <c r="L2" s="1926"/>
      <c r="M2" s="1926"/>
    </row>
    <row r="3" spans="1:33" ht="18" customHeight="1" thickBot="1">
      <c r="A3" s="814" t="s">
        <v>513</v>
      </c>
      <c r="B3" s="815">
        <f ca="1">IF(ISERROR(B2*10000/F43),0,ROUND(B2*10000/F43,0))</f>
        <v>0</v>
      </c>
      <c r="C3" s="3249"/>
      <c r="D3" s="3250"/>
      <c r="E3" s="3251"/>
      <c r="F3" s="3251"/>
      <c r="G3" s="3245"/>
      <c r="H3" s="758" t="s">
        <v>689</v>
      </c>
      <c r="I3" s="1306"/>
      <c r="J3" s="1306"/>
      <c r="K3" s="1513"/>
      <c r="L3" s="1306"/>
      <c r="M3" s="1306"/>
    </row>
    <row r="4" spans="1:33" ht="18" customHeight="1">
      <c r="A4" s="759" t="s">
        <v>624</v>
      </c>
      <c r="B4" s="760" t="s">
        <v>625</v>
      </c>
      <c r="C4" s="760" t="s">
        <v>626</v>
      </c>
      <c r="D4" s="760" t="s">
        <v>627</v>
      </c>
      <c r="E4" s="761" t="s">
        <v>628</v>
      </c>
      <c r="F4" s="762"/>
      <c r="G4" s="1931"/>
      <c r="H4" s="759" t="s">
        <v>624</v>
      </c>
      <c r="I4" s="760" t="s">
        <v>625</v>
      </c>
      <c r="J4" s="760" t="s">
        <v>626</v>
      </c>
      <c r="K4" s="760" t="s">
        <v>627</v>
      </c>
      <c r="L4" s="761" t="s">
        <v>628</v>
      </c>
      <c r="M4" s="762"/>
    </row>
    <row r="5" spans="1:33" ht="18" customHeight="1">
      <c r="A5" s="763">
        <v>1</v>
      </c>
      <c r="B5" s="764" t="s">
        <v>2434</v>
      </c>
      <c r="C5" s="55">
        <f ca="1">C6+C10+C12</f>
        <v>0</v>
      </c>
      <c r="D5" s="2335" t="s">
        <v>2437</v>
      </c>
      <c r="E5" s="2329"/>
      <c r="F5" s="2330"/>
      <c r="G5" s="1931"/>
      <c r="H5" s="763">
        <v>1</v>
      </c>
      <c r="I5" s="764" t="s">
        <v>2434</v>
      </c>
      <c r="J5" s="55">
        <f ca="1">J6+J10+J12</f>
        <v>0</v>
      </c>
      <c r="K5" s="2335" t="s">
        <v>2437</v>
      </c>
      <c r="L5" s="2329"/>
      <c r="M5" s="2330"/>
    </row>
    <row r="6" spans="1:33" ht="18" customHeight="1">
      <c r="A6" s="1731" t="s">
        <v>1814</v>
      </c>
      <c r="B6" s="3927" t="s">
        <v>2439</v>
      </c>
      <c r="C6" s="765">
        <f ca="1">ROUND(F6*F8*F7*(1-F9)/10000,0)</f>
        <v>0</v>
      </c>
      <c r="D6" s="2336" t="s">
        <v>2438</v>
      </c>
      <c r="E6" s="766" t="s">
        <v>631</v>
      </c>
      <c r="F6" s="767">
        <f ca="1">INDIRECT("'数据-取费表'!u"&amp;$G$1)</f>
        <v>340</v>
      </c>
      <c r="G6" s="1931"/>
      <c r="H6" s="2343" t="s">
        <v>1814</v>
      </c>
      <c r="I6" s="3927" t="s">
        <v>2439</v>
      </c>
      <c r="J6" s="765">
        <f ca="1">ROUND(M6*M8*M7*(1-M9)/10000,0)</f>
        <v>0</v>
      </c>
      <c r="K6" s="331" t="s">
        <v>630</v>
      </c>
      <c r="L6" s="766" t="s">
        <v>631</v>
      </c>
      <c r="M6" s="767">
        <f ca="1">INDIRECT("'数据-取费表'!z"&amp;$G$1)</f>
        <v>0</v>
      </c>
    </row>
    <row r="7" spans="1:33" ht="18" customHeight="1">
      <c r="A7" s="2339"/>
      <c r="B7" s="3928"/>
      <c r="C7" s="770"/>
      <c r="D7" s="771"/>
      <c r="E7" s="766" t="s">
        <v>632</v>
      </c>
      <c r="F7" s="767">
        <f ca="1">IF(INDIRECT("'数据-取费表'!ah"&amp;$G$1)="",INDIRECT("'数据-取费表'!k"&amp;$G$1),INDIRECT("'数据-取费表'!ah"&amp;$G$1))</f>
        <v>0</v>
      </c>
      <c r="G7" s="1931"/>
      <c r="H7" s="2328"/>
      <c r="I7" s="3928"/>
      <c r="J7" s="770"/>
      <c r="K7" s="771"/>
      <c r="L7" s="766" t="s">
        <v>632</v>
      </c>
      <c r="M7" s="767">
        <f ca="1">F7</f>
        <v>0</v>
      </c>
    </row>
    <row r="8" spans="1:33" ht="18" customHeight="1">
      <c r="A8" s="2332"/>
      <c r="B8" s="3929"/>
      <c r="C8" s="770"/>
      <c r="D8" s="771"/>
      <c r="E8" s="766" t="s">
        <v>633</v>
      </c>
      <c r="F8" s="767">
        <f ca="1">INDIRECT("'数据-取费表'!ai"&amp;$G$1)</f>
        <v>12</v>
      </c>
      <c r="G8" s="1931"/>
      <c r="H8" s="2328"/>
      <c r="I8" s="3929"/>
      <c r="J8" s="770"/>
      <c r="K8" s="771"/>
      <c r="L8" s="766" t="s">
        <v>633</v>
      </c>
      <c r="M8" s="767">
        <f ca="1">INDIRECT("'数据-取费表'!ai"&amp;$G$1)</f>
        <v>12</v>
      </c>
    </row>
    <row r="9" spans="1:33" ht="18" customHeight="1">
      <c r="A9" s="768"/>
      <c r="B9" s="3930"/>
      <c r="C9" s="770"/>
      <c r="D9" s="771"/>
      <c r="E9" s="766" t="s">
        <v>634</v>
      </c>
      <c r="F9" s="776">
        <f ca="1">INDIRECT("'数据-取费表'!w"&amp;$G$1)</f>
        <v>0.1</v>
      </c>
      <c r="G9" s="1931"/>
      <c r="H9" s="2344"/>
      <c r="I9" s="3929"/>
      <c r="J9" s="770"/>
      <c r="K9" s="771"/>
      <c r="L9" s="777" t="s">
        <v>634</v>
      </c>
      <c r="M9" s="778">
        <f ca="1">INDIRECT("'数据-取费表'!ab"&amp;$G$1)</f>
        <v>0</v>
      </c>
    </row>
    <row r="10" spans="1:33" ht="18" customHeight="1">
      <c r="A10" s="1731" t="s">
        <v>1815</v>
      </c>
      <c r="B10" s="2333" t="s">
        <v>2435</v>
      </c>
      <c r="C10" s="781">
        <f ca="1">ROUND(IF(F10="押一",C6/12*F11,IF(F10="押二",C6/12*2*F11,IF(F10="押三",C6/12*3*F11,C11*F11))),0)</f>
        <v>0</v>
      </c>
      <c r="D10" s="2340" t="s">
        <v>2928</v>
      </c>
      <c r="E10" s="2337" t="s">
        <v>2440</v>
      </c>
      <c r="F10" s="2451"/>
      <c r="G10" s="1931"/>
      <c r="H10" s="2400" t="s">
        <v>1815</v>
      </c>
      <c r="I10" s="2405" t="s">
        <v>2435</v>
      </c>
      <c r="J10" s="765">
        <f ca="1">ROUND(IF(M10="押一",J6/12*M11,IF(M10="押二",J6/12*2*M11,IF(M10="押三",J6/12*3*M11,J11*M11))),0)</f>
        <v>0</v>
      </c>
      <c r="K10" s="2340" t="s">
        <v>2928</v>
      </c>
      <c r="L10" s="2337" t="s">
        <v>2440</v>
      </c>
      <c r="M10" s="2451"/>
    </row>
    <row r="11" spans="1:33" ht="18" customHeight="1">
      <c r="A11" s="772"/>
      <c r="B11" s="2334" t="s">
        <v>2549</v>
      </c>
      <c r="C11" s="2338"/>
      <c r="D11" s="771"/>
      <c r="E11" s="2337" t="s">
        <v>2432</v>
      </c>
      <c r="F11" s="778">
        <f ca="1">'数据-取费表'!B39</f>
        <v>1.4999999999999999E-2</v>
      </c>
      <c r="G11" s="1931"/>
      <c r="H11" s="2401"/>
      <c r="I11" s="2334" t="s">
        <v>2549</v>
      </c>
      <c r="J11" s="2338"/>
      <c r="K11" s="2402"/>
      <c r="L11" s="2337" t="s">
        <v>2432</v>
      </c>
      <c r="M11" s="2331">
        <f ca="1">'数据-取费表'!B39</f>
        <v>1.4999999999999999E-2</v>
      </c>
    </row>
    <row r="12" spans="1:33" ht="18" customHeight="1" thickBot="1">
      <c r="A12" s="2376" t="s">
        <v>2443</v>
      </c>
      <c r="B12" s="2377" t="s">
        <v>2436</v>
      </c>
      <c r="C12" s="2378"/>
      <c r="D12" s="2379"/>
      <c r="E12" s="2380"/>
      <c r="F12" s="2381"/>
      <c r="G12" s="1931"/>
      <c r="H12" s="2390" t="s">
        <v>2443</v>
      </c>
      <c r="I12" s="2403" t="s">
        <v>2436</v>
      </c>
      <c r="J12" s="2404"/>
      <c r="K12" s="2379"/>
      <c r="L12" s="2380"/>
      <c r="M12" s="2393"/>
    </row>
    <row r="13" spans="1:33" ht="18" customHeight="1" thickTop="1">
      <c r="A13" s="1730">
        <v>2</v>
      </c>
      <c r="B13" s="1728" t="s">
        <v>638</v>
      </c>
      <c r="C13" s="774">
        <f ca="1">ROUND(C29*F13,0)</f>
        <v>0</v>
      </c>
      <c r="D13" s="1735" t="s">
        <v>2282</v>
      </c>
      <c r="E13" s="1735" t="s">
        <v>637</v>
      </c>
      <c r="F13" s="2375">
        <f ca="1">INDIRECT("'数据-取费表'!y"&amp;$G$1)</f>
        <v>1</v>
      </c>
      <c r="G13" s="1931"/>
      <c r="H13" s="1730">
        <v>2</v>
      </c>
      <c r="I13" s="1728" t="s">
        <v>638</v>
      </c>
      <c r="J13" s="1720">
        <f ca="1">ROUND(J14*J15,0)</f>
        <v>0</v>
      </c>
      <c r="K13" s="1722" t="s">
        <v>636</v>
      </c>
      <c r="L13" s="2391"/>
      <c r="M13" s="2392"/>
    </row>
    <row r="14" spans="1:33" ht="18" customHeight="1">
      <c r="A14" s="1564" t="s">
        <v>1821</v>
      </c>
      <c r="B14" s="766" t="s">
        <v>639</v>
      </c>
      <c r="C14" s="786">
        <f ca="1">INDIRECT("'数据-取费表'!m"&amp;$G$1)+INDIRECT("'数据-取费表'!t"&amp;$G$1)</f>
        <v>0</v>
      </c>
      <c r="D14" s="3266" t="s">
        <v>640</v>
      </c>
      <c r="E14" s="3267"/>
      <c r="F14" s="787"/>
      <c r="G14" s="1931"/>
      <c r="H14" s="1565" t="s">
        <v>1814</v>
      </c>
      <c r="I14" s="2097" t="s">
        <v>2798</v>
      </c>
      <c r="J14" s="53">
        <f ca="1">C29</f>
        <v>0</v>
      </c>
      <c r="K14" s="26"/>
      <c r="L14" s="783"/>
      <c r="M14" s="784"/>
    </row>
    <row r="15" spans="1:33" s="1933" customFormat="1" ht="18" customHeight="1" thickBot="1">
      <c r="A15" s="1564" t="s">
        <v>1822</v>
      </c>
      <c r="B15" s="766" t="s">
        <v>641</v>
      </c>
      <c r="C15" s="53">
        <f ca="1">ROUND(C14*F15,0)</f>
        <v>0</v>
      </c>
      <c r="D15" s="788" t="s">
        <v>642</v>
      </c>
      <c r="E15" s="788" t="s">
        <v>643</v>
      </c>
      <c r="F15" s="789">
        <f>'数据-取费表'!B33</f>
        <v>0.05</v>
      </c>
      <c r="G15" s="3246"/>
      <c r="H15" s="2390" t="s">
        <v>1879</v>
      </c>
      <c r="I15" s="2385" t="s">
        <v>637</v>
      </c>
      <c r="J15" s="2394">
        <f ca="1">INDIRECT("'数据-取费表'!ad"&amp;$G$1)</f>
        <v>0</v>
      </c>
      <c r="K15" s="2395"/>
      <c r="L15" s="2396"/>
      <c r="M15" s="2397"/>
      <c r="N15" s="1932"/>
      <c r="O15" s="1932"/>
      <c r="P15" s="1932"/>
      <c r="Q15" s="2234"/>
      <c r="R15" s="1932"/>
      <c r="S15" s="1932"/>
      <c r="T15" s="1932"/>
      <c r="U15" s="1932"/>
      <c r="V15" s="1932"/>
      <c r="W15" s="1932"/>
      <c r="X15" s="1932"/>
      <c r="Y15" s="1932"/>
      <c r="Z15" s="1932"/>
      <c r="AA15" s="1932"/>
      <c r="AB15" s="1932"/>
      <c r="AC15" s="1932"/>
      <c r="AD15" s="1932"/>
      <c r="AE15" s="1932"/>
      <c r="AF15" s="1932"/>
      <c r="AG15" s="1932"/>
    </row>
    <row r="16" spans="1:33" ht="18" customHeight="1" thickTop="1">
      <c r="A16" s="1564" t="s">
        <v>1823</v>
      </c>
      <c r="B16" s="766" t="s">
        <v>644</v>
      </c>
      <c r="C16" s="53">
        <f ca="1">ROUND(INDIRECT("'数据-取费表'!m"&amp;$G$1)*F16,0)</f>
        <v>0</v>
      </c>
      <c r="D16" s="766" t="s">
        <v>642</v>
      </c>
      <c r="E16" s="766" t="s">
        <v>643</v>
      </c>
      <c r="F16" s="791">
        <f ca="1">IF(INDIRECT("'数据-取费表'!c"&amp;$G$1)="住宅",'数据-取费表'!B34,0)</f>
        <v>0</v>
      </c>
      <c r="G16" s="1931"/>
      <c r="H16" s="1730" t="s">
        <v>7</v>
      </c>
      <c r="I16" s="1728" t="s">
        <v>645</v>
      </c>
      <c r="J16" s="774">
        <f ca="1">ROUND(J17+J22+J23+J24,0)</f>
        <v>0</v>
      </c>
      <c r="K16" s="1722" t="s">
        <v>646</v>
      </c>
      <c r="L16" s="3268"/>
      <c r="M16" s="2330"/>
    </row>
    <row r="17" spans="1:33" s="1933" customFormat="1" ht="18" customHeight="1">
      <c r="A17" s="1564" t="s">
        <v>1877</v>
      </c>
      <c r="B17" s="766" t="s">
        <v>647</v>
      </c>
      <c r="C17" s="53">
        <f ca="1">ROUND(F17*(F43+INDIRECT("'数据-取费表'!S"&amp;$G$1))/10000,0)</f>
        <v>0</v>
      </c>
      <c r="D17" s="766" t="s">
        <v>648</v>
      </c>
      <c r="E17" s="766" t="s">
        <v>649</v>
      </c>
      <c r="F17" s="56">
        <f>'数据-取费表'!B35</f>
        <v>200</v>
      </c>
      <c r="G17" s="3246"/>
      <c r="H17" s="1565" t="s">
        <v>1814</v>
      </c>
      <c r="I17" s="766" t="s">
        <v>650</v>
      </c>
      <c r="J17" s="3004">
        <f ca="1">ROUND(IF(AND(项目基本情况!B11="自然人",项目基本情况!B10="北京市"),J6*M17/(1+'数据-取费表'!C42),J18+J19+J20),0)</f>
        <v>0</v>
      </c>
      <c r="K17" s="3266" t="s">
        <v>651</v>
      </c>
      <c r="L17" s="3264" t="s">
        <v>652</v>
      </c>
      <c r="M17" s="3003" t="str">
        <f>IF(项目基本情况!B11="企业","——",IF('数据-取费表'!B10="住宅",IF(M6*M7*M8/12/(1+'数据-取费表'!F30)&gt;100000,4%,2.5%),IF(M6*M7*M8/12/(1+'数据-取费表'!F30)&gt;100000,12%,7%)))</f>
        <v>——</v>
      </c>
      <c r="N17" s="1932"/>
      <c r="O17" s="1932"/>
      <c r="P17" s="1932"/>
      <c r="Q17" s="2234"/>
      <c r="R17" s="1932"/>
      <c r="S17" s="1932"/>
      <c r="T17" s="1932"/>
      <c r="U17" s="1932"/>
      <c r="V17" s="1932"/>
      <c r="W17" s="1932"/>
      <c r="X17" s="1932"/>
      <c r="Y17" s="1932"/>
      <c r="Z17" s="1932"/>
      <c r="AA17" s="1932"/>
      <c r="AB17" s="1932"/>
      <c r="AC17" s="1932"/>
      <c r="AD17" s="1932"/>
      <c r="AE17" s="1932"/>
      <c r="AF17" s="1932"/>
      <c r="AG17" s="1932"/>
    </row>
    <row r="18" spans="1:33" s="1933" customFormat="1" ht="18" customHeight="1">
      <c r="A18" s="1564" t="s">
        <v>1878</v>
      </c>
      <c r="B18" s="766" t="s">
        <v>653</v>
      </c>
      <c r="C18" s="53">
        <f ca="1">ROUND(C14*F18,0)</f>
        <v>0</v>
      </c>
      <c r="D18" s="766" t="s">
        <v>642</v>
      </c>
      <c r="E18" s="766" t="s">
        <v>643</v>
      </c>
      <c r="F18" s="791">
        <f>'数据-取费表'!B36</f>
        <v>1.4999999999999999E-2</v>
      </c>
      <c r="G18" s="3246"/>
      <c r="H18" s="1564" t="s">
        <v>1821</v>
      </c>
      <c r="I18" s="766" t="s">
        <v>654</v>
      </c>
      <c r="J18" s="53">
        <f ca="1">ROUND(J6*M18/(1+'数据-取费表'!C42),1)</f>
        <v>0</v>
      </c>
      <c r="K18" s="3264" t="s">
        <v>655</v>
      </c>
      <c r="L18" s="766" t="s">
        <v>643</v>
      </c>
      <c r="M18" s="791">
        <f>'数据-取费表'!B41</f>
        <v>5.5000000000000007E-2</v>
      </c>
      <c r="N18" s="1932"/>
      <c r="O18" s="1932"/>
      <c r="P18" s="1932"/>
      <c r="Q18" s="2234"/>
      <c r="R18" s="1932"/>
      <c r="S18" s="1932"/>
      <c r="T18" s="1932"/>
      <c r="U18" s="1932"/>
      <c r="V18" s="1932"/>
      <c r="W18" s="1932"/>
      <c r="X18" s="1932"/>
      <c r="Y18" s="1932"/>
      <c r="Z18" s="1932"/>
      <c r="AA18" s="1932"/>
      <c r="AB18" s="1932"/>
      <c r="AC18" s="1932"/>
      <c r="AD18" s="1932"/>
      <c r="AE18" s="1932"/>
      <c r="AF18" s="1932"/>
      <c r="AG18" s="1932"/>
    </row>
    <row r="19" spans="1:33" ht="18" customHeight="1">
      <c r="A19" s="1565" t="s">
        <v>1814</v>
      </c>
      <c r="B19" s="766" t="s">
        <v>656</v>
      </c>
      <c r="C19" s="53">
        <f ca="1">SUM(C14:C18)</f>
        <v>0</v>
      </c>
      <c r="D19" s="251" t="s">
        <v>657</v>
      </c>
      <c r="E19" s="3275"/>
      <c r="F19" s="56"/>
      <c r="G19" s="1931"/>
      <c r="H19" s="1564" t="s">
        <v>1822</v>
      </c>
      <c r="I19" s="766" t="s">
        <v>658</v>
      </c>
      <c r="J19" s="53">
        <f ca="1">IF(K19="按租金收入计税",ROUND(J6*M19/(1+'数据-取费表'!C42),1),ROUND(C29*F33*0.7,1))</f>
        <v>0</v>
      </c>
      <c r="K19" s="792" t="s">
        <v>659</v>
      </c>
      <c r="L19" s="766" t="s">
        <v>643</v>
      </c>
      <c r="M19" s="791">
        <f>IF(K19="按租金收入计税",'数据-取费表'!B51,'数据-取费表'!B50)</f>
        <v>1.2E-2</v>
      </c>
    </row>
    <row r="20" spans="1:33" s="1933" customFormat="1" ht="18" customHeight="1">
      <c r="A20" s="1565" t="s">
        <v>1879</v>
      </c>
      <c r="B20" s="766" t="s">
        <v>660</v>
      </c>
      <c r="C20" s="53">
        <f ca="1">ROUND(C19*F20,0)</f>
        <v>0</v>
      </c>
      <c r="D20" s="793" t="s">
        <v>661</v>
      </c>
      <c r="E20" s="766" t="s">
        <v>643</v>
      </c>
      <c r="F20" s="791">
        <f>'数据-取费表'!B37</f>
        <v>0.02</v>
      </c>
      <c r="G20" s="3246"/>
      <c r="H20" s="1567" t="s">
        <v>1823</v>
      </c>
      <c r="I20" s="331" t="s">
        <v>662</v>
      </c>
      <c r="J20" s="54">
        <f ca="1">ROUND(M20*M21/10000,0)</f>
        <v>0</v>
      </c>
      <c r="K20" s="795" t="s">
        <v>663</v>
      </c>
      <c r="L20" s="766" t="s">
        <v>664</v>
      </c>
      <c r="M20" s="624">
        <f>'数据-取费表'!B52</f>
        <v>12</v>
      </c>
      <c r="N20" s="1932"/>
      <c r="O20" s="1932"/>
      <c r="P20" s="1932"/>
      <c r="Q20" s="2234"/>
      <c r="R20" s="1932"/>
      <c r="S20" s="1932"/>
      <c r="T20" s="1932"/>
      <c r="U20" s="1932"/>
      <c r="V20" s="1932"/>
      <c r="W20" s="1932"/>
      <c r="X20" s="1932"/>
      <c r="Y20" s="1932"/>
      <c r="Z20" s="1932"/>
      <c r="AA20" s="1932"/>
      <c r="AB20" s="1932"/>
      <c r="AC20" s="1932"/>
      <c r="AD20" s="1932"/>
      <c r="AE20" s="1932"/>
      <c r="AF20" s="1932"/>
      <c r="AG20" s="1932"/>
    </row>
    <row r="21" spans="1:33" s="1933" customFormat="1" ht="18" customHeight="1">
      <c r="A21" s="1565" t="s">
        <v>1880</v>
      </c>
      <c r="B21" s="766" t="s">
        <v>665</v>
      </c>
      <c r="C21" s="53" t="s">
        <v>1</v>
      </c>
      <c r="D21" s="793" t="s">
        <v>2283</v>
      </c>
      <c r="E21" s="766" t="s">
        <v>667</v>
      </c>
      <c r="F21" s="791">
        <f>'数据-取费表'!B38</f>
        <v>0.05</v>
      </c>
      <c r="G21" s="3246"/>
      <c r="H21" s="2345"/>
      <c r="I21" s="775"/>
      <c r="J21" s="69"/>
      <c r="K21" s="797"/>
      <c r="L21" s="766" t="s">
        <v>668</v>
      </c>
      <c r="M21" s="767">
        <f ca="1">INDIRECT("'数据-取费表'!r"&amp;$G$1)</f>
        <v>0</v>
      </c>
      <c r="N21" s="1932"/>
      <c r="O21" s="1932"/>
      <c r="P21" s="1932"/>
      <c r="Q21" s="2234"/>
      <c r="R21" s="1932"/>
      <c r="S21" s="1932"/>
      <c r="T21" s="1932"/>
      <c r="U21" s="1932"/>
      <c r="V21" s="1932"/>
      <c r="W21" s="1932"/>
      <c r="X21" s="1932"/>
      <c r="Y21" s="1932"/>
      <c r="Z21" s="1932"/>
      <c r="AA21" s="1932"/>
      <c r="AB21" s="1932"/>
      <c r="AC21" s="1932"/>
      <c r="AD21" s="1932"/>
      <c r="AE21" s="1932"/>
      <c r="AF21" s="1932"/>
      <c r="AG21" s="1932"/>
    </row>
    <row r="22" spans="1:33" ht="18" customHeight="1">
      <c r="A22" s="1565" t="s">
        <v>1881</v>
      </c>
      <c r="B22" s="766" t="s">
        <v>669</v>
      </c>
      <c r="C22" s="53"/>
      <c r="D22" s="2410" t="str">
        <f>IF(F23&lt;=1,"单利计息。","复利计息。")&amp;"建造成本、管理费用、销售费用产生的利息。"</f>
        <v>复利计息。建造成本、管理费用、销售费用产生的利息。</v>
      </c>
      <c r="E22" s="3275"/>
      <c r="F22" s="56"/>
      <c r="G22" s="1931"/>
      <c r="H22" s="1565" t="s">
        <v>1879</v>
      </c>
      <c r="I22" s="766" t="s">
        <v>670</v>
      </c>
      <c r="J22" s="53">
        <f ca="1">ROUND(J14*M22,0)</f>
        <v>0</v>
      </c>
      <c r="K22" s="3264" t="s">
        <v>671</v>
      </c>
      <c r="L22" s="766" t="s">
        <v>643</v>
      </c>
      <c r="M22" s="798">
        <f ca="1">INDIRECT("'数据-取费表'!Ak"&amp;$G$1)</f>
        <v>0.01</v>
      </c>
    </row>
    <row r="23" spans="1:33" s="1933" customFormat="1" ht="18" customHeight="1">
      <c r="A23" s="1564" t="s">
        <v>1821</v>
      </c>
      <c r="B23" s="766" t="s">
        <v>2415</v>
      </c>
      <c r="C23" s="53">
        <f ca="1">ROUND(IF('数据-取费表'!B22&lt;=1,(C19+C20)*F24*F23/2,(C19+C20)*(POWER((1+F24),F23/2)-1)),0)</f>
        <v>0</v>
      </c>
      <c r="D23" s="2409" t="str">
        <f>IF(F23&lt;=1,"(建造成本+管理费用)×利率×(建设周期÷2)","(建造成本+管理费用)×((1+利率)^(建设周期÷2)-1)")</f>
        <v>(建造成本+管理费用)×((1+利率)^(建设周期÷2)-1)</v>
      </c>
      <c r="E23" s="766" t="s">
        <v>672</v>
      </c>
      <c r="F23" s="624">
        <f>'数据-取费表'!B20</f>
        <v>3</v>
      </c>
      <c r="G23" s="3246"/>
      <c r="H23" s="1565" t="s">
        <v>1880</v>
      </c>
      <c r="I23" s="766" t="s">
        <v>673</v>
      </c>
      <c r="J23" s="53">
        <f ca="1">ROUND(J13*M23,0)</f>
        <v>0</v>
      </c>
      <c r="K23" s="3264" t="s">
        <v>674</v>
      </c>
      <c r="L23" s="766" t="s">
        <v>643</v>
      </c>
      <c r="M23" s="799">
        <f ca="1">INDIRECT("'数据-取费表'!Al"&amp;$G$1)</f>
        <v>1E-3</v>
      </c>
      <c r="N23" s="1932"/>
      <c r="O23" s="1932"/>
      <c r="P23" s="1932"/>
      <c r="Q23" s="2234"/>
      <c r="R23" s="1932"/>
      <c r="S23" s="1932"/>
      <c r="T23" s="1932"/>
      <c r="U23" s="1932"/>
      <c r="V23" s="1932"/>
      <c r="W23" s="1932"/>
      <c r="X23" s="1932"/>
      <c r="Y23" s="1932"/>
      <c r="Z23" s="1932"/>
      <c r="AA23" s="1932"/>
      <c r="AB23" s="1932"/>
      <c r="AC23" s="1932"/>
      <c r="AD23" s="1932"/>
      <c r="AE23" s="1932"/>
      <c r="AF23" s="1932"/>
      <c r="AG23" s="1932"/>
    </row>
    <row r="24" spans="1:33" s="1933" customFormat="1" ht="18" customHeight="1" thickBot="1">
      <c r="A24" s="1564" t="s">
        <v>1822</v>
      </c>
      <c r="B24" s="766" t="s">
        <v>675</v>
      </c>
      <c r="C24" s="53">
        <f ca="1">ROUND(IF('数据-取费表'!B22&lt;=1,F21*F24*F23/2,F21*(POWER((1+F24),F23/2)-1)),4)</f>
        <v>3.5999999999999999E-3</v>
      </c>
      <c r="D24" s="2409" t="str">
        <f>IF(F23&lt;=1,"销售费用×利率×(建设周期÷2)","销售费用×((1+利率)^(建设周期÷2)-1)")</f>
        <v>销售费用×((1+利率)^(建设周期÷2)-1)</v>
      </c>
      <c r="E24" s="766" t="s">
        <v>676</v>
      </c>
      <c r="F24" s="800">
        <f ca="1">'数据-取费表'!B40</f>
        <v>4.7500000000000001E-2</v>
      </c>
      <c r="G24" s="3246"/>
      <c r="H24" s="2390" t="s">
        <v>1881</v>
      </c>
      <c r="I24" s="2385" t="s">
        <v>660</v>
      </c>
      <c r="J24" s="2383">
        <f ca="1">ROUND(J5*M24,0)</f>
        <v>0</v>
      </c>
      <c r="K24" s="2384" t="s">
        <v>677</v>
      </c>
      <c r="L24" s="2385" t="s">
        <v>643</v>
      </c>
      <c r="M24" s="2381">
        <f ca="1">INDIRECT("'数据-取费表'!Am"&amp;$G$1)</f>
        <v>0.01</v>
      </c>
      <c r="N24" s="1932"/>
      <c r="O24" s="1932"/>
      <c r="P24" s="1932"/>
      <c r="Q24" s="2234"/>
      <c r="R24" s="1932"/>
      <c r="S24" s="1932"/>
      <c r="T24" s="1932"/>
      <c r="U24" s="1932"/>
      <c r="V24" s="1932"/>
      <c r="W24" s="1932"/>
      <c r="X24" s="1932"/>
      <c r="Y24" s="1932"/>
      <c r="Z24" s="1932"/>
      <c r="AA24" s="1932"/>
      <c r="AB24" s="1932"/>
      <c r="AC24" s="1932"/>
      <c r="AD24" s="1932"/>
      <c r="AE24" s="1932"/>
      <c r="AF24" s="1932"/>
      <c r="AG24" s="1932"/>
    </row>
    <row r="25" spans="1:33" ht="18" customHeight="1" thickTop="1">
      <c r="A25" s="1566" t="s">
        <v>1830</v>
      </c>
      <c r="B25" s="766" t="s">
        <v>678</v>
      </c>
      <c r="C25" s="53"/>
      <c r="D25" s="251" t="s">
        <v>679</v>
      </c>
      <c r="E25" s="3275"/>
      <c r="F25" s="56"/>
      <c r="G25" s="1931"/>
      <c r="H25" s="1730" t="s">
        <v>1766</v>
      </c>
      <c r="I25" s="2709" t="s">
        <v>2795</v>
      </c>
      <c r="J25" s="774">
        <f ca="1">J5-J16</f>
        <v>0</v>
      </c>
      <c r="K25" s="2387" t="s">
        <v>694</v>
      </c>
      <c r="L25" s="2388"/>
      <c r="M25" s="2389"/>
    </row>
    <row r="26" spans="1:33" ht="18" customHeight="1">
      <c r="A26" s="1564" t="s">
        <v>1821</v>
      </c>
      <c r="B26" s="766" t="s">
        <v>2416</v>
      </c>
      <c r="C26" s="53">
        <f ca="1">ROUND((C19+C20)*F26,0)</f>
        <v>0</v>
      </c>
      <c r="D26" s="793" t="s">
        <v>695</v>
      </c>
      <c r="E26" s="777" t="s">
        <v>696</v>
      </c>
      <c r="F26" s="776">
        <f ca="1">INDIRECT("'数据-取费表'!q"&amp;$G$1)</f>
        <v>0.03</v>
      </c>
      <c r="G26" s="1931"/>
      <c r="H26" s="2341" t="s">
        <v>1770</v>
      </c>
      <c r="I26" s="2098" t="s">
        <v>2800</v>
      </c>
      <c r="J26" s="765">
        <f ca="1">IF(J5&lt;&gt;0,ROUND(J25*(1-((1+M28)/(1+M26))^M27)/(M26-M28),0),0)</f>
        <v>0</v>
      </c>
      <c r="K26" s="795" t="s">
        <v>698</v>
      </c>
      <c r="L26" s="766" t="s">
        <v>2398</v>
      </c>
      <c r="M26" s="776">
        <f ca="1">INDIRECT("'数据-取费表'!I"&amp;$G$1)</f>
        <v>0.05</v>
      </c>
    </row>
    <row r="27" spans="1:33" ht="18" customHeight="1">
      <c r="A27" s="1564" t="s">
        <v>1822</v>
      </c>
      <c r="B27" s="766" t="s">
        <v>680</v>
      </c>
      <c r="C27" s="53">
        <f ca="1">ROUND(F21*F26,4)</f>
        <v>1.5E-3</v>
      </c>
      <c r="D27" s="793" t="s">
        <v>700</v>
      </c>
      <c r="E27" s="788"/>
      <c r="F27" s="789"/>
      <c r="G27" s="1931"/>
      <c r="H27" s="2342"/>
      <c r="I27" s="769"/>
      <c r="J27" s="770"/>
      <c r="K27" s="802" t="s">
        <v>701</v>
      </c>
      <c r="L27" s="766" t="s">
        <v>702</v>
      </c>
      <c r="M27" s="803">
        <f ca="1">INDIRECT("'数据-取费表'!ag"&amp;$G$1)</f>
        <v>0</v>
      </c>
    </row>
    <row r="28" spans="1:33" s="1933" customFormat="1" ht="18" customHeight="1">
      <c r="A28" s="1566" t="s">
        <v>1831</v>
      </c>
      <c r="B28" s="766" t="s">
        <v>681</v>
      </c>
      <c r="C28" s="53">
        <f>ROUND(F28/(1+'数据-取费表'!C42),4)</f>
        <v>5.2400000000000002E-2</v>
      </c>
      <c r="D28" s="793" t="s">
        <v>2284</v>
      </c>
      <c r="E28" s="766" t="s">
        <v>643</v>
      </c>
      <c r="F28" s="791">
        <f>'数据-取费表'!B41</f>
        <v>5.5000000000000007E-2</v>
      </c>
      <c r="G28" s="3246"/>
      <c r="H28" s="1730"/>
      <c r="I28" s="773"/>
      <c r="J28" s="774"/>
      <c r="K28" s="797"/>
      <c r="L28" s="766" t="s">
        <v>704</v>
      </c>
      <c r="M28" s="776">
        <f ca="1">INDIRECT("'数据-取费表'!aa"&amp;$G$1)</f>
        <v>0</v>
      </c>
      <c r="N28" s="1932"/>
      <c r="O28" s="1932"/>
      <c r="P28" s="1932"/>
      <c r="Q28" s="2234"/>
      <c r="R28" s="1932"/>
      <c r="S28" s="1932"/>
      <c r="T28" s="1932"/>
      <c r="U28" s="1932"/>
      <c r="V28" s="1932"/>
      <c r="W28" s="1932"/>
      <c r="X28" s="1932"/>
      <c r="Y28" s="1932"/>
      <c r="Z28" s="1932"/>
      <c r="AA28" s="1932"/>
      <c r="AB28" s="1932"/>
      <c r="AC28" s="1932"/>
      <c r="AD28" s="1932"/>
      <c r="AE28" s="1932"/>
      <c r="AF28" s="1932"/>
      <c r="AG28" s="1932"/>
    </row>
    <row r="29" spans="1:33" s="1933" customFormat="1" ht="18" customHeight="1" thickBot="1">
      <c r="A29" s="2382" t="s">
        <v>1882</v>
      </c>
      <c r="B29" s="2380" t="s">
        <v>2285</v>
      </c>
      <c r="C29" s="2383">
        <f ca="1">ROUND((C19+C20+C23+C26)/(1-F21-C24-C27-C28),0)</f>
        <v>0</v>
      </c>
      <c r="D29" s="2384"/>
      <c r="E29" s="2385"/>
      <c r="F29" s="2386"/>
      <c r="G29" s="3246"/>
      <c r="H29" s="804" t="s">
        <v>1777</v>
      </c>
      <c r="I29" s="805" t="s">
        <v>1778</v>
      </c>
      <c r="J29" s="806">
        <f ca="1">ROUND(J26/(1+F40)^F41,0)</f>
        <v>0</v>
      </c>
      <c r="K29" s="807" t="s">
        <v>682</v>
      </c>
      <c r="L29" s="808"/>
      <c r="M29" s="809">
        <f ca="1">INDIRECT("'数据-取费表'!k"&amp;$G$1)</f>
        <v>0</v>
      </c>
      <c r="N29" s="1932"/>
      <c r="O29" s="1932"/>
      <c r="P29" s="1932"/>
      <c r="Q29" s="2234"/>
      <c r="R29" s="1932"/>
      <c r="S29" s="1932"/>
      <c r="T29" s="1932"/>
      <c r="U29" s="1932"/>
      <c r="V29" s="1932"/>
      <c r="W29" s="1932"/>
      <c r="X29" s="1932"/>
      <c r="Y29" s="1932"/>
      <c r="Z29" s="1932"/>
      <c r="AA29" s="1932"/>
      <c r="AB29" s="1932"/>
      <c r="AC29" s="1932"/>
      <c r="AD29" s="1932"/>
      <c r="AE29" s="1932"/>
      <c r="AF29" s="1932"/>
      <c r="AG29" s="1932"/>
    </row>
    <row r="30" spans="1:33" ht="18" customHeight="1" thickTop="1">
      <c r="A30" s="1730" t="s">
        <v>7</v>
      </c>
      <c r="B30" s="1728" t="s">
        <v>645</v>
      </c>
      <c r="C30" s="774">
        <f ca="1">ROUND(C31+C36+C37+C38,0)</f>
        <v>0</v>
      </c>
      <c r="D30" s="1722" t="s">
        <v>646</v>
      </c>
      <c r="E30" s="3268"/>
      <c r="F30" s="2330"/>
      <c r="G30" s="1931"/>
      <c r="H30" s="1934"/>
      <c r="I30" s="1935"/>
      <c r="J30" s="1936"/>
      <c r="K30" s="1937"/>
      <c r="L30" s="1938"/>
      <c r="M30" s="1939"/>
    </row>
    <row r="31" spans="1:33" ht="18" customHeight="1">
      <c r="A31" s="1565" t="s">
        <v>1814</v>
      </c>
      <c r="B31" s="766" t="s">
        <v>650</v>
      </c>
      <c r="C31" s="3004">
        <f ca="1">ROUND(IF(AND(项目基本情况!B11="自然人",项目基本情况!B10="北京市"),C6*F31/(1+'数据-取费表'!C42),C32+C33+C34),0)</f>
        <v>0</v>
      </c>
      <c r="D31" s="3266" t="s">
        <v>651</v>
      </c>
      <c r="E31" s="3264" t="s">
        <v>684</v>
      </c>
      <c r="F31" s="3003" t="str">
        <f>IF(项目基本情况!B11="企业","——",IF('数据-取费表'!B10="住宅",IF(F6*F7*F8/12/(1+'数据-取费表'!F30)&gt;100000,4%,2.5%),IF(F6*F7*F8/12/(1+'数据-取费表'!F30)&gt;100000,12%,7%)))</f>
        <v>——</v>
      </c>
      <c r="G31" s="1931"/>
      <c r="H31" s="3243" t="s">
        <v>2986</v>
      </c>
      <c r="I31" s="1935"/>
      <c r="J31" s="1936"/>
      <c r="K31" s="1937"/>
      <c r="L31" s="1938"/>
      <c r="M31" s="1939"/>
    </row>
    <row r="32" spans="1:33" ht="18" customHeight="1">
      <c r="A32" s="1564" t="s">
        <v>1821</v>
      </c>
      <c r="B32" s="766" t="s">
        <v>654</v>
      </c>
      <c r="C32" s="53">
        <f ca="1">ROUND(C6*F32/(1+'数据-取费表'!C42),1)</f>
        <v>0</v>
      </c>
      <c r="D32" s="3264" t="s">
        <v>655</v>
      </c>
      <c r="E32" s="766" t="s">
        <v>643</v>
      </c>
      <c r="F32" s="791">
        <f>'数据-取费表'!B41</f>
        <v>5.5000000000000007E-2</v>
      </c>
      <c r="G32" s="1931"/>
      <c r="H32" s="1940"/>
      <c r="I32" s="1941"/>
      <c r="J32" s="1942"/>
      <c r="K32" s="1943"/>
      <c r="L32" s="1944"/>
      <c r="M32" s="1945"/>
    </row>
    <row r="33" spans="1:18" ht="18" customHeight="1">
      <c r="A33" s="1564" t="s">
        <v>1822</v>
      </c>
      <c r="B33" s="766" t="s">
        <v>658</v>
      </c>
      <c r="C33" s="53">
        <f ca="1">IF(D33="按租金收入计税",ROUND(C6*F33/(1+'数据-取费表'!C42),1),IF(D33="按房产原值计税",ROUND(C29*F33*0.7,1),INDIRECT("'数据-取费表'!Aj"&amp;$G$1)))</f>
        <v>0</v>
      </c>
      <c r="D33" s="792" t="s">
        <v>3757</v>
      </c>
      <c r="E33" s="766" t="s">
        <v>643</v>
      </c>
      <c r="F33" s="791">
        <f>IF(D33="按租金收入计税",'数据-取费表'!B51,'数据-取费表'!B50)</f>
        <v>0.12</v>
      </c>
      <c r="G33" s="1931"/>
      <c r="H33" s="1946"/>
      <c r="I33" s="1946"/>
      <c r="J33" s="1946"/>
      <c r="K33" s="1947"/>
      <c r="L33" s="1946"/>
      <c r="M33" s="1946"/>
    </row>
    <row r="34" spans="1:18" ht="18" customHeight="1">
      <c r="A34" s="1567" t="s">
        <v>1823</v>
      </c>
      <c r="B34" s="331" t="s">
        <v>662</v>
      </c>
      <c r="C34" s="54">
        <f ca="1">ROUND(F34*F35/10000,1)</f>
        <v>0</v>
      </c>
      <c r="D34" s="795" t="s">
        <v>663</v>
      </c>
      <c r="E34" s="766" t="s">
        <v>664</v>
      </c>
      <c r="F34" s="624">
        <f>'数据-取费表'!B52</f>
        <v>12</v>
      </c>
      <c r="G34" s="1931"/>
      <c r="H34" s="1934"/>
      <c r="I34" s="816" t="s">
        <v>1803</v>
      </c>
      <c r="J34" s="817"/>
      <c r="K34" s="1949"/>
      <c r="L34" s="1948"/>
      <c r="M34" s="1948"/>
    </row>
    <row r="35" spans="1:18" ht="18" customHeight="1">
      <c r="A35" s="796"/>
      <c r="B35" s="775"/>
      <c r="C35" s="69"/>
      <c r="D35" s="797"/>
      <c r="E35" s="766" t="s">
        <v>668</v>
      </c>
      <c r="F35" s="767">
        <f ca="1">INDIRECT("'数据-取费表'!r"&amp;$G$1)</f>
        <v>0</v>
      </c>
      <c r="G35" s="1931"/>
      <c r="H35" s="1934"/>
      <c r="I35" s="818" t="s">
        <v>1804</v>
      </c>
      <c r="J35" s="819">
        <f ca="1">ROUND(C13*J36,0)</f>
        <v>0</v>
      </c>
      <c r="K35" s="1947"/>
      <c r="L35" s="1946"/>
      <c r="M35" s="1946"/>
    </row>
    <row r="36" spans="1:18" ht="18" customHeight="1">
      <c r="A36" s="1565" t="s">
        <v>1879</v>
      </c>
      <c r="B36" s="766" t="s">
        <v>670</v>
      </c>
      <c r="C36" s="53">
        <f ca="1">ROUND(C29*F36,1)</f>
        <v>0</v>
      </c>
      <c r="D36" s="3264" t="s">
        <v>685</v>
      </c>
      <c r="E36" s="766" t="s">
        <v>643</v>
      </c>
      <c r="F36" s="798">
        <f ca="1">INDIRECT("'数据-取费表'!Ak"&amp;$G$1)</f>
        <v>0.01</v>
      </c>
      <c r="G36" s="1931"/>
      <c r="H36" s="1946"/>
      <c r="I36" s="820" t="s">
        <v>1805</v>
      </c>
      <c r="J36" s="821">
        <f ca="1">INDIRECT("'数据-取费表'!j"&amp;$G$1)</f>
        <v>0</v>
      </c>
      <c r="K36" s="1950"/>
      <c r="L36" s="1946"/>
      <c r="M36" s="1946"/>
    </row>
    <row r="37" spans="1:18" ht="18" customHeight="1">
      <c r="A37" s="1565" t="s">
        <v>1880</v>
      </c>
      <c r="B37" s="766" t="s">
        <v>673</v>
      </c>
      <c r="C37" s="53">
        <f ca="1">ROUND(C13*F37,1)</f>
        <v>0</v>
      </c>
      <c r="D37" s="3264" t="s">
        <v>674</v>
      </c>
      <c r="E37" s="766" t="s">
        <v>643</v>
      </c>
      <c r="F37" s="799">
        <f ca="1">INDIRECT("'数据-取费表'!Al"&amp;$G$1)</f>
        <v>1E-3</v>
      </c>
      <c r="G37" s="1931"/>
      <c r="H37" s="1946"/>
      <c r="I37" s="822" t="s">
        <v>1806</v>
      </c>
      <c r="J37" s="823"/>
      <c r="K37" s="1950"/>
      <c r="L37" s="1946"/>
      <c r="M37" s="1946"/>
    </row>
    <row r="38" spans="1:18" ht="18" customHeight="1" thickBot="1">
      <c r="A38" s="2390" t="s">
        <v>1881</v>
      </c>
      <c r="B38" s="2385" t="s">
        <v>660</v>
      </c>
      <c r="C38" s="2383">
        <f ca="1">ROUND(C5*F38,1)</f>
        <v>0</v>
      </c>
      <c r="D38" s="2384" t="s">
        <v>677</v>
      </c>
      <c r="E38" s="2385" t="s">
        <v>643</v>
      </c>
      <c r="F38" s="2381">
        <f ca="1">INDIRECT("'数据-取费表'!Am"&amp;$G$1)</f>
        <v>0.01</v>
      </c>
      <c r="G38" s="1931"/>
      <c r="H38" s="1946"/>
      <c r="I38" s="824" t="s">
        <v>1807</v>
      </c>
      <c r="J38" s="825"/>
      <c r="K38" s="1951"/>
      <c r="L38" s="1946"/>
      <c r="M38" s="1946"/>
    </row>
    <row r="39" spans="1:18" ht="24.6" customHeight="1" thickTop="1">
      <c r="A39" s="1730" t="s">
        <v>1766</v>
      </c>
      <c r="B39" s="2709" t="s">
        <v>2795</v>
      </c>
      <c r="C39" s="774">
        <f ca="1">C5-C30</f>
        <v>0</v>
      </c>
      <c r="D39" s="2387" t="s">
        <v>694</v>
      </c>
      <c r="E39" s="2388"/>
      <c r="F39" s="2389"/>
      <c r="G39" s="1931"/>
      <c r="H39" s="1946"/>
      <c r="I39" s="818" t="s">
        <v>1808</v>
      </c>
      <c r="J39" s="826" t="e">
        <f ca="1">ROUND(J35/C39,3)</f>
        <v>#DIV/0!</v>
      </c>
      <c r="K39" s="1951"/>
      <c r="L39" s="1946"/>
      <c r="M39" s="1946"/>
    </row>
    <row r="40" spans="1:18" ht="18" customHeight="1">
      <c r="A40" s="763" t="s">
        <v>1770</v>
      </c>
      <c r="B40" s="2098" t="s">
        <v>2286</v>
      </c>
      <c r="C40" s="765">
        <f ca="1">ROUND(C39*(1-((1+F42)/(1+F40))^F41)/(F40-F42),0)</f>
        <v>0</v>
      </c>
      <c r="D40" s="795" t="s">
        <v>698</v>
      </c>
      <c r="E40" s="766" t="s">
        <v>2398</v>
      </c>
      <c r="F40" s="776">
        <f ca="1">INDIRECT("'数据-取费表'!I"&amp;$G$1)</f>
        <v>0.05</v>
      </c>
      <c r="G40" s="1931"/>
      <c r="H40" s="1931"/>
      <c r="I40" s="818" t="s">
        <v>1809</v>
      </c>
      <c r="J40" s="826" t="e">
        <f ca="1">1-J39</f>
        <v>#DIV/0!</v>
      </c>
      <c r="K40" s="1951"/>
      <c r="L40" s="1931"/>
      <c r="M40" s="1931"/>
    </row>
    <row r="41" spans="1:18" ht="18" customHeight="1">
      <c r="A41" s="768"/>
      <c r="B41" s="769"/>
      <c r="C41" s="770"/>
      <c r="D41" s="802" t="s">
        <v>1798</v>
      </c>
      <c r="E41" s="766" t="s">
        <v>702</v>
      </c>
      <c r="F41" s="803">
        <f ca="1">IF(INDIRECT("'数据-取费表'!af"&amp;$G$1)=0,INDIRECT("'数据-取费表'!ae"&amp;$G$1),INDIRECT("'数据-取费表'!af"&amp;$G$1))</f>
        <v>37</v>
      </c>
      <c r="G41" s="1931"/>
      <c r="H41" s="1886"/>
      <c r="I41" s="824" t="s">
        <v>1810</v>
      </c>
      <c r="J41" s="827"/>
      <c r="K41" s="1950"/>
      <c r="L41" s="1886"/>
      <c r="M41" s="1886"/>
    </row>
    <row r="42" spans="1:18" ht="18" customHeight="1">
      <c r="A42" s="772"/>
      <c r="B42" s="773"/>
      <c r="C42" s="774"/>
      <c r="D42" s="797"/>
      <c r="E42" s="766" t="s">
        <v>704</v>
      </c>
      <c r="F42" s="776">
        <f ca="1">INDIRECT("'数据-取费表'!v"&amp;$G$1)</f>
        <v>2.5000000000000001E-2</v>
      </c>
      <c r="G42" s="1931"/>
      <c r="H42" s="1886"/>
      <c r="I42" s="828" t="s">
        <v>1811</v>
      </c>
      <c r="J42" s="826" t="e">
        <f ca="1">ROUND(C13/C40,3)</f>
        <v>#DIV/0!</v>
      </c>
      <c r="K42" s="1950"/>
      <c r="L42" s="1886"/>
      <c r="M42" s="1886"/>
    </row>
    <row r="43" spans="1:18" ht="18" customHeight="1" thickBot="1">
      <c r="A43" s="804" t="s">
        <v>1777</v>
      </c>
      <c r="B43" s="805" t="s">
        <v>1800</v>
      </c>
      <c r="C43" s="806" t="e">
        <f ca="1">ROUND(C40*10000/F43,0)</f>
        <v>#DIV/0!</v>
      </c>
      <c r="D43" s="807" t="s">
        <v>1801</v>
      </c>
      <c r="E43" s="808" t="s">
        <v>1802</v>
      </c>
      <c r="F43" s="809">
        <f ca="1">INDIRECT("'数据-取费表'!k"&amp;$G$1)</f>
        <v>0</v>
      </c>
      <c r="G43" s="1931"/>
      <c r="H43" s="1886"/>
      <c r="I43" s="828" t="s">
        <v>1812</v>
      </c>
      <c r="J43" s="829" t="e">
        <f ca="1">1-J42</f>
        <v>#DIV/0!</v>
      </c>
      <c r="K43" s="1950"/>
      <c r="L43" s="1886"/>
      <c r="M43" s="1886"/>
    </row>
    <row r="44" spans="1:18" s="1928" customFormat="1" ht="18" customHeight="1">
      <c r="A44" s="1953"/>
      <c r="B44" s="1953"/>
      <c r="C44" s="1970"/>
      <c r="D44" s="1953"/>
      <c r="E44" s="1953"/>
      <c r="F44" s="1953"/>
      <c r="K44" s="1954"/>
      <c r="Q44" s="1965"/>
    </row>
    <row r="45" spans="1:18" s="1928" customFormat="1" ht="18" customHeight="1" thickBot="1">
      <c r="A45" s="1953"/>
      <c r="B45" s="1953"/>
      <c r="C45" s="1970"/>
      <c r="D45" s="1953"/>
      <c r="E45" s="1953"/>
      <c r="F45" s="1953"/>
      <c r="K45" s="1954"/>
      <c r="Q45" s="1965"/>
    </row>
    <row r="46" spans="1:18" s="1928" customFormat="1" ht="18" customHeight="1" thickBot="1">
      <c r="A46" s="2096" t="s">
        <v>2280</v>
      </c>
      <c r="B46" s="1953"/>
      <c r="C46" s="2412">
        <f ca="1">C67-C40</f>
        <v>0</v>
      </c>
      <c r="D46" s="3247"/>
      <c r="E46" s="3247"/>
      <c r="F46" s="3247"/>
      <c r="I46" s="2219" t="s">
        <v>2322</v>
      </c>
      <c r="J46" s="2220"/>
      <c r="K46" s="2221"/>
      <c r="L46" s="2796">
        <f>IF(OR(M47="住宅",D1="土地（套用方法）"),0,IF(L48&gt;J51,L60,J60))</f>
        <v>0</v>
      </c>
      <c r="M46" s="3248"/>
      <c r="O46" s="2235" t="s">
        <v>2389</v>
      </c>
      <c r="P46" s="1514"/>
      <c r="Q46" s="1522"/>
      <c r="R46" s="1514"/>
    </row>
    <row r="47" spans="1:18" s="1928" customFormat="1" ht="18" customHeight="1" thickBot="1">
      <c r="A47" s="2213">
        <v>1</v>
      </c>
      <c r="B47" s="2214" t="s">
        <v>629</v>
      </c>
      <c r="C47" s="2412">
        <f ca="1">C48+C52+C54</f>
        <v>0</v>
      </c>
      <c r="D47" s="3247"/>
      <c r="E47" s="3247"/>
      <c r="F47" s="3247"/>
      <c r="I47" s="2787" t="s">
        <v>2323</v>
      </c>
      <c r="J47" s="2222" t="s">
        <v>3755</v>
      </c>
      <c r="K47" s="2793" t="s">
        <v>2328</v>
      </c>
      <c r="L47" s="2797">
        <f ca="1">INDIRECT("'数据-取费表'!d"&amp;$G$1)</f>
        <v>40</v>
      </c>
      <c r="M47" s="1522" t="str">
        <f>IF(ISNUMBER(FIND("住宅",C1)),"住宅","非住宅")</f>
        <v>非住宅</v>
      </c>
      <c r="O47" s="2236" t="s">
        <v>2354</v>
      </c>
      <c r="P47" s="2237" t="s">
        <v>2355</v>
      </c>
      <c r="Q47" s="2238" t="s">
        <v>2356</v>
      </c>
      <c r="R47" s="2237" t="s">
        <v>2357</v>
      </c>
    </row>
    <row r="48" spans="1:18" s="1928" customFormat="1" ht="18" customHeight="1" thickBot="1">
      <c r="A48" s="2470" t="s">
        <v>1860</v>
      </c>
      <c r="B48" s="2471" t="s">
        <v>2514</v>
      </c>
      <c r="C48" s="2215">
        <f ca="1">ROUND(F48*F50*F49*(1-F51)/10000,0)</f>
        <v>0</v>
      </c>
      <c r="D48" s="2216" t="s">
        <v>630</v>
      </c>
      <c r="E48" s="2217" t="s">
        <v>2281</v>
      </c>
      <c r="F48" s="2218"/>
      <c r="G48" s="1958"/>
      <c r="I48" s="2784" t="s">
        <v>2324</v>
      </c>
      <c r="J48" s="2223" t="s">
        <v>2329</v>
      </c>
      <c r="K48" s="2794" t="s">
        <v>2330</v>
      </c>
      <c r="L48" s="1808">
        <f ca="1">INDIRECT("'数据-取费表'!f"&amp;$G$1)</f>
        <v>40</v>
      </c>
      <c r="M48" s="3248"/>
      <c r="O48" s="2239" t="s">
        <v>2358</v>
      </c>
      <c r="P48" s="2240" t="s">
        <v>2384</v>
      </c>
      <c r="Q48" s="2241">
        <f ca="1">C40+J29</f>
        <v>0</v>
      </c>
      <c r="R48" s="2240" t="s">
        <v>2359</v>
      </c>
    </row>
    <row r="49" spans="1:18" s="1928" customFormat="1" ht="18" customHeight="1" thickBot="1">
      <c r="A49" s="768"/>
      <c r="B49" s="769"/>
      <c r="C49" s="770"/>
      <c r="D49" s="771"/>
      <c r="E49" s="766" t="s">
        <v>632</v>
      </c>
      <c r="F49" s="767">
        <f ca="1">F7</f>
        <v>0</v>
      </c>
      <c r="G49" s="1958"/>
      <c r="H49" s="1961"/>
      <c r="I49" s="2784" t="s">
        <v>2325</v>
      </c>
      <c r="J49" s="2224"/>
      <c r="K49" s="2795" t="s">
        <v>2331</v>
      </c>
      <c r="L49" s="2225"/>
      <c r="M49" s="3248"/>
      <c r="O49" s="2239" t="s">
        <v>2360</v>
      </c>
      <c r="P49" s="2240" t="s">
        <v>2385</v>
      </c>
      <c r="Q49" s="2241" t="str">
        <f ca="1">J60</f>
        <v>0</v>
      </c>
      <c r="R49" s="2240" t="s">
        <v>2361</v>
      </c>
    </row>
    <row r="50" spans="1:18" s="1928" customFormat="1" ht="18" customHeight="1" thickBot="1">
      <c r="A50" s="768"/>
      <c r="B50" s="769"/>
      <c r="C50" s="770"/>
      <c r="D50" s="771"/>
      <c r="E50" s="766" t="s">
        <v>633</v>
      </c>
      <c r="F50" s="767">
        <f ca="1">F8</f>
        <v>12</v>
      </c>
      <c r="G50" s="1963"/>
      <c r="H50" s="1961"/>
      <c r="I50" s="2784" t="s">
        <v>2326</v>
      </c>
      <c r="J50" s="2791">
        <f>SUMPRODUCT((I63:I65=J47)*(J62:L62=J48)*(J63:L65))</f>
        <v>60</v>
      </c>
      <c r="K50" s="2795" t="s">
        <v>2332</v>
      </c>
      <c r="L50" s="2225"/>
      <c r="M50" s="3248"/>
      <c r="O50" s="2242" t="s">
        <v>2362</v>
      </c>
      <c r="P50" s="2240" t="s">
        <v>2386</v>
      </c>
      <c r="Q50" s="2241">
        <f ca="1">C29</f>
        <v>0</v>
      </c>
      <c r="R50" s="2240" t="s">
        <v>2359</v>
      </c>
    </row>
    <row r="51" spans="1:18" s="1928" customFormat="1" ht="18" customHeight="1" thickBot="1">
      <c r="A51" s="768"/>
      <c r="B51" s="769"/>
      <c r="C51" s="770"/>
      <c r="D51" s="771"/>
      <c r="E51" s="766" t="s">
        <v>634</v>
      </c>
      <c r="F51" s="2212"/>
      <c r="H51" s="1961"/>
      <c r="I51" s="2788" t="s">
        <v>2327</v>
      </c>
      <c r="J51" s="2792">
        <f>IF(J49="",J50,J49+J50-YEAR('数据-取费表'!B2))</f>
        <v>60</v>
      </c>
      <c r="K51" s="2784" t="s">
        <v>2333</v>
      </c>
      <c r="L51" s="2798">
        <f ca="1">ROUND(-PV(INDIRECT("'数据-取费表'!h"&amp;$G$1),J51,(C39-C13*J36),0),0)</f>
        <v>0</v>
      </c>
      <c r="M51" s="3248"/>
      <c r="O51" s="2242" t="s">
        <v>2363</v>
      </c>
      <c r="P51" s="2240" t="s">
        <v>2364</v>
      </c>
      <c r="Q51" s="2243" t="e">
        <f ca="1">J58</f>
        <v>#VALUE!</v>
      </c>
      <c r="R51" s="2244"/>
    </row>
    <row r="52" spans="1:18" s="1928" customFormat="1" ht="18" customHeight="1" thickBot="1">
      <c r="A52" s="763" t="s">
        <v>2512</v>
      </c>
      <c r="B52" s="2333" t="s">
        <v>2435</v>
      </c>
      <c r="C52" s="781">
        <f ca="1">ROUND(IF(F52="押一",C48/12*F11,IF(F52="押二",C48/12*2*F11,IF(F52="押三",C48/12*3*F11,C53*F11))),0)</f>
        <v>0</v>
      </c>
      <c r="D52" s="2340" t="s">
        <v>2928</v>
      </c>
      <c r="E52" s="2337" t="s">
        <v>2440</v>
      </c>
      <c r="F52" s="2451"/>
      <c r="I52" s="2789" t="s">
        <v>2400</v>
      </c>
      <c r="J52" s="2226"/>
      <c r="K52" s="2789" t="s">
        <v>2399</v>
      </c>
      <c r="L52" s="2226"/>
      <c r="M52" s="3248"/>
      <c r="O52" s="2242" t="s">
        <v>2365</v>
      </c>
      <c r="P52" s="2240" t="s">
        <v>2366</v>
      </c>
      <c r="Q52" s="2243">
        <f>J52</f>
        <v>0</v>
      </c>
      <c r="R52" s="2244"/>
    </row>
    <row r="53" spans="1:18" s="1928" customFormat="1" ht="39.75" customHeight="1" thickBot="1">
      <c r="A53" s="768"/>
      <c r="B53" s="2334" t="s">
        <v>2549</v>
      </c>
      <c r="C53" s="2338"/>
      <c r="D53" s="2340"/>
      <c r="E53" s="2337"/>
      <c r="F53" s="782"/>
      <c r="I53" s="2790" t="s">
        <v>2932</v>
      </c>
      <c r="J53" s="2843">
        <f ca="1">IF(M47="住宅",IF(D1="——",MAX(J51,L48),MAX(J51,L48-'数据-取费表'!B20)),IF(D1="——",MIN(J51,L48),MIN(J51,L48-'数据-取费表'!B20)))</f>
        <v>37</v>
      </c>
      <c r="K53" s="3966" t="s">
        <v>2921</v>
      </c>
      <c r="L53" s="3967"/>
      <c r="M53" s="3248"/>
      <c r="O53" s="2242" t="s">
        <v>2367</v>
      </c>
      <c r="P53" s="2240" t="s">
        <v>2368</v>
      </c>
      <c r="Q53" s="2241">
        <f ca="1">J53</f>
        <v>37</v>
      </c>
      <c r="R53" s="2240" t="s">
        <v>2369</v>
      </c>
    </row>
    <row r="54" spans="1:18" s="1928" customFormat="1" ht="18" customHeight="1" thickBot="1">
      <c r="A54" s="2376" t="s">
        <v>2443</v>
      </c>
      <c r="B54" s="2377" t="s">
        <v>2436</v>
      </c>
      <c r="C54" s="2378"/>
      <c r="D54" s="2340"/>
      <c r="E54" s="2337"/>
      <c r="F54" s="782"/>
      <c r="I54" s="192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54"/>
      <c r="M54" s="3248"/>
      <c r="O54" s="2239" t="s">
        <v>2370</v>
      </c>
      <c r="P54" s="2240" t="s">
        <v>2387</v>
      </c>
      <c r="Q54" s="2241">
        <f ca="1">Q48+Q49</f>
        <v>0</v>
      </c>
      <c r="R54" s="2244" t="s">
        <v>2371</v>
      </c>
    </row>
    <row r="55" spans="1:18" s="1928" customFormat="1" ht="18" customHeight="1" thickTop="1" thickBot="1">
      <c r="A55" s="779">
        <v>2</v>
      </c>
      <c r="B55" s="780" t="s">
        <v>638</v>
      </c>
      <c r="C55" s="781">
        <f ca="1">C13</f>
        <v>0</v>
      </c>
      <c r="D55" s="777"/>
      <c r="E55" s="777"/>
      <c r="F55" s="782"/>
      <c r="I55" s="2801" t="s">
        <v>2334</v>
      </c>
      <c r="J55" s="2773" t="e">
        <f ca="1">ROUND(IF(J47="钢混",J57/J50,1-(1-2%)*(J50-J57)/J50),3)</f>
        <v>#VALUE!</v>
      </c>
      <c r="K55" s="2802" t="s">
        <v>2335</v>
      </c>
      <c r="L55" s="2227"/>
      <c r="M55" s="3248"/>
      <c r="O55" s="2245" t="s">
        <v>2390</v>
      </c>
      <c r="P55" s="1514"/>
      <c r="Q55" s="1522"/>
      <c r="R55" s="1514"/>
    </row>
    <row r="56" spans="1:18" s="1928" customFormat="1" ht="42.75" customHeight="1" thickBot="1">
      <c r="A56" s="1566"/>
      <c r="B56" s="2097" t="s">
        <v>2285</v>
      </c>
      <c r="C56" s="53">
        <f ca="1">C29</f>
        <v>0</v>
      </c>
      <c r="D56" s="3264"/>
      <c r="E56" s="766"/>
      <c r="F56" s="791"/>
      <c r="I56" s="2803" t="s">
        <v>2336</v>
      </c>
      <c r="J56" s="2813" t="s">
        <v>1668</v>
      </c>
      <c r="K56" s="2784" t="s">
        <v>2341</v>
      </c>
      <c r="L56" s="1808" t="str">
        <f ca="1">IF(L48&lt;J51,"——",L48-J51)</f>
        <v>——</v>
      </c>
      <c r="M56" s="3248"/>
      <c r="O56" s="2236" t="s">
        <v>2354</v>
      </c>
      <c r="P56" s="2237" t="s">
        <v>2355</v>
      </c>
      <c r="Q56" s="2238" t="s">
        <v>2356</v>
      </c>
      <c r="R56" s="2237" t="s">
        <v>2357</v>
      </c>
    </row>
    <row r="57" spans="1:18" s="1928" customFormat="1" ht="28.5" customHeight="1" thickBot="1">
      <c r="A57" s="779" t="s">
        <v>7</v>
      </c>
      <c r="B57" s="780" t="s">
        <v>645</v>
      </c>
      <c r="C57" s="781">
        <f ca="1">ROUND(C58+C63+C64+C65,0)</f>
        <v>0</v>
      </c>
      <c r="D57" s="26" t="s">
        <v>646</v>
      </c>
      <c r="E57" s="3275"/>
      <c r="F57" s="56"/>
      <c r="I57" s="2804" t="s">
        <v>2337</v>
      </c>
      <c r="J57" s="2805" t="str">
        <f ca="1">IF(OR(M47="住宅",J51&lt;L48,J56="是"),"——",J51-L48)</f>
        <v>——</v>
      </c>
      <c r="K57" s="2784" t="s">
        <v>2342</v>
      </c>
      <c r="L57" s="1808" t="str">
        <f ca="1">IF(L48&lt;J51,"——",IF(L55="比较法",L49,IF(L55="基准地价",L50,L51)))</f>
        <v>——</v>
      </c>
      <c r="M57" s="3248"/>
      <c r="O57" s="2239" t="s">
        <v>2358</v>
      </c>
      <c r="P57" s="2240" t="s">
        <v>2384</v>
      </c>
      <c r="Q57" s="2241">
        <f ca="1">C40+J29</f>
        <v>0</v>
      </c>
      <c r="R57" s="2240" t="s">
        <v>2359</v>
      </c>
    </row>
    <row r="58" spans="1:18" s="1928" customFormat="1" ht="28.5" customHeight="1" thickBot="1">
      <c r="A58" s="1565" t="s">
        <v>1814</v>
      </c>
      <c r="B58" s="766" t="s">
        <v>650</v>
      </c>
      <c r="C58" s="3004">
        <f ca="1">ROUND(IF(AND(项目基本情况!B11="自然人",项目基本情况!B10="北京市"),C48*F58/(1+'数据-取费表'!C42),C59+C60+C61),0)</f>
        <v>0</v>
      </c>
      <c r="D58" s="3266" t="s">
        <v>651</v>
      </c>
      <c r="E58" s="3264" t="s">
        <v>684</v>
      </c>
      <c r="F58" s="3003" t="str">
        <f>IF(项目基本情况!B11="企业","——",IF('数据-取费表'!B10="住宅",IF(F48*F49*F50/12/(1+'数据-取费表'!F30)&gt;100000,4%,2.5%),IF(F48*F49*F50/12/(1+'数据-取费表'!F30)&gt;100000,12%,7%)))</f>
        <v>——</v>
      </c>
      <c r="I58" s="2804" t="s">
        <v>2338</v>
      </c>
      <c r="J58" s="2774" t="e">
        <f ca="1">IF(J55&lt;0.4,0.4,J55)</f>
        <v>#VALUE!</v>
      </c>
      <c r="K58" s="2784" t="s">
        <v>2343</v>
      </c>
      <c r="L58" s="1808" t="e">
        <f ca="1">ROUND(POWER(1+L52,L47-L48)*(POWER(1+L52,L48)-1)/(POWER(1+L52,L47)-1),4)</f>
        <v>#DIV/0!</v>
      </c>
      <c r="M58" s="3248"/>
      <c r="O58" s="2239" t="s">
        <v>2360</v>
      </c>
      <c r="P58" s="2240" t="s">
        <v>2391</v>
      </c>
      <c r="Q58" s="2241">
        <f ca="1">L60</f>
        <v>0</v>
      </c>
      <c r="R58" s="2244" t="s">
        <v>2393</v>
      </c>
    </row>
    <row r="59" spans="1:18" s="1928" customFormat="1" ht="28.5" customHeight="1" thickBot="1">
      <c r="A59" s="1564" t="s">
        <v>1821</v>
      </c>
      <c r="B59" s="766" t="s">
        <v>654</v>
      </c>
      <c r="C59" s="53">
        <f ca="1">ROUND(C47*F59/1.05,1)</f>
        <v>0</v>
      </c>
      <c r="D59" s="3264" t="s">
        <v>655</v>
      </c>
      <c r="E59" s="766" t="s">
        <v>643</v>
      </c>
      <c r="F59" s="791">
        <f t="shared" ref="F59:F65" si="0">F32</f>
        <v>5.5000000000000007E-2</v>
      </c>
      <c r="I59" s="2804" t="s">
        <v>2339</v>
      </c>
      <c r="J59" s="2805" t="str">
        <f ca="1">IF(OR(M47="住宅",J51&lt;L48,J56="是"),"——",ROUND(C29*J58,0))</f>
        <v>——</v>
      </c>
      <c r="K59" s="2784" t="str">
        <f>IF(D1="——","建筑物剩余耐用年限下的土地年期修正系数Kn","建设期及建筑物耐用年限下的土地年期修正系数Kn")</f>
        <v>建设期及建筑物耐用年限下的土地年期修正系数Kn</v>
      </c>
      <c r="L59" s="1808" t="e">
        <f ca="1">ROUND(IF(D1="土地（套用方法）",POWER(1+L52,L47-(J51+'数据-取费表'!B20))*(POWER(1+L52,(J51+'数据-取费表'!B20))-1)/(POWER(1+L52,L47)-1),POWER(1+L52,L47-J51)*(POWER(1+L52,J51)-1)/(POWER(1+L52,L47)-1)),4)</f>
        <v>#DIV/0!</v>
      </c>
      <c r="M59" s="3248"/>
      <c r="O59" s="2242" t="s">
        <v>2362</v>
      </c>
      <c r="P59" s="2240" t="s">
        <v>2392</v>
      </c>
      <c r="Q59" s="2241">
        <f>IF(L55="比较法",L49,IF(L55="基准地价",L50,0))</f>
        <v>0</v>
      </c>
      <c r="R59" s="2240" t="s">
        <v>2359</v>
      </c>
    </row>
    <row r="60" spans="1:18" s="1928" customFormat="1" ht="18" customHeight="1" thickBot="1">
      <c r="A60" s="1564" t="s">
        <v>1822</v>
      </c>
      <c r="B60" s="766" t="s">
        <v>658</v>
      </c>
      <c r="C60" s="53">
        <f ca="1">IF(D60="按租金收入计税",ROUND(C47*F60,1),IF(D60="按房产原值计税",ROUND(C56*F60*0.7,1),INDIRECT("'数据-取费表'!Aj"&amp;$G$1)))</f>
        <v>0</v>
      </c>
      <c r="D60" s="3264" t="str">
        <f>D33</f>
        <v>按租金收入计税</v>
      </c>
      <c r="E60" s="766" t="s">
        <v>643</v>
      </c>
      <c r="F60" s="791">
        <f t="shared" si="0"/>
        <v>0.12</v>
      </c>
      <c r="I60" s="2806" t="s">
        <v>2340</v>
      </c>
      <c r="J60" s="2807" t="str">
        <f ca="1">IF(OR(M47="住宅",J51&lt;L48,J56="是"),"0",ROUND(J59/(1+J52)^J53,0))</f>
        <v>0</v>
      </c>
      <c r="K60" s="2808" t="s">
        <v>2345</v>
      </c>
      <c r="L60" s="2807">
        <f ca="1">IF(OR(M47="住宅",L48&lt;J51),0,ROUND(L57*(L58/L59-1),0))</f>
        <v>0</v>
      </c>
      <c r="M60" s="3248"/>
      <c r="O60" s="2242" t="s">
        <v>2363</v>
      </c>
      <c r="P60" s="2240" t="s">
        <v>2372</v>
      </c>
      <c r="Q60" s="2243">
        <f>L52</f>
        <v>0</v>
      </c>
      <c r="R60" s="2244"/>
    </row>
    <row r="61" spans="1:18" s="1928" customFormat="1" ht="18" customHeight="1" thickBot="1">
      <c r="A61" s="1567" t="s">
        <v>1823</v>
      </c>
      <c r="B61" s="331" t="s">
        <v>662</v>
      </c>
      <c r="C61" s="54">
        <f ca="1">ROUND(F61*F62/10000,1)</f>
        <v>0</v>
      </c>
      <c r="D61" s="795" t="s">
        <v>663</v>
      </c>
      <c r="E61" s="766" t="s">
        <v>664</v>
      </c>
      <c r="F61" s="624">
        <f t="shared" si="0"/>
        <v>12</v>
      </c>
      <c r="K61" s="1954"/>
      <c r="O61" s="2242" t="s">
        <v>2365</v>
      </c>
      <c r="P61" s="2240" t="s">
        <v>2373</v>
      </c>
      <c r="Q61" s="2241" t="e">
        <f ca="1">L58</f>
        <v>#DIV/0!</v>
      </c>
      <c r="R61" s="2244" t="s">
        <v>2374</v>
      </c>
    </row>
    <row r="62" spans="1:18" s="1928" customFormat="1" ht="15.75" thickBot="1">
      <c r="A62" s="796"/>
      <c r="B62" s="775"/>
      <c r="C62" s="69"/>
      <c r="D62" s="797"/>
      <c r="E62" s="766" t="s">
        <v>668</v>
      </c>
      <c r="F62" s="767">
        <f t="shared" ca="1" si="0"/>
        <v>0</v>
      </c>
      <c r="I62" s="2809" t="s">
        <v>2346</v>
      </c>
      <c r="J62" s="2810" t="s">
        <v>2347</v>
      </c>
      <c r="K62" s="2810" t="s">
        <v>2348</v>
      </c>
      <c r="L62" s="2810" t="s">
        <v>2329</v>
      </c>
      <c r="M62" s="2811" t="s">
        <v>2900</v>
      </c>
      <c r="O62" s="2242" t="s">
        <v>2367</v>
      </c>
      <c r="P62" s="2240" t="str">
        <f>K59</f>
        <v>建设期及建筑物耐用年限下的土地年期修正系数Kn</v>
      </c>
      <c r="Q62" s="2241" t="e">
        <f ca="1">L59</f>
        <v>#DIV/0!</v>
      </c>
      <c r="R62" s="2244" t="s">
        <v>2376</v>
      </c>
    </row>
    <row r="63" spans="1:18" s="1928" customFormat="1" ht="15.75" thickBot="1">
      <c r="A63" s="1565" t="s">
        <v>1879</v>
      </c>
      <c r="B63" s="766" t="s">
        <v>670</v>
      </c>
      <c r="C63" s="53">
        <f ca="1">ROUND(C56*F63,1)</f>
        <v>0</v>
      </c>
      <c r="D63" s="3264" t="s">
        <v>685</v>
      </c>
      <c r="E63" s="766" t="s">
        <v>643</v>
      </c>
      <c r="F63" s="798">
        <f t="shared" ca="1" si="0"/>
        <v>0.01</v>
      </c>
      <c r="I63" s="2809" t="s">
        <v>2349</v>
      </c>
      <c r="J63" s="2810">
        <v>70</v>
      </c>
      <c r="K63" s="2810">
        <v>50</v>
      </c>
      <c r="L63" s="2810">
        <v>80</v>
      </c>
      <c r="M63" s="2812">
        <v>0.02</v>
      </c>
      <c r="O63" s="2239" t="s">
        <v>2370</v>
      </c>
      <c r="P63" s="2240" t="s">
        <v>2387</v>
      </c>
      <c r="Q63" s="2241">
        <f ca="1">Q57+Q58</f>
        <v>0</v>
      </c>
      <c r="R63" s="2244" t="s">
        <v>2371</v>
      </c>
    </row>
    <row r="64" spans="1:18" s="1928" customFormat="1" ht="16.5" thickBot="1">
      <c r="A64" s="1565" t="s">
        <v>1880</v>
      </c>
      <c r="B64" s="766" t="s">
        <v>673</v>
      </c>
      <c r="C64" s="53">
        <f ca="1">ROUND(C55*F64,1)</f>
        <v>0</v>
      </c>
      <c r="D64" s="3264" t="s">
        <v>674</v>
      </c>
      <c r="E64" s="766" t="s">
        <v>643</v>
      </c>
      <c r="F64" s="799">
        <f t="shared" ca="1" si="0"/>
        <v>1E-3</v>
      </c>
      <c r="I64" s="2809" t="s">
        <v>2350</v>
      </c>
      <c r="J64" s="2810">
        <v>50</v>
      </c>
      <c r="K64" s="2810">
        <v>35</v>
      </c>
      <c r="L64" s="2810">
        <v>60</v>
      </c>
      <c r="M64" s="827">
        <v>0</v>
      </c>
      <c r="O64" s="2245" t="s">
        <v>2394</v>
      </c>
      <c r="P64" s="1514"/>
      <c r="Q64" s="1522"/>
      <c r="R64" s="1514"/>
    </row>
    <row r="65" spans="1:18" s="1928" customFormat="1" ht="15.75" thickBot="1">
      <c r="A65" s="1565" t="s">
        <v>1881</v>
      </c>
      <c r="B65" s="766" t="s">
        <v>660</v>
      </c>
      <c r="C65" s="53">
        <f ca="1">ROUND(C47*F65,1)</f>
        <v>0</v>
      </c>
      <c r="D65" s="3264" t="s">
        <v>677</v>
      </c>
      <c r="E65" s="766" t="s">
        <v>643</v>
      </c>
      <c r="F65" s="776">
        <f t="shared" ca="1" si="0"/>
        <v>0.01</v>
      </c>
      <c r="I65" s="2809" t="s">
        <v>2351</v>
      </c>
      <c r="J65" s="2810">
        <v>40</v>
      </c>
      <c r="K65" s="2810">
        <v>30</v>
      </c>
      <c r="L65" s="2810">
        <v>50</v>
      </c>
      <c r="M65" s="2812">
        <v>0.02</v>
      </c>
      <c r="O65" s="2236" t="s">
        <v>2354</v>
      </c>
      <c r="P65" s="2237" t="s">
        <v>2355</v>
      </c>
      <c r="Q65" s="2238" t="s">
        <v>2356</v>
      </c>
      <c r="R65" s="2237" t="s">
        <v>2357</v>
      </c>
    </row>
    <row r="66" spans="1:18" s="1928" customFormat="1" ht="24.75" thickBot="1">
      <c r="A66" s="779" t="s">
        <v>1766</v>
      </c>
      <c r="B66" s="2710" t="s">
        <v>2795</v>
      </c>
      <c r="C66" s="781">
        <f ca="1">C47-C57</f>
        <v>0</v>
      </c>
      <c r="D66" s="3266" t="s">
        <v>694</v>
      </c>
      <c r="E66" s="3270"/>
      <c r="F66" s="801"/>
      <c r="K66" s="1954"/>
      <c r="O66" s="2239" t="s">
        <v>2358</v>
      </c>
      <c r="P66" s="2240" t="s">
        <v>2384</v>
      </c>
      <c r="Q66" s="2241">
        <f ca="1">C40+J29</f>
        <v>0</v>
      </c>
      <c r="R66" s="2240" t="s">
        <v>2359</v>
      </c>
    </row>
    <row r="67" spans="1:18" s="1928" customFormat="1" ht="20.25" thickBot="1">
      <c r="A67" s="763" t="s">
        <v>1770</v>
      </c>
      <c r="B67" s="2098" t="s">
        <v>2286</v>
      </c>
      <c r="C67" s="765">
        <f ca="1">ROUND(C66*(1-((1+F69)/(1+F67))^F68)/(F67-F69),0)</f>
        <v>0</v>
      </c>
      <c r="D67" s="795" t="s">
        <v>698</v>
      </c>
      <c r="E67" s="766" t="s">
        <v>699</v>
      </c>
      <c r="F67" s="776">
        <f ca="1">F40</f>
        <v>0.05</v>
      </c>
      <c r="K67" s="1954"/>
      <c r="O67" s="2239" t="s">
        <v>2360</v>
      </c>
      <c r="P67" s="2240" t="s">
        <v>2391</v>
      </c>
      <c r="Q67" s="2241">
        <f ca="1">L60</f>
        <v>0</v>
      </c>
      <c r="R67" s="2244" t="s">
        <v>2393</v>
      </c>
    </row>
    <row r="68" spans="1:18" ht="21.75" thickBot="1">
      <c r="A68" s="768"/>
      <c r="B68" s="769"/>
      <c r="C68" s="770"/>
      <c r="D68" s="802" t="s">
        <v>1798</v>
      </c>
      <c r="E68" s="766" t="s">
        <v>702</v>
      </c>
      <c r="F68" s="803">
        <f ca="1">F41</f>
        <v>37</v>
      </c>
      <c r="O68" s="2242" t="s">
        <v>2362</v>
      </c>
      <c r="P68" s="2240" t="s">
        <v>2392</v>
      </c>
      <c r="Q68" s="2246">
        <f ca="1">L51</f>
        <v>0</v>
      </c>
      <c r="R68" s="2247" t="s">
        <v>2395</v>
      </c>
    </row>
    <row r="69" spans="1:18" ht="20.25" thickBot="1">
      <c r="A69" s="772"/>
      <c r="B69" s="773"/>
      <c r="C69" s="774"/>
      <c r="D69" s="797"/>
      <c r="E69" s="766" t="s">
        <v>704</v>
      </c>
      <c r="F69" s="2212"/>
      <c r="O69" s="2242" t="s">
        <v>2363</v>
      </c>
      <c r="P69" s="2248" t="s">
        <v>2377</v>
      </c>
      <c r="Q69" s="2241">
        <f ca="1">ROUND(Q70-Q71*Q72,0)</f>
        <v>0</v>
      </c>
      <c r="R69" s="2244"/>
    </row>
    <row r="70" spans="1:18" ht="15.75" thickBot="1">
      <c r="A70" s="804" t="s">
        <v>1777</v>
      </c>
      <c r="B70" s="805" t="s">
        <v>1800</v>
      </c>
      <c r="C70" s="806" t="e">
        <f ca="1">ROUND(C67*10000/F70,0)</f>
        <v>#DIV/0!</v>
      </c>
      <c r="D70" s="807" t="s">
        <v>1801</v>
      </c>
      <c r="E70" s="808" t="s">
        <v>1802</v>
      </c>
      <c r="F70" s="809">
        <f ca="1">F43</f>
        <v>0</v>
      </c>
      <c r="O70" s="2242" t="s">
        <v>2378</v>
      </c>
      <c r="P70" s="2248" t="s">
        <v>2379</v>
      </c>
      <c r="Q70" s="2241">
        <f ca="1">C39</f>
        <v>0</v>
      </c>
      <c r="R70" s="2240" t="s">
        <v>2359</v>
      </c>
    </row>
    <row r="71" spans="1:18" ht="15.75" thickBot="1">
      <c r="O71" s="2242" t="s">
        <v>2380</v>
      </c>
      <c r="P71" s="2248" t="s">
        <v>2381</v>
      </c>
      <c r="Q71" s="2241">
        <f ca="1">C13</f>
        <v>0</v>
      </c>
      <c r="R71" s="2240" t="s">
        <v>2359</v>
      </c>
    </row>
    <row r="72" spans="1:18" ht="15.75" thickBot="1">
      <c r="O72" s="2242" t="s">
        <v>2382</v>
      </c>
      <c r="P72" s="2248" t="s">
        <v>2383</v>
      </c>
      <c r="Q72" s="2243">
        <f ca="1">J36</f>
        <v>0</v>
      </c>
      <c r="R72" s="2244"/>
    </row>
    <row r="73" spans="1:18" ht="15.75" thickBot="1">
      <c r="O73" s="2242" t="s">
        <v>2365</v>
      </c>
      <c r="P73" s="2240" t="s">
        <v>2372</v>
      </c>
      <c r="Q73" s="2243">
        <f>L52</f>
        <v>0</v>
      </c>
      <c r="R73" s="2244"/>
    </row>
    <row r="74" spans="1:18" ht="20.25" thickBot="1">
      <c r="O74" s="2242" t="s">
        <v>2367</v>
      </c>
      <c r="P74" s="2240" t="s">
        <v>2373</v>
      </c>
      <c r="Q74" s="2241" t="e">
        <f ca="1">L58</f>
        <v>#DIV/0!</v>
      </c>
      <c r="R74" s="2244" t="s">
        <v>2374</v>
      </c>
    </row>
    <row r="75" spans="1:18" ht="15.75" thickBot="1">
      <c r="O75" s="2242" t="s">
        <v>2396</v>
      </c>
      <c r="P75" s="2240" t="str">
        <f>K59</f>
        <v>建设期及建筑物耐用年限下的土地年期修正系数Kn</v>
      </c>
      <c r="Q75" s="2241" t="e">
        <f ca="1">L59</f>
        <v>#DIV/0!</v>
      </c>
      <c r="R75" s="2244" t="s">
        <v>2376</v>
      </c>
    </row>
    <row r="76" spans="1:18" ht="15.75" thickBot="1">
      <c r="O76" s="2239" t="s">
        <v>2370</v>
      </c>
      <c r="P76" s="2240" t="s">
        <v>2387</v>
      </c>
      <c r="Q76" s="2241">
        <f ca="1">Q66+Q67</f>
        <v>0</v>
      </c>
      <c r="R76" s="2244" t="s">
        <v>2371</v>
      </c>
    </row>
  </sheetData>
  <sheetProtection password="CEE9" sheet="1" objects="1" scenarios="1" formatCells="0" formatColumns="0" formatRows="0"/>
  <mergeCells count="3">
    <mergeCell ref="B6:B9"/>
    <mergeCell ref="I6:I9"/>
    <mergeCell ref="K53:L53"/>
  </mergeCells>
  <phoneticPr fontId="228" type="noConversion"/>
  <conditionalFormatting sqref="K55">
    <cfRule type="expression" dxfId="6" priority="6">
      <formula>$L$48&gt;$J$51</formula>
    </cfRule>
  </conditionalFormatting>
  <conditionalFormatting sqref="I55">
    <cfRule type="expression" dxfId="5" priority="7">
      <formula>$J$51&gt;$L$48</formula>
    </cfRule>
  </conditionalFormatting>
  <conditionalFormatting sqref="I60">
    <cfRule type="expression" dxfId="4" priority="5">
      <formula>$J$51&gt;$L$48</formula>
    </cfRule>
  </conditionalFormatting>
  <conditionalFormatting sqref="K60">
    <cfRule type="expression" dxfId="3" priority="4">
      <formula>$L$48&gt;$J$51</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3">
    <cfRule type="expression" dxfId="0"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167</vt:i4>
      </vt:variant>
    </vt:vector>
  </HeadingPairs>
  <TitlesOfParts>
    <vt:vector size="21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2038亩</vt:lpstr>
      <vt:lpstr>产品指标</vt:lpstr>
      <vt:lpstr>数据-汇总表</vt:lpstr>
      <vt:lpstr>数据-取费表</vt:lpstr>
      <vt:lpstr>估价对象房地状况</vt:lpstr>
      <vt:lpstr>系统读取表</vt:lpstr>
      <vt:lpstr>典型户型修正</vt:lpstr>
      <vt:lpstr>结果表</vt:lpstr>
      <vt:lpstr>比较法-住宅、综合</vt:lpstr>
      <vt:lpstr>土地案例（住宅）</vt:lpstr>
      <vt:lpstr>案例位置图</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存贷款利率</vt:lpstr>
      <vt:lpstr>不动产比较法-叠拼</vt:lpstr>
      <vt:lpstr>项目住宅一期成交数据</vt:lpstr>
      <vt:lpstr>不动产收益法（商业）</vt:lpstr>
      <vt:lpstr>不动产收益法（车库）</vt:lpstr>
      <vt:lpstr>'比较法-工业'!Print_Area</vt:lpstr>
      <vt:lpstr>'比较法-住宅、综合'!Print_Area</vt:lpstr>
      <vt:lpstr>'不动产比较法-办公'!Print_Area</vt:lpstr>
      <vt:lpstr>'不动产比较法-仓储'!Print_Area</vt:lpstr>
      <vt:lpstr>'不动产比较法-车位'!Print_Area</vt:lpstr>
      <vt:lpstr>'不动产比较法-叠拼'!Print_Area</vt:lpstr>
      <vt:lpstr>'不动产比较法-工业'!Print_Area</vt:lpstr>
      <vt:lpstr>'不动产比较法-商业'!Print_Area</vt:lpstr>
      <vt:lpstr>'不动产比较法-住宅'!Print_Area</vt:lpstr>
      <vt:lpstr>'不动产收益法（车库）'!Print_Area</vt:lpstr>
      <vt:lpstr>'不动产收益法（商业）'!Print_Area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'不动产比较法-叠拼'!住宅朝向</vt:lpstr>
      <vt:lpstr>住宅朝向</vt:lpstr>
      <vt:lpstr>'不动产比较法-叠拼'!住宅房型</vt:lpstr>
      <vt:lpstr>住宅房型</vt:lpstr>
      <vt:lpstr>'不动产比较法-叠拼'!住宅公共部分装修</vt:lpstr>
      <vt:lpstr>住宅公共部分装修</vt:lpstr>
      <vt:lpstr>'不动产比较法-叠拼'!住宅基础设施水平</vt:lpstr>
      <vt:lpstr>住宅基础设施水平</vt:lpstr>
      <vt:lpstr>'不动产比较法-叠拼'!住宅建筑结构</vt:lpstr>
      <vt:lpstr>住宅建筑结构</vt:lpstr>
      <vt:lpstr>'不动产比较法-叠拼'!住宅建筑类型</vt:lpstr>
      <vt:lpstr>住宅建筑类型</vt:lpstr>
      <vt:lpstr>'不动产比较法-叠拼'!住宅建筑品质</vt:lpstr>
      <vt:lpstr>住宅建筑品质</vt:lpstr>
      <vt:lpstr>'不动产比较法-叠拼'!住宅交易情况</vt:lpstr>
      <vt:lpstr>住宅交易情况</vt:lpstr>
      <vt:lpstr>'不动产比较法-叠拼'!住宅楼层</vt:lpstr>
      <vt:lpstr>住宅楼层</vt:lpstr>
      <vt:lpstr>'不动产比较法-叠拼'!住宅内部装修</vt:lpstr>
      <vt:lpstr>住宅内部装修</vt:lpstr>
      <vt:lpstr>'不动产比较法-叠拼'!住宅物业管理</vt:lpstr>
      <vt:lpstr>住宅物业管理</vt:lpstr>
      <vt:lpstr>'不动产比较法-叠拼'!住宅用途</vt:lpstr>
      <vt:lpstr>住宅用途</vt:lpstr>
      <vt:lpstr>'不动产比较法-叠拼'!住宅主力户型面积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2020-12-29T12:29:25Z</dcterms:modified>
</cp:coreProperties>
</file>